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03"/>
  <workbookPr/>
  <mc:AlternateContent xmlns:mc="http://schemas.openxmlformats.org/markup-compatibility/2006">
    <mc:Choice Requires="x15">
      <x15ac:absPath xmlns:x15ac="http://schemas.microsoft.com/office/spreadsheetml/2010/11/ac" url="/Users/jb/Documents/Real Estate/Play AI/Asset Management AI/Data/"/>
    </mc:Choice>
  </mc:AlternateContent>
  <xr:revisionPtr revIDLastSave="0" documentId="13_ncr:1_{9EBF75D7-A95A-A640-B0A4-C01672F6BC68}" xr6:coauthVersionLast="47" xr6:coauthVersionMax="47" xr10:uidLastSave="{00000000-0000-0000-0000-000000000000}"/>
  <bookViews>
    <workbookView xWindow="0" yWindow="0" windowWidth="38400" windowHeight="21600" tabRatio="949" activeTab="3" xr2:uid="{00000000-000D-0000-FFFF-FFFF00000000}"/>
  </bookViews>
  <sheets>
    <sheet name="Disclaimer" sheetId="4" state="hidden" r:id="rId1"/>
    <sheet name="Major Changes 2023" sheetId="52" r:id="rId2"/>
    <sheet name="Charts" sheetId="7" r:id="rId3"/>
    <sheet name="Assumptions" sheetId="1" r:id="rId4"/>
    <sheet name="Monthly Cash Flow" sheetId="2" r:id="rId5"/>
    <sheet name="Historicals" sheetId="36" r:id="rId6"/>
    <sheet name="2022" sheetId="53" r:id="rId7"/>
    <sheet name="2021" sheetId="51" r:id="rId8"/>
    <sheet name="2020" sheetId="37" r:id="rId9"/>
    <sheet name="ARGUS" sheetId="14" r:id="rId10"/>
    <sheet name="Argus Drop" sheetId="16" r:id="rId11"/>
    <sheet name="Lease Summary Report" sheetId="43" r:id="rId12"/>
    <sheet name="LIBOR" sheetId="3" r:id="rId13"/>
    <sheet name="Waterfall" sheetId="5" state="hidden" r:id="rId14"/>
    <sheet name="Chapman Lease Activity" sheetId="46" state="hidden" r:id="rId15"/>
    <sheet name="Chapman Rent Roll" sheetId="45" state="hidden" r:id="rId16"/>
    <sheet name="Chapman Capital Call Log" sheetId="39" state="hidden" r:id="rId17"/>
    <sheet name="CIP-Building Improvements" sheetId="42" state="hidden" r:id="rId18"/>
    <sheet name="Debt" sheetId="9" state="hidden" r:id="rId19"/>
    <sheet name="DebtPerm" sheetId="32" state="hidden" r:id="rId20"/>
    <sheet name="Acquisition Costs" sheetId="38" state="hidden" r:id="rId21"/>
    <sheet name="Formatted Comps" sheetId="22" state="hidden" r:id="rId22"/>
    <sheet name="Desktop" sheetId="25" state="hidden" r:id="rId23"/>
    <sheet name="Desktop Comps" sheetId="26" state="hidden" r:id="rId24"/>
    <sheet name="Comps" sheetId="30" state="hidden" r:id="rId25"/>
  </sheets>
  <definedNames>
    <definedName name="_">#REF!</definedName>
    <definedName name="_______________">#REF!</definedName>
    <definedName name="________EXP1" localSheetId="24">#REF!</definedName>
    <definedName name="__123Graph_A" localSheetId="16" hidden="1">#REF!</definedName>
    <definedName name="__123Graph_A" localSheetId="14" hidden="1">#REF!</definedName>
    <definedName name="__123Graph_A" localSheetId="15" hidden="1">#REF!</definedName>
    <definedName name="__123Graph_A" localSheetId="19" hidden="1">#REF!</definedName>
    <definedName name="__123Graph_A" hidden="1">#REF!</definedName>
    <definedName name="__C">#REF!</definedName>
    <definedName name="__IntlFixup" hidden="1">TRUE</definedName>
    <definedName name="_1_96100">#REF!</definedName>
    <definedName name="_10__123Graph_AChart_5E" localSheetId="16" hidden="1">#REF!</definedName>
    <definedName name="_10__123Graph_AChart_5E" localSheetId="1" hidden="1">#REF!</definedName>
    <definedName name="_10__123Graph_AChart_5E" hidden="1">#REF!</definedName>
    <definedName name="_12__123Graph_AChart_6E" localSheetId="16" hidden="1">#REF!</definedName>
    <definedName name="_12__123Graph_AChart_6E" hidden="1">#REF!</definedName>
    <definedName name="_1201T1">#REF!</definedName>
    <definedName name="_1202T1">#N/A</definedName>
    <definedName name="_1206T1">#REF!</definedName>
    <definedName name="_1207T1">#REF!</definedName>
    <definedName name="_1208T1">#REF!</definedName>
    <definedName name="_1210T1">#REF!</definedName>
    <definedName name="_1211T1">#REF!</definedName>
    <definedName name="_1216T1">#REF!</definedName>
    <definedName name="_1217T1">#REF!</definedName>
    <definedName name="_1218T1">#REF!</definedName>
    <definedName name="_1219T1">#REF!</definedName>
    <definedName name="_1220T1">#REF!</definedName>
    <definedName name="_1220T2">#REF!</definedName>
    <definedName name="_1221T1">#REF!</definedName>
    <definedName name="_1222T1">#REF!</definedName>
    <definedName name="_1223T1">#REF!</definedName>
    <definedName name="_1224T1">#REF!</definedName>
    <definedName name="_1226T2">#REF!</definedName>
    <definedName name="_1231T">#REF!</definedName>
    <definedName name="_1231T1">#REF!</definedName>
    <definedName name="_1233T1">#REF!</definedName>
    <definedName name="_1234T2">#REF!</definedName>
    <definedName name="_1235T1">#REF!</definedName>
    <definedName name="_1236T1">#REF!</definedName>
    <definedName name="_1238T1">#REF!</definedName>
    <definedName name="_1239T1">#REF!</definedName>
    <definedName name="_1239T3">#REF!</definedName>
    <definedName name="_1240T1">#REF!</definedName>
    <definedName name="_1248T3">#REF!</definedName>
    <definedName name="_1251T1">#REF!</definedName>
    <definedName name="_1251T2">#REF!</definedName>
    <definedName name="_1252T1">#REF!</definedName>
    <definedName name="_1252T2">#REF!</definedName>
    <definedName name="_1256T1">#REF!</definedName>
    <definedName name="_1257T1">#REF!</definedName>
    <definedName name="_1258T1">#REF!</definedName>
    <definedName name="_1260T1">#REF!</definedName>
    <definedName name="_1260T2">#REF!</definedName>
    <definedName name="_1261T1">#REF!</definedName>
    <definedName name="_1262T1">#REF!</definedName>
    <definedName name="_1264T1">#REF!</definedName>
    <definedName name="_1265T1">#REF!</definedName>
    <definedName name="_1268T2">#REF!</definedName>
    <definedName name="_1273T1">#REF!</definedName>
    <definedName name="_1276T1">#REF!</definedName>
    <definedName name="_1280T1">#REF!</definedName>
    <definedName name="_1281T1">#REF!</definedName>
    <definedName name="_14__123Graph_AChart_7E" hidden="1">#REF!</definedName>
    <definedName name="_16__123Graph_AChart_8E" hidden="1">#REF!</definedName>
    <definedName name="_18__123Graph_BChart_1E" hidden="1">#REF!</definedName>
    <definedName name="_1992">#REF!</definedName>
    <definedName name="_1993">#REF!</definedName>
    <definedName name="_1994">#REF!</definedName>
    <definedName name="_2__123Graph_AChart_1E" hidden="1">#REF!</definedName>
    <definedName name="_20__123Graph_BChart_2E" hidden="1">#REF!</definedName>
    <definedName name="_22__123Graph_BChart_3E" hidden="1">#REF!</definedName>
    <definedName name="_24__123Graph_BChart_4E" hidden="1">#REF!</definedName>
    <definedName name="_26__123Graph_BChart_5E" hidden="1">#REF!</definedName>
    <definedName name="_28__123Graph_BChart_6E" hidden="1">#REF!</definedName>
    <definedName name="_30__123Graph_BChart_7E" hidden="1">#REF!</definedName>
    <definedName name="_32__123Graph_BChart_8E" hidden="1">#REF!</definedName>
    <definedName name="_34__123Graph_CChart_1E" hidden="1">#REF!</definedName>
    <definedName name="_36__123Graph_CChart_2E" hidden="1">#REF!</definedName>
    <definedName name="_38__123Graph_CChart_3E" hidden="1">#REF!</definedName>
    <definedName name="_4__123Graph_AChart_2E" hidden="1">#REF!</definedName>
    <definedName name="_40__123Graph_CChart_4E" hidden="1">#REF!</definedName>
    <definedName name="_42__123Graph_CChart_5E" hidden="1">#REF!</definedName>
    <definedName name="_44__123Graph_CChart_6E" hidden="1">#REF!</definedName>
    <definedName name="_450">#REF!</definedName>
    <definedName name="_450.INT">#REF!</definedName>
    <definedName name="_451">#REF!</definedName>
    <definedName name="_451.INT">#REF!</definedName>
    <definedName name="_46__123Graph_CChart_7E" hidden="1">#REF!</definedName>
    <definedName name="_48__123Graph_CChart_8E" hidden="1">#REF!</definedName>
    <definedName name="_50__123Graph_XChart_2E" hidden="1">#REF!</definedName>
    <definedName name="_502">#REF!</definedName>
    <definedName name="_502.INT">#REF!</definedName>
    <definedName name="_52__123Graph_XChart_3E" localSheetId="16" hidden="1">#REF!</definedName>
    <definedName name="_52__123Graph_XChart_3E" localSheetId="1" hidden="1">#REF!</definedName>
    <definedName name="_52__123Graph_XChart_3E" hidden="1">#REF!</definedName>
    <definedName name="_54__123Graph_XChart_4E" localSheetId="16" hidden="1">#REF!</definedName>
    <definedName name="_54__123Graph_XChart_4E" hidden="1">#REF!</definedName>
    <definedName name="_56__123Graph_XChart_5E" hidden="1">#REF!</definedName>
    <definedName name="_58__123Graph_XChart_6E" hidden="1">#REF!</definedName>
    <definedName name="_6__123Graph_AChart_3E" hidden="1">#REF!</definedName>
    <definedName name="_60__123Graph_XChart_7E" hidden="1">#REF!</definedName>
    <definedName name="_62__123Graph_XChart_8E" hidden="1">#REF!</definedName>
    <definedName name="_8__123Graph_AChart_4E" hidden="1">#REF!</definedName>
    <definedName name="_94_BUS._PLAN">#REF!</definedName>
    <definedName name="_94_BUS._PLAN_V">#REF!</definedName>
    <definedName name="_96ELDET">#REF!</definedName>
    <definedName name="_97CF">#REF!</definedName>
    <definedName name="_97ELDET">#REF!</definedName>
    <definedName name="_A">#REF!</definedName>
    <definedName name="_B">#REF!</definedName>
    <definedName name="_C">#REF!</definedName>
    <definedName name="_CIP2" localSheetId="16" hidden="1">{"taxes",#N/A,FALSE,"CTT_CLO"}</definedName>
    <definedName name="_CIP2" localSheetId="1" hidden="1">{"taxes",#N/A,FALSE,"CTT_CLO"}</definedName>
    <definedName name="_CIP2" hidden="1">{"taxes",#N/A,FALSE,"CTT_CLO"}</definedName>
    <definedName name="_COL21">#REF!</definedName>
    <definedName name="_D">#REF!</definedName>
    <definedName name="_dan1" hidden="1">#REF!</definedName>
    <definedName name="_det1">#REF!</definedName>
    <definedName name="_det2">#REF!</definedName>
    <definedName name="_det3">#REF!</definedName>
    <definedName name="_det4">#REF!</definedName>
    <definedName name="_det5">#REF!</definedName>
    <definedName name="_det6">#REF!</definedName>
    <definedName name="_E">#REF!</definedName>
    <definedName name="_F">#REF!</definedName>
    <definedName name="_Fill" localSheetId="20" hidden="1">#REF!</definedName>
    <definedName name="_Fill" localSheetId="16" hidden="1">#REF!</definedName>
    <definedName name="_Fill" localSheetId="14" hidden="1">#REF!</definedName>
    <definedName name="_Fill" localSheetId="15" hidden="1">#REF!</definedName>
    <definedName name="_Fill" localSheetId="19" hidden="1">#REF!</definedName>
    <definedName name="_Fill" localSheetId="1" hidden="1">#REF!</definedName>
    <definedName name="_Fill" hidden="1">#REF!</definedName>
    <definedName name="_G">#REF!</definedName>
    <definedName name="_Ins2">#REF!</definedName>
    <definedName name="_Ins3">#REF!</definedName>
    <definedName name="_Key1" localSheetId="20" hidden="1">#REF!</definedName>
    <definedName name="_Key1" localSheetId="14" hidden="1">#REF!</definedName>
    <definedName name="_Key1" localSheetId="15" hidden="1">#REF!</definedName>
    <definedName name="_Key1" localSheetId="19" hidden="1">#REF!</definedName>
    <definedName name="_Key1" localSheetId="1" hidden="1">#REF!</definedName>
    <definedName name="_Key1" hidden="1">#REF!</definedName>
    <definedName name="_Key2" localSheetId="14" hidden="1">#REF!</definedName>
    <definedName name="_Key2" localSheetId="15" hidden="1">#REF!</definedName>
    <definedName name="_Key2" localSheetId="19" hidden="1">#REF!</definedName>
    <definedName name="_Key2" hidden="1">#REF!</definedName>
    <definedName name="_m101008" localSheetId="16" hidden="1">#REF!</definedName>
    <definedName name="_m101008" localSheetId="1" hidden="1">#REF!</definedName>
    <definedName name="_m101008" hidden="1">#REF!</definedName>
    <definedName name="_mb1">#REF!</definedName>
    <definedName name="_mb2">#REF!</definedName>
    <definedName name="_mb3">#REF!</definedName>
    <definedName name="_mb4">#REF!</definedName>
    <definedName name="_mb5">#REF!</definedName>
    <definedName name="_MP4">#REF!</definedName>
    <definedName name="_new1" localSheetId="16" hidden="1">#REF!</definedName>
    <definedName name="_new1" localSheetId="1" hidden="1">#REF!</definedName>
    <definedName name="_new1" hidden="1">#REF!</definedName>
    <definedName name="_new2" hidden="1">#REF!</definedName>
    <definedName name="_Order1" localSheetId="16" hidden="1">0</definedName>
    <definedName name="_Order1" hidden="1">255</definedName>
    <definedName name="_Order2" hidden="1">255</definedName>
    <definedName name="_PEG1">#REF!</definedName>
    <definedName name="_pg1">#REF!</definedName>
    <definedName name="_pg2">#REF!</definedName>
    <definedName name="_PG3">#REF!</definedName>
    <definedName name="_PG4">#REF!</definedName>
    <definedName name="_RR1">#REF!</definedName>
    <definedName name="_Sort" localSheetId="20" hidden="1">#REF!</definedName>
    <definedName name="_Sort" localSheetId="16" hidden="1">#REF!</definedName>
    <definedName name="_Sort" localSheetId="14" hidden="1">#REF!</definedName>
    <definedName name="_Sort" localSheetId="15" hidden="1">#REF!</definedName>
    <definedName name="_Sort" localSheetId="19" hidden="1">#REF!</definedName>
    <definedName name="_Sort" localSheetId="1" hidden="1">#REF!</definedName>
    <definedName name="_Sort" hidden="1">#REF!</definedName>
    <definedName name="_TI2">#REF!</definedName>
    <definedName name="\4">#REF!</definedName>
    <definedName name="\a">#REF!</definedName>
    <definedName name="\b">#REF!</definedName>
    <definedName name="\c">#REF!</definedName>
    <definedName name="\d">#N/A</definedName>
    <definedName name="\E">#REF!</definedName>
    <definedName name="\F">#REF!</definedName>
    <definedName name="\i">#REF!</definedName>
    <definedName name="\J">#REF!</definedName>
    <definedName name="\M" localSheetId="24">#REF!</definedName>
    <definedName name="\m">#REF!</definedName>
    <definedName name="\N">#REF!</definedName>
    <definedName name="\O">#REF!</definedName>
    <definedName name="\P">#REF!</definedName>
    <definedName name="\Q">#REF!</definedName>
    <definedName name="\S">#REF!</definedName>
    <definedName name="\T">#REF!</definedName>
    <definedName name="\w">#REF!</definedName>
    <definedName name="\X">#REF!</definedName>
    <definedName name="\Z">#REF!</definedName>
    <definedName name="A">#REF!</definedName>
    <definedName name="aac">#REF!</definedName>
    <definedName name="Access_Button" hidden="1">"Loan_Front_End_Input_List"</definedName>
    <definedName name="AccessDatabase" hidden="1">"C:\My Documents\DAVE\MODELS\Cash at Risk\Loan Front End.mdb"</definedName>
    <definedName name="accruals">#REF!</definedName>
    <definedName name="AccruedOtherHOI">#REF!</definedName>
    <definedName name="ACTUAL">#REF!</definedName>
    <definedName name="adf">#REF!</definedName>
    <definedName name="ADVERDET">#REF!</definedName>
    <definedName name="afirpt" localSheetId="16" hidden="1">{#N/A,#N/A,TRUE,"TITLE";#N/A,#N/A,TRUE,"SCH 1";#N/A,#N/A,TRUE,"SCH 2";#N/A,#N/A,TRUE,"SCH 3";#N/A,#N/A,TRUE,"SCH3(A)"}</definedName>
    <definedName name="afirpt" localSheetId="1" hidden="1">{#N/A,#N/A,TRUE,"TITLE";#N/A,#N/A,TRUE,"SCH 1";#N/A,#N/A,TRUE,"SCH 2";#N/A,#N/A,TRUE,"SCH 3";#N/A,#N/A,TRUE,"SCH3(A)"}</definedName>
    <definedName name="afirpt" hidden="1">{#N/A,#N/A,TRUE,"TITLE";#N/A,#N/A,TRUE,"SCH 1";#N/A,#N/A,TRUE,"SCH 2";#N/A,#N/A,TRUE,"SCH 3";#N/A,#N/A,TRUE,"SCH3(A)"}</definedName>
    <definedName name="aftreport" localSheetId="16" hidden="1">{#N/A,#N/A,TRUE,"TITLE";#N/A,#N/A,TRUE,"SCH 1";#N/A,#N/A,TRUE,"SCH 2";#N/A,#N/A,TRUE,"SCH 3";#N/A,#N/A,TRUE,"SCH3(A)"}</definedName>
    <definedName name="aftreport" localSheetId="1" hidden="1">{#N/A,#N/A,TRUE,"TITLE";#N/A,#N/A,TRUE,"SCH 1";#N/A,#N/A,TRUE,"SCH 2";#N/A,#N/A,TRUE,"SCH 3";#N/A,#N/A,TRUE,"SCH3(A)"}</definedName>
    <definedName name="aftreport" hidden="1">{#N/A,#N/A,TRUE,"TITLE";#N/A,#N/A,TRUE,"SCH 1";#N/A,#N/A,TRUE,"SCH 2";#N/A,#N/A,TRUE,"SCH 3";#N/A,#N/A,TRUE,"SCH3(A)"}</definedName>
    <definedName name="akej">#REF!</definedName>
    <definedName name="aklejr">#REF!</definedName>
    <definedName name="ALL">#REF!</definedName>
    <definedName name="Amortized" localSheetId="24">[0]!PMT</definedName>
    <definedName name="AmortLength" localSheetId="24">#REF!</definedName>
    <definedName name="AmortStart" localSheetId="24">#REF!</definedName>
    <definedName name="AMOUNT">#REF!</definedName>
    <definedName name="ANNUAL">#REF!</definedName>
    <definedName name="ANNUAL_COST_PER">#REF!</definedName>
    <definedName name="Annual_interest_rate">#REF!</definedName>
    <definedName name="anscount" hidden="1">2</definedName>
    <definedName name="April">#REF!</definedName>
    <definedName name="Argus" localSheetId="24">ROW()-ROW(rrFirstRow)-1</definedName>
    <definedName name="ARGUS_codes_1_search_line" localSheetId="24">#REF!</definedName>
    <definedName name="AS2DocOpenMode" hidden="1">"AS2DocumentEdit"</definedName>
    <definedName name="asd">#REF!</definedName>
    <definedName name="ashish" localSheetId="16" hidden="1">{"'Assump'!$F$6:$J$6"}</definedName>
    <definedName name="ashish" localSheetId="14" hidden="1">{"'Assump'!$F$6:$J$6"}</definedName>
    <definedName name="ashish" localSheetId="15" hidden="1">{"'Assump'!$F$6:$J$6"}</definedName>
    <definedName name="ashish" localSheetId="24" hidden="1">{"'Assump'!$F$6:$J$6"}</definedName>
    <definedName name="ashish" hidden="1">{"'Assump'!$F$6:$J$6"}</definedName>
    <definedName name="August">#REF!</definedName>
    <definedName name="b">#REF!</definedName>
    <definedName name="BADDEBT">#REF!</definedName>
    <definedName name="BEg">#REF!</definedName>
    <definedName name="Beg_Bal">#REF!</definedName>
    <definedName name="Beg_of_Yr">#REF!</definedName>
    <definedName name="Beg.Bal">IF(#REF!&lt;&gt;"",#REF!,"")</definedName>
    <definedName name="bld">#REF!</definedName>
    <definedName name="BLDG">#REF!</definedName>
    <definedName name="BONDS">#REF!</definedName>
    <definedName name="BP93_">#REF!</definedName>
    <definedName name="BS">#REF!</definedName>
    <definedName name="BU_GLA">#REF!</definedName>
    <definedName name="BudgetYear">#REF!</definedName>
    <definedName name="BUDTITLE">#REF!</definedName>
    <definedName name="building">#REF!</definedName>
    <definedName name="BUS._PLAN">#REF!</definedName>
    <definedName name="Calculated_payment">#REF!</definedName>
    <definedName name="CAPEXP">#REF!</definedName>
    <definedName name="CAPEXP2">#REF!</definedName>
    <definedName name="CASHFLOW">#REF!</definedName>
    <definedName name="CASHFLOW2">#REF!</definedName>
    <definedName name="CB_data">#REF!</definedName>
    <definedName name="cell">#REF!</definedName>
    <definedName name="cf">#REF!</definedName>
    <definedName name="CF_Report?">#REF!</definedName>
    <definedName name="CHARGE">#REF!</definedName>
    <definedName name="CHECKS">#REF!</definedName>
    <definedName name="City">#REF!</definedName>
    <definedName name="ck">#REF!</definedName>
    <definedName name="ClientName">#REF!</definedName>
    <definedName name="CO">#REF!</definedName>
    <definedName name="CO_GLA">#REF!</definedName>
    <definedName name="CO_or_BU">#REF!</definedName>
    <definedName name="CO.INT">#REF!</definedName>
    <definedName name="COL_01">#REF!</definedName>
    <definedName name="COL_02">#REF!</definedName>
    <definedName name="COL_03">#REF!</definedName>
    <definedName name="COL_04">#REF!</definedName>
    <definedName name="COL_05">#REF!</definedName>
    <definedName name="COL_06">#REF!</definedName>
    <definedName name="COL_07">#REF!</definedName>
    <definedName name="COL_08">#REF!</definedName>
    <definedName name="COL_09">#REF!</definedName>
    <definedName name="COL_10">#REF!</definedName>
    <definedName name="COL_11">#REF!</definedName>
    <definedName name="COL_12">#REF!</definedName>
    <definedName name="COL_13">#REF!</definedName>
    <definedName name="COL_14">#REF!</definedName>
    <definedName name="COL_15">#REF!</definedName>
    <definedName name="COL_16">#REF!</definedName>
    <definedName name="COL_17">#REF!</definedName>
    <definedName name="COL_18">#REF!</definedName>
    <definedName name="COL_19">#REF!</definedName>
    <definedName name="COL_20">#REF!</definedName>
    <definedName name="COL_21">#REF!</definedName>
    <definedName name="COL_22">#REF!</definedName>
    <definedName name="COL_23">#REF!</definedName>
    <definedName name="COL_24">#REF!</definedName>
    <definedName name="COL_25">#REF!</definedName>
    <definedName name="COL_26">#REF!</definedName>
    <definedName name="COL_27">#REF!</definedName>
    <definedName name="COL_28">#REF!</definedName>
    <definedName name="COL_29">#REF!</definedName>
    <definedName name="COL_30">#REF!</definedName>
    <definedName name="COL_31">#REF!</definedName>
    <definedName name="COL_32">#REF!</definedName>
    <definedName name="COL_33">#REF!</definedName>
    <definedName name="COL_34">#REF!</definedName>
    <definedName name="COL_35">#REF!</definedName>
    <definedName name="COL_36">#REF!</definedName>
    <definedName name="COL_37">#REF!</definedName>
    <definedName name="COL_38">#REF!</definedName>
    <definedName name="COL_39">#REF!</definedName>
    <definedName name="COL_40">#REF!</definedName>
    <definedName name="COL_41">#REF!</definedName>
    <definedName name="COL_42">#REF!</definedName>
    <definedName name="COL_43">#REF!</definedName>
    <definedName name="COL_44">#REF!</definedName>
    <definedName name="COL_45">#REF!</definedName>
    <definedName name="COL_46">#REF!</definedName>
    <definedName name="COL_47">#REF!</definedName>
    <definedName name="COL_48">#REF!</definedName>
    <definedName name="COL_49">#REF!</definedName>
    <definedName name="COL_50">#REF!</definedName>
    <definedName name="COL_51">#REF!</definedName>
    <definedName name="COL_52">#REF!</definedName>
    <definedName name="COL_53">#REF!</definedName>
    <definedName name="COL_54">#REF!</definedName>
    <definedName name="COL_55">#REF!</definedName>
    <definedName name="COL_56">#REF!</definedName>
    <definedName name="COL_57">#REF!</definedName>
    <definedName name="COL_58">#REF!</definedName>
    <definedName name="COL_59">#REF!</definedName>
    <definedName name="COL_60">#REF!</definedName>
    <definedName name="COL_61">#REF!</definedName>
    <definedName name="COL_62">#REF!</definedName>
    <definedName name="COL_63">#REF!</definedName>
    <definedName name="ColDiff" localSheetId="24">COLUMN()-COL1STYR</definedName>
    <definedName name="ColDiff2" localSheetId="24">COLUMN()-COL1STYR</definedName>
    <definedName name="CollarLIBORGrid" localSheetId="24">#REF!</definedName>
    <definedName name="Contacts">#REF!</definedName>
    <definedName name="Contents">#REF!</definedName>
    <definedName name="CoNUM">#REF!</definedName>
    <definedName name="CORONA">#REF!</definedName>
    <definedName name="CORONASUM">#REF!</definedName>
    <definedName name="COTA">#REF!</definedName>
    <definedName name="cpirent">#REF!</definedName>
    <definedName name="cpirent2">#REF!</definedName>
    <definedName name="Cum.Interest">IF(#REF!&lt;&gt;"",#REF!+#REF!,"")</definedName>
    <definedName name="Cur_Mon_Last_Day">#REF!</definedName>
    <definedName name="Cur_Mon_Start">#REF!</definedName>
    <definedName name="Cur_Month_End">#REF!</definedName>
    <definedName name="Current">#REF!</definedName>
    <definedName name="Current_BU">#REF!</definedName>
    <definedName name="Current_Report">#REF!</definedName>
    <definedName name="D_ABSORPTION">#REF!</definedName>
    <definedName name="danny" hidden="1">#REF!</definedName>
    <definedName name="danny1">#REF!</definedName>
    <definedName name="danny10">#REF!</definedName>
    <definedName name="danny11">#REF!</definedName>
    <definedName name="danny12">#REF!</definedName>
    <definedName name="danny14">#REF!</definedName>
    <definedName name="danny15">#REF!</definedName>
    <definedName name="danny16">#REF!</definedName>
    <definedName name="danny17">#REF!</definedName>
    <definedName name="danny18">#REF!</definedName>
    <definedName name="danny19">#REF!</definedName>
    <definedName name="danny2">#REF!</definedName>
    <definedName name="danny20">#REF!</definedName>
    <definedName name="danny21">#REF!</definedName>
    <definedName name="danny22">#REF!</definedName>
    <definedName name="danny23">#REF!</definedName>
    <definedName name="danny24">#REF!</definedName>
    <definedName name="danny25">#REF!</definedName>
    <definedName name="danny26">#REF!</definedName>
    <definedName name="danny27">#REF!</definedName>
    <definedName name="danny3">#REF!</definedName>
    <definedName name="danny4">#REF!</definedName>
    <definedName name="danny5">#REF!</definedName>
    <definedName name="danny6">#REF!</definedName>
    <definedName name="danny7">#REF!</definedName>
    <definedName name="danny8">#REF!</definedName>
    <definedName name="danny9">#REF!</definedName>
    <definedName name="_xlnm.Database">#REF!</definedName>
    <definedName name="DATE">#REF!</definedName>
    <definedName name="Dbl_Promote?">#REF!</definedName>
    <definedName name="dddddd" localSheetId="16" hidden="1">{#N/A,#N/A,FALSE,"CAPREIT"}</definedName>
    <definedName name="dddddd" localSheetId="14" hidden="1">{#N/A,#N/A,FALSE,"CAPREIT"}</definedName>
    <definedName name="dddddd" localSheetId="15" hidden="1">{#N/A,#N/A,FALSE,"CAPREIT"}</definedName>
    <definedName name="dddddd" localSheetId="24" hidden="1">{#N/A,#N/A,FALSE,"CAPREIT"}</definedName>
    <definedName name="dddddd" hidden="1">{#N/A,#N/A,FALSE,"CAPREIT"}</definedName>
    <definedName name="dddddd2" localSheetId="16" hidden="1">{#N/A,#N/A,FALSE,"CAPREIT"}</definedName>
    <definedName name="dddddd2" localSheetId="14" hidden="1">{#N/A,#N/A,FALSE,"CAPREIT"}</definedName>
    <definedName name="dddddd2" localSheetId="15" hidden="1">{#N/A,#N/A,FALSE,"CAPREIT"}</definedName>
    <definedName name="dddddd2" localSheetId="24" hidden="1">{#N/A,#N/A,FALSE,"CAPREIT"}</definedName>
    <definedName name="dddddd2" hidden="1">{#N/A,#N/A,FALSE,"CAPREIT"}</definedName>
    <definedName name="ddddddd" localSheetId="16" hidden="1">{#N/A,#N/A,FALSE,"CAPREIT"}</definedName>
    <definedName name="ddddddd" localSheetId="14" hidden="1">{#N/A,#N/A,FALSE,"CAPREIT"}</definedName>
    <definedName name="ddddddd" localSheetId="15" hidden="1">{#N/A,#N/A,FALSE,"CAPREIT"}</definedName>
    <definedName name="ddddddd" localSheetId="24" hidden="1">{#N/A,#N/A,FALSE,"CAPREIT"}</definedName>
    <definedName name="ddddddd" hidden="1">{#N/A,#N/A,FALSE,"CAPREIT"}</definedName>
    <definedName name="ddddddd2" localSheetId="16" hidden="1">{#N/A,#N/A,FALSE,"CAPREIT"}</definedName>
    <definedName name="ddddddd2" localSheetId="14" hidden="1">{#N/A,#N/A,FALSE,"CAPREIT"}</definedName>
    <definedName name="ddddddd2" localSheetId="15" hidden="1">{#N/A,#N/A,FALSE,"CAPREIT"}</definedName>
    <definedName name="ddddddd2" localSheetId="24" hidden="1">{#N/A,#N/A,FALSE,"CAPREIT"}</definedName>
    <definedName name="ddddddd2" hidden="1">{#N/A,#N/A,FALSE,"CAPREIT"}</definedName>
    <definedName name="Debt_Total">#REF!</definedName>
    <definedName name="December">#REF!</definedName>
    <definedName name="detc2">#REF!</definedName>
    <definedName name="dfadf">#REF!</definedName>
    <definedName name="DISBURSE">#REF!</definedName>
    <definedName name="Disbursements">#REF!</definedName>
    <definedName name="Dist">#REF!</definedName>
    <definedName name="DISTRICT">#REF!</definedName>
    <definedName name="e">#REF!</definedName>
    <definedName name="E_NEW_CONSTR">#REF!</definedName>
    <definedName name="ELEC2">#REF!</definedName>
    <definedName name="ELEC3">#REF!</definedName>
    <definedName name="ELECDET">#REF!</definedName>
    <definedName name="End_Bal">#REF!</definedName>
    <definedName name="Ending.Balance">IF(#REF!&lt;&gt;"",#REF!-#REF!,"")</definedName>
    <definedName name="Entered_payment">#REF!</definedName>
    <definedName name="Equity_Total">#REF!</definedName>
    <definedName name="erte" localSheetId="16" hidden="1">{"page1",#N/A,FALSE,"CTT_CLO";"page2",#N/A,FALSE,"CTT_CLO";"schedules",#N/A,FALSE,"CTT_CLO";"scheduleA",#N/A,FALSE,"CTT_CLO";"scheduleBC",#N/A,FALSE,"CTT_CLO";"scheduleDE",#N/A,FALSE,"CTT_CLO";"scheduleF",#N/A,FALSE,"CTT_CLO"}</definedName>
    <definedName name="erte" localSheetId="1" hidden="1">{"page1",#N/A,FALSE,"CTT_CLO";"page2",#N/A,FALSE,"CTT_CLO";"schedules",#N/A,FALSE,"CTT_CLO";"scheduleA",#N/A,FALSE,"CTT_CLO";"scheduleBC",#N/A,FALSE,"CTT_CLO";"scheduleDE",#N/A,FALSE,"CTT_CLO";"scheduleF",#N/A,FALSE,"CTT_CLO"}</definedName>
    <definedName name="erte" hidden="1">{"page1",#N/A,FALSE,"CTT_CLO";"page2",#N/A,FALSE,"CTT_CLO";"schedules",#N/A,FALSE,"CTT_CLO";"scheduleA",#N/A,FALSE,"CTT_CLO";"scheduleBC",#N/A,FALSE,"CTT_CLO";"scheduleDE",#N/A,FALSE,"CTT_CLO";"scheduleF",#N/A,FALSE,"CTT_CLO"}</definedName>
    <definedName name="es">#REF!</definedName>
    <definedName name="Estimate" localSheetId="16" hidden="1">{#N/A,#N/A,FALSE,"Detail";#N/A,#N/A,FALSE,"Totals"}</definedName>
    <definedName name="Estimate" localSheetId="14" hidden="1">{#N/A,#N/A,FALSE,"Detail";#N/A,#N/A,FALSE,"Totals"}</definedName>
    <definedName name="Estimate" localSheetId="15" hidden="1">{#N/A,#N/A,FALSE,"Detail";#N/A,#N/A,FALSE,"Totals"}</definedName>
    <definedName name="Estimate" localSheetId="24" hidden="1">{#N/A,#N/A,FALSE,"Detail";#N/A,#N/A,FALSE,"Totals"}</definedName>
    <definedName name="Estimate" hidden="1">{#N/A,#N/A,FALSE,"Detail";#N/A,#N/A,FALSE,"Totals"}</definedName>
    <definedName name="eva">OFFSET(Full_Print,0,0,Last_Row)</definedName>
    <definedName name="ewfef" localSheetId="16" hidden="1">{"scheduleB",#N/A,FALSE,"CTT_CLO"}</definedName>
    <definedName name="ewfef" localSheetId="1" hidden="1">{"scheduleB",#N/A,FALSE,"CTT_CLO"}</definedName>
    <definedName name="ewfef" hidden="1">{"scheduleB",#N/A,FALSE,"CTT_CLO"}</definedName>
    <definedName name="Extra_Pay">#REF!</definedName>
    <definedName name="f">#REF!</definedName>
    <definedName name="fd" localSheetId="16" hidden="1">#REF!</definedName>
    <definedName name="fd" hidden="1">#REF!</definedName>
    <definedName name="fdfdfd" localSheetId="16" hidden="1">{#N/A,#N/A,FALSE,"CAPREIT"}</definedName>
    <definedName name="fdfdfd" localSheetId="14" hidden="1">{#N/A,#N/A,FALSE,"CAPREIT"}</definedName>
    <definedName name="fdfdfd" localSheetId="15" hidden="1">{#N/A,#N/A,FALSE,"CAPREIT"}</definedName>
    <definedName name="fdfdfd" localSheetId="24" hidden="1">{#N/A,#N/A,FALSE,"CAPREIT"}</definedName>
    <definedName name="fdfdfd" hidden="1">{#N/A,#N/A,FALSE,"CAPREIT"}</definedName>
    <definedName name="fdfdfdf" localSheetId="16" hidden="1">{#N/A,#N/A,FALSE,"CAPREIT"}</definedName>
    <definedName name="fdfdfdf" localSheetId="14" hidden="1">{#N/A,#N/A,FALSE,"CAPREIT"}</definedName>
    <definedName name="fdfdfdf" localSheetId="15" hidden="1">{#N/A,#N/A,FALSE,"CAPREIT"}</definedName>
    <definedName name="fdfdfdf" localSheetId="24" hidden="1">{#N/A,#N/A,FALSE,"CAPREIT"}</definedName>
    <definedName name="fdfdfdf" hidden="1">{#N/A,#N/A,FALSE,"CAPREIT"}</definedName>
    <definedName name="February">#REF!</definedName>
    <definedName name="fee">#REF!</definedName>
    <definedName name="FINDATA">#REF!</definedName>
    <definedName name="First_payment_due">#REF!</definedName>
    <definedName name="First_payment_no">#REF!</definedName>
    <definedName name="First_Row">IF('Chapman Capital Call Log'!Values_Entered,Header_Row+'Chapman Capital Call Log'!Number_of_Payments,Header_Row)</definedName>
    <definedName name="Fixed_Variable">#REF!</definedName>
    <definedName name="form">#REF!</definedName>
    <definedName name="freerent">#REF!</definedName>
    <definedName name="freerent2">#REF!</definedName>
    <definedName name="FSRF">#REF!</definedName>
    <definedName name="Full_Print">#REF!</definedName>
    <definedName name="g">#REF!</definedName>
    <definedName name="GASDET">#REF!</definedName>
    <definedName name="ghhg" localSheetId="16" hidden="1">{"taxes",#N/A,FALSE,"CTT_CLO"}</definedName>
    <definedName name="ghhg" localSheetId="1" hidden="1">{"taxes",#N/A,FALSE,"CTT_CLO"}</definedName>
    <definedName name="ghhg" hidden="1">{"taxes",#N/A,FALSE,"CTT_CLO"}</definedName>
    <definedName name="GP_H1" localSheetId="24">#REF!</definedName>
    <definedName name="GP_H1" localSheetId="21">#REF!</definedName>
    <definedName name="GP_H2" localSheetId="24">#REF!</definedName>
    <definedName name="GP_PR" localSheetId="24">#REF!</definedName>
    <definedName name="GPSHAREPR" localSheetId="24">#REF!</definedName>
    <definedName name="GPSHAREPR" localSheetId="21">#REF!</definedName>
    <definedName name="GRAPHS">#N/A</definedName>
    <definedName name="Grove">#REF!</definedName>
    <definedName name="H_97_LEASE_EXP">#REF!</definedName>
    <definedName name="Header_Row">ROW(#REF!)</definedName>
    <definedName name="Hello">#REF!</definedName>
    <definedName name="hgd">#REF!</definedName>
    <definedName name="hj">#REF!</definedName>
    <definedName name="hnyny" localSheetId="16" hidden="1">{TRUE,TRUE,-1.25,-15.5,484.5,276.75,FALSE,TRUE,TRUE,TRUE,0,14,#N/A,20,#N/A,6.39784946236559,14.6190476190476,1,FALSE,FALSE,3,TRUE,1,FALSE,100,"Swvu.Escalation._.Table.","ACwvu.Escalation._.Table.",#N/A,FALSE,FALSE,0.51,0.5,0.5,1,2,"","",FALSE,FALSE,FALSE,FALSE,1,#N/A,1,3,FALSE,FALSE,#N/A,#N/A,FALSE,FALSE,FALSE,5,65532,300,FALSE,FALSE,TRUE,TRUE,TRUE}</definedName>
    <definedName name="hnyny" localSheetId="1" hidden="1">{TRUE,TRUE,-1.25,-15.5,484.5,276.75,FALSE,TRUE,TRUE,TRUE,0,14,#N/A,20,#N/A,6.39784946236559,14.6190476190476,1,FALSE,FALSE,3,TRUE,1,FALSE,100,"Swvu.Escalation._.Table.","ACwvu.Escalation._.Table.",#N/A,FALSE,FALSE,0.51,0.5,0.5,1,2,"","",FALSE,FALSE,FALSE,FALSE,1,#N/A,1,3,FALSE,FALSE,#N/A,#N/A,FALSE,FALSE,FALSE,5,65532,300,FALSE,FALSE,TRUE,TRUE,TRUE}</definedName>
    <definedName name="hnyny" hidden="1">{TRUE,TRUE,-1.25,-15.5,484.5,276.75,FALSE,TRUE,TRUE,TRUE,0,14,#N/A,20,#N/A,6.39784946236559,14.6190476190476,1,FALSE,FALSE,3,TRUE,1,FALSE,100,"Swvu.Escalation._.Table.","ACwvu.Escalation._.Table.",#N/A,FALSE,FALSE,0.51,0.5,0.5,1,2,"","",FALSE,FALSE,FALSE,FALSE,1,#N/A,1,3,FALSE,FALSE,#N/A,#N/A,FALSE,FALSE,FALSE,5,65532,300,FALSE,FALSE,TRUE,TRUE,TRUE}</definedName>
    <definedName name="html" localSheetId="16" hidden="1">{"'Assump'!$F$6:$J$6"}</definedName>
    <definedName name="html" localSheetId="14" hidden="1">{"'Assump'!$F$6:$J$6"}</definedName>
    <definedName name="html" localSheetId="15" hidden="1">{"'Assump'!$F$6:$J$6"}</definedName>
    <definedName name="html" localSheetId="24" hidden="1">{"'Assump'!$F$6:$J$6"}</definedName>
    <definedName name="html" hidden="1">{"'Assump'!$F$6:$J$6"}</definedName>
    <definedName name="HTML_CodePage" hidden="1">1252</definedName>
    <definedName name="HTML_Control" localSheetId="16" hidden="1">{"'Assump'!$F$6:$J$6"}</definedName>
    <definedName name="HTML_Control" localSheetId="14" hidden="1">{"'Assump'!$F$6:$J$6"}</definedName>
    <definedName name="HTML_Control" localSheetId="15" hidden="1">{"'Assump'!$F$6:$J$6"}</definedName>
    <definedName name="HTML_Control" localSheetId="24" hidden="1">{"'Assump'!$F$6:$J$6"}</definedName>
    <definedName name="HTML_Control" hidden="1">{"'Assump'!$F$6:$J$6"}</definedName>
    <definedName name="HTML_Description" hidden="1">""</definedName>
    <definedName name="HTML_Email" hidden="1">""</definedName>
    <definedName name="HTML_Header" hidden="1">"Assump"</definedName>
    <definedName name="HTML_LastUpdate" hidden="1">"7/24/98"</definedName>
    <definedName name="HTML_LineAfter" hidden="1">FALSE</definedName>
    <definedName name="HTML_LineBefore" hidden="1">FALSE</definedName>
    <definedName name="HTML_Name" hidden="1">"Russell Caplin"</definedName>
    <definedName name="HTML_OBDlg2" hidden="1">TRUE</definedName>
    <definedName name="HTML_OBDlg4" hidden="1">TRUE</definedName>
    <definedName name="HTML_OS" hidden="1">0</definedName>
    <definedName name="HTML_PathFile" hidden="1">"C:\acg\MyHTML.htm"</definedName>
    <definedName name="HTML_Title" hidden="1">"ashish"</definedName>
    <definedName name="htmlnew" localSheetId="16" hidden="1">{"'Assump'!$F$6:$J$6"}</definedName>
    <definedName name="htmlnew" localSheetId="14" hidden="1">{"'Assump'!$F$6:$J$6"}</definedName>
    <definedName name="htmlnew" localSheetId="15" hidden="1">{"'Assump'!$F$6:$J$6"}</definedName>
    <definedName name="htmlnew" localSheetId="24" hidden="1">{"'Assump'!$F$6:$J$6"}</definedName>
    <definedName name="htmlnew" hidden="1">{"'Assump'!$F$6:$J$6"}</definedName>
    <definedName name="HURDLE1" localSheetId="24">#REF!</definedName>
    <definedName name="HURDLE2" localSheetId="24">#REF!</definedName>
    <definedName name="I_RENT_COMP">#REF!</definedName>
    <definedName name="iii" localSheetId="16" hidden="1">{"taxes",#N/A,FALSE,"CTT_CLO"}</definedName>
    <definedName name="iii" localSheetId="1" hidden="1">{"taxes",#N/A,FALSE,"CTT_CLO"}</definedName>
    <definedName name="iii" hidden="1">{"taxes",#N/A,FALSE,"CTT_CLO"}</definedName>
    <definedName name="INC__DEC_">#REF!</definedName>
    <definedName name="INCEXLEASE">#REF!</definedName>
    <definedName name="income">#REF!</definedName>
    <definedName name="INPUT">#REF!</definedName>
    <definedName name="Ins">#REF!</definedName>
    <definedName name="INSURANCE" localSheetId="1">DATE(YEAR([0]!Loan_Start),MONTH([0]!Loan_Start)+Payment_Number,DAY([0]!Loan_Start))</definedName>
    <definedName name="INSURANCE">DATE(YEAR(Loan_Start),MONTH(Loan_Start)+Payment_Number,DAY(Loan_Start))</definedName>
    <definedName name="Int">#REF!</definedName>
    <definedName name="InterCo">#REF!</definedName>
    <definedName name="Interest">IF(#REF!&lt;&gt;"",#REF!*Periodic_rate,"")</definedName>
    <definedName name="Interest_Const_Loan">#REF!</definedName>
    <definedName name="Interest_Rate">#REF!</definedName>
    <definedName name="INVESCo">#REF!</definedName>
    <definedName name="Investment_Name">#REF!</definedName>
    <definedName name="Invoice">#REF!</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UM_DEP" hidden="1">"c7"</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"c39"</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"c16"</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"c1471"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UDITOR_NAME" hidden="1">"c1539"</definedName>
    <definedName name="IQ_AUDITOR_OPINION" hidden="1">"c1540"</definedName>
    <definedName name="IQ_AUTO_WRITTEN" hidden="1">"c62"</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"c65"</definedName>
    <definedName name="IQ_BASIC_EPS_EXCL" hidden="1">"c85"</definedName>
    <definedName name="IQ_BASIC_EPS_INCL" hidden="1">"c86"</definedName>
    <definedName name="IQ_BASIC_NORMAL_EPS" hidden="1">"c1592"</definedName>
    <definedName name="IQ_BASIC_WEIGHT" hidden="1">"c87"</definedName>
    <definedName name="IQ_BETA" hidden="1">"c88"</definedName>
    <definedName name="IQ_BIG_INT_BEAR_CD" hidden="1">"c89"</definedName>
    <definedName name="IQ_BOARD_MEMBER" hidden="1">"c96"</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"c100"</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SH" hidden="1">"c118"</definedName>
    <definedName name="IQ_CASH_ACQUIRE_CF" hidden="1">"c1630"</definedName>
    <definedName name="IQ_CASH_CONVERSION" hidden="1">"c117"</definedName>
    <definedName name="IQ_CASH_DUE_BANKS" hidden="1">"c118"</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T" hidden="1">"c124"</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OSEPRICE" hidden="1">"c174"</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REET1" hidden="1">"c217"</definedName>
    <definedName name="IQ_COMPANY_STREET2" hidden="1">"c218"</definedName>
    <definedName name="IQ_COMPANY_TICKER" hidden="1">"c219"</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Q" hidden="1">5000</definedName>
    <definedName name="IQ_CREDIT_CARD_FEE_BNK" hidden="1">"c231"</definedName>
    <definedName name="IQ_CREDIT_CARD_FEE_FIN" hidden="1">"c1583"</definedName>
    <definedName name="IQ_CREDIT_LOSS_CF" hidden="1">"c232"</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INC_TAX" hidden="1">"c315"</definedName>
    <definedName name="IQ_DEFERRED_TAXES" hidden="1">"c147"</definedName>
    <definedName name="IQ_DEMAND_DEP" hidden="1">"c320"</definedName>
    <definedName name="IQ_DEPOSITS_FIN" hidden="1">"c321"</definedName>
    <definedName name="IQ_DEPRE_AMORT" hidden="1">"c247"</definedName>
    <definedName name="IQ_DEPRE_AMORT_SUPPL" hidden="1">"c1593"</definedName>
    <definedName name="IQ_DEPRE_DEPLE" hidden="1">"c261"</definedName>
    <definedName name="IQ_DEPRE_SUPP" hidden="1">"c1443"</definedName>
    <definedName name="IQ_DESCRIPTION_LONG" hidden="1">"c322"</definedName>
    <definedName name="IQ_DEVELOP_LAND" hidden="1">"c323"</definedName>
    <definedName name="IQ_DILUT_ADJUST" hidden="1">"c1621"</definedName>
    <definedName name="IQ_DILUT_EPS_EXCL" hidden="1">"c324"</definedName>
    <definedName name="IQ_DILUT_EPS_INCL" hidden="1">"c325"</definedName>
    <definedName name="IQ_DILUT_NORMAL_EPS" hidden="1">"c1594"</definedName>
    <definedName name="IQ_DILUT_WEIGHT" hidden="1">"c326"</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V_SHARE" hidden="1">"c330"</definedName>
    <definedName name="IQ_DIVEST_CF" hidden="1">"c331"</definedName>
    <definedName name="IQ_DIVID_SHARE" hidden="1">"c330"</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"c360"</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"c368"</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NUM_EST" hidden="1">"c374"</definedName>
    <definedName name="IQ_EBITDA_OVER_TOTAL_IE" hidden="1">"c373"</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S" hidden="1">"c388"</definedName>
    <definedName name="IQ_EBT_REIT" hidden="1">"c389"</definedName>
    <definedName name="IQ_EBT_UTI" hidden="1">"c390"</definedName>
    <definedName name="IQ_EFFECT_SPECIAL_CHARGE" hidden="1">"c1595"</definedName>
    <definedName name="IQ_EFFICIENCY_RATIO" hidden="1">"c391"</definedName>
    <definedName name="IQ_EMPLOYEES" hidden="1">"c392"</definedName>
    <definedName name="IQ_ENTERPRISE_VALUE" hidden="1">"c84"</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NUM_EST" hidden="1">"c402"</definedName>
    <definedName name="IQ_EPS_STDDEV_EST" hidden="1">"c403"</definedName>
    <definedName name="IQ_EQUITY_AFFIL" hidden="1">"c552"</definedName>
    <definedName name="IQ_EQUITY_METHOD" hidden="1">"c404"</definedName>
    <definedName name="IQ_EQV_OVER_BV" hidden="1">"c1596"</definedName>
    <definedName name="IQ_EQV_OVER_LTM_PRETAX_INC" hidden="1">"c739"</definedName>
    <definedName name="IQ_ESOP_DEBT" hidden="1">"c1597"</definedName>
    <definedName name="IQ_EST_ACT_EPS" hidden="1">"c1648"</definedName>
    <definedName name="IQ_EST_DATE" hidden="1">"c1634"</definedName>
    <definedName name="IQ_EST_EPS_GROWTH_1YR" hidden="1">"c1636"</definedName>
    <definedName name="IQ_EST_EPS_GROWTH_2YR" hidden="1">"c1637"</definedName>
    <definedName name="IQ_EST_EPS_GROWTH_Q_1YR" hidden="1">"c1641"</definedName>
    <definedName name="IQ_EST_EPS_SURPRISE" hidden="1">"c1635"</definedName>
    <definedName name="IQ_EST_REV_GROWTH_1YR" hidden="1">"c1638"</definedName>
    <definedName name="IQ_EST_REV_GROWTH_2YR" hidden="1">"c1639"</definedName>
    <definedName name="IQ_EST_REV_GROWTH_Q_1YR" hidden="1">"c1640"</definedName>
    <definedName name="IQ_EV_OVER_EMPLOYEE" hidden="1">"c1225"</definedName>
    <definedName name="IQ_EV_OVER_LTM_EBIT" hidden="1">"c1221"</definedName>
    <definedName name="IQ_EV_OVER_LTM_EBITDA" hidden="1">"c1223"</definedName>
    <definedName name="IQ_EV_OVER_LTM_REVENUE" hidden="1">"c1227"</definedName>
    <definedName name="IQ_EXCHANGE" hidden="1">"c405"</definedName>
    <definedName name="IQ_EXERCISE_PRICE"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FDIC" hidden="1">"c417"</definedName>
    <definedName name="IQ_FFO" hidden="1">"c1574"</definedName>
    <definedName name="IQ_FFO_EST" hidden="1">"c418"</definedName>
    <definedName name="IQ_FFO_HIGH_EST" hidden="1">"c419"</definedName>
    <definedName name="IQ_FFO_LOW_EST" hidden="1">"c420"</definedName>
    <definedName name="IQ_FFO_NUM_EST" hidden="1">"c421"</definedName>
    <definedName name="IQ_FFO_STDDEV_EST" hidden="1">"c422"</definedName>
    <definedName name="IQ_FHLB_DEBT" hidden="1">"c423"</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"c893"</definedName>
    <definedName name="IQ_FINANCING_CASH_SUPPL" hidden="1">"c899"</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"c451"</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"c192"</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"c511"</definedName>
    <definedName name="IQ_GW" hidden="1">"c530"</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"c907"</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"c751"</definedName>
    <definedName name="IQ_ISS_STOCK_NET" hidden="1">"c1601"</definedName>
    <definedName name="IQ_LAND" hidden="1">"c645"</definedName>
    <definedName name="IQ_LASTSALEPRICE" hidden="1">"c646"</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IFOR" hidden="1">"c655"</definedName>
    <definedName name="IQ_LL" hidden="1">"c656"</definedName>
    <definedName name="IQ_LOAN_LEASE_RECEIV" hidden="1">"c657"</definedName>
    <definedName name="IQ_LOAN_LOSS" hidden="1">"c656"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"c1304"</definedName>
    <definedName name="IQ_MACHINERY" hidden="1">"c711"</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"c781"</definedName>
    <definedName name="IQ_NET_INC_BEFORE" hidden="1">"c344"</definedName>
    <definedName name="IQ_NET_INC_CF" hidden="1">"c793"</definedName>
    <definedName name="IQ_NET_INC_MARGIN" hidden="1">"c794"</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SFAS" hidden="1">"c795"</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RMAL_INC_AFTER" hidden="1">"c1605"</definedName>
    <definedName name="IQ_NORMAL_INC_AVAIL" hidden="1">"c1606"</definedName>
    <definedName name="IQ_NORMAL_INC_BEFORE" hidden="1">"c1607"</definedName>
    <definedName name="IQ_NOTES_PAY" hidden="1">"c1176"</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OCCUPY_EXP" hidden="1">"c839"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"c362"</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ISSUED" hidden="1">"c857"</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"c868"</definedName>
    <definedName name="IQ_OTHER_CURRENT_LIAB" hidden="1">"c877"</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"c1022"</definedName>
    <definedName name="IQ_OUTSTANDING_FILING_DATE" hidden="1">"c1023"</definedName>
    <definedName name="IQ_PART_TIME" hidden="1">"c1024"</definedName>
    <definedName name="IQ_PAY_ACCRUED" hidden="1">"c8"</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MIUMS_ANNUITY_REV" hidden="1">"c1067"</definedName>
    <definedName name="IQ_PREPAID_EXP" hidden="1">"c1068"</definedName>
    <definedName name="IQ_PREPAID_EXPEN" hidden="1">"c1068"</definedName>
    <definedName name="IQ_PRICE_OVER_BVPS" hidden="1">"c1026"</definedName>
    <definedName name="IQ_PRICE_OVER_LTM_EPS" hidden="1">"c1029"</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NED_EARN" hidden="1">"c1092"</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"c1117"</definedName>
    <definedName name="IQ_REV" hidden="1">"c1122"</definedName>
    <definedName name="IQ_REV_BEFORE_LL" hidden="1">"c1123"</definedName>
    <definedName name="IQ_REV_STDDEV_EST" hidden="1">"c1124"</definedName>
    <definedName name="IQ_REV_UTI" hidden="1">"c1125"</definedName>
    <definedName name="IQ_REVENUE" hidden="1">"c1122"</definedName>
    <definedName name="IQ_REVENUE_EST" hidden="1">"c1126"</definedName>
    <definedName name="IQ_REVENUE_HIGH_EST" hidden="1">"c1127"</definedName>
    <definedName name="IQ_REVENUE_LOW_EST" hidden="1">"c1128"</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ONG_DEBT" hidden="1">"c1617"</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PENSION_ASSETS" hidden="1">"c1290"</definedName>
    <definedName name="IQ_TOTAL_PENSION_EXP" hidden="1">"c1291"</definedName>
    <definedName name="IQ_TOTAL_PENSION_OBLIGATION" hidden="1">"c1292"</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UTI" hidden="1">"c1308"</definedName>
    <definedName name="IQ_TOTAL_REVENUE" hidden="1">"c1294"</definedName>
    <definedName name="IQ_TOTAL_SPECIAL" hidden="1">"c1618"</definedName>
    <definedName name="IQ_TOTAL_ST_BORROW" hidden="1">"c1177"</definedName>
    <definedName name="IQ_TOTAL_UNUSUAL" hidden="1">"c1508"</definedName>
    <definedName name="IQ_TRADE_AR" hidden="1">"c40"</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UST_INC" hidden="1">"c1319"</definedName>
    <definedName name="IQ_TRUST_PREF" hidden="1">"c1320"</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PAID_CLAIMS" hidden="1">"c1330"</definedName>
    <definedName name="IQ_UNREALIZED_GAIN" hidden="1">"c1619"</definedName>
    <definedName name="IQ_US_GAAP" hidden="1">"c1331"</definedName>
    <definedName name="IQ_UTIL_PPE_NET" hidden="1">"c1620"</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YEARHIGH" hidden="1">"c1337"</definedName>
    <definedName name="IQ_YEARLOW" hidden="1">"c1338"</definedName>
    <definedName name="IQ_YTD" hidden="1">3000</definedName>
    <definedName name="IQ_Z_SCORE" hidden="1">"c1339"</definedName>
    <definedName name="J_5_YR_CAP">#REF!</definedName>
    <definedName name="JANITOR">#REF!</definedName>
    <definedName name="JANSAL">#REF!</definedName>
    <definedName name="January">#REF!</definedName>
    <definedName name="jjlj" localSheetId="16" hidden="1">{"scheduleB",#N/A,FALSE,"CTT_CLO"}</definedName>
    <definedName name="jjlj" localSheetId="1" hidden="1">{"scheduleB",#N/A,FALSE,"CTT_CLO"}</definedName>
    <definedName name="jjlj" hidden="1">{"scheduleB",#N/A,FALSE,"CTT_CLO"}</definedName>
    <definedName name="July">#REF!</definedName>
    <definedName name="June">#REF!</definedName>
    <definedName name="kdsfj">#REF!</definedName>
    <definedName name="kjg">#REF!</definedName>
    <definedName name="KT">#REF!</definedName>
    <definedName name="l">#REF!</definedName>
    <definedName name="L_COMP_TO_AQUI">#REF!</definedName>
    <definedName name="Last_Row">IF('Chapman Capital Call Log'!Values_Entered,Header_Row+'Chapman Capital Call Log'!Number_of_Payments,Header_Row)</definedName>
    <definedName name="LeaseUp_Method">#REF!</definedName>
    <definedName name="limcount" hidden="1">1</definedName>
    <definedName name="lk">#REF!</definedName>
    <definedName name="lkh">#REF!</definedName>
    <definedName name="lll" localSheetId="16" hidden="1">{#N/A,#N/A,FALSE,"Income Stmt";#N/A,#N/A,FALSE,"Income Summary"}</definedName>
    <definedName name="lll" localSheetId="1" hidden="1">{#N/A,#N/A,FALSE,"Income Stmt";#N/A,#N/A,FALSE,"Income Summary"}</definedName>
    <definedName name="lll" hidden="1">{#N/A,#N/A,FALSE,"Income Stmt";#N/A,#N/A,FALSE,"Income Summary"}</definedName>
    <definedName name="LNDSCP">#REF!</definedName>
    <definedName name="Loan_Amount">#REF!</definedName>
    <definedName name="Loan_Start">#REF!</definedName>
    <definedName name="Loan_Years">#REF!</definedName>
    <definedName name="lorin" localSheetId="16" hidden="1">{"schedules",#N/A,FALSE,"CTT_CLO";"scheduleA",#N/A,FALSE,"CTT_CLO";"scheduleB",#N/A,FALSE,"CTT_CLO";"scheduleCD",#N/A,FALSE,"CTT_CLO";"scheduleEF",#N/A,FALSE,"CTT_CLO"}</definedName>
    <definedName name="lorin" localSheetId="1" hidden="1">{"schedules",#N/A,FALSE,"CTT_CLO";"scheduleA",#N/A,FALSE,"CTT_CLO";"scheduleB",#N/A,FALSE,"CTT_CLO";"scheduleCD",#N/A,FALSE,"CTT_CLO";"scheduleEF",#N/A,FALSE,"CTT_CLO"}</definedName>
    <definedName name="lorin" hidden="1">{"schedules",#N/A,FALSE,"CTT_CLO";"scheduleA",#N/A,FALSE,"CTT_CLO";"scheduleB",#N/A,FALSE,"CTT_CLO";"scheduleCD",#N/A,FALSE,"CTT_CLO";"scheduleEF",#N/A,FALSE,"CTT_CLO"}</definedName>
    <definedName name="LP_H1" localSheetId="24">#REF!</definedName>
    <definedName name="LP_H1" localSheetId="21">#REF!</definedName>
    <definedName name="LP_H2" localSheetId="24">#REF!</definedName>
    <definedName name="LP_PR" localSheetId="24">#REF!</definedName>
    <definedName name="LPS" localSheetId="24">#REF!</definedName>
    <definedName name="m">#REF!</definedName>
    <definedName name="MAIN">#REF!</definedName>
    <definedName name="March">#REF!</definedName>
    <definedName name="mark">#REF!</definedName>
    <definedName name="May">#REF!</definedName>
    <definedName name="mgmt">#REF!</definedName>
    <definedName name="MGT_FEE">#REF!</definedName>
    <definedName name="MILLENNIUM">#REF!</definedName>
    <definedName name="MISCINC">#REF!</definedName>
    <definedName name="MISCINCDET">#REF!</definedName>
    <definedName name="MOINCNEW">#REF!</definedName>
    <definedName name="MOINCRENEW">#REF!</definedName>
    <definedName name="MOINCTOT">#REF!</definedName>
    <definedName name="Mon_in_Number">#REF!</definedName>
    <definedName name="Mon_in_Number1">#REF!</definedName>
    <definedName name="month">#REF!</definedName>
    <definedName name="MONTHLY">#REF!</definedName>
    <definedName name="MOVEOUT">#REF!</definedName>
    <definedName name="n">#REF!</definedName>
    <definedName name="NASH">#REF!</definedName>
    <definedName name="nbgh">#REF!</definedName>
    <definedName name="nbiam">#REF!</definedName>
    <definedName name="New" localSheetId="16">#REF!</definedName>
    <definedName name="new" localSheetId="1" hidden="1">#REF!</definedName>
    <definedName name="new" hidden="1">#REF!</definedName>
    <definedName name="newhtml" localSheetId="16" hidden="1">{"'Assump'!$F$6:$J$6"}</definedName>
    <definedName name="newhtml" localSheetId="14" hidden="1">{"'Assump'!$F$6:$J$6"}</definedName>
    <definedName name="newhtml" localSheetId="15" hidden="1">{"'Assump'!$F$6:$J$6"}</definedName>
    <definedName name="newhtml" localSheetId="24" hidden="1">{"'Assump'!$F$6:$J$6"}</definedName>
    <definedName name="newhtml" hidden="1">{"'Assump'!$F$6:$J$6"}</definedName>
    <definedName name="NEWLEASE">#REF!</definedName>
    <definedName name="NOTE">#REF!</definedName>
    <definedName name="November">#REF!</definedName>
    <definedName name="NRA" localSheetId="16">#REF!</definedName>
    <definedName name="NRA">#REF!</definedName>
    <definedName name="Num_Pmt_Per_Year">#REF!</definedName>
    <definedName name="Number_of_Payments" localSheetId="16">MATCH(0.01,End_Bal,-1)+1</definedName>
    <definedName name="Number_of_Payments" localSheetId="24">MATCH(0.01,End_Bal,-1)+1</definedName>
    <definedName name="Number_of_Payments" localSheetId="22">MATCH(0.01,End_Bal,-1)+1</definedName>
    <definedName name="Number_of_Payments" localSheetId="23">MATCH(0.01,End_Bal,-1)+1</definedName>
    <definedName name="Number_of_Payments" localSheetId="21">MATCH(0.01,End_Bal,-1)+1</definedName>
    <definedName name="Number_of_Payments" localSheetId="1">MATCH(0.01,[0]!End_Bal,-1)+1</definedName>
    <definedName name="Number_of_Payments">MATCH(0.01,End_Bal,-1)+1</definedName>
    <definedName name="NumMonths">#REF!</definedName>
    <definedName name="nyny" localSheetId="16" hidden="1">{#N/A,#N/A,FALSE,"Income Stmt";#N/A,#N/A,FALSE,"Income Summary"}</definedName>
    <definedName name="nyny" localSheetId="1" hidden="1">{#N/A,#N/A,FALSE,"Income Stmt";#N/A,#N/A,FALSE,"Income Summary"}</definedName>
    <definedName name="nyny" hidden="1">{#N/A,#N/A,FALSE,"Income Stmt";#N/A,#N/A,FALSE,"Income Summary"}</definedName>
    <definedName name="OCCSQFT">#REF!</definedName>
    <definedName name="October">#REF!</definedName>
    <definedName name="oeirent">#REF!</definedName>
    <definedName name="oeirent2">#REF!</definedName>
    <definedName name="oldhtl" localSheetId="16" hidden="1">{"'Assump'!$F$6:$J$6"}</definedName>
    <definedName name="oldhtl" localSheetId="14" hidden="1">{"'Assump'!$F$6:$J$6"}</definedName>
    <definedName name="oldhtl" localSheetId="15" hidden="1">{"'Assump'!$F$6:$J$6"}</definedName>
    <definedName name="oldhtl" localSheetId="24" hidden="1">{"'Assump'!$F$6:$J$6"}</definedName>
    <definedName name="oldhtl" hidden="1">{"'Assump'!$F$6:$J$6"}</definedName>
    <definedName name="OLYMPIC.INT">#REF!</definedName>
    <definedName name="ONE">#REF!</definedName>
    <definedName name="OpEx_1_Det">#REF!</definedName>
    <definedName name="OpEx_2_Det">#REF!</definedName>
    <definedName name="OpEx_3_Det">#REF!</definedName>
    <definedName name="OpEx_4_Det">#REF!</definedName>
    <definedName name="OpEx_5">#REF!</definedName>
    <definedName name="OpEx_5_Det">#REF!</definedName>
    <definedName name="OpEx_6_Det">#REF!</definedName>
    <definedName name="OpEx_7_Det">#REF!</definedName>
    <definedName name="OpEx_Ins_Det">#REF!</definedName>
    <definedName name="OpEx_MgtFee">#REF!</definedName>
    <definedName name="OpEx_MgtFee_Det">#REF!</definedName>
    <definedName name="OpEx_Tax_Det">#REF!</definedName>
    <definedName name="OpEx_Underwriting_Type">#REF!</definedName>
    <definedName name="OPEXP">#REF!</definedName>
    <definedName name="OPEXP2">#REF!</definedName>
    <definedName name="OPTIMUM">#REF!</definedName>
    <definedName name="P_SALES_COMP">#REF!</definedName>
    <definedName name="Package" localSheetId="16" hidden="1">{#N/A,#N/A,FALSE,"Cover Page";#N/A,#N/A,FALSE,"Table of Contents";#N/A,#N/A,FALSE,"Executive Summary";#N/A,#N/A,FALSE,"Investment-Acquisition Costs";#N/A,#N/A,FALSE,"Financing Assumptions";#N/A,#N/A,FALSE,"Rent Roll";#N/A,#N/A,FALSE,"Taxes and Assessments"}</definedName>
    <definedName name="Package" localSheetId="14" hidden="1">{#N/A,#N/A,FALSE,"Cover Page";#N/A,#N/A,FALSE,"Table of Contents";#N/A,#N/A,FALSE,"Executive Summary";#N/A,#N/A,FALSE,"Investment-Acquisition Costs";#N/A,#N/A,FALSE,"Financing Assumptions";#N/A,#N/A,FALSE,"Rent Roll";#N/A,#N/A,FALSE,"Taxes and Assessments"}</definedName>
    <definedName name="Package" localSheetId="15" hidden="1">{#N/A,#N/A,FALSE,"Cover Page";#N/A,#N/A,FALSE,"Table of Contents";#N/A,#N/A,FALSE,"Executive Summary";#N/A,#N/A,FALSE,"Investment-Acquisition Costs";#N/A,#N/A,FALSE,"Financing Assumptions";#N/A,#N/A,FALSE,"Rent Roll";#N/A,#N/A,FALSE,"Taxes and Assessments"}</definedName>
    <definedName name="Package" localSheetId="24" hidden="1">{#N/A,#N/A,FALSE,"Cover Page";#N/A,#N/A,FALSE,"Table of Contents";#N/A,#N/A,FALSE,"Executive Summary";#N/A,#N/A,FALSE,"Investment-Acquisition Costs";#N/A,#N/A,FALSE,"Financing Assumptions";#N/A,#N/A,FALSE,"Rent Roll";#N/A,#N/A,FALSE,"Taxes and Assessments"}</definedName>
    <definedName name="Package" hidden="1">{#N/A,#N/A,FALSE,"Cover Page";#N/A,#N/A,FALSE,"Table of Contents";#N/A,#N/A,FALSE,"Executive Summary";#N/A,#N/A,FALSE,"Investment-Acquisition Costs";#N/A,#N/A,FALSE,"Financing Assumptions";#N/A,#N/A,FALSE,"Rent Roll";#N/A,#N/A,FALSE,"Taxes and Assessments"}</definedName>
    <definedName name="page1">#REF!</definedName>
    <definedName name="PAGE2">#REF!</definedName>
    <definedName name="PAGE3">#REF!</definedName>
    <definedName name="PAGE4">#REF!</definedName>
    <definedName name="PARK">#REF!</definedName>
    <definedName name="PARKDET">#REF!</definedName>
    <definedName name="PARKING">#REF!</definedName>
    <definedName name="Parking_Structured">#REF!</definedName>
    <definedName name="Parking_Total">#REF!</definedName>
    <definedName name="Pay_Num">#REF!</definedName>
    <definedName name="Payment_Date" localSheetId="16">DATE(YEAR(Loan_Start),MONTH(Loan_Start)+Payment_Number,DAY(Loan_Start))</definedName>
    <definedName name="Payment_Date" localSheetId="24">DATE(YEAR(Loan_Start),MONTH(Loan_Start)+Payment_Number,DAY(Loan_Start))</definedName>
    <definedName name="Payment_Date" localSheetId="22">DATE(YEAR(Loan_Start),MONTH(Loan_Start)+Payment_Number,DAY(Loan_Start))</definedName>
    <definedName name="Payment_Date" localSheetId="23">DATE(YEAR(Loan_Start),MONTH(Loan_Start)+Payment_Number,DAY(Loan_Start))</definedName>
    <definedName name="Payment_Date" localSheetId="21">DATE(YEAR(Loan_Start),MONTH(Loan_Start)+Payment_Number,DAY(Loan_Start))</definedName>
    <definedName name="Payment_Date" localSheetId="1">DATE(YEAR([0]!Loan_Start),MONTH([0]!Loan_Start)+Payment_Number,DAY([0]!Loan_Start))</definedName>
    <definedName name="Payment_Date">DATE(YEAR(Loan_Start),MONTH(Loan_Start)+Payment_Number,DAY(Loan_Start))</definedName>
    <definedName name="Payment_Dates" localSheetId="1">DATE(YEAR([0]!Loan_Start),MONTH([0]!Loan_Start)+Payment_Number,DAY([0]!Loan_Start))</definedName>
    <definedName name="Payment_Dates">DATE(YEAR(Loan_Start),MONTH(Loan_Start)+Payment_Number,DAY(Loan_Start))</definedName>
    <definedName name="payment.Num">IF(OR(#REF!="",#REF!=Total_payments),"",#REF!+1)</definedName>
    <definedName name="Payments_per_year" localSheetId="24">#REF!</definedName>
    <definedName name="Payments_per_year">#REF!</definedName>
    <definedName name="PaymentsAnchor" localSheetId="24">#REF!</definedName>
    <definedName name="Pebble">#REF!</definedName>
    <definedName name="PerEnding">#REF!</definedName>
    <definedName name="Period">#REF!</definedName>
    <definedName name="Periodic_rate">Annual_interest_rate/Payments_per_year</definedName>
    <definedName name="PHII2">#REF!</definedName>
    <definedName name="PID">#REF!</definedName>
    <definedName name="PKG_LOT">#REF!</definedName>
    <definedName name="Pmt_to_use">#REF!</definedName>
    <definedName name="PR" localSheetId="24">#REF!</definedName>
    <definedName name="PR" localSheetId="21">#REF!</definedName>
    <definedName name="PREWO">#REF!</definedName>
    <definedName name="Princ">#REF!</definedName>
    <definedName name="Principal">IF(#REF!&lt;&gt;"",MIN(#REF!,Pmt_to_use-#REF!),"")</definedName>
    <definedName name="PRINT">#REF!</definedName>
    <definedName name="_xlnm.Print_Area" localSheetId="20">'Acquisition Costs'!$B$85:$M$116</definedName>
    <definedName name="_xlnm.Print_Area" localSheetId="3">Assumptions!$B$2:$R$80</definedName>
    <definedName name="_xlnm.Print_Area" localSheetId="15">'Chapman Rent Roll'!$A$1:$M$41</definedName>
    <definedName name="_xlnm.Print_Area" localSheetId="2">Charts!$A$1:$M$62</definedName>
    <definedName name="_xlnm.Print_Area" localSheetId="0">Disclaimer!$B$1:$B$7</definedName>
    <definedName name="_xlnm.Print_Area" localSheetId="4">'Monthly Cash Flow'!$B$10:$CE$200</definedName>
    <definedName name="_xlnm.Print_Area" localSheetId="13">Waterfall!$B$2:$EE$18</definedName>
    <definedName name="_xlnm.Print_Area">#REF!</definedName>
    <definedName name="PRINT_AREA_MI">#REF!</definedName>
    <definedName name="Print_Area_Reset" localSheetId="16">OFFSET(Full_Print,0,0,Last_Row)</definedName>
    <definedName name="Print_Area_Reset" localSheetId="24">OFFSET(Full_Print,0,0,[0]!Last_Row)</definedName>
    <definedName name="Print_Area_Reset" localSheetId="21">OFFSET(Full_Print,0,0,Last_Row)</definedName>
    <definedName name="Print_Area_Reset" localSheetId="1">OFFSET([0]!Full_Print,0,0,[0]!Last_Row)</definedName>
    <definedName name="Print_Area_Reset">OFFSET(Full_Print,0,0,Last_Row)</definedName>
    <definedName name="Print_Area1">#REF!</definedName>
    <definedName name="Print_Area2">#REF!</definedName>
    <definedName name="PRINT_B" localSheetId="24">#REF!</definedName>
    <definedName name="PRINT_TITLE_MD">#REF!</definedName>
    <definedName name="_xlnm.Print_Titles" localSheetId="8">'2020'!$2:$6</definedName>
    <definedName name="_xlnm.Print_Titles" localSheetId="7">'2021'!$2:$6</definedName>
    <definedName name="_xlnm.Print_Titles" localSheetId="20">'Acquisition Costs'!$1:$6</definedName>
    <definedName name="_xlnm.Print_Titles" localSheetId="5">Historicals!$28:$32</definedName>
    <definedName name="_xlnm.Print_Titles">#REF!</definedName>
    <definedName name="Print_Titles_MI">#REF!</definedName>
    <definedName name="PRINT2">#REF!</definedName>
    <definedName name="PRINT97">#REF!</definedName>
    <definedName name="PrintFormat" hidden="1">#REF!</definedName>
    <definedName name="Project_Cost_Total">#REF!</definedName>
    <definedName name="ProjectName">{"Client Name or Project Name"}</definedName>
    <definedName name="PROPERTY">#REF!</definedName>
    <definedName name="PropName">#REF!</definedName>
    <definedName name="propname1">#REF!</definedName>
    <definedName name="question">#REF!</definedName>
    <definedName name="R_">#REF!</definedName>
    <definedName name="Range_Debt">OFFSET(#REF!,0,0,1,Timing_Reversion_Month+1)</definedName>
    <definedName name="Range_Equity">OFFSET(#REF!,0,0,1,Timing_Reversion_Month+1)</definedName>
    <definedName name="Range_Levered_CF">OFFSET(#REF!,0,0,1,Timing_Reversion_Month+1)</definedName>
    <definedName name="Range_Months">OFFSET(#REF!,0,0,1,Timing_Reversion_Month+1)</definedName>
    <definedName name="Range_NOI">OFFSET(#REF!,0,0,1,Timing_Reversion_Month+1)</definedName>
    <definedName name="Range_Total_Cost">OFFSET(#REF!,0,0,1,Timing_Reversion_Month+1)</definedName>
    <definedName name="Rangelist">#REF!</definedName>
    <definedName name="RE">#REF!</definedName>
    <definedName name="Reclasses">#REF!</definedName>
    <definedName name="RECON.">IF(Loan_Amount*Interest_Rate*Loan_Years*Loan_Start&gt;0,1,0)</definedName>
    <definedName name="Redecorating">#REF!</definedName>
    <definedName name="REFURBDET">#REF!</definedName>
    <definedName name="RENEWSF">#REF!</definedName>
    <definedName name="RENTINC">#REF!</definedName>
    <definedName name="Retail_Income_Include?">#REF!</definedName>
    <definedName name="Roof" localSheetId="16" hidden="1">{"Roofs Page 1",#N/A,FALSE,"Roof Outline";"Roofs Page 2",#N/A,FALSE,"Roof Outline"}</definedName>
    <definedName name="Roof" localSheetId="14" hidden="1">{"Roofs Page 1",#N/A,FALSE,"Roof Outline";"Roofs Page 2",#N/A,FALSE,"Roof Outline"}</definedName>
    <definedName name="Roof" localSheetId="15" hidden="1">{"Roofs Page 1",#N/A,FALSE,"Roof Outline";"Roofs Page 2",#N/A,FALSE,"Roof Outline"}</definedName>
    <definedName name="Roof" localSheetId="24" hidden="1">{"Roofs Page 1",#N/A,FALSE,"Roof Outline";"Roofs Page 2",#N/A,FALSE,"Roof Outline"}</definedName>
    <definedName name="Roof" hidden="1">{"Roofs Page 1",#N/A,FALSE,"Roof Outline";"Roofs Page 2",#N/A,FALSE,"Roof Outline"}</definedName>
    <definedName name="RR">#REF!</definedName>
    <definedName name="rrLast" localSheetId="24">ROW()-ROW(rrFirstRow)-1</definedName>
    <definedName name="RROccupiedLosstoleasedollars" localSheetId="24">#REF!</definedName>
    <definedName name="rttt" localSheetId="16" hidden="1">{"page1",#N/A,FALSE,"CTT_CLO";"page2",#N/A,FALSE,"CTT_CLO"}</definedName>
    <definedName name="rttt" localSheetId="1" hidden="1">{"page1",#N/A,FALSE,"CTT_CLO";"page2",#N/A,FALSE,"CTT_CLO"}</definedName>
    <definedName name="rttt" hidden="1">{"page1",#N/A,FALSE,"CTT_CLO";"page2",#N/A,FALSE,"CTT_CLO"}</definedName>
    <definedName name="sadsadsa" localSheetId="16" hidden="1">{"'Assump'!$F$6:$J$6"}</definedName>
    <definedName name="sadsadsa" localSheetId="14" hidden="1">{"'Assump'!$F$6:$J$6"}</definedName>
    <definedName name="sadsadsa" localSheetId="15" hidden="1">{"'Assump'!$F$6:$J$6"}</definedName>
    <definedName name="sadsadsa" localSheetId="24" hidden="1">{"'Assump'!$F$6:$J$6"}</definedName>
    <definedName name="sadsadsa" hidden="1">{"'Assump'!$F$6:$J$6"}</definedName>
    <definedName name="Sale_Date">#REF!</definedName>
    <definedName name="Sale_Mo" localSheetId="1">#REF!</definedName>
    <definedName name="Sale_Mo">#REF!</definedName>
    <definedName name="Sales" localSheetId="16" hidden="1">{#N/A,#N/A,FALSE,"Cover Page";#N/A,#N/A,FALSE,"Table of Contents";#N/A,#N/A,FALSE,"Investment-Acquisition Costs";#N/A,#N/A,FALSE,"Financing Assumptions";#N/A,#N/A,FALSE,"Proforma Assumptions";#N/A,#N/A,FALSE,"Rent Roll";#N/A,#N/A,FALSE,"Taxes and Assessments"}</definedName>
    <definedName name="Sales" localSheetId="14" hidden="1">{#N/A,#N/A,FALSE,"Cover Page";#N/A,#N/A,FALSE,"Table of Contents";#N/A,#N/A,FALSE,"Investment-Acquisition Costs";#N/A,#N/A,FALSE,"Financing Assumptions";#N/A,#N/A,FALSE,"Proforma Assumptions";#N/A,#N/A,FALSE,"Rent Roll";#N/A,#N/A,FALSE,"Taxes and Assessments"}</definedName>
    <definedName name="Sales" localSheetId="15" hidden="1">{#N/A,#N/A,FALSE,"Cover Page";#N/A,#N/A,FALSE,"Table of Contents";#N/A,#N/A,FALSE,"Investment-Acquisition Costs";#N/A,#N/A,FALSE,"Financing Assumptions";#N/A,#N/A,FALSE,"Proforma Assumptions";#N/A,#N/A,FALSE,"Rent Roll";#N/A,#N/A,FALSE,"Taxes and Assessments"}</definedName>
    <definedName name="Sales" localSheetId="24" hidden="1">{#N/A,#N/A,FALSE,"Cover Page";#N/A,#N/A,FALSE,"Table of Contents";#N/A,#N/A,FALSE,"Investment-Acquisition Costs";#N/A,#N/A,FALSE,"Financing Assumptions";#N/A,#N/A,FALSE,"Proforma Assumptions";#N/A,#N/A,FALSE,"Rent Roll";#N/A,#N/A,FALSE,"Taxes and Assessments"}</definedName>
    <definedName name="Sales" hidden="1">{#N/A,#N/A,FALSE,"Cover Page";#N/A,#N/A,FALSE,"Table of Contents";#N/A,#N/A,FALSE,"Investment-Acquisition Costs";#N/A,#N/A,FALSE,"Financing Assumptions";#N/A,#N/A,FALSE,"Proforma Assumptions";#N/A,#N/A,FALSE,"Rent Roll";#N/A,#N/A,FALSE,"Taxes and Assessments"}</definedName>
    <definedName name="Sample1">#REF!</definedName>
    <definedName name="SC">#REF!</definedName>
    <definedName name="Sched_Pay">#REF!</definedName>
    <definedName name="Scheduled_Extra_Payments">#REF!</definedName>
    <definedName name="Scheduled_Monthly_Payment">#REF!</definedName>
    <definedName name="Scurve_Dist">#REF!</definedName>
    <definedName name="sdcds" localSheetId="16" hidden="1">{"'Assump'!$F$6:$J$6"}</definedName>
    <definedName name="sdcds" localSheetId="14" hidden="1">{"'Assump'!$F$6:$J$6"}</definedName>
    <definedName name="sdcds" localSheetId="15" hidden="1">{"'Assump'!$F$6:$J$6"}</definedName>
    <definedName name="sdcds" localSheetId="24" hidden="1">{"'Assump'!$F$6:$J$6"}</definedName>
    <definedName name="sdcds" hidden="1">{"'Assump'!$F$6:$J$6"}</definedName>
    <definedName name="sencount" hidden="1">2</definedName>
    <definedName name="September">#REF!</definedName>
    <definedName name="SF">#REF!</definedName>
    <definedName name="SFR" localSheetId="24">#REF!/SFT</definedName>
    <definedName name="SHERIDAN">#REF!</definedName>
    <definedName name="Show_Calc?">#REF!</definedName>
    <definedName name="Show.Date">IF(#REF!&lt;&gt;"",DATE(YEAR(First_payment_due),MONTH(First_payment_due)+(#REF!-1)*12/Payments_per_year,DAY(First_payment_due)),"")</definedName>
    <definedName name="SQ_FT">#REF!</definedName>
    <definedName name="SQ.FT.">#REF!</definedName>
    <definedName name="Stabilization_1st_Month">#REF!</definedName>
    <definedName name="State">#REF!</definedName>
    <definedName name="Stlinerent">#REF!</definedName>
    <definedName name="STORAGE">#REF!</definedName>
    <definedName name="SUMMARY">#REF!</definedName>
    <definedName name="SUP_FEE">#REF!</definedName>
    <definedName name="Table_beg_bal">#REF!</definedName>
    <definedName name="Table_prior_interest">#REF!</definedName>
    <definedName name="Table_start_date">#REF!</definedName>
    <definedName name="Table_start_pmt">#REF!</definedName>
    <definedName name="TAX">#REF!</definedName>
    <definedName name="tax_expense">#REF!</definedName>
    <definedName name="Taxes">#REF!</definedName>
    <definedName name="taxes2">#REF!</definedName>
    <definedName name="taxrent">#REF!</definedName>
    <definedName name="taxrent2">#REF!</definedName>
    <definedName name="TEMP">#REF!</definedName>
    <definedName name="TEMPP">#REF!</definedName>
    <definedName name="TENANT">#REF!</definedName>
    <definedName name="Term_in_years">#REF!</definedName>
    <definedName name="test">#REF!</definedName>
    <definedName name="TI">#REF!</definedName>
    <definedName name="TILC" localSheetId="24">COLUMN()-COL1STYR</definedName>
    <definedName name="TIME_PERIOD" localSheetId="24">#REF!</definedName>
    <definedName name="Timing_Analysis_End_Month">#REF!</definedName>
    <definedName name="Timing_Construction_End">#REF!</definedName>
    <definedName name="Timing_Growth_Begin_Expenses">#REF!</definedName>
    <definedName name="Timing_Growth_Begin_Income">#REF!</definedName>
    <definedName name="Timing_Operation_Begin_Month">#REF!</definedName>
    <definedName name="Timing_Reversion_Month">#REF!</definedName>
    <definedName name="Total_Pay">#REF!</definedName>
    <definedName name="Total_Payment" localSheetId="1">Scheduled_Payment+Extra_Payment</definedName>
    <definedName name="Total_Payment">Scheduled_Payment+Extra_Payment</definedName>
    <definedName name="Total_payments">Payments_per_year*Term_in_years</definedName>
    <definedName name="TOTMGMT">#REF!</definedName>
    <definedName name="TotRent">#REF!</definedName>
    <definedName name="tree" localSheetId="16" hidden="1">{"taxes",#N/A,FALSE,"CTT_CLO"}</definedName>
    <definedName name="tree" localSheetId="1" hidden="1">{"taxes",#N/A,FALSE,"CTT_CLO"}</definedName>
    <definedName name="tree" hidden="1">{"taxes",#N/A,FALSE,"CTT_CLO"}</definedName>
    <definedName name="TREND">#REF!</definedName>
    <definedName name="TREND2">#REF!</definedName>
    <definedName name="trtg" localSheetId="16" hidden="1">{#N/A,#N/A,FALSE,"Income Stmt";#N/A,#N/A,FALSE,"Income Summary"}</definedName>
    <definedName name="trtg" localSheetId="1" hidden="1">{#N/A,#N/A,FALSE,"Income Stmt";#N/A,#N/A,FALSE,"Income Summary"}</definedName>
    <definedName name="trtg" hidden="1">{#N/A,#N/A,FALSE,"Income Stmt";#N/A,#N/A,FALSE,"Income Summary"}</definedName>
    <definedName name="two">#REF!</definedName>
    <definedName name="u">#REF!</definedName>
    <definedName name="Unit_Type">#REF!</definedName>
    <definedName name="Units">#REF!</definedName>
    <definedName name="Units_Retail">#REF!</definedName>
    <definedName name="Units_SF_M2">#REF!</definedName>
    <definedName name="ut">#REF!</definedName>
    <definedName name="Valuation_Reversion">#REF!</definedName>
    <definedName name="Valuation_Trended">#REF!</definedName>
    <definedName name="Valuation_Untrended">#REF!</definedName>
    <definedName name="VALUE">#REF!</definedName>
    <definedName name="Values_Entered" localSheetId="16">IF(Loan_Amount*Interest_Rate*Loan_Years*Loan_Start&gt;0,1,0)</definedName>
    <definedName name="Values_Entered" localSheetId="24">IF(Loan_Amount*[0]!Interest_Rate*Loan_Years*Loan_Start&gt;0,1,0)</definedName>
    <definedName name="Values_Entered" localSheetId="22">IF(Loan_Amount*Interest_Rate*Loan_Years*Loan_Start&gt;0,1,0)</definedName>
    <definedName name="Values_Entered" localSheetId="23">IF(Loan_Amount*Interest_Rate*Loan_Years*Loan_Start&gt;0,1,0)</definedName>
    <definedName name="Values_Entered" localSheetId="21">IF(Loan_Amount*Interest_Rate*Loan_Years*Loan_Start&gt;0,1,0)</definedName>
    <definedName name="Values_Entered" localSheetId="1">IF([0]!Loan_Amount*[0]!Interest_Rate*[0]!Loan_Years*[0]!Loan_Start&gt;0,1,0)</definedName>
    <definedName name="Values_Entered">IF(Loan_Amount*Interest_Rate*Loan_Years*Loan_Start&gt;0,1,0)</definedName>
    <definedName name="variance">#REF!</definedName>
    <definedName name="WAGES">#REF!</definedName>
    <definedName name="watt">#REF!</definedName>
    <definedName name="were" localSheetId="16" hidden="1">{"scheduleF",#N/A,FALSE,"CTT_CLO"}</definedName>
    <definedName name="were" localSheetId="1" hidden="1">{"scheduleF",#N/A,FALSE,"CTT_CLO"}</definedName>
    <definedName name="were" hidden="1">{"scheduleF",#N/A,FALSE,"CTT_CLO"}</definedName>
    <definedName name="wety" localSheetId="16" hidden="1">{"schedules",#N/A,FALSE,"CTT_CLO";"scheduleA",#N/A,FALSE,"CTT_CLO";"scheduleB",#N/A,FALSE,"CTT_CLO";"scheduleCD",#N/A,FALSE,"CTT_CLO";"scheduleEF",#N/A,FALSE,"CTT_CLO"}</definedName>
    <definedName name="wety" localSheetId="1" hidden="1">{"schedules",#N/A,FALSE,"CTT_CLO";"scheduleA",#N/A,FALSE,"CTT_CLO";"scheduleB",#N/A,FALSE,"CTT_CLO";"scheduleCD",#N/A,FALSE,"CTT_CLO";"scheduleEF",#N/A,FALSE,"CTT_CLO"}</definedName>
    <definedName name="wety" hidden="1">{"schedules",#N/A,FALSE,"CTT_CLO";"scheduleA",#N/A,FALSE,"CTT_CLO";"scheduleB",#N/A,FALSE,"CTT_CLO";"scheduleCD",#N/A,FALSE,"CTT_CLO";"scheduleEF",#N/A,FALSE,"CTT_CLO"}</definedName>
    <definedName name="Worksheet">#REF!</definedName>
    <definedName name="wrew" localSheetId="16" hidden="1">{"scheduleEF",#N/A,FALSE,"CTT_CLO"}</definedName>
    <definedName name="wrew" localSheetId="1" hidden="1">{"scheduleEF",#N/A,FALSE,"CTT_CLO"}</definedName>
    <definedName name="wrew" hidden="1">{"scheduleEF",#N/A,FALSE,"CTT_CLO"}</definedName>
    <definedName name="wrn.3._.Year._.Summary." localSheetId="16" hidden="1">{#N/A,#N/A,FALSE,"3-Year Summary"}</definedName>
    <definedName name="wrn.3._.Year._.Summary." localSheetId="14" hidden="1">{#N/A,#N/A,FALSE,"3-Year Summary"}</definedName>
    <definedName name="wrn.3._.Year._.Summary." localSheetId="15" hidden="1">{#N/A,#N/A,FALSE,"3-Year Summary"}</definedName>
    <definedName name="wrn.3._.Year._.Summary." localSheetId="24" hidden="1">{#N/A,#N/A,FALSE,"3-Year Summary"}</definedName>
    <definedName name="wrn.3._.Year._.Summary." hidden="1">{#N/A,#N/A,FALSE,"3-Year Summary"}</definedName>
    <definedName name="wrn.617" localSheetId="16" hidden="1">{#N/A,#N/A,FALSE,"Income Stmt";#N/A,#N/A,FALSE,"Income Summary"}</definedName>
    <definedName name="wrn.617" localSheetId="1" hidden="1">{#N/A,#N/A,FALSE,"Income Stmt";#N/A,#N/A,FALSE,"Income Summary"}</definedName>
    <definedName name="wrn.617" hidden="1">{#N/A,#N/A,FALSE,"Income Stmt";#N/A,#N/A,FALSE,"Income Summary"}</definedName>
    <definedName name="wrn.AFI._.QUARTERLY._.REPORT." localSheetId="16" hidden="1">{#N/A,#N/A,TRUE,"TITLE";#N/A,#N/A,TRUE,"SCH 1";#N/A,#N/A,TRUE,"SCH 2";#N/A,#N/A,TRUE,"SCH 3";#N/A,#N/A,TRUE,"SCH3(A)"}</definedName>
    <definedName name="wrn.AFI._.QUARTERLY._.REPORT." localSheetId="1" hidden="1">{#N/A,#N/A,TRUE,"TITLE";#N/A,#N/A,TRUE,"SCH 1";#N/A,#N/A,TRUE,"SCH 2";#N/A,#N/A,TRUE,"SCH 3";#N/A,#N/A,TRUE,"SCH3(A)"}</definedName>
    <definedName name="wrn.AFI._.QUARTERLY._.REPORT." hidden="1">{#N/A,#N/A,TRUE,"TITLE";#N/A,#N/A,TRUE,"SCH 1";#N/A,#N/A,TRUE,"SCH 2";#N/A,#N/A,TRUE,"SCH 3";#N/A,#N/A,TRUE,"SCH3(A)"}</definedName>
    <definedName name="wrn.All_Reports." localSheetId="16" hidden="1">{"Summary",#N/A,TRUE,"Summary";"CashFlow",#N/A,TRUE,"Reports";"FinanceSummary",#N/A,TRUE,"Reports";"ProjectEquity",#N/A,TRUE,"Reports";"CalLandEquity",#N/A,TRUE,"Reports";"NTFCEquity",#N/A,TRUE,"Reports";"Fees1",#N/A,TRUE,"Reports";"Fees2",#N/A,TRUE,"Reports";"Inputs",#N/A,TRUE,"Inputs";"Loan_Assumptions",#N/A,TRUE,"A&amp;D Loan";"Loan_Results",#N/A,TRUE,"A&amp;D Loan";"Carryback",#N/A,TRUE,"CarryBack"}</definedName>
    <definedName name="wrn.All_Reports." localSheetId="14" hidden="1">{"Summary",#N/A,TRUE,"Summary";"CashFlow",#N/A,TRUE,"Reports";"FinanceSummary",#N/A,TRUE,"Reports";"ProjectEquity",#N/A,TRUE,"Reports";"CalLandEquity",#N/A,TRUE,"Reports";"NTFCEquity",#N/A,TRUE,"Reports";"Fees1",#N/A,TRUE,"Reports";"Fees2",#N/A,TRUE,"Reports";"Inputs",#N/A,TRUE,"Inputs";"Loan_Assumptions",#N/A,TRUE,"A&amp;D Loan";"Loan_Results",#N/A,TRUE,"A&amp;D Loan";"Carryback",#N/A,TRUE,"CarryBack"}</definedName>
    <definedName name="wrn.All_Reports." localSheetId="15" hidden="1">{"Summary",#N/A,TRUE,"Summary";"CashFlow",#N/A,TRUE,"Reports";"FinanceSummary",#N/A,TRUE,"Reports";"ProjectEquity",#N/A,TRUE,"Reports";"CalLandEquity",#N/A,TRUE,"Reports";"NTFCEquity",#N/A,TRUE,"Reports";"Fees1",#N/A,TRUE,"Reports";"Fees2",#N/A,TRUE,"Reports";"Inputs",#N/A,TRUE,"Inputs";"Loan_Assumptions",#N/A,TRUE,"A&amp;D Loan";"Loan_Results",#N/A,TRUE,"A&amp;D Loan";"Carryback",#N/A,TRUE,"CarryBack"}</definedName>
    <definedName name="wrn.All_Reports." localSheetId="24" hidden="1">{"Summary",#N/A,TRUE,"Summary";"CashFlow",#N/A,TRUE,"Reports";"FinanceSummary",#N/A,TRUE,"Reports";"ProjectEquity",#N/A,TRUE,"Reports";"CalLandEquity",#N/A,TRUE,"Reports";"NTFCEquity",#N/A,TRUE,"Reports";"Fees1",#N/A,TRUE,"Reports";"Fees2",#N/A,TRUE,"Reports";"Inputs",#N/A,TRUE,"Inputs";"Loan_Assumptions",#N/A,TRUE,"A&amp;D Loan";"Loan_Results",#N/A,TRUE,"A&amp;D Loan";"Carryback",#N/A,TRUE,"CarryBack"}</definedName>
    <definedName name="wrn.All_Reports." hidden="1">{"Summary",#N/A,TRUE,"Summary";"CashFlow",#N/A,TRUE,"Reports";"FinanceSummary",#N/A,TRUE,"Reports";"ProjectEquity",#N/A,TRUE,"Reports";"CalLandEquity",#N/A,TRUE,"Reports";"NTFCEquity",#N/A,TRUE,"Reports";"Fees1",#N/A,TRUE,"Reports";"Fees2",#N/A,TRUE,"Reports";"Inputs",#N/A,TRUE,"Inputs";"Loan_Assumptions",#N/A,TRUE,"A&amp;D Loan";"Loan_Results",#N/A,TRUE,"A&amp;D Loan";"Carryback",#N/A,TRUE,"CarryBack"}</definedName>
    <definedName name="wrn.all." localSheetId="16" hidden="1">{#N/A,#N/A,FALSE,"COVER";#N/A,#N/A,FALSE,"TABLE OF CONTENTS";#N/A,#N/A,FALSE,"EXEC SUMM";#N/A,#N/A,FALSE,"SURVEY ";#N/A,#N/A,FALSE,"PROSPECT";#N/A,#N/A,FALSE,"NEW,EXPANSION,RENEWAL,RELET";#N/A,#N/A,FALSE,"EXPIRED,DEFAULTED";#N/A,#N/A,FALSE,"SIGNED LEASES";#N/A,#N/A,FALSE,"LOST TRANSACTIONS ";#N/A,#N/A,FALSE,"STACKING PLAN";#N/A,#N/A,FALSE,"EXPIRATIONS";#N/A,#N/A,FALSE,"OPTIONS";#N/A,#N/A,FALSE,"SUBLEASE";#N/A,#N/A,FALSE,"AR ANALYSIS";#N/A,#N/A,FALSE,"titles"}</definedName>
    <definedName name="wrn.all." localSheetId="14" hidden="1">{#N/A,#N/A,FALSE,"COVER";#N/A,#N/A,FALSE,"TABLE OF CONTENTS";#N/A,#N/A,FALSE,"EXEC SUMM";#N/A,#N/A,FALSE,"SURVEY ";#N/A,#N/A,FALSE,"PROSPECT";#N/A,#N/A,FALSE,"NEW,EXPANSION,RENEWAL,RELET";#N/A,#N/A,FALSE,"EXPIRED,DEFAULTED";#N/A,#N/A,FALSE,"SIGNED LEASES";#N/A,#N/A,FALSE,"LOST TRANSACTIONS ";#N/A,#N/A,FALSE,"STACKING PLAN";#N/A,#N/A,FALSE,"EXPIRATIONS";#N/A,#N/A,FALSE,"OPTIONS";#N/A,#N/A,FALSE,"SUBLEASE";#N/A,#N/A,FALSE,"AR ANALYSIS";#N/A,#N/A,FALSE,"titles"}</definedName>
    <definedName name="wrn.all." localSheetId="15" hidden="1">{#N/A,#N/A,FALSE,"COVER";#N/A,#N/A,FALSE,"TABLE OF CONTENTS";#N/A,#N/A,FALSE,"EXEC SUMM";#N/A,#N/A,FALSE,"SURVEY ";#N/A,#N/A,FALSE,"PROSPECT";#N/A,#N/A,FALSE,"NEW,EXPANSION,RENEWAL,RELET";#N/A,#N/A,FALSE,"EXPIRED,DEFAULTED";#N/A,#N/A,FALSE,"SIGNED LEASES";#N/A,#N/A,FALSE,"LOST TRANSACTIONS ";#N/A,#N/A,FALSE,"STACKING PLAN";#N/A,#N/A,FALSE,"EXPIRATIONS";#N/A,#N/A,FALSE,"OPTIONS";#N/A,#N/A,FALSE,"SUBLEASE";#N/A,#N/A,FALSE,"AR ANALYSIS";#N/A,#N/A,FALSE,"titles"}</definedName>
    <definedName name="wrn.all." localSheetId="24" hidden="1">{#N/A,#N/A,FALSE,"COVER";#N/A,#N/A,FALSE,"TABLE OF CONTENTS";#N/A,#N/A,FALSE,"EXEC SUMM";#N/A,#N/A,FALSE,"SURVEY ";#N/A,#N/A,FALSE,"PROSPECT";#N/A,#N/A,FALSE,"NEW,EXPANSION,RENEWAL,RELET";#N/A,#N/A,FALSE,"EXPIRED,DEFAULTED";#N/A,#N/A,FALSE,"SIGNED LEASES";#N/A,#N/A,FALSE,"LOST TRANSACTIONS ";#N/A,#N/A,FALSE,"STACKING PLAN";#N/A,#N/A,FALSE,"EXPIRATIONS";#N/A,#N/A,FALSE,"OPTIONS";#N/A,#N/A,FALSE,"SUBLEASE";#N/A,#N/A,FALSE,"AR ANALYSIS";#N/A,#N/A,FALSE,"titles"}</definedName>
    <definedName name="wrn.all." hidden="1">{#N/A,#N/A,FALSE,"COVER";#N/A,#N/A,FALSE,"TABLE OF CONTENTS";#N/A,#N/A,FALSE,"EXEC SUMM";#N/A,#N/A,FALSE,"SURVEY ";#N/A,#N/A,FALSE,"PROSPECT";#N/A,#N/A,FALSE,"NEW,EXPANSION,RENEWAL,RELET";#N/A,#N/A,FALSE,"EXPIRED,DEFAULTED";#N/A,#N/A,FALSE,"SIGNED LEASES";#N/A,#N/A,FALSE,"LOST TRANSACTIONS ";#N/A,#N/A,FALSE,"STACKING PLAN";#N/A,#N/A,FALSE,"EXPIRATIONS";#N/A,#N/A,FALSE,"OPTIONS";#N/A,#N/A,FALSE,"SUBLEASE";#N/A,#N/A,FALSE,"AR ANALYSIS";#N/A,#N/A,FALSE,"titles"}</definedName>
    <definedName name="wrn.All._.Budget._.Detail_Forecast." localSheetId="16" hidden="1">{"All Budget Detail-Forecast",#N/A,FALSE,"Forecast"}</definedName>
    <definedName name="wrn.All._.Budget._.Detail_Forecast." localSheetId="14" hidden="1">{"All Budget Detail-Forecast",#N/A,FALSE,"Forecast"}</definedName>
    <definedName name="wrn.All._.Budget._.Detail_Forecast." localSheetId="15" hidden="1">{"All Budget Detail-Forecast",#N/A,FALSE,"Forecast"}</definedName>
    <definedName name="wrn.All._.Budget._.Detail_Forecast." localSheetId="24" hidden="1">{"All Budget Detail-Forecast",#N/A,FALSE,"Forecast"}</definedName>
    <definedName name="wrn.All._.Budget._.Detail_Forecast." hidden="1">{"All Budget Detail-Forecast",#N/A,FALSE,"Forecast"}</definedName>
    <definedName name="wrn.All._.Budget._.Detail_Reit." localSheetId="16" hidden="1">{"All Budget Detail-Reit",#N/A,FALSE,"Forecast"}</definedName>
    <definedName name="wrn.All._.Budget._.Detail_Reit." localSheetId="14" hidden="1">{"All Budget Detail-Reit",#N/A,FALSE,"Forecast"}</definedName>
    <definedName name="wrn.All._.Budget._.Detail_Reit." localSheetId="15" hidden="1">{"All Budget Detail-Reit",#N/A,FALSE,"Forecast"}</definedName>
    <definedName name="wrn.All._.Budget._.Detail_Reit." localSheetId="24" hidden="1">{"All Budget Detail-Reit",#N/A,FALSE,"Forecast"}</definedName>
    <definedName name="wrn.All._.Budget._.Detail_Reit." hidden="1">{"All Budget Detail-Reit",#N/A,FALSE,"Forecast"}</definedName>
    <definedName name="wrn.All._.Non._.Recov._.Op._.Exp_Forecast." localSheetId="16" hidden="1">{"All Non-Recov. Op. Exp-Forecast",#N/A,FALSE,"Forecast"}</definedName>
    <definedName name="wrn.All._.Non._.Recov._.Op._.Exp_Forecast." localSheetId="14" hidden="1">{"All Non-Recov. Op. Exp-Forecast",#N/A,FALSE,"Forecast"}</definedName>
    <definedName name="wrn.All._.Non._.Recov._.Op._.Exp_Forecast." localSheetId="15" hidden="1">{"All Non-Recov. Op. Exp-Forecast",#N/A,FALSE,"Forecast"}</definedName>
    <definedName name="wrn.All._.Non._.Recov._.Op._.Exp_Forecast." localSheetId="24" hidden="1">{"All Non-Recov. Op. Exp-Forecast",#N/A,FALSE,"Forecast"}</definedName>
    <definedName name="wrn.All._.Non._.Recov._.Op._.Exp_Forecast." hidden="1">{"All Non-Recov. Op. Exp-Forecast",#N/A,FALSE,"Forecast"}</definedName>
    <definedName name="wrn.All._.Non._.Recov._.Op._.Exp_Reit." localSheetId="16" hidden="1">{"All Non-Recov. Op. Exp-Reit",#N/A,FALSE,"Forecast"}</definedName>
    <definedName name="wrn.All._.Non._.Recov._.Op._.Exp_Reit." localSheetId="14" hidden="1">{"All Non-Recov. Op. Exp-Reit",#N/A,FALSE,"Forecast"}</definedName>
    <definedName name="wrn.All._.Non._.Recov._.Op._.Exp_Reit." localSheetId="15" hidden="1">{"All Non-Recov. Op. Exp-Reit",#N/A,FALSE,"Forecast"}</definedName>
    <definedName name="wrn.All._.Non._.Recov._.Op._.Exp_Reit." localSheetId="24" hidden="1">{"All Non-Recov. Op. Exp-Reit",#N/A,FALSE,"Forecast"}</definedName>
    <definedName name="wrn.All._.Non._.Recov._.Op._.Exp_Reit." hidden="1">{"All Non-Recov. Op. Exp-Reit",#N/A,FALSE,"Forecast"}</definedName>
    <definedName name="wrn.All._.Rental._.Income_Forecast." localSheetId="16" hidden="1">{"All Rental Income-Reforecast",#N/A,FALSE,"Forecast"}</definedName>
    <definedName name="wrn.All._.Rental._.Income_Forecast." localSheetId="14" hidden="1">{"All Rental Income-Reforecast",#N/A,FALSE,"Forecast"}</definedName>
    <definedName name="wrn.All._.Rental._.Income_Forecast." localSheetId="15" hidden="1">{"All Rental Income-Reforecast",#N/A,FALSE,"Forecast"}</definedName>
    <definedName name="wrn.All._.Rental._.Income_Forecast." localSheetId="24" hidden="1">{"All Rental Income-Reforecast",#N/A,FALSE,"Forecast"}</definedName>
    <definedName name="wrn.All._.Rental._.Income_Forecast." hidden="1">{"All Rental Income-Reforecast",#N/A,FALSE,"Forecast"}</definedName>
    <definedName name="wrn.All._.Rental._.Income_Reit." localSheetId="16" hidden="1">{"All Rental Income-Reit",#N/A,FALSE,"Forecast"}</definedName>
    <definedName name="wrn.All._.Rental._.Income_Reit." localSheetId="14" hidden="1">{"All Rental Income-Reit",#N/A,FALSE,"Forecast"}</definedName>
    <definedName name="wrn.All._.Rental._.Income_Reit." localSheetId="15" hidden="1">{"All Rental Income-Reit",#N/A,FALSE,"Forecast"}</definedName>
    <definedName name="wrn.All._.Rental._.Income_Reit." localSheetId="24" hidden="1">{"All Rental Income-Reit",#N/A,FALSE,"Forecast"}</definedName>
    <definedName name="wrn.All._.Rental._.Income_Reit." hidden="1">{"All Rental Income-Reit",#N/A,FALSE,"Forecast"}</definedName>
    <definedName name="wrn.Annual._.Report." localSheetId="16" hidden="1">{"annual",#N/A,FALSE,"Pro Forma";#N/A,#N/A,FALSE,"Golf Operations"}</definedName>
    <definedName name="wrn.Annual._.Report." localSheetId="14" hidden="1">{"annual",#N/A,FALSE,"Pro Forma";#N/A,#N/A,FALSE,"Golf Operations"}</definedName>
    <definedName name="wrn.Annual._.Report." localSheetId="15" hidden="1">{"annual",#N/A,FALSE,"Pro Forma";#N/A,#N/A,FALSE,"Golf Operations"}</definedName>
    <definedName name="wrn.Annual._.Report." localSheetId="24" hidden="1">{"annual",#N/A,FALSE,"Pro Forma";#N/A,#N/A,FALSE,"Golf Operations"}</definedName>
    <definedName name="wrn.Annual._.Report." hidden="1">{"annual",#N/A,FALSE,"Pro Forma";#N/A,#N/A,FALSE,"Golf Operations"}</definedName>
    <definedName name="wrn.Annual._.Summary." localSheetId="16" hidden="1">{"Annual Cash Flows",#N/A,FALSE,"Annual Summary"}</definedName>
    <definedName name="wrn.Annual._.Summary." localSheetId="14" hidden="1">{"Annual Cash Flows",#N/A,FALSE,"Annual Summary"}</definedName>
    <definedName name="wrn.Annual._.Summary." localSheetId="15" hidden="1">{"Annual Cash Flows",#N/A,FALSE,"Annual Summary"}</definedName>
    <definedName name="wrn.Annual._.Summary." localSheetId="24" hidden="1">{"Annual Cash Flows",#N/A,FALSE,"Annual Summary"}</definedName>
    <definedName name="wrn.Annual._.Summary." hidden="1">{"Annual Cash Flows",#N/A,FALSE,"Annual Summary"}</definedName>
    <definedName name="wrn.Assumptions." localSheetId="16" hidden="1">{"Assumptions",#N/A,FALSE,"Assumptions"}</definedName>
    <definedName name="wrn.Assumptions." localSheetId="14" hidden="1">{"Assumptions",#N/A,FALSE,"Assumptions"}</definedName>
    <definedName name="wrn.Assumptions." localSheetId="15" hidden="1">{"Assumptions",#N/A,FALSE,"Assumptions"}</definedName>
    <definedName name="wrn.Assumptions." localSheetId="24" hidden="1">{"Assumptions",#N/A,FALSE,"Assumptions"}</definedName>
    <definedName name="wrn.Assumptions." hidden="1">{"Assumptions",#N/A,FALSE,"Assumptions"}</definedName>
    <definedName name="wrn.BOOK." localSheetId="16"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OK." localSheetId="14"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OK." localSheetId="15"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OK." localSheetId="24"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OK."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CALLAND." localSheetId="16" hidden="1">{"Summary",#N/A,TRUE,"Summary";"Inputs",#N/A,TRUE,"Inputs";"Cash_Flow_Summary",#N/A,TRUE,"Reports";"Project_Equity_Accounts",#N/A,TRUE,"Reports";"Cal_Land_Equity_Accounts",#N/A,TRUE,"Reports";"NTFC_Equity_Accounts",#N/A,TRUE,"Reports";"Loan_Assumptions",#N/A,TRUE,"A&amp;D Loan";"Loan_Results",#N/A,TRUE,"A&amp;D Loan";"Carryback",#N/A,TRUE,"CarryBack";"Advisory_Fees",#N/A,TRUE,"Reports"}</definedName>
    <definedName name="wrn.CALLAND." localSheetId="14" hidden="1">{"Summary",#N/A,TRUE,"Summary";"Inputs",#N/A,TRUE,"Inputs";"Cash_Flow_Summary",#N/A,TRUE,"Reports";"Project_Equity_Accounts",#N/A,TRUE,"Reports";"Cal_Land_Equity_Accounts",#N/A,TRUE,"Reports";"NTFC_Equity_Accounts",#N/A,TRUE,"Reports";"Loan_Assumptions",#N/A,TRUE,"A&amp;D Loan";"Loan_Results",#N/A,TRUE,"A&amp;D Loan";"Carryback",#N/A,TRUE,"CarryBack";"Advisory_Fees",#N/A,TRUE,"Reports"}</definedName>
    <definedName name="wrn.CALLAND." localSheetId="15" hidden="1">{"Summary",#N/A,TRUE,"Summary";"Inputs",#N/A,TRUE,"Inputs";"Cash_Flow_Summary",#N/A,TRUE,"Reports";"Project_Equity_Accounts",#N/A,TRUE,"Reports";"Cal_Land_Equity_Accounts",#N/A,TRUE,"Reports";"NTFC_Equity_Accounts",#N/A,TRUE,"Reports";"Loan_Assumptions",#N/A,TRUE,"A&amp;D Loan";"Loan_Results",#N/A,TRUE,"A&amp;D Loan";"Carryback",#N/A,TRUE,"CarryBack";"Advisory_Fees",#N/A,TRUE,"Reports"}</definedName>
    <definedName name="wrn.CALLAND." localSheetId="24" hidden="1">{"Summary",#N/A,TRUE,"Summary";"Inputs",#N/A,TRUE,"Inputs";"Cash_Flow_Summary",#N/A,TRUE,"Reports";"Project_Equity_Accounts",#N/A,TRUE,"Reports";"Cal_Land_Equity_Accounts",#N/A,TRUE,"Reports";"NTFC_Equity_Accounts",#N/A,TRUE,"Reports";"Loan_Assumptions",#N/A,TRUE,"A&amp;D Loan";"Loan_Results",#N/A,TRUE,"A&amp;D Loan";"Carryback",#N/A,TRUE,"CarryBack";"Advisory_Fees",#N/A,TRUE,"Reports"}</definedName>
    <definedName name="wrn.CALLAND." hidden="1">{"Summary",#N/A,TRUE,"Summary";"Inputs",#N/A,TRUE,"Inputs";"Cash_Flow_Summary",#N/A,TRUE,"Reports";"Project_Equity_Accounts",#N/A,TRUE,"Reports";"Cal_Land_Equity_Accounts",#N/A,TRUE,"Reports";"NTFC_Equity_Accounts",#N/A,TRUE,"Reports";"Loan_Assumptions",#N/A,TRUE,"A&amp;D Loan";"Loan_Results",#N/A,TRUE,"A&amp;D Loan";"Carryback",#N/A,TRUE,"CarryBack";"Advisory_Fees",#N/A,TRUE,"Reports"}</definedName>
    <definedName name="wrn.Capital_Increm.." localSheetId="16" hidden="1">{#N/A,#N/A,FALSE,"Capital-Incremental"}</definedName>
    <definedName name="wrn.Capital_Increm.." localSheetId="14" hidden="1">{#N/A,#N/A,FALSE,"Capital-Incremental"}</definedName>
    <definedName name="wrn.Capital_Increm.." localSheetId="15" hidden="1">{#N/A,#N/A,FALSE,"Capital-Incremental"}</definedName>
    <definedName name="wrn.Capital_Increm.." localSheetId="24" hidden="1">{#N/A,#N/A,FALSE,"Capital-Incremental"}</definedName>
    <definedName name="wrn.Capital_Increm.." hidden="1">{#N/A,#N/A,FALSE,"Capital-Incremental"}</definedName>
    <definedName name="wrn.Capital_Nonincre.." localSheetId="16" hidden="1">{#N/A,#N/A,FALSE,"Capital-Nonincremental"}</definedName>
    <definedName name="wrn.Capital_Nonincre.." localSheetId="14" hidden="1">{#N/A,#N/A,FALSE,"Capital-Nonincremental"}</definedName>
    <definedName name="wrn.Capital_Nonincre.." localSheetId="15" hidden="1">{#N/A,#N/A,FALSE,"Capital-Nonincremental"}</definedName>
    <definedName name="wrn.Capital_Nonincre.." localSheetId="24" hidden="1">{#N/A,#N/A,FALSE,"Capital-Nonincremental"}</definedName>
    <definedName name="wrn.Capital_Nonincre.." hidden="1">{#N/A,#N/A,FALSE,"Capital-Nonincremental"}</definedName>
    <definedName name="wrn.CAPREIT." localSheetId="16" hidden="1">{#N/A,#N/A,FALSE,"CAPREIT"}</definedName>
    <definedName name="wrn.CAPREIT." localSheetId="14" hidden="1">{#N/A,#N/A,FALSE,"CAPREIT"}</definedName>
    <definedName name="wrn.CAPREIT." localSheetId="15" hidden="1">{#N/A,#N/A,FALSE,"CAPREIT"}</definedName>
    <definedName name="wrn.CAPREIT." localSheetId="24" hidden="1">{#N/A,#N/A,FALSE,"CAPREIT"}</definedName>
    <definedName name="wrn.CAPREIT." hidden="1">{#N/A,#N/A,FALSE,"CAPREIT"}</definedName>
    <definedName name="wrn.CAPREIT2" localSheetId="16" hidden="1">{#N/A,#N/A,FALSE,"CAPREIT"}</definedName>
    <definedName name="wrn.CAPREIT2" localSheetId="14" hidden="1">{#N/A,#N/A,FALSE,"CAPREIT"}</definedName>
    <definedName name="wrn.CAPREIT2" localSheetId="15" hidden="1">{#N/A,#N/A,FALSE,"CAPREIT"}</definedName>
    <definedName name="wrn.CAPREIT2" localSheetId="24" hidden="1">{#N/A,#N/A,FALSE,"CAPREIT"}</definedName>
    <definedName name="wrn.CAPREIT2" hidden="1">{#N/A,#N/A,FALSE,"CAPREIT"}</definedName>
    <definedName name="wrn.closing._.statement." localSheetId="16" hidden="1">{"page1",#N/A,FALSE,"CTT_CLO";"page2",#N/A,FALSE,"CTT_CLO"}</definedName>
    <definedName name="wrn.closing._.statement." localSheetId="1" hidden="1">{"page1",#N/A,FALSE,"CTT_CLO";"page2",#N/A,FALSE,"CTT_CLO"}</definedName>
    <definedName name="wrn.closing._.statement." hidden="1">{"page1",#N/A,FALSE,"CTT_CLO";"page2",#N/A,FALSE,"CTT_CLO"}</definedName>
    <definedName name="wrn.CONDO." localSheetId="16" hidden="1">{#N/A,#N/A,FALSE,"SPCondo"}</definedName>
    <definedName name="wrn.CONDO." localSheetId="1" hidden="1">{#N/A,#N/A,FALSE,"SPCondo"}</definedName>
    <definedName name="wrn.CONDO." hidden="1">{#N/A,#N/A,FALSE,"SPCondo"}</definedName>
    <definedName name="wrn.Construction._.Costs." localSheetId="16" hidden="1">{"Construction Costs",#N/A,FALSE,"Total Costs"}</definedName>
    <definedName name="wrn.Construction._.Costs." localSheetId="14" hidden="1">{"Construction Costs",#N/A,FALSE,"Total Costs"}</definedName>
    <definedName name="wrn.Construction._.Costs." localSheetId="15" hidden="1">{"Construction Costs",#N/A,FALSE,"Total Costs"}</definedName>
    <definedName name="wrn.Construction._.Costs." localSheetId="24" hidden="1">{"Construction Costs",#N/A,FALSE,"Total Costs"}</definedName>
    <definedName name="wrn.Construction._.Costs." hidden="1">{"Construction Costs",#N/A,FALSE,"Total Costs"}</definedName>
    <definedName name="wrn.Cottage._.Summary." localSheetId="16" hidden="1">{"cot1",#N/A,FALSE,"Cottages";"cot2",#N/A,FALSE,"Cottages";"cot3",#N/A,FALSE,"Cottages"}</definedName>
    <definedName name="wrn.Cottage._.Summary." localSheetId="14" hidden="1">{"cot1",#N/A,FALSE,"Cottages";"cot2",#N/A,FALSE,"Cottages";"cot3",#N/A,FALSE,"Cottages"}</definedName>
    <definedName name="wrn.Cottage._.Summary." localSheetId="15" hidden="1">{"cot1",#N/A,FALSE,"Cottages";"cot2",#N/A,FALSE,"Cottages";"cot3",#N/A,FALSE,"Cottages"}</definedName>
    <definedName name="wrn.Cottage._.Summary." localSheetId="24" hidden="1">{"cot1",#N/A,FALSE,"Cottages";"cot2",#N/A,FALSE,"Cottages";"cot3",#N/A,FALSE,"Cottages"}</definedName>
    <definedName name="wrn.Cottage._.Summary." hidden="1">{"cot1",#N/A,FALSE,"Cottages";"cot2",#N/A,FALSE,"Cottages";"cot3",#N/A,FALSE,"Cottages"}</definedName>
    <definedName name="wrn.Downside." localSheetId="16" hidden="1">{"Downside",#N/A,FALSE,"Downside"}</definedName>
    <definedName name="wrn.Downside." localSheetId="14" hidden="1">{"Downside",#N/A,FALSE,"Downside"}</definedName>
    <definedName name="wrn.Downside." localSheetId="15" hidden="1">{"Downside",#N/A,FALSE,"Downside"}</definedName>
    <definedName name="wrn.Downside." localSheetId="24" hidden="1">{"Downside",#N/A,FALSE,"Downside"}</definedName>
    <definedName name="wrn.Downside." hidden="1">{"Downside",#N/A,FALSE,"Downside"}</definedName>
    <definedName name="wrn.Financial._.Statements." localSheetId="16" hidden="1">{#N/A,#N/A,FALSE,"BS";#N/A,#N/A,FALSE,"IS";#N/A,#N/A,FALSE,"CF";#N/A,#N/A,FALSE,"EXP";#N/A,#N/A,FALSE,"FURN";#N/A,#N/A,FALSE,"MANNOI"}</definedName>
    <definedName name="wrn.Financial._.Statements." localSheetId="14" hidden="1">{#N/A,#N/A,FALSE,"BS";#N/A,#N/A,FALSE,"IS";#N/A,#N/A,FALSE,"CF";#N/A,#N/A,FALSE,"EXP";#N/A,#N/A,FALSE,"FURN";#N/A,#N/A,FALSE,"MANNOI"}</definedName>
    <definedName name="wrn.Financial._.Statements." localSheetId="15" hidden="1">{#N/A,#N/A,FALSE,"BS";#N/A,#N/A,FALSE,"IS";#N/A,#N/A,FALSE,"CF";#N/A,#N/A,FALSE,"EXP";#N/A,#N/A,FALSE,"FURN";#N/A,#N/A,FALSE,"MANNOI"}</definedName>
    <definedName name="wrn.Financial._.Statements." localSheetId="24" hidden="1">{#N/A,#N/A,FALSE,"BS";#N/A,#N/A,FALSE,"IS";#N/A,#N/A,FALSE,"CF";#N/A,#N/A,FALSE,"EXP";#N/A,#N/A,FALSE,"FURN";#N/A,#N/A,FALSE,"MANNOI"}</definedName>
    <definedName name="wrn.Financial._.Statements." hidden="1">{#N/A,#N/A,FALSE,"BS";#N/A,#N/A,FALSE,"IS";#N/A,#N/A,FALSE,"CF";#N/A,#N/A,FALSE,"EXP";#N/A,#N/A,FALSE,"FURN";#N/A,#N/A,FALSE,"MANNOI"}</definedName>
    <definedName name="wrn.Financials." localSheetId="16" hidden="1">{#N/A,#N/A,FALSE,"Income Stmt";#N/A,#N/A,FALSE,"Income Summary"}</definedName>
    <definedName name="wrn.Financials." localSheetId="1" hidden="1">{#N/A,#N/A,FALSE,"Income Stmt";#N/A,#N/A,FALSE,"Income Summary"}</definedName>
    <definedName name="wrn.Financials." hidden="1">{#N/A,#N/A,FALSE,"Income Stmt";#N/A,#N/A,FALSE,"Income Summary"}</definedName>
    <definedName name="wrn.Fmgmtfee." localSheetId="16" hidden="1">{#N/A,#N/A,FALSE,"Fmgmtfee"}</definedName>
    <definedName name="wrn.Fmgmtfee." localSheetId="14" hidden="1">{#N/A,#N/A,FALSE,"Fmgmtfee"}</definedName>
    <definedName name="wrn.Fmgmtfee." localSheetId="15" hidden="1">{#N/A,#N/A,FALSE,"Fmgmtfee"}</definedName>
    <definedName name="wrn.Fmgmtfee." localSheetId="24" hidden="1">{#N/A,#N/A,FALSE,"Fmgmtfee"}</definedName>
    <definedName name="wrn.Fmgmtfee." hidden="1">{#N/A,#N/A,FALSE,"Fmgmtfee"}</definedName>
    <definedName name="wrn.FORESTPARK." localSheetId="16" hidden="1">{#N/A,#N/A,FALSE,"ForestPark"}</definedName>
    <definedName name="wrn.FORESTPARK." localSheetId="1" hidden="1">{#N/A,#N/A,FALSE,"ForestPark"}</definedName>
    <definedName name="wrn.FORESTPARK." hidden="1">{#N/A,#N/A,FALSE,"ForestPark"}</definedName>
    <definedName name="wrn.FULL." localSheetId="16" hidden="1">{#N/A,#N/A,TRUE,"Overview";#N/A,#N/A,TRUE,"Cash Flow";#N/A,#N/A,TRUE,"S-1";#N/A,#N/A,TRUE,"S-1a";#N/A,#N/A,TRUE,"S-3"}</definedName>
    <definedName name="wrn.FULL." localSheetId="14" hidden="1">{#N/A,#N/A,TRUE,"Overview";#N/A,#N/A,TRUE,"Cash Flow";#N/A,#N/A,TRUE,"S-1";#N/A,#N/A,TRUE,"S-1a";#N/A,#N/A,TRUE,"S-3"}</definedName>
    <definedName name="wrn.FULL." localSheetId="15" hidden="1">{#N/A,#N/A,TRUE,"Overview";#N/A,#N/A,TRUE,"Cash Flow";#N/A,#N/A,TRUE,"S-1";#N/A,#N/A,TRUE,"S-1a";#N/A,#N/A,TRUE,"S-3"}</definedName>
    <definedName name="wrn.FULL." localSheetId="24" hidden="1">{#N/A,#N/A,TRUE,"Overview";#N/A,#N/A,TRUE,"Cash Flow";#N/A,#N/A,TRUE,"S-1";#N/A,#N/A,TRUE,"S-1a";#N/A,#N/A,TRUE,"S-3"}</definedName>
    <definedName name="wrn.FULL." hidden="1">{#N/A,#N/A,TRUE,"Overview";#N/A,#N/A,TRUE,"Cash Flow";#N/A,#N/A,TRUE,"S-1";#N/A,#N/A,TRUE,"S-1a";#N/A,#N/A,TRUE,"S-3"}</definedName>
    <definedName name="wrn.Golf._.Summary." localSheetId="16" hidden="1">{"View1",#N/A,FALSE,"Golf";"View2",#N/A,FALSE,"Golf";"View3",#N/A,FALSE,"Golf";"View4",#N/A,FALSE,"Golf";"View5",#N/A,FALSE,"Golf";"View6",#N/A,FALSE,"Golf";"View7",#N/A,FALSE,"Golf";"View8",#N/A,FALSE,"Golf";"View9",#N/A,FALSE,"Golf";"View10",#N/A,FALSE,"Golf";"View11",#N/A,FALSE,"Golf";"View12",#N/A,FALSE,"Golf"}</definedName>
    <definedName name="wrn.Golf._.Summary." localSheetId="14" hidden="1">{"View1",#N/A,FALSE,"Golf";"View2",#N/A,FALSE,"Golf";"View3",#N/A,FALSE,"Golf";"View4",#N/A,FALSE,"Golf";"View5",#N/A,FALSE,"Golf";"View6",#N/A,FALSE,"Golf";"View7",#N/A,FALSE,"Golf";"View8",#N/A,FALSE,"Golf";"View9",#N/A,FALSE,"Golf";"View10",#N/A,FALSE,"Golf";"View11",#N/A,FALSE,"Golf";"View12",#N/A,FALSE,"Golf"}</definedName>
    <definedName name="wrn.Golf._.Summary." localSheetId="15" hidden="1">{"View1",#N/A,FALSE,"Golf";"View2",#N/A,FALSE,"Golf";"View3",#N/A,FALSE,"Golf";"View4",#N/A,FALSE,"Golf";"View5",#N/A,FALSE,"Golf";"View6",#N/A,FALSE,"Golf";"View7",#N/A,FALSE,"Golf";"View8",#N/A,FALSE,"Golf";"View9",#N/A,FALSE,"Golf";"View10",#N/A,FALSE,"Golf";"View11",#N/A,FALSE,"Golf";"View12",#N/A,FALSE,"Golf"}</definedName>
    <definedName name="wrn.Golf._.Summary." localSheetId="24" hidden="1">{"View1",#N/A,FALSE,"Golf";"View2",#N/A,FALSE,"Golf";"View3",#N/A,FALSE,"Golf";"View4",#N/A,FALSE,"Golf";"View5",#N/A,FALSE,"Golf";"View6",#N/A,FALSE,"Golf";"View7",#N/A,FALSE,"Golf";"View8",#N/A,FALSE,"Golf";"View9",#N/A,FALSE,"Golf";"View10",#N/A,FALSE,"Golf";"View11",#N/A,FALSE,"Golf";"View12",#N/A,FALSE,"Golf"}</definedName>
    <definedName name="wrn.Golf._.Summary." hidden="1">{"View1",#N/A,FALSE,"Golf";"View2",#N/A,FALSE,"Golf";"View3",#N/A,FALSE,"Golf";"View4",#N/A,FALSE,"Golf";"View5",#N/A,FALSE,"Golf";"View6",#N/A,FALSE,"Golf";"View7",#N/A,FALSE,"Golf";"View8",#N/A,FALSE,"Golf";"View9",#N/A,FALSE,"Golf";"View10",#N/A,FALSE,"Golf";"View11",#N/A,FALSE,"Golf";"View12",#N/A,FALSE,"Golf"}</definedName>
    <definedName name="wrn.Gross._.up." localSheetId="16" hidden="1">{#N/A,#N/A,FALSE,"Gross-Up"}</definedName>
    <definedName name="wrn.Gross._.up." localSheetId="14" hidden="1">{#N/A,#N/A,FALSE,"Gross-Up"}</definedName>
    <definedName name="wrn.Gross._.up." localSheetId="15" hidden="1">{#N/A,#N/A,FALSE,"Gross-Up"}</definedName>
    <definedName name="wrn.Gross._.up." localSheetId="24" hidden="1">{#N/A,#N/A,FALSE,"Gross-Up"}</definedName>
    <definedName name="wrn.Gross._.up." hidden="1">{#N/A,#N/A,FALSE,"Gross-Up"}</definedName>
    <definedName name="wrn.Land._.Takedown._.Summary." localSheetId="16" hidden="1">{"land1",#N/A,FALSE,"Land";"land2",#N/A,FALSE,"Land";"land3",#N/A,FALSE,"Land"}</definedName>
    <definedName name="wrn.Land._.Takedown._.Summary." localSheetId="14" hidden="1">{"land1",#N/A,FALSE,"Land";"land2",#N/A,FALSE,"Land";"land3",#N/A,FALSE,"Land"}</definedName>
    <definedName name="wrn.Land._.Takedown._.Summary." localSheetId="15" hidden="1">{"land1",#N/A,FALSE,"Land";"land2",#N/A,FALSE,"Land";"land3",#N/A,FALSE,"Land"}</definedName>
    <definedName name="wrn.Land._.Takedown._.Summary." localSheetId="24" hidden="1">{"land1",#N/A,FALSE,"Land";"land2",#N/A,FALSE,"Land";"land3",#N/A,FALSE,"Land"}</definedName>
    <definedName name="wrn.Land._.Takedown._.Summary." hidden="1">{"land1",#N/A,FALSE,"Land";"land2",#N/A,FALSE,"Land";"land3",#N/A,FALSE,"Land"}</definedName>
    <definedName name="wrn.Lot._.Inventory." localSheetId="16" hidden="1">{"lot inventory",#N/A,FALSE,"Lot List"}</definedName>
    <definedName name="wrn.Lot._.Inventory." localSheetId="14" hidden="1">{"lot inventory",#N/A,FALSE,"Lot List"}</definedName>
    <definedName name="wrn.Lot._.Inventory." localSheetId="15" hidden="1">{"lot inventory",#N/A,FALSE,"Lot List"}</definedName>
    <definedName name="wrn.Lot._.Inventory." localSheetId="24" hidden="1">{"lot inventory",#N/A,FALSE,"Lot List"}</definedName>
    <definedName name="wrn.Lot._.Inventory." hidden="1">{"lot inventory",#N/A,FALSE,"Lot List"}</definedName>
    <definedName name="wrn.Lot._.Summary." localSheetId="16" hidden="1">{"Lot Prices",#N/A,FALSE,"LOTS-PRICING";"lot1",#N/A,FALSE,"Lots";"lot2",#N/A,FALSE,"Lots";"Lot3",#N/A,FALSE,"Lots";"lot4",#N/A,FALSE,"Lots";"lot5",#N/A,FALSE,"Lots";"lot6",#N/A,FALSE,"Lots";"lot7",#N/A,FALSE,"Lots";"lot8",#N/A,FALSE,"Lots";"lot9",#N/A,FALSE,"Lots";"lot10",#N/A,FALSE,"Lots";"lot11",#N/A,FALSE,"Lots";"lot12",#N/A,FALSE,"Lots"}</definedName>
    <definedName name="wrn.Lot._.Summary." localSheetId="14" hidden="1">{"Lot Prices",#N/A,FALSE,"LOTS-PRICING";"lot1",#N/A,FALSE,"Lots";"lot2",#N/A,FALSE,"Lots";"Lot3",#N/A,FALSE,"Lots";"lot4",#N/A,FALSE,"Lots";"lot5",#N/A,FALSE,"Lots";"lot6",#N/A,FALSE,"Lots";"lot7",#N/A,FALSE,"Lots";"lot8",#N/A,FALSE,"Lots";"lot9",#N/A,FALSE,"Lots";"lot10",#N/A,FALSE,"Lots";"lot11",#N/A,FALSE,"Lots";"lot12",#N/A,FALSE,"Lots"}</definedName>
    <definedName name="wrn.Lot._.Summary." localSheetId="15" hidden="1">{"Lot Prices",#N/A,FALSE,"LOTS-PRICING";"lot1",#N/A,FALSE,"Lots";"lot2",#N/A,FALSE,"Lots";"Lot3",#N/A,FALSE,"Lots";"lot4",#N/A,FALSE,"Lots";"lot5",#N/A,FALSE,"Lots";"lot6",#N/A,FALSE,"Lots";"lot7",#N/A,FALSE,"Lots";"lot8",#N/A,FALSE,"Lots";"lot9",#N/A,FALSE,"Lots";"lot10",#N/A,FALSE,"Lots";"lot11",#N/A,FALSE,"Lots";"lot12",#N/A,FALSE,"Lots"}</definedName>
    <definedName name="wrn.Lot._.Summary." localSheetId="24" hidden="1">{"Lot Prices",#N/A,FALSE,"LOTS-PRICING";"lot1",#N/A,FALSE,"Lots";"lot2",#N/A,FALSE,"Lots";"Lot3",#N/A,FALSE,"Lots";"lot4",#N/A,FALSE,"Lots";"lot5",#N/A,FALSE,"Lots";"lot6",#N/A,FALSE,"Lots";"lot7",#N/A,FALSE,"Lots";"lot8",#N/A,FALSE,"Lots";"lot9",#N/A,FALSE,"Lots";"lot10",#N/A,FALSE,"Lots";"lot11",#N/A,FALSE,"Lots";"lot12",#N/A,FALSE,"Lots"}</definedName>
    <definedName name="wrn.Lot._.Summary." hidden="1">{"Lot Prices",#N/A,FALSE,"LOTS-PRICING";"lot1",#N/A,FALSE,"Lots";"lot2",#N/A,FALSE,"Lots";"Lot3",#N/A,FALSE,"Lots";"lot4",#N/A,FALSE,"Lots";"lot5",#N/A,FALSE,"Lots";"lot6",#N/A,FALSE,"Lots";"lot7",#N/A,FALSE,"Lots";"lot8",#N/A,FALSE,"Lots";"lot9",#N/A,FALSE,"Lots";"lot10",#N/A,FALSE,"Lots";"lot11",#N/A,FALSE,"Lots";"lot12",#N/A,FALSE,"Lots"}</definedName>
    <definedName name="wrn.OtherDetail." localSheetId="16" hidden="1">{"Inputs",#N/A,FALSE,"Fees Detail";"Inputs",#N/A,FALSE,"Inputs"}</definedName>
    <definedName name="wrn.OtherDetail." localSheetId="14" hidden="1">{"Inputs",#N/A,FALSE,"Fees Detail";"Inputs",#N/A,FALSE,"Inputs"}</definedName>
    <definedName name="wrn.OtherDetail." localSheetId="15" hidden="1">{"Inputs",#N/A,FALSE,"Fees Detail";"Inputs",#N/A,FALSE,"Inputs"}</definedName>
    <definedName name="wrn.OtherDetail." localSheetId="24" hidden="1">{"Inputs",#N/A,FALSE,"Fees Detail";"Inputs",#N/A,FALSE,"Inputs"}</definedName>
    <definedName name="wrn.OtherDetail." hidden="1">{"Inputs",#N/A,FALSE,"Fees Detail";"Inputs",#N/A,FALSE,"Inputs"}</definedName>
    <definedName name="wrn.Palms._.at._.South._.Shore." localSheetId="16" hidden="1">{#N/A,#N/A,FALSE,"loananalysis";#N/A,#N/A,FALSE,"proforma";#N/A,#N/A,FALSE,"unitmix"}</definedName>
    <definedName name="wrn.Palms._.at._.South._.Shore." localSheetId="14" hidden="1">{#N/A,#N/A,FALSE,"loananalysis";#N/A,#N/A,FALSE,"proforma";#N/A,#N/A,FALSE,"unitmix"}</definedName>
    <definedName name="wrn.Palms._.at._.South._.Shore." localSheetId="15" hidden="1">{#N/A,#N/A,FALSE,"loananalysis";#N/A,#N/A,FALSE,"proforma";#N/A,#N/A,FALSE,"unitmix"}</definedName>
    <definedName name="wrn.Palms._.at._.South._.Shore." localSheetId="24" hidden="1">{#N/A,#N/A,FALSE,"loananalysis";#N/A,#N/A,FALSE,"proforma";#N/A,#N/A,FALSE,"unitmix"}</definedName>
    <definedName name="wrn.Palms._.at._.South._.Shore." hidden="1">{#N/A,#N/A,FALSE,"loananalysis";#N/A,#N/A,FALSE,"proforma";#N/A,#N/A,FALSE,"unitmix"}</definedName>
    <definedName name="wrn.Partial_Template." localSheetId="16" hidden="1">{#N/A,#N/A,FALSE,"1Summary";#N/A,#N/A,FALSE,"2Assumptions";#N/A,#N/A,FALSE,"3Cash Flow";#N/A,#N/A,FALSE,"6Residual";#N/A,#N/A,FALSE,"AExpiration Schedule"}</definedName>
    <definedName name="wrn.Partial_Template." localSheetId="14" hidden="1">{#N/A,#N/A,FALSE,"1Summary";#N/A,#N/A,FALSE,"2Assumptions";#N/A,#N/A,FALSE,"3Cash Flow";#N/A,#N/A,FALSE,"6Residual";#N/A,#N/A,FALSE,"AExpiration Schedule"}</definedName>
    <definedName name="wrn.Partial_Template." localSheetId="15" hidden="1">{#N/A,#N/A,FALSE,"1Summary";#N/A,#N/A,FALSE,"2Assumptions";#N/A,#N/A,FALSE,"3Cash Flow";#N/A,#N/A,FALSE,"6Residual";#N/A,#N/A,FALSE,"AExpiration Schedule"}</definedName>
    <definedName name="wrn.Partial_Template." localSheetId="24" hidden="1">{#N/A,#N/A,FALSE,"1Summary";#N/A,#N/A,FALSE,"2Assumptions";#N/A,#N/A,FALSE,"3Cash Flow";#N/A,#N/A,FALSE,"6Residual";#N/A,#N/A,FALSE,"AExpiration Schedule"}</definedName>
    <definedName name="wrn.Partial_Template." hidden="1">{#N/A,#N/A,FALSE,"1Summary";#N/A,#N/A,FALSE,"2Assumptions";#N/A,#N/A,FALSE,"3Cash Flow";#N/A,#N/A,FALSE,"6Residual";#N/A,#N/A,FALSE,"AExpiration Schedule"}</definedName>
    <definedName name="wrn.Partial." localSheetId="16" hidden="1">{#N/A,#N/A,FALSE,"1Summary";#N/A,#N/A,FALSE,"Assumptions";#N/A,#N/A,FALSE,"Rent Roll Summary";#N/A,#N/A,FALSE,"Effective Rental Income Detail";#N/A,#N/A,FALSE,"Cash Flow Projections";#N/A,#N/A,FALSE,"Operating Statement";#N/A,#N/A,FALSE,"Pricing Matrix"}</definedName>
    <definedName name="wrn.Partial." localSheetId="14" hidden="1">{#N/A,#N/A,FALSE,"1Summary";#N/A,#N/A,FALSE,"Assumptions";#N/A,#N/A,FALSE,"Rent Roll Summary";#N/A,#N/A,FALSE,"Effective Rental Income Detail";#N/A,#N/A,FALSE,"Cash Flow Projections";#N/A,#N/A,FALSE,"Operating Statement";#N/A,#N/A,FALSE,"Pricing Matrix"}</definedName>
    <definedName name="wrn.Partial." localSheetId="15" hidden="1">{#N/A,#N/A,FALSE,"1Summary";#N/A,#N/A,FALSE,"Assumptions";#N/A,#N/A,FALSE,"Rent Roll Summary";#N/A,#N/A,FALSE,"Effective Rental Income Detail";#N/A,#N/A,FALSE,"Cash Flow Projections";#N/A,#N/A,FALSE,"Operating Statement";#N/A,#N/A,FALSE,"Pricing Matrix"}</definedName>
    <definedName name="wrn.Partial." localSheetId="24" hidden="1">{#N/A,#N/A,FALSE,"1Summary";#N/A,#N/A,FALSE,"Assumptions";#N/A,#N/A,FALSE,"Rent Roll Summary";#N/A,#N/A,FALSE,"Effective Rental Income Detail";#N/A,#N/A,FALSE,"Cash Flow Projections";#N/A,#N/A,FALSE,"Operating Statement";#N/A,#N/A,FALSE,"Pricing Matrix"}</definedName>
    <definedName name="wrn.Partial." hidden="1">{#N/A,#N/A,FALSE,"1Summary";#N/A,#N/A,FALSE,"Assumptions";#N/A,#N/A,FALSE,"Rent Roll Summary";#N/A,#N/A,FALSE,"Effective Rental Income Detail";#N/A,#N/A,FALSE,"Cash Flow Projections";#N/A,#N/A,FALSE,"Operating Statement";#N/A,#N/A,FALSE,"Pricing Matrix"}</definedName>
    <definedName name="wrn.Pineway." localSheetId="16" hidden="1">{#N/A,#N/A,FALSE,"rent schedule";#N/A,#N/A,FALSE,"income expenses";#N/A,#N/A,FALSE,"proforma";#N/A,#N/A,FALSE,"proforma stab";#N/A,#N/A,FALSE,"loan analysis";#N/A,#N/A,FALSE,"loan analysis stab";#N/A,#N/A,FALSE,"income expenses"}</definedName>
    <definedName name="wrn.Pineway." localSheetId="14" hidden="1">{#N/A,#N/A,FALSE,"rent schedule";#N/A,#N/A,FALSE,"income expenses";#N/A,#N/A,FALSE,"proforma";#N/A,#N/A,FALSE,"proforma stab";#N/A,#N/A,FALSE,"loan analysis";#N/A,#N/A,FALSE,"loan analysis stab";#N/A,#N/A,FALSE,"income expenses"}</definedName>
    <definedName name="wrn.Pineway." localSheetId="15" hidden="1">{#N/A,#N/A,FALSE,"rent schedule";#N/A,#N/A,FALSE,"income expenses";#N/A,#N/A,FALSE,"proforma";#N/A,#N/A,FALSE,"proforma stab";#N/A,#N/A,FALSE,"loan analysis";#N/A,#N/A,FALSE,"loan analysis stab";#N/A,#N/A,FALSE,"income expenses"}</definedName>
    <definedName name="wrn.Pineway." localSheetId="24" hidden="1">{#N/A,#N/A,FALSE,"rent schedule";#N/A,#N/A,FALSE,"income expenses";#N/A,#N/A,FALSE,"proforma";#N/A,#N/A,FALSE,"proforma stab";#N/A,#N/A,FALSE,"loan analysis";#N/A,#N/A,FALSE,"loan analysis stab";#N/A,#N/A,FALSE,"income expenses"}</definedName>
    <definedName name="wrn.Pineway." hidden="1">{#N/A,#N/A,FALSE,"rent schedule";#N/A,#N/A,FALSE,"income expenses";#N/A,#N/A,FALSE,"proforma";#N/A,#N/A,FALSE,"proforma stab";#N/A,#N/A,FALSE,"loan analysis";#N/A,#N/A,FALSE,"loan analysis stab";#N/A,#N/A,FALSE,"income expenses"}</definedName>
    <definedName name="wrn.Portfolio." localSheetId="16" hidden="1">{#N/A,#N/A,FALSE,"Portfolio Summary";#N/A,#N/A,FALSE,"Portfolio Operating Stmt";#N/A,#N/A,FALSE,"Portfolio Cash Flow"}</definedName>
    <definedName name="wrn.Portfolio." localSheetId="14" hidden="1">{#N/A,#N/A,FALSE,"Portfolio Summary";#N/A,#N/A,FALSE,"Portfolio Operating Stmt";#N/A,#N/A,FALSE,"Portfolio Cash Flow"}</definedName>
    <definedName name="wrn.Portfolio." localSheetId="15" hidden="1">{#N/A,#N/A,FALSE,"Portfolio Summary";#N/A,#N/A,FALSE,"Portfolio Operating Stmt";#N/A,#N/A,FALSE,"Portfolio Cash Flow"}</definedName>
    <definedName name="wrn.Portfolio." localSheetId="24" hidden="1">{#N/A,#N/A,FALSE,"Portfolio Summary";#N/A,#N/A,FALSE,"Portfolio Operating Stmt";#N/A,#N/A,FALSE,"Portfolio Cash Flow"}</definedName>
    <definedName name="wrn.Portfolio." hidden="1">{#N/A,#N/A,FALSE,"Portfolio Summary";#N/A,#N/A,FALSE,"Portfolio Operating Stmt";#N/A,#N/A,FALSE,"Portfolio Cash Flow"}</definedName>
    <definedName name="wrn.Prepaid_Recov.." localSheetId="16" hidden="1">{#N/A,#N/A,FALSE,"Prepaid Recoverable"}</definedName>
    <definedName name="wrn.Prepaid_Recov.." localSheetId="14" hidden="1">{#N/A,#N/A,FALSE,"Prepaid Recoverable"}</definedName>
    <definedName name="wrn.Prepaid_Recov.." localSheetId="15" hidden="1">{#N/A,#N/A,FALSE,"Prepaid Recoverable"}</definedName>
    <definedName name="wrn.Prepaid_Recov.." localSheetId="24" hidden="1">{#N/A,#N/A,FALSE,"Prepaid Recoverable"}</definedName>
    <definedName name="wrn.Prepaid_Recov.." hidden="1">{#N/A,#N/A,FALSE,"Prepaid Recoverable"}</definedName>
    <definedName name="wrn.Print._.Entire._.Workbook." localSheetId="16"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localSheetId="14"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localSheetId="15"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localSheetId="24"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ojectDebtSummary." localSheetId="16" hidden="1">{"Carryback",#N/A,TRUE,"CarryBack";"Loan_Assumptions",#N/A,TRUE,"A&amp;D Loan";"Loan_Results",#N/A,TRUE,"A&amp;D Loan"}</definedName>
    <definedName name="wrn.ProjectDebtSummary." localSheetId="14" hidden="1">{"Carryback",#N/A,TRUE,"CarryBack";"Loan_Assumptions",#N/A,TRUE,"A&amp;D Loan";"Loan_Results",#N/A,TRUE,"A&amp;D Loan"}</definedName>
    <definedName name="wrn.ProjectDebtSummary." localSheetId="15" hidden="1">{"Carryback",#N/A,TRUE,"CarryBack";"Loan_Assumptions",#N/A,TRUE,"A&amp;D Loan";"Loan_Results",#N/A,TRUE,"A&amp;D Loan"}</definedName>
    <definedName name="wrn.ProjectDebtSummary." localSheetId="24" hidden="1">{"Carryback",#N/A,TRUE,"CarryBack";"Loan_Assumptions",#N/A,TRUE,"A&amp;D Loan";"Loan_Results",#N/A,TRUE,"A&amp;D Loan"}</definedName>
    <definedName name="wrn.ProjectDebtSummary." hidden="1">{"Carryback",#N/A,TRUE,"CarryBack";"Loan_Assumptions",#N/A,TRUE,"A&amp;D Loan";"Loan_Results",#N/A,TRUE,"A&amp;D Loan"}</definedName>
    <definedName name="wrn.ProjectSummary." localSheetId="16" hidden="1">{"Summary",#N/A,TRUE,"Summary";"CashFlow",#N/A,TRUE,"Reports";"Inputs",#N/A,TRUE,"Inputs"}</definedName>
    <definedName name="wrn.ProjectSummary." localSheetId="14" hidden="1">{"Summary",#N/A,TRUE,"Summary";"CashFlow",#N/A,TRUE,"Reports";"Inputs",#N/A,TRUE,"Inputs"}</definedName>
    <definedName name="wrn.ProjectSummary." localSheetId="15" hidden="1">{"Summary",#N/A,TRUE,"Summary";"CashFlow",#N/A,TRUE,"Reports";"Inputs",#N/A,TRUE,"Inputs"}</definedName>
    <definedName name="wrn.ProjectSummary." localSheetId="24" hidden="1">{"Summary",#N/A,TRUE,"Summary";"CashFlow",#N/A,TRUE,"Reports";"Inputs",#N/A,TRUE,"Inputs"}</definedName>
    <definedName name="wrn.ProjectSummary." hidden="1">{"Summary",#N/A,TRUE,"Summary";"CashFlow",#N/A,TRUE,"Reports";"Inputs",#N/A,TRUE,"Inputs"}</definedName>
    <definedName name="wrn.Quarterly._.Summary." localSheetId="16" hidden="1">{"qtrl1",#N/A,TRUE,"Annual Summary";"qtrl2",#N/A,TRUE,"Annual Summary";"qtrl3",#N/A,TRUE,"Annual Summary";"qtrl4",#N/A,TRUE,"QTLY Summary";"qtrl5",#N/A,TRUE,"QTLY Summary";"qtrl6",#N/A,TRUE,"QTLY Summary"}</definedName>
    <definedName name="wrn.Quarterly._.Summary." localSheetId="14" hidden="1">{"qtrl1",#N/A,TRUE,"Annual Summary";"qtrl2",#N/A,TRUE,"Annual Summary";"qtrl3",#N/A,TRUE,"Annual Summary";"qtrl4",#N/A,TRUE,"QTLY Summary";"qtrl5",#N/A,TRUE,"QTLY Summary";"qtrl6",#N/A,TRUE,"QTLY Summary"}</definedName>
    <definedName name="wrn.Quarterly._.Summary." localSheetId="15" hidden="1">{"qtrl1",#N/A,TRUE,"Annual Summary";"qtrl2",#N/A,TRUE,"Annual Summary";"qtrl3",#N/A,TRUE,"Annual Summary";"qtrl4",#N/A,TRUE,"QTLY Summary";"qtrl5",#N/A,TRUE,"QTLY Summary";"qtrl6",#N/A,TRUE,"QTLY Summary"}</definedName>
    <definedName name="wrn.Quarterly._.Summary." localSheetId="24" hidden="1">{"qtrl1",#N/A,TRUE,"Annual Summary";"qtrl2",#N/A,TRUE,"Annual Summary";"qtrl3",#N/A,TRUE,"Annual Summary";"qtrl4",#N/A,TRUE,"QTLY Summary";"qtrl5",#N/A,TRUE,"QTLY Summary";"qtrl6",#N/A,TRUE,"QTLY Summary"}</definedName>
    <definedName name="wrn.Quarterly._.Summary." hidden="1">{"qtrl1",#N/A,TRUE,"Annual Summary";"qtrl2",#N/A,TRUE,"Annual Summary";"qtrl3",#N/A,TRUE,"Annual Summary";"qtrl4",#N/A,TRUE,"QTLY Summary";"qtrl5",#N/A,TRUE,"QTLY Summary";"qtrl6",#N/A,TRUE,"QTLY Summary"}</definedName>
    <definedName name="wrn.Rmgmtfee." localSheetId="16" hidden="1">{#N/A,#N/A,FALSE,"Rmgmtfee"}</definedName>
    <definedName name="wrn.Rmgmtfee." localSheetId="14" hidden="1">{#N/A,#N/A,FALSE,"Rmgmtfee"}</definedName>
    <definedName name="wrn.Rmgmtfee." localSheetId="15" hidden="1">{#N/A,#N/A,FALSE,"Rmgmtfee"}</definedName>
    <definedName name="wrn.Rmgmtfee." localSheetId="24" hidden="1">{#N/A,#N/A,FALSE,"Rmgmtfee"}</definedName>
    <definedName name="wrn.Rmgmtfee." hidden="1">{#N/A,#N/A,FALSE,"Rmgmtfee"}</definedName>
    <definedName name="wrn.Roof._.Report." localSheetId="16" hidden="1">{"Roofs Page 1",#N/A,FALSE,"Roof Outline";"Roofs Page 2",#N/A,FALSE,"Roof Outline"}</definedName>
    <definedName name="wrn.Roof._.Report." localSheetId="14" hidden="1">{"Roofs Page 1",#N/A,FALSE,"Roof Outline";"Roofs Page 2",#N/A,FALSE,"Roof Outline"}</definedName>
    <definedName name="wrn.Roof._.Report." localSheetId="15" hidden="1">{"Roofs Page 1",#N/A,FALSE,"Roof Outline";"Roofs Page 2",#N/A,FALSE,"Roof Outline"}</definedName>
    <definedName name="wrn.Roof._.Report." localSheetId="24" hidden="1">{"Roofs Page 1",#N/A,FALSE,"Roof Outline";"Roofs Page 2",#N/A,FALSE,"Roof Outline"}</definedName>
    <definedName name="wrn.Roof._.Report." hidden="1">{"Roofs Page 1",#N/A,FALSE,"Roof Outline";"Roofs Page 2",#N/A,FALSE,"Roof Outline"}</definedName>
    <definedName name="wrn.Sales._.Information." localSheetId="16" hidden="1">{#N/A,#N/A,FALSE,"Cover Page";#N/A,#N/A,FALSE,"Table of Contents";#N/A,#N/A,FALSE,"Investment-Acquisition Costs";#N/A,#N/A,FALSE,"Financing Assumptions";#N/A,#N/A,FALSE,"Proforma Assumptions";#N/A,#N/A,FALSE,"Rent Roll";#N/A,#N/A,FALSE,"Taxes and Assessments"}</definedName>
    <definedName name="wrn.Sales._.Information." localSheetId="14" hidden="1">{#N/A,#N/A,FALSE,"Cover Page";#N/A,#N/A,FALSE,"Table of Contents";#N/A,#N/A,FALSE,"Investment-Acquisition Costs";#N/A,#N/A,FALSE,"Financing Assumptions";#N/A,#N/A,FALSE,"Proforma Assumptions";#N/A,#N/A,FALSE,"Rent Roll";#N/A,#N/A,FALSE,"Taxes and Assessments"}</definedName>
    <definedName name="wrn.Sales._.Information." localSheetId="15" hidden="1">{#N/A,#N/A,FALSE,"Cover Page";#N/A,#N/A,FALSE,"Table of Contents";#N/A,#N/A,FALSE,"Investment-Acquisition Costs";#N/A,#N/A,FALSE,"Financing Assumptions";#N/A,#N/A,FALSE,"Proforma Assumptions";#N/A,#N/A,FALSE,"Rent Roll";#N/A,#N/A,FALSE,"Taxes and Assessments"}</definedName>
    <definedName name="wrn.Sales._.Information." localSheetId="24" hidden="1">{#N/A,#N/A,FALSE,"Cover Page";#N/A,#N/A,FALSE,"Table of Contents";#N/A,#N/A,FALSE,"Investment-Acquisition Costs";#N/A,#N/A,FALSE,"Financing Assumptions";#N/A,#N/A,FALSE,"Proforma Assumptions";#N/A,#N/A,FALSE,"Rent Roll";#N/A,#N/A,FALSE,"Taxes and Assessments"}</definedName>
    <definedName name="wrn.Sales._.Information." hidden="1">{#N/A,#N/A,FALSE,"Cover Page";#N/A,#N/A,FALSE,"Table of Contents";#N/A,#N/A,FALSE,"Investment-Acquisition Costs";#N/A,#N/A,FALSE,"Financing Assumptions";#N/A,#N/A,FALSE,"Proforma Assumptions";#N/A,#N/A,FALSE,"Rent Roll";#N/A,#N/A,FALSE,"Taxes and Assessments"}</definedName>
    <definedName name="wrn.Sales._.Package._.MPS._.01." localSheetId="16" hidden="1">{#N/A,#N/A,FALSE,"Cover Page";#N/A,#N/A,FALSE,"Table of Contents";#N/A,#N/A,FALSE,"Executive Summary";#N/A,#N/A,FALSE,"Investment-Acquisition Costs";#N/A,#N/A,FALSE,"Financing Assumptions";#N/A,#N/A,FALSE,"Rent Roll";#N/A,#N/A,FALSE,"Taxes and Assessments"}</definedName>
    <definedName name="wrn.Sales._.Package._.MPS._.01." localSheetId="14" hidden="1">{#N/A,#N/A,FALSE,"Cover Page";#N/A,#N/A,FALSE,"Table of Contents";#N/A,#N/A,FALSE,"Executive Summary";#N/A,#N/A,FALSE,"Investment-Acquisition Costs";#N/A,#N/A,FALSE,"Financing Assumptions";#N/A,#N/A,FALSE,"Rent Roll";#N/A,#N/A,FALSE,"Taxes and Assessments"}</definedName>
    <definedName name="wrn.Sales._.Package._.MPS._.01." localSheetId="15" hidden="1">{#N/A,#N/A,FALSE,"Cover Page";#N/A,#N/A,FALSE,"Table of Contents";#N/A,#N/A,FALSE,"Executive Summary";#N/A,#N/A,FALSE,"Investment-Acquisition Costs";#N/A,#N/A,FALSE,"Financing Assumptions";#N/A,#N/A,FALSE,"Rent Roll";#N/A,#N/A,FALSE,"Taxes and Assessments"}</definedName>
    <definedName name="wrn.Sales._.Package._.MPS._.01." localSheetId="24" hidden="1">{#N/A,#N/A,FALSE,"Cover Page";#N/A,#N/A,FALSE,"Table of Contents";#N/A,#N/A,FALSE,"Executive Summary";#N/A,#N/A,FALSE,"Investment-Acquisition Costs";#N/A,#N/A,FALSE,"Financing Assumptions";#N/A,#N/A,FALSE,"Rent Roll";#N/A,#N/A,FALSE,"Taxes and Assessments"}</definedName>
    <definedName name="wrn.Sales._.Package._.MPS._.01." hidden="1">{#N/A,#N/A,FALSE,"Cover Page";#N/A,#N/A,FALSE,"Table of Contents";#N/A,#N/A,FALSE,"Executive Summary";#N/A,#N/A,FALSE,"Investment-Acquisition Costs";#N/A,#N/A,FALSE,"Financing Assumptions";#N/A,#N/A,FALSE,"Rent Roll";#N/A,#N/A,FALSE,"Taxes and Assessments"}</definedName>
    <definedName name="wrn.Scenario." localSheetId="16" hidden="1">{"scen1",#N/A,FALSE,"Scenarios";"scen2",#N/A,FALSE,"Scenarios"}</definedName>
    <definedName name="wrn.Scenario." localSheetId="14" hidden="1">{"scen1",#N/A,FALSE,"Scenarios";"scen2",#N/A,FALSE,"Scenarios"}</definedName>
    <definedName name="wrn.Scenario." localSheetId="15" hidden="1">{"scen1",#N/A,FALSE,"Scenarios";"scen2",#N/A,FALSE,"Scenarios"}</definedName>
    <definedName name="wrn.Scenario." localSheetId="24" hidden="1">{"scen1",#N/A,FALSE,"Scenarios";"scen2",#N/A,FALSE,"Scenarios"}</definedName>
    <definedName name="wrn.Scenario." hidden="1">{"scen1",#N/A,FALSE,"Scenarios";"scen2",#N/A,FALSE,"Scenarios"}</definedName>
    <definedName name="wrn.scheduleA." localSheetId="16" hidden="1">{"scheduleA",#N/A,FALSE,"CTT_CLO"}</definedName>
    <definedName name="wrn.scheduleA." localSheetId="1" hidden="1">{"scheduleA",#N/A,FALSE,"CTT_CLO"}</definedName>
    <definedName name="wrn.scheduleA." hidden="1">{"scheduleA",#N/A,FALSE,"CTT_CLO"}</definedName>
    <definedName name="wrn.scheduleB." localSheetId="16" hidden="1">{"scheduleB",#N/A,FALSE,"CTT_CLO"}</definedName>
    <definedName name="wrn.scheduleB." localSheetId="1" hidden="1">{"scheduleB",#N/A,FALSE,"CTT_CLO"}</definedName>
    <definedName name="wrn.scheduleB." hidden="1">{"scheduleB",#N/A,FALSE,"CTT_CLO"}</definedName>
    <definedName name="wrn.scheduleEF." localSheetId="16" hidden="1">{"scheduleEF",#N/A,FALSE,"CTT_CLO"}</definedName>
    <definedName name="wrn.scheduleEF." localSheetId="1" hidden="1">{"scheduleEF",#N/A,FALSE,"CTT_CLO"}</definedName>
    <definedName name="wrn.scheduleEF." hidden="1">{"scheduleEF",#N/A,FALSE,"CTT_CLO"}</definedName>
    <definedName name="wrn.scheduleF." localSheetId="16" hidden="1">{"scheduleF",#N/A,FALSE,"CTT_CLO"}</definedName>
    <definedName name="wrn.scheduleF." localSheetId="1" hidden="1">{"scheduleF",#N/A,FALSE,"CTT_CLO"}</definedName>
    <definedName name="wrn.scheduleF." hidden="1">{"scheduleF",#N/A,FALSE,"CTT_CLO"}</definedName>
    <definedName name="wrn.schedules." localSheetId="16" hidden="1">{"schedules",#N/A,FALSE,"CTT_CLO";"scheduleA",#N/A,FALSE,"CTT_CLO";"scheduleB",#N/A,FALSE,"CTT_CLO";"scheduleCD",#N/A,FALSE,"CTT_CLO";"scheduleEF",#N/A,FALSE,"CTT_CLO"}</definedName>
    <definedName name="wrn.schedules." localSheetId="1" hidden="1">{"schedules",#N/A,FALSE,"CTT_CLO";"scheduleA",#N/A,FALSE,"CTT_CLO";"scheduleB",#N/A,FALSE,"CTT_CLO";"scheduleCD",#N/A,FALSE,"CTT_CLO";"scheduleEF",#N/A,FALSE,"CTT_CLO"}</definedName>
    <definedName name="wrn.schedules." hidden="1">{"schedules",#N/A,FALSE,"CTT_CLO";"scheduleA",#N/A,FALSE,"CTT_CLO";"scheduleB",#N/A,FALSE,"CTT_CLO";"scheduleCD",#N/A,FALSE,"CTT_CLO";"scheduleEF",#N/A,FALSE,"CTT_CLO"}</definedName>
    <definedName name="wrn.SP2." localSheetId="16" hidden="1">{#N/A,#N/A,FALSE,"SP2"}</definedName>
    <definedName name="wrn.SP2." localSheetId="1" hidden="1">{#N/A,#N/A,FALSE,"SP2"}</definedName>
    <definedName name="wrn.SP2." hidden="1">{#N/A,#N/A,FALSE,"SP2"}</definedName>
    <definedName name="wrn.SPG._.Estimate." localSheetId="16" hidden="1">{#N/A,#N/A,FALSE,"Detail";#N/A,#N/A,FALSE,"Totals"}</definedName>
    <definedName name="wrn.SPG._.Estimate." localSheetId="14" hidden="1">{#N/A,#N/A,FALSE,"Detail";#N/A,#N/A,FALSE,"Totals"}</definedName>
    <definedName name="wrn.SPG._.Estimate." localSheetId="15" hidden="1">{#N/A,#N/A,FALSE,"Detail";#N/A,#N/A,FALSE,"Totals"}</definedName>
    <definedName name="wrn.SPG._.Estimate." localSheetId="24" hidden="1">{#N/A,#N/A,FALSE,"Detail";#N/A,#N/A,FALSE,"Totals"}</definedName>
    <definedName name="wrn.SPG._.Estimate." hidden="1">{#N/A,#N/A,FALSE,"Detail";#N/A,#N/A,FALSE,"Totals"}</definedName>
    <definedName name="wrn.Summary." localSheetId="16" hidden="1">{"Annual Cash Flows",#N/A,FALSE,"Annual Summary";"qtrl1",#N/A,FALSE,"QTLY Summary";"qtrl2",#N/A,FALSE,"QTLY Summary";"qtrl3",#N/A,FALSE,"QTLY Summary";"qtrl4",#N/A,FALSE,"QTLY Summary";"qtrl5",#N/A,FALSE,"QTLY Summary";"qtrl6",#N/A,FALSE,"QTLY Summary"}</definedName>
    <definedName name="wrn.Summary." localSheetId="14" hidden="1">{"Annual Cash Flows",#N/A,FALSE,"Annual Summary";"qtrl1",#N/A,FALSE,"QTLY Summary";"qtrl2",#N/A,FALSE,"QTLY Summary";"qtrl3",#N/A,FALSE,"QTLY Summary";"qtrl4",#N/A,FALSE,"QTLY Summary";"qtrl5",#N/A,FALSE,"QTLY Summary";"qtrl6",#N/A,FALSE,"QTLY Summary"}</definedName>
    <definedName name="wrn.Summary." localSheetId="15" hidden="1">{"Annual Cash Flows",#N/A,FALSE,"Annual Summary";"qtrl1",#N/A,FALSE,"QTLY Summary";"qtrl2",#N/A,FALSE,"QTLY Summary";"qtrl3",#N/A,FALSE,"QTLY Summary";"qtrl4",#N/A,FALSE,"QTLY Summary";"qtrl5",#N/A,FALSE,"QTLY Summary";"qtrl6",#N/A,FALSE,"QTLY Summary"}</definedName>
    <definedName name="wrn.Summary." localSheetId="24" hidden="1">{"Annual Cash Flows",#N/A,FALSE,"Annual Summary";"qtrl1",#N/A,FALSE,"QTLY Summary";"qtrl2",#N/A,FALSE,"QTLY Summary";"qtrl3",#N/A,FALSE,"QTLY Summary";"qtrl4",#N/A,FALSE,"QTLY Summary";"qtrl5",#N/A,FALSE,"QTLY Summary";"qtrl6",#N/A,FALSE,"QTLY Summary"}</definedName>
    <definedName name="wrn.Summary." hidden="1">{"Annual Cash Flows",#N/A,FALSE,"Annual Summary";"qtrl1",#N/A,FALSE,"QTLY Summary";"qtrl2",#N/A,FALSE,"QTLY Summary";"qtrl3",#N/A,FALSE,"QTLY Summary";"qtrl4",#N/A,FALSE,"QTLY Summary";"qtrl5",#N/A,FALSE,"QTLY Summary";"qtrl6",#N/A,FALSE,"QTLY Summary"}</definedName>
    <definedName name="wrn.taxes." localSheetId="16" hidden="1">{"taxes",#N/A,FALSE,"CTT_CLO"}</definedName>
    <definedName name="wrn.taxes." localSheetId="1" hidden="1">{"taxes",#N/A,FALSE,"CTT_CLO"}</definedName>
    <definedName name="wrn.taxes." hidden="1">{"taxes",#N/A,FALSE,"CTT_CLO"}</definedName>
    <definedName name="wrn.total._.closing." localSheetId="16" hidden="1">{"page1",#N/A,FALSE,"CTT_CLO";"page2",#N/A,FALSE,"CTT_CLO";"schedules",#N/A,FALSE,"CTT_CLO";"scheduleA",#N/A,FALSE,"CTT_CLO";"scheduleBC",#N/A,FALSE,"CTT_CLO";"scheduleDE",#N/A,FALSE,"CTT_CLO";"scheduleF",#N/A,FALSE,"CTT_CLO"}</definedName>
    <definedName name="wrn.total._.closing." localSheetId="1" hidden="1">{"page1",#N/A,FALSE,"CTT_CLO";"page2",#N/A,FALSE,"CTT_CLO";"schedules",#N/A,FALSE,"CTT_CLO";"scheduleA",#N/A,FALSE,"CTT_CLO";"scheduleBC",#N/A,FALSE,"CTT_CLO";"scheduleDE",#N/A,FALSE,"CTT_CLO";"scheduleF",#N/A,FALSE,"CTT_CLO"}</definedName>
    <definedName name="wrn.total._.closing." hidden="1">{"page1",#N/A,FALSE,"CTT_CLO";"page2",#N/A,FALSE,"CTT_CLO";"schedules",#N/A,FALSE,"CTT_CLO";"scheduleA",#N/A,FALSE,"CTT_CLO";"scheduleBC",#N/A,FALSE,"CTT_CLO";"scheduleDE",#N/A,FALSE,"CTT_CLO";"scheduleF",#N/A,FALSE,"CTT_CLO"}</definedName>
    <definedName name="wrn.Yield._.Graph." localSheetId="16" hidden="1">{#N/A,#N/A,FALSE,"Yield Graph"}</definedName>
    <definedName name="wrn.Yield._.Graph." localSheetId="14" hidden="1">{#N/A,#N/A,FALSE,"Yield Graph"}</definedName>
    <definedName name="wrn.Yield._.Graph." localSheetId="15" hidden="1">{#N/A,#N/A,FALSE,"Yield Graph"}</definedName>
    <definedName name="wrn.Yield._.Graph." localSheetId="24" hidden="1">{#N/A,#N/A,FALSE,"Yield Graph"}</definedName>
    <definedName name="wrn.Yield._.Graph." hidden="1">{#N/A,#N/A,FALSE,"Yield Graph"}</definedName>
    <definedName name="wrn.Yield._.Graph._.plus._.Input." localSheetId="16" hidden="1">{#N/A,#N/A,FALSE,"Yield Graph";#N/A,#N/A,FALSE,"Rent Roll";#N/A,#N/A,FALSE,"OE Yr1";#N/A,#N/A,FALSE,"Repl.Cst.+Ins."}</definedName>
    <definedName name="wrn.Yield._.Graph._.plus._.Input." localSheetId="14" hidden="1">{#N/A,#N/A,FALSE,"Yield Graph";#N/A,#N/A,FALSE,"Rent Roll";#N/A,#N/A,FALSE,"OE Yr1";#N/A,#N/A,FALSE,"Repl.Cst.+Ins."}</definedName>
    <definedName name="wrn.Yield._.Graph._.plus._.Input." localSheetId="15" hidden="1">{#N/A,#N/A,FALSE,"Yield Graph";#N/A,#N/A,FALSE,"Rent Roll";#N/A,#N/A,FALSE,"OE Yr1";#N/A,#N/A,FALSE,"Repl.Cst.+Ins."}</definedName>
    <definedName name="wrn.Yield._.Graph._.plus._.Input." localSheetId="24" hidden="1">{#N/A,#N/A,FALSE,"Yield Graph";#N/A,#N/A,FALSE,"Rent Roll";#N/A,#N/A,FALSE,"OE Yr1";#N/A,#N/A,FALSE,"Repl.Cst.+Ins."}</definedName>
    <definedName name="wrn.Yield._.Graph._.plus._.Input." hidden="1">{#N/A,#N/A,FALSE,"Yield Graph";#N/A,#N/A,FALSE,"Rent Roll";#N/A,#N/A,FALSE,"OE Yr1";#N/A,#N/A,FALSE,"Repl.Cst.+Ins."}</definedName>
    <definedName name="wrnpkg" localSheetId="16" hidden="1">{#N/A,#N/A,FALSE,"Income Stmt";#N/A,#N/A,FALSE,"Income Summary"}</definedName>
    <definedName name="wrnpkg" localSheetId="1" hidden="1">{#N/A,#N/A,FALSE,"Income Stmt";#N/A,#N/A,FALSE,"Income Summary"}</definedName>
    <definedName name="wrnpkg" hidden="1">{#N/A,#N/A,FALSE,"Income Stmt";#N/A,#N/A,FALSE,"Income Summary"}</definedName>
    <definedName name="wrnpkgs" localSheetId="16" hidden="1">{#N/A,#N/A,FALSE,"Income Stmt";#N/A,#N/A,FALSE,"Income Summary"}</definedName>
    <definedName name="wrnpkgs" localSheetId="1" hidden="1">{#N/A,#N/A,FALSE,"Income Stmt";#N/A,#N/A,FALSE,"Income Summary"}</definedName>
    <definedName name="wrnpkgs" hidden="1">{#N/A,#N/A,FALSE,"Income Stmt";#N/A,#N/A,FALSE,"Income Summary"}</definedName>
    <definedName name="wvu.Escalation._.Table." localSheetId="16" hidden="1">{TRUE,TRUE,-1.25,-15.5,484.5,276.75,FALSE,TRUE,TRUE,TRUE,0,14,#N/A,20,#N/A,6.39784946236559,14.6190476190476,1,FALSE,FALSE,3,TRUE,1,FALSE,100,"Swvu.Escalation._.Table.","ACwvu.Escalation._.Table.",#N/A,FALSE,FALSE,0.51,0.5,0.5,1,2,"","",FALSE,FALSE,FALSE,FALSE,1,#N/A,1,3,FALSE,FALSE,#N/A,#N/A,FALSE,FALSE,FALSE,5,65532,300,FALSE,FALSE,TRUE,TRUE,TRUE}</definedName>
    <definedName name="wvu.Escalation._.Table." localSheetId="1" hidden="1">{TRUE,TRUE,-1.25,-15.5,484.5,276.75,FALSE,TRUE,TRUE,TRUE,0,14,#N/A,20,#N/A,6.39784946236559,14.6190476190476,1,FALSE,FALSE,3,TRUE,1,FALSE,100,"Swvu.Escalation._.Table.","ACwvu.Escalation._.Table.",#N/A,FALSE,FALSE,0.51,0.5,0.5,1,2,"","",FALSE,FALSE,FALSE,FALSE,1,#N/A,1,3,FALSE,FALSE,#N/A,#N/A,FALSE,FALSE,FALSE,5,65532,300,FALSE,FALSE,TRUE,TRUE,TRUE}</definedName>
    <definedName name="wvu.Escalation._.Table." hidden="1">{TRUE,TRUE,-1.25,-15.5,484.5,276.75,FALSE,TRUE,TRUE,TRUE,0,14,#N/A,20,#N/A,6.39784946236559,14.6190476190476,1,FALSE,FALSE,3,TRUE,1,FALSE,100,"Swvu.Escalation._.Table.","ACwvu.Escalation._.Table.",#N/A,FALSE,FALSE,0.51,0.5,0.5,1,2,"","",FALSE,FALSE,FALSE,FALSE,1,#N/A,1,3,FALSE,FALSE,#N/A,#N/A,FALSE,FALSE,FALSE,5,65532,300,FALSE,FALSE,TRUE,TRUE,TRUE}</definedName>
    <definedName name="XX">IF(#REF!&lt;&gt;"",MIN(#REF!,Pmt_to_use-#REF!),"")</definedName>
    <definedName name="Year">#REF!</definedName>
    <definedName name="Year_End" localSheetId="24">DATEVALUE("12/31/"&amp;TEXT(#REF!,"0000"))</definedName>
    <definedName name="Z">#REF!</definedName>
  </definedNames>
  <calcPr calcId="191029" iterate="1"/>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17" i="1" l="1"/>
  <c r="H28" i="2" l="1"/>
  <c r="G28" i="2"/>
  <c r="H23" i="2"/>
  <c r="G23" i="2"/>
  <c r="L78" i="1"/>
  <c r="C99" i="52" l="1"/>
  <c r="D99" i="52"/>
  <c r="E99" i="52"/>
  <c r="F99" i="52"/>
  <c r="G99" i="52"/>
  <c r="C90" i="52"/>
  <c r="BS109" i="2"/>
  <c r="BS107" i="2"/>
  <c r="F64" i="1"/>
  <c r="C95" i="52" l="1"/>
  <c r="C96" i="52"/>
  <c r="C97" i="52"/>
  <c r="C98" i="52"/>
  <c r="C94" i="52"/>
  <c r="T21" i="1"/>
  <c r="T22" i="1" s="1"/>
  <c r="T23" i="1" s="1"/>
  <c r="T24" i="1" s="1"/>
  <c r="T25" i="1" s="1"/>
  <c r="T20" i="1"/>
  <c r="C86" i="52"/>
  <c r="C87" i="52"/>
  <c r="C88" i="52"/>
  <c r="C89" i="52"/>
  <c r="C85" i="52"/>
  <c r="T10" i="1"/>
  <c r="T11" i="1" s="1"/>
  <c r="T12" i="1" s="1"/>
  <c r="T13" i="1" s="1"/>
  <c r="T14" i="1" s="1"/>
  <c r="T9" i="1"/>
  <c r="U30" i="1"/>
  <c r="D84" i="52" s="1"/>
  <c r="D93" i="52" s="1"/>
  <c r="U32" i="1"/>
  <c r="U33" i="1"/>
  <c r="U34" i="1"/>
  <c r="U35" i="1"/>
  <c r="U36" i="1"/>
  <c r="D90" i="52" s="1"/>
  <c r="U37" i="1"/>
  <c r="U31" i="1"/>
  <c r="U18" i="1"/>
  <c r="G57" i="52"/>
  <c r="HB174" i="2"/>
  <c r="HC174" i="2"/>
  <c r="HD174" i="2"/>
  <c r="HE174" i="2"/>
  <c r="GU175" i="2"/>
  <c r="GV175" i="2"/>
  <c r="GW175" i="2"/>
  <c r="GX175" i="2"/>
  <c r="GY175" i="2"/>
  <c r="GZ175" i="2"/>
  <c r="HA175" i="2"/>
  <c r="HB175" i="2"/>
  <c r="HC175" i="2"/>
  <c r="HD175" i="2"/>
  <c r="HE175" i="2"/>
  <c r="GU176" i="2"/>
  <c r="GV176" i="2"/>
  <c r="GW176" i="2"/>
  <c r="GX176" i="2"/>
  <c r="GY176" i="2"/>
  <c r="GZ176" i="2"/>
  <c r="HA176" i="2"/>
  <c r="HB176" i="2"/>
  <c r="HC176" i="2"/>
  <c r="HD176" i="2"/>
  <c r="HE176" i="2"/>
  <c r="GU177" i="2"/>
  <c r="GV177" i="2"/>
  <c r="GW177" i="2"/>
  <c r="GX177" i="2"/>
  <c r="GY177" i="2"/>
  <c r="GZ177" i="2"/>
  <c r="HA177" i="2"/>
  <c r="HB177" i="2"/>
  <c r="HC177" i="2"/>
  <c r="HD177" i="2"/>
  <c r="HE177" i="2"/>
  <c r="GD182" i="2"/>
  <c r="GE182" i="2"/>
  <c r="GF182" i="2"/>
  <c r="GG182" i="2"/>
  <c r="GH182" i="2"/>
  <c r="GI182" i="2"/>
  <c r="GJ182" i="2"/>
  <c r="GK182" i="2"/>
  <c r="GL182" i="2"/>
  <c r="GM182" i="2"/>
  <c r="GN182" i="2"/>
  <c r="GO182" i="2"/>
  <c r="GU182" i="2"/>
  <c r="GV182" i="2"/>
  <c r="GW182" i="2"/>
  <c r="GX182" i="2"/>
  <c r="GY182" i="2"/>
  <c r="GZ182" i="2"/>
  <c r="HA182" i="2"/>
  <c r="HB182" i="2"/>
  <c r="HC182" i="2"/>
  <c r="HD182" i="2"/>
  <c r="HE182" i="2"/>
  <c r="GD183" i="2"/>
  <c r="GE183" i="2"/>
  <c r="GF183" i="2"/>
  <c r="GG183" i="2"/>
  <c r="GH183" i="2"/>
  <c r="GI183" i="2"/>
  <c r="GJ183" i="2"/>
  <c r="GK183" i="2"/>
  <c r="GL183" i="2"/>
  <c r="GM183" i="2"/>
  <c r="GN183" i="2"/>
  <c r="GO183" i="2"/>
  <c r="GU183" i="2"/>
  <c r="GV183" i="2"/>
  <c r="GW183" i="2"/>
  <c r="GX183" i="2"/>
  <c r="GY183" i="2"/>
  <c r="GZ183" i="2"/>
  <c r="HA183" i="2"/>
  <c r="HB183" i="2"/>
  <c r="HC183" i="2"/>
  <c r="HD183" i="2"/>
  <c r="HE183" i="2"/>
  <c r="GD179" i="2"/>
  <c r="GE179" i="2"/>
  <c r="GF179" i="2"/>
  <c r="GG179" i="2"/>
  <c r="GH179" i="2"/>
  <c r="GI179" i="2"/>
  <c r="GJ179" i="2"/>
  <c r="GK179" i="2"/>
  <c r="GL179" i="2"/>
  <c r="GM179" i="2"/>
  <c r="GN179" i="2"/>
  <c r="GO179" i="2"/>
  <c r="GU179" i="2"/>
  <c r="GV179" i="2"/>
  <c r="GW179" i="2"/>
  <c r="GX179" i="2"/>
  <c r="GY179" i="2"/>
  <c r="GZ179" i="2"/>
  <c r="HA179" i="2"/>
  <c r="HB179" i="2"/>
  <c r="HC179" i="2"/>
  <c r="HD179" i="2"/>
  <c r="HE179" i="2"/>
  <c r="L20" i="1"/>
  <c r="HD178" i="2" l="1"/>
  <c r="HE178" i="2"/>
  <c r="HC178" i="2"/>
  <c r="HB178" i="2"/>
  <c r="BW194" i="2" l="1"/>
  <c r="BX194" i="2"/>
  <c r="BY194" i="2"/>
  <c r="BZ194" i="2"/>
  <c r="CA194" i="2"/>
  <c r="CB194" i="2"/>
  <c r="CC194" i="2"/>
  <c r="CD194" i="2"/>
  <c r="CE194" i="2"/>
  <c r="CF194" i="2"/>
  <c r="CG194" i="2"/>
  <c r="CH194" i="2"/>
  <c r="CI194" i="2"/>
  <c r="CJ194" i="2"/>
  <c r="CK194" i="2"/>
  <c r="CL194" i="2"/>
  <c r="CM194" i="2"/>
  <c r="CN194" i="2"/>
  <c r="CO194" i="2"/>
  <c r="CP194" i="2"/>
  <c r="CQ194" i="2"/>
  <c r="CR194" i="2"/>
  <c r="CS194" i="2"/>
  <c r="CT194" i="2"/>
  <c r="CU194" i="2"/>
  <c r="CV194" i="2"/>
  <c r="CW194" i="2"/>
  <c r="CX194" i="2"/>
  <c r="CY194" i="2"/>
  <c r="CZ194" i="2"/>
  <c r="DA194" i="2"/>
  <c r="DB194" i="2"/>
  <c r="DC194" i="2"/>
  <c r="DD194" i="2"/>
  <c r="DE194" i="2"/>
  <c r="DF194" i="2"/>
  <c r="DG194" i="2"/>
  <c r="DH194" i="2"/>
  <c r="DI194" i="2"/>
  <c r="DJ194" i="2"/>
  <c r="DK194" i="2"/>
  <c r="DL194" i="2"/>
  <c r="DM194" i="2"/>
  <c r="DN194" i="2"/>
  <c r="DO194" i="2"/>
  <c r="DP194" i="2"/>
  <c r="DQ194" i="2"/>
  <c r="DR194" i="2"/>
  <c r="DS194" i="2"/>
  <c r="DT194" i="2"/>
  <c r="DU194" i="2"/>
  <c r="DV194" i="2"/>
  <c r="DW194" i="2"/>
  <c r="DX194" i="2"/>
  <c r="DY194" i="2"/>
  <c r="DZ194" i="2"/>
  <c r="EA194" i="2"/>
  <c r="EB194" i="2"/>
  <c r="EC194" i="2"/>
  <c r="ED194" i="2"/>
  <c r="EE194" i="2"/>
  <c r="EF194" i="2"/>
  <c r="EG194" i="2"/>
  <c r="EH194" i="2"/>
  <c r="EI194" i="2"/>
  <c r="EJ194" i="2"/>
  <c r="EK194" i="2"/>
  <c r="EL194" i="2"/>
  <c r="EM194" i="2"/>
  <c r="EN194" i="2"/>
  <c r="EO194" i="2"/>
  <c r="EP194" i="2"/>
  <c r="EQ194" i="2"/>
  <c r="ER194" i="2"/>
  <c r="ES194" i="2"/>
  <c r="ET194" i="2"/>
  <c r="EU194" i="2"/>
  <c r="EV194" i="2"/>
  <c r="EW194" i="2"/>
  <c r="EX194" i="2"/>
  <c r="EY194" i="2"/>
  <c r="EZ194" i="2"/>
  <c r="FA194" i="2"/>
  <c r="FB194" i="2"/>
  <c r="FC194" i="2"/>
  <c r="FD194" i="2"/>
  <c r="FE194" i="2"/>
  <c r="FF194" i="2"/>
  <c r="FG194" i="2"/>
  <c r="FH194" i="2"/>
  <c r="FI194" i="2"/>
  <c r="FJ194" i="2"/>
  <c r="FK194" i="2"/>
  <c r="FL194" i="2"/>
  <c r="FM194" i="2"/>
  <c r="FN194" i="2"/>
  <c r="FO194" i="2"/>
  <c r="FP194" i="2"/>
  <c r="FQ194" i="2"/>
  <c r="FR194" i="2"/>
  <c r="FS194" i="2"/>
  <c r="FT194" i="2"/>
  <c r="FU194" i="2"/>
  <c r="FV194" i="2"/>
  <c r="FW194" i="2"/>
  <c r="FX194" i="2"/>
  <c r="FY194" i="2"/>
  <c r="FZ194" i="2"/>
  <c r="GA194" i="2"/>
  <c r="GB194" i="2"/>
  <c r="GC194" i="2"/>
  <c r="GD194" i="2"/>
  <c r="GE194" i="2"/>
  <c r="GF194" i="2"/>
  <c r="GG194" i="2"/>
  <c r="GH194" i="2"/>
  <c r="GI194" i="2"/>
  <c r="GJ194" i="2"/>
  <c r="GK194" i="2"/>
  <c r="GL194" i="2"/>
  <c r="GM194" i="2"/>
  <c r="GN194" i="2"/>
  <c r="GO194" i="2"/>
  <c r="GP194" i="2"/>
  <c r="GQ194" i="2"/>
  <c r="GR194" i="2"/>
  <c r="GS194" i="2"/>
  <c r="GT194" i="2"/>
  <c r="GU194" i="2"/>
  <c r="GV194" i="2"/>
  <c r="GW194" i="2"/>
  <c r="GX194" i="2"/>
  <c r="GY194" i="2"/>
  <c r="GZ194" i="2"/>
  <c r="HA194" i="2"/>
  <c r="HB194" i="2"/>
  <c r="HC194" i="2"/>
  <c r="HD194" i="2"/>
  <c r="HE194" i="2"/>
  <c r="B181" i="2"/>
  <c r="GD185" i="2"/>
  <c r="GE185" i="2"/>
  <c r="GF185" i="2"/>
  <c r="GG185" i="2"/>
  <c r="GH185" i="2"/>
  <c r="GI185" i="2"/>
  <c r="GJ185" i="2"/>
  <c r="GK185" i="2"/>
  <c r="GL185" i="2"/>
  <c r="GM185" i="2"/>
  <c r="GN185" i="2"/>
  <c r="GO185" i="2"/>
  <c r="GU185" i="2"/>
  <c r="GV185" i="2"/>
  <c r="GW185" i="2"/>
  <c r="GX185" i="2"/>
  <c r="GY185" i="2"/>
  <c r="GZ185" i="2"/>
  <c r="HA185" i="2"/>
  <c r="HB185" i="2"/>
  <c r="HC185" i="2"/>
  <c r="HD185" i="2"/>
  <c r="HE185" i="2"/>
  <c r="HE184" i="2"/>
  <c r="HD184" i="2"/>
  <c r="HC184" i="2"/>
  <c r="HB184" i="2"/>
  <c r="HA184" i="2"/>
  <c r="GZ184" i="2"/>
  <c r="GY184" i="2"/>
  <c r="GX184" i="2"/>
  <c r="GW184" i="2"/>
  <c r="GV184" i="2"/>
  <c r="GU184" i="2"/>
  <c r="GO184" i="2"/>
  <c r="GN184" i="2"/>
  <c r="GM184" i="2"/>
  <c r="GL184" i="2"/>
  <c r="GK184" i="2"/>
  <c r="GJ184" i="2"/>
  <c r="GI184" i="2"/>
  <c r="GH184" i="2"/>
  <c r="GG184" i="2"/>
  <c r="GF184" i="2"/>
  <c r="GE184" i="2"/>
  <c r="GD184" i="2"/>
  <c r="HE168" i="2"/>
  <c r="HE169" i="2" s="1"/>
  <c r="HD168" i="2"/>
  <c r="HD169" i="2" s="1"/>
  <c r="HC168" i="2"/>
  <c r="HC169" i="2" s="1"/>
  <c r="HB168" i="2"/>
  <c r="HB169" i="2" s="1"/>
  <c r="HA168" i="2"/>
  <c r="HA169" i="2" s="1"/>
  <c r="GZ168" i="2"/>
  <c r="GZ169" i="2" s="1"/>
  <c r="GY168" i="2"/>
  <c r="GY169" i="2" s="1"/>
  <c r="GX168" i="2"/>
  <c r="GX169" i="2" s="1"/>
  <c r="GW168" i="2"/>
  <c r="GW169" i="2" s="1"/>
  <c r="GV168" i="2"/>
  <c r="GV169" i="2" s="1"/>
  <c r="GU168" i="2"/>
  <c r="GU169" i="2" s="1"/>
  <c r="GO168" i="2"/>
  <c r="GO169" i="2" s="1"/>
  <c r="GN168" i="2"/>
  <c r="GN169" i="2" s="1"/>
  <c r="GM168" i="2"/>
  <c r="GM169" i="2" s="1"/>
  <c r="GL168" i="2"/>
  <c r="GL169" i="2" s="1"/>
  <c r="GK168" i="2"/>
  <c r="GK169" i="2" s="1"/>
  <c r="GJ168" i="2"/>
  <c r="GJ169" i="2" s="1"/>
  <c r="GI168" i="2"/>
  <c r="GI169" i="2" s="1"/>
  <c r="GH168" i="2"/>
  <c r="GH169" i="2" s="1"/>
  <c r="GG168" i="2"/>
  <c r="GG169" i="2" s="1"/>
  <c r="GF168" i="2"/>
  <c r="GF169" i="2" s="1"/>
  <c r="GE168" i="2"/>
  <c r="GE169" i="2" s="1"/>
  <c r="GD168" i="2"/>
  <c r="GD169" i="2" s="1"/>
  <c r="HB161" i="2"/>
  <c r="HC161" i="2"/>
  <c r="HD161" i="2"/>
  <c r="HE161" i="2"/>
  <c r="BU166" i="2"/>
  <c r="BV166" i="2"/>
  <c r="BW166" i="2"/>
  <c r="BX166" i="2"/>
  <c r="BY166" i="2"/>
  <c r="BT166" i="2"/>
  <c r="CD25" i="2" l="1"/>
  <c r="CB9" i="2"/>
  <c r="CF27" i="2"/>
  <c r="CA27" i="2"/>
  <c r="CH27" i="2"/>
  <c r="CB27" i="2"/>
  <c r="CA33" i="2"/>
  <c r="CD33" i="2"/>
  <c r="CD27" i="2"/>
  <c r="BY27" i="2"/>
  <c r="BX27" i="2"/>
  <c r="BX36" i="2"/>
  <c r="BW36" i="2"/>
  <c r="GU20" i="2" l="1"/>
  <c r="GU174" i="2" s="1"/>
  <c r="GU178" i="2" s="1"/>
  <c r="GV20" i="2"/>
  <c r="GV174" i="2" s="1"/>
  <c r="GV178" i="2" s="1"/>
  <c r="GW20" i="2"/>
  <c r="GW174" i="2" s="1"/>
  <c r="GW178" i="2" s="1"/>
  <c r="GX20" i="2"/>
  <c r="GX174" i="2" s="1"/>
  <c r="GX178" i="2" s="1"/>
  <c r="GY20" i="2"/>
  <c r="GY174" i="2" s="1"/>
  <c r="GY178" i="2" s="1"/>
  <c r="GZ20" i="2"/>
  <c r="GZ174" i="2" s="1"/>
  <c r="GZ178" i="2" s="1"/>
  <c r="HA20" i="2"/>
  <c r="HA174" i="2" s="1"/>
  <c r="HA178" i="2" s="1"/>
  <c r="F60" i="16" l="1"/>
  <c r="F62" i="16" s="1"/>
  <c r="BZ67" i="2"/>
  <c r="CA67" i="2"/>
  <c r="CB67" i="2"/>
  <c r="CC67" i="2"/>
  <c r="CD67" i="2"/>
  <c r="CE67" i="2"/>
  <c r="CF67" i="2"/>
  <c r="CG67" i="2"/>
  <c r="CH67" i="2"/>
  <c r="BS3" i="36" l="1"/>
  <c r="CA54" i="2" s="1"/>
  <c r="BT3" i="36"/>
  <c r="CB54" i="2" s="1"/>
  <c r="BU3" i="36"/>
  <c r="CC54" i="2" s="1"/>
  <c r="BV3" i="36"/>
  <c r="CD54" i="2" s="1"/>
  <c r="BW3" i="36"/>
  <c r="CE54" i="2" s="1"/>
  <c r="BX3" i="36"/>
  <c r="CF54" i="2" s="1"/>
  <c r="BY3" i="36"/>
  <c r="CG54" i="2" s="1"/>
  <c r="BZ3" i="36"/>
  <c r="CH54" i="2" s="1"/>
  <c r="BS4" i="36"/>
  <c r="CA55" i="2" s="1"/>
  <c r="BT4" i="36"/>
  <c r="CB55" i="2" s="1"/>
  <c r="BU4" i="36"/>
  <c r="CC55" i="2" s="1"/>
  <c r="BV4" i="36"/>
  <c r="CD55" i="2" s="1"/>
  <c r="BW4" i="36"/>
  <c r="CE55" i="2" s="1"/>
  <c r="BX4" i="36"/>
  <c r="CF55" i="2" s="1"/>
  <c r="BY4" i="36"/>
  <c r="CG55" i="2" s="1"/>
  <c r="BZ4" i="36"/>
  <c r="CH55" i="2" s="1"/>
  <c r="BS5" i="36"/>
  <c r="CA56" i="2" s="1"/>
  <c r="BT5" i="36"/>
  <c r="CB56" i="2" s="1"/>
  <c r="BU5" i="36"/>
  <c r="CC56" i="2" s="1"/>
  <c r="BV5" i="36"/>
  <c r="CD56" i="2" s="1"/>
  <c r="BW5" i="36"/>
  <c r="CE56" i="2" s="1"/>
  <c r="BX5" i="36"/>
  <c r="CF56" i="2" s="1"/>
  <c r="BY5" i="36"/>
  <c r="CG56" i="2" s="1"/>
  <c r="BZ5" i="36"/>
  <c r="CH56" i="2" s="1"/>
  <c r="BS6" i="36"/>
  <c r="CA57" i="2" s="1"/>
  <c r="BT6" i="36"/>
  <c r="CB57" i="2" s="1"/>
  <c r="BU6" i="36"/>
  <c r="CC57" i="2" s="1"/>
  <c r="BV6" i="36"/>
  <c r="CD57" i="2" s="1"/>
  <c r="BW6" i="36"/>
  <c r="CE57" i="2" s="1"/>
  <c r="BX6" i="36"/>
  <c r="CF57" i="2" s="1"/>
  <c r="BY6" i="36"/>
  <c r="CG57" i="2" s="1"/>
  <c r="BZ6" i="36"/>
  <c r="CH57" i="2" s="1"/>
  <c r="BS7" i="36"/>
  <c r="CA58" i="2" s="1"/>
  <c r="BT7" i="36"/>
  <c r="CB58" i="2" s="1"/>
  <c r="BU7" i="36"/>
  <c r="CC58" i="2" s="1"/>
  <c r="BV7" i="36"/>
  <c r="CD58" i="2" s="1"/>
  <c r="BW7" i="36"/>
  <c r="CE58" i="2" s="1"/>
  <c r="BX7" i="36"/>
  <c r="CF58" i="2" s="1"/>
  <c r="BY7" i="36"/>
  <c r="BZ7" i="36"/>
  <c r="CH58" i="2" s="1"/>
  <c r="BS8" i="36"/>
  <c r="CA59" i="2" s="1"/>
  <c r="BT8" i="36"/>
  <c r="CB59" i="2" s="1"/>
  <c r="BU8" i="36"/>
  <c r="CC59" i="2" s="1"/>
  <c r="BV8" i="36"/>
  <c r="CD59" i="2" s="1"/>
  <c r="BW8" i="36"/>
  <c r="CE59" i="2" s="1"/>
  <c r="BX8" i="36"/>
  <c r="CF59" i="2" s="1"/>
  <c r="BY8" i="36"/>
  <c r="CG59" i="2" s="1"/>
  <c r="BZ8" i="36"/>
  <c r="CH59" i="2" s="1"/>
  <c r="BS9" i="36"/>
  <c r="BT9" i="36"/>
  <c r="BU9" i="36"/>
  <c r="BW9" i="36"/>
  <c r="BS10" i="36"/>
  <c r="BS11" i="36" s="1"/>
  <c r="BT10" i="36"/>
  <c r="BT11" i="36" s="1"/>
  <c r="BU10" i="36"/>
  <c r="BV10" i="36"/>
  <c r="BW10" i="36"/>
  <c r="BX10" i="36"/>
  <c r="BY10" i="36"/>
  <c r="BZ10" i="36"/>
  <c r="BU11" i="36"/>
  <c r="BW11" i="36"/>
  <c r="BS14" i="36"/>
  <c r="BT14" i="36"/>
  <c r="BU14" i="36"/>
  <c r="BV14" i="36"/>
  <c r="BW14" i="36"/>
  <c r="BX14" i="36"/>
  <c r="BY14" i="36"/>
  <c r="BZ14" i="36"/>
  <c r="BS16" i="36"/>
  <c r="CA68" i="2" s="1"/>
  <c r="BT16" i="36"/>
  <c r="CB68" i="2" s="1"/>
  <c r="BU16" i="36"/>
  <c r="CC68" i="2" s="1"/>
  <c r="BV16" i="36"/>
  <c r="CD68" i="2" s="1"/>
  <c r="BW16" i="36"/>
  <c r="CE68" i="2" s="1"/>
  <c r="BX16" i="36"/>
  <c r="CF68" i="2" s="1"/>
  <c r="BY16" i="36"/>
  <c r="CG68" i="2" s="1"/>
  <c r="BZ16" i="36"/>
  <c r="CH68" i="2" s="1"/>
  <c r="BS17" i="36"/>
  <c r="CA69" i="2" s="1"/>
  <c r="BT17" i="36"/>
  <c r="CB69" i="2" s="1"/>
  <c r="BU17" i="36"/>
  <c r="CC69" i="2" s="1"/>
  <c r="BV17" i="36"/>
  <c r="CD69" i="2" s="1"/>
  <c r="BW17" i="36"/>
  <c r="CE69" i="2" s="1"/>
  <c r="BX17" i="36"/>
  <c r="CF69" i="2" s="1"/>
  <c r="BY17" i="36"/>
  <c r="CG69" i="2" s="1"/>
  <c r="BZ17" i="36"/>
  <c r="CH69" i="2" s="1"/>
  <c r="BS18" i="36"/>
  <c r="CA70" i="2" s="1"/>
  <c r="BT18" i="36"/>
  <c r="CB70" i="2" s="1"/>
  <c r="BU18" i="36"/>
  <c r="CC70" i="2" s="1"/>
  <c r="BV18" i="36"/>
  <c r="CD70" i="2" s="1"/>
  <c r="BW18" i="36"/>
  <c r="CE70" i="2" s="1"/>
  <c r="BX18" i="36"/>
  <c r="CF70" i="2" s="1"/>
  <c r="BY18" i="36"/>
  <c r="CG70" i="2" s="1"/>
  <c r="BZ18" i="36"/>
  <c r="CH70" i="2" s="1"/>
  <c r="BS19" i="36"/>
  <c r="CA71" i="2" s="1"/>
  <c r="BT19" i="36"/>
  <c r="CB71" i="2" s="1"/>
  <c r="BU19" i="36"/>
  <c r="CC71" i="2" s="1"/>
  <c r="BV19" i="36"/>
  <c r="CD71" i="2" s="1"/>
  <c r="BW19" i="36"/>
  <c r="CE71" i="2" s="1"/>
  <c r="BX19" i="36"/>
  <c r="CF71" i="2" s="1"/>
  <c r="BY19" i="36"/>
  <c r="CG71" i="2" s="1"/>
  <c r="BZ19" i="36"/>
  <c r="CH71" i="2" s="1"/>
  <c r="BS20" i="36"/>
  <c r="CA72" i="2" s="1"/>
  <c r="BT20" i="36"/>
  <c r="CB72" i="2" s="1"/>
  <c r="BU20" i="36"/>
  <c r="CC72" i="2" s="1"/>
  <c r="BV20" i="36"/>
  <c r="CD72" i="2" s="1"/>
  <c r="BW20" i="36"/>
  <c r="CE72" i="2" s="1"/>
  <c r="BX20" i="36"/>
  <c r="CF72" i="2" s="1"/>
  <c r="BY20" i="36"/>
  <c r="CG72" i="2" s="1"/>
  <c r="BZ20" i="36"/>
  <c r="CH72" i="2" s="1"/>
  <c r="BS25" i="36"/>
  <c r="BT25" i="36"/>
  <c r="BU25" i="36"/>
  <c r="BV25" i="36"/>
  <c r="BW25" i="36"/>
  <c r="BX25" i="36"/>
  <c r="BY25" i="36"/>
  <c r="BZ25" i="36"/>
  <c r="BS26" i="36"/>
  <c r="BT26" i="36"/>
  <c r="BU26" i="36"/>
  <c r="BV26" i="36"/>
  <c r="BW26" i="36"/>
  <c r="BX26" i="36"/>
  <c r="BY26" i="36"/>
  <c r="BZ26" i="36"/>
  <c r="BR26" i="36"/>
  <c r="BR25" i="36"/>
  <c r="BR20" i="36"/>
  <c r="BZ72" i="2" s="1"/>
  <c r="BR19" i="36"/>
  <c r="BZ71" i="2" s="1"/>
  <c r="BR18" i="36"/>
  <c r="BZ70" i="2" s="1"/>
  <c r="BR17" i="36"/>
  <c r="BZ69" i="2" s="1"/>
  <c r="BR16" i="36"/>
  <c r="BZ68" i="2" s="1"/>
  <c r="BR14" i="36"/>
  <c r="BR10" i="36"/>
  <c r="BR8" i="36"/>
  <c r="BZ59" i="2" s="1"/>
  <c r="BR7" i="36"/>
  <c r="BZ58" i="2" s="1"/>
  <c r="BR6" i="36"/>
  <c r="BZ57" i="2" s="1"/>
  <c r="BR5" i="36"/>
  <c r="BZ56" i="2" s="1"/>
  <c r="BR4" i="36"/>
  <c r="BZ55" i="2" s="1"/>
  <c r="BR3" i="36"/>
  <c r="BW147" i="2"/>
  <c r="BX147" i="2"/>
  <c r="BY147" i="2"/>
  <c r="BW65" i="2"/>
  <c r="BX65" i="2"/>
  <c r="BY65" i="2"/>
  <c r="BW66" i="2"/>
  <c r="BX66" i="2"/>
  <c r="BY66" i="2"/>
  <c r="BW67" i="2"/>
  <c r="BX67" i="2"/>
  <c r="BY67" i="2"/>
  <c r="BW68" i="2"/>
  <c r="BX68" i="2"/>
  <c r="BY68" i="2"/>
  <c r="BW69" i="2"/>
  <c r="BX69" i="2"/>
  <c r="BY69" i="2"/>
  <c r="BW70" i="2"/>
  <c r="BX70" i="2"/>
  <c r="BY70" i="2"/>
  <c r="BW71" i="2"/>
  <c r="BX71" i="2"/>
  <c r="BY71" i="2"/>
  <c r="BW72" i="2"/>
  <c r="BX72" i="2"/>
  <c r="BY72" i="2"/>
  <c r="BW54" i="2"/>
  <c r="BX54" i="2"/>
  <c r="BY54" i="2"/>
  <c r="BW55" i="2"/>
  <c r="BX55" i="2"/>
  <c r="BY55" i="2"/>
  <c r="BW56" i="2"/>
  <c r="BX56" i="2"/>
  <c r="BY56" i="2"/>
  <c r="BW57" i="2"/>
  <c r="BX57" i="2"/>
  <c r="BY57" i="2"/>
  <c r="BW58" i="2"/>
  <c r="BX58" i="2"/>
  <c r="BY58" i="2"/>
  <c r="BW59" i="2"/>
  <c r="BX59" i="2"/>
  <c r="BY59" i="2"/>
  <c r="BR2" i="36"/>
  <c r="BS2" i="36" s="1"/>
  <c r="BT2" i="36" s="1"/>
  <c r="BU2" i="36" s="1"/>
  <c r="BV2" i="36" s="1"/>
  <c r="BW2" i="36" s="1"/>
  <c r="BX2" i="36" s="1"/>
  <c r="BY2" i="36" s="1"/>
  <c r="BZ2" i="36" s="1"/>
  <c r="BX9" i="36" l="1"/>
  <c r="BX11" i="36" s="1"/>
  <c r="BZ147" i="2"/>
  <c r="BZ166" i="2"/>
  <c r="CB147" i="2"/>
  <c r="CB166" i="2"/>
  <c r="CD147" i="2"/>
  <c r="CD166" i="2"/>
  <c r="CC147" i="2"/>
  <c r="CC166" i="2"/>
  <c r="BV9" i="36"/>
  <c r="BV11" i="36" s="1"/>
  <c r="CH147" i="2"/>
  <c r="CH166" i="2"/>
  <c r="CE147" i="2"/>
  <c r="CE166" i="2"/>
  <c r="CG147" i="2"/>
  <c r="CG166" i="2"/>
  <c r="CA147" i="2"/>
  <c r="CA166" i="2"/>
  <c r="CF147" i="2"/>
  <c r="CF166" i="2"/>
  <c r="BZ9" i="36"/>
  <c r="BZ11" i="36" s="1"/>
  <c r="BY9" i="36"/>
  <c r="BY11" i="36" s="1"/>
  <c r="CG58" i="2"/>
  <c r="BT13" i="36"/>
  <c r="CB66" i="2"/>
  <c r="BR9" i="36"/>
  <c r="BR11" i="36" s="1"/>
  <c r="BZ54" i="2"/>
  <c r="BZ13" i="36"/>
  <c r="CH66" i="2"/>
  <c r="BY13" i="36"/>
  <c r="CG66" i="2"/>
  <c r="BX13" i="36"/>
  <c r="CF66" i="2"/>
  <c r="BS13" i="36"/>
  <c r="CA66" i="2"/>
  <c r="BW13" i="36"/>
  <c r="CE66" i="2"/>
  <c r="BV13" i="36"/>
  <c r="CD66" i="2"/>
  <c r="BR13" i="36"/>
  <c r="BZ66" i="2"/>
  <c r="BU13" i="36"/>
  <c r="CC66" i="2"/>
  <c r="BZ21" i="36" l="1"/>
  <c r="BZ23" i="36" s="1"/>
  <c r="BZ24" i="36" s="1"/>
  <c r="CH65" i="2"/>
  <c r="BS21" i="36"/>
  <c r="BS23" i="36" s="1"/>
  <c r="BS24" i="36" s="1"/>
  <c r="CA65" i="2"/>
  <c r="BW21" i="36"/>
  <c r="BW23" i="36" s="1"/>
  <c r="BW24" i="36" s="1"/>
  <c r="CE65" i="2"/>
  <c r="BT21" i="36"/>
  <c r="BT23" i="36" s="1"/>
  <c r="BT24" i="36" s="1"/>
  <c r="CB65" i="2"/>
  <c r="BX21" i="36"/>
  <c r="BX23" i="36" s="1"/>
  <c r="BX24" i="36" s="1"/>
  <c r="CF65" i="2"/>
  <c r="BU21" i="36"/>
  <c r="BU23" i="36" s="1"/>
  <c r="BU24" i="36" s="1"/>
  <c r="CC65" i="2"/>
  <c r="BV21" i="36"/>
  <c r="BV23" i="36" s="1"/>
  <c r="BV24" i="36" s="1"/>
  <c r="CD65" i="2"/>
  <c r="BY23" i="36"/>
  <c r="BY24" i="36" s="1"/>
  <c r="BR21" i="36"/>
  <c r="BR23" i="36" s="1"/>
  <c r="BR24" i="36" s="1"/>
  <c r="BZ65" i="2"/>
  <c r="BY21" i="36"/>
  <c r="CG65" i="2"/>
  <c r="BO26" i="36"/>
  <c r="BP26" i="36"/>
  <c r="BQ26" i="36"/>
  <c r="BO25" i="36"/>
  <c r="BP25" i="36"/>
  <c r="BQ25" i="36"/>
  <c r="BO16" i="36"/>
  <c r="BP16" i="36"/>
  <c r="BQ16" i="36"/>
  <c r="BO17" i="36"/>
  <c r="BP17" i="36"/>
  <c r="BQ17" i="36"/>
  <c r="BO18" i="36"/>
  <c r="BP18" i="36"/>
  <c r="BQ18" i="36"/>
  <c r="BO19" i="36"/>
  <c r="BP19" i="36"/>
  <c r="BQ19" i="36"/>
  <c r="BO20" i="36"/>
  <c r="BP20" i="36"/>
  <c r="BQ20" i="36"/>
  <c r="BO14" i="36"/>
  <c r="BP14" i="36"/>
  <c r="BQ14" i="36"/>
  <c r="BO3" i="36"/>
  <c r="BO9" i="36" s="1"/>
  <c r="BO11" i="36" s="1"/>
  <c r="BP3" i="36"/>
  <c r="BQ3" i="36"/>
  <c r="BO4" i="36"/>
  <c r="BP4" i="36"/>
  <c r="BQ4" i="36"/>
  <c r="BO5" i="36"/>
  <c r="BP5" i="36"/>
  <c r="BP9" i="36" s="1"/>
  <c r="BP11" i="36" s="1"/>
  <c r="BQ5" i="36"/>
  <c r="BQ9" i="36" s="1"/>
  <c r="BQ11" i="36" s="1"/>
  <c r="BO6" i="36"/>
  <c r="BP6" i="36"/>
  <c r="BQ6" i="36"/>
  <c r="BO7" i="36"/>
  <c r="BP7" i="36"/>
  <c r="BQ7" i="36"/>
  <c r="BO8" i="36"/>
  <c r="BP8" i="36"/>
  <c r="BQ8" i="36"/>
  <c r="BO10" i="36"/>
  <c r="BP10" i="36"/>
  <c r="BQ10" i="36"/>
  <c r="BO2" i="36"/>
  <c r="BP2" i="36"/>
  <c r="BQ2" i="36" s="1"/>
  <c r="F81" i="1"/>
  <c r="L84" i="1"/>
  <c r="BQ13" i="36" l="1"/>
  <c r="BQ21" i="36" s="1"/>
  <c r="BQ23" i="36" s="1"/>
  <c r="BQ24" i="36" s="1"/>
  <c r="BP13" i="36"/>
  <c r="BP21" i="36" s="1"/>
  <c r="BP23" i="36" s="1"/>
  <c r="BP24" i="36" s="1"/>
  <c r="BO13" i="36"/>
  <c r="BO21" i="36" s="1"/>
  <c r="BO23" i="36" s="1"/>
  <c r="BO24" i="36" s="1"/>
  <c r="D86" i="52"/>
  <c r="V32" i="1"/>
  <c r="E86" i="52" s="1"/>
  <c r="W32" i="1"/>
  <c r="F86" i="52" s="1"/>
  <c r="X32" i="1"/>
  <c r="G86" i="52" s="1"/>
  <c r="D87" i="52"/>
  <c r="V33" i="1"/>
  <c r="E87" i="52" s="1"/>
  <c r="W33" i="1"/>
  <c r="F87" i="52" s="1"/>
  <c r="X33" i="1"/>
  <c r="G87" i="52" s="1"/>
  <c r="D88" i="52"/>
  <c r="V34" i="1"/>
  <c r="E88" i="52" s="1"/>
  <c r="W34" i="1"/>
  <c r="F88" i="52" s="1"/>
  <c r="X34" i="1"/>
  <c r="G88" i="52" s="1"/>
  <c r="D89" i="52"/>
  <c r="V35" i="1"/>
  <c r="E89" i="52" s="1"/>
  <c r="W35" i="1"/>
  <c r="F89" i="52" s="1"/>
  <c r="X35" i="1"/>
  <c r="G89" i="52" s="1"/>
  <c r="V36" i="1"/>
  <c r="E90" i="52" s="1"/>
  <c r="W36" i="1"/>
  <c r="F90" i="52" s="1"/>
  <c r="X36" i="1"/>
  <c r="G90" i="52" s="1"/>
  <c r="V37" i="1"/>
  <c r="W37" i="1"/>
  <c r="X37" i="1"/>
  <c r="V31" i="1"/>
  <c r="W31" i="1"/>
  <c r="X31" i="1"/>
  <c r="D85" i="52"/>
  <c r="D95" i="52"/>
  <c r="E95" i="52"/>
  <c r="F95" i="52"/>
  <c r="G95" i="52"/>
  <c r="D96" i="52"/>
  <c r="E96" i="52"/>
  <c r="F96" i="52"/>
  <c r="G96" i="52"/>
  <c r="D97" i="52"/>
  <c r="E97" i="52"/>
  <c r="F97" i="52"/>
  <c r="G97" i="52"/>
  <c r="D98" i="52"/>
  <c r="E98" i="52"/>
  <c r="F98" i="52"/>
  <c r="G98" i="52"/>
  <c r="E94" i="52"/>
  <c r="F94" i="52"/>
  <c r="G94" i="52"/>
  <c r="D94" i="52"/>
  <c r="U43" i="1" l="1"/>
  <c r="T44" i="1"/>
  <c r="T45" i="1"/>
  <c r="T46" i="1"/>
  <c r="T47" i="1"/>
  <c r="T48" i="1"/>
  <c r="T49" i="1"/>
  <c r="T50" i="1"/>
  <c r="BR124" i="2"/>
  <c r="BN124" i="2"/>
  <c r="C27" i="2" l="1"/>
  <c r="BY25" i="2"/>
  <c r="BR25" i="2" l="1"/>
  <c r="C48" i="52"/>
  <c r="O43" i="52"/>
  <c r="Q43" i="52" s="1"/>
  <c r="Q36" i="52"/>
  <c r="O35" i="52"/>
  <c r="Q35" i="52" s="1"/>
  <c r="O34" i="52"/>
  <c r="Q34" i="52" s="1"/>
  <c r="Q28" i="52"/>
  <c r="P28" i="52"/>
  <c r="N28" i="52"/>
  <c r="F28" i="52"/>
  <c r="E28" i="52"/>
  <c r="Q25" i="52"/>
  <c r="Q24" i="52"/>
  <c r="Q23" i="52"/>
  <c r="Q22" i="52"/>
  <c r="Q21" i="52"/>
  <c r="Q20" i="52"/>
  <c r="Q19" i="52"/>
  <c r="Q18" i="52"/>
  <c r="Q17" i="52"/>
  <c r="D17" i="52"/>
  <c r="Q16" i="52"/>
  <c r="Q15" i="52"/>
  <c r="Q14" i="52"/>
  <c r="O6" i="52"/>
  <c r="H6" i="52"/>
  <c r="O5" i="52"/>
  <c r="H5" i="52"/>
  <c r="O28" i="52" l="1"/>
  <c r="G24" i="2"/>
  <c r="H24" i="2" s="1"/>
  <c r="H28" i="52"/>
  <c r="L97" i="1"/>
  <c r="L96" i="1"/>
  <c r="L94" i="1"/>
  <c r="L93" i="1"/>
  <c r="L85" i="1" l="1"/>
  <c r="T36" i="1"/>
  <c r="T37" i="1"/>
  <c r="BV67" i="2"/>
  <c r="V18" i="1"/>
  <c r="V43" i="1" s="1"/>
  <c r="BN25" i="36"/>
  <c r="BV147" i="2" s="1"/>
  <c r="BN26" i="36"/>
  <c r="BN17" i="36"/>
  <c r="BV69" i="2" s="1"/>
  <c r="BN18" i="36"/>
  <c r="BV70" i="2" s="1"/>
  <c r="BN19" i="36"/>
  <c r="BV71" i="2" s="1"/>
  <c r="BN20" i="36"/>
  <c r="BV72" i="2" s="1"/>
  <c r="BN16" i="36"/>
  <c r="BV68" i="2" s="1"/>
  <c r="BN14" i="36"/>
  <c r="BV66" i="2" s="1"/>
  <c r="BN10" i="36"/>
  <c r="BN8" i="36"/>
  <c r="BV59" i="2" s="1"/>
  <c r="BN7" i="36"/>
  <c r="BV58" i="2" s="1"/>
  <c r="BN6" i="36"/>
  <c r="BV57" i="2" s="1"/>
  <c r="BN5" i="36"/>
  <c r="BV56" i="2" s="1"/>
  <c r="BN4" i="36"/>
  <c r="BN9" i="36" s="1"/>
  <c r="BN3" i="36"/>
  <c r="BV54" i="2" s="1"/>
  <c r="BN2" i="36"/>
  <c r="X18" i="1" l="1"/>
  <c r="X43" i="1" s="1"/>
  <c r="BN11" i="36"/>
  <c r="BV55" i="2"/>
  <c r="W18" i="1"/>
  <c r="W43" i="1" s="1"/>
  <c r="BN13" i="36"/>
  <c r="BT155" i="2"/>
  <c r="U4" i="3"/>
  <c r="V4" i="3"/>
  <c r="W4" i="3"/>
  <c r="X4" i="3"/>
  <c r="Y4" i="3"/>
  <c r="Z4" i="3"/>
  <c r="AA4" i="3"/>
  <c r="AB4" i="3"/>
  <c r="AC4" i="3"/>
  <c r="AD4" i="3"/>
  <c r="AE4" i="3"/>
  <c r="AF4" i="3"/>
  <c r="AG4" i="3"/>
  <c r="AH4" i="3"/>
  <c r="AI4" i="3"/>
  <c r="AJ4" i="3"/>
  <c r="AK4" i="3"/>
  <c r="AL4" i="3"/>
  <c r="AM4" i="3"/>
  <c r="AN4" i="3"/>
  <c r="AO4" i="3"/>
  <c r="AP4" i="3"/>
  <c r="AQ4" i="3"/>
  <c r="AR4" i="3"/>
  <c r="AS4" i="3"/>
  <c r="AT4" i="3"/>
  <c r="AU4" i="3"/>
  <c r="AV4" i="3"/>
  <c r="AW4" i="3"/>
  <c r="AX4" i="3"/>
  <c r="AY4" i="3"/>
  <c r="AZ4" i="3"/>
  <c r="BA4" i="3"/>
  <c r="BB4" i="3"/>
  <c r="BC4" i="3"/>
  <c r="BD4" i="3"/>
  <c r="BE4" i="3"/>
  <c r="BF4" i="3"/>
  <c r="BG4" i="3"/>
  <c r="BH4" i="3"/>
  <c r="BI4" i="3"/>
  <c r="BJ4" i="3"/>
  <c r="BK4" i="3"/>
  <c r="BL4" i="3"/>
  <c r="BM4" i="3"/>
  <c r="BN4" i="3"/>
  <c r="BO4" i="3"/>
  <c r="BP4" i="3"/>
  <c r="BQ4" i="3"/>
  <c r="BR4" i="3"/>
  <c r="BS4" i="3"/>
  <c r="BT4" i="3"/>
  <c r="BU4" i="3"/>
  <c r="BV4" i="3"/>
  <c r="BW4" i="3"/>
  <c r="BX4" i="3"/>
  <c r="BY4" i="3"/>
  <c r="BZ4" i="3"/>
  <c r="CA4" i="3"/>
  <c r="CB4" i="3"/>
  <c r="CC4" i="3"/>
  <c r="CD4" i="3"/>
  <c r="CE4" i="3"/>
  <c r="CF4" i="3"/>
  <c r="CG4" i="3"/>
  <c r="CH4" i="3"/>
  <c r="CI4" i="3"/>
  <c r="CJ4" i="3"/>
  <c r="CK4" i="3"/>
  <c r="CL4" i="3"/>
  <c r="CM4" i="3"/>
  <c r="CN4" i="3"/>
  <c r="CO4" i="3"/>
  <c r="CP4" i="3"/>
  <c r="CQ4" i="3"/>
  <c r="CR4" i="3"/>
  <c r="CS4" i="3"/>
  <c r="CT4" i="3"/>
  <c r="CU4" i="3"/>
  <c r="CV4" i="3"/>
  <c r="CW4" i="3"/>
  <c r="CX4" i="3"/>
  <c r="CY4" i="3"/>
  <c r="CZ4" i="3"/>
  <c r="DA4" i="3"/>
  <c r="DB4" i="3"/>
  <c r="DC4" i="3"/>
  <c r="DD4" i="3"/>
  <c r="DE4" i="3"/>
  <c r="DF4" i="3"/>
  <c r="DG4" i="3"/>
  <c r="DH4" i="3"/>
  <c r="DI4" i="3"/>
  <c r="DJ4" i="3"/>
  <c r="DK4" i="3"/>
  <c r="DL4" i="3"/>
  <c r="DM4" i="3"/>
  <c r="DN4" i="3"/>
  <c r="DO4" i="3"/>
  <c r="DP4" i="3"/>
  <c r="DQ4" i="3"/>
  <c r="DR4" i="3"/>
  <c r="DS4" i="3"/>
  <c r="DT4" i="3"/>
  <c r="DU4" i="3"/>
  <c r="DV4" i="3"/>
  <c r="DW4" i="3"/>
  <c r="DX4" i="3"/>
  <c r="DY4" i="3"/>
  <c r="DZ4" i="3"/>
  <c r="EA4" i="3"/>
  <c r="EB4" i="3"/>
  <c r="EC4" i="3"/>
  <c r="ED4" i="3"/>
  <c r="EE4" i="3"/>
  <c r="EF4" i="3"/>
  <c r="EG4" i="3"/>
  <c r="EH4" i="3"/>
  <c r="EI4" i="3"/>
  <c r="EJ4" i="3"/>
  <c r="EK4" i="3"/>
  <c r="EL4" i="3"/>
  <c r="EM4" i="3"/>
  <c r="T4" i="3"/>
  <c r="BN21" i="36" l="1"/>
  <c r="BN23" i="36" s="1"/>
  <c r="BN24" i="36" s="1"/>
  <c r="BV65" i="2"/>
  <c r="F68" i="1"/>
  <c r="F70" i="1"/>
  <c r="BL147" i="2"/>
  <c r="BM147" i="2"/>
  <c r="F76" i="1"/>
  <c r="D74" i="1"/>
  <c r="F78" i="1" l="1"/>
  <c r="F79" i="1" s="1"/>
  <c r="F82" i="1" s="1"/>
  <c r="F62" i="1"/>
  <c r="F80" i="1"/>
  <c r="C3" i="14"/>
  <c r="D3" i="14"/>
  <c r="E3" i="14"/>
  <c r="F3" i="14"/>
  <c r="G3" i="14"/>
  <c r="H3" i="14"/>
  <c r="I3" i="14"/>
  <c r="J3" i="14"/>
  <c r="K3" i="14"/>
  <c r="L3" i="14"/>
  <c r="M3" i="14"/>
  <c r="N3" i="14"/>
  <c r="O3" i="14"/>
  <c r="P3" i="14"/>
  <c r="Q3" i="14"/>
  <c r="R3" i="14"/>
  <c r="S3" i="14"/>
  <c r="T3" i="14"/>
  <c r="U3" i="14"/>
  <c r="V3" i="14"/>
  <c r="W3" i="14"/>
  <c r="X3" i="14"/>
  <c r="Y3" i="14"/>
  <c r="Z3" i="14"/>
  <c r="AA3" i="14"/>
  <c r="AB3" i="14"/>
  <c r="AC3" i="14"/>
  <c r="AD3" i="14"/>
  <c r="AE3" i="14"/>
  <c r="AF3" i="14"/>
  <c r="AG3" i="14"/>
  <c r="AH3" i="14"/>
  <c r="AI3" i="14"/>
  <c r="AJ3" i="14"/>
  <c r="AK3" i="14"/>
  <c r="AL3" i="14"/>
  <c r="AM3" i="14"/>
  <c r="AN3" i="14"/>
  <c r="AO3" i="14"/>
  <c r="AP3" i="14"/>
  <c r="AQ3" i="14"/>
  <c r="AR3" i="14"/>
  <c r="AS3" i="14"/>
  <c r="AT3" i="14"/>
  <c r="AU3" i="14"/>
  <c r="AV3" i="14"/>
  <c r="AW3" i="14"/>
  <c r="AX3" i="14"/>
  <c r="AY3" i="14"/>
  <c r="AZ3" i="14"/>
  <c r="BA3" i="14"/>
  <c r="BB3" i="14"/>
  <c r="BC3" i="14"/>
  <c r="BD3" i="14"/>
  <c r="BE3" i="14"/>
  <c r="BF3" i="14"/>
  <c r="BG3" i="14"/>
  <c r="BH3" i="14"/>
  <c r="BI3" i="14"/>
  <c r="BJ3" i="14"/>
  <c r="BK3" i="14"/>
  <c r="BL3" i="14"/>
  <c r="BM3" i="14"/>
  <c r="BN3" i="14"/>
  <c r="BO3" i="14"/>
  <c r="BP3" i="14"/>
  <c r="BQ3" i="14"/>
  <c r="BR3" i="14"/>
  <c r="BS3" i="14"/>
  <c r="BT3" i="14"/>
  <c r="BU3" i="14"/>
  <c r="BV3" i="14"/>
  <c r="BW3" i="14"/>
  <c r="BX3" i="14"/>
  <c r="BY3" i="14"/>
  <c r="BZ3" i="14"/>
  <c r="CA3" i="14"/>
  <c r="CB3" i="14"/>
  <c r="CC3" i="14"/>
  <c r="CD3" i="14"/>
  <c r="CE3" i="14"/>
  <c r="CF3" i="14"/>
  <c r="CG3" i="14"/>
  <c r="CH3" i="14"/>
  <c r="CI3" i="14"/>
  <c r="CJ3" i="14"/>
  <c r="CK3" i="14"/>
  <c r="CL3" i="14"/>
  <c r="CM3" i="14"/>
  <c r="CN3" i="14"/>
  <c r="CO3" i="14"/>
  <c r="CP3" i="14"/>
  <c r="CQ3" i="14"/>
  <c r="CR3" i="14"/>
  <c r="CS3" i="14"/>
  <c r="CT3" i="14"/>
  <c r="CU3" i="14"/>
  <c r="CV3" i="14"/>
  <c r="CW3" i="14"/>
  <c r="CX3" i="14"/>
  <c r="CY3" i="14"/>
  <c r="CZ3" i="14"/>
  <c r="DA3" i="14"/>
  <c r="DB3" i="14"/>
  <c r="DC3" i="14"/>
  <c r="DD3" i="14"/>
  <c r="DE3" i="14"/>
  <c r="DF3" i="14"/>
  <c r="DG3" i="14"/>
  <c r="DH3" i="14"/>
  <c r="DI3" i="14"/>
  <c r="DJ3" i="14"/>
  <c r="DK3" i="14"/>
  <c r="DL3" i="14"/>
  <c r="DM3" i="14"/>
  <c r="DN3" i="14"/>
  <c r="DO3" i="14"/>
  <c r="DP3" i="14"/>
  <c r="DQ3" i="14"/>
  <c r="DR3" i="14"/>
  <c r="B4" i="14"/>
  <c r="B3" i="14"/>
  <c r="BQ67" i="2"/>
  <c r="BR67" i="2"/>
  <c r="BS67" i="2"/>
  <c r="BT67" i="2"/>
  <c r="BU67" i="2"/>
  <c r="BF26" i="36"/>
  <c r="BG26" i="36"/>
  <c r="BH26" i="36"/>
  <c r="BI26" i="36"/>
  <c r="BJ26" i="36"/>
  <c r="BK26" i="36"/>
  <c r="BL26" i="36"/>
  <c r="BM26" i="36"/>
  <c r="BG25" i="36"/>
  <c r="BO147" i="2" s="1"/>
  <c r="BH25" i="36"/>
  <c r="BP147" i="2" s="1"/>
  <c r="BI25" i="36"/>
  <c r="BQ147" i="2" s="1"/>
  <c r="BJ25" i="36"/>
  <c r="BR147" i="2" s="1"/>
  <c r="BK25" i="36"/>
  <c r="BS147" i="2" s="1"/>
  <c r="BL25" i="36"/>
  <c r="BT147" i="2" s="1"/>
  <c r="BM25" i="36"/>
  <c r="BU147" i="2" s="1"/>
  <c r="BF25" i="36"/>
  <c r="BN147" i="2" s="1"/>
  <c r="BI20" i="36"/>
  <c r="BQ72" i="2" s="1"/>
  <c r="BJ20" i="36"/>
  <c r="BR72" i="2" s="1"/>
  <c r="BK20" i="36"/>
  <c r="BS72" i="2" s="1"/>
  <c r="BL20" i="36"/>
  <c r="BT72" i="2" s="1"/>
  <c r="BM20" i="36"/>
  <c r="BU72" i="2" s="1"/>
  <c r="BI19" i="36"/>
  <c r="BQ71" i="2" s="1"/>
  <c r="BJ19" i="36"/>
  <c r="BR71" i="2" s="1"/>
  <c r="BK19" i="36"/>
  <c r="BS71" i="2" s="1"/>
  <c r="BL19" i="36"/>
  <c r="BT71" i="2" s="1"/>
  <c r="BM19" i="36"/>
  <c r="BU71" i="2" s="1"/>
  <c r="BI18" i="36"/>
  <c r="BQ70" i="2" s="1"/>
  <c r="BJ18" i="36"/>
  <c r="BR70" i="2" s="1"/>
  <c r="BK18" i="36"/>
  <c r="BS70" i="2" s="1"/>
  <c r="BL18" i="36"/>
  <c r="BT70" i="2" s="1"/>
  <c r="BM18" i="36"/>
  <c r="BU70" i="2" s="1"/>
  <c r="BI17" i="36"/>
  <c r="BQ69" i="2" s="1"/>
  <c r="BJ17" i="36"/>
  <c r="BR69" i="2" s="1"/>
  <c r="BK17" i="36"/>
  <c r="BS69" i="2" s="1"/>
  <c r="BL17" i="36"/>
  <c r="BT69" i="2" s="1"/>
  <c r="BM17" i="36"/>
  <c r="BU69" i="2" s="1"/>
  <c r="BI16" i="36"/>
  <c r="BQ68" i="2" s="1"/>
  <c r="BJ16" i="36"/>
  <c r="BR68" i="2" s="1"/>
  <c r="BK16" i="36"/>
  <c r="BS68" i="2" s="1"/>
  <c r="BL16" i="36"/>
  <c r="BT68" i="2" s="1"/>
  <c r="BM16" i="36"/>
  <c r="BU68" i="2" s="1"/>
  <c r="BI14" i="36"/>
  <c r="BQ66" i="2" s="1"/>
  <c r="BJ14" i="36"/>
  <c r="BR66" i="2" s="1"/>
  <c r="BK14" i="36"/>
  <c r="BS66" i="2" s="1"/>
  <c r="BL14" i="36"/>
  <c r="BT66" i="2" s="1"/>
  <c r="BM14" i="36"/>
  <c r="BU66" i="2" s="1"/>
  <c r="BI10" i="36"/>
  <c r="BJ10" i="36"/>
  <c r="BK10" i="36"/>
  <c r="BL10" i="36"/>
  <c r="BM10" i="36"/>
  <c r="BI8" i="36"/>
  <c r="BQ59" i="2" s="1"/>
  <c r="BJ8" i="36"/>
  <c r="BR59" i="2" s="1"/>
  <c r="BK8" i="36"/>
  <c r="BS59" i="2" s="1"/>
  <c r="BL8" i="36"/>
  <c r="BT59" i="2" s="1"/>
  <c r="BM8" i="36"/>
  <c r="BU59" i="2" s="1"/>
  <c r="BI7" i="36"/>
  <c r="BQ58" i="2" s="1"/>
  <c r="BJ7" i="36"/>
  <c r="BR58" i="2" s="1"/>
  <c r="BK7" i="36"/>
  <c r="BS58" i="2" s="1"/>
  <c r="BL7" i="36"/>
  <c r="BT58" i="2" s="1"/>
  <c r="BM7" i="36"/>
  <c r="BU58" i="2" s="1"/>
  <c r="BI6" i="36"/>
  <c r="BQ57" i="2" s="1"/>
  <c r="BJ6" i="36"/>
  <c r="BR57" i="2" s="1"/>
  <c r="BK6" i="36"/>
  <c r="BS57" i="2" s="1"/>
  <c r="BL6" i="36"/>
  <c r="BT57" i="2" s="1"/>
  <c r="BM6" i="36"/>
  <c r="BU57" i="2" s="1"/>
  <c r="BI5" i="36"/>
  <c r="BQ56" i="2" s="1"/>
  <c r="BJ5" i="36"/>
  <c r="BR56" i="2" s="1"/>
  <c r="BK5" i="36"/>
  <c r="BS56" i="2" s="1"/>
  <c r="BL5" i="36"/>
  <c r="BT56" i="2" s="1"/>
  <c r="BM5" i="36"/>
  <c r="BU56" i="2" s="1"/>
  <c r="BI4" i="36"/>
  <c r="BQ55" i="2" s="1"/>
  <c r="BJ4" i="36"/>
  <c r="BR55" i="2" s="1"/>
  <c r="BK4" i="36"/>
  <c r="BS55" i="2" s="1"/>
  <c r="BL4" i="36"/>
  <c r="BT55" i="2" s="1"/>
  <c r="BM4" i="36"/>
  <c r="BU55" i="2" s="1"/>
  <c r="BI3" i="36"/>
  <c r="BQ54" i="2" s="1"/>
  <c r="BJ3" i="36"/>
  <c r="BR54" i="2" s="1"/>
  <c r="BK3" i="36"/>
  <c r="BS54" i="2" s="1"/>
  <c r="BL3" i="36"/>
  <c r="BT54" i="2" s="1"/>
  <c r="BM3" i="36"/>
  <c r="BU54" i="2" s="1"/>
  <c r="BJ2" i="36"/>
  <c r="BK2" i="36" s="1"/>
  <c r="BL2" i="36" s="1"/>
  <c r="BM2" i="36" s="1"/>
  <c r="O40" i="52" l="1"/>
  <c r="Q40" i="52" s="1"/>
  <c r="BJ9" i="36"/>
  <c r="BJ11" i="36" s="1"/>
  <c r="BL9" i="36"/>
  <c r="BL11" i="36" s="1"/>
  <c r="BK9" i="36"/>
  <c r="BK11" i="36" s="1"/>
  <c r="BM9" i="36"/>
  <c r="BM11" i="36" s="1"/>
  <c r="BI9" i="36"/>
  <c r="BI11" i="36" s="1"/>
  <c r="BL13" i="36"/>
  <c r="BJ13" i="36"/>
  <c r="BK13" i="36"/>
  <c r="BM13" i="36"/>
  <c r="BI13" i="36"/>
  <c r="BK21" i="36" l="1"/>
  <c r="BK23" i="36" s="1"/>
  <c r="BK24" i="36" s="1"/>
  <c r="BS65" i="2"/>
  <c r="BM21" i="36"/>
  <c r="BM23" i="36" s="1"/>
  <c r="BM24" i="36" s="1"/>
  <c r="BU65" i="2"/>
  <c r="BL21" i="36"/>
  <c r="BL23" i="36" s="1"/>
  <c r="BL24" i="36" s="1"/>
  <c r="BT65" i="2"/>
  <c r="BJ21" i="36"/>
  <c r="BJ23" i="36" s="1"/>
  <c r="BJ24" i="36" s="1"/>
  <c r="BR65" i="2"/>
  <c r="BI21" i="36"/>
  <c r="BI23" i="36" s="1"/>
  <c r="BI24" i="36" s="1"/>
  <c r="BQ65" i="2"/>
  <c r="BO67" i="2" l="1"/>
  <c r="BP67" i="2"/>
  <c r="BN67" i="2"/>
  <c r="BG20" i="36"/>
  <c r="BO72" i="2" s="1"/>
  <c r="BH20" i="36"/>
  <c r="BP72" i="2" s="1"/>
  <c r="BG19" i="36"/>
  <c r="BO71" i="2" s="1"/>
  <c r="BH19" i="36"/>
  <c r="BP71" i="2" s="1"/>
  <c r="BG18" i="36"/>
  <c r="BO70" i="2" s="1"/>
  <c r="BH18" i="36"/>
  <c r="BP70" i="2" s="1"/>
  <c r="BG17" i="36"/>
  <c r="BO69" i="2" s="1"/>
  <c r="BH17" i="36"/>
  <c r="BP69" i="2" s="1"/>
  <c r="BG16" i="36"/>
  <c r="BO68" i="2" s="1"/>
  <c r="BH16" i="36"/>
  <c r="BP68" i="2" s="1"/>
  <c r="BG14" i="36"/>
  <c r="BO66" i="2" s="1"/>
  <c r="BH14" i="36"/>
  <c r="BP66" i="2" s="1"/>
  <c r="BG10" i="36"/>
  <c r="BH10" i="36"/>
  <c r="BG4" i="36"/>
  <c r="BO55" i="2" s="1"/>
  <c r="BH4" i="36"/>
  <c r="BP55" i="2" s="1"/>
  <c r="BG5" i="36"/>
  <c r="BO56" i="2" s="1"/>
  <c r="BH5" i="36"/>
  <c r="BP56" i="2" s="1"/>
  <c r="BG6" i="36"/>
  <c r="BO57" i="2" s="1"/>
  <c r="BH6" i="36"/>
  <c r="BP57" i="2" s="1"/>
  <c r="BG7" i="36"/>
  <c r="BO58" i="2" s="1"/>
  <c r="BH7" i="36"/>
  <c r="BP58" i="2" s="1"/>
  <c r="BG8" i="36"/>
  <c r="BO59" i="2" s="1"/>
  <c r="BH8" i="36"/>
  <c r="BP59" i="2" s="1"/>
  <c r="BG3" i="36"/>
  <c r="BH3" i="36"/>
  <c r="BP54" i="2" s="1"/>
  <c r="BF17" i="36"/>
  <c r="BN69" i="2" s="1"/>
  <c r="BF18" i="36"/>
  <c r="BN70" i="2" s="1"/>
  <c r="BF19" i="36"/>
  <c r="BN71" i="2" s="1"/>
  <c r="BF20" i="36"/>
  <c r="BN72" i="2" s="1"/>
  <c r="BF16" i="36"/>
  <c r="BN68" i="2" s="1"/>
  <c r="BF14" i="36"/>
  <c r="BF10" i="36"/>
  <c r="BF4" i="36"/>
  <c r="BN55" i="2" s="1"/>
  <c r="BF5" i="36"/>
  <c r="BN56" i="2" s="1"/>
  <c r="BF6" i="36"/>
  <c r="BN57" i="2" s="1"/>
  <c r="BF7" i="36"/>
  <c r="BN58" i="2" s="1"/>
  <c r="BF8" i="36"/>
  <c r="BN59" i="2" s="1"/>
  <c r="BF3" i="36"/>
  <c r="BN54" i="2" s="1"/>
  <c r="BG9" i="36" l="1"/>
  <c r="BG11" i="36" s="1"/>
  <c r="BF13" i="36"/>
  <c r="BF21" i="36" s="1"/>
  <c r="BO54" i="2"/>
  <c r="BN66" i="2"/>
  <c r="BF9" i="36"/>
  <c r="BF11" i="36" s="1"/>
  <c r="BH9" i="36"/>
  <c r="BH11" i="36" s="1"/>
  <c r="BH13" i="36"/>
  <c r="BG13" i="36"/>
  <c r="BN65" i="2" l="1"/>
  <c r="BG21" i="36"/>
  <c r="BG23" i="36" s="1"/>
  <c r="BG24" i="36" s="1"/>
  <c r="BO65" i="2"/>
  <c r="BH21" i="36"/>
  <c r="BH23" i="36" s="1"/>
  <c r="BH24" i="36" s="1"/>
  <c r="BP65" i="2"/>
  <c r="BF23" i="36"/>
  <c r="BF24" i="36" s="1"/>
  <c r="AU3" i="36" l="1"/>
  <c r="AV3" i="36"/>
  <c r="AW3" i="36"/>
  <c r="AX3" i="36"/>
  <c r="AY3" i="36"/>
  <c r="AZ3" i="36"/>
  <c r="BA3" i="36"/>
  <c r="BB3" i="36"/>
  <c r="BC3" i="36"/>
  <c r="BD3" i="36"/>
  <c r="BL54" i="2" s="1"/>
  <c r="BE3" i="36"/>
  <c r="BM54" i="2" s="1"/>
  <c r="AU4" i="36"/>
  <c r="AV4" i="36"/>
  <c r="AW4" i="36"/>
  <c r="AW9" i="36" s="1"/>
  <c r="AX4" i="36"/>
  <c r="AY4" i="36"/>
  <c r="AZ4" i="36"/>
  <c r="BA4" i="36"/>
  <c r="BB4" i="36"/>
  <c r="BC4" i="36"/>
  <c r="BD4" i="36"/>
  <c r="BL55" i="2" s="1"/>
  <c r="BE4" i="36"/>
  <c r="BM55" i="2" s="1"/>
  <c r="AU5" i="36"/>
  <c r="AV5" i="36"/>
  <c r="AW5" i="36"/>
  <c r="AX5" i="36"/>
  <c r="AY5" i="36"/>
  <c r="AZ5" i="36"/>
  <c r="BA5" i="36"/>
  <c r="BB5" i="36"/>
  <c r="BC5" i="36"/>
  <c r="BD5" i="36"/>
  <c r="BL56" i="2" s="1"/>
  <c r="BE5" i="36"/>
  <c r="BM56" i="2" s="1"/>
  <c r="AU6" i="36"/>
  <c r="AV6" i="36"/>
  <c r="AW6" i="36"/>
  <c r="AX6" i="36"/>
  <c r="AY6" i="36"/>
  <c r="AZ6" i="36"/>
  <c r="BA6" i="36"/>
  <c r="BB6" i="36"/>
  <c r="BC6" i="36"/>
  <c r="BD6" i="36"/>
  <c r="BL57" i="2" s="1"/>
  <c r="BE6" i="36"/>
  <c r="BM57" i="2" s="1"/>
  <c r="AU7" i="36"/>
  <c r="AV7" i="36"/>
  <c r="AW7" i="36"/>
  <c r="AX7" i="36"/>
  <c r="AY7" i="36"/>
  <c r="AZ7" i="36"/>
  <c r="BA7" i="36"/>
  <c r="BB7" i="36"/>
  <c r="BC7" i="36"/>
  <c r="BD7" i="36"/>
  <c r="BL58" i="2" s="1"/>
  <c r="BE7" i="36"/>
  <c r="BM58" i="2" s="1"/>
  <c r="AU8" i="36"/>
  <c r="AV8" i="36"/>
  <c r="AW8" i="36"/>
  <c r="AX8" i="36"/>
  <c r="AY8" i="36"/>
  <c r="AZ8" i="36"/>
  <c r="BA8" i="36"/>
  <c r="BB8" i="36"/>
  <c r="BC8" i="36"/>
  <c r="BD8" i="36"/>
  <c r="BL59" i="2" s="1"/>
  <c r="BE8" i="36"/>
  <c r="BM59" i="2" s="1"/>
  <c r="AU10" i="36"/>
  <c r="AV10" i="36"/>
  <c r="AW10" i="36"/>
  <c r="AX10" i="36"/>
  <c r="AY10" i="36"/>
  <c r="AZ10" i="36"/>
  <c r="BA10" i="36"/>
  <c r="BB10" i="36"/>
  <c r="BC10" i="36"/>
  <c r="BD10" i="36"/>
  <c r="BE10" i="36"/>
  <c r="AU14" i="36"/>
  <c r="AV14" i="36"/>
  <c r="AW14" i="36"/>
  <c r="AX14" i="36"/>
  <c r="AY14" i="36"/>
  <c r="AZ14" i="36"/>
  <c r="BA14" i="36"/>
  <c r="BB14" i="36"/>
  <c r="BC14" i="36"/>
  <c r="BD14" i="36"/>
  <c r="BL66" i="2" s="1"/>
  <c r="BE14" i="36"/>
  <c r="BM66" i="2" s="1"/>
  <c r="AU15" i="36"/>
  <c r="AV15" i="36"/>
  <c r="AW15" i="36"/>
  <c r="AX15" i="36"/>
  <c r="AY15" i="36"/>
  <c r="AZ15" i="36"/>
  <c r="BA15" i="36"/>
  <c r="BB15" i="36"/>
  <c r="BC15" i="36"/>
  <c r="BD15" i="36"/>
  <c r="BL67" i="2" s="1"/>
  <c r="BE15" i="36"/>
  <c r="BM67" i="2" s="1"/>
  <c r="AU16" i="36"/>
  <c r="AV16" i="36"/>
  <c r="AW16" i="36"/>
  <c r="AX16" i="36"/>
  <c r="AY16" i="36"/>
  <c r="AZ16" i="36"/>
  <c r="BA16" i="36"/>
  <c r="BB16" i="36"/>
  <c r="BC16" i="36"/>
  <c r="BD16" i="36"/>
  <c r="BL68" i="2" s="1"/>
  <c r="BE16" i="36"/>
  <c r="BM68" i="2" s="1"/>
  <c r="AU17" i="36"/>
  <c r="AV17" i="36"/>
  <c r="AW17" i="36"/>
  <c r="AX17" i="36"/>
  <c r="AY17" i="36"/>
  <c r="AZ17" i="36"/>
  <c r="BA17" i="36"/>
  <c r="BB17" i="36"/>
  <c r="BC17" i="36"/>
  <c r="BD17" i="36"/>
  <c r="BL69" i="2" s="1"/>
  <c r="BE17" i="36"/>
  <c r="BM69" i="2" s="1"/>
  <c r="AU18" i="36"/>
  <c r="AV18" i="36"/>
  <c r="AW18" i="36"/>
  <c r="AX18" i="36"/>
  <c r="AY18" i="36"/>
  <c r="AZ18" i="36"/>
  <c r="BA18" i="36"/>
  <c r="BB18" i="36"/>
  <c r="BC18" i="36"/>
  <c r="BD18" i="36"/>
  <c r="BL70" i="2" s="1"/>
  <c r="BE18" i="36"/>
  <c r="BM70" i="2" s="1"/>
  <c r="AU19" i="36"/>
  <c r="AV19" i="36"/>
  <c r="AW19" i="36"/>
  <c r="AX19" i="36"/>
  <c r="AY19" i="36"/>
  <c r="AZ19" i="36"/>
  <c r="BA19" i="36"/>
  <c r="BB19" i="36"/>
  <c r="BC19" i="36"/>
  <c r="BD19" i="36"/>
  <c r="BL71" i="2" s="1"/>
  <c r="BE19" i="36"/>
  <c r="BM71" i="2" s="1"/>
  <c r="AU20" i="36"/>
  <c r="AV20" i="36"/>
  <c r="AW20" i="36"/>
  <c r="AX20" i="36"/>
  <c r="AY20" i="36"/>
  <c r="AZ20" i="36"/>
  <c r="BA20" i="36"/>
  <c r="BB20" i="36"/>
  <c r="BC20" i="36"/>
  <c r="BD20" i="36"/>
  <c r="BL72" i="2" s="1"/>
  <c r="BE20" i="36"/>
  <c r="BM72" i="2" s="1"/>
  <c r="AU25" i="36"/>
  <c r="BC147" i="2" s="1"/>
  <c r="AV25" i="36"/>
  <c r="BD147" i="2" s="1"/>
  <c r="AW25" i="36"/>
  <c r="BE147" i="2" s="1"/>
  <c r="AX25" i="36"/>
  <c r="BF147" i="2" s="1"/>
  <c r="AY25" i="36"/>
  <c r="BG147" i="2" s="1"/>
  <c r="AZ25" i="36"/>
  <c r="BH147" i="2" s="1"/>
  <c r="BA25" i="36"/>
  <c r="BI147" i="2" s="1"/>
  <c r="BB25" i="36"/>
  <c r="BJ147" i="2" s="1"/>
  <c r="BC25" i="36"/>
  <c r="BK147" i="2" s="1"/>
  <c r="BD25" i="36"/>
  <c r="BE25" i="36"/>
  <c r="AU26" i="36"/>
  <c r="AV26" i="36"/>
  <c r="AW26" i="36"/>
  <c r="AX26" i="36"/>
  <c r="AY26" i="36"/>
  <c r="AZ26" i="36"/>
  <c r="BA26" i="36"/>
  <c r="BB26" i="36"/>
  <c r="BC26" i="36"/>
  <c r="BD26" i="36"/>
  <c r="BE26" i="36"/>
  <c r="AT20" i="36"/>
  <c r="AT19" i="36"/>
  <c r="AT18" i="36"/>
  <c r="AT17" i="36"/>
  <c r="AT16" i="36"/>
  <c r="AT15" i="36"/>
  <c r="AT14" i="36"/>
  <c r="AT10" i="36"/>
  <c r="AT4" i="36"/>
  <c r="AT5" i="36"/>
  <c r="AT6" i="36"/>
  <c r="AT7" i="36"/>
  <c r="AT8" i="36"/>
  <c r="AT3" i="36"/>
  <c r="BC9" i="36" l="1"/>
  <c r="AU9" i="36"/>
  <c r="AT13" i="36"/>
  <c r="AZ9" i="36"/>
  <c r="AZ11" i="36" s="1"/>
  <c r="AY13" i="36"/>
  <c r="AY21" i="36" s="1"/>
  <c r="BB13" i="36"/>
  <c r="BB21" i="36" s="1"/>
  <c r="BC11" i="36"/>
  <c r="BC23" i="36" s="1"/>
  <c r="BC24" i="36" s="1"/>
  <c r="AU11" i="36"/>
  <c r="AX9" i="36"/>
  <c r="AX11" i="36" s="1"/>
  <c r="BA9" i="36"/>
  <c r="BA11" i="36" s="1"/>
  <c r="BD9" i="36"/>
  <c r="BD11" i="36" s="1"/>
  <c r="AV9" i="36"/>
  <c r="AV11" i="36" s="1"/>
  <c r="AY9" i="36"/>
  <c r="AY11" i="36" s="1"/>
  <c r="AY23" i="36" s="1"/>
  <c r="AY24" i="36" s="1"/>
  <c r="BB9" i="36"/>
  <c r="BB11" i="36" s="1"/>
  <c r="BB23" i="36" s="1"/>
  <c r="BB24" i="36" s="1"/>
  <c r="BA13" i="36"/>
  <c r="BA21" i="36" s="1"/>
  <c r="AW11" i="36"/>
  <c r="AZ13" i="36"/>
  <c r="AZ21" i="36" s="1"/>
  <c r="AZ23" i="36" s="1"/>
  <c r="AZ24" i="36" s="1"/>
  <c r="AX13" i="36"/>
  <c r="AX21" i="36" s="1"/>
  <c r="AX23" i="36" s="1"/>
  <c r="AX24" i="36" s="1"/>
  <c r="BE13" i="36"/>
  <c r="AW13" i="36"/>
  <c r="AW21" i="36" s="1"/>
  <c r="BD13" i="36"/>
  <c r="AV13" i="36"/>
  <c r="AV21" i="36" s="1"/>
  <c r="AV23" i="36" s="1"/>
  <c r="AV24" i="36" s="1"/>
  <c r="BE9" i="36"/>
  <c r="BE11" i="36" s="1"/>
  <c r="BC13" i="36"/>
  <c r="BC21" i="36" s="1"/>
  <c r="AU13" i="36"/>
  <c r="AU21" i="36" s="1"/>
  <c r="AU23" i="36" s="1"/>
  <c r="AU24" i="36" s="1"/>
  <c r="BD21" i="36" l="1"/>
  <c r="BL65" i="2"/>
  <c r="AW23" i="36"/>
  <c r="AW24" i="36" s="1"/>
  <c r="BD23" i="36"/>
  <c r="BD24" i="36" s="1"/>
  <c r="BE21" i="36"/>
  <c r="BE23" i="36" s="1"/>
  <c r="BE24" i="36" s="1"/>
  <c r="BM65" i="2"/>
  <c r="BA23" i="36"/>
  <c r="BA24" i="36" s="1"/>
  <c r="GD20" i="2" l="1"/>
  <c r="GE20" i="2"/>
  <c r="GF20" i="2"/>
  <c r="GG20" i="2"/>
  <c r="GH20" i="2"/>
  <c r="GI20" i="2"/>
  <c r="GJ20" i="2"/>
  <c r="GK20" i="2"/>
  <c r="GL20" i="2"/>
  <c r="GM20" i="2"/>
  <c r="GN20" i="2"/>
  <c r="GO20" i="2"/>
  <c r="GP20" i="2"/>
  <c r="GQ20" i="2"/>
  <c r="GR20" i="2"/>
  <c r="GS20" i="2"/>
  <c r="GT20" i="2"/>
  <c r="FJ20" i="2"/>
  <c r="FK20" i="2"/>
  <c r="FL20" i="2"/>
  <c r="FM20" i="2"/>
  <c r="FN20" i="2"/>
  <c r="FO20" i="2"/>
  <c r="FP20" i="2"/>
  <c r="FQ20" i="2"/>
  <c r="FR20" i="2"/>
  <c r="FS20" i="2"/>
  <c r="FT20" i="2"/>
  <c r="FU20" i="2"/>
  <c r="FV20" i="2"/>
  <c r="FW20" i="2"/>
  <c r="FX20" i="2"/>
  <c r="FY20" i="2"/>
  <c r="FZ20" i="2"/>
  <c r="GA20" i="2"/>
  <c r="GB20" i="2"/>
  <c r="GC20" i="2"/>
  <c r="FJ127" i="2"/>
  <c r="FK127" i="2"/>
  <c r="FL127" i="2"/>
  <c r="FM127" i="2"/>
  <c r="FN127" i="2"/>
  <c r="FO127" i="2"/>
  <c r="FP127" i="2"/>
  <c r="FQ127" i="2"/>
  <c r="FR127" i="2"/>
  <c r="FS127" i="2"/>
  <c r="FT127" i="2"/>
  <c r="FU127" i="2"/>
  <c r="FV127" i="2"/>
  <c r="FW127" i="2"/>
  <c r="FX127" i="2"/>
  <c r="FY127" i="2"/>
  <c r="FZ127" i="2"/>
  <c r="GA127" i="2"/>
  <c r="GB127" i="2"/>
  <c r="GC127" i="2"/>
  <c r="GP127" i="2"/>
  <c r="GQ127" i="2"/>
  <c r="GR127" i="2"/>
  <c r="GS127" i="2"/>
  <c r="GT127" i="2"/>
  <c r="FJ132" i="2"/>
  <c r="FK132" i="2"/>
  <c r="FL132" i="2"/>
  <c r="FM132" i="2"/>
  <c r="FN132" i="2"/>
  <c r="FO132" i="2"/>
  <c r="FP132" i="2"/>
  <c r="FQ132" i="2"/>
  <c r="FR132" i="2"/>
  <c r="FS132" i="2"/>
  <c r="FT132" i="2"/>
  <c r="FU132" i="2"/>
  <c r="FV132" i="2"/>
  <c r="FW132" i="2"/>
  <c r="FX132" i="2"/>
  <c r="FY132" i="2"/>
  <c r="FZ132" i="2"/>
  <c r="GA132" i="2"/>
  <c r="GB132" i="2"/>
  <c r="GC132" i="2"/>
  <c r="GP132" i="2"/>
  <c r="GQ132" i="2"/>
  <c r="GR132" i="2"/>
  <c r="GT132" i="2"/>
  <c r="FJ133" i="2"/>
  <c r="FK133" i="2"/>
  <c r="FL133" i="2"/>
  <c r="FM133" i="2"/>
  <c r="FN133" i="2"/>
  <c r="FO133" i="2"/>
  <c r="FP133" i="2"/>
  <c r="FQ133" i="2"/>
  <c r="FR133" i="2"/>
  <c r="FS133" i="2"/>
  <c r="FT133" i="2"/>
  <c r="FU133" i="2"/>
  <c r="FV133" i="2"/>
  <c r="FW133" i="2"/>
  <c r="FX133" i="2"/>
  <c r="FY133" i="2"/>
  <c r="FZ133" i="2"/>
  <c r="GA133" i="2"/>
  <c r="GB133" i="2"/>
  <c r="GC133" i="2"/>
  <c r="GP133" i="2"/>
  <c r="GQ133" i="2"/>
  <c r="GR133" i="2"/>
  <c r="GS133" i="2"/>
  <c r="GT133" i="2"/>
  <c r="FJ156" i="2"/>
  <c r="FK156" i="2"/>
  <c r="FL156" i="2"/>
  <c r="FM156" i="2"/>
  <c r="FN156" i="2"/>
  <c r="FO156" i="2"/>
  <c r="FP156" i="2"/>
  <c r="FQ156" i="2"/>
  <c r="FR156" i="2"/>
  <c r="FS156" i="2"/>
  <c r="FT156" i="2"/>
  <c r="FU156" i="2"/>
  <c r="FV156" i="2"/>
  <c r="FW156" i="2"/>
  <c r="FX156" i="2"/>
  <c r="FY156" i="2"/>
  <c r="FZ156" i="2"/>
  <c r="GA156" i="2"/>
  <c r="GB156" i="2"/>
  <c r="GC156" i="2"/>
  <c r="GP156" i="2"/>
  <c r="GQ156" i="2"/>
  <c r="GR156" i="2"/>
  <c r="GS156" i="2"/>
  <c r="GT156" i="2"/>
  <c r="FE20" i="2"/>
  <c r="FF20" i="2"/>
  <c r="FG20" i="2"/>
  <c r="FH20" i="2"/>
  <c r="FI20" i="2"/>
  <c r="FE127" i="2"/>
  <c r="FF127" i="2"/>
  <c r="FG127" i="2"/>
  <c r="FH127" i="2"/>
  <c r="FI127" i="2"/>
  <c r="FE132" i="2"/>
  <c r="FF132" i="2"/>
  <c r="FG132" i="2"/>
  <c r="FH132" i="2"/>
  <c r="FI132" i="2"/>
  <c r="FE133" i="2"/>
  <c r="FF133" i="2"/>
  <c r="FG133" i="2"/>
  <c r="FH133" i="2"/>
  <c r="FI133" i="2"/>
  <c r="FE156" i="2"/>
  <c r="FF156" i="2"/>
  <c r="FG156" i="2"/>
  <c r="FH156" i="2"/>
  <c r="FI156" i="2"/>
  <c r="CM11" i="2"/>
  <c r="CN11" i="2" s="1"/>
  <c r="CO11" i="2" s="1"/>
  <c r="CP11" i="2" s="1"/>
  <c r="CQ11" i="2" s="1"/>
  <c r="CR11" i="2" s="1"/>
  <c r="CS11" i="2" s="1"/>
  <c r="CT11" i="2" s="1"/>
  <c r="CU11" i="2" s="1"/>
  <c r="CV11" i="2" s="1"/>
  <c r="CW11" i="2" s="1"/>
  <c r="CX11" i="2" s="1"/>
  <c r="CY11" i="2" s="1"/>
  <c r="CZ11" i="2" s="1"/>
  <c r="DA11" i="2" s="1"/>
  <c r="DB11" i="2" s="1"/>
  <c r="DC11" i="2" s="1"/>
  <c r="DD11" i="2" s="1"/>
  <c r="DE11" i="2" s="1"/>
  <c r="DF11" i="2" s="1"/>
  <c r="DG11" i="2" s="1"/>
  <c r="DH11" i="2" s="1"/>
  <c r="DI11" i="2" s="1"/>
  <c r="DJ11" i="2" s="1"/>
  <c r="DK11" i="2" s="1"/>
  <c r="DL11" i="2" s="1"/>
  <c r="DM11" i="2" s="1"/>
  <c r="DN11" i="2" s="1"/>
  <c r="DO11" i="2" s="1"/>
  <c r="DP11" i="2" s="1"/>
  <c r="DQ11" i="2" s="1"/>
  <c r="DR11" i="2" s="1"/>
  <c r="DS11" i="2" s="1"/>
  <c r="DT11" i="2" s="1"/>
  <c r="DU11" i="2" s="1"/>
  <c r="DV11" i="2" s="1"/>
  <c r="DW11" i="2" s="1"/>
  <c r="DX11" i="2" s="1"/>
  <c r="DY11" i="2" s="1"/>
  <c r="DZ11" i="2" s="1"/>
  <c r="EA11" i="2" s="1"/>
  <c r="EB11" i="2" s="1"/>
  <c r="EC11" i="2" s="1"/>
  <c r="ED11" i="2" s="1"/>
  <c r="EE11" i="2" s="1"/>
  <c r="EF11" i="2" s="1"/>
  <c r="EG11" i="2" s="1"/>
  <c r="EH11" i="2" s="1"/>
  <c r="EI11" i="2" s="1"/>
  <c r="EJ11" i="2" s="1"/>
  <c r="EK11" i="2" s="1"/>
  <c r="EL11" i="2" s="1"/>
  <c r="EM11" i="2" s="1"/>
  <c r="EN11" i="2" s="1"/>
  <c r="EO11" i="2" s="1"/>
  <c r="EP11" i="2" s="1"/>
  <c r="EQ11" i="2" s="1"/>
  <c r="ER11" i="2" s="1"/>
  <c r="ES11" i="2" s="1"/>
  <c r="ET11" i="2" s="1"/>
  <c r="EU11" i="2" s="1"/>
  <c r="EV11" i="2" s="1"/>
  <c r="EW11" i="2" s="1"/>
  <c r="EX11" i="2" s="1"/>
  <c r="EY11" i="2" s="1"/>
  <c r="EZ11" i="2" s="1"/>
  <c r="FA11" i="2" s="1"/>
  <c r="FB11" i="2" s="1"/>
  <c r="FC11" i="2" s="1"/>
  <c r="FD11" i="2" s="1"/>
  <c r="FE11" i="2" s="1"/>
  <c r="FF11" i="2" s="1"/>
  <c r="FG11" i="2" s="1"/>
  <c r="FH11" i="2" s="1"/>
  <c r="FI11" i="2" s="1"/>
  <c r="FJ11" i="2" s="1"/>
  <c r="FK11" i="2" s="1"/>
  <c r="FL11" i="2" s="1"/>
  <c r="FM11" i="2" s="1"/>
  <c r="FN11" i="2" s="1"/>
  <c r="FO11" i="2" s="1"/>
  <c r="FP11" i="2" s="1"/>
  <c r="FQ11" i="2" s="1"/>
  <c r="FR11" i="2" s="1"/>
  <c r="FS11" i="2" s="1"/>
  <c r="FT11" i="2" s="1"/>
  <c r="FU11" i="2" s="1"/>
  <c r="FV11" i="2" s="1"/>
  <c r="FW11" i="2" s="1"/>
  <c r="FX11" i="2" s="1"/>
  <c r="FY11" i="2" s="1"/>
  <c r="FZ11" i="2" s="1"/>
  <c r="GA11" i="2" s="1"/>
  <c r="GB11" i="2" s="1"/>
  <c r="GC11" i="2" s="1"/>
  <c r="GD11" i="2" s="1"/>
  <c r="GE11" i="2" s="1"/>
  <c r="GF11" i="2" s="1"/>
  <c r="GG11" i="2" s="1"/>
  <c r="GH11" i="2" s="1"/>
  <c r="GI11" i="2" s="1"/>
  <c r="GJ11" i="2" s="1"/>
  <c r="GK11" i="2" s="1"/>
  <c r="GL11" i="2" s="1"/>
  <c r="GM11" i="2" s="1"/>
  <c r="GN11" i="2" s="1"/>
  <c r="GO11" i="2" s="1"/>
  <c r="GP11" i="2" s="1"/>
  <c r="GQ11" i="2" s="1"/>
  <c r="GR11" i="2" s="1"/>
  <c r="GS11" i="2" s="1"/>
  <c r="GT11" i="2" s="1"/>
  <c r="EM20" i="2"/>
  <c r="EN20" i="2"/>
  <c r="EO20" i="2"/>
  <c r="EP20" i="2"/>
  <c r="EQ20" i="2"/>
  <c r="ER20" i="2"/>
  <c r="ES20" i="2"/>
  <c r="ET20" i="2"/>
  <c r="EU20" i="2"/>
  <c r="EV20" i="2"/>
  <c r="EW20" i="2"/>
  <c r="EX20" i="2"/>
  <c r="EY20" i="2"/>
  <c r="EZ20" i="2"/>
  <c r="FA20" i="2"/>
  <c r="FB20" i="2"/>
  <c r="FC20" i="2"/>
  <c r="FD20" i="2"/>
  <c r="EM127" i="2"/>
  <c r="EN127" i="2"/>
  <c r="EO127" i="2"/>
  <c r="EP127" i="2"/>
  <c r="EQ127" i="2"/>
  <c r="ER127" i="2"/>
  <c r="ES127" i="2"/>
  <c r="ET127" i="2"/>
  <c r="EU127" i="2"/>
  <c r="EV127" i="2"/>
  <c r="EW127" i="2"/>
  <c r="EX127" i="2"/>
  <c r="EY127" i="2"/>
  <c r="EZ127" i="2"/>
  <c r="FA127" i="2"/>
  <c r="FB127" i="2"/>
  <c r="FC127" i="2"/>
  <c r="FD127" i="2"/>
  <c r="EM132" i="2"/>
  <c r="EN132" i="2"/>
  <c r="EO132" i="2"/>
  <c r="EP132" i="2"/>
  <c r="EQ132" i="2"/>
  <c r="ER132" i="2"/>
  <c r="ES132" i="2"/>
  <c r="ET132" i="2"/>
  <c r="EU132" i="2"/>
  <c r="EV132" i="2"/>
  <c r="EW132" i="2"/>
  <c r="EX132" i="2"/>
  <c r="EY132" i="2"/>
  <c r="EZ132" i="2"/>
  <c r="FA132" i="2"/>
  <c r="FB132" i="2"/>
  <c r="FC132" i="2"/>
  <c r="FD132" i="2"/>
  <c r="EM133" i="2"/>
  <c r="EN133" i="2"/>
  <c r="EO133" i="2"/>
  <c r="EP133" i="2"/>
  <c r="EQ133" i="2"/>
  <c r="ER133" i="2"/>
  <c r="ES133" i="2"/>
  <c r="ET133" i="2"/>
  <c r="EU133" i="2"/>
  <c r="EV133" i="2"/>
  <c r="EW133" i="2"/>
  <c r="EX133" i="2"/>
  <c r="EY133" i="2"/>
  <c r="EZ133" i="2"/>
  <c r="FA133" i="2"/>
  <c r="FB133" i="2"/>
  <c r="FC133" i="2"/>
  <c r="FD133" i="2"/>
  <c r="EM156" i="2"/>
  <c r="EN156" i="2"/>
  <c r="EO156" i="2"/>
  <c r="EP156" i="2"/>
  <c r="EQ156" i="2"/>
  <c r="ER156" i="2"/>
  <c r="ES156" i="2"/>
  <c r="ET156" i="2"/>
  <c r="EU156" i="2"/>
  <c r="EV156" i="2"/>
  <c r="EW156" i="2"/>
  <c r="EX156" i="2"/>
  <c r="EY156" i="2"/>
  <c r="EZ156" i="2"/>
  <c r="FA156" i="2"/>
  <c r="FB156" i="2"/>
  <c r="FC156" i="2"/>
  <c r="FD156" i="2"/>
  <c r="HG16" i="2"/>
  <c r="HG17" i="2" s="1"/>
  <c r="HG18" i="2" s="1"/>
  <c r="HG19" i="2" s="1"/>
  <c r="HG20" i="2" s="1"/>
  <c r="HG21" i="2" s="1"/>
  <c r="HG23" i="2" s="1"/>
  <c r="HG25" i="2" s="1"/>
  <c r="HG26" i="2" s="1"/>
  <c r="HG27" i="2" s="1"/>
  <c r="HG28" i="2" s="1"/>
  <c r="HG29" i="2" s="1"/>
  <c r="HG30" i="2" s="1"/>
  <c r="HG31" i="2" s="1"/>
  <c r="HG32" i="2" s="1"/>
  <c r="HG33" i="2" s="1"/>
  <c r="HG34" i="2" s="1"/>
  <c r="HG36" i="2" s="1"/>
  <c r="HG37" i="2" s="1"/>
  <c r="HG38" i="2" s="1"/>
  <c r="HG39" i="2" s="1"/>
  <c r="HG40" i="2" s="1"/>
  <c r="HG41" i="2" s="1"/>
  <c r="HG42" i="2" s="1"/>
  <c r="HG43" i="2" s="1"/>
  <c r="HG44" i="2" s="1"/>
  <c r="HG45" i="2" s="1"/>
  <c r="HG46" i="2" s="1"/>
  <c r="HG47" i="2" s="1"/>
  <c r="HG48" i="2" s="1"/>
  <c r="HG49" i="2" s="1"/>
  <c r="HG50" i="2" s="1"/>
  <c r="HG51" i="2" s="1"/>
  <c r="HG52" i="2" s="1"/>
  <c r="HG53" i="2" s="1"/>
  <c r="HG54" i="2" s="1"/>
  <c r="HG55" i="2" s="1"/>
  <c r="HG56" i="2" s="1"/>
  <c r="HG57" i="2" s="1"/>
  <c r="HG58" i="2" s="1"/>
  <c r="HG59" i="2" s="1"/>
  <c r="HG60" i="2" s="1"/>
  <c r="HG61" i="2" s="1"/>
  <c r="HG62" i="2" s="1"/>
  <c r="HG63" i="2" s="1"/>
  <c r="HG64" i="2" s="1"/>
  <c r="HG65" i="2" s="1"/>
  <c r="HG66" i="2" s="1"/>
  <c r="HG67" i="2" s="1"/>
  <c r="HG68" i="2" s="1"/>
  <c r="HG69" i="2" s="1"/>
  <c r="HG70" i="2" s="1"/>
  <c r="HG71" i="2" s="1"/>
  <c r="HG72" i="2" s="1"/>
  <c r="HG73" i="2" s="1"/>
  <c r="HG74" i="2" s="1"/>
  <c r="HG75" i="2" s="1"/>
  <c r="HG76" i="2" s="1"/>
  <c r="HG77" i="2" s="1"/>
  <c r="HG78" i="2" s="1"/>
  <c r="HG79" i="2" s="1"/>
  <c r="HG80" i="2" s="1"/>
  <c r="HG81" i="2" s="1"/>
  <c r="HG82" i="2" s="1"/>
  <c r="HG83" i="2" s="1"/>
  <c r="HG84" i="2" s="1"/>
  <c r="HG85" i="2" s="1"/>
  <c r="HG86" i="2" s="1"/>
  <c r="HG87" i="2" s="1"/>
  <c r="HG88" i="2" s="1"/>
  <c r="HG89" i="2" s="1"/>
  <c r="HG90" i="2" s="1"/>
  <c r="HG91" i="2" s="1"/>
  <c r="HG92" i="2" s="1"/>
  <c r="HG11" i="2" l="1"/>
  <c r="GU11" i="2"/>
  <c r="GV11" i="2" s="1"/>
  <c r="GW11" i="2" s="1"/>
  <c r="GX11" i="2" s="1"/>
  <c r="GY11" i="2" s="1"/>
  <c r="GZ11" i="2" s="1"/>
  <c r="HA11" i="2" s="1"/>
  <c r="K44" i="46"/>
  <c r="L44" i="46"/>
  <c r="D42" i="46"/>
  <c r="F42" i="46" s="1"/>
  <c r="G41" i="46"/>
  <c r="G40" i="46"/>
  <c r="G39" i="46"/>
  <c r="G38" i="46"/>
  <c r="G28" i="46"/>
  <c r="G27" i="46"/>
  <c r="G26" i="46"/>
  <c r="G25" i="46"/>
  <c r="G24" i="46"/>
  <c r="G19" i="46"/>
  <c r="D18" i="46"/>
  <c r="K18" i="46" s="1"/>
  <c r="L17" i="46"/>
  <c r="K17" i="46"/>
  <c r="G17" i="46"/>
  <c r="D16" i="46"/>
  <c r="K16" i="46" s="1"/>
  <c r="L15" i="46"/>
  <c r="K15" i="46"/>
  <c r="G15" i="46"/>
  <c r="K14" i="46"/>
  <c r="G14" i="46"/>
  <c r="K13" i="46"/>
  <c r="L13" i="46"/>
  <c r="K12" i="46"/>
  <c r="G12" i="46"/>
  <c r="K11" i="46"/>
  <c r="L11" i="46"/>
  <c r="K10" i="46"/>
  <c r="G10" i="46"/>
  <c r="K9" i="46"/>
  <c r="L9" i="46"/>
  <c r="L14" i="46" l="1"/>
  <c r="L12" i="46"/>
  <c r="L10" i="46"/>
  <c r="K21" i="46"/>
  <c r="E42" i="46"/>
  <c r="G42" i="46" s="1"/>
  <c r="G9" i="46"/>
  <c r="G11" i="46"/>
  <c r="G13" i="46"/>
  <c r="D21" i="46"/>
  <c r="F16" i="46"/>
  <c r="F18" i="46"/>
  <c r="G44" i="46"/>
  <c r="D30" i="46" l="1"/>
  <c r="F21" i="46"/>
  <c r="G21" i="46" s="1"/>
  <c r="O7" i="46"/>
  <c r="E21" i="46"/>
  <c r="G18" i="46"/>
  <c r="L18" i="46"/>
  <c r="G16" i="46"/>
  <c r="L16" i="46"/>
  <c r="L21" i="46" s="1"/>
  <c r="M21" i="46" s="1"/>
  <c r="M22" i="46" s="1"/>
  <c r="E33" i="45"/>
  <c r="L29" i="45"/>
  <c r="I29" i="45"/>
  <c r="K29" i="45" s="1"/>
  <c r="G29" i="45"/>
  <c r="F29" i="45"/>
  <c r="K28" i="45"/>
  <c r="J28" i="45"/>
  <c r="L28" i="45" s="1"/>
  <c r="G28" i="45"/>
  <c r="F28" i="45"/>
  <c r="K27" i="45"/>
  <c r="J27" i="45"/>
  <c r="L27" i="45" s="1"/>
  <c r="G27" i="45"/>
  <c r="F27" i="45"/>
  <c r="E24" i="45"/>
  <c r="E25" i="45" s="1"/>
  <c r="L18" i="45"/>
  <c r="K18" i="45"/>
  <c r="I18" i="45"/>
  <c r="J24" i="45" s="1"/>
  <c r="G18" i="45"/>
  <c r="J17" i="45"/>
  <c r="L17" i="45" s="1"/>
  <c r="K17" i="45" s="1"/>
  <c r="J16" i="45"/>
  <c r="L16" i="45" s="1"/>
  <c r="K16" i="45" s="1"/>
  <c r="E15" i="45"/>
  <c r="J15" i="45" s="1"/>
  <c r="L15" i="45" s="1"/>
  <c r="K15" i="45" s="1"/>
  <c r="J14" i="45"/>
  <c r="L14" i="45" s="1"/>
  <c r="K14" i="45" s="1"/>
  <c r="J13" i="45"/>
  <c r="L13" i="45" s="1"/>
  <c r="K13" i="45" s="1"/>
  <c r="J12" i="45"/>
  <c r="L12" i="45" s="1"/>
  <c r="K12" i="45" s="1"/>
  <c r="J11" i="45"/>
  <c r="L11" i="45" s="1"/>
  <c r="K11" i="45" s="1"/>
  <c r="L10" i="45"/>
  <c r="K10" i="45" s="1"/>
  <c r="J10" i="45"/>
  <c r="J9" i="45"/>
  <c r="L9" i="45" s="1"/>
  <c r="K9" i="45" s="1"/>
  <c r="J8" i="45"/>
  <c r="L8" i="45" s="1"/>
  <c r="K8" i="45" s="1"/>
  <c r="E35" i="45" l="1"/>
  <c r="I24" i="45"/>
  <c r="K24" i="45" s="1"/>
  <c r="I33" i="45"/>
  <c r="J33" i="45"/>
  <c r="L33" i="45" s="1"/>
  <c r="E30" i="46"/>
  <c r="F30" i="46"/>
  <c r="G30" i="46" s="1"/>
  <c r="L24" i="45"/>
  <c r="K33" i="45"/>
  <c r="K35" i="45" l="1"/>
  <c r="L35" i="45" s="1"/>
  <c r="I35" i="45"/>
  <c r="G85" i="52"/>
  <c r="F85" i="52"/>
  <c r="W30" i="1"/>
  <c r="F84" i="52" s="1"/>
  <c r="F93" i="52" s="1"/>
  <c r="X30" i="1" l="1"/>
  <c r="G84" i="52" s="1"/>
  <c r="G93" i="52" s="1"/>
  <c r="C15" i="1" l="1"/>
  <c r="D15" i="1" s="1"/>
  <c r="E85" i="52" l="1"/>
  <c r="V30" i="1"/>
  <c r="E84" i="52" s="1"/>
  <c r="E93" i="52" s="1"/>
  <c r="T32" i="1"/>
  <c r="T33" i="1"/>
  <c r="T34" i="1"/>
  <c r="T35" i="1"/>
  <c r="T31" i="1"/>
  <c r="F108" i="2" l="1"/>
  <c r="HH180" i="2" l="1"/>
  <c r="AS3" i="36" l="1"/>
  <c r="AR3" i="36"/>
  <c r="AQ3" i="36"/>
  <c r="AP3" i="36"/>
  <c r="AO3" i="36"/>
  <c r="AN3" i="36"/>
  <c r="AM3" i="36"/>
  <c r="AL3" i="36"/>
  <c r="AK3" i="36"/>
  <c r="AJ3" i="36"/>
  <c r="AI3" i="36"/>
  <c r="AH3" i="36"/>
  <c r="AG3" i="36"/>
  <c r="AF3" i="36"/>
  <c r="AE3" i="36"/>
  <c r="AD3" i="36"/>
  <c r="AC3" i="36"/>
  <c r="AB3" i="36"/>
  <c r="AA3" i="36"/>
  <c r="Z3" i="36"/>
  <c r="Y3" i="36"/>
  <c r="X3" i="36"/>
  <c r="W3" i="36"/>
  <c r="V3" i="36"/>
  <c r="U3" i="36"/>
  <c r="S3" i="36"/>
  <c r="R3" i="36"/>
  <c r="Q3" i="36"/>
  <c r="P3" i="36"/>
  <c r="O3" i="36"/>
  <c r="N3" i="36"/>
  <c r="M3" i="36"/>
  <c r="L3" i="36"/>
  <c r="K3" i="36"/>
  <c r="J3" i="36"/>
  <c r="I3" i="36"/>
  <c r="H3" i="36"/>
  <c r="G3" i="36"/>
  <c r="F3" i="36"/>
  <c r="E3" i="36"/>
  <c r="D3" i="36"/>
  <c r="T3" i="36"/>
  <c r="G29" i="2" l="1"/>
  <c r="J55" i="1"/>
  <c r="L55" i="1" s="1"/>
  <c r="G20" i="7"/>
  <c r="I20" i="7" s="1"/>
  <c r="G26" i="2" l="1"/>
  <c r="T194" i="2"/>
  <c r="U194" i="2"/>
  <c r="V194" i="2"/>
  <c r="W194" i="2"/>
  <c r="Y194" i="2"/>
  <c r="Z194" i="2"/>
  <c r="AA194" i="2"/>
  <c r="AB194" i="2"/>
  <c r="AC194" i="2"/>
  <c r="AD194" i="2"/>
  <c r="AE194" i="2"/>
  <c r="AF194" i="2"/>
  <c r="AH194" i="2"/>
  <c r="AI194" i="2"/>
  <c r="AJ194" i="2"/>
  <c r="AK194" i="2"/>
  <c r="AL194" i="2"/>
  <c r="AM194" i="2"/>
  <c r="AN194" i="2"/>
  <c r="AO194" i="2"/>
  <c r="AP194" i="2"/>
  <c r="AQ194" i="2"/>
  <c r="AR194" i="2"/>
  <c r="AS194" i="2"/>
  <c r="AT194" i="2"/>
  <c r="AU194" i="2"/>
  <c r="AV194" i="2"/>
  <c r="AW194" i="2"/>
  <c r="AX194" i="2"/>
  <c r="AY194" i="2"/>
  <c r="AZ194" i="2"/>
  <c r="BB194" i="2"/>
  <c r="BE194" i="2"/>
  <c r="BF194" i="2"/>
  <c r="BH194" i="2"/>
  <c r="BI194" i="2"/>
  <c r="BJ194" i="2"/>
  <c r="BK194" i="2"/>
  <c r="M194" i="2"/>
  <c r="N194" i="2"/>
  <c r="O194" i="2"/>
  <c r="Q194" i="2"/>
  <c r="R194" i="2"/>
  <c r="S194" i="2"/>
  <c r="L194" i="2"/>
  <c r="BG124" i="2"/>
  <c r="BG194" i="2" s="1"/>
  <c r="BD124" i="2"/>
  <c r="BD194" i="2" s="1"/>
  <c r="BC124" i="2"/>
  <c r="BC194" i="2" s="1"/>
  <c r="BA124" i="2"/>
  <c r="BA194" i="2" s="1"/>
  <c r="AG124" i="2"/>
  <c r="AG194" i="2" s="1"/>
  <c r="X124" i="2"/>
  <c r="X194" i="2" s="1"/>
  <c r="P124" i="2"/>
  <c r="P194" i="2" s="1"/>
  <c r="D14" i="39"/>
  <c r="D13" i="39"/>
  <c r="D12" i="39"/>
  <c r="D11" i="39"/>
  <c r="D10" i="39"/>
  <c r="D9" i="39"/>
  <c r="D8" i="39"/>
  <c r="D7" i="39"/>
  <c r="D6" i="39"/>
  <c r="D5" i="39"/>
  <c r="D4" i="39"/>
  <c r="E15" i="39" l="1"/>
  <c r="K115" i="38" l="1"/>
  <c r="I111" i="38"/>
  <c r="H111" i="38"/>
  <c r="F111" i="38"/>
  <c r="J110" i="38"/>
  <c r="J111" i="38" s="1"/>
  <c r="H110" i="38"/>
  <c r="D110" i="38"/>
  <c r="C110" i="38"/>
  <c r="K110" i="38" s="1"/>
  <c r="L110" i="38" s="1"/>
  <c r="M110" i="38" s="1"/>
  <c r="E109" i="38"/>
  <c r="E111" i="38" s="1"/>
  <c r="K111" i="38" s="1"/>
  <c r="D109" i="38"/>
  <c r="C109" i="38"/>
  <c r="K109" i="38" s="1"/>
  <c r="G95" i="38"/>
  <c r="K79" i="38"/>
  <c r="I79" i="38"/>
  <c r="I80" i="38" s="1"/>
  <c r="J77" i="38"/>
  <c r="K77" i="38" s="1"/>
  <c r="J76" i="38"/>
  <c r="K76" i="38" s="1"/>
  <c r="K75" i="38"/>
  <c r="J75" i="38"/>
  <c r="K74" i="38"/>
  <c r="J74" i="38"/>
  <c r="J73" i="38"/>
  <c r="K73" i="38" s="1"/>
  <c r="J72" i="38"/>
  <c r="K72" i="38" s="1"/>
  <c r="K71" i="38"/>
  <c r="J71" i="38"/>
  <c r="K70" i="38"/>
  <c r="J70" i="38"/>
  <c r="J69" i="38"/>
  <c r="K69" i="38" s="1"/>
  <c r="J68" i="38"/>
  <c r="K68" i="38" s="1"/>
  <c r="K67" i="38"/>
  <c r="J67" i="38"/>
  <c r="K66" i="38"/>
  <c r="J66" i="38"/>
  <c r="J65" i="38"/>
  <c r="J80" i="38" s="1"/>
  <c r="K47" i="38"/>
  <c r="J47" i="38"/>
  <c r="J46" i="38"/>
  <c r="K46" i="38" s="1"/>
  <c r="J45" i="38"/>
  <c r="K45" i="38" s="1"/>
  <c r="K44" i="38"/>
  <c r="J44" i="38"/>
  <c r="K43" i="38"/>
  <c r="J43" i="38"/>
  <c r="J42" i="38"/>
  <c r="K42" i="38" s="1"/>
  <c r="J41" i="38"/>
  <c r="K41" i="38" s="1"/>
  <c r="K40" i="38"/>
  <c r="J40" i="38"/>
  <c r="K39" i="38"/>
  <c r="J39" i="38"/>
  <c r="J38" i="38"/>
  <c r="K38" i="38" s="1"/>
  <c r="J37" i="38"/>
  <c r="K37" i="38" s="1"/>
  <c r="K36" i="38"/>
  <c r="J36" i="38"/>
  <c r="K35" i="38"/>
  <c r="J35" i="38"/>
  <c r="J34" i="38"/>
  <c r="K34" i="38" s="1"/>
  <c r="J33" i="38"/>
  <c r="K33" i="38" s="1"/>
  <c r="K32" i="38"/>
  <c r="J32" i="38"/>
  <c r="K31" i="38"/>
  <c r="J31" i="38"/>
  <c r="J30" i="38"/>
  <c r="K30" i="38" s="1"/>
  <c r="J29" i="38"/>
  <c r="K29" i="38" s="1"/>
  <c r="K28" i="38"/>
  <c r="J28" i="38"/>
  <c r="K27" i="38"/>
  <c r="J27" i="38"/>
  <c r="J26" i="38"/>
  <c r="K26" i="38" s="1"/>
  <c r="J25" i="38"/>
  <c r="K25" i="38" s="1"/>
  <c r="K24" i="38"/>
  <c r="J24" i="38"/>
  <c r="K23" i="38"/>
  <c r="J23" i="38"/>
  <c r="J22" i="38"/>
  <c r="K22" i="38" s="1"/>
  <c r="K21" i="38"/>
  <c r="J21" i="38"/>
  <c r="K20" i="38"/>
  <c r="J20" i="38"/>
  <c r="K19" i="38"/>
  <c r="J19" i="38"/>
  <c r="J18" i="38"/>
  <c r="K18" i="38" s="1"/>
  <c r="I18" i="38"/>
  <c r="I54" i="38" s="1"/>
  <c r="J17" i="38"/>
  <c r="K17" i="38" s="1"/>
  <c r="J16" i="38"/>
  <c r="K16" i="38" s="1"/>
  <c r="J15" i="38"/>
  <c r="K15" i="38" s="1"/>
  <c r="K14" i="38"/>
  <c r="J14" i="38"/>
  <c r="J13" i="38"/>
  <c r="K13" i="38" s="1"/>
  <c r="J12" i="38"/>
  <c r="K12" i="38" s="1"/>
  <c r="J11" i="38"/>
  <c r="K11" i="38" s="1"/>
  <c r="K10" i="38"/>
  <c r="J10" i="38"/>
  <c r="J48" i="38" s="1"/>
  <c r="K9" i="38"/>
  <c r="K8" i="38"/>
  <c r="I82" i="38" l="1"/>
  <c r="I84" i="38"/>
  <c r="K65" i="38"/>
  <c r="K80" i="38" s="1"/>
  <c r="I48" i="38"/>
  <c r="K48" i="38" s="1"/>
  <c r="I114" i="38"/>
  <c r="I115" i="38" s="1"/>
  <c r="F89" i="38" l="1"/>
  <c r="D89" i="38"/>
  <c r="AF58" i="2" l="1"/>
  <c r="AJ57" i="2"/>
  <c r="AF56" i="2"/>
  <c r="AJ55" i="2"/>
  <c r="E2" i="36"/>
  <c r="F2" i="36" s="1"/>
  <c r="G2" i="36" s="1"/>
  <c r="H2" i="36" s="1"/>
  <c r="I2" i="36" s="1"/>
  <c r="J2" i="36" s="1"/>
  <c r="K2" i="36" s="1"/>
  <c r="L2" i="36" s="1"/>
  <c r="M2" i="36" s="1"/>
  <c r="N2" i="36" s="1"/>
  <c r="O2" i="36" s="1"/>
  <c r="P2" i="36" s="1"/>
  <c r="Q2" i="36" s="1"/>
  <c r="R2" i="36" s="1"/>
  <c r="S2" i="36" s="1"/>
  <c r="T2" i="36" s="1"/>
  <c r="U2" i="36" s="1"/>
  <c r="V2" i="36" s="1"/>
  <c r="W2" i="36" s="1"/>
  <c r="X2" i="36" s="1"/>
  <c r="Y2" i="36" s="1"/>
  <c r="Z2" i="36" s="1"/>
  <c r="AA2" i="36" s="1"/>
  <c r="AB2" i="36" s="1"/>
  <c r="AC2" i="36" s="1"/>
  <c r="AD2" i="36" s="1"/>
  <c r="AE2" i="36" s="1"/>
  <c r="AF2" i="36" s="1"/>
  <c r="AG2" i="36" s="1"/>
  <c r="AH2" i="36" s="1"/>
  <c r="AI2" i="36" s="1"/>
  <c r="AJ2" i="36" s="1"/>
  <c r="AK2" i="36" s="1"/>
  <c r="AL2" i="36" s="1"/>
  <c r="AM2" i="36" s="1"/>
  <c r="AN2" i="36" s="1"/>
  <c r="AO2" i="36" s="1"/>
  <c r="AP2" i="36" s="1"/>
  <c r="AQ2" i="36" s="1"/>
  <c r="AR2" i="36" s="1"/>
  <c r="AS2" i="36" s="1"/>
  <c r="AT2" i="36" s="1"/>
  <c r="AU2" i="36" s="1"/>
  <c r="AV2" i="36" s="1"/>
  <c r="AW2" i="36" s="1"/>
  <c r="AX2" i="36" s="1"/>
  <c r="AY2" i="36" s="1"/>
  <c r="AZ2" i="36" s="1"/>
  <c r="BA2" i="36" s="1"/>
  <c r="BB2" i="36" s="1"/>
  <c r="BC2" i="36" s="1"/>
  <c r="BD2" i="36" s="1"/>
  <c r="BE2" i="36" s="1"/>
  <c r="BF2" i="36" s="1"/>
  <c r="BG2" i="36" s="1"/>
  <c r="BH2" i="36" s="1"/>
  <c r="BI2" i="36" s="1"/>
  <c r="L54" i="2"/>
  <c r="M54" i="2"/>
  <c r="N54" i="2"/>
  <c r="O54" i="2"/>
  <c r="P54" i="2"/>
  <c r="Q54" i="2"/>
  <c r="R54" i="2"/>
  <c r="S54" i="2"/>
  <c r="T54" i="2"/>
  <c r="U54" i="2"/>
  <c r="V54" i="2"/>
  <c r="W54" i="2"/>
  <c r="X54" i="2"/>
  <c r="Y54" i="2"/>
  <c r="Z54" i="2"/>
  <c r="AA54" i="2"/>
  <c r="AB54" i="2"/>
  <c r="AC54" i="2"/>
  <c r="AD54" i="2"/>
  <c r="AE54" i="2"/>
  <c r="AF54" i="2"/>
  <c r="AG54" i="2"/>
  <c r="AH54" i="2"/>
  <c r="AI54" i="2"/>
  <c r="AJ54" i="2"/>
  <c r="AK54" i="2"/>
  <c r="AL54" i="2"/>
  <c r="AM54" i="2"/>
  <c r="AN54" i="2"/>
  <c r="AO54" i="2"/>
  <c r="AP54" i="2"/>
  <c r="AQ54" i="2"/>
  <c r="AR54" i="2"/>
  <c r="AS54" i="2"/>
  <c r="AT54" i="2"/>
  <c r="AU54" i="2"/>
  <c r="AV54" i="2"/>
  <c r="AW54" i="2"/>
  <c r="AX54" i="2"/>
  <c r="AY54" i="2"/>
  <c r="AZ54" i="2"/>
  <c r="BA54" i="2"/>
  <c r="D4" i="36"/>
  <c r="E4" i="36"/>
  <c r="M55" i="2" s="1"/>
  <c r="F4" i="36"/>
  <c r="N55" i="2" s="1"/>
  <c r="G4" i="36"/>
  <c r="O55" i="2" s="1"/>
  <c r="H4" i="36"/>
  <c r="P55" i="2" s="1"/>
  <c r="I4" i="36"/>
  <c r="Q55" i="2" s="1"/>
  <c r="J4" i="36"/>
  <c r="R55" i="2" s="1"/>
  <c r="K4" i="36"/>
  <c r="S55" i="2" s="1"/>
  <c r="L4" i="36"/>
  <c r="T55" i="2" s="1"/>
  <c r="M4" i="36"/>
  <c r="U55" i="2" s="1"/>
  <c r="N4" i="36"/>
  <c r="V55" i="2" s="1"/>
  <c r="O4" i="36"/>
  <c r="W55" i="2" s="1"/>
  <c r="P4" i="36"/>
  <c r="X55" i="2" s="1"/>
  <c r="Q4" i="36"/>
  <c r="Y55" i="2" s="1"/>
  <c r="R4" i="36"/>
  <c r="Z55" i="2" s="1"/>
  <c r="S4" i="36"/>
  <c r="AA55" i="2" s="1"/>
  <c r="T4" i="36"/>
  <c r="AB55" i="2" s="1"/>
  <c r="U4" i="36"/>
  <c r="AC55" i="2" s="1"/>
  <c r="V4" i="36"/>
  <c r="AD55" i="2" s="1"/>
  <c r="W4" i="36"/>
  <c r="AE55" i="2" s="1"/>
  <c r="X4" i="36"/>
  <c r="AF55" i="2" s="1"/>
  <c r="Y4" i="36"/>
  <c r="AG55" i="2" s="1"/>
  <c r="Z4" i="36"/>
  <c r="AH55" i="2" s="1"/>
  <c r="AA4" i="36"/>
  <c r="AI55" i="2" s="1"/>
  <c r="AB4" i="36"/>
  <c r="AC4" i="36"/>
  <c r="AK55" i="2" s="1"/>
  <c r="AD4" i="36"/>
  <c r="AL55" i="2" s="1"/>
  <c r="AE4" i="36"/>
  <c r="AM55" i="2" s="1"/>
  <c r="AF4" i="36"/>
  <c r="AN55" i="2" s="1"/>
  <c r="AG4" i="36"/>
  <c r="AO55" i="2" s="1"/>
  <c r="AH4" i="36"/>
  <c r="AP55" i="2" s="1"/>
  <c r="AI4" i="36"/>
  <c r="AQ55" i="2" s="1"/>
  <c r="AJ4" i="36"/>
  <c r="AR55" i="2" s="1"/>
  <c r="AK4" i="36"/>
  <c r="AS55" i="2" s="1"/>
  <c r="AL4" i="36"/>
  <c r="AT55" i="2" s="1"/>
  <c r="AM4" i="36"/>
  <c r="AU55" i="2" s="1"/>
  <c r="AN4" i="36"/>
  <c r="AV55" i="2" s="1"/>
  <c r="AO4" i="36"/>
  <c r="AW55" i="2" s="1"/>
  <c r="AP4" i="36"/>
  <c r="AX55" i="2" s="1"/>
  <c r="AQ4" i="36"/>
  <c r="AY55" i="2" s="1"/>
  <c r="AR4" i="36"/>
  <c r="AZ55" i="2" s="1"/>
  <c r="AS4" i="36"/>
  <c r="BA55" i="2" s="1"/>
  <c r="BB55" i="2"/>
  <c r="BC55" i="2"/>
  <c r="BD55" i="2"/>
  <c r="BE55" i="2"/>
  <c r="BF55" i="2"/>
  <c r="BG55" i="2"/>
  <c r="BH55" i="2"/>
  <c r="BI55" i="2"/>
  <c r="BJ55" i="2"/>
  <c r="BK55" i="2"/>
  <c r="D5" i="36"/>
  <c r="L56" i="2" s="1"/>
  <c r="E5" i="36"/>
  <c r="M56" i="2" s="1"/>
  <c r="F5" i="36"/>
  <c r="N56" i="2" s="1"/>
  <c r="G5" i="36"/>
  <c r="O56" i="2" s="1"/>
  <c r="H5" i="36"/>
  <c r="P56" i="2" s="1"/>
  <c r="I5" i="36"/>
  <c r="Q56" i="2" s="1"/>
  <c r="J5" i="36"/>
  <c r="R56" i="2" s="1"/>
  <c r="K5" i="36"/>
  <c r="S56" i="2" s="1"/>
  <c r="L5" i="36"/>
  <c r="T56" i="2" s="1"/>
  <c r="M5" i="36"/>
  <c r="U56" i="2" s="1"/>
  <c r="N5" i="36"/>
  <c r="V56" i="2" s="1"/>
  <c r="O5" i="36"/>
  <c r="W56" i="2" s="1"/>
  <c r="P5" i="36"/>
  <c r="X56" i="2" s="1"/>
  <c r="Q5" i="36"/>
  <c r="Y56" i="2" s="1"/>
  <c r="R5" i="36"/>
  <c r="Z56" i="2" s="1"/>
  <c r="S5" i="36"/>
  <c r="AA56" i="2" s="1"/>
  <c r="T5" i="36"/>
  <c r="AB56" i="2" s="1"/>
  <c r="U5" i="36"/>
  <c r="AC56" i="2" s="1"/>
  <c r="V5" i="36"/>
  <c r="AD56" i="2" s="1"/>
  <c r="W5" i="36"/>
  <c r="AE56" i="2" s="1"/>
  <c r="X5" i="36"/>
  <c r="Y5" i="36"/>
  <c r="AG56" i="2" s="1"/>
  <c r="Z5" i="36"/>
  <c r="AH56" i="2" s="1"/>
  <c r="AA5" i="36"/>
  <c r="AI56" i="2" s="1"/>
  <c r="AB5" i="36"/>
  <c r="AJ56" i="2" s="1"/>
  <c r="AC5" i="36"/>
  <c r="AK56" i="2" s="1"/>
  <c r="AD5" i="36"/>
  <c r="AL56" i="2" s="1"/>
  <c r="AE5" i="36"/>
  <c r="AM56" i="2" s="1"/>
  <c r="AF5" i="36"/>
  <c r="AN56" i="2" s="1"/>
  <c r="AG5" i="36"/>
  <c r="AO56" i="2" s="1"/>
  <c r="AH5" i="36"/>
  <c r="AP56" i="2" s="1"/>
  <c r="AI5" i="36"/>
  <c r="AQ56" i="2" s="1"/>
  <c r="AJ5" i="36"/>
  <c r="AR56" i="2" s="1"/>
  <c r="AK5" i="36"/>
  <c r="AS56" i="2" s="1"/>
  <c r="AL5" i="36"/>
  <c r="AT56" i="2" s="1"/>
  <c r="AM5" i="36"/>
  <c r="AU56" i="2" s="1"/>
  <c r="AN5" i="36"/>
  <c r="AV56" i="2" s="1"/>
  <c r="AO5" i="36"/>
  <c r="AW56" i="2" s="1"/>
  <c r="AP5" i="36"/>
  <c r="AX56" i="2" s="1"/>
  <c r="AQ5" i="36"/>
  <c r="AY56" i="2" s="1"/>
  <c r="AR5" i="36"/>
  <c r="AZ56" i="2" s="1"/>
  <c r="AS5" i="36"/>
  <c r="BA56" i="2" s="1"/>
  <c r="BC54" i="2"/>
  <c r="BD54" i="2"/>
  <c r="BE54" i="2"/>
  <c r="BF54" i="2"/>
  <c r="BG54" i="2"/>
  <c r="BH54" i="2"/>
  <c r="BI54" i="2"/>
  <c r="BJ54" i="2"/>
  <c r="BK54" i="2"/>
  <c r="D6" i="36"/>
  <c r="L57" i="2" s="1"/>
  <c r="E6" i="36"/>
  <c r="M57" i="2" s="1"/>
  <c r="F6" i="36"/>
  <c r="N57" i="2" s="1"/>
  <c r="G6" i="36"/>
  <c r="O57" i="2" s="1"/>
  <c r="H6" i="36"/>
  <c r="P57" i="2" s="1"/>
  <c r="I6" i="36"/>
  <c r="Q57" i="2" s="1"/>
  <c r="J6" i="36"/>
  <c r="R57" i="2" s="1"/>
  <c r="K6" i="36"/>
  <c r="S57" i="2" s="1"/>
  <c r="L6" i="36"/>
  <c r="T57" i="2" s="1"/>
  <c r="M6" i="36"/>
  <c r="U57" i="2" s="1"/>
  <c r="N6" i="36"/>
  <c r="V57" i="2" s="1"/>
  <c r="O6" i="36"/>
  <c r="W57" i="2" s="1"/>
  <c r="P6" i="36"/>
  <c r="X57" i="2" s="1"/>
  <c r="Q6" i="36"/>
  <c r="Y57" i="2" s="1"/>
  <c r="R6" i="36"/>
  <c r="Z57" i="2" s="1"/>
  <c r="S6" i="36"/>
  <c r="AA57" i="2" s="1"/>
  <c r="T6" i="36"/>
  <c r="AB57" i="2" s="1"/>
  <c r="U6" i="36"/>
  <c r="AC57" i="2" s="1"/>
  <c r="V6" i="36"/>
  <c r="AD57" i="2" s="1"/>
  <c r="W6" i="36"/>
  <c r="AE57" i="2" s="1"/>
  <c r="X6" i="36"/>
  <c r="AF57" i="2" s="1"/>
  <c r="Y6" i="36"/>
  <c r="AG57" i="2" s="1"/>
  <c r="Z6" i="36"/>
  <c r="AH57" i="2" s="1"/>
  <c r="AA6" i="36"/>
  <c r="AI57" i="2" s="1"/>
  <c r="AB6" i="36"/>
  <c r="AC6" i="36"/>
  <c r="AK57" i="2" s="1"/>
  <c r="AD6" i="36"/>
  <c r="AL57" i="2" s="1"/>
  <c r="AE6" i="36"/>
  <c r="AM57" i="2" s="1"/>
  <c r="AF6" i="36"/>
  <c r="AN57" i="2" s="1"/>
  <c r="AG6" i="36"/>
  <c r="AO57" i="2" s="1"/>
  <c r="AH6" i="36"/>
  <c r="AP57" i="2" s="1"/>
  <c r="AI6" i="36"/>
  <c r="AQ57" i="2" s="1"/>
  <c r="AJ6" i="36"/>
  <c r="AR57" i="2" s="1"/>
  <c r="AK6" i="36"/>
  <c r="AS57" i="2" s="1"/>
  <c r="AL6" i="36"/>
  <c r="AT57" i="2" s="1"/>
  <c r="AM6" i="36"/>
  <c r="AU57" i="2" s="1"/>
  <c r="AN6" i="36"/>
  <c r="AV57" i="2" s="1"/>
  <c r="AO6" i="36"/>
  <c r="AW57" i="2" s="1"/>
  <c r="AP6" i="36"/>
  <c r="AX57" i="2" s="1"/>
  <c r="AQ6" i="36"/>
  <c r="AY57" i="2" s="1"/>
  <c r="AR6" i="36"/>
  <c r="AZ57" i="2" s="1"/>
  <c r="AS6" i="36"/>
  <c r="BA57" i="2" s="1"/>
  <c r="BC57" i="2"/>
  <c r="BD57" i="2"/>
  <c r="BE57" i="2"/>
  <c r="BF57" i="2"/>
  <c r="BG57" i="2"/>
  <c r="BH57" i="2"/>
  <c r="BI57" i="2"/>
  <c r="BJ57" i="2"/>
  <c r="BK57" i="2"/>
  <c r="D7" i="36"/>
  <c r="D8" i="36" s="1"/>
  <c r="L59" i="2" s="1"/>
  <c r="E7" i="36"/>
  <c r="M58" i="2" s="1"/>
  <c r="F7" i="36"/>
  <c r="N58" i="2" s="1"/>
  <c r="G7" i="36"/>
  <c r="G8" i="36" s="1"/>
  <c r="H7" i="36"/>
  <c r="P58" i="2" s="1"/>
  <c r="I7" i="36"/>
  <c r="Q58" i="2" s="1"/>
  <c r="J7" i="36"/>
  <c r="J8" i="36" s="1"/>
  <c r="R59" i="2" s="1"/>
  <c r="K7" i="36"/>
  <c r="S58" i="2" s="1"/>
  <c r="L7" i="36"/>
  <c r="L8" i="36" s="1"/>
  <c r="T59" i="2" s="1"/>
  <c r="M7" i="36"/>
  <c r="U58" i="2" s="1"/>
  <c r="N7" i="36"/>
  <c r="V58" i="2" s="1"/>
  <c r="O7" i="36"/>
  <c r="O8" i="36" s="1"/>
  <c r="P7" i="36"/>
  <c r="X58" i="2" s="1"/>
  <c r="Q7" i="36"/>
  <c r="Y58" i="2" s="1"/>
  <c r="R7" i="36"/>
  <c r="R8" i="36" s="1"/>
  <c r="Z59" i="2" s="1"/>
  <c r="S7" i="36"/>
  <c r="AA58" i="2" s="1"/>
  <c r="T7" i="36"/>
  <c r="AB58" i="2" s="1"/>
  <c r="U7" i="36"/>
  <c r="AC58" i="2" s="1"/>
  <c r="V7" i="36"/>
  <c r="AD58" i="2" s="1"/>
  <c r="W7" i="36"/>
  <c r="W8" i="36" s="1"/>
  <c r="X7" i="36"/>
  <c r="Y7" i="36"/>
  <c r="AG58" i="2" s="1"/>
  <c r="Z7" i="36"/>
  <c r="Z8" i="36" s="1"/>
  <c r="AH59" i="2" s="1"/>
  <c r="AA7" i="36"/>
  <c r="AI58" i="2" s="1"/>
  <c r="AB7" i="36"/>
  <c r="AJ58" i="2" s="1"/>
  <c r="AC7" i="36"/>
  <c r="AK58" i="2" s="1"/>
  <c r="AD7" i="36"/>
  <c r="AL58" i="2" s="1"/>
  <c r="AE7" i="36"/>
  <c r="AE8" i="36" s="1"/>
  <c r="AF7" i="36"/>
  <c r="AF8" i="36" s="1"/>
  <c r="AN59" i="2" s="1"/>
  <c r="AG7" i="36"/>
  <c r="AO58" i="2" s="1"/>
  <c r="AH7" i="36"/>
  <c r="AH8" i="36" s="1"/>
  <c r="AP59" i="2" s="1"/>
  <c r="AI7" i="36"/>
  <c r="AQ58" i="2" s="1"/>
  <c r="AJ7" i="36"/>
  <c r="AJ8" i="36" s="1"/>
  <c r="AR59" i="2" s="1"/>
  <c r="AK7" i="36"/>
  <c r="AS58" i="2" s="1"/>
  <c r="AL7" i="36"/>
  <c r="AT58" i="2" s="1"/>
  <c r="AM7" i="36"/>
  <c r="AM8" i="36" s="1"/>
  <c r="AN7" i="36"/>
  <c r="AV58" i="2" s="1"/>
  <c r="AO7" i="36"/>
  <c r="AW58" i="2" s="1"/>
  <c r="AP7" i="36"/>
  <c r="AP8" i="36" s="1"/>
  <c r="AX59" i="2" s="1"/>
  <c r="AQ7" i="36"/>
  <c r="AQ8" i="36" s="1"/>
  <c r="AR7" i="36"/>
  <c r="AZ58" i="2" s="1"/>
  <c r="AS7" i="36"/>
  <c r="AS8" i="36" s="1"/>
  <c r="BB58" i="2"/>
  <c r="BD59" i="2"/>
  <c r="BE58" i="2"/>
  <c r="BF59" i="2"/>
  <c r="BH58" i="2"/>
  <c r="BI58" i="2"/>
  <c r="BJ59" i="2"/>
  <c r="E8" i="36"/>
  <c r="F8" i="36"/>
  <c r="F9" i="36" s="1"/>
  <c r="F11" i="36" s="1"/>
  <c r="H8" i="36"/>
  <c r="P59" i="2" s="1"/>
  <c r="M8" i="36"/>
  <c r="N8" i="36"/>
  <c r="N9" i="36" s="1"/>
  <c r="N11" i="36" s="1"/>
  <c r="P8" i="36"/>
  <c r="X59" i="2" s="1"/>
  <c r="U8" i="36"/>
  <c r="V8" i="36"/>
  <c r="AD59" i="2" s="1"/>
  <c r="X8" i="36"/>
  <c r="AF59" i="2" s="1"/>
  <c r="AC8" i="36"/>
  <c r="AD8" i="36"/>
  <c r="AL59" i="2" s="1"/>
  <c r="AK8" i="36"/>
  <c r="AL8" i="36"/>
  <c r="AL9" i="36" s="1"/>
  <c r="AL11" i="36" s="1"/>
  <c r="V9" i="36"/>
  <c r="D10" i="36"/>
  <c r="E10" i="36"/>
  <c r="F10" i="36"/>
  <c r="G10" i="36"/>
  <c r="H10" i="36"/>
  <c r="I10" i="36"/>
  <c r="J10" i="36"/>
  <c r="K10" i="36"/>
  <c r="L10" i="36"/>
  <c r="M10" i="36"/>
  <c r="N10" i="36"/>
  <c r="O10" i="36"/>
  <c r="P10" i="36"/>
  <c r="Q10" i="36"/>
  <c r="R10" i="36"/>
  <c r="S10" i="36"/>
  <c r="T10" i="36"/>
  <c r="U10" i="36"/>
  <c r="V10" i="36"/>
  <c r="W10" i="36"/>
  <c r="X10" i="36"/>
  <c r="Y10" i="36"/>
  <c r="Z10" i="36"/>
  <c r="AA10" i="36"/>
  <c r="AB10" i="36"/>
  <c r="AC10" i="36"/>
  <c r="AD10" i="36"/>
  <c r="AE10" i="36"/>
  <c r="AF10" i="36"/>
  <c r="AG10" i="36"/>
  <c r="AH10" i="36"/>
  <c r="AI10" i="36"/>
  <c r="AJ10" i="36"/>
  <c r="AK10" i="36"/>
  <c r="AL10" i="36"/>
  <c r="AM10" i="36"/>
  <c r="AN10" i="36"/>
  <c r="AO10" i="36"/>
  <c r="AP10" i="36"/>
  <c r="AQ10" i="36"/>
  <c r="AR10" i="36"/>
  <c r="AS10" i="36"/>
  <c r="D14" i="36"/>
  <c r="L66" i="2" s="1"/>
  <c r="E14" i="36"/>
  <c r="M66" i="2" s="1"/>
  <c r="F14" i="36"/>
  <c r="N66" i="2" s="1"/>
  <c r="G14" i="36"/>
  <c r="O66" i="2" s="1"/>
  <c r="H14" i="36"/>
  <c r="P66" i="2" s="1"/>
  <c r="I14" i="36"/>
  <c r="Q66" i="2" s="1"/>
  <c r="J14" i="36"/>
  <c r="R66" i="2" s="1"/>
  <c r="K14" i="36"/>
  <c r="S66" i="2" s="1"/>
  <c r="L14" i="36"/>
  <c r="T66" i="2" s="1"/>
  <c r="M14" i="36"/>
  <c r="U66" i="2" s="1"/>
  <c r="N14" i="36"/>
  <c r="V66" i="2" s="1"/>
  <c r="O14" i="36"/>
  <c r="W66" i="2" s="1"/>
  <c r="P14" i="36"/>
  <c r="X66" i="2" s="1"/>
  <c r="Q14" i="36"/>
  <c r="Y66" i="2" s="1"/>
  <c r="R14" i="36"/>
  <c r="Z66" i="2" s="1"/>
  <c r="S14" i="36"/>
  <c r="AA66" i="2" s="1"/>
  <c r="T14" i="36"/>
  <c r="AB66" i="2" s="1"/>
  <c r="U14" i="36"/>
  <c r="AC66" i="2" s="1"/>
  <c r="V14" i="36"/>
  <c r="AD66" i="2" s="1"/>
  <c r="W14" i="36"/>
  <c r="AE66" i="2" s="1"/>
  <c r="X14" i="36"/>
  <c r="AF66" i="2" s="1"/>
  <c r="Y14" i="36"/>
  <c r="AG66" i="2" s="1"/>
  <c r="Z14" i="36"/>
  <c r="AH66" i="2" s="1"/>
  <c r="AA14" i="36"/>
  <c r="AI66" i="2" s="1"/>
  <c r="AB14" i="36"/>
  <c r="AJ66" i="2" s="1"/>
  <c r="AC14" i="36"/>
  <c r="AK66" i="2" s="1"/>
  <c r="AD14" i="36"/>
  <c r="AL66" i="2" s="1"/>
  <c r="AE14" i="36"/>
  <c r="AM66" i="2" s="1"/>
  <c r="AF14" i="36"/>
  <c r="AN66" i="2" s="1"/>
  <c r="AG14" i="36"/>
  <c r="AO66" i="2" s="1"/>
  <c r="AH14" i="36"/>
  <c r="AP66" i="2" s="1"/>
  <c r="AI14" i="36"/>
  <c r="AQ66" i="2" s="1"/>
  <c r="AJ14" i="36"/>
  <c r="AR66" i="2" s="1"/>
  <c r="AK14" i="36"/>
  <c r="AS66" i="2" s="1"/>
  <c r="AL14" i="36"/>
  <c r="AT66" i="2" s="1"/>
  <c r="AM14" i="36"/>
  <c r="AU66" i="2" s="1"/>
  <c r="AN14" i="36"/>
  <c r="AV66" i="2" s="1"/>
  <c r="AO14" i="36"/>
  <c r="AW66" i="2" s="1"/>
  <c r="AP14" i="36"/>
  <c r="AX66" i="2" s="1"/>
  <c r="AQ14" i="36"/>
  <c r="AY66" i="2" s="1"/>
  <c r="AR14" i="36"/>
  <c r="AZ66" i="2" s="1"/>
  <c r="AS14" i="36"/>
  <c r="BA66" i="2" s="1"/>
  <c r="BB66" i="2"/>
  <c r="BC66" i="2"/>
  <c r="BD66" i="2"/>
  <c r="BE66" i="2"/>
  <c r="BF66" i="2"/>
  <c r="BG66" i="2"/>
  <c r="BH66" i="2"/>
  <c r="BI66" i="2"/>
  <c r="BJ66" i="2"/>
  <c r="BK66" i="2"/>
  <c r="D15" i="36"/>
  <c r="L67" i="2" s="1"/>
  <c r="E15" i="36"/>
  <c r="M67" i="2" s="1"/>
  <c r="F15" i="36"/>
  <c r="N67" i="2" s="1"/>
  <c r="G15" i="36"/>
  <c r="O67" i="2" s="1"/>
  <c r="H15" i="36"/>
  <c r="P67" i="2" s="1"/>
  <c r="I15" i="36"/>
  <c r="Q67" i="2" s="1"/>
  <c r="J15" i="36"/>
  <c r="R67" i="2" s="1"/>
  <c r="K15" i="36"/>
  <c r="S67" i="2" s="1"/>
  <c r="L15" i="36"/>
  <c r="T67" i="2" s="1"/>
  <c r="M15" i="36"/>
  <c r="U67" i="2" s="1"/>
  <c r="N15" i="36"/>
  <c r="V67" i="2" s="1"/>
  <c r="O15" i="36"/>
  <c r="W67" i="2" s="1"/>
  <c r="P15" i="36"/>
  <c r="X67" i="2" s="1"/>
  <c r="Q15" i="36"/>
  <c r="Y67" i="2" s="1"/>
  <c r="R15" i="36"/>
  <c r="Z67" i="2" s="1"/>
  <c r="S15" i="36"/>
  <c r="AA67" i="2" s="1"/>
  <c r="T15" i="36"/>
  <c r="AB67" i="2" s="1"/>
  <c r="U15" i="36"/>
  <c r="AC67" i="2" s="1"/>
  <c r="V15" i="36"/>
  <c r="AD67" i="2" s="1"/>
  <c r="W15" i="36"/>
  <c r="AE67" i="2" s="1"/>
  <c r="X15" i="36"/>
  <c r="AF67" i="2" s="1"/>
  <c r="Y15" i="36"/>
  <c r="AG67" i="2" s="1"/>
  <c r="Z15" i="36"/>
  <c r="AH67" i="2" s="1"/>
  <c r="AA15" i="36"/>
  <c r="AI67" i="2" s="1"/>
  <c r="AB15" i="36"/>
  <c r="AJ67" i="2" s="1"/>
  <c r="AC15" i="36"/>
  <c r="AK67" i="2" s="1"/>
  <c r="AD15" i="36"/>
  <c r="AL67" i="2" s="1"/>
  <c r="AE15" i="36"/>
  <c r="AM67" i="2" s="1"/>
  <c r="AF15" i="36"/>
  <c r="AN67" i="2" s="1"/>
  <c r="AG15" i="36"/>
  <c r="AO67" i="2" s="1"/>
  <c r="AH15" i="36"/>
  <c r="AP67" i="2" s="1"/>
  <c r="AI15" i="36"/>
  <c r="AQ67" i="2" s="1"/>
  <c r="AJ15" i="36"/>
  <c r="AR67" i="2" s="1"/>
  <c r="AK15" i="36"/>
  <c r="AS67" i="2" s="1"/>
  <c r="AL15" i="36"/>
  <c r="AT67" i="2" s="1"/>
  <c r="AM15" i="36"/>
  <c r="AU67" i="2" s="1"/>
  <c r="AN15" i="36"/>
  <c r="AV67" i="2" s="1"/>
  <c r="AO15" i="36"/>
  <c r="AW67" i="2" s="1"/>
  <c r="AP15" i="36"/>
  <c r="AX67" i="2" s="1"/>
  <c r="AQ15" i="36"/>
  <c r="AY67" i="2" s="1"/>
  <c r="AR15" i="36"/>
  <c r="AZ67" i="2" s="1"/>
  <c r="AS15" i="36"/>
  <c r="BA67" i="2" s="1"/>
  <c r="BB67" i="2"/>
  <c r="BC67" i="2"/>
  <c r="BD67" i="2"/>
  <c r="BE67" i="2"/>
  <c r="BF67" i="2"/>
  <c r="BG67" i="2"/>
  <c r="BH67" i="2"/>
  <c r="BI67" i="2"/>
  <c r="BJ67" i="2"/>
  <c r="BK67" i="2"/>
  <c r="D16" i="36"/>
  <c r="L68" i="2" s="1"/>
  <c r="E16" i="36"/>
  <c r="M68" i="2" s="1"/>
  <c r="F16" i="36"/>
  <c r="N68" i="2" s="1"/>
  <c r="G16" i="36"/>
  <c r="O68" i="2" s="1"/>
  <c r="H16" i="36"/>
  <c r="P68" i="2" s="1"/>
  <c r="I16" i="36"/>
  <c r="Q68" i="2" s="1"/>
  <c r="J16" i="36"/>
  <c r="R68" i="2" s="1"/>
  <c r="K16" i="36"/>
  <c r="S68" i="2" s="1"/>
  <c r="L16" i="36"/>
  <c r="T68" i="2" s="1"/>
  <c r="M16" i="36"/>
  <c r="U68" i="2" s="1"/>
  <c r="N16" i="36"/>
  <c r="V68" i="2" s="1"/>
  <c r="O16" i="36"/>
  <c r="W68" i="2" s="1"/>
  <c r="P16" i="36"/>
  <c r="X68" i="2" s="1"/>
  <c r="Q16" i="36"/>
  <c r="Y68" i="2" s="1"/>
  <c r="R16" i="36"/>
  <c r="Z68" i="2" s="1"/>
  <c r="S16" i="36"/>
  <c r="AA68" i="2" s="1"/>
  <c r="T16" i="36"/>
  <c r="AB68" i="2" s="1"/>
  <c r="U16" i="36"/>
  <c r="AC68" i="2" s="1"/>
  <c r="V16" i="36"/>
  <c r="AD68" i="2" s="1"/>
  <c r="W16" i="36"/>
  <c r="AE68" i="2" s="1"/>
  <c r="X16" i="36"/>
  <c r="AF68" i="2" s="1"/>
  <c r="Y16" i="36"/>
  <c r="AG68" i="2" s="1"/>
  <c r="Z16" i="36"/>
  <c r="AH68" i="2" s="1"/>
  <c r="AA16" i="36"/>
  <c r="AI68" i="2" s="1"/>
  <c r="AB16" i="36"/>
  <c r="AJ68" i="2" s="1"/>
  <c r="AC16" i="36"/>
  <c r="AK68" i="2" s="1"/>
  <c r="AD16" i="36"/>
  <c r="AL68" i="2" s="1"/>
  <c r="AE16" i="36"/>
  <c r="AM68" i="2" s="1"/>
  <c r="AF16" i="36"/>
  <c r="AN68" i="2" s="1"/>
  <c r="AG16" i="36"/>
  <c r="AO68" i="2" s="1"/>
  <c r="AH16" i="36"/>
  <c r="AP68" i="2" s="1"/>
  <c r="AI16" i="36"/>
  <c r="AQ68" i="2" s="1"/>
  <c r="AJ16" i="36"/>
  <c r="AR68" i="2" s="1"/>
  <c r="AK16" i="36"/>
  <c r="AS68" i="2" s="1"/>
  <c r="AL16" i="36"/>
  <c r="AT68" i="2" s="1"/>
  <c r="AM16" i="36"/>
  <c r="AU68" i="2" s="1"/>
  <c r="AN16" i="36"/>
  <c r="AV68" i="2" s="1"/>
  <c r="AO16" i="36"/>
  <c r="AW68" i="2" s="1"/>
  <c r="AP16" i="36"/>
  <c r="AX68" i="2" s="1"/>
  <c r="AQ16" i="36"/>
  <c r="AY68" i="2" s="1"/>
  <c r="AR16" i="36"/>
  <c r="AZ68" i="2" s="1"/>
  <c r="AS16" i="36"/>
  <c r="BA68" i="2" s="1"/>
  <c r="BB68" i="2"/>
  <c r="BC68" i="2"/>
  <c r="BD68" i="2"/>
  <c r="BE68" i="2"/>
  <c r="BF68" i="2"/>
  <c r="BG68" i="2"/>
  <c r="BH68" i="2"/>
  <c r="BI68" i="2"/>
  <c r="BJ68" i="2"/>
  <c r="BK68" i="2"/>
  <c r="D17" i="36"/>
  <c r="L69" i="2" s="1"/>
  <c r="E17" i="36"/>
  <c r="M69" i="2" s="1"/>
  <c r="F17" i="36"/>
  <c r="N69" i="2" s="1"/>
  <c r="G17" i="36"/>
  <c r="O69" i="2" s="1"/>
  <c r="H17" i="36"/>
  <c r="P69" i="2" s="1"/>
  <c r="I17" i="36"/>
  <c r="Q69" i="2" s="1"/>
  <c r="J17" i="36"/>
  <c r="R69" i="2" s="1"/>
  <c r="K17" i="36"/>
  <c r="S69" i="2" s="1"/>
  <c r="L17" i="36"/>
  <c r="T69" i="2" s="1"/>
  <c r="M17" i="36"/>
  <c r="U69" i="2" s="1"/>
  <c r="N17" i="36"/>
  <c r="V69" i="2" s="1"/>
  <c r="O17" i="36"/>
  <c r="W69" i="2" s="1"/>
  <c r="P17" i="36"/>
  <c r="X69" i="2" s="1"/>
  <c r="Q17" i="36"/>
  <c r="Y69" i="2" s="1"/>
  <c r="R17" i="36"/>
  <c r="Z69" i="2" s="1"/>
  <c r="S17" i="36"/>
  <c r="AA69" i="2" s="1"/>
  <c r="T17" i="36"/>
  <c r="AB69" i="2" s="1"/>
  <c r="U17" i="36"/>
  <c r="AC69" i="2" s="1"/>
  <c r="V17" i="36"/>
  <c r="AD69" i="2" s="1"/>
  <c r="W17" i="36"/>
  <c r="AE69" i="2" s="1"/>
  <c r="X17" i="36"/>
  <c r="AF69" i="2" s="1"/>
  <c r="Y17" i="36"/>
  <c r="AG69" i="2" s="1"/>
  <c r="Z17" i="36"/>
  <c r="AH69" i="2" s="1"/>
  <c r="AA17" i="36"/>
  <c r="AI69" i="2" s="1"/>
  <c r="AB17" i="36"/>
  <c r="AJ69" i="2" s="1"/>
  <c r="AC17" i="36"/>
  <c r="AK69" i="2" s="1"/>
  <c r="AD17" i="36"/>
  <c r="AL69" i="2" s="1"/>
  <c r="AE17" i="36"/>
  <c r="AM69" i="2" s="1"/>
  <c r="AF17" i="36"/>
  <c r="AN69" i="2" s="1"/>
  <c r="AG17" i="36"/>
  <c r="AO69" i="2" s="1"/>
  <c r="AH17" i="36"/>
  <c r="AP69" i="2" s="1"/>
  <c r="AI17" i="36"/>
  <c r="AQ69" i="2" s="1"/>
  <c r="AJ17" i="36"/>
  <c r="AR69" i="2" s="1"/>
  <c r="AK17" i="36"/>
  <c r="AS69" i="2" s="1"/>
  <c r="AL17" i="36"/>
  <c r="AT69" i="2" s="1"/>
  <c r="AM17" i="36"/>
  <c r="AU69" i="2" s="1"/>
  <c r="AN17" i="36"/>
  <c r="AV69" i="2" s="1"/>
  <c r="AO17" i="36"/>
  <c r="AW69" i="2" s="1"/>
  <c r="AP17" i="36"/>
  <c r="AX69" i="2" s="1"/>
  <c r="AQ17" i="36"/>
  <c r="AY69" i="2" s="1"/>
  <c r="AR17" i="36"/>
  <c r="AZ69" i="2" s="1"/>
  <c r="AS17" i="36"/>
  <c r="BA69" i="2" s="1"/>
  <c r="BB69" i="2"/>
  <c r="BC69" i="2"/>
  <c r="BD69" i="2"/>
  <c r="BE69" i="2"/>
  <c r="BF69" i="2"/>
  <c r="BG69" i="2"/>
  <c r="BI69" i="2"/>
  <c r="BJ69" i="2"/>
  <c r="BK69" i="2"/>
  <c r="D18" i="36"/>
  <c r="L70" i="2" s="1"/>
  <c r="E18" i="36"/>
  <c r="M70" i="2" s="1"/>
  <c r="F18" i="36"/>
  <c r="N70" i="2" s="1"/>
  <c r="G18" i="36"/>
  <c r="O70" i="2" s="1"/>
  <c r="H18" i="36"/>
  <c r="P70" i="2" s="1"/>
  <c r="I18" i="36"/>
  <c r="Q70" i="2" s="1"/>
  <c r="J18" i="36"/>
  <c r="R70" i="2" s="1"/>
  <c r="K18" i="36"/>
  <c r="S70" i="2" s="1"/>
  <c r="L18" i="36"/>
  <c r="T70" i="2" s="1"/>
  <c r="M18" i="36"/>
  <c r="U70" i="2" s="1"/>
  <c r="N18" i="36"/>
  <c r="V70" i="2" s="1"/>
  <c r="O18" i="36"/>
  <c r="W70" i="2" s="1"/>
  <c r="P18" i="36"/>
  <c r="X70" i="2" s="1"/>
  <c r="Q18" i="36"/>
  <c r="Y70" i="2" s="1"/>
  <c r="R18" i="36"/>
  <c r="Z70" i="2" s="1"/>
  <c r="S18" i="36"/>
  <c r="AA70" i="2" s="1"/>
  <c r="T18" i="36"/>
  <c r="AB70" i="2" s="1"/>
  <c r="U18" i="36"/>
  <c r="AC70" i="2" s="1"/>
  <c r="V18" i="36"/>
  <c r="AD70" i="2" s="1"/>
  <c r="W18" i="36"/>
  <c r="AE70" i="2" s="1"/>
  <c r="X18" i="36"/>
  <c r="AF70" i="2" s="1"/>
  <c r="Y18" i="36"/>
  <c r="AG70" i="2" s="1"/>
  <c r="Z18" i="36"/>
  <c r="AH70" i="2" s="1"/>
  <c r="AA18" i="36"/>
  <c r="AI70" i="2" s="1"/>
  <c r="AB18" i="36"/>
  <c r="AJ70" i="2" s="1"/>
  <c r="AC18" i="36"/>
  <c r="AK70" i="2" s="1"/>
  <c r="AD18" i="36"/>
  <c r="AL70" i="2" s="1"/>
  <c r="AE18" i="36"/>
  <c r="AM70" i="2" s="1"/>
  <c r="AF18" i="36"/>
  <c r="AN70" i="2" s="1"/>
  <c r="AG18" i="36"/>
  <c r="AO70" i="2" s="1"/>
  <c r="AH18" i="36"/>
  <c r="AP70" i="2" s="1"/>
  <c r="AI18" i="36"/>
  <c r="AQ70" i="2" s="1"/>
  <c r="AJ18" i="36"/>
  <c r="AR70" i="2" s="1"/>
  <c r="AK18" i="36"/>
  <c r="AS70" i="2" s="1"/>
  <c r="AL18" i="36"/>
  <c r="AT70" i="2" s="1"/>
  <c r="AM18" i="36"/>
  <c r="AU70" i="2" s="1"/>
  <c r="AN18" i="36"/>
  <c r="AV70" i="2" s="1"/>
  <c r="AO18" i="36"/>
  <c r="AW70" i="2" s="1"/>
  <c r="AP18" i="36"/>
  <c r="AX70" i="2" s="1"/>
  <c r="AQ18" i="36"/>
  <c r="AY70" i="2" s="1"/>
  <c r="AR18" i="36"/>
  <c r="AZ70" i="2" s="1"/>
  <c r="AS18" i="36"/>
  <c r="BA70" i="2" s="1"/>
  <c r="BB70" i="2"/>
  <c r="BC70" i="2"/>
  <c r="BD70" i="2"/>
  <c r="BE70" i="2"/>
  <c r="BF70" i="2"/>
  <c r="BG70" i="2"/>
  <c r="BH70" i="2"/>
  <c r="BI70" i="2"/>
  <c r="BJ70" i="2"/>
  <c r="BK70" i="2"/>
  <c r="D19" i="36"/>
  <c r="L71" i="2" s="1"/>
  <c r="E19" i="36"/>
  <c r="M71" i="2" s="1"/>
  <c r="F19" i="36"/>
  <c r="N71" i="2" s="1"/>
  <c r="G19" i="36"/>
  <c r="O71" i="2" s="1"/>
  <c r="H19" i="36"/>
  <c r="P71" i="2" s="1"/>
  <c r="I19" i="36"/>
  <c r="Q71" i="2" s="1"/>
  <c r="J19" i="36"/>
  <c r="R71" i="2" s="1"/>
  <c r="K19" i="36"/>
  <c r="S71" i="2" s="1"/>
  <c r="L19" i="36"/>
  <c r="T71" i="2" s="1"/>
  <c r="M19" i="36"/>
  <c r="U71" i="2" s="1"/>
  <c r="N19" i="36"/>
  <c r="V71" i="2" s="1"/>
  <c r="O19" i="36"/>
  <c r="W71" i="2" s="1"/>
  <c r="P19" i="36"/>
  <c r="X71" i="2" s="1"/>
  <c r="Q19" i="36"/>
  <c r="Y71" i="2" s="1"/>
  <c r="R19" i="36"/>
  <c r="Z71" i="2" s="1"/>
  <c r="S19" i="36"/>
  <c r="AA71" i="2" s="1"/>
  <c r="T19" i="36"/>
  <c r="AB71" i="2" s="1"/>
  <c r="U19" i="36"/>
  <c r="AC71" i="2" s="1"/>
  <c r="V19" i="36"/>
  <c r="AD71" i="2" s="1"/>
  <c r="W19" i="36"/>
  <c r="AE71" i="2" s="1"/>
  <c r="X19" i="36"/>
  <c r="AF71" i="2" s="1"/>
  <c r="Y19" i="36"/>
  <c r="AG71" i="2" s="1"/>
  <c r="Z19" i="36"/>
  <c r="AH71" i="2" s="1"/>
  <c r="AA19" i="36"/>
  <c r="AI71" i="2" s="1"/>
  <c r="AB19" i="36"/>
  <c r="AJ71" i="2" s="1"/>
  <c r="AC19" i="36"/>
  <c r="AK71" i="2" s="1"/>
  <c r="AD19" i="36"/>
  <c r="AL71" i="2" s="1"/>
  <c r="AE19" i="36"/>
  <c r="AM71" i="2" s="1"/>
  <c r="AF19" i="36"/>
  <c r="AN71" i="2" s="1"/>
  <c r="AG19" i="36"/>
  <c r="AO71" i="2" s="1"/>
  <c r="AH19" i="36"/>
  <c r="AP71" i="2" s="1"/>
  <c r="AI19" i="36"/>
  <c r="AQ71" i="2" s="1"/>
  <c r="AJ19" i="36"/>
  <c r="AR71" i="2" s="1"/>
  <c r="AK19" i="36"/>
  <c r="AS71" i="2" s="1"/>
  <c r="AL19" i="36"/>
  <c r="AT71" i="2" s="1"/>
  <c r="AM19" i="36"/>
  <c r="AU71" i="2" s="1"/>
  <c r="AN19" i="36"/>
  <c r="AV71" i="2" s="1"/>
  <c r="AO19" i="36"/>
  <c r="AW71" i="2" s="1"/>
  <c r="AP19" i="36"/>
  <c r="AX71" i="2" s="1"/>
  <c r="AQ19" i="36"/>
  <c r="AY71" i="2" s="1"/>
  <c r="AR19" i="36"/>
  <c r="AZ71" i="2" s="1"/>
  <c r="AS19" i="36"/>
  <c r="BA71" i="2" s="1"/>
  <c r="BB71" i="2"/>
  <c r="BC71" i="2"/>
  <c r="BD71" i="2"/>
  <c r="BE71" i="2"/>
  <c r="BF71" i="2"/>
  <c r="BG71" i="2"/>
  <c r="BH71" i="2"/>
  <c r="BI71" i="2"/>
  <c r="BJ71" i="2"/>
  <c r="BK71" i="2"/>
  <c r="D20" i="36"/>
  <c r="L72" i="2" s="1"/>
  <c r="E20" i="36"/>
  <c r="M72" i="2" s="1"/>
  <c r="F20" i="36"/>
  <c r="N72" i="2" s="1"/>
  <c r="G20" i="36"/>
  <c r="O72" i="2" s="1"/>
  <c r="H20" i="36"/>
  <c r="P72" i="2" s="1"/>
  <c r="I20" i="36"/>
  <c r="Q72" i="2" s="1"/>
  <c r="J20" i="36"/>
  <c r="R72" i="2" s="1"/>
  <c r="K20" i="36"/>
  <c r="S72" i="2" s="1"/>
  <c r="L20" i="36"/>
  <c r="T72" i="2" s="1"/>
  <c r="M20" i="36"/>
  <c r="U72" i="2" s="1"/>
  <c r="N20" i="36"/>
  <c r="V72" i="2" s="1"/>
  <c r="O20" i="36"/>
  <c r="W72" i="2" s="1"/>
  <c r="P20" i="36"/>
  <c r="X72" i="2" s="1"/>
  <c r="Q20" i="36"/>
  <c r="Y72" i="2" s="1"/>
  <c r="R20" i="36"/>
  <c r="Z72" i="2" s="1"/>
  <c r="S20" i="36"/>
  <c r="AA72" i="2" s="1"/>
  <c r="T20" i="36"/>
  <c r="AB72" i="2" s="1"/>
  <c r="U20" i="36"/>
  <c r="AC72" i="2" s="1"/>
  <c r="V20" i="36"/>
  <c r="AD72" i="2" s="1"/>
  <c r="W20" i="36"/>
  <c r="AE72" i="2" s="1"/>
  <c r="X20" i="36"/>
  <c r="AF72" i="2" s="1"/>
  <c r="Y20" i="36"/>
  <c r="AG72" i="2" s="1"/>
  <c r="Z20" i="36"/>
  <c r="AH72" i="2" s="1"/>
  <c r="AA20" i="36"/>
  <c r="AI72" i="2" s="1"/>
  <c r="AB20" i="36"/>
  <c r="AJ72" i="2" s="1"/>
  <c r="AC20" i="36"/>
  <c r="AK72" i="2" s="1"/>
  <c r="AD20" i="36"/>
  <c r="AL72" i="2" s="1"/>
  <c r="AE20" i="36"/>
  <c r="AM72" i="2" s="1"/>
  <c r="AF20" i="36"/>
  <c r="AN72" i="2" s="1"/>
  <c r="AG20" i="36"/>
  <c r="AO72" i="2" s="1"/>
  <c r="AH20" i="36"/>
  <c r="AP72" i="2" s="1"/>
  <c r="AI20" i="36"/>
  <c r="AQ72" i="2" s="1"/>
  <c r="AJ20" i="36"/>
  <c r="AR72" i="2" s="1"/>
  <c r="AK20" i="36"/>
  <c r="AS72" i="2" s="1"/>
  <c r="AL20" i="36"/>
  <c r="AT72" i="2" s="1"/>
  <c r="AM20" i="36"/>
  <c r="AU72" i="2" s="1"/>
  <c r="AN20" i="36"/>
  <c r="AV72" i="2" s="1"/>
  <c r="AO20" i="36"/>
  <c r="AW72" i="2" s="1"/>
  <c r="AP20" i="36"/>
  <c r="AX72" i="2" s="1"/>
  <c r="AQ20" i="36"/>
  <c r="AY72" i="2" s="1"/>
  <c r="AR20" i="36"/>
  <c r="AZ72" i="2" s="1"/>
  <c r="AS20" i="36"/>
  <c r="BA72" i="2" s="1"/>
  <c r="BB72" i="2"/>
  <c r="BC72" i="2"/>
  <c r="BD72" i="2"/>
  <c r="BE72" i="2"/>
  <c r="BF72" i="2"/>
  <c r="BG72" i="2"/>
  <c r="BH72" i="2"/>
  <c r="BI72" i="2"/>
  <c r="BJ72" i="2"/>
  <c r="BK72" i="2"/>
  <c r="D25" i="36"/>
  <c r="L147" i="2" s="1"/>
  <c r="E25" i="36"/>
  <c r="M147" i="2" s="1"/>
  <c r="F25" i="36"/>
  <c r="N147" i="2" s="1"/>
  <c r="G25" i="36"/>
  <c r="O147" i="2" s="1"/>
  <c r="H25" i="36"/>
  <c r="P147" i="2" s="1"/>
  <c r="I25" i="36"/>
  <c r="Q147" i="2" s="1"/>
  <c r="J25" i="36"/>
  <c r="R147" i="2" s="1"/>
  <c r="K25" i="36"/>
  <c r="S147" i="2" s="1"/>
  <c r="L25" i="36"/>
  <c r="T147" i="2" s="1"/>
  <c r="M25" i="36"/>
  <c r="U147" i="2" s="1"/>
  <c r="N25" i="36"/>
  <c r="V147" i="2" s="1"/>
  <c r="O25" i="36"/>
  <c r="W147" i="2" s="1"/>
  <c r="P25" i="36"/>
  <c r="X147" i="2" s="1"/>
  <c r="Q25" i="36"/>
  <c r="Y147" i="2" s="1"/>
  <c r="R25" i="36"/>
  <c r="Z147" i="2" s="1"/>
  <c r="S25" i="36"/>
  <c r="AA147" i="2" s="1"/>
  <c r="T25" i="36"/>
  <c r="AB147" i="2" s="1"/>
  <c r="U25" i="36"/>
  <c r="AC147" i="2" s="1"/>
  <c r="V25" i="36"/>
  <c r="AD147" i="2" s="1"/>
  <c r="W25" i="36"/>
  <c r="AE147" i="2" s="1"/>
  <c r="X25" i="36"/>
  <c r="AF147" i="2" s="1"/>
  <c r="Y25" i="36"/>
  <c r="AG147" i="2" s="1"/>
  <c r="Z25" i="36"/>
  <c r="AH147" i="2" s="1"/>
  <c r="AA25" i="36"/>
  <c r="AI147" i="2" s="1"/>
  <c r="AB25" i="36"/>
  <c r="AJ147" i="2" s="1"/>
  <c r="AC25" i="36"/>
  <c r="AK147" i="2" s="1"/>
  <c r="AD25" i="36"/>
  <c r="AL147" i="2" s="1"/>
  <c r="AE25" i="36"/>
  <c r="AM147" i="2" s="1"/>
  <c r="AF25" i="36"/>
  <c r="AN147" i="2" s="1"/>
  <c r="AG25" i="36"/>
  <c r="AO147" i="2" s="1"/>
  <c r="AH25" i="36"/>
  <c r="AP147" i="2" s="1"/>
  <c r="AI25" i="36"/>
  <c r="AQ147" i="2" s="1"/>
  <c r="AJ25" i="36"/>
  <c r="AR147" i="2" s="1"/>
  <c r="AK25" i="36"/>
  <c r="AS147" i="2" s="1"/>
  <c r="AL25" i="36"/>
  <c r="AT147" i="2" s="1"/>
  <c r="AM25" i="36"/>
  <c r="AU147" i="2" s="1"/>
  <c r="AN25" i="36"/>
  <c r="AV147" i="2" s="1"/>
  <c r="AO25" i="36"/>
  <c r="AW147" i="2" s="1"/>
  <c r="AP25" i="36"/>
  <c r="AX147" i="2" s="1"/>
  <c r="AQ25" i="36"/>
  <c r="AY147" i="2" s="1"/>
  <c r="AR25" i="36"/>
  <c r="AZ147" i="2" s="1"/>
  <c r="AS25" i="36"/>
  <c r="BA147" i="2" s="1"/>
  <c r="AT25" i="36"/>
  <c r="BB147" i="2" s="1"/>
  <c r="D26" i="36"/>
  <c r="E26" i="36"/>
  <c r="F26" i="36"/>
  <c r="G26" i="36"/>
  <c r="H26" i="36"/>
  <c r="I26" i="36"/>
  <c r="J26" i="36"/>
  <c r="K26" i="36"/>
  <c r="L26" i="36"/>
  <c r="M26" i="36"/>
  <c r="N26" i="36"/>
  <c r="O26" i="36"/>
  <c r="P26" i="36"/>
  <c r="Q26" i="36"/>
  <c r="R26" i="36"/>
  <c r="S26" i="36"/>
  <c r="T26" i="36"/>
  <c r="U26" i="36"/>
  <c r="V26" i="36"/>
  <c r="W26" i="36"/>
  <c r="X26" i="36"/>
  <c r="Y26" i="36"/>
  <c r="Z26" i="36"/>
  <c r="AA26" i="36"/>
  <c r="AB26" i="36"/>
  <c r="AC26" i="36"/>
  <c r="AD26" i="36"/>
  <c r="AE26" i="36"/>
  <c r="AF26" i="36"/>
  <c r="AG26" i="36"/>
  <c r="AH26" i="36"/>
  <c r="AI26" i="36"/>
  <c r="AJ26" i="36"/>
  <c r="AK26" i="36"/>
  <c r="AL26" i="36"/>
  <c r="AM26" i="36"/>
  <c r="AN26" i="36"/>
  <c r="AO26" i="36"/>
  <c r="AP26" i="36"/>
  <c r="AQ26" i="36"/>
  <c r="AR26" i="36"/>
  <c r="AS26" i="36"/>
  <c r="AT26" i="36"/>
  <c r="E32" i="36"/>
  <c r="F32" i="36" s="1"/>
  <c r="G32" i="36" s="1"/>
  <c r="H32" i="36" s="1"/>
  <c r="I32" i="36" s="1"/>
  <c r="J32" i="36" s="1"/>
  <c r="K32" i="36" s="1"/>
  <c r="L32" i="36" s="1"/>
  <c r="M32" i="36" s="1"/>
  <c r="N32" i="36" s="1"/>
  <c r="O32" i="36" s="1"/>
  <c r="P32" i="36" s="1"/>
  <c r="Q32" i="36" s="1"/>
  <c r="R32" i="36" s="1"/>
  <c r="S32" i="36" s="1"/>
  <c r="T32" i="36" s="1"/>
  <c r="U32" i="36" s="1"/>
  <c r="V32" i="36" s="1"/>
  <c r="W32" i="36" s="1"/>
  <c r="X32" i="36" s="1"/>
  <c r="Y32" i="36" s="1"/>
  <c r="Z32" i="36" s="1"/>
  <c r="AA32" i="36" s="1"/>
  <c r="AB32" i="36" s="1"/>
  <c r="AC32" i="36" s="1"/>
  <c r="AD32" i="36" s="1"/>
  <c r="AE32" i="36" s="1"/>
  <c r="AF32" i="36" s="1"/>
  <c r="AG32" i="36" s="1"/>
  <c r="AH32" i="36" s="1"/>
  <c r="AI32" i="36" s="1"/>
  <c r="AJ32" i="36" s="1"/>
  <c r="AK32" i="36" s="1"/>
  <c r="AL32" i="36" s="1"/>
  <c r="AM32" i="36" s="1"/>
  <c r="AN32" i="36" s="1"/>
  <c r="AO32" i="36" s="1"/>
  <c r="AP32" i="36" s="1"/>
  <c r="AQ32" i="36" s="1"/>
  <c r="AR32" i="36" s="1"/>
  <c r="AS32" i="36" s="1"/>
  <c r="AT32" i="36" s="1"/>
  <c r="AU32" i="36" s="1"/>
  <c r="AV32" i="36" s="1"/>
  <c r="AW32" i="36" s="1"/>
  <c r="AX32" i="36" s="1"/>
  <c r="AY32" i="36" s="1"/>
  <c r="AZ32" i="36" s="1"/>
  <c r="BA32" i="36" s="1"/>
  <c r="BB32" i="36" s="1"/>
  <c r="BC32" i="36" s="1"/>
  <c r="BD32" i="36" s="1"/>
  <c r="BA49" i="2" l="1"/>
  <c r="AS49" i="2"/>
  <c r="AK49" i="2"/>
  <c r="AC49" i="2"/>
  <c r="U49" i="2"/>
  <c r="M49" i="2"/>
  <c r="BB54" i="2"/>
  <c r="BB49" i="2" s="1"/>
  <c r="BG56" i="2"/>
  <c r="BB59" i="2"/>
  <c r="BH56" i="2"/>
  <c r="BF49" i="2"/>
  <c r="BJ58" i="2"/>
  <c r="BG59" i="2"/>
  <c r="BH59" i="2"/>
  <c r="BI56" i="2"/>
  <c r="BC58" i="2"/>
  <c r="BK58" i="2"/>
  <c r="BB56" i="2"/>
  <c r="BJ56" i="2"/>
  <c r="BD58" i="2"/>
  <c r="BC56" i="2"/>
  <c r="BK56" i="2"/>
  <c r="BC59" i="2"/>
  <c r="BK59" i="2"/>
  <c r="BD56" i="2"/>
  <c r="BF58" i="2"/>
  <c r="BH69" i="2"/>
  <c r="BE56" i="2"/>
  <c r="BB57" i="2"/>
  <c r="BG58" i="2"/>
  <c r="BE59" i="2"/>
  <c r="BF56" i="2"/>
  <c r="AU49" i="2"/>
  <c r="AM49" i="2"/>
  <c r="AE49" i="2"/>
  <c r="W49" i="2"/>
  <c r="O49" i="2"/>
  <c r="AV49" i="2"/>
  <c r="AN49" i="2"/>
  <c r="AF49" i="2"/>
  <c r="X49" i="2"/>
  <c r="P49" i="2"/>
  <c r="BG49" i="2"/>
  <c r="AZ49" i="2"/>
  <c r="AR49" i="2"/>
  <c r="AB49" i="2"/>
  <c r="T49" i="2"/>
  <c r="AT49" i="2"/>
  <c r="AL49" i="2"/>
  <c r="AD49" i="2"/>
  <c r="V49" i="2"/>
  <c r="N49" i="2"/>
  <c r="BH49" i="2"/>
  <c r="AJ49" i="2"/>
  <c r="AY49" i="2"/>
  <c r="AQ49" i="2"/>
  <c r="AI49" i="2"/>
  <c r="AA49" i="2"/>
  <c r="S49" i="2"/>
  <c r="BI49" i="2"/>
  <c r="BJ49" i="2"/>
  <c r="BC49" i="2"/>
  <c r="BK49" i="2"/>
  <c r="AX49" i="2"/>
  <c r="AP49" i="2"/>
  <c r="AH49" i="2"/>
  <c r="Z49" i="2"/>
  <c r="R49" i="2"/>
  <c r="BD49" i="2"/>
  <c r="AW49" i="2"/>
  <c r="AO49" i="2"/>
  <c r="AG49" i="2"/>
  <c r="Y49" i="2"/>
  <c r="Q49" i="2"/>
  <c r="BE49" i="2"/>
  <c r="AB8" i="36"/>
  <c r="AJ59" i="2" s="1"/>
  <c r="M9" i="36"/>
  <c r="M11" i="36" s="1"/>
  <c r="AN58" i="2"/>
  <c r="AD9" i="36"/>
  <c r="AN8" i="36"/>
  <c r="AV59" i="2" s="1"/>
  <c r="AA8" i="36"/>
  <c r="AI59" i="2" s="1"/>
  <c r="K8" i="36"/>
  <c r="S59" i="2" s="1"/>
  <c r="S9" i="36"/>
  <c r="S11" i="36" s="1"/>
  <c r="AI8" i="36"/>
  <c r="AQ59" i="2" s="1"/>
  <c r="S8" i="36"/>
  <c r="AA59" i="2" s="1"/>
  <c r="AS9" i="36"/>
  <c r="AS11" i="36" s="1"/>
  <c r="BA59" i="2"/>
  <c r="AP13" i="36"/>
  <c r="AH13" i="36"/>
  <c r="Z13" i="36"/>
  <c r="R13" i="36"/>
  <c r="J13" i="36"/>
  <c r="AR8" i="36"/>
  <c r="AZ59" i="2" s="1"/>
  <c r="U9" i="36"/>
  <c r="U11" i="36" s="1"/>
  <c r="AM9" i="36"/>
  <c r="AM11" i="36" s="1"/>
  <c r="AE9" i="36"/>
  <c r="AE11" i="36" s="1"/>
  <c r="W9" i="36"/>
  <c r="W11" i="36" s="1"/>
  <c r="O9" i="36"/>
  <c r="O11" i="36" s="1"/>
  <c r="G9" i="36"/>
  <c r="G11" i="36" s="1"/>
  <c r="R58" i="2"/>
  <c r="Z58" i="2"/>
  <c r="AH58" i="2"/>
  <c r="AP58" i="2"/>
  <c r="AX58" i="2"/>
  <c r="N59" i="2"/>
  <c r="V59" i="2"/>
  <c r="AT59" i="2"/>
  <c r="AS13" i="36"/>
  <c r="AK13" i="36"/>
  <c r="AC13" i="36"/>
  <c r="U13" i="36"/>
  <c r="M13" i="36"/>
  <c r="E13" i="36"/>
  <c r="AO8" i="36"/>
  <c r="T8" i="36"/>
  <c r="AB59" i="2" s="1"/>
  <c r="I8" i="36"/>
  <c r="AY58" i="2"/>
  <c r="O59" i="2"/>
  <c r="W59" i="2"/>
  <c r="AE59" i="2"/>
  <c r="AM59" i="2"/>
  <c r="AU59" i="2"/>
  <c r="AN13" i="36"/>
  <c r="AF13" i="36"/>
  <c r="X13" i="36"/>
  <c r="P13" i="36"/>
  <c r="H13" i="36"/>
  <c r="AC9" i="36"/>
  <c r="AC11" i="36" s="1"/>
  <c r="L58" i="2"/>
  <c r="T58" i="2"/>
  <c r="AR58" i="2"/>
  <c r="BA58" i="2"/>
  <c r="AM13" i="36"/>
  <c r="AE13" i="36"/>
  <c r="O13" i="36"/>
  <c r="AD11" i="36"/>
  <c r="AR13" i="36"/>
  <c r="AJ13" i="36"/>
  <c r="AR65" i="2" s="1"/>
  <c r="AB13" i="36"/>
  <c r="T13" i="36"/>
  <c r="L13" i="36"/>
  <c r="D13" i="36"/>
  <c r="AL13" i="36"/>
  <c r="AD13" i="36"/>
  <c r="V13" i="36"/>
  <c r="N13" i="36"/>
  <c r="F13" i="36"/>
  <c r="AA9" i="36"/>
  <c r="AA11" i="36" s="1"/>
  <c r="AK9" i="36"/>
  <c r="AK11" i="36" s="1"/>
  <c r="E9" i="36"/>
  <c r="E11" i="36" s="1"/>
  <c r="AQ9" i="36"/>
  <c r="AQ11" i="36" s="1"/>
  <c r="W13" i="36"/>
  <c r="G13" i="36"/>
  <c r="Q8" i="36"/>
  <c r="AO13" i="36"/>
  <c r="AG13" i="36"/>
  <c r="Y13" i="36"/>
  <c r="Q13" i="36"/>
  <c r="I13" i="36"/>
  <c r="V11" i="36"/>
  <c r="Y8" i="36"/>
  <c r="AN9" i="36"/>
  <c r="AN11" i="36" s="1"/>
  <c r="AF9" i="36"/>
  <c r="AF11" i="36" s="1"/>
  <c r="X9" i="36"/>
  <c r="X11" i="36" s="1"/>
  <c r="P9" i="36"/>
  <c r="P11" i="36" s="1"/>
  <c r="H9" i="36"/>
  <c r="H11" i="36" s="1"/>
  <c r="AR9" i="36"/>
  <c r="AR11" i="36" s="1"/>
  <c r="AJ9" i="36"/>
  <c r="AJ11" i="36" s="1"/>
  <c r="AB9" i="36"/>
  <c r="AB11" i="36" s="1"/>
  <c r="T9" i="36"/>
  <c r="T11" i="36" s="1"/>
  <c r="L9" i="36"/>
  <c r="L11" i="36" s="1"/>
  <c r="D9" i="36"/>
  <c r="D11" i="36" s="1"/>
  <c r="O58" i="2"/>
  <c r="W58" i="2"/>
  <c r="AE58" i="2"/>
  <c r="AM58" i="2"/>
  <c r="AU58" i="2"/>
  <c r="AY59" i="2"/>
  <c r="AQ13" i="36"/>
  <c r="AI13" i="36"/>
  <c r="AA13" i="36"/>
  <c r="S13" i="36"/>
  <c r="K13" i="36"/>
  <c r="AG8" i="36"/>
  <c r="L55" i="2"/>
  <c r="L49" i="2" s="1"/>
  <c r="M59" i="2"/>
  <c r="U59" i="2"/>
  <c r="AC59" i="2"/>
  <c r="AK59" i="2"/>
  <c r="AS59" i="2"/>
  <c r="AT21" i="36"/>
  <c r="AP9" i="36"/>
  <c r="AP11" i="36" s="1"/>
  <c r="AH9" i="36"/>
  <c r="AH11" i="36" s="1"/>
  <c r="Z9" i="36"/>
  <c r="Z11" i="36" s="1"/>
  <c r="R9" i="36"/>
  <c r="R11" i="36" s="1"/>
  <c r="J9" i="36"/>
  <c r="J11" i="36" s="1"/>
  <c r="BI59" i="2" l="1"/>
  <c r="AT9" i="36"/>
  <c r="AT11" i="36" s="1"/>
  <c r="BE65" i="2"/>
  <c r="BK65" i="2"/>
  <c r="BH65" i="2"/>
  <c r="BJ65" i="2"/>
  <c r="BB65" i="2"/>
  <c r="BF65" i="2"/>
  <c r="BC65" i="2"/>
  <c r="BI65" i="2"/>
  <c r="BD65" i="2"/>
  <c r="BG65" i="2"/>
  <c r="G23" i="36"/>
  <c r="G24" i="36" s="1"/>
  <c r="W21" i="36"/>
  <c r="W23" i="36" s="1"/>
  <c r="W24" i="36" s="1"/>
  <c r="AE65" i="2"/>
  <c r="AD21" i="36"/>
  <c r="AD23" i="36" s="1"/>
  <c r="AD24" i="36" s="1"/>
  <c r="AL65" i="2"/>
  <c r="E21" i="36"/>
  <c r="E23" i="36" s="1"/>
  <c r="E24" i="36" s="1"/>
  <c r="M65" i="2"/>
  <c r="Z21" i="36"/>
  <c r="AH65" i="2"/>
  <c r="K21" i="36"/>
  <c r="S65" i="2"/>
  <c r="I21" i="36"/>
  <c r="Q65" i="2"/>
  <c r="AL21" i="36"/>
  <c r="AL23" i="36" s="1"/>
  <c r="AL24" i="36" s="1"/>
  <c r="AT65" i="2"/>
  <c r="O21" i="36"/>
  <c r="O23" i="36" s="1"/>
  <c r="O24" i="36" s="1"/>
  <c r="W65" i="2"/>
  <c r="AI9" i="36"/>
  <c r="AI11" i="36" s="1"/>
  <c r="M21" i="36"/>
  <c r="M23" i="36" s="1"/>
  <c r="M24" i="36" s="1"/>
  <c r="U65" i="2"/>
  <c r="AH21" i="36"/>
  <c r="AH23" i="36" s="1"/>
  <c r="AH24" i="36" s="1"/>
  <c r="AP65" i="2"/>
  <c r="S21" i="36"/>
  <c r="S23" i="36" s="1"/>
  <c r="S24" i="36" s="1"/>
  <c r="AA65" i="2"/>
  <c r="H21" i="36"/>
  <c r="P65" i="2"/>
  <c r="U21" i="36"/>
  <c r="U23" i="36" s="1"/>
  <c r="U24" i="36" s="1"/>
  <c r="AC65" i="2"/>
  <c r="AP21" i="36"/>
  <c r="AX65" i="2"/>
  <c r="H23" i="36"/>
  <c r="H24" i="36" s="1"/>
  <c r="AE21" i="36"/>
  <c r="AE23" i="36" s="1"/>
  <c r="AE24" i="36" s="1"/>
  <c r="AM65" i="2"/>
  <c r="Y21" i="36"/>
  <c r="AG65" i="2"/>
  <c r="L21" i="36"/>
  <c r="L23" i="36" s="1"/>
  <c r="L24" i="36" s="1"/>
  <c r="T65" i="2"/>
  <c r="AM21" i="36"/>
  <c r="AM23" i="36" s="1"/>
  <c r="AM24" i="36" s="1"/>
  <c r="AU65" i="2"/>
  <c r="P21" i="36"/>
  <c r="P23" i="36" s="1"/>
  <c r="P24" i="36" s="1"/>
  <c r="X65" i="2"/>
  <c r="AC21" i="36"/>
  <c r="AC23" i="36" s="1"/>
  <c r="AC24" i="36" s="1"/>
  <c r="AK65" i="2"/>
  <c r="AP23" i="36"/>
  <c r="AP24" i="36" s="1"/>
  <c r="D21" i="36"/>
  <c r="D23" i="36" s="1"/>
  <c r="D24" i="36" s="1"/>
  <c r="L65" i="2"/>
  <c r="AG21" i="36"/>
  <c r="AO65" i="2"/>
  <c r="T21" i="36"/>
  <c r="T23" i="36" s="1"/>
  <c r="T24" i="36" s="1"/>
  <c r="AB65" i="2"/>
  <c r="X21" i="36"/>
  <c r="X23" i="36" s="1"/>
  <c r="X24" i="36" s="1"/>
  <c r="AF65" i="2"/>
  <c r="AK21" i="36"/>
  <c r="AK23" i="36" s="1"/>
  <c r="AK24" i="36" s="1"/>
  <c r="AS65" i="2"/>
  <c r="Q21" i="36"/>
  <c r="Y65" i="2"/>
  <c r="AA21" i="36"/>
  <c r="AA23" i="36" s="1"/>
  <c r="AA24" i="36" s="1"/>
  <c r="AI65" i="2"/>
  <c r="Z23" i="36"/>
  <c r="Z24" i="36" s="1"/>
  <c r="AI21" i="36"/>
  <c r="AQ65" i="2"/>
  <c r="AQ21" i="36"/>
  <c r="AQ23" i="36" s="1"/>
  <c r="AQ24" i="36" s="1"/>
  <c r="AY65" i="2"/>
  <c r="AO21" i="36"/>
  <c r="AW65" i="2"/>
  <c r="F21" i="36"/>
  <c r="F23" i="36" s="1"/>
  <c r="F24" i="36" s="1"/>
  <c r="N65" i="2"/>
  <c r="AB21" i="36"/>
  <c r="AB23" i="36" s="1"/>
  <c r="AB24" i="36" s="1"/>
  <c r="AJ65" i="2"/>
  <c r="AF21" i="36"/>
  <c r="AF23" i="36" s="1"/>
  <c r="AF24" i="36" s="1"/>
  <c r="AN65" i="2"/>
  <c r="AS21" i="36"/>
  <c r="AS23" i="36" s="1"/>
  <c r="AS24" i="36" s="1"/>
  <c r="BA65" i="2"/>
  <c r="K9" i="36"/>
  <c r="K11" i="36" s="1"/>
  <c r="AN21" i="36"/>
  <c r="AN23" i="36" s="1"/>
  <c r="AN24" i="36" s="1"/>
  <c r="AV65" i="2"/>
  <c r="J21" i="36"/>
  <c r="J23" i="36" s="1"/>
  <c r="J24" i="36" s="1"/>
  <c r="R65" i="2"/>
  <c r="N21" i="36"/>
  <c r="N23" i="36" s="1"/>
  <c r="N24" i="36" s="1"/>
  <c r="V65" i="2"/>
  <c r="G21" i="36"/>
  <c r="O65" i="2"/>
  <c r="V21" i="36"/>
  <c r="V23" i="36" s="1"/>
  <c r="V24" i="36" s="1"/>
  <c r="AD65" i="2"/>
  <c r="AR21" i="36"/>
  <c r="AR23" i="36" s="1"/>
  <c r="AR24" i="36" s="1"/>
  <c r="AZ65" i="2"/>
  <c r="R21" i="36"/>
  <c r="R23" i="36" s="1"/>
  <c r="R24" i="36" s="1"/>
  <c r="Z65" i="2"/>
  <c r="AG9" i="36"/>
  <c r="AG11" i="36" s="1"/>
  <c r="AO59" i="2"/>
  <c r="Q9" i="36"/>
  <c r="Q11" i="36" s="1"/>
  <c r="Q23" i="36" s="1"/>
  <c r="Q24" i="36" s="1"/>
  <c r="Y59" i="2"/>
  <c r="I9" i="36"/>
  <c r="I11" i="36" s="1"/>
  <c r="I23" i="36" s="1"/>
  <c r="I24" i="36" s="1"/>
  <c r="Q59" i="2"/>
  <c r="AJ21" i="36"/>
  <c r="AJ23" i="36" s="1"/>
  <c r="AJ24" i="36" s="1"/>
  <c r="Y9" i="36"/>
  <c r="Y11" i="36" s="1"/>
  <c r="Y23" i="36" s="1"/>
  <c r="Y24" i="36" s="1"/>
  <c r="AG59" i="2"/>
  <c r="AO9" i="36"/>
  <c r="AO11" i="36" s="1"/>
  <c r="AW59" i="2"/>
  <c r="AT23" i="36" l="1"/>
  <c r="AT24" i="36" s="1"/>
  <c r="K23" i="36"/>
  <c r="K24" i="36" s="1"/>
  <c r="AO23" i="36"/>
  <c r="AO24" i="36" s="1"/>
  <c r="AI23" i="36"/>
  <c r="AI24" i="36" s="1"/>
  <c r="AG23" i="36"/>
  <c r="AG24" i="36" s="1"/>
  <c r="C39" i="1"/>
  <c r="F35" i="1"/>
  <c r="E31" i="1"/>
  <c r="D14" i="1"/>
  <c r="D13" i="1"/>
  <c r="D12" i="1"/>
  <c r="E14" i="1"/>
  <c r="F14" i="1" s="1"/>
  <c r="E13" i="1"/>
  <c r="F13" i="1" s="1"/>
  <c r="A9" i="14"/>
  <c r="A10" i="14"/>
  <c r="A11" i="14"/>
  <c r="A12" i="14"/>
  <c r="A13" i="14"/>
  <c r="A14" i="14"/>
  <c r="A15" i="14"/>
  <c r="A16" i="14"/>
  <c r="B16" i="14" s="1"/>
  <c r="C16" i="14" s="1"/>
  <c r="D16" i="14" s="1"/>
  <c r="E16" i="14" s="1"/>
  <c r="F16" i="14" s="1"/>
  <c r="G16" i="14" s="1"/>
  <c r="H16" i="14" s="1"/>
  <c r="I16" i="14" s="1"/>
  <c r="J16" i="14" s="1"/>
  <c r="K16" i="14" s="1"/>
  <c r="L16" i="14" s="1"/>
  <c r="M16" i="14" s="1"/>
  <c r="N16" i="14" s="1"/>
  <c r="O16" i="14" s="1"/>
  <c r="P16" i="14" s="1"/>
  <c r="Q16" i="14" s="1"/>
  <c r="R16" i="14" s="1"/>
  <c r="S16" i="14" s="1"/>
  <c r="T16" i="14" s="1"/>
  <c r="U16" i="14" s="1"/>
  <c r="V16" i="14" s="1"/>
  <c r="W16" i="14" s="1"/>
  <c r="X16" i="14" s="1"/>
  <c r="Y16" i="14" s="1"/>
  <c r="Z16" i="14" s="1"/>
  <c r="AA16" i="14" s="1"/>
  <c r="AB16" i="14" s="1"/>
  <c r="AC16" i="14" s="1"/>
  <c r="AD16" i="14" s="1"/>
  <c r="AE16" i="14" s="1"/>
  <c r="AF16" i="14" s="1"/>
  <c r="AG16" i="14" s="1"/>
  <c r="AH16" i="14" s="1"/>
  <c r="AI16" i="14" s="1"/>
  <c r="AJ16" i="14" s="1"/>
  <c r="AK16" i="14" s="1"/>
  <c r="AL16" i="14" s="1"/>
  <c r="AM16" i="14" s="1"/>
  <c r="AN16" i="14" s="1"/>
  <c r="AO16" i="14" s="1"/>
  <c r="AP16" i="14" s="1"/>
  <c r="AQ16" i="14" s="1"/>
  <c r="AR16" i="14" s="1"/>
  <c r="AS16" i="14" s="1"/>
  <c r="AT16" i="14" s="1"/>
  <c r="AU16" i="14" s="1"/>
  <c r="AV16" i="14" s="1"/>
  <c r="AW16" i="14" s="1"/>
  <c r="AX16" i="14" s="1"/>
  <c r="AY16" i="14" s="1"/>
  <c r="AZ16" i="14" s="1"/>
  <c r="BA16" i="14" s="1"/>
  <c r="BB16" i="14" s="1"/>
  <c r="BC16" i="14" s="1"/>
  <c r="BD16" i="14" s="1"/>
  <c r="BE16" i="14" s="1"/>
  <c r="BF16" i="14" s="1"/>
  <c r="BG16" i="14" s="1"/>
  <c r="BH16" i="14" s="1"/>
  <c r="BI16" i="14" s="1"/>
  <c r="BJ16" i="14" s="1"/>
  <c r="BK16" i="14" s="1"/>
  <c r="BL16" i="14" s="1"/>
  <c r="BM16" i="14" s="1"/>
  <c r="BN16" i="14" s="1"/>
  <c r="BO16" i="14" s="1"/>
  <c r="BP16" i="14" s="1"/>
  <c r="BQ16" i="14" s="1"/>
  <c r="BR16" i="14" s="1"/>
  <c r="BS16" i="14" s="1"/>
  <c r="BT16" i="14" s="1"/>
  <c r="BU16" i="14" s="1"/>
  <c r="BV16" i="14" s="1"/>
  <c r="BW16" i="14" s="1"/>
  <c r="BX16" i="14" s="1"/>
  <c r="BY16" i="14" s="1"/>
  <c r="BZ16" i="14" s="1"/>
  <c r="CA16" i="14" s="1"/>
  <c r="CB16" i="14" s="1"/>
  <c r="CC16" i="14" s="1"/>
  <c r="CD16" i="14" s="1"/>
  <c r="CE16" i="14" s="1"/>
  <c r="CF16" i="14" s="1"/>
  <c r="CG16" i="14" s="1"/>
  <c r="CH16" i="14" s="1"/>
  <c r="CI16" i="14" s="1"/>
  <c r="CJ16" i="14" s="1"/>
  <c r="CK16" i="14" s="1"/>
  <c r="CL16" i="14" s="1"/>
  <c r="CM16" i="14" s="1"/>
  <c r="CN16" i="14" s="1"/>
  <c r="CO16" i="14" s="1"/>
  <c r="CP16" i="14" s="1"/>
  <c r="CQ16" i="14" s="1"/>
  <c r="CR16" i="14" s="1"/>
  <c r="CS16" i="14" s="1"/>
  <c r="CT16" i="14" s="1"/>
  <c r="CU16" i="14" s="1"/>
  <c r="CV16" i="14" s="1"/>
  <c r="CW16" i="14" s="1"/>
  <c r="CX16" i="14" s="1"/>
  <c r="CY16" i="14" s="1"/>
  <c r="CZ16" i="14" s="1"/>
  <c r="DA16" i="14" s="1"/>
  <c r="DB16" i="14" s="1"/>
  <c r="DC16" i="14" s="1"/>
  <c r="DD16" i="14" s="1"/>
  <c r="DE16" i="14" s="1"/>
  <c r="DF16" i="14" s="1"/>
  <c r="DG16" i="14" s="1"/>
  <c r="DH16" i="14" s="1"/>
  <c r="DI16" i="14" s="1"/>
  <c r="DJ16" i="14" s="1"/>
  <c r="DK16" i="14" s="1"/>
  <c r="DL16" i="14" s="1"/>
  <c r="DM16" i="14" s="1"/>
  <c r="DN16" i="14" s="1"/>
  <c r="DO16" i="14" s="1"/>
  <c r="DP16" i="14" s="1"/>
  <c r="DQ16" i="14" s="1"/>
  <c r="DR16" i="14" s="1"/>
  <c r="A17" i="14"/>
  <c r="A18" i="14"/>
  <c r="B18" i="14" s="1"/>
  <c r="C18" i="14" s="1"/>
  <c r="D18" i="14" s="1"/>
  <c r="E18" i="14" s="1"/>
  <c r="F18" i="14" s="1"/>
  <c r="G18" i="14" s="1"/>
  <c r="H18" i="14" s="1"/>
  <c r="I18" i="14" s="1"/>
  <c r="J18" i="14" s="1"/>
  <c r="K18" i="14" s="1"/>
  <c r="L18" i="14" s="1"/>
  <c r="M18" i="14" s="1"/>
  <c r="N18" i="14" s="1"/>
  <c r="O18" i="14" s="1"/>
  <c r="P18" i="14" s="1"/>
  <c r="Q18" i="14" s="1"/>
  <c r="R18" i="14" s="1"/>
  <c r="S18" i="14" s="1"/>
  <c r="T18" i="14" s="1"/>
  <c r="U18" i="14" s="1"/>
  <c r="V18" i="14" s="1"/>
  <c r="W18" i="14" s="1"/>
  <c r="X18" i="14" s="1"/>
  <c r="Y18" i="14" s="1"/>
  <c r="Z18" i="14" s="1"/>
  <c r="AA18" i="14" s="1"/>
  <c r="AB18" i="14" s="1"/>
  <c r="AC18" i="14" s="1"/>
  <c r="AD18" i="14" s="1"/>
  <c r="AE18" i="14" s="1"/>
  <c r="AF18" i="14" s="1"/>
  <c r="AG18" i="14" s="1"/>
  <c r="AH18" i="14" s="1"/>
  <c r="AI18" i="14" s="1"/>
  <c r="AJ18" i="14" s="1"/>
  <c r="AK18" i="14" s="1"/>
  <c r="AL18" i="14" s="1"/>
  <c r="AM18" i="14" s="1"/>
  <c r="AN18" i="14" s="1"/>
  <c r="AO18" i="14" s="1"/>
  <c r="AP18" i="14" s="1"/>
  <c r="AQ18" i="14" s="1"/>
  <c r="AR18" i="14" s="1"/>
  <c r="AS18" i="14" s="1"/>
  <c r="AT18" i="14" s="1"/>
  <c r="AU18" i="14" s="1"/>
  <c r="AV18" i="14" s="1"/>
  <c r="AW18" i="14" s="1"/>
  <c r="AX18" i="14" s="1"/>
  <c r="AY18" i="14" s="1"/>
  <c r="AZ18" i="14" s="1"/>
  <c r="BA18" i="14" s="1"/>
  <c r="BB18" i="14" s="1"/>
  <c r="BC18" i="14" s="1"/>
  <c r="BD18" i="14" s="1"/>
  <c r="BE18" i="14" s="1"/>
  <c r="BF18" i="14" s="1"/>
  <c r="BG18" i="14" s="1"/>
  <c r="BH18" i="14" s="1"/>
  <c r="BI18" i="14" s="1"/>
  <c r="BJ18" i="14" s="1"/>
  <c r="BK18" i="14" s="1"/>
  <c r="BL18" i="14" s="1"/>
  <c r="BM18" i="14" s="1"/>
  <c r="BN18" i="14" s="1"/>
  <c r="BO18" i="14" s="1"/>
  <c r="BP18" i="14" s="1"/>
  <c r="BQ18" i="14" s="1"/>
  <c r="BR18" i="14" s="1"/>
  <c r="BS18" i="14" s="1"/>
  <c r="BT18" i="14" s="1"/>
  <c r="BU18" i="14" s="1"/>
  <c r="BV18" i="14" s="1"/>
  <c r="BW18" i="14" s="1"/>
  <c r="BX18" i="14" s="1"/>
  <c r="BY18" i="14" s="1"/>
  <c r="BZ18" i="14" s="1"/>
  <c r="CA18" i="14" s="1"/>
  <c r="CB18" i="14" s="1"/>
  <c r="CC18" i="14" s="1"/>
  <c r="CD18" i="14" s="1"/>
  <c r="CE18" i="14" s="1"/>
  <c r="CF18" i="14" s="1"/>
  <c r="CG18" i="14" s="1"/>
  <c r="CH18" i="14" s="1"/>
  <c r="CI18" i="14" s="1"/>
  <c r="CJ18" i="14" s="1"/>
  <c r="CK18" i="14" s="1"/>
  <c r="CL18" i="14" s="1"/>
  <c r="CM18" i="14" s="1"/>
  <c r="CN18" i="14" s="1"/>
  <c r="CO18" i="14" s="1"/>
  <c r="CP18" i="14" s="1"/>
  <c r="CQ18" i="14" s="1"/>
  <c r="CR18" i="14" s="1"/>
  <c r="CS18" i="14" s="1"/>
  <c r="CT18" i="14" s="1"/>
  <c r="CU18" i="14" s="1"/>
  <c r="CV18" i="14" s="1"/>
  <c r="CW18" i="14" s="1"/>
  <c r="CX18" i="14" s="1"/>
  <c r="CY18" i="14" s="1"/>
  <c r="CZ18" i="14" s="1"/>
  <c r="DA18" i="14" s="1"/>
  <c r="DB18" i="14" s="1"/>
  <c r="DC18" i="14" s="1"/>
  <c r="DD18" i="14" s="1"/>
  <c r="DE18" i="14" s="1"/>
  <c r="DF18" i="14" s="1"/>
  <c r="DG18" i="14" s="1"/>
  <c r="DH18" i="14" s="1"/>
  <c r="DI18" i="14" s="1"/>
  <c r="DJ18" i="14" s="1"/>
  <c r="DK18" i="14" s="1"/>
  <c r="DL18" i="14" s="1"/>
  <c r="DM18" i="14" s="1"/>
  <c r="DN18" i="14" s="1"/>
  <c r="DO18" i="14" s="1"/>
  <c r="DP18" i="14" s="1"/>
  <c r="DQ18" i="14" s="1"/>
  <c r="DR18" i="14" s="1"/>
  <c r="A19" i="14"/>
  <c r="B19" i="14" s="1"/>
  <c r="C19" i="14" s="1"/>
  <c r="D19" i="14" s="1"/>
  <c r="E19" i="14" s="1"/>
  <c r="F19" i="14" s="1"/>
  <c r="G19" i="14" s="1"/>
  <c r="H19" i="14" s="1"/>
  <c r="I19" i="14" s="1"/>
  <c r="J19" i="14" s="1"/>
  <c r="K19" i="14" s="1"/>
  <c r="L19" i="14" s="1"/>
  <c r="M19" i="14" s="1"/>
  <c r="N19" i="14" s="1"/>
  <c r="O19" i="14" s="1"/>
  <c r="P19" i="14" s="1"/>
  <c r="Q19" i="14" s="1"/>
  <c r="R19" i="14" s="1"/>
  <c r="S19" i="14" s="1"/>
  <c r="T19" i="14" s="1"/>
  <c r="U19" i="14" s="1"/>
  <c r="V19" i="14" s="1"/>
  <c r="W19" i="14" s="1"/>
  <c r="X19" i="14" s="1"/>
  <c r="Y19" i="14" s="1"/>
  <c r="Z19" i="14" s="1"/>
  <c r="AA19" i="14" s="1"/>
  <c r="AB19" i="14" s="1"/>
  <c r="AC19" i="14" s="1"/>
  <c r="AD19" i="14" s="1"/>
  <c r="AE19" i="14" s="1"/>
  <c r="AF19" i="14" s="1"/>
  <c r="AG19" i="14" s="1"/>
  <c r="AH19" i="14" s="1"/>
  <c r="AI19" i="14" s="1"/>
  <c r="AJ19" i="14" s="1"/>
  <c r="AK19" i="14" s="1"/>
  <c r="AL19" i="14" s="1"/>
  <c r="AM19" i="14" s="1"/>
  <c r="AN19" i="14" s="1"/>
  <c r="AO19" i="14" s="1"/>
  <c r="AP19" i="14" s="1"/>
  <c r="AQ19" i="14" s="1"/>
  <c r="AR19" i="14" s="1"/>
  <c r="AS19" i="14" s="1"/>
  <c r="AT19" i="14" s="1"/>
  <c r="AU19" i="14" s="1"/>
  <c r="AV19" i="14" s="1"/>
  <c r="AW19" i="14" s="1"/>
  <c r="AX19" i="14" s="1"/>
  <c r="AY19" i="14" s="1"/>
  <c r="AZ19" i="14" s="1"/>
  <c r="BA19" i="14" s="1"/>
  <c r="BB19" i="14" s="1"/>
  <c r="BC19" i="14" s="1"/>
  <c r="BD19" i="14" s="1"/>
  <c r="BE19" i="14" s="1"/>
  <c r="BF19" i="14" s="1"/>
  <c r="BG19" i="14" s="1"/>
  <c r="BH19" i="14" s="1"/>
  <c r="BI19" i="14" s="1"/>
  <c r="BJ19" i="14" s="1"/>
  <c r="BK19" i="14" s="1"/>
  <c r="BL19" i="14" s="1"/>
  <c r="BM19" i="14" s="1"/>
  <c r="BN19" i="14" s="1"/>
  <c r="BO19" i="14" s="1"/>
  <c r="BP19" i="14" s="1"/>
  <c r="BQ19" i="14" s="1"/>
  <c r="BR19" i="14" s="1"/>
  <c r="BS19" i="14" s="1"/>
  <c r="BT19" i="14" s="1"/>
  <c r="BU19" i="14" s="1"/>
  <c r="BV19" i="14" s="1"/>
  <c r="BW19" i="14" s="1"/>
  <c r="BX19" i="14" s="1"/>
  <c r="BY19" i="14" s="1"/>
  <c r="BZ19" i="14" s="1"/>
  <c r="CA19" i="14" s="1"/>
  <c r="CB19" i="14" s="1"/>
  <c r="CC19" i="14" s="1"/>
  <c r="CD19" i="14" s="1"/>
  <c r="CE19" i="14" s="1"/>
  <c r="CF19" i="14" s="1"/>
  <c r="CG19" i="14" s="1"/>
  <c r="CH19" i="14" s="1"/>
  <c r="CI19" i="14" s="1"/>
  <c r="CJ19" i="14" s="1"/>
  <c r="CK19" i="14" s="1"/>
  <c r="CL19" i="14" s="1"/>
  <c r="CM19" i="14" s="1"/>
  <c r="CN19" i="14" s="1"/>
  <c r="CO19" i="14" s="1"/>
  <c r="CP19" i="14" s="1"/>
  <c r="CQ19" i="14" s="1"/>
  <c r="CR19" i="14" s="1"/>
  <c r="CS19" i="14" s="1"/>
  <c r="CT19" i="14" s="1"/>
  <c r="CU19" i="14" s="1"/>
  <c r="CV19" i="14" s="1"/>
  <c r="CW19" i="14" s="1"/>
  <c r="CX19" i="14" s="1"/>
  <c r="CY19" i="14" s="1"/>
  <c r="CZ19" i="14" s="1"/>
  <c r="DA19" i="14" s="1"/>
  <c r="DB19" i="14" s="1"/>
  <c r="DC19" i="14" s="1"/>
  <c r="DD19" i="14" s="1"/>
  <c r="DE19" i="14" s="1"/>
  <c r="DF19" i="14" s="1"/>
  <c r="DG19" i="14" s="1"/>
  <c r="DH19" i="14" s="1"/>
  <c r="DI19" i="14" s="1"/>
  <c r="DJ19" i="14" s="1"/>
  <c r="DK19" i="14" s="1"/>
  <c r="DL19" i="14" s="1"/>
  <c r="DM19" i="14" s="1"/>
  <c r="DN19" i="14" s="1"/>
  <c r="DO19" i="14" s="1"/>
  <c r="DP19" i="14" s="1"/>
  <c r="DQ19" i="14" s="1"/>
  <c r="DR19" i="14" s="1"/>
  <c r="A20" i="14"/>
  <c r="A21" i="14"/>
  <c r="A22" i="14"/>
  <c r="A23" i="14"/>
  <c r="B23" i="14" s="1"/>
  <c r="C23" i="14" s="1"/>
  <c r="D23" i="14" s="1"/>
  <c r="E23" i="14" s="1"/>
  <c r="F23" i="14" s="1"/>
  <c r="G23" i="14" s="1"/>
  <c r="H23" i="14" s="1"/>
  <c r="I23" i="14" s="1"/>
  <c r="J23" i="14" s="1"/>
  <c r="K23" i="14" s="1"/>
  <c r="L23" i="14" s="1"/>
  <c r="M23" i="14" s="1"/>
  <c r="N23" i="14" s="1"/>
  <c r="O23" i="14" s="1"/>
  <c r="P23" i="14" s="1"/>
  <c r="Q23" i="14" s="1"/>
  <c r="R23" i="14" s="1"/>
  <c r="S23" i="14" s="1"/>
  <c r="T23" i="14" s="1"/>
  <c r="U23" i="14" s="1"/>
  <c r="V23" i="14" s="1"/>
  <c r="W23" i="14" s="1"/>
  <c r="X23" i="14" s="1"/>
  <c r="Y23" i="14" s="1"/>
  <c r="Z23" i="14" s="1"/>
  <c r="AA23" i="14" s="1"/>
  <c r="AB23" i="14" s="1"/>
  <c r="AC23" i="14" s="1"/>
  <c r="AD23" i="14" s="1"/>
  <c r="AE23" i="14" s="1"/>
  <c r="AF23" i="14" s="1"/>
  <c r="AG23" i="14" s="1"/>
  <c r="AH23" i="14" s="1"/>
  <c r="AI23" i="14" s="1"/>
  <c r="AJ23" i="14" s="1"/>
  <c r="AK23" i="14" s="1"/>
  <c r="AL23" i="14" s="1"/>
  <c r="AM23" i="14" s="1"/>
  <c r="AN23" i="14" s="1"/>
  <c r="AO23" i="14" s="1"/>
  <c r="AP23" i="14" s="1"/>
  <c r="AQ23" i="14" s="1"/>
  <c r="AR23" i="14" s="1"/>
  <c r="AS23" i="14" s="1"/>
  <c r="AT23" i="14" s="1"/>
  <c r="AU23" i="14" s="1"/>
  <c r="AV23" i="14" s="1"/>
  <c r="AW23" i="14" s="1"/>
  <c r="AX23" i="14" s="1"/>
  <c r="AY23" i="14" s="1"/>
  <c r="AZ23" i="14" s="1"/>
  <c r="BA23" i="14" s="1"/>
  <c r="BB23" i="14" s="1"/>
  <c r="BC23" i="14" s="1"/>
  <c r="BD23" i="14" s="1"/>
  <c r="BE23" i="14" s="1"/>
  <c r="BF23" i="14" s="1"/>
  <c r="BG23" i="14" s="1"/>
  <c r="BH23" i="14" s="1"/>
  <c r="BI23" i="14" s="1"/>
  <c r="BJ23" i="14" s="1"/>
  <c r="BK23" i="14" s="1"/>
  <c r="BL23" i="14" s="1"/>
  <c r="BM23" i="14" s="1"/>
  <c r="BN23" i="14" s="1"/>
  <c r="BO23" i="14" s="1"/>
  <c r="BP23" i="14" s="1"/>
  <c r="BQ23" i="14" s="1"/>
  <c r="BR23" i="14" s="1"/>
  <c r="BS23" i="14" s="1"/>
  <c r="BT23" i="14" s="1"/>
  <c r="BU23" i="14" s="1"/>
  <c r="BV23" i="14" s="1"/>
  <c r="BW23" i="14" s="1"/>
  <c r="BX23" i="14" s="1"/>
  <c r="BY23" i="14" s="1"/>
  <c r="BZ23" i="14" s="1"/>
  <c r="CA23" i="14" s="1"/>
  <c r="CB23" i="14" s="1"/>
  <c r="CC23" i="14" s="1"/>
  <c r="CD23" i="14" s="1"/>
  <c r="CE23" i="14" s="1"/>
  <c r="CF23" i="14" s="1"/>
  <c r="CG23" i="14" s="1"/>
  <c r="CH23" i="14" s="1"/>
  <c r="CI23" i="14" s="1"/>
  <c r="CJ23" i="14" s="1"/>
  <c r="CK23" i="14" s="1"/>
  <c r="CL23" i="14" s="1"/>
  <c r="CM23" i="14" s="1"/>
  <c r="CN23" i="14" s="1"/>
  <c r="CO23" i="14" s="1"/>
  <c r="CP23" i="14" s="1"/>
  <c r="CQ23" i="14" s="1"/>
  <c r="CR23" i="14" s="1"/>
  <c r="CS23" i="14" s="1"/>
  <c r="CT23" i="14" s="1"/>
  <c r="CU23" i="14" s="1"/>
  <c r="CV23" i="14" s="1"/>
  <c r="CW23" i="14" s="1"/>
  <c r="CX23" i="14" s="1"/>
  <c r="CY23" i="14" s="1"/>
  <c r="CZ23" i="14" s="1"/>
  <c r="DA23" i="14" s="1"/>
  <c r="DB23" i="14" s="1"/>
  <c r="DC23" i="14" s="1"/>
  <c r="DD23" i="14" s="1"/>
  <c r="DE23" i="14" s="1"/>
  <c r="DF23" i="14" s="1"/>
  <c r="DG23" i="14" s="1"/>
  <c r="DH23" i="14" s="1"/>
  <c r="DI23" i="14" s="1"/>
  <c r="DJ23" i="14" s="1"/>
  <c r="DK23" i="14" s="1"/>
  <c r="DL23" i="14" s="1"/>
  <c r="DM23" i="14" s="1"/>
  <c r="DN23" i="14" s="1"/>
  <c r="DO23" i="14" s="1"/>
  <c r="DP23" i="14" s="1"/>
  <c r="DQ23" i="14" s="1"/>
  <c r="DR23" i="14" s="1"/>
  <c r="A24" i="14"/>
  <c r="A25" i="14"/>
  <c r="B25" i="14" s="1"/>
  <c r="C25" i="14" s="1"/>
  <c r="D25" i="14" s="1"/>
  <c r="E25" i="14" s="1"/>
  <c r="F25" i="14" s="1"/>
  <c r="G25" i="14" s="1"/>
  <c r="H25" i="14" s="1"/>
  <c r="I25" i="14" s="1"/>
  <c r="J25" i="14" s="1"/>
  <c r="K25" i="14" s="1"/>
  <c r="L25" i="14" s="1"/>
  <c r="M25" i="14" s="1"/>
  <c r="N25" i="14" s="1"/>
  <c r="O25" i="14" s="1"/>
  <c r="P25" i="14" s="1"/>
  <c r="Q25" i="14" s="1"/>
  <c r="R25" i="14" s="1"/>
  <c r="S25" i="14" s="1"/>
  <c r="T25" i="14" s="1"/>
  <c r="U25" i="14" s="1"/>
  <c r="V25" i="14" s="1"/>
  <c r="W25" i="14" s="1"/>
  <c r="X25" i="14" s="1"/>
  <c r="Y25" i="14" s="1"/>
  <c r="Z25" i="14" s="1"/>
  <c r="AA25" i="14" s="1"/>
  <c r="AB25" i="14" s="1"/>
  <c r="AC25" i="14" s="1"/>
  <c r="AD25" i="14" s="1"/>
  <c r="AE25" i="14" s="1"/>
  <c r="AF25" i="14" s="1"/>
  <c r="AG25" i="14" s="1"/>
  <c r="AH25" i="14" s="1"/>
  <c r="AI25" i="14" s="1"/>
  <c r="AJ25" i="14" s="1"/>
  <c r="AK25" i="14" s="1"/>
  <c r="AL25" i="14" s="1"/>
  <c r="AM25" i="14" s="1"/>
  <c r="AN25" i="14" s="1"/>
  <c r="AO25" i="14" s="1"/>
  <c r="AP25" i="14" s="1"/>
  <c r="AQ25" i="14" s="1"/>
  <c r="AR25" i="14" s="1"/>
  <c r="AS25" i="14" s="1"/>
  <c r="AT25" i="14" s="1"/>
  <c r="AU25" i="14" s="1"/>
  <c r="AV25" i="14" s="1"/>
  <c r="AW25" i="14" s="1"/>
  <c r="AX25" i="14" s="1"/>
  <c r="AY25" i="14" s="1"/>
  <c r="AZ25" i="14" s="1"/>
  <c r="BA25" i="14" s="1"/>
  <c r="BB25" i="14" s="1"/>
  <c r="BC25" i="14" s="1"/>
  <c r="BD25" i="14" s="1"/>
  <c r="BE25" i="14" s="1"/>
  <c r="BF25" i="14" s="1"/>
  <c r="BG25" i="14" s="1"/>
  <c r="BH25" i="14" s="1"/>
  <c r="BI25" i="14" s="1"/>
  <c r="BJ25" i="14" s="1"/>
  <c r="BK25" i="14" s="1"/>
  <c r="BL25" i="14" s="1"/>
  <c r="BM25" i="14" s="1"/>
  <c r="BN25" i="14" s="1"/>
  <c r="BO25" i="14" s="1"/>
  <c r="BP25" i="14" s="1"/>
  <c r="BQ25" i="14" s="1"/>
  <c r="BR25" i="14" s="1"/>
  <c r="BS25" i="14" s="1"/>
  <c r="BT25" i="14" s="1"/>
  <c r="BU25" i="14" s="1"/>
  <c r="BV25" i="14" s="1"/>
  <c r="BW25" i="14" s="1"/>
  <c r="BX25" i="14" s="1"/>
  <c r="BY25" i="14" s="1"/>
  <c r="BZ25" i="14" s="1"/>
  <c r="CA25" i="14" s="1"/>
  <c r="CB25" i="14" s="1"/>
  <c r="CC25" i="14" s="1"/>
  <c r="CD25" i="14" s="1"/>
  <c r="CE25" i="14" s="1"/>
  <c r="CF25" i="14" s="1"/>
  <c r="CG25" i="14" s="1"/>
  <c r="CH25" i="14" s="1"/>
  <c r="CI25" i="14" s="1"/>
  <c r="CJ25" i="14" s="1"/>
  <c r="CK25" i="14" s="1"/>
  <c r="CL25" i="14" s="1"/>
  <c r="CM25" i="14" s="1"/>
  <c r="CN25" i="14" s="1"/>
  <c r="CO25" i="14" s="1"/>
  <c r="CP25" i="14" s="1"/>
  <c r="CQ25" i="14" s="1"/>
  <c r="CR25" i="14" s="1"/>
  <c r="CS25" i="14" s="1"/>
  <c r="CT25" i="14" s="1"/>
  <c r="CU25" i="14" s="1"/>
  <c r="CV25" i="14" s="1"/>
  <c r="CW25" i="14" s="1"/>
  <c r="CX25" i="14" s="1"/>
  <c r="CY25" i="14" s="1"/>
  <c r="CZ25" i="14" s="1"/>
  <c r="DA25" i="14" s="1"/>
  <c r="DB25" i="14" s="1"/>
  <c r="DC25" i="14" s="1"/>
  <c r="DD25" i="14" s="1"/>
  <c r="DE25" i="14" s="1"/>
  <c r="DF25" i="14" s="1"/>
  <c r="DG25" i="14" s="1"/>
  <c r="DH25" i="14" s="1"/>
  <c r="DI25" i="14" s="1"/>
  <c r="DJ25" i="14" s="1"/>
  <c r="DK25" i="14" s="1"/>
  <c r="DL25" i="14" s="1"/>
  <c r="DM25" i="14" s="1"/>
  <c r="DN25" i="14" s="1"/>
  <c r="DO25" i="14" s="1"/>
  <c r="DP25" i="14" s="1"/>
  <c r="DQ25" i="14" s="1"/>
  <c r="DR25" i="14" s="1"/>
  <c r="A26" i="14"/>
  <c r="B26" i="14" s="1"/>
  <c r="C26" i="14" s="1"/>
  <c r="D26" i="14" s="1"/>
  <c r="E26" i="14" s="1"/>
  <c r="F26" i="14" s="1"/>
  <c r="G26" i="14" s="1"/>
  <c r="H26" i="14" s="1"/>
  <c r="I26" i="14" s="1"/>
  <c r="J26" i="14" s="1"/>
  <c r="K26" i="14" s="1"/>
  <c r="L26" i="14" s="1"/>
  <c r="M26" i="14" s="1"/>
  <c r="N26" i="14" s="1"/>
  <c r="O26" i="14" s="1"/>
  <c r="P26" i="14" s="1"/>
  <c r="Q26" i="14" s="1"/>
  <c r="R26" i="14" s="1"/>
  <c r="S26" i="14" s="1"/>
  <c r="T26" i="14" s="1"/>
  <c r="U26" i="14" s="1"/>
  <c r="V26" i="14" s="1"/>
  <c r="W26" i="14" s="1"/>
  <c r="X26" i="14" s="1"/>
  <c r="Y26" i="14" s="1"/>
  <c r="Z26" i="14" s="1"/>
  <c r="AA26" i="14" s="1"/>
  <c r="AB26" i="14" s="1"/>
  <c r="AC26" i="14" s="1"/>
  <c r="AD26" i="14" s="1"/>
  <c r="AE26" i="14" s="1"/>
  <c r="AF26" i="14" s="1"/>
  <c r="AG26" i="14" s="1"/>
  <c r="AH26" i="14" s="1"/>
  <c r="AI26" i="14" s="1"/>
  <c r="AJ26" i="14" s="1"/>
  <c r="AK26" i="14" s="1"/>
  <c r="AL26" i="14" s="1"/>
  <c r="AM26" i="14" s="1"/>
  <c r="AN26" i="14" s="1"/>
  <c r="AO26" i="14" s="1"/>
  <c r="AP26" i="14" s="1"/>
  <c r="AQ26" i="14" s="1"/>
  <c r="AR26" i="14" s="1"/>
  <c r="AS26" i="14" s="1"/>
  <c r="AT26" i="14" s="1"/>
  <c r="AU26" i="14" s="1"/>
  <c r="AV26" i="14" s="1"/>
  <c r="AW26" i="14" s="1"/>
  <c r="AX26" i="14" s="1"/>
  <c r="AY26" i="14" s="1"/>
  <c r="AZ26" i="14" s="1"/>
  <c r="BA26" i="14" s="1"/>
  <c r="BB26" i="14" s="1"/>
  <c r="BC26" i="14" s="1"/>
  <c r="BD26" i="14" s="1"/>
  <c r="BE26" i="14" s="1"/>
  <c r="BF26" i="14" s="1"/>
  <c r="BG26" i="14" s="1"/>
  <c r="BH26" i="14" s="1"/>
  <c r="BI26" i="14" s="1"/>
  <c r="BJ26" i="14" s="1"/>
  <c r="BK26" i="14" s="1"/>
  <c r="BL26" i="14" s="1"/>
  <c r="BM26" i="14" s="1"/>
  <c r="BN26" i="14" s="1"/>
  <c r="BO26" i="14" s="1"/>
  <c r="BP26" i="14" s="1"/>
  <c r="BQ26" i="14" s="1"/>
  <c r="BR26" i="14" s="1"/>
  <c r="BS26" i="14" s="1"/>
  <c r="BT26" i="14" s="1"/>
  <c r="BU26" i="14" s="1"/>
  <c r="BV26" i="14" s="1"/>
  <c r="BW26" i="14" s="1"/>
  <c r="BX26" i="14" s="1"/>
  <c r="BY26" i="14" s="1"/>
  <c r="BZ26" i="14" s="1"/>
  <c r="CA26" i="14" s="1"/>
  <c r="CB26" i="14" s="1"/>
  <c r="CC26" i="14" s="1"/>
  <c r="CD26" i="14" s="1"/>
  <c r="CE26" i="14" s="1"/>
  <c r="CF26" i="14" s="1"/>
  <c r="CG26" i="14" s="1"/>
  <c r="CH26" i="14" s="1"/>
  <c r="CI26" i="14" s="1"/>
  <c r="CJ26" i="14" s="1"/>
  <c r="CK26" i="14" s="1"/>
  <c r="CL26" i="14" s="1"/>
  <c r="CM26" i="14" s="1"/>
  <c r="CN26" i="14" s="1"/>
  <c r="CO26" i="14" s="1"/>
  <c r="CP26" i="14" s="1"/>
  <c r="CQ26" i="14" s="1"/>
  <c r="CR26" i="14" s="1"/>
  <c r="CS26" i="14" s="1"/>
  <c r="CT26" i="14" s="1"/>
  <c r="CU26" i="14" s="1"/>
  <c r="CV26" i="14" s="1"/>
  <c r="CW26" i="14" s="1"/>
  <c r="CX26" i="14" s="1"/>
  <c r="CY26" i="14" s="1"/>
  <c r="CZ26" i="14" s="1"/>
  <c r="DA26" i="14" s="1"/>
  <c r="DB26" i="14" s="1"/>
  <c r="DC26" i="14" s="1"/>
  <c r="DD26" i="14" s="1"/>
  <c r="DE26" i="14" s="1"/>
  <c r="DF26" i="14" s="1"/>
  <c r="DG26" i="14" s="1"/>
  <c r="DH26" i="14" s="1"/>
  <c r="DI26" i="14" s="1"/>
  <c r="DJ26" i="14" s="1"/>
  <c r="DK26" i="14" s="1"/>
  <c r="DL26" i="14" s="1"/>
  <c r="DM26" i="14" s="1"/>
  <c r="DN26" i="14" s="1"/>
  <c r="DO26" i="14" s="1"/>
  <c r="DP26" i="14" s="1"/>
  <c r="DQ26" i="14" s="1"/>
  <c r="DR26" i="14" s="1"/>
  <c r="A27" i="14"/>
  <c r="A28" i="14"/>
  <c r="A29" i="14"/>
  <c r="B29" i="14" s="1"/>
  <c r="C29" i="14" s="1"/>
  <c r="D29" i="14" s="1"/>
  <c r="E29" i="14" s="1"/>
  <c r="F29" i="14" s="1"/>
  <c r="G29" i="14" s="1"/>
  <c r="H29" i="14" s="1"/>
  <c r="I29" i="14" s="1"/>
  <c r="J29" i="14" s="1"/>
  <c r="K29" i="14" s="1"/>
  <c r="L29" i="14" s="1"/>
  <c r="M29" i="14" s="1"/>
  <c r="N29" i="14" s="1"/>
  <c r="O29" i="14" s="1"/>
  <c r="P29" i="14" s="1"/>
  <c r="Q29" i="14" s="1"/>
  <c r="R29" i="14" s="1"/>
  <c r="S29" i="14" s="1"/>
  <c r="T29" i="14" s="1"/>
  <c r="U29" i="14" s="1"/>
  <c r="V29" i="14" s="1"/>
  <c r="W29" i="14" s="1"/>
  <c r="X29" i="14" s="1"/>
  <c r="Y29" i="14" s="1"/>
  <c r="Z29" i="14" s="1"/>
  <c r="AA29" i="14" s="1"/>
  <c r="AB29" i="14" s="1"/>
  <c r="AC29" i="14" s="1"/>
  <c r="AD29" i="14" s="1"/>
  <c r="AE29" i="14" s="1"/>
  <c r="AF29" i="14" s="1"/>
  <c r="AG29" i="14" s="1"/>
  <c r="AH29" i="14" s="1"/>
  <c r="AI29" i="14" s="1"/>
  <c r="AJ29" i="14" s="1"/>
  <c r="AK29" i="14" s="1"/>
  <c r="AL29" i="14" s="1"/>
  <c r="AM29" i="14" s="1"/>
  <c r="AN29" i="14" s="1"/>
  <c r="AO29" i="14" s="1"/>
  <c r="AP29" i="14" s="1"/>
  <c r="AQ29" i="14" s="1"/>
  <c r="AR29" i="14" s="1"/>
  <c r="AS29" i="14" s="1"/>
  <c r="AT29" i="14" s="1"/>
  <c r="AU29" i="14" s="1"/>
  <c r="AV29" i="14" s="1"/>
  <c r="AW29" i="14" s="1"/>
  <c r="AX29" i="14" s="1"/>
  <c r="AY29" i="14" s="1"/>
  <c r="AZ29" i="14" s="1"/>
  <c r="BA29" i="14" s="1"/>
  <c r="BB29" i="14" s="1"/>
  <c r="BC29" i="14" s="1"/>
  <c r="BD29" i="14" s="1"/>
  <c r="BE29" i="14" s="1"/>
  <c r="BF29" i="14" s="1"/>
  <c r="BG29" i="14" s="1"/>
  <c r="BH29" i="14" s="1"/>
  <c r="BI29" i="14" s="1"/>
  <c r="BJ29" i="14" s="1"/>
  <c r="BK29" i="14" s="1"/>
  <c r="BL29" i="14" s="1"/>
  <c r="BM29" i="14" s="1"/>
  <c r="BN29" i="14" s="1"/>
  <c r="BO29" i="14" s="1"/>
  <c r="BP29" i="14" s="1"/>
  <c r="BQ29" i="14" s="1"/>
  <c r="BR29" i="14" s="1"/>
  <c r="BS29" i="14" s="1"/>
  <c r="BT29" i="14" s="1"/>
  <c r="BU29" i="14" s="1"/>
  <c r="BV29" i="14" s="1"/>
  <c r="BW29" i="14" s="1"/>
  <c r="BX29" i="14" s="1"/>
  <c r="BY29" i="14" s="1"/>
  <c r="BZ29" i="14" s="1"/>
  <c r="CA29" i="14" s="1"/>
  <c r="CB29" i="14" s="1"/>
  <c r="CC29" i="14" s="1"/>
  <c r="CD29" i="14" s="1"/>
  <c r="CE29" i="14" s="1"/>
  <c r="CF29" i="14" s="1"/>
  <c r="CG29" i="14" s="1"/>
  <c r="CH29" i="14" s="1"/>
  <c r="CI29" i="14" s="1"/>
  <c r="CJ29" i="14" s="1"/>
  <c r="CK29" i="14" s="1"/>
  <c r="CL29" i="14" s="1"/>
  <c r="CM29" i="14" s="1"/>
  <c r="CN29" i="14" s="1"/>
  <c r="CO29" i="14" s="1"/>
  <c r="CP29" i="14" s="1"/>
  <c r="CQ29" i="14" s="1"/>
  <c r="CR29" i="14" s="1"/>
  <c r="CS29" i="14" s="1"/>
  <c r="CT29" i="14" s="1"/>
  <c r="CU29" i="14" s="1"/>
  <c r="CV29" i="14" s="1"/>
  <c r="CW29" i="14" s="1"/>
  <c r="CX29" i="14" s="1"/>
  <c r="CY29" i="14" s="1"/>
  <c r="CZ29" i="14" s="1"/>
  <c r="DA29" i="14" s="1"/>
  <c r="DB29" i="14" s="1"/>
  <c r="DC29" i="14" s="1"/>
  <c r="DD29" i="14" s="1"/>
  <c r="DE29" i="14" s="1"/>
  <c r="DF29" i="14" s="1"/>
  <c r="DG29" i="14" s="1"/>
  <c r="DH29" i="14" s="1"/>
  <c r="DI29" i="14" s="1"/>
  <c r="DJ29" i="14" s="1"/>
  <c r="DK29" i="14" s="1"/>
  <c r="DL29" i="14" s="1"/>
  <c r="DM29" i="14" s="1"/>
  <c r="DN29" i="14" s="1"/>
  <c r="DO29" i="14" s="1"/>
  <c r="DP29" i="14" s="1"/>
  <c r="DQ29" i="14" s="1"/>
  <c r="DR29" i="14" s="1"/>
  <c r="A30" i="14"/>
  <c r="A31" i="14"/>
  <c r="B31" i="14" s="1"/>
  <c r="C31" i="14" s="1"/>
  <c r="D31" i="14" s="1"/>
  <c r="E31" i="14" s="1"/>
  <c r="F31" i="14" s="1"/>
  <c r="G31" i="14" s="1"/>
  <c r="H31" i="14" s="1"/>
  <c r="I31" i="14" s="1"/>
  <c r="J31" i="14" s="1"/>
  <c r="K31" i="14" s="1"/>
  <c r="L31" i="14" s="1"/>
  <c r="M31" i="14" s="1"/>
  <c r="N31" i="14" s="1"/>
  <c r="O31" i="14" s="1"/>
  <c r="P31" i="14" s="1"/>
  <c r="Q31" i="14" s="1"/>
  <c r="R31" i="14" s="1"/>
  <c r="S31" i="14" s="1"/>
  <c r="T31" i="14" s="1"/>
  <c r="U31" i="14" s="1"/>
  <c r="V31" i="14" s="1"/>
  <c r="W31" i="14" s="1"/>
  <c r="X31" i="14" s="1"/>
  <c r="Y31" i="14" s="1"/>
  <c r="Z31" i="14" s="1"/>
  <c r="AA31" i="14" s="1"/>
  <c r="AB31" i="14" s="1"/>
  <c r="AC31" i="14" s="1"/>
  <c r="AD31" i="14" s="1"/>
  <c r="AE31" i="14" s="1"/>
  <c r="AF31" i="14" s="1"/>
  <c r="AG31" i="14" s="1"/>
  <c r="AH31" i="14" s="1"/>
  <c r="AI31" i="14" s="1"/>
  <c r="AJ31" i="14" s="1"/>
  <c r="AK31" i="14" s="1"/>
  <c r="AL31" i="14" s="1"/>
  <c r="AM31" i="14" s="1"/>
  <c r="AN31" i="14" s="1"/>
  <c r="AO31" i="14" s="1"/>
  <c r="AP31" i="14" s="1"/>
  <c r="AQ31" i="14" s="1"/>
  <c r="AR31" i="14" s="1"/>
  <c r="AS31" i="14" s="1"/>
  <c r="AT31" i="14" s="1"/>
  <c r="AU31" i="14" s="1"/>
  <c r="AV31" i="14" s="1"/>
  <c r="AW31" i="14" s="1"/>
  <c r="AX31" i="14" s="1"/>
  <c r="AY31" i="14" s="1"/>
  <c r="AZ31" i="14" s="1"/>
  <c r="BA31" i="14" s="1"/>
  <c r="BB31" i="14" s="1"/>
  <c r="BC31" i="14" s="1"/>
  <c r="BD31" i="14" s="1"/>
  <c r="BE31" i="14" s="1"/>
  <c r="BF31" i="14" s="1"/>
  <c r="BG31" i="14" s="1"/>
  <c r="BH31" i="14" s="1"/>
  <c r="BI31" i="14" s="1"/>
  <c r="BJ31" i="14" s="1"/>
  <c r="BK31" i="14" s="1"/>
  <c r="BL31" i="14" s="1"/>
  <c r="BM31" i="14" s="1"/>
  <c r="BN31" i="14" s="1"/>
  <c r="BO31" i="14" s="1"/>
  <c r="BP31" i="14" s="1"/>
  <c r="BQ31" i="14" s="1"/>
  <c r="BR31" i="14" s="1"/>
  <c r="BS31" i="14" s="1"/>
  <c r="BT31" i="14" s="1"/>
  <c r="BU31" i="14" s="1"/>
  <c r="BV31" i="14" s="1"/>
  <c r="BW31" i="14" s="1"/>
  <c r="BX31" i="14" s="1"/>
  <c r="BY31" i="14" s="1"/>
  <c r="BZ31" i="14" s="1"/>
  <c r="CA31" i="14" s="1"/>
  <c r="CB31" i="14" s="1"/>
  <c r="CC31" i="14" s="1"/>
  <c r="CD31" i="14" s="1"/>
  <c r="CE31" i="14" s="1"/>
  <c r="CF31" i="14" s="1"/>
  <c r="CG31" i="14" s="1"/>
  <c r="CH31" i="14" s="1"/>
  <c r="CI31" i="14" s="1"/>
  <c r="CJ31" i="14" s="1"/>
  <c r="CK31" i="14" s="1"/>
  <c r="CL31" i="14" s="1"/>
  <c r="CM31" i="14" s="1"/>
  <c r="CN31" i="14" s="1"/>
  <c r="CO31" i="14" s="1"/>
  <c r="CP31" i="14" s="1"/>
  <c r="CQ31" i="14" s="1"/>
  <c r="CR31" i="14" s="1"/>
  <c r="CS31" i="14" s="1"/>
  <c r="CT31" i="14" s="1"/>
  <c r="CU31" i="14" s="1"/>
  <c r="CV31" i="14" s="1"/>
  <c r="CW31" i="14" s="1"/>
  <c r="CX31" i="14" s="1"/>
  <c r="CY31" i="14" s="1"/>
  <c r="CZ31" i="14" s="1"/>
  <c r="DA31" i="14" s="1"/>
  <c r="DB31" i="14" s="1"/>
  <c r="DC31" i="14" s="1"/>
  <c r="DD31" i="14" s="1"/>
  <c r="DE31" i="14" s="1"/>
  <c r="DF31" i="14" s="1"/>
  <c r="DG31" i="14" s="1"/>
  <c r="DH31" i="14" s="1"/>
  <c r="DI31" i="14" s="1"/>
  <c r="DJ31" i="14" s="1"/>
  <c r="DK31" i="14" s="1"/>
  <c r="DL31" i="14" s="1"/>
  <c r="DM31" i="14" s="1"/>
  <c r="DN31" i="14" s="1"/>
  <c r="DO31" i="14" s="1"/>
  <c r="DP31" i="14" s="1"/>
  <c r="DQ31" i="14" s="1"/>
  <c r="DR31" i="14" s="1"/>
  <c r="A32" i="14"/>
  <c r="B32" i="14" s="1"/>
  <c r="C32" i="14" s="1"/>
  <c r="D32" i="14" s="1"/>
  <c r="E32" i="14" s="1"/>
  <c r="F32" i="14" s="1"/>
  <c r="G32" i="14" s="1"/>
  <c r="H32" i="14" s="1"/>
  <c r="I32" i="14" s="1"/>
  <c r="J32" i="14" s="1"/>
  <c r="K32" i="14" s="1"/>
  <c r="L32" i="14" s="1"/>
  <c r="M32" i="14" s="1"/>
  <c r="N32" i="14" s="1"/>
  <c r="O32" i="14" s="1"/>
  <c r="P32" i="14" s="1"/>
  <c r="Q32" i="14" s="1"/>
  <c r="R32" i="14" s="1"/>
  <c r="S32" i="14" s="1"/>
  <c r="T32" i="14" s="1"/>
  <c r="U32" i="14" s="1"/>
  <c r="V32" i="14" s="1"/>
  <c r="W32" i="14" s="1"/>
  <c r="X32" i="14" s="1"/>
  <c r="Y32" i="14" s="1"/>
  <c r="Z32" i="14" s="1"/>
  <c r="AA32" i="14" s="1"/>
  <c r="AB32" i="14" s="1"/>
  <c r="AC32" i="14" s="1"/>
  <c r="AD32" i="14" s="1"/>
  <c r="AE32" i="14" s="1"/>
  <c r="AF32" i="14" s="1"/>
  <c r="AG32" i="14" s="1"/>
  <c r="AH32" i="14" s="1"/>
  <c r="AI32" i="14" s="1"/>
  <c r="AJ32" i="14" s="1"/>
  <c r="AK32" i="14" s="1"/>
  <c r="AL32" i="14" s="1"/>
  <c r="AM32" i="14" s="1"/>
  <c r="AN32" i="14" s="1"/>
  <c r="AO32" i="14" s="1"/>
  <c r="AP32" i="14" s="1"/>
  <c r="AQ32" i="14" s="1"/>
  <c r="AR32" i="14" s="1"/>
  <c r="AS32" i="14" s="1"/>
  <c r="AT32" i="14" s="1"/>
  <c r="AU32" i="14" s="1"/>
  <c r="AV32" i="14" s="1"/>
  <c r="AW32" i="14" s="1"/>
  <c r="AX32" i="14" s="1"/>
  <c r="AY32" i="14" s="1"/>
  <c r="AZ32" i="14" s="1"/>
  <c r="BA32" i="14" s="1"/>
  <c r="BB32" i="14" s="1"/>
  <c r="BC32" i="14" s="1"/>
  <c r="BD32" i="14" s="1"/>
  <c r="BE32" i="14" s="1"/>
  <c r="BF32" i="14" s="1"/>
  <c r="BG32" i="14" s="1"/>
  <c r="BH32" i="14" s="1"/>
  <c r="BI32" i="14" s="1"/>
  <c r="BJ32" i="14" s="1"/>
  <c r="BK32" i="14" s="1"/>
  <c r="BL32" i="14" s="1"/>
  <c r="BM32" i="14" s="1"/>
  <c r="BN32" i="14" s="1"/>
  <c r="BO32" i="14" s="1"/>
  <c r="BP32" i="14" s="1"/>
  <c r="BQ32" i="14" s="1"/>
  <c r="BR32" i="14" s="1"/>
  <c r="BS32" i="14" s="1"/>
  <c r="BT32" i="14" s="1"/>
  <c r="BU32" i="14" s="1"/>
  <c r="BV32" i="14" s="1"/>
  <c r="BW32" i="14" s="1"/>
  <c r="BX32" i="14" s="1"/>
  <c r="BY32" i="14" s="1"/>
  <c r="BZ32" i="14" s="1"/>
  <c r="CA32" i="14" s="1"/>
  <c r="CB32" i="14" s="1"/>
  <c r="CC32" i="14" s="1"/>
  <c r="CD32" i="14" s="1"/>
  <c r="CE32" i="14" s="1"/>
  <c r="CF32" i="14" s="1"/>
  <c r="CG32" i="14" s="1"/>
  <c r="CH32" i="14" s="1"/>
  <c r="CI32" i="14" s="1"/>
  <c r="CJ32" i="14" s="1"/>
  <c r="CK32" i="14" s="1"/>
  <c r="CL32" i="14" s="1"/>
  <c r="CM32" i="14" s="1"/>
  <c r="CN32" i="14" s="1"/>
  <c r="CO32" i="14" s="1"/>
  <c r="CP32" i="14" s="1"/>
  <c r="CQ32" i="14" s="1"/>
  <c r="CR32" i="14" s="1"/>
  <c r="CS32" i="14" s="1"/>
  <c r="CT32" i="14" s="1"/>
  <c r="CU32" i="14" s="1"/>
  <c r="CV32" i="14" s="1"/>
  <c r="CW32" i="14" s="1"/>
  <c r="CX32" i="14" s="1"/>
  <c r="CY32" i="14" s="1"/>
  <c r="CZ32" i="14" s="1"/>
  <c r="DA32" i="14" s="1"/>
  <c r="DB32" i="14" s="1"/>
  <c r="DC32" i="14" s="1"/>
  <c r="DD32" i="14" s="1"/>
  <c r="DE32" i="14" s="1"/>
  <c r="DF32" i="14" s="1"/>
  <c r="DG32" i="14" s="1"/>
  <c r="DH32" i="14" s="1"/>
  <c r="DI32" i="14" s="1"/>
  <c r="DJ32" i="14" s="1"/>
  <c r="DK32" i="14" s="1"/>
  <c r="DL32" i="14" s="1"/>
  <c r="DM32" i="14" s="1"/>
  <c r="DN32" i="14" s="1"/>
  <c r="DO32" i="14" s="1"/>
  <c r="DP32" i="14" s="1"/>
  <c r="DQ32" i="14" s="1"/>
  <c r="DR32" i="14" s="1"/>
  <c r="A33" i="14"/>
  <c r="A34" i="14"/>
  <c r="A35" i="14"/>
  <c r="A36" i="14"/>
  <c r="A37" i="14"/>
  <c r="A38" i="14"/>
  <c r="A39" i="14"/>
  <c r="A40" i="14"/>
  <c r="A41" i="14"/>
  <c r="B41" i="14" s="1"/>
  <c r="C41" i="14" s="1"/>
  <c r="D41" i="14" s="1"/>
  <c r="E41" i="14" s="1"/>
  <c r="F41" i="14" s="1"/>
  <c r="G41" i="14" s="1"/>
  <c r="H41" i="14" s="1"/>
  <c r="I41" i="14" s="1"/>
  <c r="J41" i="14" s="1"/>
  <c r="K41" i="14" s="1"/>
  <c r="L41" i="14" s="1"/>
  <c r="M41" i="14" s="1"/>
  <c r="N41" i="14" s="1"/>
  <c r="O41" i="14" s="1"/>
  <c r="P41" i="14" s="1"/>
  <c r="Q41" i="14" s="1"/>
  <c r="R41" i="14" s="1"/>
  <c r="S41" i="14" s="1"/>
  <c r="T41" i="14" s="1"/>
  <c r="U41" i="14" s="1"/>
  <c r="V41" i="14" s="1"/>
  <c r="W41" i="14" s="1"/>
  <c r="X41" i="14" s="1"/>
  <c r="Y41" i="14" s="1"/>
  <c r="Z41" i="14" s="1"/>
  <c r="AA41" i="14" s="1"/>
  <c r="AB41" i="14" s="1"/>
  <c r="AC41" i="14" s="1"/>
  <c r="AD41" i="14" s="1"/>
  <c r="AE41" i="14" s="1"/>
  <c r="AF41" i="14" s="1"/>
  <c r="AG41" i="14" s="1"/>
  <c r="AH41" i="14" s="1"/>
  <c r="AI41" i="14" s="1"/>
  <c r="AJ41" i="14" s="1"/>
  <c r="AK41" i="14" s="1"/>
  <c r="AL41" i="14" s="1"/>
  <c r="AM41" i="14" s="1"/>
  <c r="AN41" i="14" s="1"/>
  <c r="AO41" i="14" s="1"/>
  <c r="AP41" i="14" s="1"/>
  <c r="AQ41" i="14" s="1"/>
  <c r="AR41" i="14" s="1"/>
  <c r="AS41" i="14" s="1"/>
  <c r="AT41" i="14" s="1"/>
  <c r="AU41" i="14" s="1"/>
  <c r="AV41" i="14" s="1"/>
  <c r="AW41" i="14" s="1"/>
  <c r="AX41" i="14" s="1"/>
  <c r="AY41" i="14" s="1"/>
  <c r="AZ41" i="14" s="1"/>
  <c r="BA41" i="14" s="1"/>
  <c r="BB41" i="14" s="1"/>
  <c r="BC41" i="14" s="1"/>
  <c r="BD41" i="14" s="1"/>
  <c r="BE41" i="14" s="1"/>
  <c r="BF41" i="14" s="1"/>
  <c r="BG41" i="14" s="1"/>
  <c r="BH41" i="14" s="1"/>
  <c r="BI41" i="14" s="1"/>
  <c r="BJ41" i="14" s="1"/>
  <c r="BK41" i="14" s="1"/>
  <c r="BL41" i="14" s="1"/>
  <c r="BM41" i="14" s="1"/>
  <c r="BN41" i="14" s="1"/>
  <c r="BO41" i="14" s="1"/>
  <c r="BP41" i="14" s="1"/>
  <c r="BQ41" i="14" s="1"/>
  <c r="BR41" i="14" s="1"/>
  <c r="BS41" i="14" s="1"/>
  <c r="BT41" i="14" s="1"/>
  <c r="BU41" i="14" s="1"/>
  <c r="BV41" i="14" s="1"/>
  <c r="BW41" i="14" s="1"/>
  <c r="BX41" i="14" s="1"/>
  <c r="BY41" i="14" s="1"/>
  <c r="BZ41" i="14" s="1"/>
  <c r="CA41" i="14" s="1"/>
  <c r="CB41" i="14" s="1"/>
  <c r="CC41" i="14" s="1"/>
  <c r="CD41" i="14" s="1"/>
  <c r="CE41" i="14" s="1"/>
  <c r="CF41" i="14" s="1"/>
  <c r="CG41" i="14" s="1"/>
  <c r="CH41" i="14" s="1"/>
  <c r="CI41" i="14" s="1"/>
  <c r="CJ41" i="14" s="1"/>
  <c r="CK41" i="14" s="1"/>
  <c r="CL41" i="14" s="1"/>
  <c r="CM41" i="14" s="1"/>
  <c r="CN41" i="14" s="1"/>
  <c r="CO41" i="14" s="1"/>
  <c r="CP41" i="14" s="1"/>
  <c r="CQ41" i="14" s="1"/>
  <c r="CR41" i="14" s="1"/>
  <c r="CS41" i="14" s="1"/>
  <c r="CT41" i="14" s="1"/>
  <c r="CU41" i="14" s="1"/>
  <c r="CV41" i="14" s="1"/>
  <c r="CW41" i="14" s="1"/>
  <c r="CX41" i="14" s="1"/>
  <c r="CY41" i="14" s="1"/>
  <c r="CZ41" i="14" s="1"/>
  <c r="DA41" i="14" s="1"/>
  <c r="DB41" i="14" s="1"/>
  <c r="DC41" i="14" s="1"/>
  <c r="DD41" i="14" s="1"/>
  <c r="DE41" i="14" s="1"/>
  <c r="DF41" i="14" s="1"/>
  <c r="DG41" i="14" s="1"/>
  <c r="DH41" i="14" s="1"/>
  <c r="DI41" i="14" s="1"/>
  <c r="DJ41" i="14" s="1"/>
  <c r="DK41" i="14" s="1"/>
  <c r="DL41" i="14" s="1"/>
  <c r="DM41" i="14" s="1"/>
  <c r="DN41" i="14" s="1"/>
  <c r="DO41" i="14" s="1"/>
  <c r="DP41" i="14" s="1"/>
  <c r="DQ41" i="14" s="1"/>
  <c r="DR41" i="14" s="1"/>
  <c r="A42" i="14"/>
  <c r="A43" i="14"/>
  <c r="B43" i="14" s="1"/>
  <c r="C43" i="14" s="1"/>
  <c r="D43" i="14" s="1"/>
  <c r="E43" i="14" s="1"/>
  <c r="F43" i="14" s="1"/>
  <c r="G43" i="14" s="1"/>
  <c r="H43" i="14" s="1"/>
  <c r="I43" i="14" s="1"/>
  <c r="J43" i="14" s="1"/>
  <c r="K43" i="14" s="1"/>
  <c r="L43" i="14" s="1"/>
  <c r="M43" i="14" s="1"/>
  <c r="N43" i="14" s="1"/>
  <c r="O43" i="14" s="1"/>
  <c r="P43" i="14" s="1"/>
  <c r="Q43" i="14" s="1"/>
  <c r="R43" i="14" s="1"/>
  <c r="S43" i="14" s="1"/>
  <c r="T43" i="14" s="1"/>
  <c r="U43" i="14" s="1"/>
  <c r="V43" i="14" s="1"/>
  <c r="W43" i="14" s="1"/>
  <c r="X43" i="14" s="1"/>
  <c r="Y43" i="14" s="1"/>
  <c r="Z43" i="14" s="1"/>
  <c r="AA43" i="14" s="1"/>
  <c r="AB43" i="14" s="1"/>
  <c r="AC43" i="14" s="1"/>
  <c r="AD43" i="14" s="1"/>
  <c r="AE43" i="14" s="1"/>
  <c r="AF43" i="14" s="1"/>
  <c r="AG43" i="14" s="1"/>
  <c r="AH43" i="14" s="1"/>
  <c r="AI43" i="14" s="1"/>
  <c r="AJ43" i="14" s="1"/>
  <c r="AK43" i="14" s="1"/>
  <c r="AL43" i="14" s="1"/>
  <c r="AM43" i="14" s="1"/>
  <c r="AN43" i="14" s="1"/>
  <c r="AO43" i="14" s="1"/>
  <c r="AP43" i="14" s="1"/>
  <c r="AQ43" i="14" s="1"/>
  <c r="AR43" i="14" s="1"/>
  <c r="AS43" i="14" s="1"/>
  <c r="AT43" i="14" s="1"/>
  <c r="AU43" i="14" s="1"/>
  <c r="AV43" i="14" s="1"/>
  <c r="AW43" i="14" s="1"/>
  <c r="AX43" i="14" s="1"/>
  <c r="AY43" i="14" s="1"/>
  <c r="AZ43" i="14" s="1"/>
  <c r="BA43" i="14" s="1"/>
  <c r="BB43" i="14" s="1"/>
  <c r="BC43" i="14" s="1"/>
  <c r="BD43" i="14" s="1"/>
  <c r="BE43" i="14" s="1"/>
  <c r="BF43" i="14" s="1"/>
  <c r="BG43" i="14" s="1"/>
  <c r="BH43" i="14" s="1"/>
  <c r="BI43" i="14" s="1"/>
  <c r="BJ43" i="14" s="1"/>
  <c r="BK43" i="14" s="1"/>
  <c r="BL43" i="14" s="1"/>
  <c r="BM43" i="14" s="1"/>
  <c r="BN43" i="14" s="1"/>
  <c r="BO43" i="14" s="1"/>
  <c r="BP43" i="14" s="1"/>
  <c r="BQ43" i="14" s="1"/>
  <c r="BR43" i="14" s="1"/>
  <c r="BS43" i="14" s="1"/>
  <c r="BT43" i="14" s="1"/>
  <c r="BU43" i="14" s="1"/>
  <c r="BV43" i="14" s="1"/>
  <c r="BW43" i="14" s="1"/>
  <c r="BX43" i="14" s="1"/>
  <c r="BY43" i="14" s="1"/>
  <c r="BZ43" i="14" s="1"/>
  <c r="CA43" i="14" s="1"/>
  <c r="CB43" i="14" s="1"/>
  <c r="CC43" i="14" s="1"/>
  <c r="CD43" i="14" s="1"/>
  <c r="CE43" i="14" s="1"/>
  <c r="CF43" i="14" s="1"/>
  <c r="CG43" i="14" s="1"/>
  <c r="CH43" i="14" s="1"/>
  <c r="CI43" i="14" s="1"/>
  <c r="CJ43" i="14" s="1"/>
  <c r="CK43" i="14" s="1"/>
  <c r="CL43" i="14" s="1"/>
  <c r="CM43" i="14" s="1"/>
  <c r="CN43" i="14" s="1"/>
  <c r="CO43" i="14" s="1"/>
  <c r="CP43" i="14" s="1"/>
  <c r="CQ43" i="14" s="1"/>
  <c r="CR43" i="14" s="1"/>
  <c r="CS43" i="14" s="1"/>
  <c r="CT43" i="14" s="1"/>
  <c r="CU43" i="14" s="1"/>
  <c r="CV43" i="14" s="1"/>
  <c r="CW43" i="14" s="1"/>
  <c r="CX43" i="14" s="1"/>
  <c r="CY43" i="14" s="1"/>
  <c r="CZ43" i="14" s="1"/>
  <c r="DA43" i="14" s="1"/>
  <c r="DB43" i="14" s="1"/>
  <c r="DC43" i="14" s="1"/>
  <c r="DD43" i="14" s="1"/>
  <c r="DE43" i="14" s="1"/>
  <c r="DF43" i="14" s="1"/>
  <c r="DG43" i="14" s="1"/>
  <c r="DH43" i="14" s="1"/>
  <c r="DI43" i="14" s="1"/>
  <c r="DJ43" i="14" s="1"/>
  <c r="DK43" i="14" s="1"/>
  <c r="DL43" i="14" s="1"/>
  <c r="DM43" i="14" s="1"/>
  <c r="DN43" i="14" s="1"/>
  <c r="DO43" i="14" s="1"/>
  <c r="DP43" i="14" s="1"/>
  <c r="DQ43" i="14" s="1"/>
  <c r="DR43" i="14" s="1"/>
  <c r="A44" i="14"/>
  <c r="A45" i="14"/>
  <c r="A46" i="14"/>
  <c r="A47" i="14"/>
  <c r="A48" i="14"/>
  <c r="B48" i="14" s="1"/>
  <c r="C48" i="14" s="1"/>
  <c r="D48" i="14" s="1"/>
  <c r="E48" i="14" s="1"/>
  <c r="F48" i="14" s="1"/>
  <c r="G48" i="14" s="1"/>
  <c r="H48" i="14" s="1"/>
  <c r="I48" i="14" s="1"/>
  <c r="J48" i="14" s="1"/>
  <c r="K48" i="14" s="1"/>
  <c r="L48" i="14" s="1"/>
  <c r="M48" i="14" s="1"/>
  <c r="N48" i="14" s="1"/>
  <c r="O48" i="14" s="1"/>
  <c r="P48" i="14" s="1"/>
  <c r="Q48" i="14" s="1"/>
  <c r="R48" i="14" s="1"/>
  <c r="S48" i="14" s="1"/>
  <c r="T48" i="14" s="1"/>
  <c r="U48" i="14" s="1"/>
  <c r="V48" i="14" s="1"/>
  <c r="W48" i="14" s="1"/>
  <c r="X48" i="14" s="1"/>
  <c r="Y48" i="14" s="1"/>
  <c r="Z48" i="14" s="1"/>
  <c r="AA48" i="14" s="1"/>
  <c r="AB48" i="14" s="1"/>
  <c r="AC48" i="14" s="1"/>
  <c r="AD48" i="14" s="1"/>
  <c r="AE48" i="14" s="1"/>
  <c r="AF48" i="14" s="1"/>
  <c r="AG48" i="14" s="1"/>
  <c r="AH48" i="14" s="1"/>
  <c r="AI48" i="14" s="1"/>
  <c r="AJ48" i="14" s="1"/>
  <c r="AK48" i="14" s="1"/>
  <c r="AL48" i="14" s="1"/>
  <c r="AM48" i="14" s="1"/>
  <c r="AN48" i="14" s="1"/>
  <c r="AO48" i="14" s="1"/>
  <c r="AP48" i="14" s="1"/>
  <c r="AQ48" i="14" s="1"/>
  <c r="AR48" i="14" s="1"/>
  <c r="AS48" i="14" s="1"/>
  <c r="AT48" i="14" s="1"/>
  <c r="AU48" i="14" s="1"/>
  <c r="AV48" i="14" s="1"/>
  <c r="AW48" i="14" s="1"/>
  <c r="AX48" i="14" s="1"/>
  <c r="AY48" i="14" s="1"/>
  <c r="AZ48" i="14" s="1"/>
  <c r="BA48" i="14" s="1"/>
  <c r="BB48" i="14" s="1"/>
  <c r="BC48" i="14" s="1"/>
  <c r="BD48" i="14" s="1"/>
  <c r="BE48" i="14" s="1"/>
  <c r="BF48" i="14" s="1"/>
  <c r="BG48" i="14" s="1"/>
  <c r="BH48" i="14" s="1"/>
  <c r="BI48" i="14" s="1"/>
  <c r="BJ48" i="14" s="1"/>
  <c r="BK48" i="14" s="1"/>
  <c r="BL48" i="14" s="1"/>
  <c r="BM48" i="14" s="1"/>
  <c r="BN48" i="14" s="1"/>
  <c r="BO48" i="14" s="1"/>
  <c r="BP48" i="14" s="1"/>
  <c r="BQ48" i="14" s="1"/>
  <c r="BR48" i="14" s="1"/>
  <c r="BS48" i="14" s="1"/>
  <c r="BT48" i="14" s="1"/>
  <c r="BU48" i="14" s="1"/>
  <c r="BV48" i="14" s="1"/>
  <c r="BW48" i="14" s="1"/>
  <c r="BX48" i="14" s="1"/>
  <c r="BY48" i="14" s="1"/>
  <c r="BZ48" i="14" s="1"/>
  <c r="CA48" i="14" s="1"/>
  <c r="CB48" i="14" s="1"/>
  <c r="CC48" i="14" s="1"/>
  <c r="CD48" i="14" s="1"/>
  <c r="CE48" i="14" s="1"/>
  <c r="CF48" i="14" s="1"/>
  <c r="CG48" i="14" s="1"/>
  <c r="CH48" i="14" s="1"/>
  <c r="CI48" i="14" s="1"/>
  <c r="CJ48" i="14" s="1"/>
  <c r="CK48" i="14" s="1"/>
  <c r="CL48" i="14" s="1"/>
  <c r="CM48" i="14" s="1"/>
  <c r="CN48" i="14" s="1"/>
  <c r="CO48" i="14" s="1"/>
  <c r="CP48" i="14" s="1"/>
  <c r="CQ48" i="14" s="1"/>
  <c r="CR48" i="14" s="1"/>
  <c r="CS48" i="14" s="1"/>
  <c r="CT48" i="14" s="1"/>
  <c r="CU48" i="14" s="1"/>
  <c r="CV48" i="14" s="1"/>
  <c r="CW48" i="14" s="1"/>
  <c r="CX48" i="14" s="1"/>
  <c r="CY48" i="14" s="1"/>
  <c r="CZ48" i="14" s="1"/>
  <c r="DA48" i="14" s="1"/>
  <c r="DB48" i="14" s="1"/>
  <c r="DC48" i="14" s="1"/>
  <c r="DD48" i="14" s="1"/>
  <c r="DE48" i="14" s="1"/>
  <c r="DF48" i="14" s="1"/>
  <c r="DG48" i="14" s="1"/>
  <c r="DH48" i="14" s="1"/>
  <c r="DI48" i="14" s="1"/>
  <c r="DJ48" i="14" s="1"/>
  <c r="DK48" i="14" s="1"/>
  <c r="DL48" i="14" s="1"/>
  <c r="DM48" i="14" s="1"/>
  <c r="DN48" i="14" s="1"/>
  <c r="DO48" i="14" s="1"/>
  <c r="DP48" i="14" s="1"/>
  <c r="DQ48" i="14" s="1"/>
  <c r="DR48" i="14" s="1"/>
  <c r="A49" i="14"/>
  <c r="B49" i="14" s="1"/>
  <c r="C49" i="14" s="1"/>
  <c r="D49" i="14" s="1"/>
  <c r="E49" i="14" s="1"/>
  <c r="F49" i="14" s="1"/>
  <c r="G49" i="14" s="1"/>
  <c r="H49" i="14" s="1"/>
  <c r="I49" i="14" s="1"/>
  <c r="J49" i="14" s="1"/>
  <c r="K49" i="14" s="1"/>
  <c r="L49" i="14" s="1"/>
  <c r="M49" i="14" s="1"/>
  <c r="N49" i="14" s="1"/>
  <c r="O49" i="14" s="1"/>
  <c r="P49" i="14" s="1"/>
  <c r="Q49" i="14" s="1"/>
  <c r="R49" i="14" s="1"/>
  <c r="S49" i="14" s="1"/>
  <c r="T49" i="14" s="1"/>
  <c r="U49" i="14" s="1"/>
  <c r="V49" i="14" s="1"/>
  <c r="W49" i="14" s="1"/>
  <c r="X49" i="14" s="1"/>
  <c r="Y49" i="14" s="1"/>
  <c r="Z49" i="14" s="1"/>
  <c r="AA49" i="14" s="1"/>
  <c r="AB49" i="14" s="1"/>
  <c r="AC49" i="14" s="1"/>
  <c r="AD49" i="14" s="1"/>
  <c r="AE49" i="14" s="1"/>
  <c r="AF49" i="14" s="1"/>
  <c r="AG49" i="14" s="1"/>
  <c r="AH49" i="14" s="1"/>
  <c r="AI49" i="14" s="1"/>
  <c r="AJ49" i="14" s="1"/>
  <c r="AK49" i="14" s="1"/>
  <c r="AL49" i="14" s="1"/>
  <c r="AM49" i="14" s="1"/>
  <c r="AN49" i="14" s="1"/>
  <c r="AO49" i="14" s="1"/>
  <c r="AP49" i="14" s="1"/>
  <c r="AQ49" i="14" s="1"/>
  <c r="AR49" i="14" s="1"/>
  <c r="AS49" i="14" s="1"/>
  <c r="AT49" i="14" s="1"/>
  <c r="AU49" i="14" s="1"/>
  <c r="AV49" i="14" s="1"/>
  <c r="AW49" i="14" s="1"/>
  <c r="AX49" i="14" s="1"/>
  <c r="AY49" i="14" s="1"/>
  <c r="AZ49" i="14" s="1"/>
  <c r="BA49" i="14" s="1"/>
  <c r="BB49" i="14" s="1"/>
  <c r="BC49" i="14" s="1"/>
  <c r="BD49" i="14" s="1"/>
  <c r="BE49" i="14" s="1"/>
  <c r="BF49" i="14" s="1"/>
  <c r="BG49" i="14" s="1"/>
  <c r="BH49" i="14" s="1"/>
  <c r="BI49" i="14" s="1"/>
  <c r="BJ49" i="14" s="1"/>
  <c r="BK49" i="14" s="1"/>
  <c r="BL49" i="14" s="1"/>
  <c r="BM49" i="14" s="1"/>
  <c r="BN49" i="14" s="1"/>
  <c r="BO49" i="14" s="1"/>
  <c r="BP49" i="14" s="1"/>
  <c r="BQ49" i="14" s="1"/>
  <c r="BR49" i="14" s="1"/>
  <c r="BS49" i="14" s="1"/>
  <c r="BT49" i="14" s="1"/>
  <c r="BU49" i="14" s="1"/>
  <c r="BV49" i="14" s="1"/>
  <c r="BW49" i="14" s="1"/>
  <c r="BX49" i="14" s="1"/>
  <c r="BY49" i="14" s="1"/>
  <c r="BZ49" i="14" s="1"/>
  <c r="CA49" i="14" s="1"/>
  <c r="CB49" i="14" s="1"/>
  <c r="CC49" i="14" s="1"/>
  <c r="CD49" i="14" s="1"/>
  <c r="CE49" i="14" s="1"/>
  <c r="CF49" i="14" s="1"/>
  <c r="CG49" i="14" s="1"/>
  <c r="CH49" i="14" s="1"/>
  <c r="CI49" i="14" s="1"/>
  <c r="CJ49" i="14" s="1"/>
  <c r="CK49" i="14" s="1"/>
  <c r="CL49" i="14" s="1"/>
  <c r="CM49" i="14" s="1"/>
  <c r="CN49" i="14" s="1"/>
  <c r="CO49" i="14" s="1"/>
  <c r="CP49" i="14" s="1"/>
  <c r="CQ49" i="14" s="1"/>
  <c r="CR49" i="14" s="1"/>
  <c r="CS49" i="14" s="1"/>
  <c r="CT49" i="14" s="1"/>
  <c r="CU49" i="14" s="1"/>
  <c r="CV49" i="14" s="1"/>
  <c r="CW49" i="14" s="1"/>
  <c r="CX49" i="14" s="1"/>
  <c r="CY49" i="14" s="1"/>
  <c r="CZ49" i="14" s="1"/>
  <c r="DA49" i="14" s="1"/>
  <c r="DB49" i="14" s="1"/>
  <c r="DC49" i="14" s="1"/>
  <c r="DD49" i="14" s="1"/>
  <c r="DE49" i="14" s="1"/>
  <c r="DF49" i="14" s="1"/>
  <c r="DG49" i="14" s="1"/>
  <c r="DH49" i="14" s="1"/>
  <c r="DI49" i="14" s="1"/>
  <c r="DJ49" i="14" s="1"/>
  <c r="DK49" i="14" s="1"/>
  <c r="DL49" i="14" s="1"/>
  <c r="DM49" i="14" s="1"/>
  <c r="DN49" i="14" s="1"/>
  <c r="DO49" i="14" s="1"/>
  <c r="DP49" i="14" s="1"/>
  <c r="DQ49" i="14" s="1"/>
  <c r="DR49" i="14" s="1"/>
  <c r="A50" i="14"/>
  <c r="A51" i="14"/>
  <c r="A52" i="14"/>
  <c r="B52" i="14" s="1"/>
  <c r="C52" i="14" s="1"/>
  <c r="D52" i="14" s="1"/>
  <c r="E52" i="14" s="1"/>
  <c r="F52" i="14" s="1"/>
  <c r="G52" i="14" s="1"/>
  <c r="H52" i="14" s="1"/>
  <c r="I52" i="14" s="1"/>
  <c r="J52" i="14" s="1"/>
  <c r="K52" i="14" s="1"/>
  <c r="L52" i="14" s="1"/>
  <c r="M52" i="14" s="1"/>
  <c r="N52" i="14" s="1"/>
  <c r="O52" i="14" s="1"/>
  <c r="P52" i="14" s="1"/>
  <c r="Q52" i="14" s="1"/>
  <c r="R52" i="14" s="1"/>
  <c r="S52" i="14" s="1"/>
  <c r="T52" i="14" s="1"/>
  <c r="U52" i="14" s="1"/>
  <c r="V52" i="14" s="1"/>
  <c r="W52" i="14" s="1"/>
  <c r="X52" i="14" s="1"/>
  <c r="Y52" i="14" s="1"/>
  <c r="Z52" i="14" s="1"/>
  <c r="AA52" i="14" s="1"/>
  <c r="AB52" i="14" s="1"/>
  <c r="AC52" i="14" s="1"/>
  <c r="AD52" i="14" s="1"/>
  <c r="AE52" i="14" s="1"/>
  <c r="AF52" i="14" s="1"/>
  <c r="AG52" i="14" s="1"/>
  <c r="AH52" i="14" s="1"/>
  <c r="AI52" i="14" s="1"/>
  <c r="AJ52" i="14" s="1"/>
  <c r="AK52" i="14" s="1"/>
  <c r="AL52" i="14" s="1"/>
  <c r="AM52" i="14" s="1"/>
  <c r="AN52" i="14" s="1"/>
  <c r="AO52" i="14" s="1"/>
  <c r="AP52" i="14" s="1"/>
  <c r="AQ52" i="14" s="1"/>
  <c r="AR52" i="14" s="1"/>
  <c r="AS52" i="14" s="1"/>
  <c r="AT52" i="14" s="1"/>
  <c r="AU52" i="14" s="1"/>
  <c r="AV52" i="14" s="1"/>
  <c r="AW52" i="14" s="1"/>
  <c r="AX52" i="14" s="1"/>
  <c r="AY52" i="14" s="1"/>
  <c r="AZ52" i="14" s="1"/>
  <c r="BA52" i="14" s="1"/>
  <c r="BB52" i="14" s="1"/>
  <c r="BC52" i="14" s="1"/>
  <c r="BD52" i="14" s="1"/>
  <c r="BE52" i="14" s="1"/>
  <c r="BF52" i="14" s="1"/>
  <c r="BG52" i="14" s="1"/>
  <c r="BH52" i="14" s="1"/>
  <c r="BI52" i="14" s="1"/>
  <c r="BJ52" i="14" s="1"/>
  <c r="BK52" i="14" s="1"/>
  <c r="BL52" i="14" s="1"/>
  <c r="BM52" i="14" s="1"/>
  <c r="BN52" i="14" s="1"/>
  <c r="BO52" i="14" s="1"/>
  <c r="BP52" i="14" s="1"/>
  <c r="BQ52" i="14" s="1"/>
  <c r="BR52" i="14" s="1"/>
  <c r="BS52" i="14" s="1"/>
  <c r="BT52" i="14" s="1"/>
  <c r="BU52" i="14" s="1"/>
  <c r="BV52" i="14" s="1"/>
  <c r="BW52" i="14" s="1"/>
  <c r="BX52" i="14" s="1"/>
  <c r="BY52" i="14" s="1"/>
  <c r="BZ52" i="14" s="1"/>
  <c r="CA52" i="14" s="1"/>
  <c r="CB52" i="14" s="1"/>
  <c r="CC52" i="14" s="1"/>
  <c r="CD52" i="14" s="1"/>
  <c r="CE52" i="14" s="1"/>
  <c r="CF52" i="14" s="1"/>
  <c r="CG52" i="14" s="1"/>
  <c r="CH52" i="14" s="1"/>
  <c r="CI52" i="14" s="1"/>
  <c r="CJ52" i="14" s="1"/>
  <c r="CK52" i="14" s="1"/>
  <c r="CL52" i="14" s="1"/>
  <c r="CM52" i="14" s="1"/>
  <c r="CN52" i="14" s="1"/>
  <c r="CO52" i="14" s="1"/>
  <c r="CP52" i="14" s="1"/>
  <c r="CQ52" i="14" s="1"/>
  <c r="CR52" i="14" s="1"/>
  <c r="CS52" i="14" s="1"/>
  <c r="CT52" i="14" s="1"/>
  <c r="CU52" i="14" s="1"/>
  <c r="CV52" i="14" s="1"/>
  <c r="CW52" i="14" s="1"/>
  <c r="CX52" i="14" s="1"/>
  <c r="CY52" i="14" s="1"/>
  <c r="CZ52" i="14" s="1"/>
  <c r="DA52" i="14" s="1"/>
  <c r="DB52" i="14" s="1"/>
  <c r="DC52" i="14" s="1"/>
  <c r="DD52" i="14" s="1"/>
  <c r="DE52" i="14" s="1"/>
  <c r="DF52" i="14" s="1"/>
  <c r="DG52" i="14" s="1"/>
  <c r="DH52" i="14" s="1"/>
  <c r="DI52" i="14" s="1"/>
  <c r="DJ52" i="14" s="1"/>
  <c r="DK52" i="14" s="1"/>
  <c r="DL52" i="14" s="1"/>
  <c r="DM52" i="14" s="1"/>
  <c r="DN52" i="14" s="1"/>
  <c r="DO52" i="14" s="1"/>
  <c r="DP52" i="14" s="1"/>
  <c r="DQ52" i="14" s="1"/>
  <c r="DR52" i="14" s="1"/>
  <c r="A53" i="14"/>
  <c r="A54" i="14"/>
  <c r="B54" i="14" s="1"/>
  <c r="C54" i="14" s="1"/>
  <c r="D54" i="14" s="1"/>
  <c r="E54" i="14" s="1"/>
  <c r="F54" i="14" s="1"/>
  <c r="G54" i="14" s="1"/>
  <c r="H54" i="14" s="1"/>
  <c r="I54" i="14" s="1"/>
  <c r="J54" i="14" s="1"/>
  <c r="K54" i="14" s="1"/>
  <c r="L54" i="14" s="1"/>
  <c r="M54" i="14" s="1"/>
  <c r="N54" i="14" s="1"/>
  <c r="O54" i="14" s="1"/>
  <c r="P54" i="14" s="1"/>
  <c r="Q54" i="14" s="1"/>
  <c r="R54" i="14" s="1"/>
  <c r="S54" i="14" s="1"/>
  <c r="T54" i="14" s="1"/>
  <c r="U54" i="14" s="1"/>
  <c r="V54" i="14" s="1"/>
  <c r="W54" i="14" s="1"/>
  <c r="X54" i="14" s="1"/>
  <c r="Y54" i="14" s="1"/>
  <c r="Z54" i="14" s="1"/>
  <c r="AA54" i="14" s="1"/>
  <c r="AB54" i="14" s="1"/>
  <c r="AC54" i="14" s="1"/>
  <c r="AD54" i="14" s="1"/>
  <c r="AE54" i="14" s="1"/>
  <c r="AF54" i="14" s="1"/>
  <c r="AG54" i="14" s="1"/>
  <c r="AH54" i="14" s="1"/>
  <c r="AI54" i="14" s="1"/>
  <c r="AJ54" i="14" s="1"/>
  <c r="AK54" i="14" s="1"/>
  <c r="AL54" i="14" s="1"/>
  <c r="AM54" i="14" s="1"/>
  <c r="AN54" i="14" s="1"/>
  <c r="AO54" i="14" s="1"/>
  <c r="AP54" i="14" s="1"/>
  <c r="AQ54" i="14" s="1"/>
  <c r="AR54" i="14" s="1"/>
  <c r="AS54" i="14" s="1"/>
  <c r="AT54" i="14" s="1"/>
  <c r="AU54" i="14" s="1"/>
  <c r="AV54" i="14" s="1"/>
  <c r="AW54" i="14" s="1"/>
  <c r="AX54" i="14" s="1"/>
  <c r="AY54" i="14" s="1"/>
  <c r="AZ54" i="14" s="1"/>
  <c r="BA54" i="14" s="1"/>
  <c r="BB54" i="14" s="1"/>
  <c r="BC54" i="14" s="1"/>
  <c r="BD54" i="14" s="1"/>
  <c r="BE54" i="14" s="1"/>
  <c r="BF54" i="14" s="1"/>
  <c r="BG54" i="14" s="1"/>
  <c r="BH54" i="14" s="1"/>
  <c r="BI54" i="14" s="1"/>
  <c r="BJ54" i="14" s="1"/>
  <c r="BK54" i="14" s="1"/>
  <c r="BL54" i="14" s="1"/>
  <c r="BM54" i="14" s="1"/>
  <c r="BN54" i="14" s="1"/>
  <c r="BO54" i="14" s="1"/>
  <c r="BP54" i="14" s="1"/>
  <c r="BQ54" i="14" s="1"/>
  <c r="BR54" i="14" s="1"/>
  <c r="BS54" i="14" s="1"/>
  <c r="BT54" i="14" s="1"/>
  <c r="BU54" i="14" s="1"/>
  <c r="BV54" i="14" s="1"/>
  <c r="BW54" i="14" s="1"/>
  <c r="BX54" i="14" s="1"/>
  <c r="BY54" i="14" s="1"/>
  <c r="BZ54" i="14" s="1"/>
  <c r="CA54" i="14" s="1"/>
  <c r="CB54" i="14" s="1"/>
  <c r="CC54" i="14" s="1"/>
  <c r="CD54" i="14" s="1"/>
  <c r="CE54" i="14" s="1"/>
  <c r="CF54" i="14" s="1"/>
  <c r="CG54" i="14" s="1"/>
  <c r="CH54" i="14" s="1"/>
  <c r="CI54" i="14" s="1"/>
  <c r="CJ54" i="14" s="1"/>
  <c r="CK54" i="14" s="1"/>
  <c r="CL54" i="14" s="1"/>
  <c r="CM54" i="14" s="1"/>
  <c r="CN54" i="14" s="1"/>
  <c r="CO54" i="14" s="1"/>
  <c r="CP54" i="14" s="1"/>
  <c r="CQ54" i="14" s="1"/>
  <c r="CR54" i="14" s="1"/>
  <c r="CS54" i="14" s="1"/>
  <c r="CT54" i="14" s="1"/>
  <c r="CU54" i="14" s="1"/>
  <c r="CV54" i="14" s="1"/>
  <c r="CW54" i="14" s="1"/>
  <c r="CX54" i="14" s="1"/>
  <c r="CY54" i="14" s="1"/>
  <c r="CZ54" i="14" s="1"/>
  <c r="DA54" i="14" s="1"/>
  <c r="DB54" i="14" s="1"/>
  <c r="DC54" i="14" s="1"/>
  <c r="DD54" i="14" s="1"/>
  <c r="DE54" i="14" s="1"/>
  <c r="DF54" i="14" s="1"/>
  <c r="DG54" i="14" s="1"/>
  <c r="DH54" i="14" s="1"/>
  <c r="DI54" i="14" s="1"/>
  <c r="DJ54" i="14" s="1"/>
  <c r="DK54" i="14" s="1"/>
  <c r="DL54" i="14" s="1"/>
  <c r="DM54" i="14" s="1"/>
  <c r="DN54" i="14" s="1"/>
  <c r="DO54" i="14" s="1"/>
  <c r="DP54" i="14" s="1"/>
  <c r="DQ54" i="14" s="1"/>
  <c r="DR54" i="14" s="1"/>
  <c r="A55" i="14"/>
  <c r="A56" i="14"/>
  <c r="A57" i="14"/>
  <c r="A58" i="14"/>
  <c r="B58" i="14" s="1"/>
  <c r="C58" i="14" s="1"/>
  <c r="D58" i="14" s="1"/>
  <c r="E58" i="14" s="1"/>
  <c r="F58" i="14" s="1"/>
  <c r="G58" i="14" s="1"/>
  <c r="H58" i="14" s="1"/>
  <c r="I58" i="14" s="1"/>
  <c r="J58" i="14" s="1"/>
  <c r="K58" i="14" s="1"/>
  <c r="L58" i="14" s="1"/>
  <c r="M58" i="14" s="1"/>
  <c r="N58" i="14" s="1"/>
  <c r="O58" i="14" s="1"/>
  <c r="P58" i="14" s="1"/>
  <c r="Q58" i="14" s="1"/>
  <c r="R58" i="14" s="1"/>
  <c r="S58" i="14" s="1"/>
  <c r="T58" i="14" s="1"/>
  <c r="U58" i="14" s="1"/>
  <c r="V58" i="14" s="1"/>
  <c r="W58" i="14" s="1"/>
  <c r="X58" i="14" s="1"/>
  <c r="Y58" i="14" s="1"/>
  <c r="Z58" i="14" s="1"/>
  <c r="AA58" i="14" s="1"/>
  <c r="AB58" i="14" s="1"/>
  <c r="AC58" i="14" s="1"/>
  <c r="AD58" i="14" s="1"/>
  <c r="AE58" i="14" s="1"/>
  <c r="AF58" i="14" s="1"/>
  <c r="AG58" i="14" s="1"/>
  <c r="AH58" i="14" s="1"/>
  <c r="AI58" i="14" s="1"/>
  <c r="AJ58" i="14" s="1"/>
  <c r="AK58" i="14" s="1"/>
  <c r="AL58" i="14" s="1"/>
  <c r="AM58" i="14" s="1"/>
  <c r="AN58" i="14" s="1"/>
  <c r="AO58" i="14" s="1"/>
  <c r="AP58" i="14" s="1"/>
  <c r="AQ58" i="14" s="1"/>
  <c r="AR58" i="14" s="1"/>
  <c r="AS58" i="14" s="1"/>
  <c r="AT58" i="14" s="1"/>
  <c r="AU58" i="14" s="1"/>
  <c r="AV58" i="14" s="1"/>
  <c r="AW58" i="14" s="1"/>
  <c r="AX58" i="14" s="1"/>
  <c r="AY58" i="14" s="1"/>
  <c r="AZ58" i="14" s="1"/>
  <c r="BA58" i="14" s="1"/>
  <c r="BB58" i="14" s="1"/>
  <c r="BC58" i="14" s="1"/>
  <c r="BD58" i="14" s="1"/>
  <c r="BE58" i="14" s="1"/>
  <c r="BF58" i="14" s="1"/>
  <c r="BG58" i="14" s="1"/>
  <c r="BH58" i="14" s="1"/>
  <c r="BI58" i="14" s="1"/>
  <c r="BJ58" i="14" s="1"/>
  <c r="BK58" i="14" s="1"/>
  <c r="BL58" i="14" s="1"/>
  <c r="BM58" i="14" s="1"/>
  <c r="BN58" i="14" s="1"/>
  <c r="BO58" i="14" s="1"/>
  <c r="BP58" i="14" s="1"/>
  <c r="BQ58" i="14" s="1"/>
  <c r="BR58" i="14" s="1"/>
  <c r="BS58" i="14" s="1"/>
  <c r="BT58" i="14" s="1"/>
  <c r="BU58" i="14" s="1"/>
  <c r="BV58" i="14" s="1"/>
  <c r="BW58" i="14" s="1"/>
  <c r="BX58" i="14" s="1"/>
  <c r="BY58" i="14" s="1"/>
  <c r="BZ58" i="14" s="1"/>
  <c r="CA58" i="14" s="1"/>
  <c r="CB58" i="14" s="1"/>
  <c r="CC58" i="14" s="1"/>
  <c r="CD58" i="14" s="1"/>
  <c r="CE58" i="14" s="1"/>
  <c r="CF58" i="14" s="1"/>
  <c r="CG58" i="14" s="1"/>
  <c r="CH58" i="14" s="1"/>
  <c r="CI58" i="14" s="1"/>
  <c r="CJ58" i="14" s="1"/>
  <c r="CK58" i="14" s="1"/>
  <c r="CL58" i="14" s="1"/>
  <c r="CM58" i="14" s="1"/>
  <c r="CN58" i="14" s="1"/>
  <c r="CO58" i="14" s="1"/>
  <c r="CP58" i="14" s="1"/>
  <c r="CQ58" i="14" s="1"/>
  <c r="CR58" i="14" s="1"/>
  <c r="CS58" i="14" s="1"/>
  <c r="CT58" i="14" s="1"/>
  <c r="CU58" i="14" s="1"/>
  <c r="CV58" i="14" s="1"/>
  <c r="CW58" i="14" s="1"/>
  <c r="CX58" i="14" s="1"/>
  <c r="CY58" i="14" s="1"/>
  <c r="CZ58" i="14" s="1"/>
  <c r="DA58" i="14" s="1"/>
  <c r="DB58" i="14" s="1"/>
  <c r="DC58" i="14" s="1"/>
  <c r="DD58" i="14" s="1"/>
  <c r="DE58" i="14" s="1"/>
  <c r="DF58" i="14" s="1"/>
  <c r="DG58" i="14" s="1"/>
  <c r="DH58" i="14" s="1"/>
  <c r="DI58" i="14" s="1"/>
  <c r="DJ58" i="14" s="1"/>
  <c r="DK58" i="14" s="1"/>
  <c r="DL58" i="14" s="1"/>
  <c r="DM58" i="14" s="1"/>
  <c r="DN58" i="14" s="1"/>
  <c r="DO58" i="14" s="1"/>
  <c r="DP58" i="14" s="1"/>
  <c r="DQ58" i="14" s="1"/>
  <c r="DR58" i="14" s="1"/>
  <c r="A59" i="14"/>
  <c r="B59" i="14" s="1"/>
  <c r="C59" i="14" s="1"/>
  <c r="D59" i="14" s="1"/>
  <c r="E59" i="14" s="1"/>
  <c r="F59" i="14" s="1"/>
  <c r="G59" i="14" s="1"/>
  <c r="H59" i="14" s="1"/>
  <c r="I59" i="14" s="1"/>
  <c r="J59" i="14" s="1"/>
  <c r="K59" i="14" s="1"/>
  <c r="L59" i="14" s="1"/>
  <c r="M59" i="14" s="1"/>
  <c r="N59" i="14" s="1"/>
  <c r="O59" i="14" s="1"/>
  <c r="P59" i="14" s="1"/>
  <c r="Q59" i="14" s="1"/>
  <c r="R59" i="14" s="1"/>
  <c r="S59" i="14" s="1"/>
  <c r="T59" i="14" s="1"/>
  <c r="U59" i="14" s="1"/>
  <c r="V59" i="14" s="1"/>
  <c r="W59" i="14" s="1"/>
  <c r="X59" i="14" s="1"/>
  <c r="Y59" i="14" s="1"/>
  <c r="Z59" i="14" s="1"/>
  <c r="AA59" i="14" s="1"/>
  <c r="AB59" i="14" s="1"/>
  <c r="AC59" i="14" s="1"/>
  <c r="AD59" i="14" s="1"/>
  <c r="AE59" i="14" s="1"/>
  <c r="AF59" i="14" s="1"/>
  <c r="AG59" i="14" s="1"/>
  <c r="AH59" i="14" s="1"/>
  <c r="AI59" i="14" s="1"/>
  <c r="AJ59" i="14" s="1"/>
  <c r="AK59" i="14" s="1"/>
  <c r="AL59" i="14" s="1"/>
  <c r="AM59" i="14" s="1"/>
  <c r="AN59" i="14" s="1"/>
  <c r="AO59" i="14" s="1"/>
  <c r="AP59" i="14" s="1"/>
  <c r="AQ59" i="14" s="1"/>
  <c r="AR59" i="14" s="1"/>
  <c r="AS59" i="14" s="1"/>
  <c r="AT59" i="14" s="1"/>
  <c r="AU59" i="14" s="1"/>
  <c r="AV59" i="14" s="1"/>
  <c r="AW59" i="14" s="1"/>
  <c r="AX59" i="14" s="1"/>
  <c r="AY59" i="14" s="1"/>
  <c r="AZ59" i="14" s="1"/>
  <c r="BA59" i="14" s="1"/>
  <c r="BB59" i="14" s="1"/>
  <c r="BC59" i="14" s="1"/>
  <c r="BD59" i="14" s="1"/>
  <c r="BE59" i="14" s="1"/>
  <c r="BF59" i="14" s="1"/>
  <c r="BG59" i="14" s="1"/>
  <c r="BH59" i="14" s="1"/>
  <c r="BI59" i="14" s="1"/>
  <c r="BJ59" i="14" s="1"/>
  <c r="BK59" i="14" s="1"/>
  <c r="BL59" i="14" s="1"/>
  <c r="BM59" i="14" s="1"/>
  <c r="BN59" i="14" s="1"/>
  <c r="BO59" i="14" s="1"/>
  <c r="BP59" i="14" s="1"/>
  <c r="BQ59" i="14" s="1"/>
  <c r="BR59" i="14" s="1"/>
  <c r="BS59" i="14" s="1"/>
  <c r="BT59" i="14" s="1"/>
  <c r="BU59" i="14" s="1"/>
  <c r="BV59" i="14" s="1"/>
  <c r="BW59" i="14" s="1"/>
  <c r="BX59" i="14" s="1"/>
  <c r="BY59" i="14" s="1"/>
  <c r="BZ59" i="14" s="1"/>
  <c r="CA59" i="14" s="1"/>
  <c r="CB59" i="14" s="1"/>
  <c r="CC59" i="14" s="1"/>
  <c r="CD59" i="14" s="1"/>
  <c r="CE59" i="14" s="1"/>
  <c r="CF59" i="14" s="1"/>
  <c r="CG59" i="14" s="1"/>
  <c r="CH59" i="14" s="1"/>
  <c r="CI59" i="14" s="1"/>
  <c r="CJ59" i="14" s="1"/>
  <c r="CK59" i="14" s="1"/>
  <c r="CL59" i="14" s="1"/>
  <c r="CM59" i="14" s="1"/>
  <c r="CN59" i="14" s="1"/>
  <c r="CO59" i="14" s="1"/>
  <c r="CP59" i="14" s="1"/>
  <c r="CQ59" i="14" s="1"/>
  <c r="CR59" i="14" s="1"/>
  <c r="CS59" i="14" s="1"/>
  <c r="CT59" i="14" s="1"/>
  <c r="CU59" i="14" s="1"/>
  <c r="CV59" i="14" s="1"/>
  <c r="CW59" i="14" s="1"/>
  <c r="CX59" i="14" s="1"/>
  <c r="CY59" i="14" s="1"/>
  <c r="CZ59" i="14" s="1"/>
  <c r="DA59" i="14" s="1"/>
  <c r="DB59" i="14" s="1"/>
  <c r="DC59" i="14" s="1"/>
  <c r="DD59" i="14" s="1"/>
  <c r="DE59" i="14" s="1"/>
  <c r="DF59" i="14" s="1"/>
  <c r="DG59" i="14" s="1"/>
  <c r="DH59" i="14" s="1"/>
  <c r="DI59" i="14" s="1"/>
  <c r="DJ59" i="14" s="1"/>
  <c r="DK59" i="14" s="1"/>
  <c r="DL59" i="14" s="1"/>
  <c r="DM59" i="14" s="1"/>
  <c r="DN59" i="14" s="1"/>
  <c r="DO59" i="14" s="1"/>
  <c r="DP59" i="14" s="1"/>
  <c r="DQ59" i="14" s="1"/>
  <c r="DR59" i="14" s="1"/>
  <c r="A60" i="14"/>
  <c r="B60" i="14" s="1"/>
  <c r="C60" i="14" s="1"/>
  <c r="D60" i="14" s="1"/>
  <c r="E60" i="14" s="1"/>
  <c r="F60" i="14" s="1"/>
  <c r="G60" i="14" s="1"/>
  <c r="H60" i="14" s="1"/>
  <c r="I60" i="14" s="1"/>
  <c r="J60" i="14" s="1"/>
  <c r="K60" i="14" s="1"/>
  <c r="L60" i="14" s="1"/>
  <c r="M60" i="14" s="1"/>
  <c r="N60" i="14" s="1"/>
  <c r="O60" i="14" s="1"/>
  <c r="P60" i="14" s="1"/>
  <c r="Q60" i="14" s="1"/>
  <c r="R60" i="14" s="1"/>
  <c r="S60" i="14" s="1"/>
  <c r="T60" i="14" s="1"/>
  <c r="U60" i="14" s="1"/>
  <c r="V60" i="14" s="1"/>
  <c r="W60" i="14" s="1"/>
  <c r="X60" i="14" s="1"/>
  <c r="Y60" i="14" s="1"/>
  <c r="Z60" i="14" s="1"/>
  <c r="AA60" i="14" s="1"/>
  <c r="AB60" i="14" s="1"/>
  <c r="AC60" i="14" s="1"/>
  <c r="AD60" i="14" s="1"/>
  <c r="AE60" i="14" s="1"/>
  <c r="AF60" i="14" s="1"/>
  <c r="AG60" i="14" s="1"/>
  <c r="AH60" i="14" s="1"/>
  <c r="AI60" i="14" s="1"/>
  <c r="AJ60" i="14" s="1"/>
  <c r="AK60" i="14" s="1"/>
  <c r="AL60" i="14" s="1"/>
  <c r="AM60" i="14" s="1"/>
  <c r="AN60" i="14" s="1"/>
  <c r="AO60" i="14" s="1"/>
  <c r="AP60" i="14" s="1"/>
  <c r="AQ60" i="14" s="1"/>
  <c r="AR60" i="14" s="1"/>
  <c r="AS60" i="14" s="1"/>
  <c r="AT60" i="14" s="1"/>
  <c r="AU60" i="14" s="1"/>
  <c r="AV60" i="14" s="1"/>
  <c r="AW60" i="14" s="1"/>
  <c r="AX60" i="14" s="1"/>
  <c r="AY60" i="14" s="1"/>
  <c r="AZ60" i="14" s="1"/>
  <c r="BA60" i="14" s="1"/>
  <c r="BB60" i="14" s="1"/>
  <c r="BC60" i="14" s="1"/>
  <c r="BD60" i="14" s="1"/>
  <c r="BE60" i="14" s="1"/>
  <c r="BF60" i="14" s="1"/>
  <c r="BG60" i="14" s="1"/>
  <c r="BH60" i="14" s="1"/>
  <c r="BI60" i="14" s="1"/>
  <c r="BJ60" i="14" s="1"/>
  <c r="BK60" i="14" s="1"/>
  <c r="BL60" i="14" s="1"/>
  <c r="BM60" i="14" s="1"/>
  <c r="BN60" i="14" s="1"/>
  <c r="BO60" i="14" s="1"/>
  <c r="BP60" i="14" s="1"/>
  <c r="BQ60" i="14" s="1"/>
  <c r="BR60" i="14" s="1"/>
  <c r="BS60" i="14" s="1"/>
  <c r="BT60" i="14" s="1"/>
  <c r="BU60" i="14" s="1"/>
  <c r="BV60" i="14" s="1"/>
  <c r="BW60" i="14" s="1"/>
  <c r="BX60" i="14" s="1"/>
  <c r="BY60" i="14" s="1"/>
  <c r="BZ60" i="14" s="1"/>
  <c r="CA60" i="14" s="1"/>
  <c r="CB60" i="14" s="1"/>
  <c r="CC60" i="14" s="1"/>
  <c r="CD60" i="14" s="1"/>
  <c r="CE60" i="14" s="1"/>
  <c r="CF60" i="14" s="1"/>
  <c r="CG60" i="14" s="1"/>
  <c r="CH60" i="14" s="1"/>
  <c r="CI60" i="14" s="1"/>
  <c r="CJ60" i="14" s="1"/>
  <c r="CK60" i="14" s="1"/>
  <c r="CL60" i="14" s="1"/>
  <c r="CM60" i="14" s="1"/>
  <c r="CN60" i="14" s="1"/>
  <c r="CO60" i="14" s="1"/>
  <c r="CP60" i="14" s="1"/>
  <c r="CQ60" i="14" s="1"/>
  <c r="CR60" i="14" s="1"/>
  <c r="CS60" i="14" s="1"/>
  <c r="CT60" i="14" s="1"/>
  <c r="CU60" i="14" s="1"/>
  <c r="CV60" i="14" s="1"/>
  <c r="CW60" i="14" s="1"/>
  <c r="CX60" i="14" s="1"/>
  <c r="CY60" i="14" s="1"/>
  <c r="CZ60" i="14" s="1"/>
  <c r="DA60" i="14" s="1"/>
  <c r="DB60" i="14" s="1"/>
  <c r="DC60" i="14" s="1"/>
  <c r="DD60" i="14" s="1"/>
  <c r="DE60" i="14" s="1"/>
  <c r="DF60" i="14" s="1"/>
  <c r="DG60" i="14" s="1"/>
  <c r="DH60" i="14" s="1"/>
  <c r="DI60" i="14" s="1"/>
  <c r="DJ60" i="14" s="1"/>
  <c r="DK60" i="14" s="1"/>
  <c r="DL60" i="14" s="1"/>
  <c r="DM60" i="14" s="1"/>
  <c r="DN60" i="14" s="1"/>
  <c r="DO60" i="14" s="1"/>
  <c r="DP60" i="14" s="1"/>
  <c r="DQ60" i="14" s="1"/>
  <c r="DR60" i="14" s="1"/>
  <c r="A61" i="14"/>
  <c r="B61" i="14" s="1"/>
  <c r="C61" i="14" s="1"/>
  <c r="D61" i="14" s="1"/>
  <c r="E61" i="14" s="1"/>
  <c r="F61" i="14" s="1"/>
  <c r="G61" i="14" s="1"/>
  <c r="H61" i="14" s="1"/>
  <c r="I61" i="14" s="1"/>
  <c r="J61" i="14" s="1"/>
  <c r="K61" i="14" s="1"/>
  <c r="L61" i="14" s="1"/>
  <c r="M61" i="14" s="1"/>
  <c r="N61" i="14" s="1"/>
  <c r="O61" i="14" s="1"/>
  <c r="P61" i="14" s="1"/>
  <c r="Q61" i="14" s="1"/>
  <c r="R61" i="14" s="1"/>
  <c r="S61" i="14" s="1"/>
  <c r="T61" i="14" s="1"/>
  <c r="U61" i="14" s="1"/>
  <c r="V61" i="14" s="1"/>
  <c r="W61" i="14" s="1"/>
  <c r="X61" i="14" s="1"/>
  <c r="Y61" i="14" s="1"/>
  <c r="Z61" i="14" s="1"/>
  <c r="AA61" i="14" s="1"/>
  <c r="AB61" i="14" s="1"/>
  <c r="AC61" i="14" s="1"/>
  <c r="AD61" i="14" s="1"/>
  <c r="AE61" i="14" s="1"/>
  <c r="AF61" i="14" s="1"/>
  <c r="AG61" i="14" s="1"/>
  <c r="AH61" i="14" s="1"/>
  <c r="AI61" i="14" s="1"/>
  <c r="AJ61" i="14" s="1"/>
  <c r="AK61" i="14" s="1"/>
  <c r="AL61" i="14" s="1"/>
  <c r="AM61" i="14" s="1"/>
  <c r="AN61" i="14" s="1"/>
  <c r="AO61" i="14" s="1"/>
  <c r="AP61" i="14" s="1"/>
  <c r="AQ61" i="14" s="1"/>
  <c r="AR61" i="14" s="1"/>
  <c r="AS61" i="14" s="1"/>
  <c r="AT61" i="14" s="1"/>
  <c r="AU61" i="14" s="1"/>
  <c r="AV61" i="14" s="1"/>
  <c r="AW61" i="14" s="1"/>
  <c r="AX61" i="14" s="1"/>
  <c r="AY61" i="14" s="1"/>
  <c r="AZ61" i="14" s="1"/>
  <c r="BA61" i="14" s="1"/>
  <c r="BB61" i="14" s="1"/>
  <c r="BC61" i="14" s="1"/>
  <c r="BD61" i="14" s="1"/>
  <c r="BE61" i="14" s="1"/>
  <c r="BF61" i="14" s="1"/>
  <c r="BG61" i="14" s="1"/>
  <c r="BH61" i="14" s="1"/>
  <c r="BI61" i="14" s="1"/>
  <c r="BJ61" i="14" s="1"/>
  <c r="BK61" i="14" s="1"/>
  <c r="BL61" i="14" s="1"/>
  <c r="BM61" i="14" s="1"/>
  <c r="BN61" i="14" s="1"/>
  <c r="BO61" i="14" s="1"/>
  <c r="BP61" i="14" s="1"/>
  <c r="BQ61" i="14" s="1"/>
  <c r="BR61" i="14" s="1"/>
  <c r="BS61" i="14" s="1"/>
  <c r="BT61" i="14" s="1"/>
  <c r="BU61" i="14" s="1"/>
  <c r="BV61" i="14" s="1"/>
  <c r="BW61" i="14" s="1"/>
  <c r="BX61" i="14" s="1"/>
  <c r="BY61" i="14" s="1"/>
  <c r="BZ61" i="14" s="1"/>
  <c r="CA61" i="14" s="1"/>
  <c r="CB61" i="14" s="1"/>
  <c r="CC61" i="14" s="1"/>
  <c r="CD61" i="14" s="1"/>
  <c r="CE61" i="14" s="1"/>
  <c r="CF61" i="14" s="1"/>
  <c r="CG61" i="14" s="1"/>
  <c r="CH61" i="14" s="1"/>
  <c r="CI61" i="14" s="1"/>
  <c r="CJ61" i="14" s="1"/>
  <c r="CK61" i="14" s="1"/>
  <c r="CL61" i="14" s="1"/>
  <c r="CM61" i="14" s="1"/>
  <c r="CN61" i="14" s="1"/>
  <c r="CO61" i="14" s="1"/>
  <c r="CP61" i="14" s="1"/>
  <c r="CQ61" i="14" s="1"/>
  <c r="CR61" i="14" s="1"/>
  <c r="CS61" i="14" s="1"/>
  <c r="CT61" i="14" s="1"/>
  <c r="CU61" i="14" s="1"/>
  <c r="CV61" i="14" s="1"/>
  <c r="CW61" i="14" s="1"/>
  <c r="CX61" i="14" s="1"/>
  <c r="CY61" i="14" s="1"/>
  <c r="CZ61" i="14" s="1"/>
  <c r="DA61" i="14" s="1"/>
  <c r="DB61" i="14" s="1"/>
  <c r="DC61" i="14" s="1"/>
  <c r="DD61" i="14" s="1"/>
  <c r="DE61" i="14" s="1"/>
  <c r="DF61" i="14" s="1"/>
  <c r="DG61" i="14" s="1"/>
  <c r="DH61" i="14" s="1"/>
  <c r="DI61" i="14" s="1"/>
  <c r="DJ61" i="14" s="1"/>
  <c r="DK61" i="14" s="1"/>
  <c r="DL61" i="14" s="1"/>
  <c r="DM61" i="14" s="1"/>
  <c r="DN61" i="14" s="1"/>
  <c r="DO61" i="14" s="1"/>
  <c r="DP61" i="14" s="1"/>
  <c r="DQ61" i="14" s="1"/>
  <c r="DR61" i="14" s="1"/>
  <c r="A62" i="14"/>
  <c r="B62" i="14" s="1"/>
  <c r="C62" i="14" s="1"/>
  <c r="D62" i="14" s="1"/>
  <c r="E62" i="14" s="1"/>
  <c r="F62" i="14" s="1"/>
  <c r="G62" i="14" s="1"/>
  <c r="H62" i="14" s="1"/>
  <c r="I62" i="14" s="1"/>
  <c r="J62" i="14" s="1"/>
  <c r="K62" i="14" s="1"/>
  <c r="L62" i="14" s="1"/>
  <c r="M62" i="14" s="1"/>
  <c r="N62" i="14" s="1"/>
  <c r="O62" i="14" s="1"/>
  <c r="P62" i="14" s="1"/>
  <c r="Q62" i="14" s="1"/>
  <c r="R62" i="14" s="1"/>
  <c r="S62" i="14" s="1"/>
  <c r="T62" i="14" s="1"/>
  <c r="U62" i="14" s="1"/>
  <c r="V62" i="14" s="1"/>
  <c r="W62" i="14" s="1"/>
  <c r="X62" i="14" s="1"/>
  <c r="Y62" i="14" s="1"/>
  <c r="Z62" i="14" s="1"/>
  <c r="AA62" i="14" s="1"/>
  <c r="AB62" i="14" s="1"/>
  <c r="AC62" i="14" s="1"/>
  <c r="AD62" i="14" s="1"/>
  <c r="AE62" i="14" s="1"/>
  <c r="AF62" i="14" s="1"/>
  <c r="AG62" i="14" s="1"/>
  <c r="AH62" i="14" s="1"/>
  <c r="AI62" i="14" s="1"/>
  <c r="AJ62" i="14" s="1"/>
  <c r="AK62" i="14" s="1"/>
  <c r="AL62" i="14" s="1"/>
  <c r="AM62" i="14" s="1"/>
  <c r="AN62" i="14" s="1"/>
  <c r="AO62" i="14" s="1"/>
  <c r="AP62" i="14" s="1"/>
  <c r="AQ62" i="14" s="1"/>
  <c r="AR62" i="14" s="1"/>
  <c r="AS62" i="14" s="1"/>
  <c r="AT62" i="14" s="1"/>
  <c r="AU62" i="14" s="1"/>
  <c r="AV62" i="14" s="1"/>
  <c r="AW62" i="14" s="1"/>
  <c r="AX62" i="14" s="1"/>
  <c r="AY62" i="14" s="1"/>
  <c r="AZ62" i="14" s="1"/>
  <c r="BA62" i="14" s="1"/>
  <c r="BB62" i="14" s="1"/>
  <c r="BC62" i="14" s="1"/>
  <c r="BD62" i="14" s="1"/>
  <c r="BE62" i="14" s="1"/>
  <c r="BF62" i="14" s="1"/>
  <c r="BG62" i="14" s="1"/>
  <c r="BH62" i="14" s="1"/>
  <c r="BI62" i="14" s="1"/>
  <c r="BJ62" i="14" s="1"/>
  <c r="BK62" i="14" s="1"/>
  <c r="BL62" i="14" s="1"/>
  <c r="BM62" i="14" s="1"/>
  <c r="BN62" i="14" s="1"/>
  <c r="BO62" i="14" s="1"/>
  <c r="BP62" i="14" s="1"/>
  <c r="BQ62" i="14" s="1"/>
  <c r="BR62" i="14" s="1"/>
  <c r="BS62" i="14" s="1"/>
  <c r="BT62" i="14" s="1"/>
  <c r="BU62" i="14" s="1"/>
  <c r="BV62" i="14" s="1"/>
  <c r="BW62" i="14" s="1"/>
  <c r="BX62" i="14" s="1"/>
  <c r="BY62" i="14" s="1"/>
  <c r="BZ62" i="14" s="1"/>
  <c r="CA62" i="14" s="1"/>
  <c r="CB62" i="14" s="1"/>
  <c r="CC62" i="14" s="1"/>
  <c r="CD62" i="14" s="1"/>
  <c r="CE62" i="14" s="1"/>
  <c r="CF62" i="14" s="1"/>
  <c r="CG62" i="14" s="1"/>
  <c r="CH62" i="14" s="1"/>
  <c r="CI62" i="14" s="1"/>
  <c r="CJ62" i="14" s="1"/>
  <c r="CK62" i="14" s="1"/>
  <c r="CL62" i="14" s="1"/>
  <c r="CM62" i="14" s="1"/>
  <c r="CN62" i="14" s="1"/>
  <c r="CO62" i="14" s="1"/>
  <c r="CP62" i="14" s="1"/>
  <c r="CQ62" i="14" s="1"/>
  <c r="CR62" i="14" s="1"/>
  <c r="CS62" i="14" s="1"/>
  <c r="CT62" i="14" s="1"/>
  <c r="CU62" i="14" s="1"/>
  <c r="CV62" i="14" s="1"/>
  <c r="CW62" i="14" s="1"/>
  <c r="CX62" i="14" s="1"/>
  <c r="CY62" i="14" s="1"/>
  <c r="CZ62" i="14" s="1"/>
  <c r="DA62" i="14" s="1"/>
  <c r="DB62" i="14" s="1"/>
  <c r="DC62" i="14" s="1"/>
  <c r="DD62" i="14" s="1"/>
  <c r="DE62" i="14" s="1"/>
  <c r="DF62" i="14" s="1"/>
  <c r="DG62" i="14" s="1"/>
  <c r="DH62" i="14" s="1"/>
  <c r="DI62" i="14" s="1"/>
  <c r="DJ62" i="14" s="1"/>
  <c r="DK62" i="14" s="1"/>
  <c r="DL62" i="14" s="1"/>
  <c r="DM62" i="14" s="1"/>
  <c r="DN62" i="14" s="1"/>
  <c r="DO62" i="14" s="1"/>
  <c r="DP62" i="14" s="1"/>
  <c r="DQ62" i="14" s="1"/>
  <c r="DR62" i="14" s="1"/>
  <c r="A63" i="14"/>
  <c r="B63" i="14" s="1"/>
  <c r="C63" i="14" s="1"/>
  <c r="D63" i="14" s="1"/>
  <c r="E63" i="14" s="1"/>
  <c r="F63" i="14" s="1"/>
  <c r="G63" i="14" s="1"/>
  <c r="H63" i="14" s="1"/>
  <c r="I63" i="14" s="1"/>
  <c r="J63" i="14" s="1"/>
  <c r="K63" i="14" s="1"/>
  <c r="L63" i="14" s="1"/>
  <c r="M63" i="14" s="1"/>
  <c r="N63" i="14" s="1"/>
  <c r="O63" i="14" s="1"/>
  <c r="P63" i="14" s="1"/>
  <c r="Q63" i="14" s="1"/>
  <c r="R63" i="14" s="1"/>
  <c r="S63" i="14" s="1"/>
  <c r="T63" i="14" s="1"/>
  <c r="U63" i="14" s="1"/>
  <c r="V63" i="14" s="1"/>
  <c r="W63" i="14" s="1"/>
  <c r="X63" i="14" s="1"/>
  <c r="Y63" i="14" s="1"/>
  <c r="Z63" i="14" s="1"/>
  <c r="AA63" i="14" s="1"/>
  <c r="AB63" i="14" s="1"/>
  <c r="AC63" i="14" s="1"/>
  <c r="AD63" i="14" s="1"/>
  <c r="AE63" i="14" s="1"/>
  <c r="AF63" i="14" s="1"/>
  <c r="AG63" i="14" s="1"/>
  <c r="AH63" i="14" s="1"/>
  <c r="AI63" i="14" s="1"/>
  <c r="AJ63" i="14" s="1"/>
  <c r="AK63" i="14" s="1"/>
  <c r="AL63" i="14" s="1"/>
  <c r="AM63" i="14" s="1"/>
  <c r="AN63" i="14" s="1"/>
  <c r="AO63" i="14" s="1"/>
  <c r="AP63" i="14" s="1"/>
  <c r="AQ63" i="14" s="1"/>
  <c r="AR63" i="14" s="1"/>
  <c r="AS63" i="14" s="1"/>
  <c r="AT63" i="14" s="1"/>
  <c r="AU63" i="14" s="1"/>
  <c r="AV63" i="14" s="1"/>
  <c r="AW63" i="14" s="1"/>
  <c r="AX63" i="14" s="1"/>
  <c r="AY63" i="14" s="1"/>
  <c r="AZ63" i="14" s="1"/>
  <c r="BA63" i="14" s="1"/>
  <c r="BB63" i="14" s="1"/>
  <c r="BC63" i="14" s="1"/>
  <c r="BD63" i="14" s="1"/>
  <c r="BE63" i="14" s="1"/>
  <c r="BF63" i="14" s="1"/>
  <c r="BG63" i="14" s="1"/>
  <c r="BH63" i="14" s="1"/>
  <c r="BI63" i="14" s="1"/>
  <c r="BJ63" i="14" s="1"/>
  <c r="BK63" i="14" s="1"/>
  <c r="BL63" i="14" s="1"/>
  <c r="BM63" i="14" s="1"/>
  <c r="BN63" i="14" s="1"/>
  <c r="BO63" i="14" s="1"/>
  <c r="BP63" i="14" s="1"/>
  <c r="BQ63" i="14" s="1"/>
  <c r="BR63" i="14" s="1"/>
  <c r="BS63" i="14" s="1"/>
  <c r="BT63" i="14" s="1"/>
  <c r="BU63" i="14" s="1"/>
  <c r="BV63" i="14" s="1"/>
  <c r="BW63" i="14" s="1"/>
  <c r="BX63" i="14" s="1"/>
  <c r="BY63" i="14" s="1"/>
  <c r="BZ63" i="14" s="1"/>
  <c r="CA63" i="14" s="1"/>
  <c r="CB63" i="14" s="1"/>
  <c r="CC63" i="14" s="1"/>
  <c r="CD63" i="14" s="1"/>
  <c r="CE63" i="14" s="1"/>
  <c r="CF63" i="14" s="1"/>
  <c r="CG63" i="14" s="1"/>
  <c r="CH63" i="14" s="1"/>
  <c r="CI63" i="14" s="1"/>
  <c r="CJ63" i="14" s="1"/>
  <c r="CK63" i="14" s="1"/>
  <c r="CL63" i="14" s="1"/>
  <c r="CM63" i="14" s="1"/>
  <c r="CN63" i="14" s="1"/>
  <c r="CO63" i="14" s="1"/>
  <c r="CP63" i="14" s="1"/>
  <c r="CQ63" i="14" s="1"/>
  <c r="CR63" i="14" s="1"/>
  <c r="CS63" i="14" s="1"/>
  <c r="CT63" i="14" s="1"/>
  <c r="CU63" i="14" s="1"/>
  <c r="CV63" i="14" s="1"/>
  <c r="CW63" i="14" s="1"/>
  <c r="CX63" i="14" s="1"/>
  <c r="CY63" i="14" s="1"/>
  <c r="CZ63" i="14" s="1"/>
  <c r="DA63" i="14" s="1"/>
  <c r="DB63" i="14" s="1"/>
  <c r="DC63" i="14" s="1"/>
  <c r="DD63" i="14" s="1"/>
  <c r="DE63" i="14" s="1"/>
  <c r="DF63" i="14" s="1"/>
  <c r="DG63" i="14" s="1"/>
  <c r="DH63" i="14" s="1"/>
  <c r="DI63" i="14" s="1"/>
  <c r="DJ63" i="14" s="1"/>
  <c r="DK63" i="14" s="1"/>
  <c r="DL63" i="14" s="1"/>
  <c r="DM63" i="14" s="1"/>
  <c r="DN63" i="14" s="1"/>
  <c r="DO63" i="14" s="1"/>
  <c r="DP63" i="14" s="1"/>
  <c r="DQ63" i="14" s="1"/>
  <c r="DR63" i="14" s="1"/>
  <c r="A64" i="14"/>
  <c r="B64" i="14" s="1"/>
  <c r="C64" i="14" s="1"/>
  <c r="D64" i="14" s="1"/>
  <c r="E64" i="14" s="1"/>
  <c r="F64" i="14" s="1"/>
  <c r="G64" i="14" s="1"/>
  <c r="H64" i="14" s="1"/>
  <c r="I64" i="14" s="1"/>
  <c r="J64" i="14" s="1"/>
  <c r="K64" i="14" s="1"/>
  <c r="L64" i="14" s="1"/>
  <c r="M64" i="14" s="1"/>
  <c r="N64" i="14" s="1"/>
  <c r="O64" i="14" s="1"/>
  <c r="P64" i="14" s="1"/>
  <c r="Q64" i="14" s="1"/>
  <c r="R64" i="14" s="1"/>
  <c r="S64" i="14" s="1"/>
  <c r="T64" i="14" s="1"/>
  <c r="U64" i="14" s="1"/>
  <c r="V64" i="14" s="1"/>
  <c r="W64" i="14" s="1"/>
  <c r="X64" i="14" s="1"/>
  <c r="Y64" i="14" s="1"/>
  <c r="Z64" i="14" s="1"/>
  <c r="AA64" i="14" s="1"/>
  <c r="AB64" i="14" s="1"/>
  <c r="AC64" i="14" s="1"/>
  <c r="AD64" i="14" s="1"/>
  <c r="AE64" i="14" s="1"/>
  <c r="AF64" i="14" s="1"/>
  <c r="AG64" i="14" s="1"/>
  <c r="AH64" i="14" s="1"/>
  <c r="AI64" i="14" s="1"/>
  <c r="AJ64" i="14" s="1"/>
  <c r="AK64" i="14" s="1"/>
  <c r="AL64" i="14" s="1"/>
  <c r="AM64" i="14" s="1"/>
  <c r="AN64" i="14" s="1"/>
  <c r="AO64" i="14" s="1"/>
  <c r="AP64" i="14" s="1"/>
  <c r="AQ64" i="14" s="1"/>
  <c r="AR64" i="14" s="1"/>
  <c r="AS64" i="14" s="1"/>
  <c r="AT64" i="14" s="1"/>
  <c r="AU64" i="14" s="1"/>
  <c r="AV64" i="14" s="1"/>
  <c r="AW64" i="14" s="1"/>
  <c r="AX64" i="14" s="1"/>
  <c r="AY64" i="14" s="1"/>
  <c r="AZ64" i="14" s="1"/>
  <c r="BA64" i="14" s="1"/>
  <c r="BB64" i="14" s="1"/>
  <c r="BC64" i="14" s="1"/>
  <c r="BD64" i="14" s="1"/>
  <c r="BE64" i="14" s="1"/>
  <c r="BF64" i="14" s="1"/>
  <c r="BG64" i="14" s="1"/>
  <c r="BH64" i="14" s="1"/>
  <c r="BI64" i="14" s="1"/>
  <c r="BJ64" i="14" s="1"/>
  <c r="BK64" i="14" s="1"/>
  <c r="BL64" i="14" s="1"/>
  <c r="BM64" i="14" s="1"/>
  <c r="BN64" i="14" s="1"/>
  <c r="BO64" i="14" s="1"/>
  <c r="BP64" i="14" s="1"/>
  <c r="BQ64" i="14" s="1"/>
  <c r="BR64" i="14" s="1"/>
  <c r="BS64" i="14" s="1"/>
  <c r="BT64" i="14" s="1"/>
  <c r="BU64" i="14" s="1"/>
  <c r="BV64" i="14" s="1"/>
  <c r="BW64" i="14" s="1"/>
  <c r="BX64" i="14" s="1"/>
  <c r="BY64" i="14" s="1"/>
  <c r="BZ64" i="14" s="1"/>
  <c r="CA64" i="14" s="1"/>
  <c r="CB64" i="14" s="1"/>
  <c r="CC64" i="14" s="1"/>
  <c r="CD64" i="14" s="1"/>
  <c r="CE64" i="14" s="1"/>
  <c r="CF64" i="14" s="1"/>
  <c r="CG64" i="14" s="1"/>
  <c r="CH64" i="14" s="1"/>
  <c r="CI64" i="14" s="1"/>
  <c r="CJ64" i="14" s="1"/>
  <c r="CK64" i="14" s="1"/>
  <c r="CL64" i="14" s="1"/>
  <c r="CM64" i="14" s="1"/>
  <c r="CN64" i="14" s="1"/>
  <c r="CO64" i="14" s="1"/>
  <c r="CP64" i="14" s="1"/>
  <c r="CQ64" i="14" s="1"/>
  <c r="CR64" i="14" s="1"/>
  <c r="CS64" i="14" s="1"/>
  <c r="CT64" i="14" s="1"/>
  <c r="CU64" i="14" s="1"/>
  <c r="CV64" i="14" s="1"/>
  <c r="CW64" i="14" s="1"/>
  <c r="CX64" i="14" s="1"/>
  <c r="CY64" i="14" s="1"/>
  <c r="CZ64" i="14" s="1"/>
  <c r="DA64" i="14" s="1"/>
  <c r="DB64" i="14" s="1"/>
  <c r="DC64" i="14" s="1"/>
  <c r="DD64" i="14" s="1"/>
  <c r="DE64" i="14" s="1"/>
  <c r="DF64" i="14" s="1"/>
  <c r="DG64" i="14" s="1"/>
  <c r="DH64" i="14" s="1"/>
  <c r="DI64" i="14" s="1"/>
  <c r="DJ64" i="14" s="1"/>
  <c r="DK64" i="14" s="1"/>
  <c r="DL64" i="14" s="1"/>
  <c r="DM64" i="14" s="1"/>
  <c r="DN64" i="14" s="1"/>
  <c r="DO64" i="14" s="1"/>
  <c r="DP64" i="14" s="1"/>
  <c r="DQ64" i="14" s="1"/>
  <c r="DR64" i="14" s="1"/>
  <c r="A65" i="14"/>
  <c r="B65" i="14" s="1"/>
  <c r="C65" i="14" s="1"/>
  <c r="D65" i="14" s="1"/>
  <c r="E65" i="14" s="1"/>
  <c r="F65" i="14" s="1"/>
  <c r="G65" i="14" s="1"/>
  <c r="H65" i="14" s="1"/>
  <c r="I65" i="14" s="1"/>
  <c r="J65" i="14" s="1"/>
  <c r="K65" i="14" s="1"/>
  <c r="L65" i="14" s="1"/>
  <c r="M65" i="14" s="1"/>
  <c r="N65" i="14" s="1"/>
  <c r="O65" i="14" s="1"/>
  <c r="P65" i="14" s="1"/>
  <c r="Q65" i="14" s="1"/>
  <c r="R65" i="14" s="1"/>
  <c r="S65" i="14" s="1"/>
  <c r="T65" i="14" s="1"/>
  <c r="U65" i="14" s="1"/>
  <c r="V65" i="14" s="1"/>
  <c r="W65" i="14" s="1"/>
  <c r="X65" i="14" s="1"/>
  <c r="Y65" i="14" s="1"/>
  <c r="Z65" i="14" s="1"/>
  <c r="AA65" i="14" s="1"/>
  <c r="AB65" i="14" s="1"/>
  <c r="AC65" i="14" s="1"/>
  <c r="AD65" i="14" s="1"/>
  <c r="AE65" i="14" s="1"/>
  <c r="AF65" i="14" s="1"/>
  <c r="AG65" i="14" s="1"/>
  <c r="AH65" i="14" s="1"/>
  <c r="AI65" i="14" s="1"/>
  <c r="AJ65" i="14" s="1"/>
  <c r="AK65" i="14" s="1"/>
  <c r="AL65" i="14" s="1"/>
  <c r="AM65" i="14" s="1"/>
  <c r="AN65" i="14" s="1"/>
  <c r="AO65" i="14" s="1"/>
  <c r="AP65" i="14" s="1"/>
  <c r="AQ65" i="14" s="1"/>
  <c r="AR65" i="14" s="1"/>
  <c r="AS65" i="14" s="1"/>
  <c r="AT65" i="14" s="1"/>
  <c r="AU65" i="14" s="1"/>
  <c r="AV65" i="14" s="1"/>
  <c r="AW65" i="14" s="1"/>
  <c r="AX65" i="14" s="1"/>
  <c r="AY65" i="14" s="1"/>
  <c r="AZ65" i="14" s="1"/>
  <c r="BA65" i="14" s="1"/>
  <c r="BB65" i="14" s="1"/>
  <c r="BC65" i="14" s="1"/>
  <c r="BD65" i="14" s="1"/>
  <c r="BE65" i="14" s="1"/>
  <c r="BF65" i="14" s="1"/>
  <c r="BG65" i="14" s="1"/>
  <c r="BH65" i="14" s="1"/>
  <c r="BI65" i="14" s="1"/>
  <c r="BJ65" i="14" s="1"/>
  <c r="BK65" i="14" s="1"/>
  <c r="BL65" i="14" s="1"/>
  <c r="BM65" i="14" s="1"/>
  <c r="BN65" i="14" s="1"/>
  <c r="BO65" i="14" s="1"/>
  <c r="BP65" i="14" s="1"/>
  <c r="BQ65" i="14" s="1"/>
  <c r="BR65" i="14" s="1"/>
  <c r="BS65" i="14" s="1"/>
  <c r="BT65" i="14" s="1"/>
  <c r="BU65" i="14" s="1"/>
  <c r="BV65" i="14" s="1"/>
  <c r="BW65" i="14" s="1"/>
  <c r="BX65" i="14" s="1"/>
  <c r="BY65" i="14" s="1"/>
  <c r="BZ65" i="14" s="1"/>
  <c r="CA65" i="14" s="1"/>
  <c r="CB65" i="14" s="1"/>
  <c r="CC65" i="14" s="1"/>
  <c r="CD65" i="14" s="1"/>
  <c r="CE65" i="14" s="1"/>
  <c r="CF65" i="14" s="1"/>
  <c r="CG65" i="14" s="1"/>
  <c r="CH65" i="14" s="1"/>
  <c r="CI65" i="14" s="1"/>
  <c r="CJ65" i="14" s="1"/>
  <c r="CK65" i="14" s="1"/>
  <c r="CL65" i="14" s="1"/>
  <c r="CM65" i="14" s="1"/>
  <c r="CN65" i="14" s="1"/>
  <c r="CO65" i="14" s="1"/>
  <c r="CP65" i="14" s="1"/>
  <c r="CQ65" i="14" s="1"/>
  <c r="CR65" i="14" s="1"/>
  <c r="CS65" i="14" s="1"/>
  <c r="CT65" i="14" s="1"/>
  <c r="CU65" i="14" s="1"/>
  <c r="CV65" i="14" s="1"/>
  <c r="CW65" i="14" s="1"/>
  <c r="CX65" i="14" s="1"/>
  <c r="CY65" i="14" s="1"/>
  <c r="CZ65" i="14" s="1"/>
  <c r="DA65" i="14" s="1"/>
  <c r="DB65" i="14" s="1"/>
  <c r="DC65" i="14" s="1"/>
  <c r="DD65" i="14" s="1"/>
  <c r="DE65" i="14" s="1"/>
  <c r="DF65" i="14" s="1"/>
  <c r="DG65" i="14" s="1"/>
  <c r="DH65" i="14" s="1"/>
  <c r="DI65" i="14" s="1"/>
  <c r="DJ65" i="14" s="1"/>
  <c r="DK65" i="14" s="1"/>
  <c r="DL65" i="14" s="1"/>
  <c r="DM65" i="14" s="1"/>
  <c r="DN65" i="14" s="1"/>
  <c r="DO65" i="14" s="1"/>
  <c r="DP65" i="14" s="1"/>
  <c r="DQ65" i="14" s="1"/>
  <c r="DR65" i="14" s="1"/>
  <c r="A66" i="14"/>
  <c r="B66" i="14" s="1"/>
  <c r="C66" i="14" s="1"/>
  <c r="D66" i="14" s="1"/>
  <c r="E66" i="14" s="1"/>
  <c r="F66" i="14" s="1"/>
  <c r="G66" i="14" s="1"/>
  <c r="H66" i="14" s="1"/>
  <c r="I66" i="14" s="1"/>
  <c r="J66" i="14" s="1"/>
  <c r="K66" i="14" s="1"/>
  <c r="L66" i="14" s="1"/>
  <c r="M66" i="14" s="1"/>
  <c r="N66" i="14" s="1"/>
  <c r="O66" i="14" s="1"/>
  <c r="P66" i="14" s="1"/>
  <c r="Q66" i="14" s="1"/>
  <c r="R66" i="14" s="1"/>
  <c r="S66" i="14" s="1"/>
  <c r="T66" i="14" s="1"/>
  <c r="U66" i="14" s="1"/>
  <c r="V66" i="14" s="1"/>
  <c r="W66" i="14" s="1"/>
  <c r="X66" i="14" s="1"/>
  <c r="Y66" i="14" s="1"/>
  <c r="Z66" i="14" s="1"/>
  <c r="AA66" i="14" s="1"/>
  <c r="AB66" i="14" s="1"/>
  <c r="AC66" i="14" s="1"/>
  <c r="AD66" i="14" s="1"/>
  <c r="AE66" i="14" s="1"/>
  <c r="AF66" i="14" s="1"/>
  <c r="AG66" i="14" s="1"/>
  <c r="AH66" i="14" s="1"/>
  <c r="AI66" i="14" s="1"/>
  <c r="AJ66" i="14" s="1"/>
  <c r="AK66" i="14" s="1"/>
  <c r="AL66" i="14" s="1"/>
  <c r="AM66" i="14" s="1"/>
  <c r="AN66" i="14" s="1"/>
  <c r="AO66" i="14" s="1"/>
  <c r="AP66" i="14" s="1"/>
  <c r="AQ66" i="14" s="1"/>
  <c r="AR66" i="14" s="1"/>
  <c r="AS66" i="14" s="1"/>
  <c r="AT66" i="14" s="1"/>
  <c r="AU66" i="14" s="1"/>
  <c r="AV66" i="14" s="1"/>
  <c r="AW66" i="14" s="1"/>
  <c r="AX66" i="14" s="1"/>
  <c r="AY66" i="14" s="1"/>
  <c r="AZ66" i="14" s="1"/>
  <c r="BA66" i="14" s="1"/>
  <c r="BB66" i="14" s="1"/>
  <c r="BC66" i="14" s="1"/>
  <c r="BD66" i="14" s="1"/>
  <c r="BE66" i="14" s="1"/>
  <c r="BF66" i="14" s="1"/>
  <c r="BG66" i="14" s="1"/>
  <c r="BH66" i="14" s="1"/>
  <c r="BI66" i="14" s="1"/>
  <c r="BJ66" i="14" s="1"/>
  <c r="BK66" i="14" s="1"/>
  <c r="BL66" i="14" s="1"/>
  <c r="BM66" i="14" s="1"/>
  <c r="BN66" i="14" s="1"/>
  <c r="BO66" i="14" s="1"/>
  <c r="BP66" i="14" s="1"/>
  <c r="BQ66" i="14" s="1"/>
  <c r="BR66" i="14" s="1"/>
  <c r="BS66" i="14" s="1"/>
  <c r="BT66" i="14" s="1"/>
  <c r="BU66" i="14" s="1"/>
  <c r="BV66" i="14" s="1"/>
  <c r="BW66" i="14" s="1"/>
  <c r="BX66" i="14" s="1"/>
  <c r="BY66" i="14" s="1"/>
  <c r="BZ66" i="14" s="1"/>
  <c r="CA66" i="14" s="1"/>
  <c r="CB66" i="14" s="1"/>
  <c r="CC66" i="14" s="1"/>
  <c r="CD66" i="14" s="1"/>
  <c r="CE66" i="14" s="1"/>
  <c r="CF66" i="14" s="1"/>
  <c r="CG66" i="14" s="1"/>
  <c r="CH66" i="14" s="1"/>
  <c r="CI66" i="14" s="1"/>
  <c r="CJ66" i="14" s="1"/>
  <c r="CK66" i="14" s="1"/>
  <c r="CL66" i="14" s="1"/>
  <c r="CM66" i="14" s="1"/>
  <c r="CN66" i="14" s="1"/>
  <c r="CO66" i="14" s="1"/>
  <c r="CP66" i="14" s="1"/>
  <c r="CQ66" i="14" s="1"/>
  <c r="CR66" i="14" s="1"/>
  <c r="CS66" i="14" s="1"/>
  <c r="CT66" i="14" s="1"/>
  <c r="CU66" i="14" s="1"/>
  <c r="CV66" i="14" s="1"/>
  <c r="CW66" i="14" s="1"/>
  <c r="CX66" i="14" s="1"/>
  <c r="CY66" i="14" s="1"/>
  <c r="CZ66" i="14" s="1"/>
  <c r="DA66" i="14" s="1"/>
  <c r="DB66" i="14" s="1"/>
  <c r="DC66" i="14" s="1"/>
  <c r="DD66" i="14" s="1"/>
  <c r="DE66" i="14" s="1"/>
  <c r="DF66" i="14" s="1"/>
  <c r="DG66" i="14" s="1"/>
  <c r="DH66" i="14" s="1"/>
  <c r="DI66" i="14" s="1"/>
  <c r="DJ66" i="14" s="1"/>
  <c r="DK66" i="14" s="1"/>
  <c r="DL66" i="14" s="1"/>
  <c r="DM66" i="14" s="1"/>
  <c r="DN66" i="14" s="1"/>
  <c r="DO66" i="14" s="1"/>
  <c r="DP66" i="14" s="1"/>
  <c r="DQ66" i="14" s="1"/>
  <c r="DR66" i="14" s="1"/>
  <c r="A67" i="14"/>
  <c r="B67" i="14" s="1"/>
  <c r="C67" i="14" s="1"/>
  <c r="D67" i="14" s="1"/>
  <c r="E67" i="14" s="1"/>
  <c r="F67" i="14" s="1"/>
  <c r="G67" i="14" s="1"/>
  <c r="H67" i="14" s="1"/>
  <c r="I67" i="14" s="1"/>
  <c r="J67" i="14" s="1"/>
  <c r="K67" i="14" s="1"/>
  <c r="L67" i="14" s="1"/>
  <c r="M67" i="14" s="1"/>
  <c r="N67" i="14" s="1"/>
  <c r="O67" i="14" s="1"/>
  <c r="P67" i="14" s="1"/>
  <c r="Q67" i="14" s="1"/>
  <c r="R67" i="14" s="1"/>
  <c r="S67" i="14" s="1"/>
  <c r="T67" i="14" s="1"/>
  <c r="U67" i="14" s="1"/>
  <c r="V67" i="14" s="1"/>
  <c r="W67" i="14" s="1"/>
  <c r="X67" i="14" s="1"/>
  <c r="Y67" i="14" s="1"/>
  <c r="Z67" i="14" s="1"/>
  <c r="AA67" i="14" s="1"/>
  <c r="AB67" i="14" s="1"/>
  <c r="AC67" i="14" s="1"/>
  <c r="AD67" i="14" s="1"/>
  <c r="AE67" i="14" s="1"/>
  <c r="AF67" i="14" s="1"/>
  <c r="AG67" i="14" s="1"/>
  <c r="AH67" i="14" s="1"/>
  <c r="AI67" i="14" s="1"/>
  <c r="AJ67" i="14" s="1"/>
  <c r="AK67" i="14" s="1"/>
  <c r="AL67" i="14" s="1"/>
  <c r="AM67" i="14" s="1"/>
  <c r="AN67" i="14" s="1"/>
  <c r="AO67" i="14" s="1"/>
  <c r="AP67" i="14" s="1"/>
  <c r="AQ67" i="14" s="1"/>
  <c r="AR67" i="14" s="1"/>
  <c r="AS67" i="14" s="1"/>
  <c r="AT67" i="14" s="1"/>
  <c r="AU67" i="14" s="1"/>
  <c r="AV67" i="14" s="1"/>
  <c r="AW67" i="14" s="1"/>
  <c r="AX67" i="14" s="1"/>
  <c r="AY67" i="14" s="1"/>
  <c r="AZ67" i="14" s="1"/>
  <c r="BA67" i="14" s="1"/>
  <c r="BB67" i="14" s="1"/>
  <c r="BC67" i="14" s="1"/>
  <c r="BD67" i="14" s="1"/>
  <c r="BE67" i="14" s="1"/>
  <c r="BF67" i="14" s="1"/>
  <c r="BG67" i="14" s="1"/>
  <c r="BH67" i="14" s="1"/>
  <c r="BI67" i="14" s="1"/>
  <c r="BJ67" i="14" s="1"/>
  <c r="BK67" i="14" s="1"/>
  <c r="BL67" i="14" s="1"/>
  <c r="BM67" i="14" s="1"/>
  <c r="BN67" i="14" s="1"/>
  <c r="BO67" i="14" s="1"/>
  <c r="BP67" i="14" s="1"/>
  <c r="BQ67" i="14" s="1"/>
  <c r="BR67" i="14" s="1"/>
  <c r="BS67" i="14" s="1"/>
  <c r="BT67" i="14" s="1"/>
  <c r="BU67" i="14" s="1"/>
  <c r="BV67" i="14" s="1"/>
  <c r="BW67" i="14" s="1"/>
  <c r="BX67" i="14" s="1"/>
  <c r="BY67" i="14" s="1"/>
  <c r="BZ67" i="14" s="1"/>
  <c r="CA67" i="14" s="1"/>
  <c r="CB67" i="14" s="1"/>
  <c r="CC67" i="14" s="1"/>
  <c r="CD67" i="14" s="1"/>
  <c r="CE67" i="14" s="1"/>
  <c r="CF67" i="14" s="1"/>
  <c r="CG67" i="14" s="1"/>
  <c r="CH67" i="14" s="1"/>
  <c r="CI67" i="14" s="1"/>
  <c r="CJ67" i="14" s="1"/>
  <c r="CK67" i="14" s="1"/>
  <c r="CL67" i="14" s="1"/>
  <c r="CM67" i="14" s="1"/>
  <c r="CN67" i="14" s="1"/>
  <c r="CO67" i="14" s="1"/>
  <c r="CP67" i="14" s="1"/>
  <c r="CQ67" i="14" s="1"/>
  <c r="CR67" i="14" s="1"/>
  <c r="CS67" i="14" s="1"/>
  <c r="CT67" i="14" s="1"/>
  <c r="CU67" i="14" s="1"/>
  <c r="CV67" i="14" s="1"/>
  <c r="CW67" i="14" s="1"/>
  <c r="CX67" i="14" s="1"/>
  <c r="CY67" i="14" s="1"/>
  <c r="CZ67" i="14" s="1"/>
  <c r="DA67" i="14" s="1"/>
  <c r="DB67" i="14" s="1"/>
  <c r="DC67" i="14" s="1"/>
  <c r="DD67" i="14" s="1"/>
  <c r="DE67" i="14" s="1"/>
  <c r="DF67" i="14" s="1"/>
  <c r="DG67" i="14" s="1"/>
  <c r="DH67" i="14" s="1"/>
  <c r="DI67" i="14" s="1"/>
  <c r="DJ67" i="14" s="1"/>
  <c r="DK67" i="14" s="1"/>
  <c r="DL67" i="14" s="1"/>
  <c r="DM67" i="14" s="1"/>
  <c r="DN67" i="14" s="1"/>
  <c r="DO67" i="14" s="1"/>
  <c r="DP67" i="14" s="1"/>
  <c r="DQ67" i="14" s="1"/>
  <c r="DR67" i="14" s="1"/>
  <c r="A68" i="14"/>
  <c r="B68" i="14" s="1"/>
  <c r="C68" i="14" s="1"/>
  <c r="D68" i="14" s="1"/>
  <c r="E68" i="14" s="1"/>
  <c r="F68" i="14" s="1"/>
  <c r="G68" i="14" s="1"/>
  <c r="H68" i="14" s="1"/>
  <c r="I68" i="14" s="1"/>
  <c r="J68" i="14" s="1"/>
  <c r="K68" i="14" s="1"/>
  <c r="L68" i="14" s="1"/>
  <c r="M68" i="14" s="1"/>
  <c r="N68" i="14" s="1"/>
  <c r="O68" i="14" s="1"/>
  <c r="P68" i="14" s="1"/>
  <c r="Q68" i="14" s="1"/>
  <c r="R68" i="14" s="1"/>
  <c r="S68" i="14" s="1"/>
  <c r="T68" i="14" s="1"/>
  <c r="U68" i="14" s="1"/>
  <c r="V68" i="14" s="1"/>
  <c r="W68" i="14" s="1"/>
  <c r="X68" i="14" s="1"/>
  <c r="Y68" i="14" s="1"/>
  <c r="Z68" i="14" s="1"/>
  <c r="AA68" i="14" s="1"/>
  <c r="AB68" i="14" s="1"/>
  <c r="AC68" i="14" s="1"/>
  <c r="AD68" i="14" s="1"/>
  <c r="AE68" i="14" s="1"/>
  <c r="AF68" i="14" s="1"/>
  <c r="AG68" i="14" s="1"/>
  <c r="AH68" i="14" s="1"/>
  <c r="AI68" i="14" s="1"/>
  <c r="AJ68" i="14" s="1"/>
  <c r="AK68" i="14" s="1"/>
  <c r="AL68" i="14" s="1"/>
  <c r="AM68" i="14" s="1"/>
  <c r="AN68" i="14" s="1"/>
  <c r="AO68" i="14" s="1"/>
  <c r="AP68" i="14" s="1"/>
  <c r="AQ68" i="14" s="1"/>
  <c r="AR68" i="14" s="1"/>
  <c r="AS68" i="14" s="1"/>
  <c r="AT68" i="14" s="1"/>
  <c r="AU68" i="14" s="1"/>
  <c r="AV68" i="14" s="1"/>
  <c r="AW68" i="14" s="1"/>
  <c r="AX68" i="14" s="1"/>
  <c r="AY68" i="14" s="1"/>
  <c r="AZ68" i="14" s="1"/>
  <c r="BA68" i="14" s="1"/>
  <c r="BB68" i="14" s="1"/>
  <c r="BC68" i="14" s="1"/>
  <c r="BD68" i="14" s="1"/>
  <c r="BE68" i="14" s="1"/>
  <c r="BF68" i="14" s="1"/>
  <c r="BG68" i="14" s="1"/>
  <c r="BH68" i="14" s="1"/>
  <c r="BI68" i="14" s="1"/>
  <c r="BJ68" i="14" s="1"/>
  <c r="BK68" i="14" s="1"/>
  <c r="BL68" i="14" s="1"/>
  <c r="BM68" i="14" s="1"/>
  <c r="BN68" i="14" s="1"/>
  <c r="BO68" i="14" s="1"/>
  <c r="BP68" i="14" s="1"/>
  <c r="BQ68" i="14" s="1"/>
  <c r="BR68" i="14" s="1"/>
  <c r="BS68" i="14" s="1"/>
  <c r="BT68" i="14" s="1"/>
  <c r="BU68" i="14" s="1"/>
  <c r="BV68" i="14" s="1"/>
  <c r="BW68" i="14" s="1"/>
  <c r="BX68" i="14" s="1"/>
  <c r="BY68" i="14" s="1"/>
  <c r="BZ68" i="14" s="1"/>
  <c r="CA68" i="14" s="1"/>
  <c r="CB68" i="14" s="1"/>
  <c r="CC68" i="14" s="1"/>
  <c r="CD68" i="14" s="1"/>
  <c r="CE68" i="14" s="1"/>
  <c r="CF68" i="14" s="1"/>
  <c r="CG68" i="14" s="1"/>
  <c r="CH68" i="14" s="1"/>
  <c r="CI68" i="14" s="1"/>
  <c r="CJ68" i="14" s="1"/>
  <c r="CK68" i="14" s="1"/>
  <c r="CL68" i="14" s="1"/>
  <c r="CM68" i="14" s="1"/>
  <c r="CN68" i="14" s="1"/>
  <c r="CO68" i="14" s="1"/>
  <c r="CP68" i="14" s="1"/>
  <c r="CQ68" i="14" s="1"/>
  <c r="CR68" i="14" s="1"/>
  <c r="CS68" i="14" s="1"/>
  <c r="CT68" i="14" s="1"/>
  <c r="CU68" i="14" s="1"/>
  <c r="CV68" i="14" s="1"/>
  <c r="CW68" i="14" s="1"/>
  <c r="CX68" i="14" s="1"/>
  <c r="CY68" i="14" s="1"/>
  <c r="CZ68" i="14" s="1"/>
  <c r="DA68" i="14" s="1"/>
  <c r="DB68" i="14" s="1"/>
  <c r="DC68" i="14" s="1"/>
  <c r="DD68" i="14" s="1"/>
  <c r="DE68" i="14" s="1"/>
  <c r="DF68" i="14" s="1"/>
  <c r="DG68" i="14" s="1"/>
  <c r="DH68" i="14" s="1"/>
  <c r="DI68" i="14" s="1"/>
  <c r="DJ68" i="14" s="1"/>
  <c r="DK68" i="14" s="1"/>
  <c r="DL68" i="14" s="1"/>
  <c r="DM68" i="14" s="1"/>
  <c r="DN68" i="14" s="1"/>
  <c r="DO68" i="14" s="1"/>
  <c r="DP68" i="14" s="1"/>
  <c r="DQ68" i="14" s="1"/>
  <c r="DR68" i="14" s="1"/>
  <c r="A69" i="14"/>
  <c r="B69" i="14" s="1"/>
  <c r="C69" i="14" s="1"/>
  <c r="D69" i="14" s="1"/>
  <c r="E69" i="14" s="1"/>
  <c r="F69" i="14" s="1"/>
  <c r="G69" i="14" s="1"/>
  <c r="H69" i="14" s="1"/>
  <c r="I69" i="14" s="1"/>
  <c r="J69" i="14" s="1"/>
  <c r="K69" i="14" s="1"/>
  <c r="L69" i="14" s="1"/>
  <c r="M69" i="14" s="1"/>
  <c r="N69" i="14" s="1"/>
  <c r="O69" i="14" s="1"/>
  <c r="P69" i="14" s="1"/>
  <c r="Q69" i="14" s="1"/>
  <c r="R69" i="14" s="1"/>
  <c r="S69" i="14" s="1"/>
  <c r="T69" i="14" s="1"/>
  <c r="U69" i="14" s="1"/>
  <c r="V69" i="14" s="1"/>
  <c r="W69" i="14" s="1"/>
  <c r="X69" i="14" s="1"/>
  <c r="Y69" i="14" s="1"/>
  <c r="Z69" i="14" s="1"/>
  <c r="AA69" i="14" s="1"/>
  <c r="AB69" i="14" s="1"/>
  <c r="AC69" i="14" s="1"/>
  <c r="AD69" i="14" s="1"/>
  <c r="AE69" i="14" s="1"/>
  <c r="AF69" i="14" s="1"/>
  <c r="AG69" i="14" s="1"/>
  <c r="AH69" i="14" s="1"/>
  <c r="AI69" i="14" s="1"/>
  <c r="AJ69" i="14" s="1"/>
  <c r="AK69" i="14" s="1"/>
  <c r="AL69" i="14" s="1"/>
  <c r="AM69" i="14" s="1"/>
  <c r="AN69" i="14" s="1"/>
  <c r="AO69" i="14" s="1"/>
  <c r="AP69" i="14" s="1"/>
  <c r="AQ69" i="14" s="1"/>
  <c r="AR69" i="14" s="1"/>
  <c r="AS69" i="14" s="1"/>
  <c r="AT69" i="14" s="1"/>
  <c r="AU69" i="14" s="1"/>
  <c r="AV69" i="14" s="1"/>
  <c r="AW69" i="14" s="1"/>
  <c r="AX69" i="14" s="1"/>
  <c r="AY69" i="14" s="1"/>
  <c r="AZ69" i="14" s="1"/>
  <c r="BA69" i="14" s="1"/>
  <c r="BB69" i="14" s="1"/>
  <c r="BC69" i="14" s="1"/>
  <c r="BD69" i="14" s="1"/>
  <c r="BE69" i="14" s="1"/>
  <c r="BF69" i="14" s="1"/>
  <c r="BG69" i="14" s="1"/>
  <c r="BH69" i="14" s="1"/>
  <c r="BI69" i="14" s="1"/>
  <c r="BJ69" i="14" s="1"/>
  <c r="BK69" i="14" s="1"/>
  <c r="BL69" i="14" s="1"/>
  <c r="BM69" i="14" s="1"/>
  <c r="BN69" i="14" s="1"/>
  <c r="BO69" i="14" s="1"/>
  <c r="BP69" i="14" s="1"/>
  <c r="BQ69" i="14" s="1"/>
  <c r="BR69" i="14" s="1"/>
  <c r="BS69" i="14" s="1"/>
  <c r="BT69" i="14" s="1"/>
  <c r="BU69" i="14" s="1"/>
  <c r="BV69" i="14" s="1"/>
  <c r="BW69" i="14" s="1"/>
  <c r="BX69" i="14" s="1"/>
  <c r="BY69" i="14" s="1"/>
  <c r="BZ69" i="14" s="1"/>
  <c r="CA69" i="14" s="1"/>
  <c r="CB69" i="14" s="1"/>
  <c r="CC69" i="14" s="1"/>
  <c r="CD69" i="14" s="1"/>
  <c r="CE69" i="14" s="1"/>
  <c r="CF69" i="14" s="1"/>
  <c r="CG69" i="14" s="1"/>
  <c r="CH69" i="14" s="1"/>
  <c r="CI69" i="14" s="1"/>
  <c r="CJ69" i="14" s="1"/>
  <c r="CK69" i="14" s="1"/>
  <c r="CL69" i="14" s="1"/>
  <c r="CM69" i="14" s="1"/>
  <c r="CN69" i="14" s="1"/>
  <c r="CO69" i="14" s="1"/>
  <c r="CP69" i="14" s="1"/>
  <c r="CQ69" i="14" s="1"/>
  <c r="CR69" i="14" s="1"/>
  <c r="CS69" i="14" s="1"/>
  <c r="CT69" i="14" s="1"/>
  <c r="CU69" i="14" s="1"/>
  <c r="CV69" i="14" s="1"/>
  <c r="CW69" i="14" s="1"/>
  <c r="CX69" i="14" s="1"/>
  <c r="CY69" i="14" s="1"/>
  <c r="CZ69" i="14" s="1"/>
  <c r="DA69" i="14" s="1"/>
  <c r="DB69" i="14" s="1"/>
  <c r="DC69" i="14" s="1"/>
  <c r="DD69" i="14" s="1"/>
  <c r="DE69" i="14" s="1"/>
  <c r="DF69" i="14" s="1"/>
  <c r="DG69" i="14" s="1"/>
  <c r="DH69" i="14" s="1"/>
  <c r="DI69" i="14" s="1"/>
  <c r="DJ69" i="14" s="1"/>
  <c r="DK69" i="14" s="1"/>
  <c r="DL69" i="14" s="1"/>
  <c r="DM69" i="14" s="1"/>
  <c r="DN69" i="14" s="1"/>
  <c r="DO69" i="14" s="1"/>
  <c r="DP69" i="14" s="1"/>
  <c r="DQ69" i="14" s="1"/>
  <c r="DR69" i="14" s="1"/>
  <c r="A70" i="14"/>
  <c r="B70" i="14" s="1"/>
  <c r="C70" i="14" s="1"/>
  <c r="D70" i="14" s="1"/>
  <c r="E70" i="14" s="1"/>
  <c r="F70" i="14" s="1"/>
  <c r="G70" i="14" s="1"/>
  <c r="H70" i="14" s="1"/>
  <c r="I70" i="14" s="1"/>
  <c r="J70" i="14" s="1"/>
  <c r="K70" i="14" s="1"/>
  <c r="L70" i="14" s="1"/>
  <c r="M70" i="14" s="1"/>
  <c r="N70" i="14" s="1"/>
  <c r="O70" i="14" s="1"/>
  <c r="P70" i="14" s="1"/>
  <c r="Q70" i="14" s="1"/>
  <c r="R70" i="14" s="1"/>
  <c r="S70" i="14" s="1"/>
  <c r="T70" i="14" s="1"/>
  <c r="U70" i="14" s="1"/>
  <c r="V70" i="14" s="1"/>
  <c r="W70" i="14" s="1"/>
  <c r="X70" i="14" s="1"/>
  <c r="Y70" i="14" s="1"/>
  <c r="Z70" i="14" s="1"/>
  <c r="AA70" i="14" s="1"/>
  <c r="AB70" i="14" s="1"/>
  <c r="AC70" i="14" s="1"/>
  <c r="AD70" i="14" s="1"/>
  <c r="AE70" i="14" s="1"/>
  <c r="AF70" i="14" s="1"/>
  <c r="AG70" i="14" s="1"/>
  <c r="AH70" i="14" s="1"/>
  <c r="AI70" i="14" s="1"/>
  <c r="AJ70" i="14" s="1"/>
  <c r="AK70" i="14" s="1"/>
  <c r="AL70" i="14" s="1"/>
  <c r="AM70" i="14" s="1"/>
  <c r="AN70" i="14" s="1"/>
  <c r="AO70" i="14" s="1"/>
  <c r="AP70" i="14" s="1"/>
  <c r="AQ70" i="14" s="1"/>
  <c r="AR70" i="14" s="1"/>
  <c r="AS70" i="14" s="1"/>
  <c r="AT70" i="14" s="1"/>
  <c r="AU70" i="14" s="1"/>
  <c r="AV70" i="14" s="1"/>
  <c r="AW70" i="14" s="1"/>
  <c r="AX70" i="14" s="1"/>
  <c r="AY70" i="14" s="1"/>
  <c r="AZ70" i="14" s="1"/>
  <c r="BA70" i="14" s="1"/>
  <c r="BB70" i="14" s="1"/>
  <c r="BC70" i="14" s="1"/>
  <c r="BD70" i="14" s="1"/>
  <c r="BE70" i="14" s="1"/>
  <c r="BF70" i="14" s="1"/>
  <c r="BG70" i="14" s="1"/>
  <c r="BH70" i="14" s="1"/>
  <c r="BI70" i="14" s="1"/>
  <c r="BJ70" i="14" s="1"/>
  <c r="BK70" i="14" s="1"/>
  <c r="BL70" i="14" s="1"/>
  <c r="BM70" i="14" s="1"/>
  <c r="BN70" i="14" s="1"/>
  <c r="BO70" i="14" s="1"/>
  <c r="BP70" i="14" s="1"/>
  <c r="BQ70" i="14" s="1"/>
  <c r="BR70" i="14" s="1"/>
  <c r="BS70" i="14" s="1"/>
  <c r="BT70" i="14" s="1"/>
  <c r="BU70" i="14" s="1"/>
  <c r="BV70" i="14" s="1"/>
  <c r="BW70" i="14" s="1"/>
  <c r="BX70" i="14" s="1"/>
  <c r="BY70" i="14" s="1"/>
  <c r="BZ70" i="14" s="1"/>
  <c r="CA70" i="14" s="1"/>
  <c r="CB70" i="14" s="1"/>
  <c r="CC70" i="14" s="1"/>
  <c r="CD70" i="14" s="1"/>
  <c r="CE70" i="14" s="1"/>
  <c r="CF70" i="14" s="1"/>
  <c r="CG70" i="14" s="1"/>
  <c r="CH70" i="14" s="1"/>
  <c r="CI70" i="14" s="1"/>
  <c r="CJ70" i="14" s="1"/>
  <c r="CK70" i="14" s="1"/>
  <c r="CL70" i="14" s="1"/>
  <c r="CM70" i="14" s="1"/>
  <c r="CN70" i="14" s="1"/>
  <c r="CO70" i="14" s="1"/>
  <c r="CP70" i="14" s="1"/>
  <c r="CQ70" i="14" s="1"/>
  <c r="CR70" i="14" s="1"/>
  <c r="CS70" i="14" s="1"/>
  <c r="CT70" i="14" s="1"/>
  <c r="CU70" i="14" s="1"/>
  <c r="CV70" i="14" s="1"/>
  <c r="CW70" i="14" s="1"/>
  <c r="CX70" i="14" s="1"/>
  <c r="CY70" i="14" s="1"/>
  <c r="CZ70" i="14" s="1"/>
  <c r="DA70" i="14" s="1"/>
  <c r="DB70" i="14" s="1"/>
  <c r="DC70" i="14" s="1"/>
  <c r="DD70" i="14" s="1"/>
  <c r="DE70" i="14" s="1"/>
  <c r="DF70" i="14" s="1"/>
  <c r="DG70" i="14" s="1"/>
  <c r="DH70" i="14" s="1"/>
  <c r="DI70" i="14" s="1"/>
  <c r="DJ70" i="14" s="1"/>
  <c r="DK70" i="14" s="1"/>
  <c r="DL70" i="14" s="1"/>
  <c r="DM70" i="14" s="1"/>
  <c r="DN70" i="14" s="1"/>
  <c r="DO70" i="14" s="1"/>
  <c r="DP70" i="14" s="1"/>
  <c r="DQ70" i="14" s="1"/>
  <c r="DR70" i="14" s="1"/>
  <c r="A71" i="14"/>
  <c r="A72" i="14"/>
  <c r="B72" i="14" s="1"/>
  <c r="C72" i="14" s="1"/>
  <c r="D72" i="14" s="1"/>
  <c r="E72" i="14" s="1"/>
  <c r="F72" i="14" s="1"/>
  <c r="G72" i="14" s="1"/>
  <c r="H72" i="14" s="1"/>
  <c r="I72" i="14" s="1"/>
  <c r="J72" i="14" s="1"/>
  <c r="K72" i="14" s="1"/>
  <c r="L72" i="14" s="1"/>
  <c r="M72" i="14" s="1"/>
  <c r="N72" i="14" s="1"/>
  <c r="O72" i="14" s="1"/>
  <c r="P72" i="14" s="1"/>
  <c r="Q72" i="14" s="1"/>
  <c r="R72" i="14" s="1"/>
  <c r="S72" i="14" s="1"/>
  <c r="T72" i="14" s="1"/>
  <c r="U72" i="14" s="1"/>
  <c r="V72" i="14" s="1"/>
  <c r="W72" i="14" s="1"/>
  <c r="X72" i="14" s="1"/>
  <c r="Y72" i="14" s="1"/>
  <c r="Z72" i="14" s="1"/>
  <c r="AA72" i="14" s="1"/>
  <c r="AB72" i="14" s="1"/>
  <c r="AC72" i="14" s="1"/>
  <c r="AD72" i="14" s="1"/>
  <c r="AE72" i="14" s="1"/>
  <c r="AF72" i="14" s="1"/>
  <c r="AG72" i="14" s="1"/>
  <c r="AH72" i="14" s="1"/>
  <c r="AI72" i="14" s="1"/>
  <c r="AJ72" i="14" s="1"/>
  <c r="AK72" i="14" s="1"/>
  <c r="AL72" i="14" s="1"/>
  <c r="AM72" i="14" s="1"/>
  <c r="AN72" i="14" s="1"/>
  <c r="AO72" i="14" s="1"/>
  <c r="AP72" i="14" s="1"/>
  <c r="AQ72" i="14" s="1"/>
  <c r="AR72" i="14" s="1"/>
  <c r="AS72" i="14" s="1"/>
  <c r="AT72" i="14" s="1"/>
  <c r="AU72" i="14" s="1"/>
  <c r="AV72" i="14" s="1"/>
  <c r="AW72" i="14" s="1"/>
  <c r="AX72" i="14" s="1"/>
  <c r="AY72" i="14" s="1"/>
  <c r="AZ72" i="14" s="1"/>
  <c r="BA72" i="14" s="1"/>
  <c r="BB72" i="14" s="1"/>
  <c r="BC72" i="14" s="1"/>
  <c r="BD72" i="14" s="1"/>
  <c r="BE72" i="14" s="1"/>
  <c r="BF72" i="14" s="1"/>
  <c r="BG72" i="14" s="1"/>
  <c r="BH72" i="14" s="1"/>
  <c r="BI72" i="14" s="1"/>
  <c r="BJ72" i="14" s="1"/>
  <c r="BK72" i="14" s="1"/>
  <c r="BL72" i="14" s="1"/>
  <c r="BM72" i="14" s="1"/>
  <c r="BN72" i="14" s="1"/>
  <c r="BO72" i="14" s="1"/>
  <c r="BP72" i="14" s="1"/>
  <c r="BQ72" i="14" s="1"/>
  <c r="BR72" i="14" s="1"/>
  <c r="BS72" i="14" s="1"/>
  <c r="BT72" i="14" s="1"/>
  <c r="BU72" i="14" s="1"/>
  <c r="BV72" i="14" s="1"/>
  <c r="BW72" i="14" s="1"/>
  <c r="BX72" i="14" s="1"/>
  <c r="BY72" i="14" s="1"/>
  <c r="BZ72" i="14" s="1"/>
  <c r="CA72" i="14" s="1"/>
  <c r="CB72" i="14" s="1"/>
  <c r="CC72" i="14" s="1"/>
  <c r="CD72" i="14" s="1"/>
  <c r="CE72" i="14" s="1"/>
  <c r="CF72" i="14" s="1"/>
  <c r="CG72" i="14" s="1"/>
  <c r="CH72" i="14" s="1"/>
  <c r="CI72" i="14" s="1"/>
  <c r="CJ72" i="14" s="1"/>
  <c r="CK72" i="14" s="1"/>
  <c r="CL72" i="14" s="1"/>
  <c r="CM72" i="14" s="1"/>
  <c r="CN72" i="14" s="1"/>
  <c r="CO72" i="14" s="1"/>
  <c r="CP72" i="14" s="1"/>
  <c r="CQ72" i="14" s="1"/>
  <c r="CR72" i="14" s="1"/>
  <c r="CS72" i="14" s="1"/>
  <c r="CT72" i="14" s="1"/>
  <c r="CU72" i="14" s="1"/>
  <c r="CV72" i="14" s="1"/>
  <c r="CW72" i="14" s="1"/>
  <c r="CX72" i="14" s="1"/>
  <c r="CY72" i="14" s="1"/>
  <c r="CZ72" i="14" s="1"/>
  <c r="DA72" i="14" s="1"/>
  <c r="DB72" i="14" s="1"/>
  <c r="DC72" i="14" s="1"/>
  <c r="DD72" i="14" s="1"/>
  <c r="DE72" i="14" s="1"/>
  <c r="DF72" i="14" s="1"/>
  <c r="DG72" i="14" s="1"/>
  <c r="DH72" i="14" s="1"/>
  <c r="DI72" i="14" s="1"/>
  <c r="DJ72" i="14" s="1"/>
  <c r="DK72" i="14" s="1"/>
  <c r="DL72" i="14" s="1"/>
  <c r="DM72" i="14" s="1"/>
  <c r="DN72" i="14" s="1"/>
  <c r="DO72" i="14" s="1"/>
  <c r="DP72" i="14" s="1"/>
  <c r="DQ72" i="14" s="1"/>
  <c r="DR72" i="14" s="1"/>
  <c r="A73" i="14"/>
  <c r="B73" i="14" s="1"/>
  <c r="C73" i="14" s="1"/>
  <c r="D73" i="14" s="1"/>
  <c r="E73" i="14" s="1"/>
  <c r="F73" i="14" s="1"/>
  <c r="G73" i="14" s="1"/>
  <c r="H73" i="14" s="1"/>
  <c r="I73" i="14" s="1"/>
  <c r="J73" i="14" s="1"/>
  <c r="K73" i="14" s="1"/>
  <c r="L73" i="14" s="1"/>
  <c r="M73" i="14" s="1"/>
  <c r="N73" i="14" s="1"/>
  <c r="O73" i="14" s="1"/>
  <c r="P73" i="14" s="1"/>
  <c r="Q73" i="14" s="1"/>
  <c r="R73" i="14" s="1"/>
  <c r="S73" i="14" s="1"/>
  <c r="T73" i="14" s="1"/>
  <c r="U73" i="14" s="1"/>
  <c r="V73" i="14" s="1"/>
  <c r="W73" i="14" s="1"/>
  <c r="X73" i="14" s="1"/>
  <c r="Y73" i="14" s="1"/>
  <c r="Z73" i="14" s="1"/>
  <c r="AA73" i="14" s="1"/>
  <c r="AB73" i="14" s="1"/>
  <c r="AC73" i="14" s="1"/>
  <c r="AD73" i="14" s="1"/>
  <c r="AE73" i="14" s="1"/>
  <c r="AF73" i="14" s="1"/>
  <c r="AG73" i="14" s="1"/>
  <c r="AH73" i="14" s="1"/>
  <c r="AI73" i="14" s="1"/>
  <c r="AJ73" i="14" s="1"/>
  <c r="AK73" i="14" s="1"/>
  <c r="AL73" i="14" s="1"/>
  <c r="AM73" i="14" s="1"/>
  <c r="AN73" i="14" s="1"/>
  <c r="AO73" i="14" s="1"/>
  <c r="AP73" i="14" s="1"/>
  <c r="AQ73" i="14" s="1"/>
  <c r="AR73" i="14" s="1"/>
  <c r="AS73" i="14" s="1"/>
  <c r="AT73" i="14" s="1"/>
  <c r="AU73" i="14" s="1"/>
  <c r="AV73" i="14" s="1"/>
  <c r="AW73" i="14" s="1"/>
  <c r="AX73" i="14" s="1"/>
  <c r="AY73" i="14" s="1"/>
  <c r="AZ73" i="14" s="1"/>
  <c r="BA73" i="14" s="1"/>
  <c r="BB73" i="14" s="1"/>
  <c r="BC73" i="14" s="1"/>
  <c r="BD73" i="14" s="1"/>
  <c r="BE73" i="14" s="1"/>
  <c r="BF73" i="14" s="1"/>
  <c r="BG73" i="14" s="1"/>
  <c r="BH73" i="14" s="1"/>
  <c r="BI73" i="14" s="1"/>
  <c r="BJ73" i="14" s="1"/>
  <c r="BK73" i="14" s="1"/>
  <c r="BL73" i="14" s="1"/>
  <c r="BM73" i="14" s="1"/>
  <c r="BN73" i="14" s="1"/>
  <c r="BO73" i="14" s="1"/>
  <c r="BP73" i="14" s="1"/>
  <c r="BQ73" i="14" s="1"/>
  <c r="BR73" i="14" s="1"/>
  <c r="BS73" i="14" s="1"/>
  <c r="BT73" i="14" s="1"/>
  <c r="BU73" i="14" s="1"/>
  <c r="BV73" i="14" s="1"/>
  <c r="BW73" i="14" s="1"/>
  <c r="BX73" i="14" s="1"/>
  <c r="BY73" i="14" s="1"/>
  <c r="BZ73" i="14" s="1"/>
  <c r="CA73" i="14" s="1"/>
  <c r="CB73" i="14" s="1"/>
  <c r="CC73" i="14" s="1"/>
  <c r="CD73" i="14" s="1"/>
  <c r="CE73" i="14" s="1"/>
  <c r="CF73" i="14" s="1"/>
  <c r="CG73" i="14" s="1"/>
  <c r="CH73" i="14" s="1"/>
  <c r="CI73" i="14" s="1"/>
  <c r="CJ73" i="14" s="1"/>
  <c r="CK73" i="14" s="1"/>
  <c r="CL73" i="14" s="1"/>
  <c r="CM73" i="14" s="1"/>
  <c r="CN73" i="14" s="1"/>
  <c r="CO73" i="14" s="1"/>
  <c r="CP73" i="14" s="1"/>
  <c r="CQ73" i="14" s="1"/>
  <c r="CR73" i="14" s="1"/>
  <c r="CS73" i="14" s="1"/>
  <c r="CT73" i="14" s="1"/>
  <c r="CU73" i="14" s="1"/>
  <c r="CV73" i="14" s="1"/>
  <c r="CW73" i="14" s="1"/>
  <c r="CX73" i="14" s="1"/>
  <c r="CY73" i="14" s="1"/>
  <c r="CZ73" i="14" s="1"/>
  <c r="DA73" i="14" s="1"/>
  <c r="DB73" i="14" s="1"/>
  <c r="DC73" i="14" s="1"/>
  <c r="DD73" i="14" s="1"/>
  <c r="DE73" i="14" s="1"/>
  <c r="DF73" i="14" s="1"/>
  <c r="DG73" i="14" s="1"/>
  <c r="DH73" i="14" s="1"/>
  <c r="DI73" i="14" s="1"/>
  <c r="DJ73" i="14" s="1"/>
  <c r="DK73" i="14" s="1"/>
  <c r="DL73" i="14" s="1"/>
  <c r="DM73" i="14" s="1"/>
  <c r="DN73" i="14" s="1"/>
  <c r="DO73" i="14" s="1"/>
  <c r="DP73" i="14" s="1"/>
  <c r="DQ73" i="14" s="1"/>
  <c r="DR73" i="14" s="1"/>
  <c r="A74" i="14"/>
  <c r="B74" i="14" s="1"/>
  <c r="C74" i="14" s="1"/>
  <c r="D74" i="14" s="1"/>
  <c r="E74" i="14" s="1"/>
  <c r="F74" i="14" s="1"/>
  <c r="G74" i="14" s="1"/>
  <c r="H74" i="14" s="1"/>
  <c r="I74" i="14" s="1"/>
  <c r="J74" i="14" s="1"/>
  <c r="K74" i="14" s="1"/>
  <c r="L74" i="14" s="1"/>
  <c r="M74" i="14" s="1"/>
  <c r="N74" i="14" s="1"/>
  <c r="O74" i="14" s="1"/>
  <c r="P74" i="14" s="1"/>
  <c r="Q74" i="14" s="1"/>
  <c r="R74" i="14" s="1"/>
  <c r="S74" i="14" s="1"/>
  <c r="T74" i="14" s="1"/>
  <c r="U74" i="14" s="1"/>
  <c r="V74" i="14" s="1"/>
  <c r="W74" i="14" s="1"/>
  <c r="X74" i="14" s="1"/>
  <c r="Y74" i="14" s="1"/>
  <c r="Z74" i="14" s="1"/>
  <c r="AA74" i="14" s="1"/>
  <c r="AB74" i="14" s="1"/>
  <c r="AC74" i="14" s="1"/>
  <c r="AD74" i="14" s="1"/>
  <c r="AE74" i="14" s="1"/>
  <c r="AF74" i="14" s="1"/>
  <c r="AG74" i="14" s="1"/>
  <c r="AH74" i="14" s="1"/>
  <c r="AI74" i="14" s="1"/>
  <c r="AJ74" i="14" s="1"/>
  <c r="AK74" i="14" s="1"/>
  <c r="AL74" i="14" s="1"/>
  <c r="AM74" i="14" s="1"/>
  <c r="AN74" i="14" s="1"/>
  <c r="AO74" i="14" s="1"/>
  <c r="AP74" i="14" s="1"/>
  <c r="AQ74" i="14" s="1"/>
  <c r="AR74" i="14" s="1"/>
  <c r="AS74" i="14" s="1"/>
  <c r="AT74" i="14" s="1"/>
  <c r="AU74" i="14" s="1"/>
  <c r="AV74" i="14" s="1"/>
  <c r="AW74" i="14" s="1"/>
  <c r="AX74" i="14" s="1"/>
  <c r="AY74" i="14" s="1"/>
  <c r="AZ74" i="14" s="1"/>
  <c r="BA74" i="14" s="1"/>
  <c r="BB74" i="14" s="1"/>
  <c r="BC74" i="14" s="1"/>
  <c r="BD74" i="14" s="1"/>
  <c r="BE74" i="14" s="1"/>
  <c r="BF74" i="14" s="1"/>
  <c r="BG74" i="14" s="1"/>
  <c r="BH74" i="14" s="1"/>
  <c r="BI74" i="14" s="1"/>
  <c r="BJ74" i="14" s="1"/>
  <c r="BK74" i="14" s="1"/>
  <c r="BL74" i="14" s="1"/>
  <c r="BM74" i="14" s="1"/>
  <c r="BN74" i="14" s="1"/>
  <c r="BO74" i="14" s="1"/>
  <c r="BP74" i="14" s="1"/>
  <c r="BQ74" i="14" s="1"/>
  <c r="BR74" i="14" s="1"/>
  <c r="BS74" i="14" s="1"/>
  <c r="BT74" i="14" s="1"/>
  <c r="BU74" i="14" s="1"/>
  <c r="BV74" i="14" s="1"/>
  <c r="BW74" i="14" s="1"/>
  <c r="BX74" i="14" s="1"/>
  <c r="BY74" i="14" s="1"/>
  <c r="BZ74" i="14" s="1"/>
  <c r="CA74" i="14" s="1"/>
  <c r="CB74" i="14" s="1"/>
  <c r="CC74" i="14" s="1"/>
  <c r="CD74" i="14" s="1"/>
  <c r="CE74" i="14" s="1"/>
  <c r="CF74" i="14" s="1"/>
  <c r="CG74" i="14" s="1"/>
  <c r="CH74" i="14" s="1"/>
  <c r="CI74" i="14" s="1"/>
  <c r="CJ74" i="14" s="1"/>
  <c r="CK74" i="14" s="1"/>
  <c r="CL74" i="14" s="1"/>
  <c r="CM74" i="14" s="1"/>
  <c r="CN74" i="14" s="1"/>
  <c r="CO74" i="14" s="1"/>
  <c r="CP74" i="14" s="1"/>
  <c r="CQ74" i="14" s="1"/>
  <c r="CR74" i="14" s="1"/>
  <c r="CS74" i="14" s="1"/>
  <c r="CT74" i="14" s="1"/>
  <c r="CU74" i="14" s="1"/>
  <c r="CV74" i="14" s="1"/>
  <c r="CW74" i="14" s="1"/>
  <c r="CX74" i="14" s="1"/>
  <c r="CY74" i="14" s="1"/>
  <c r="CZ74" i="14" s="1"/>
  <c r="DA74" i="14" s="1"/>
  <c r="DB74" i="14" s="1"/>
  <c r="DC74" i="14" s="1"/>
  <c r="DD74" i="14" s="1"/>
  <c r="DE74" i="14" s="1"/>
  <c r="DF74" i="14" s="1"/>
  <c r="DG74" i="14" s="1"/>
  <c r="DH74" i="14" s="1"/>
  <c r="DI74" i="14" s="1"/>
  <c r="DJ74" i="14" s="1"/>
  <c r="DK74" i="14" s="1"/>
  <c r="DL74" i="14" s="1"/>
  <c r="DM74" i="14" s="1"/>
  <c r="DN74" i="14" s="1"/>
  <c r="DO74" i="14" s="1"/>
  <c r="DP74" i="14" s="1"/>
  <c r="DQ74" i="14" s="1"/>
  <c r="DR74" i="14" s="1"/>
  <c r="A75" i="14"/>
  <c r="B75" i="14" s="1"/>
  <c r="C75" i="14" s="1"/>
  <c r="D75" i="14" s="1"/>
  <c r="E75" i="14" s="1"/>
  <c r="F75" i="14" s="1"/>
  <c r="G75" i="14" s="1"/>
  <c r="H75" i="14" s="1"/>
  <c r="I75" i="14" s="1"/>
  <c r="J75" i="14" s="1"/>
  <c r="K75" i="14" s="1"/>
  <c r="L75" i="14" s="1"/>
  <c r="M75" i="14" s="1"/>
  <c r="N75" i="14" s="1"/>
  <c r="O75" i="14" s="1"/>
  <c r="P75" i="14" s="1"/>
  <c r="Q75" i="14" s="1"/>
  <c r="R75" i="14" s="1"/>
  <c r="S75" i="14" s="1"/>
  <c r="T75" i="14" s="1"/>
  <c r="U75" i="14" s="1"/>
  <c r="V75" i="14" s="1"/>
  <c r="W75" i="14" s="1"/>
  <c r="X75" i="14" s="1"/>
  <c r="Y75" i="14" s="1"/>
  <c r="Z75" i="14" s="1"/>
  <c r="AA75" i="14" s="1"/>
  <c r="AB75" i="14" s="1"/>
  <c r="AC75" i="14" s="1"/>
  <c r="AD75" i="14" s="1"/>
  <c r="AE75" i="14" s="1"/>
  <c r="AF75" i="14" s="1"/>
  <c r="AG75" i="14" s="1"/>
  <c r="AH75" i="14" s="1"/>
  <c r="AI75" i="14" s="1"/>
  <c r="AJ75" i="14" s="1"/>
  <c r="AK75" i="14" s="1"/>
  <c r="AL75" i="14" s="1"/>
  <c r="AM75" i="14" s="1"/>
  <c r="AN75" i="14" s="1"/>
  <c r="AO75" i="14" s="1"/>
  <c r="AP75" i="14" s="1"/>
  <c r="AQ75" i="14" s="1"/>
  <c r="AR75" i="14" s="1"/>
  <c r="AS75" i="14" s="1"/>
  <c r="AT75" i="14" s="1"/>
  <c r="AU75" i="14" s="1"/>
  <c r="AV75" i="14" s="1"/>
  <c r="AW75" i="14" s="1"/>
  <c r="AX75" i="14" s="1"/>
  <c r="AY75" i="14" s="1"/>
  <c r="AZ75" i="14" s="1"/>
  <c r="BA75" i="14" s="1"/>
  <c r="BB75" i="14" s="1"/>
  <c r="BC75" i="14" s="1"/>
  <c r="BD75" i="14" s="1"/>
  <c r="BE75" i="14" s="1"/>
  <c r="BF75" i="14" s="1"/>
  <c r="BG75" i="14" s="1"/>
  <c r="BH75" i="14" s="1"/>
  <c r="BI75" i="14" s="1"/>
  <c r="BJ75" i="14" s="1"/>
  <c r="BK75" i="14" s="1"/>
  <c r="BL75" i="14" s="1"/>
  <c r="BM75" i="14" s="1"/>
  <c r="BN75" i="14" s="1"/>
  <c r="BO75" i="14" s="1"/>
  <c r="BP75" i="14" s="1"/>
  <c r="BQ75" i="14" s="1"/>
  <c r="BR75" i="14" s="1"/>
  <c r="BS75" i="14" s="1"/>
  <c r="BT75" i="14" s="1"/>
  <c r="BU75" i="14" s="1"/>
  <c r="BV75" i="14" s="1"/>
  <c r="BW75" i="14" s="1"/>
  <c r="BX75" i="14" s="1"/>
  <c r="BY75" i="14" s="1"/>
  <c r="BZ75" i="14" s="1"/>
  <c r="CA75" i="14" s="1"/>
  <c r="CB75" i="14" s="1"/>
  <c r="CC75" i="14" s="1"/>
  <c r="CD75" i="14" s="1"/>
  <c r="CE75" i="14" s="1"/>
  <c r="CF75" i="14" s="1"/>
  <c r="CG75" i="14" s="1"/>
  <c r="CH75" i="14" s="1"/>
  <c r="CI75" i="14" s="1"/>
  <c r="CJ75" i="14" s="1"/>
  <c r="CK75" i="14" s="1"/>
  <c r="CL75" i="14" s="1"/>
  <c r="CM75" i="14" s="1"/>
  <c r="CN75" i="14" s="1"/>
  <c r="CO75" i="14" s="1"/>
  <c r="CP75" i="14" s="1"/>
  <c r="CQ75" i="14" s="1"/>
  <c r="CR75" i="14" s="1"/>
  <c r="CS75" i="14" s="1"/>
  <c r="CT75" i="14" s="1"/>
  <c r="CU75" i="14" s="1"/>
  <c r="CV75" i="14" s="1"/>
  <c r="CW75" i="14" s="1"/>
  <c r="CX75" i="14" s="1"/>
  <c r="CY75" i="14" s="1"/>
  <c r="CZ75" i="14" s="1"/>
  <c r="DA75" i="14" s="1"/>
  <c r="DB75" i="14" s="1"/>
  <c r="DC75" i="14" s="1"/>
  <c r="DD75" i="14" s="1"/>
  <c r="DE75" i="14" s="1"/>
  <c r="DF75" i="14" s="1"/>
  <c r="DG75" i="14" s="1"/>
  <c r="DH75" i="14" s="1"/>
  <c r="DI75" i="14" s="1"/>
  <c r="DJ75" i="14" s="1"/>
  <c r="DK75" i="14" s="1"/>
  <c r="DL75" i="14" s="1"/>
  <c r="DM75" i="14" s="1"/>
  <c r="DN75" i="14" s="1"/>
  <c r="DO75" i="14" s="1"/>
  <c r="DP75" i="14" s="1"/>
  <c r="DQ75" i="14" s="1"/>
  <c r="DR75" i="14" s="1"/>
  <c r="A76" i="14"/>
  <c r="B76" i="14" s="1"/>
  <c r="C76" i="14" s="1"/>
  <c r="D76" i="14" s="1"/>
  <c r="E76" i="14" s="1"/>
  <c r="F76" i="14" s="1"/>
  <c r="G76" i="14" s="1"/>
  <c r="H76" i="14" s="1"/>
  <c r="I76" i="14" s="1"/>
  <c r="J76" i="14" s="1"/>
  <c r="K76" i="14" s="1"/>
  <c r="L76" i="14" s="1"/>
  <c r="M76" i="14" s="1"/>
  <c r="N76" i="14" s="1"/>
  <c r="O76" i="14" s="1"/>
  <c r="P76" i="14" s="1"/>
  <c r="Q76" i="14" s="1"/>
  <c r="R76" i="14" s="1"/>
  <c r="S76" i="14" s="1"/>
  <c r="T76" i="14" s="1"/>
  <c r="U76" i="14" s="1"/>
  <c r="V76" i="14" s="1"/>
  <c r="W76" i="14" s="1"/>
  <c r="X76" i="14" s="1"/>
  <c r="Y76" i="14" s="1"/>
  <c r="Z76" i="14" s="1"/>
  <c r="AA76" i="14" s="1"/>
  <c r="AB76" i="14" s="1"/>
  <c r="AC76" i="14" s="1"/>
  <c r="AD76" i="14" s="1"/>
  <c r="AE76" i="14" s="1"/>
  <c r="AF76" i="14" s="1"/>
  <c r="AG76" i="14" s="1"/>
  <c r="AH76" i="14" s="1"/>
  <c r="AI76" i="14" s="1"/>
  <c r="AJ76" i="14" s="1"/>
  <c r="AK76" i="14" s="1"/>
  <c r="AL76" i="14" s="1"/>
  <c r="AM76" i="14" s="1"/>
  <c r="AN76" i="14" s="1"/>
  <c r="AO76" i="14" s="1"/>
  <c r="AP76" i="14" s="1"/>
  <c r="AQ76" i="14" s="1"/>
  <c r="AR76" i="14" s="1"/>
  <c r="AS76" i="14" s="1"/>
  <c r="AT76" i="14" s="1"/>
  <c r="AU76" i="14" s="1"/>
  <c r="AV76" i="14" s="1"/>
  <c r="AW76" i="14" s="1"/>
  <c r="AX76" i="14" s="1"/>
  <c r="AY76" i="14" s="1"/>
  <c r="AZ76" i="14" s="1"/>
  <c r="BA76" i="14" s="1"/>
  <c r="BB76" i="14" s="1"/>
  <c r="BC76" i="14" s="1"/>
  <c r="BD76" i="14" s="1"/>
  <c r="BE76" i="14" s="1"/>
  <c r="BF76" i="14" s="1"/>
  <c r="BG76" i="14" s="1"/>
  <c r="BH76" i="14" s="1"/>
  <c r="BI76" i="14" s="1"/>
  <c r="BJ76" i="14" s="1"/>
  <c r="BK76" i="14" s="1"/>
  <c r="BL76" i="14" s="1"/>
  <c r="BM76" i="14" s="1"/>
  <c r="BN76" i="14" s="1"/>
  <c r="BO76" i="14" s="1"/>
  <c r="BP76" i="14" s="1"/>
  <c r="BQ76" i="14" s="1"/>
  <c r="BR76" i="14" s="1"/>
  <c r="BS76" i="14" s="1"/>
  <c r="BT76" i="14" s="1"/>
  <c r="BU76" i="14" s="1"/>
  <c r="BV76" i="14" s="1"/>
  <c r="BW76" i="14" s="1"/>
  <c r="BX76" i="14" s="1"/>
  <c r="BY76" i="14" s="1"/>
  <c r="BZ76" i="14" s="1"/>
  <c r="CA76" i="14" s="1"/>
  <c r="CB76" i="14" s="1"/>
  <c r="CC76" i="14" s="1"/>
  <c r="CD76" i="14" s="1"/>
  <c r="CE76" i="14" s="1"/>
  <c r="CF76" i="14" s="1"/>
  <c r="CG76" i="14" s="1"/>
  <c r="CH76" i="14" s="1"/>
  <c r="CI76" i="14" s="1"/>
  <c r="CJ76" i="14" s="1"/>
  <c r="CK76" i="14" s="1"/>
  <c r="CL76" i="14" s="1"/>
  <c r="CM76" i="14" s="1"/>
  <c r="CN76" i="14" s="1"/>
  <c r="CO76" i="14" s="1"/>
  <c r="CP76" i="14" s="1"/>
  <c r="CQ76" i="14" s="1"/>
  <c r="CR76" i="14" s="1"/>
  <c r="CS76" i="14" s="1"/>
  <c r="CT76" i="14" s="1"/>
  <c r="CU76" i="14" s="1"/>
  <c r="CV76" i="14" s="1"/>
  <c r="CW76" i="14" s="1"/>
  <c r="CX76" i="14" s="1"/>
  <c r="CY76" i="14" s="1"/>
  <c r="CZ76" i="14" s="1"/>
  <c r="DA76" i="14" s="1"/>
  <c r="DB76" i="14" s="1"/>
  <c r="DC76" i="14" s="1"/>
  <c r="DD76" i="14" s="1"/>
  <c r="DE76" i="14" s="1"/>
  <c r="DF76" i="14" s="1"/>
  <c r="DG76" i="14" s="1"/>
  <c r="DH76" i="14" s="1"/>
  <c r="DI76" i="14" s="1"/>
  <c r="DJ76" i="14" s="1"/>
  <c r="DK76" i="14" s="1"/>
  <c r="DL76" i="14" s="1"/>
  <c r="DM76" i="14" s="1"/>
  <c r="DN76" i="14" s="1"/>
  <c r="DO76" i="14" s="1"/>
  <c r="DP76" i="14" s="1"/>
  <c r="DQ76" i="14" s="1"/>
  <c r="DR76" i="14" s="1"/>
  <c r="A77" i="14"/>
  <c r="B77" i="14" s="1"/>
  <c r="C77" i="14" s="1"/>
  <c r="D77" i="14" s="1"/>
  <c r="E77" i="14" s="1"/>
  <c r="F77" i="14" s="1"/>
  <c r="G77" i="14" s="1"/>
  <c r="H77" i="14" s="1"/>
  <c r="I77" i="14" s="1"/>
  <c r="J77" i="14" s="1"/>
  <c r="K77" i="14" s="1"/>
  <c r="L77" i="14" s="1"/>
  <c r="M77" i="14" s="1"/>
  <c r="N77" i="14" s="1"/>
  <c r="O77" i="14" s="1"/>
  <c r="P77" i="14" s="1"/>
  <c r="Q77" i="14" s="1"/>
  <c r="R77" i="14" s="1"/>
  <c r="S77" i="14" s="1"/>
  <c r="T77" i="14" s="1"/>
  <c r="U77" i="14" s="1"/>
  <c r="V77" i="14" s="1"/>
  <c r="W77" i="14" s="1"/>
  <c r="X77" i="14" s="1"/>
  <c r="Y77" i="14" s="1"/>
  <c r="Z77" i="14" s="1"/>
  <c r="AA77" i="14" s="1"/>
  <c r="AB77" i="14" s="1"/>
  <c r="AC77" i="14" s="1"/>
  <c r="AD77" i="14" s="1"/>
  <c r="AE77" i="14" s="1"/>
  <c r="AF77" i="14" s="1"/>
  <c r="AG77" i="14" s="1"/>
  <c r="AH77" i="14" s="1"/>
  <c r="AI77" i="14" s="1"/>
  <c r="AJ77" i="14" s="1"/>
  <c r="AK77" i="14" s="1"/>
  <c r="AL77" i="14" s="1"/>
  <c r="AM77" i="14" s="1"/>
  <c r="AN77" i="14" s="1"/>
  <c r="AO77" i="14" s="1"/>
  <c r="AP77" i="14" s="1"/>
  <c r="AQ77" i="14" s="1"/>
  <c r="AR77" i="14" s="1"/>
  <c r="AS77" i="14" s="1"/>
  <c r="AT77" i="14" s="1"/>
  <c r="AU77" i="14" s="1"/>
  <c r="AV77" i="14" s="1"/>
  <c r="AW77" i="14" s="1"/>
  <c r="AX77" i="14" s="1"/>
  <c r="AY77" i="14" s="1"/>
  <c r="AZ77" i="14" s="1"/>
  <c r="BA77" i="14" s="1"/>
  <c r="BB77" i="14" s="1"/>
  <c r="BC77" i="14" s="1"/>
  <c r="BD77" i="14" s="1"/>
  <c r="BE77" i="14" s="1"/>
  <c r="BF77" i="14" s="1"/>
  <c r="BG77" i="14" s="1"/>
  <c r="BH77" i="14" s="1"/>
  <c r="BI77" i="14" s="1"/>
  <c r="BJ77" i="14" s="1"/>
  <c r="BK77" i="14" s="1"/>
  <c r="BL77" i="14" s="1"/>
  <c r="BM77" i="14" s="1"/>
  <c r="BN77" i="14" s="1"/>
  <c r="BO77" i="14" s="1"/>
  <c r="BP77" i="14" s="1"/>
  <c r="BQ77" i="14" s="1"/>
  <c r="BR77" i="14" s="1"/>
  <c r="BS77" i="14" s="1"/>
  <c r="BT77" i="14" s="1"/>
  <c r="BU77" i="14" s="1"/>
  <c r="BV77" i="14" s="1"/>
  <c r="BW77" i="14" s="1"/>
  <c r="BX77" i="14" s="1"/>
  <c r="BY77" i="14" s="1"/>
  <c r="BZ77" i="14" s="1"/>
  <c r="CA77" i="14" s="1"/>
  <c r="CB77" i="14" s="1"/>
  <c r="CC77" i="14" s="1"/>
  <c r="CD77" i="14" s="1"/>
  <c r="CE77" i="14" s="1"/>
  <c r="CF77" i="14" s="1"/>
  <c r="CG77" i="14" s="1"/>
  <c r="CH77" i="14" s="1"/>
  <c r="CI77" i="14" s="1"/>
  <c r="CJ77" i="14" s="1"/>
  <c r="CK77" i="14" s="1"/>
  <c r="CL77" i="14" s="1"/>
  <c r="CM77" i="14" s="1"/>
  <c r="CN77" i="14" s="1"/>
  <c r="CO77" i="14" s="1"/>
  <c r="CP77" i="14" s="1"/>
  <c r="CQ77" i="14" s="1"/>
  <c r="CR77" i="14" s="1"/>
  <c r="CS77" i="14" s="1"/>
  <c r="CT77" i="14" s="1"/>
  <c r="CU77" i="14" s="1"/>
  <c r="CV77" i="14" s="1"/>
  <c r="CW77" i="14" s="1"/>
  <c r="CX77" i="14" s="1"/>
  <c r="CY77" i="14" s="1"/>
  <c r="CZ77" i="14" s="1"/>
  <c r="DA77" i="14" s="1"/>
  <c r="DB77" i="14" s="1"/>
  <c r="DC77" i="14" s="1"/>
  <c r="DD77" i="14" s="1"/>
  <c r="DE77" i="14" s="1"/>
  <c r="DF77" i="14" s="1"/>
  <c r="DG77" i="14" s="1"/>
  <c r="DH77" i="14" s="1"/>
  <c r="DI77" i="14" s="1"/>
  <c r="DJ77" i="14" s="1"/>
  <c r="DK77" i="14" s="1"/>
  <c r="DL77" i="14" s="1"/>
  <c r="DM77" i="14" s="1"/>
  <c r="DN77" i="14" s="1"/>
  <c r="DO77" i="14" s="1"/>
  <c r="DP77" i="14" s="1"/>
  <c r="DQ77" i="14" s="1"/>
  <c r="DR77" i="14" s="1"/>
  <c r="A78" i="14"/>
  <c r="B78" i="14" s="1"/>
  <c r="C78" i="14" s="1"/>
  <c r="D78" i="14" s="1"/>
  <c r="E78" i="14" s="1"/>
  <c r="F78" i="14" s="1"/>
  <c r="G78" i="14" s="1"/>
  <c r="H78" i="14" s="1"/>
  <c r="I78" i="14" s="1"/>
  <c r="J78" i="14" s="1"/>
  <c r="K78" i="14" s="1"/>
  <c r="L78" i="14" s="1"/>
  <c r="M78" i="14" s="1"/>
  <c r="N78" i="14" s="1"/>
  <c r="O78" i="14" s="1"/>
  <c r="P78" i="14" s="1"/>
  <c r="Q78" i="14" s="1"/>
  <c r="R78" i="14" s="1"/>
  <c r="S78" i="14" s="1"/>
  <c r="T78" i="14" s="1"/>
  <c r="U78" i="14" s="1"/>
  <c r="V78" i="14" s="1"/>
  <c r="W78" i="14" s="1"/>
  <c r="X78" i="14" s="1"/>
  <c r="Y78" i="14" s="1"/>
  <c r="Z78" i="14" s="1"/>
  <c r="AA78" i="14" s="1"/>
  <c r="AB78" i="14" s="1"/>
  <c r="AC78" i="14" s="1"/>
  <c r="AD78" i="14" s="1"/>
  <c r="AE78" i="14" s="1"/>
  <c r="AF78" i="14" s="1"/>
  <c r="AG78" i="14" s="1"/>
  <c r="AH78" i="14" s="1"/>
  <c r="AI78" i="14" s="1"/>
  <c r="AJ78" i="14" s="1"/>
  <c r="AK78" i="14" s="1"/>
  <c r="AL78" i="14" s="1"/>
  <c r="AM78" i="14" s="1"/>
  <c r="AN78" i="14" s="1"/>
  <c r="AO78" i="14" s="1"/>
  <c r="AP78" i="14" s="1"/>
  <c r="AQ78" i="14" s="1"/>
  <c r="AR78" i="14" s="1"/>
  <c r="AS78" i="14" s="1"/>
  <c r="AT78" i="14" s="1"/>
  <c r="AU78" i="14" s="1"/>
  <c r="AV78" i="14" s="1"/>
  <c r="AW78" i="14" s="1"/>
  <c r="AX78" i="14" s="1"/>
  <c r="AY78" i="14" s="1"/>
  <c r="AZ78" i="14" s="1"/>
  <c r="BA78" i="14" s="1"/>
  <c r="BB78" i="14" s="1"/>
  <c r="BC78" i="14" s="1"/>
  <c r="BD78" i="14" s="1"/>
  <c r="BE78" i="14" s="1"/>
  <c r="BF78" i="14" s="1"/>
  <c r="BG78" i="14" s="1"/>
  <c r="BH78" i="14" s="1"/>
  <c r="BI78" i="14" s="1"/>
  <c r="BJ78" i="14" s="1"/>
  <c r="BK78" i="14" s="1"/>
  <c r="BL78" i="14" s="1"/>
  <c r="BM78" i="14" s="1"/>
  <c r="BN78" i="14" s="1"/>
  <c r="BO78" i="14" s="1"/>
  <c r="BP78" i="14" s="1"/>
  <c r="BQ78" i="14" s="1"/>
  <c r="BR78" i="14" s="1"/>
  <c r="BS78" i="14" s="1"/>
  <c r="BT78" i="14" s="1"/>
  <c r="BU78" i="14" s="1"/>
  <c r="BV78" i="14" s="1"/>
  <c r="BW78" i="14" s="1"/>
  <c r="BX78" i="14" s="1"/>
  <c r="BY78" i="14" s="1"/>
  <c r="BZ78" i="14" s="1"/>
  <c r="CA78" i="14" s="1"/>
  <c r="CB78" i="14" s="1"/>
  <c r="CC78" i="14" s="1"/>
  <c r="CD78" i="14" s="1"/>
  <c r="CE78" i="14" s="1"/>
  <c r="CF78" i="14" s="1"/>
  <c r="CG78" i="14" s="1"/>
  <c r="CH78" i="14" s="1"/>
  <c r="CI78" i="14" s="1"/>
  <c r="CJ78" i="14" s="1"/>
  <c r="CK78" i="14" s="1"/>
  <c r="CL78" i="14" s="1"/>
  <c r="CM78" i="14" s="1"/>
  <c r="CN78" i="14" s="1"/>
  <c r="CO78" i="14" s="1"/>
  <c r="CP78" i="14" s="1"/>
  <c r="CQ78" i="14" s="1"/>
  <c r="CR78" i="14" s="1"/>
  <c r="CS78" i="14" s="1"/>
  <c r="CT78" i="14" s="1"/>
  <c r="CU78" i="14" s="1"/>
  <c r="CV78" i="14" s="1"/>
  <c r="CW78" i="14" s="1"/>
  <c r="CX78" i="14" s="1"/>
  <c r="CY78" i="14" s="1"/>
  <c r="CZ78" i="14" s="1"/>
  <c r="DA78" i="14" s="1"/>
  <c r="DB78" i="14" s="1"/>
  <c r="DC78" i="14" s="1"/>
  <c r="DD78" i="14" s="1"/>
  <c r="DE78" i="14" s="1"/>
  <c r="DF78" i="14" s="1"/>
  <c r="DG78" i="14" s="1"/>
  <c r="DH78" i="14" s="1"/>
  <c r="DI78" i="14" s="1"/>
  <c r="DJ78" i="14" s="1"/>
  <c r="DK78" i="14" s="1"/>
  <c r="DL78" i="14" s="1"/>
  <c r="DM78" i="14" s="1"/>
  <c r="DN78" i="14" s="1"/>
  <c r="DO78" i="14" s="1"/>
  <c r="DP78" i="14" s="1"/>
  <c r="DQ78" i="14" s="1"/>
  <c r="DR78" i="14" s="1"/>
  <c r="A79" i="14"/>
  <c r="A80" i="14"/>
  <c r="B80" i="14" s="1"/>
  <c r="C80" i="14" s="1"/>
  <c r="D80" i="14" s="1"/>
  <c r="E80" i="14" s="1"/>
  <c r="F80" i="14" s="1"/>
  <c r="G80" i="14" s="1"/>
  <c r="H80" i="14" s="1"/>
  <c r="I80" i="14" s="1"/>
  <c r="J80" i="14" s="1"/>
  <c r="K80" i="14" s="1"/>
  <c r="L80" i="14" s="1"/>
  <c r="M80" i="14" s="1"/>
  <c r="N80" i="14" s="1"/>
  <c r="O80" i="14" s="1"/>
  <c r="P80" i="14" s="1"/>
  <c r="Q80" i="14" s="1"/>
  <c r="R80" i="14" s="1"/>
  <c r="S80" i="14" s="1"/>
  <c r="T80" i="14" s="1"/>
  <c r="U80" i="14" s="1"/>
  <c r="V80" i="14" s="1"/>
  <c r="W80" i="14" s="1"/>
  <c r="X80" i="14" s="1"/>
  <c r="Y80" i="14" s="1"/>
  <c r="Z80" i="14" s="1"/>
  <c r="AA80" i="14" s="1"/>
  <c r="AB80" i="14" s="1"/>
  <c r="AC80" i="14" s="1"/>
  <c r="AD80" i="14" s="1"/>
  <c r="AE80" i="14" s="1"/>
  <c r="AF80" i="14" s="1"/>
  <c r="AG80" i="14" s="1"/>
  <c r="AH80" i="14" s="1"/>
  <c r="AI80" i="14" s="1"/>
  <c r="AJ80" i="14" s="1"/>
  <c r="AK80" i="14" s="1"/>
  <c r="AL80" i="14" s="1"/>
  <c r="AM80" i="14" s="1"/>
  <c r="AN80" i="14" s="1"/>
  <c r="AO80" i="14" s="1"/>
  <c r="AP80" i="14" s="1"/>
  <c r="AQ80" i="14" s="1"/>
  <c r="AR80" i="14" s="1"/>
  <c r="AS80" i="14" s="1"/>
  <c r="AT80" i="14" s="1"/>
  <c r="AU80" i="14" s="1"/>
  <c r="AV80" i="14" s="1"/>
  <c r="AW80" i="14" s="1"/>
  <c r="AX80" i="14" s="1"/>
  <c r="AY80" i="14" s="1"/>
  <c r="AZ80" i="14" s="1"/>
  <c r="BA80" i="14" s="1"/>
  <c r="BB80" i="14" s="1"/>
  <c r="BC80" i="14" s="1"/>
  <c r="BD80" i="14" s="1"/>
  <c r="BE80" i="14" s="1"/>
  <c r="BF80" i="14" s="1"/>
  <c r="BG80" i="14" s="1"/>
  <c r="BH80" i="14" s="1"/>
  <c r="BI80" i="14" s="1"/>
  <c r="BJ80" i="14" s="1"/>
  <c r="BK80" i="14" s="1"/>
  <c r="BL80" i="14" s="1"/>
  <c r="BM80" i="14" s="1"/>
  <c r="BN80" i="14" s="1"/>
  <c r="BO80" i="14" s="1"/>
  <c r="BP80" i="14" s="1"/>
  <c r="BQ80" i="14" s="1"/>
  <c r="BR80" i="14" s="1"/>
  <c r="BS80" i="14" s="1"/>
  <c r="BT80" i="14" s="1"/>
  <c r="BU80" i="14" s="1"/>
  <c r="BV80" i="14" s="1"/>
  <c r="BW80" i="14" s="1"/>
  <c r="BX80" i="14" s="1"/>
  <c r="BY80" i="14" s="1"/>
  <c r="BZ80" i="14" s="1"/>
  <c r="CA80" i="14" s="1"/>
  <c r="CB80" i="14" s="1"/>
  <c r="CC80" i="14" s="1"/>
  <c r="CD80" i="14" s="1"/>
  <c r="CE80" i="14" s="1"/>
  <c r="CF80" i="14" s="1"/>
  <c r="CG80" i="14" s="1"/>
  <c r="CH80" i="14" s="1"/>
  <c r="CI80" i="14" s="1"/>
  <c r="CJ80" i="14" s="1"/>
  <c r="CK80" i="14" s="1"/>
  <c r="CL80" i="14" s="1"/>
  <c r="CM80" i="14" s="1"/>
  <c r="CN80" i="14" s="1"/>
  <c r="CO80" i="14" s="1"/>
  <c r="CP80" i="14" s="1"/>
  <c r="CQ80" i="14" s="1"/>
  <c r="CR80" i="14" s="1"/>
  <c r="CS80" i="14" s="1"/>
  <c r="CT80" i="14" s="1"/>
  <c r="CU80" i="14" s="1"/>
  <c r="CV80" i="14" s="1"/>
  <c r="CW80" i="14" s="1"/>
  <c r="CX80" i="14" s="1"/>
  <c r="CY80" i="14" s="1"/>
  <c r="CZ80" i="14" s="1"/>
  <c r="DA80" i="14" s="1"/>
  <c r="DB80" i="14" s="1"/>
  <c r="DC80" i="14" s="1"/>
  <c r="DD80" i="14" s="1"/>
  <c r="DE80" i="14" s="1"/>
  <c r="DF80" i="14" s="1"/>
  <c r="DG80" i="14" s="1"/>
  <c r="DH80" i="14" s="1"/>
  <c r="DI80" i="14" s="1"/>
  <c r="DJ80" i="14" s="1"/>
  <c r="DK80" i="14" s="1"/>
  <c r="DL80" i="14" s="1"/>
  <c r="DM80" i="14" s="1"/>
  <c r="DN80" i="14" s="1"/>
  <c r="DO80" i="14" s="1"/>
  <c r="DP80" i="14" s="1"/>
  <c r="DQ80" i="14" s="1"/>
  <c r="DR80" i="14" s="1"/>
  <c r="A81" i="14"/>
  <c r="B81" i="14" s="1"/>
  <c r="C81" i="14" s="1"/>
  <c r="D81" i="14" s="1"/>
  <c r="E81" i="14" s="1"/>
  <c r="F81" i="14" s="1"/>
  <c r="G81" i="14" s="1"/>
  <c r="H81" i="14" s="1"/>
  <c r="I81" i="14" s="1"/>
  <c r="J81" i="14" s="1"/>
  <c r="K81" i="14" s="1"/>
  <c r="L81" i="14" s="1"/>
  <c r="M81" i="14" s="1"/>
  <c r="N81" i="14" s="1"/>
  <c r="O81" i="14" s="1"/>
  <c r="P81" i="14" s="1"/>
  <c r="Q81" i="14" s="1"/>
  <c r="R81" i="14" s="1"/>
  <c r="S81" i="14" s="1"/>
  <c r="T81" i="14" s="1"/>
  <c r="U81" i="14" s="1"/>
  <c r="V81" i="14" s="1"/>
  <c r="W81" i="14" s="1"/>
  <c r="X81" i="14" s="1"/>
  <c r="Y81" i="14" s="1"/>
  <c r="Z81" i="14" s="1"/>
  <c r="AA81" i="14" s="1"/>
  <c r="AB81" i="14" s="1"/>
  <c r="AC81" i="14" s="1"/>
  <c r="AD81" i="14" s="1"/>
  <c r="AE81" i="14" s="1"/>
  <c r="AF81" i="14" s="1"/>
  <c r="AG81" i="14" s="1"/>
  <c r="AH81" i="14" s="1"/>
  <c r="AI81" i="14" s="1"/>
  <c r="AJ81" i="14" s="1"/>
  <c r="AK81" i="14" s="1"/>
  <c r="AL81" i="14" s="1"/>
  <c r="AM81" i="14" s="1"/>
  <c r="AN81" i="14" s="1"/>
  <c r="AO81" i="14" s="1"/>
  <c r="AP81" i="14" s="1"/>
  <c r="AQ81" i="14" s="1"/>
  <c r="AR81" i="14" s="1"/>
  <c r="AS81" i="14" s="1"/>
  <c r="AT81" i="14" s="1"/>
  <c r="AU81" i="14" s="1"/>
  <c r="AV81" i="14" s="1"/>
  <c r="AW81" i="14" s="1"/>
  <c r="AX81" i="14" s="1"/>
  <c r="AY81" i="14" s="1"/>
  <c r="AZ81" i="14" s="1"/>
  <c r="BA81" i="14" s="1"/>
  <c r="BB81" i="14" s="1"/>
  <c r="BC81" i="14" s="1"/>
  <c r="BD81" i="14" s="1"/>
  <c r="BE81" i="14" s="1"/>
  <c r="BF81" i="14" s="1"/>
  <c r="BG81" i="14" s="1"/>
  <c r="BH81" i="14" s="1"/>
  <c r="BI81" i="14" s="1"/>
  <c r="BJ81" i="14" s="1"/>
  <c r="BK81" i="14" s="1"/>
  <c r="BL81" i="14" s="1"/>
  <c r="BM81" i="14" s="1"/>
  <c r="BN81" i="14" s="1"/>
  <c r="BO81" i="14" s="1"/>
  <c r="BP81" i="14" s="1"/>
  <c r="BQ81" i="14" s="1"/>
  <c r="BR81" i="14" s="1"/>
  <c r="BS81" i="14" s="1"/>
  <c r="BT81" i="14" s="1"/>
  <c r="BU81" i="14" s="1"/>
  <c r="BV81" i="14" s="1"/>
  <c r="BW81" i="14" s="1"/>
  <c r="BX81" i="14" s="1"/>
  <c r="BY81" i="14" s="1"/>
  <c r="BZ81" i="14" s="1"/>
  <c r="CA81" i="14" s="1"/>
  <c r="CB81" i="14" s="1"/>
  <c r="CC81" i="14" s="1"/>
  <c r="CD81" i="14" s="1"/>
  <c r="CE81" i="14" s="1"/>
  <c r="CF81" i="14" s="1"/>
  <c r="CG81" i="14" s="1"/>
  <c r="CH81" i="14" s="1"/>
  <c r="CI81" i="14" s="1"/>
  <c r="CJ81" i="14" s="1"/>
  <c r="CK81" i="14" s="1"/>
  <c r="CL81" i="14" s="1"/>
  <c r="CM81" i="14" s="1"/>
  <c r="CN81" i="14" s="1"/>
  <c r="CO81" i="14" s="1"/>
  <c r="CP81" i="14" s="1"/>
  <c r="CQ81" i="14" s="1"/>
  <c r="CR81" i="14" s="1"/>
  <c r="CS81" i="14" s="1"/>
  <c r="CT81" i="14" s="1"/>
  <c r="CU81" i="14" s="1"/>
  <c r="CV81" i="14" s="1"/>
  <c r="CW81" i="14" s="1"/>
  <c r="CX81" i="14" s="1"/>
  <c r="CY81" i="14" s="1"/>
  <c r="CZ81" i="14" s="1"/>
  <c r="DA81" i="14" s="1"/>
  <c r="DB81" i="14" s="1"/>
  <c r="DC81" i="14" s="1"/>
  <c r="DD81" i="14" s="1"/>
  <c r="DE81" i="14" s="1"/>
  <c r="DF81" i="14" s="1"/>
  <c r="DG81" i="14" s="1"/>
  <c r="DH81" i="14" s="1"/>
  <c r="DI81" i="14" s="1"/>
  <c r="DJ81" i="14" s="1"/>
  <c r="DK81" i="14" s="1"/>
  <c r="DL81" i="14" s="1"/>
  <c r="DM81" i="14" s="1"/>
  <c r="DN81" i="14" s="1"/>
  <c r="DO81" i="14" s="1"/>
  <c r="DP81" i="14" s="1"/>
  <c r="DQ81" i="14" s="1"/>
  <c r="DR81" i="14" s="1"/>
  <c r="A82" i="14"/>
  <c r="B82" i="14" s="1"/>
  <c r="C82" i="14" s="1"/>
  <c r="D82" i="14" s="1"/>
  <c r="E82" i="14" s="1"/>
  <c r="F82" i="14" s="1"/>
  <c r="G82" i="14" s="1"/>
  <c r="H82" i="14" s="1"/>
  <c r="I82" i="14" s="1"/>
  <c r="J82" i="14" s="1"/>
  <c r="K82" i="14" s="1"/>
  <c r="L82" i="14" s="1"/>
  <c r="M82" i="14" s="1"/>
  <c r="N82" i="14" s="1"/>
  <c r="O82" i="14" s="1"/>
  <c r="P82" i="14" s="1"/>
  <c r="Q82" i="14" s="1"/>
  <c r="R82" i="14" s="1"/>
  <c r="S82" i="14" s="1"/>
  <c r="T82" i="14" s="1"/>
  <c r="U82" i="14" s="1"/>
  <c r="V82" i="14" s="1"/>
  <c r="W82" i="14" s="1"/>
  <c r="X82" i="14" s="1"/>
  <c r="Y82" i="14" s="1"/>
  <c r="Z82" i="14" s="1"/>
  <c r="AA82" i="14" s="1"/>
  <c r="AB82" i="14" s="1"/>
  <c r="AC82" i="14" s="1"/>
  <c r="AD82" i="14" s="1"/>
  <c r="AE82" i="14" s="1"/>
  <c r="AF82" i="14" s="1"/>
  <c r="AG82" i="14" s="1"/>
  <c r="AH82" i="14" s="1"/>
  <c r="AI82" i="14" s="1"/>
  <c r="AJ82" i="14" s="1"/>
  <c r="AK82" i="14" s="1"/>
  <c r="AL82" i="14" s="1"/>
  <c r="AM82" i="14" s="1"/>
  <c r="AN82" i="14" s="1"/>
  <c r="AO82" i="14" s="1"/>
  <c r="AP82" i="14" s="1"/>
  <c r="AQ82" i="14" s="1"/>
  <c r="AR82" i="14" s="1"/>
  <c r="AS82" i="14" s="1"/>
  <c r="AT82" i="14" s="1"/>
  <c r="AU82" i="14" s="1"/>
  <c r="AV82" i="14" s="1"/>
  <c r="AW82" i="14" s="1"/>
  <c r="AX82" i="14" s="1"/>
  <c r="AY82" i="14" s="1"/>
  <c r="AZ82" i="14" s="1"/>
  <c r="BA82" i="14" s="1"/>
  <c r="BB82" i="14" s="1"/>
  <c r="BC82" i="14" s="1"/>
  <c r="BD82" i="14" s="1"/>
  <c r="BE82" i="14" s="1"/>
  <c r="BF82" i="14" s="1"/>
  <c r="BG82" i="14" s="1"/>
  <c r="BH82" i="14" s="1"/>
  <c r="BI82" i="14" s="1"/>
  <c r="BJ82" i="14" s="1"/>
  <c r="BK82" i="14" s="1"/>
  <c r="BL82" i="14" s="1"/>
  <c r="BM82" i="14" s="1"/>
  <c r="BN82" i="14" s="1"/>
  <c r="BO82" i="14" s="1"/>
  <c r="BP82" i="14" s="1"/>
  <c r="BQ82" i="14" s="1"/>
  <c r="BR82" i="14" s="1"/>
  <c r="BS82" i="14" s="1"/>
  <c r="BT82" i="14" s="1"/>
  <c r="BU82" i="14" s="1"/>
  <c r="BV82" i="14" s="1"/>
  <c r="BW82" i="14" s="1"/>
  <c r="BX82" i="14" s="1"/>
  <c r="BY82" i="14" s="1"/>
  <c r="BZ82" i="14" s="1"/>
  <c r="CA82" i="14" s="1"/>
  <c r="CB82" i="14" s="1"/>
  <c r="CC82" i="14" s="1"/>
  <c r="CD82" i="14" s="1"/>
  <c r="CE82" i="14" s="1"/>
  <c r="CF82" i="14" s="1"/>
  <c r="CG82" i="14" s="1"/>
  <c r="CH82" i="14" s="1"/>
  <c r="CI82" i="14" s="1"/>
  <c r="CJ82" i="14" s="1"/>
  <c r="CK82" i="14" s="1"/>
  <c r="CL82" i="14" s="1"/>
  <c r="CM82" i="14" s="1"/>
  <c r="CN82" i="14" s="1"/>
  <c r="CO82" i="14" s="1"/>
  <c r="CP82" i="14" s="1"/>
  <c r="CQ82" i="14" s="1"/>
  <c r="CR82" i="14" s="1"/>
  <c r="CS82" i="14" s="1"/>
  <c r="CT82" i="14" s="1"/>
  <c r="CU82" i="14" s="1"/>
  <c r="CV82" i="14" s="1"/>
  <c r="CW82" i="14" s="1"/>
  <c r="CX82" i="14" s="1"/>
  <c r="CY82" i="14" s="1"/>
  <c r="CZ82" i="14" s="1"/>
  <c r="DA82" i="14" s="1"/>
  <c r="DB82" i="14" s="1"/>
  <c r="DC82" i="14" s="1"/>
  <c r="DD82" i="14" s="1"/>
  <c r="DE82" i="14" s="1"/>
  <c r="DF82" i="14" s="1"/>
  <c r="DG82" i="14" s="1"/>
  <c r="DH82" i="14" s="1"/>
  <c r="DI82" i="14" s="1"/>
  <c r="DJ82" i="14" s="1"/>
  <c r="DK82" i="14" s="1"/>
  <c r="DL82" i="14" s="1"/>
  <c r="DM82" i="14" s="1"/>
  <c r="DN82" i="14" s="1"/>
  <c r="DO82" i="14" s="1"/>
  <c r="DP82" i="14" s="1"/>
  <c r="DQ82" i="14" s="1"/>
  <c r="DR82" i="14" s="1"/>
  <c r="A83" i="14"/>
  <c r="B83" i="14" s="1"/>
  <c r="C83" i="14" s="1"/>
  <c r="D83" i="14" s="1"/>
  <c r="E83" i="14" s="1"/>
  <c r="F83" i="14" s="1"/>
  <c r="G83" i="14" s="1"/>
  <c r="H83" i="14" s="1"/>
  <c r="I83" i="14" s="1"/>
  <c r="J83" i="14" s="1"/>
  <c r="K83" i="14" s="1"/>
  <c r="L83" i="14" s="1"/>
  <c r="M83" i="14" s="1"/>
  <c r="N83" i="14" s="1"/>
  <c r="O83" i="14" s="1"/>
  <c r="P83" i="14" s="1"/>
  <c r="Q83" i="14" s="1"/>
  <c r="R83" i="14" s="1"/>
  <c r="S83" i="14" s="1"/>
  <c r="T83" i="14" s="1"/>
  <c r="U83" i="14" s="1"/>
  <c r="V83" i="14" s="1"/>
  <c r="W83" i="14" s="1"/>
  <c r="X83" i="14" s="1"/>
  <c r="Y83" i="14" s="1"/>
  <c r="Z83" i="14" s="1"/>
  <c r="AA83" i="14" s="1"/>
  <c r="AB83" i="14" s="1"/>
  <c r="AC83" i="14" s="1"/>
  <c r="AD83" i="14" s="1"/>
  <c r="AE83" i="14" s="1"/>
  <c r="AF83" i="14" s="1"/>
  <c r="AG83" i="14" s="1"/>
  <c r="AH83" i="14" s="1"/>
  <c r="AI83" i="14" s="1"/>
  <c r="AJ83" i="14" s="1"/>
  <c r="AK83" i="14" s="1"/>
  <c r="AL83" i="14" s="1"/>
  <c r="AM83" i="14" s="1"/>
  <c r="AN83" i="14" s="1"/>
  <c r="AO83" i="14" s="1"/>
  <c r="AP83" i="14" s="1"/>
  <c r="AQ83" i="14" s="1"/>
  <c r="AR83" i="14" s="1"/>
  <c r="AS83" i="14" s="1"/>
  <c r="AT83" i="14" s="1"/>
  <c r="AU83" i="14" s="1"/>
  <c r="AV83" i="14" s="1"/>
  <c r="AW83" i="14" s="1"/>
  <c r="AX83" i="14" s="1"/>
  <c r="AY83" i="14" s="1"/>
  <c r="AZ83" i="14" s="1"/>
  <c r="BA83" i="14" s="1"/>
  <c r="BB83" i="14" s="1"/>
  <c r="BC83" i="14" s="1"/>
  <c r="BD83" i="14" s="1"/>
  <c r="BE83" i="14" s="1"/>
  <c r="BF83" i="14" s="1"/>
  <c r="BG83" i="14" s="1"/>
  <c r="BH83" i="14" s="1"/>
  <c r="BI83" i="14" s="1"/>
  <c r="BJ83" i="14" s="1"/>
  <c r="BK83" i="14" s="1"/>
  <c r="BL83" i="14" s="1"/>
  <c r="BM83" i="14" s="1"/>
  <c r="BN83" i="14" s="1"/>
  <c r="BO83" i="14" s="1"/>
  <c r="BP83" i="14" s="1"/>
  <c r="BQ83" i="14" s="1"/>
  <c r="BR83" i="14" s="1"/>
  <c r="BS83" i="14" s="1"/>
  <c r="BT83" i="14" s="1"/>
  <c r="BU83" i="14" s="1"/>
  <c r="BV83" i="14" s="1"/>
  <c r="BW83" i="14" s="1"/>
  <c r="BX83" i="14" s="1"/>
  <c r="BY83" i="14" s="1"/>
  <c r="BZ83" i="14" s="1"/>
  <c r="CA83" i="14" s="1"/>
  <c r="CB83" i="14" s="1"/>
  <c r="CC83" i="14" s="1"/>
  <c r="CD83" i="14" s="1"/>
  <c r="CE83" i="14" s="1"/>
  <c r="CF83" i="14" s="1"/>
  <c r="CG83" i="14" s="1"/>
  <c r="CH83" i="14" s="1"/>
  <c r="CI83" i="14" s="1"/>
  <c r="CJ83" i="14" s="1"/>
  <c r="CK83" i="14" s="1"/>
  <c r="CL83" i="14" s="1"/>
  <c r="CM83" i="14" s="1"/>
  <c r="CN83" i="14" s="1"/>
  <c r="CO83" i="14" s="1"/>
  <c r="CP83" i="14" s="1"/>
  <c r="CQ83" i="14" s="1"/>
  <c r="CR83" i="14" s="1"/>
  <c r="CS83" i="14" s="1"/>
  <c r="CT83" i="14" s="1"/>
  <c r="CU83" i="14" s="1"/>
  <c r="CV83" i="14" s="1"/>
  <c r="CW83" i="14" s="1"/>
  <c r="CX83" i="14" s="1"/>
  <c r="CY83" i="14" s="1"/>
  <c r="CZ83" i="14" s="1"/>
  <c r="DA83" i="14" s="1"/>
  <c r="DB83" i="14" s="1"/>
  <c r="DC83" i="14" s="1"/>
  <c r="DD83" i="14" s="1"/>
  <c r="DE83" i="14" s="1"/>
  <c r="DF83" i="14" s="1"/>
  <c r="DG83" i="14" s="1"/>
  <c r="DH83" i="14" s="1"/>
  <c r="DI83" i="14" s="1"/>
  <c r="DJ83" i="14" s="1"/>
  <c r="DK83" i="14" s="1"/>
  <c r="DL83" i="14" s="1"/>
  <c r="DM83" i="14" s="1"/>
  <c r="DN83" i="14" s="1"/>
  <c r="DO83" i="14" s="1"/>
  <c r="DP83" i="14" s="1"/>
  <c r="DQ83" i="14" s="1"/>
  <c r="DR83" i="14" s="1"/>
  <c r="A84" i="14"/>
  <c r="B84" i="14" s="1"/>
  <c r="C84" i="14" s="1"/>
  <c r="D84" i="14" s="1"/>
  <c r="E84" i="14" s="1"/>
  <c r="F84" i="14" s="1"/>
  <c r="G84" i="14" s="1"/>
  <c r="H84" i="14" s="1"/>
  <c r="I84" i="14" s="1"/>
  <c r="J84" i="14" s="1"/>
  <c r="K84" i="14" s="1"/>
  <c r="L84" i="14" s="1"/>
  <c r="M84" i="14" s="1"/>
  <c r="N84" i="14" s="1"/>
  <c r="O84" i="14" s="1"/>
  <c r="P84" i="14" s="1"/>
  <c r="Q84" i="14" s="1"/>
  <c r="R84" i="14" s="1"/>
  <c r="S84" i="14" s="1"/>
  <c r="T84" i="14" s="1"/>
  <c r="U84" i="14" s="1"/>
  <c r="V84" i="14" s="1"/>
  <c r="W84" i="14" s="1"/>
  <c r="X84" i="14" s="1"/>
  <c r="Y84" i="14" s="1"/>
  <c r="Z84" i="14" s="1"/>
  <c r="AA84" i="14" s="1"/>
  <c r="AB84" i="14" s="1"/>
  <c r="AC84" i="14" s="1"/>
  <c r="AD84" i="14" s="1"/>
  <c r="AE84" i="14" s="1"/>
  <c r="AF84" i="14" s="1"/>
  <c r="AG84" i="14" s="1"/>
  <c r="AH84" i="14" s="1"/>
  <c r="AI84" i="14" s="1"/>
  <c r="AJ84" i="14" s="1"/>
  <c r="AK84" i="14" s="1"/>
  <c r="AL84" i="14" s="1"/>
  <c r="AM84" i="14" s="1"/>
  <c r="AN84" i="14" s="1"/>
  <c r="AO84" i="14" s="1"/>
  <c r="AP84" i="14" s="1"/>
  <c r="AQ84" i="14" s="1"/>
  <c r="AR84" i="14" s="1"/>
  <c r="AS84" i="14" s="1"/>
  <c r="AT84" i="14" s="1"/>
  <c r="AU84" i="14" s="1"/>
  <c r="AV84" i="14" s="1"/>
  <c r="AW84" i="14" s="1"/>
  <c r="AX84" i="14" s="1"/>
  <c r="AY84" i="14" s="1"/>
  <c r="AZ84" i="14" s="1"/>
  <c r="BA84" i="14" s="1"/>
  <c r="BB84" i="14" s="1"/>
  <c r="BC84" i="14" s="1"/>
  <c r="BD84" i="14" s="1"/>
  <c r="BE84" i="14" s="1"/>
  <c r="BF84" i="14" s="1"/>
  <c r="BG84" i="14" s="1"/>
  <c r="BH84" i="14" s="1"/>
  <c r="BI84" i="14" s="1"/>
  <c r="BJ84" i="14" s="1"/>
  <c r="BK84" i="14" s="1"/>
  <c r="BL84" i="14" s="1"/>
  <c r="BM84" i="14" s="1"/>
  <c r="BN84" i="14" s="1"/>
  <c r="BO84" i="14" s="1"/>
  <c r="BP84" i="14" s="1"/>
  <c r="BQ84" i="14" s="1"/>
  <c r="BR84" i="14" s="1"/>
  <c r="BS84" i="14" s="1"/>
  <c r="BT84" i="14" s="1"/>
  <c r="BU84" i="14" s="1"/>
  <c r="BV84" i="14" s="1"/>
  <c r="BW84" i="14" s="1"/>
  <c r="BX84" i="14" s="1"/>
  <c r="BY84" i="14" s="1"/>
  <c r="BZ84" i="14" s="1"/>
  <c r="CA84" i="14" s="1"/>
  <c r="CB84" i="14" s="1"/>
  <c r="CC84" i="14" s="1"/>
  <c r="CD84" i="14" s="1"/>
  <c r="CE84" i="14" s="1"/>
  <c r="CF84" i="14" s="1"/>
  <c r="CG84" i="14" s="1"/>
  <c r="CH84" i="14" s="1"/>
  <c r="CI84" i="14" s="1"/>
  <c r="CJ84" i="14" s="1"/>
  <c r="CK84" i="14" s="1"/>
  <c r="CL84" i="14" s="1"/>
  <c r="CM84" i="14" s="1"/>
  <c r="CN84" i="14" s="1"/>
  <c r="CO84" i="14" s="1"/>
  <c r="CP84" i="14" s="1"/>
  <c r="CQ84" i="14" s="1"/>
  <c r="CR84" i="14" s="1"/>
  <c r="CS84" i="14" s="1"/>
  <c r="CT84" i="14" s="1"/>
  <c r="CU84" i="14" s="1"/>
  <c r="CV84" i="14" s="1"/>
  <c r="CW84" i="14" s="1"/>
  <c r="CX84" i="14" s="1"/>
  <c r="CY84" i="14" s="1"/>
  <c r="CZ84" i="14" s="1"/>
  <c r="DA84" i="14" s="1"/>
  <c r="DB84" i="14" s="1"/>
  <c r="DC84" i="14" s="1"/>
  <c r="DD84" i="14" s="1"/>
  <c r="DE84" i="14" s="1"/>
  <c r="DF84" i="14" s="1"/>
  <c r="DG84" i="14" s="1"/>
  <c r="DH84" i="14" s="1"/>
  <c r="DI84" i="14" s="1"/>
  <c r="DJ84" i="14" s="1"/>
  <c r="DK84" i="14" s="1"/>
  <c r="DL84" i="14" s="1"/>
  <c r="DM84" i="14" s="1"/>
  <c r="DN84" i="14" s="1"/>
  <c r="DO84" i="14" s="1"/>
  <c r="DP84" i="14" s="1"/>
  <c r="DQ84" i="14" s="1"/>
  <c r="DR84" i="14" s="1"/>
  <c r="A85" i="14"/>
  <c r="B85" i="14" s="1"/>
  <c r="C85" i="14" s="1"/>
  <c r="D85" i="14" s="1"/>
  <c r="E85" i="14" s="1"/>
  <c r="F85" i="14" s="1"/>
  <c r="G85" i="14" s="1"/>
  <c r="H85" i="14" s="1"/>
  <c r="I85" i="14" s="1"/>
  <c r="J85" i="14" s="1"/>
  <c r="K85" i="14" s="1"/>
  <c r="L85" i="14" s="1"/>
  <c r="M85" i="14" s="1"/>
  <c r="N85" i="14" s="1"/>
  <c r="O85" i="14" s="1"/>
  <c r="P85" i="14" s="1"/>
  <c r="Q85" i="14" s="1"/>
  <c r="R85" i="14" s="1"/>
  <c r="S85" i="14" s="1"/>
  <c r="T85" i="14" s="1"/>
  <c r="U85" i="14" s="1"/>
  <c r="V85" i="14" s="1"/>
  <c r="W85" i="14" s="1"/>
  <c r="X85" i="14" s="1"/>
  <c r="Y85" i="14" s="1"/>
  <c r="Z85" i="14" s="1"/>
  <c r="AA85" i="14" s="1"/>
  <c r="AB85" i="14" s="1"/>
  <c r="AC85" i="14" s="1"/>
  <c r="AD85" i="14" s="1"/>
  <c r="AE85" i="14" s="1"/>
  <c r="AF85" i="14" s="1"/>
  <c r="AG85" i="14" s="1"/>
  <c r="AH85" i="14" s="1"/>
  <c r="AI85" i="14" s="1"/>
  <c r="AJ85" i="14" s="1"/>
  <c r="AK85" i="14" s="1"/>
  <c r="AL85" i="14" s="1"/>
  <c r="AM85" i="14" s="1"/>
  <c r="AN85" i="14" s="1"/>
  <c r="AO85" i="14" s="1"/>
  <c r="AP85" i="14" s="1"/>
  <c r="AQ85" i="14" s="1"/>
  <c r="AR85" i="14" s="1"/>
  <c r="AS85" i="14" s="1"/>
  <c r="AT85" i="14" s="1"/>
  <c r="AU85" i="14" s="1"/>
  <c r="AV85" i="14" s="1"/>
  <c r="AW85" i="14" s="1"/>
  <c r="AX85" i="14" s="1"/>
  <c r="AY85" i="14" s="1"/>
  <c r="AZ85" i="14" s="1"/>
  <c r="BA85" i="14" s="1"/>
  <c r="BB85" i="14" s="1"/>
  <c r="BC85" i="14" s="1"/>
  <c r="BD85" i="14" s="1"/>
  <c r="BE85" i="14" s="1"/>
  <c r="BF85" i="14" s="1"/>
  <c r="BG85" i="14" s="1"/>
  <c r="BH85" i="14" s="1"/>
  <c r="BI85" i="14" s="1"/>
  <c r="BJ85" i="14" s="1"/>
  <c r="BK85" i="14" s="1"/>
  <c r="BL85" i="14" s="1"/>
  <c r="BM85" i="14" s="1"/>
  <c r="BN85" i="14" s="1"/>
  <c r="BO85" i="14" s="1"/>
  <c r="BP85" i="14" s="1"/>
  <c r="BQ85" i="14" s="1"/>
  <c r="BR85" i="14" s="1"/>
  <c r="BS85" i="14" s="1"/>
  <c r="BT85" i="14" s="1"/>
  <c r="BU85" i="14" s="1"/>
  <c r="BV85" i="14" s="1"/>
  <c r="BW85" i="14" s="1"/>
  <c r="BX85" i="14" s="1"/>
  <c r="BY85" i="14" s="1"/>
  <c r="BZ85" i="14" s="1"/>
  <c r="CA85" i="14" s="1"/>
  <c r="CB85" i="14" s="1"/>
  <c r="CC85" i="14" s="1"/>
  <c r="CD85" i="14" s="1"/>
  <c r="CE85" i="14" s="1"/>
  <c r="CF85" i="14" s="1"/>
  <c r="CG85" i="14" s="1"/>
  <c r="CH85" i="14" s="1"/>
  <c r="CI85" i="14" s="1"/>
  <c r="CJ85" i="14" s="1"/>
  <c r="CK85" i="14" s="1"/>
  <c r="CL85" i="14" s="1"/>
  <c r="CM85" i="14" s="1"/>
  <c r="CN85" i="14" s="1"/>
  <c r="CO85" i="14" s="1"/>
  <c r="CP85" i="14" s="1"/>
  <c r="CQ85" i="14" s="1"/>
  <c r="CR85" i="14" s="1"/>
  <c r="CS85" i="14" s="1"/>
  <c r="CT85" i="14" s="1"/>
  <c r="CU85" i="14" s="1"/>
  <c r="CV85" i="14" s="1"/>
  <c r="CW85" i="14" s="1"/>
  <c r="CX85" i="14" s="1"/>
  <c r="CY85" i="14" s="1"/>
  <c r="CZ85" i="14" s="1"/>
  <c r="DA85" i="14" s="1"/>
  <c r="DB85" i="14" s="1"/>
  <c r="DC85" i="14" s="1"/>
  <c r="DD85" i="14" s="1"/>
  <c r="DE85" i="14" s="1"/>
  <c r="DF85" i="14" s="1"/>
  <c r="DG85" i="14" s="1"/>
  <c r="DH85" i="14" s="1"/>
  <c r="DI85" i="14" s="1"/>
  <c r="DJ85" i="14" s="1"/>
  <c r="DK85" i="14" s="1"/>
  <c r="DL85" i="14" s="1"/>
  <c r="DM85" i="14" s="1"/>
  <c r="DN85" i="14" s="1"/>
  <c r="DO85" i="14" s="1"/>
  <c r="DP85" i="14" s="1"/>
  <c r="DQ85" i="14" s="1"/>
  <c r="DR85" i="14" s="1"/>
  <c r="A86" i="14"/>
  <c r="B86" i="14" s="1"/>
  <c r="C86" i="14" s="1"/>
  <c r="D86" i="14" s="1"/>
  <c r="E86" i="14" s="1"/>
  <c r="F86" i="14" s="1"/>
  <c r="G86" i="14" s="1"/>
  <c r="H86" i="14" s="1"/>
  <c r="I86" i="14" s="1"/>
  <c r="J86" i="14" s="1"/>
  <c r="K86" i="14" s="1"/>
  <c r="L86" i="14" s="1"/>
  <c r="M86" i="14" s="1"/>
  <c r="N86" i="14" s="1"/>
  <c r="O86" i="14" s="1"/>
  <c r="P86" i="14" s="1"/>
  <c r="Q86" i="14" s="1"/>
  <c r="R86" i="14" s="1"/>
  <c r="S86" i="14" s="1"/>
  <c r="T86" i="14" s="1"/>
  <c r="U86" i="14" s="1"/>
  <c r="V86" i="14" s="1"/>
  <c r="W86" i="14" s="1"/>
  <c r="X86" i="14" s="1"/>
  <c r="Y86" i="14" s="1"/>
  <c r="Z86" i="14" s="1"/>
  <c r="AA86" i="14" s="1"/>
  <c r="AB86" i="14" s="1"/>
  <c r="AC86" i="14" s="1"/>
  <c r="AD86" i="14" s="1"/>
  <c r="AE86" i="14" s="1"/>
  <c r="AF86" i="14" s="1"/>
  <c r="AG86" i="14" s="1"/>
  <c r="AH86" i="14" s="1"/>
  <c r="AI86" i="14" s="1"/>
  <c r="AJ86" i="14" s="1"/>
  <c r="AK86" i="14" s="1"/>
  <c r="AL86" i="14" s="1"/>
  <c r="AM86" i="14" s="1"/>
  <c r="AN86" i="14" s="1"/>
  <c r="AO86" i="14" s="1"/>
  <c r="AP86" i="14" s="1"/>
  <c r="AQ86" i="14" s="1"/>
  <c r="AR86" i="14" s="1"/>
  <c r="AS86" i="14" s="1"/>
  <c r="AT86" i="14" s="1"/>
  <c r="AU86" i="14" s="1"/>
  <c r="AV86" i="14" s="1"/>
  <c r="AW86" i="14" s="1"/>
  <c r="AX86" i="14" s="1"/>
  <c r="AY86" i="14" s="1"/>
  <c r="AZ86" i="14" s="1"/>
  <c r="BA86" i="14" s="1"/>
  <c r="BB86" i="14" s="1"/>
  <c r="BC86" i="14" s="1"/>
  <c r="BD86" i="14" s="1"/>
  <c r="BE86" i="14" s="1"/>
  <c r="BF86" i="14" s="1"/>
  <c r="BG86" i="14" s="1"/>
  <c r="BH86" i="14" s="1"/>
  <c r="BI86" i="14" s="1"/>
  <c r="BJ86" i="14" s="1"/>
  <c r="BK86" i="14" s="1"/>
  <c r="BL86" i="14" s="1"/>
  <c r="BM86" i="14" s="1"/>
  <c r="BN86" i="14" s="1"/>
  <c r="BO86" i="14" s="1"/>
  <c r="BP86" i="14" s="1"/>
  <c r="BQ86" i="14" s="1"/>
  <c r="BR86" i="14" s="1"/>
  <c r="BS86" i="14" s="1"/>
  <c r="BT86" i="14" s="1"/>
  <c r="BU86" i="14" s="1"/>
  <c r="BV86" i="14" s="1"/>
  <c r="BW86" i="14" s="1"/>
  <c r="BX86" i="14" s="1"/>
  <c r="BY86" i="14" s="1"/>
  <c r="BZ86" i="14" s="1"/>
  <c r="CA86" i="14" s="1"/>
  <c r="CB86" i="14" s="1"/>
  <c r="CC86" i="14" s="1"/>
  <c r="CD86" i="14" s="1"/>
  <c r="CE86" i="14" s="1"/>
  <c r="CF86" i="14" s="1"/>
  <c r="CG86" i="14" s="1"/>
  <c r="CH86" i="14" s="1"/>
  <c r="CI86" i="14" s="1"/>
  <c r="CJ86" i="14" s="1"/>
  <c r="CK86" i="14" s="1"/>
  <c r="CL86" i="14" s="1"/>
  <c r="CM86" i="14" s="1"/>
  <c r="CN86" i="14" s="1"/>
  <c r="CO86" i="14" s="1"/>
  <c r="CP86" i="14" s="1"/>
  <c r="CQ86" i="14" s="1"/>
  <c r="CR86" i="14" s="1"/>
  <c r="CS86" i="14" s="1"/>
  <c r="CT86" i="14" s="1"/>
  <c r="CU86" i="14" s="1"/>
  <c r="CV86" i="14" s="1"/>
  <c r="CW86" i="14" s="1"/>
  <c r="CX86" i="14" s="1"/>
  <c r="CY86" i="14" s="1"/>
  <c r="CZ86" i="14" s="1"/>
  <c r="DA86" i="14" s="1"/>
  <c r="DB86" i="14" s="1"/>
  <c r="DC86" i="14" s="1"/>
  <c r="DD86" i="14" s="1"/>
  <c r="DE86" i="14" s="1"/>
  <c r="DF86" i="14" s="1"/>
  <c r="DG86" i="14" s="1"/>
  <c r="DH86" i="14" s="1"/>
  <c r="DI86" i="14" s="1"/>
  <c r="DJ86" i="14" s="1"/>
  <c r="DK86" i="14" s="1"/>
  <c r="DL86" i="14" s="1"/>
  <c r="DM86" i="14" s="1"/>
  <c r="DN86" i="14" s="1"/>
  <c r="DO86" i="14" s="1"/>
  <c r="DP86" i="14" s="1"/>
  <c r="DQ86" i="14" s="1"/>
  <c r="DR86" i="14" s="1"/>
  <c r="A87" i="14"/>
  <c r="A88" i="14"/>
  <c r="B88" i="14" s="1"/>
  <c r="C88" i="14" s="1"/>
  <c r="D88" i="14" s="1"/>
  <c r="E88" i="14" s="1"/>
  <c r="F88" i="14" s="1"/>
  <c r="G88" i="14" s="1"/>
  <c r="H88" i="14" s="1"/>
  <c r="I88" i="14" s="1"/>
  <c r="J88" i="14" s="1"/>
  <c r="K88" i="14" s="1"/>
  <c r="L88" i="14" s="1"/>
  <c r="M88" i="14" s="1"/>
  <c r="N88" i="14" s="1"/>
  <c r="O88" i="14" s="1"/>
  <c r="P88" i="14" s="1"/>
  <c r="Q88" i="14" s="1"/>
  <c r="R88" i="14" s="1"/>
  <c r="S88" i="14" s="1"/>
  <c r="T88" i="14" s="1"/>
  <c r="U88" i="14" s="1"/>
  <c r="V88" i="14" s="1"/>
  <c r="W88" i="14" s="1"/>
  <c r="X88" i="14" s="1"/>
  <c r="Y88" i="14" s="1"/>
  <c r="Z88" i="14" s="1"/>
  <c r="AA88" i="14" s="1"/>
  <c r="AB88" i="14" s="1"/>
  <c r="AC88" i="14" s="1"/>
  <c r="AD88" i="14" s="1"/>
  <c r="AE88" i="14" s="1"/>
  <c r="AF88" i="14" s="1"/>
  <c r="AG88" i="14" s="1"/>
  <c r="AH88" i="14" s="1"/>
  <c r="AI88" i="14" s="1"/>
  <c r="AJ88" i="14" s="1"/>
  <c r="AK88" i="14" s="1"/>
  <c r="AL88" i="14" s="1"/>
  <c r="AM88" i="14" s="1"/>
  <c r="AN88" i="14" s="1"/>
  <c r="AO88" i="14" s="1"/>
  <c r="AP88" i="14" s="1"/>
  <c r="AQ88" i="14" s="1"/>
  <c r="AR88" i="14" s="1"/>
  <c r="AS88" i="14" s="1"/>
  <c r="AT88" i="14" s="1"/>
  <c r="AU88" i="14" s="1"/>
  <c r="AV88" i="14" s="1"/>
  <c r="AW88" i="14" s="1"/>
  <c r="AX88" i="14" s="1"/>
  <c r="AY88" i="14" s="1"/>
  <c r="AZ88" i="14" s="1"/>
  <c r="BA88" i="14" s="1"/>
  <c r="BB88" i="14" s="1"/>
  <c r="BC88" i="14" s="1"/>
  <c r="BD88" i="14" s="1"/>
  <c r="BE88" i="14" s="1"/>
  <c r="BF88" i="14" s="1"/>
  <c r="BG88" i="14" s="1"/>
  <c r="BH88" i="14" s="1"/>
  <c r="BI88" i="14" s="1"/>
  <c r="BJ88" i="14" s="1"/>
  <c r="BK88" i="14" s="1"/>
  <c r="BL88" i="14" s="1"/>
  <c r="BM88" i="14" s="1"/>
  <c r="BN88" i="14" s="1"/>
  <c r="BO88" i="14" s="1"/>
  <c r="BP88" i="14" s="1"/>
  <c r="BQ88" i="14" s="1"/>
  <c r="BR88" i="14" s="1"/>
  <c r="BS88" i="14" s="1"/>
  <c r="BT88" i="14" s="1"/>
  <c r="BU88" i="14" s="1"/>
  <c r="BV88" i="14" s="1"/>
  <c r="BW88" i="14" s="1"/>
  <c r="BX88" i="14" s="1"/>
  <c r="BY88" i="14" s="1"/>
  <c r="BZ88" i="14" s="1"/>
  <c r="CA88" i="14" s="1"/>
  <c r="CB88" i="14" s="1"/>
  <c r="CC88" i="14" s="1"/>
  <c r="CD88" i="14" s="1"/>
  <c r="CE88" i="14" s="1"/>
  <c r="CF88" i="14" s="1"/>
  <c r="CG88" i="14" s="1"/>
  <c r="CH88" i="14" s="1"/>
  <c r="CI88" i="14" s="1"/>
  <c r="CJ88" i="14" s="1"/>
  <c r="CK88" i="14" s="1"/>
  <c r="CL88" i="14" s="1"/>
  <c r="CM88" i="14" s="1"/>
  <c r="CN88" i="14" s="1"/>
  <c r="CO88" i="14" s="1"/>
  <c r="CP88" i="14" s="1"/>
  <c r="CQ88" i="14" s="1"/>
  <c r="CR88" i="14" s="1"/>
  <c r="CS88" i="14" s="1"/>
  <c r="CT88" i="14" s="1"/>
  <c r="CU88" i="14" s="1"/>
  <c r="CV88" i="14" s="1"/>
  <c r="CW88" i="14" s="1"/>
  <c r="CX88" i="14" s="1"/>
  <c r="CY88" i="14" s="1"/>
  <c r="CZ88" i="14" s="1"/>
  <c r="DA88" i="14" s="1"/>
  <c r="DB88" i="14" s="1"/>
  <c r="DC88" i="14" s="1"/>
  <c r="DD88" i="14" s="1"/>
  <c r="DE88" i="14" s="1"/>
  <c r="DF88" i="14" s="1"/>
  <c r="DG88" i="14" s="1"/>
  <c r="DH88" i="14" s="1"/>
  <c r="DI88" i="14" s="1"/>
  <c r="DJ88" i="14" s="1"/>
  <c r="DK88" i="14" s="1"/>
  <c r="DL88" i="14" s="1"/>
  <c r="DM88" i="14" s="1"/>
  <c r="DN88" i="14" s="1"/>
  <c r="DO88" i="14" s="1"/>
  <c r="DP88" i="14" s="1"/>
  <c r="DQ88" i="14" s="1"/>
  <c r="DR88" i="14" s="1"/>
  <c r="A89" i="14"/>
  <c r="B89" i="14" s="1"/>
  <c r="C89" i="14" s="1"/>
  <c r="D89" i="14" s="1"/>
  <c r="E89" i="14" s="1"/>
  <c r="F89" i="14" s="1"/>
  <c r="G89" i="14" s="1"/>
  <c r="H89" i="14" s="1"/>
  <c r="I89" i="14" s="1"/>
  <c r="J89" i="14" s="1"/>
  <c r="K89" i="14" s="1"/>
  <c r="L89" i="14" s="1"/>
  <c r="M89" i="14" s="1"/>
  <c r="N89" i="14" s="1"/>
  <c r="O89" i="14" s="1"/>
  <c r="P89" i="14" s="1"/>
  <c r="Q89" i="14" s="1"/>
  <c r="R89" i="14" s="1"/>
  <c r="S89" i="14" s="1"/>
  <c r="T89" i="14" s="1"/>
  <c r="U89" i="14" s="1"/>
  <c r="V89" i="14" s="1"/>
  <c r="W89" i="14" s="1"/>
  <c r="X89" i="14" s="1"/>
  <c r="Y89" i="14" s="1"/>
  <c r="Z89" i="14" s="1"/>
  <c r="AA89" i="14" s="1"/>
  <c r="AB89" i="14" s="1"/>
  <c r="AC89" i="14" s="1"/>
  <c r="AD89" i="14" s="1"/>
  <c r="AE89" i="14" s="1"/>
  <c r="AF89" i="14" s="1"/>
  <c r="AG89" i="14" s="1"/>
  <c r="AH89" i="14" s="1"/>
  <c r="AI89" i="14" s="1"/>
  <c r="AJ89" i="14" s="1"/>
  <c r="AK89" i="14" s="1"/>
  <c r="AL89" i="14" s="1"/>
  <c r="AM89" i="14" s="1"/>
  <c r="AN89" i="14" s="1"/>
  <c r="AO89" i="14" s="1"/>
  <c r="AP89" i="14" s="1"/>
  <c r="AQ89" i="14" s="1"/>
  <c r="AR89" i="14" s="1"/>
  <c r="AS89" i="14" s="1"/>
  <c r="AT89" i="14" s="1"/>
  <c r="AU89" i="14" s="1"/>
  <c r="AV89" i="14" s="1"/>
  <c r="AW89" i="14" s="1"/>
  <c r="AX89" i="14" s="1"/>
  <c r="AY89" i="14" s="1"/>
  <c r="AZ89" i="14" s="1"/>
  <c r="BA89" i="14" s="1"/>
  <c r="BB89" i="14" s="1"/>
  <c r="BC89" i="14" s="1"/>
  <c r="BD89" i="14" s="1"/>
  <c r="BE89" i="14" s="1"/>
  <c r="BF89" i="14" s="1"/>
  <c r="BG89" i="14" s="1"/>
  <c r="BH89" i="14" s="1"/>
  <c r="BI89" i="14" s="1"/>
  <c r="BJ89" i="14" s="1"/>
  <c r="BK89" i="14" s="1"/>
  <c r="BL89" i="14" s="1"/>
  <c r="BM89" i="14" s="1"/>
  <c r="BN89" i="14" s="1"/>
  <c r="BO89" i="14" s="1"/>
  <c r="BP89" i="14" s="1"/>
  <c r="BQ89" i="14" s="1"/>
  <c r="BR89" i="14" s="1"/>
  <c r="BS89" i="14" s="1"/>
  <c r="BT89" i="14" s="1"/>
  <c r="BU89" i="14" s="1"/>
  <c r="BV89" i="14" s="1"/>
  <c r="BW89" i="14" s="1"/>
  <c r="BX89" i="14" s="1"/>
  <c r="BY89" i="14" s="1"/>
  <c r="BZ89" i="14" s="1"/>
  <c r="CA89" i="14" s="1"/>
  <c r="CB89" i="14" s="1"/>
  <c r="CC89" i="14" s="1"/>
  <c r="CD89" i="14" s="1"/>
  <c r="CE89" i="14" s="1"/>
  <c r="CF89" i="14" s="1"/>
  <c r="CG89" i="14" s="1"/>
  <c r="CH89" i="14" s="1"/>
  <c r="CI89" i="14" s="1"/>
  <c r="CJ89" i="14" s="1"/>
  <c r="CK89" i="14" s="1"/>
  <c r="CL89" i="14" s="1"/>
  <c r="CM89" i="14" s="1"/>
  <c r="CN89" i="14" s="1"/>
  <c r="CO89" i="14" s="1"/>
  <c r="CP89" i="14" s="1"/>
  <c r="CQ89" i="14" s="1"/>
  <c r="CR89" i="14" s="1"/>
  <c r="CS89" i="14" s="1"/>
  <c r="CT89" i="14" s="1"/>
  <c r="CU89" i="14" s="1"/>
  <c r="CV89" i="14" s="1"/>
  <c r="CW89" i="14" s="1"/>
  <c r="CX89" i="14" s="1"/>
  <c r="CY89" i="14" s="1"/>
  <c r="CZ89" i="14" s="1"/>
  <c r="DA89" i="14" s="1"/>
  <c r="DB89" i="14" s="1"/>
  <c r="DC89" i="14" s="1"/>
  <c r="DD89" i="14" s="1"/>
  <c r="DE89" i="14" s="1"/>
  <c r="DF89" i="14" s="1"/>
  <c r="DG89" i="14" s="1"/>
  <c r="DH89" i="14" s="1"/>
  <c r="DI89" i="14" s="1"/>
  <c r="DJ89" i="14" s="1"/>
  <c r="DK89" i="14" s="1"/>
  <c r="DL89" i="14" s="1"/>
  <c r="DM89" i="14" s="1"/>
  <c r="DN89" i="14" s="1"/>
  <c r="DO89" i="14" s="1"/>
  <c r="DP89" i="14" s="1"/>
  <c r="DQ89" i="14" s="1"/>
  <c r="DR89" i="14" s="1"/>
  <c r="A90" i="14"/>
  <c r="B90" i="14" s="1"/>
  <c r="C90" i="14" s="1"/>
  <c r="D90" i="14" s="1"/>
  <c r="E90" i="14" s="1"/>
  <c r="F90" i="14" s="1"/>
  <c r="G90" i="14" s="1"/>
  <c r="H90" i="14" s="1"/>
  <c r="I90" i="14" s="1"/>
  <c r="J90" i="14" s="1"/>
  <c r="K90" i="14" s="1"/>
  <c r="L90" i="14" s="1"/>
  <c r="M90" i="14" s="1"/>
  <c r="N90" i="14" s="1"/>
  <c r="O90" i="14" s="1"/>
  <c r="P90" i="14" s="1"/>
  <c r="Q90" i="14" s="1"/>
  <c r="R90" i="14" s="1"/>
  <c r="S90" i="14" s="1"/>
  <c r="T90" i="14" s="1"/>
  <c r="U90" i="14" s="1"/>
  <c r="V90" i="14" s="1"/>
  <c r="W90" i="14" s="1"/>
  <c r="X90" i="14" s="1"/>
  <c r="Y90" i="14" s="1"/>
  <c r="Z90" i="14" s="1"/>
  <c r="AA90" i="14" s="1"/>
  <c r="AB90" i="14" s="1"/>
  <c r="AC90" i="14" s="1"/>
  <c r="AD90" i="14" s="1"/>
  <c r="AE90" i="14" s="1"/>
  <c r="AF90" i="14" s="1"/>
  <c r="AG90" i="14" s="1"/>
  <c r="AH90" i="14" s="1"/>
  <c r="AI90" i="14" s="1"/>
  <c r="AJ90" i="14" s="1"/>
  <c r="AK90" i="14" s="1"/>
  <c r="AL90" i="14" s="1"/>
  <c r="AM90" i="14" s="1"/>
  <c r="AN90" i="14" s="1"/>
  <c r="AO90" i="14" s="1"/>
  <c r="AP90" i="14" s="1"/>
  <c r="AQ90" i="14" s="1"/>
  <c r="AR90" i="14" s="1"/>
  <c r="AS90" i="14" s="1"/>
  <c r="AT90" i="14" s="1"/>
  <c r="AU90" i="14" s="1"/>
  <c r="AV90" i="14" s="1"/>
  <c r="AW90" i="14" s="1"/>
  <c r="AX90" i="14" s="1"/>
  <c r="AY90" i="14" s="1"/>
  <c r="AZ90" i="14" s="1"/>
  <c r="BA90" i="14" s="1"/>
  <c r="BB90" i="14" s="1"/>
  <c r="BC90" i="14" s="1"/>
  <c r="BD90" i="14" s="1"/>
  <c r="BE90" i="14" s="1"/>
  <c r="BF90" i="14" s="1"/>
  <c r="BG90" i="14" s="1"/>
  <c r="BH90" i="14" s="1"/>
  <c r="BI90" i="14" s="1"/>
  <c r="BJ90" i="14" s="1"/>
  <c r="BK90" i="14" s="1"/>
  <c r="BL90" i="14" s="1"/>
  <c r="BM90" i="14" s="1"/>
  <c r="BN90" i="14" s="1"/>
  <c r="BO90" i="14" s="1"/>
  <c r="BP90" i="14" s="1"/>
  <c r="BQ90" i="14" s="1"/>
  <c r="BR90" i="14" s="1"/>
  <c r="BS90" i="14" s="1"/>
  <c r="BT90" i="14" s="1"/>
  <c r="BU90" i="14" s="1"/>
  <c r="BV90" i="14" s="1"/>
  <c r="BW90" i="14" s="1"/>
  <c r="BX90" i="14" s="1"/>
  <c r="BY90" i="14" s="1"/>
  <c r="BZ90" i="14" s="1"/>
  <c r="CA90" i="14" s="1"/>
  <c r="CB90" i="14" s="1"/>
  <c r="CC90" i="14" s="1"/>
  <c r="CD90" i="14" s="1"/>
  <c r="CE90" i="14" s="1"/>
  <c r="CF90" i="14" s="1"/>
  <c r="CG90" i="14" s="1"/>
  <c r="CH90" i="14" s="1"/>
  <c r="CI90" i="14" s="1"/>
  <c r="CJ90" i="14" s="1"/>
  <c r="CK90" i="14" s="1"/>
  <c r="CL90" i="14" s="1"/>
  <c r="CM90" i="14" s="1"/>
  <c r="CN90" i="14" s="1"/>
  <c r="CO90" i="14" s="1"/>
  <c r="CP90" i="14" s="1"/>
  <c r="CQ90" i="14" s="1"/>
  <c r="CR90" i="14" s="1"/>
  <c r="CS90" i="14" s="1"/>
  <c r="CT90" i="14" s="1"/>
  <c r="CU90" i="14" s="1"/>
  <c r="CV90" i="14" s="1"/>
  <c r="CW90" i="14" s="1"/>
  <c r="CX90" i="14" s="1"/>
  <c r="CY90" i="14" s="1"/>
  <c r="CZ90" i="14" s="1"/>
  <c r="DA90" i="14" s="1"/>
  <c r="DB90" i="14" s="1"/>
  <c r="DC90" i="14" s="1"/>
  <c r="DD90" i="14" s="1"/>
  <c r="DE90" i="14" s="1"/>
  <c r="DF90" i="14" s="1"/>
  <c r="DG90" i="14" s="1"/>
  <c r="DH90" i="14" s="1"/>
  <c r="DI90" i="14" s="1"/>
  <c r="DJ90" i="14" s="1"/>
  <c r="DK90" i="14" s="1"/>
  <c r="DL90" i="14" s="1"/>
  <c r="DM90" i="14" s="1"/>
  <c r="DN90" i="14" s="1"/>
  <c r="DO90" i="14" s="1"/>
  <c r="DP90" i="14" s="1"/>
  <c r="DQ90" i="14" s="1"/>
  <c r="DR90" i="14" s="1"/>
  <c r="A91" i="14"/>
  <c r="B91" i="14" s="1"/>
  <c r="C91" i="14" s="1"/>
  <c r="D91" i="14" s="1"/>
  <c r="E91" i="14" s="1"/>
  <c r="F91" i="14" s="1"/>
  <c r="G91" i="14" s="1"/>
  <c r="H91" i="14" s="1"/>
  <c r="I91" i="14" s="1"/>
  <c r="J91" i="14" s="1"/>
  <c r="K91" i="14" s="1"/>
  <c r="L91" i="14" s="1"/>
  <c r="M91" i="14" s="1"/>
  <c r="N91" i="14" s="1"/>
  <c r="O91" i="14" s="1"/>
  <c r="P91" i="14" s="1"/>
  <c r="Q91" i="14" s="1"/>
  <c r="R91" i="14" s="1"/>
  <c r="S91" i="14" s="1"/>
  <c r="T91" i="14" s="1"/>
  <c r="U91" i="14" s="1"/>
  <c r="V91" i="14" s="1"/>
  <c r="W91" i="14" s="1"/>
  <c r="X91" i="14" s="1"/>
  <c r="Y91" i="14" s="1"/>
  <c r="Z91" i="14" s="1"/>
  <c r="AA91" i="14" s="1"/>
  <c r="AB91" i="14" s="1"/>
  <c r="AC91" i="14" s="1"/>
  <c r="AD91" i="14" s="1"/>
  <c r="AE91" i="14" s="1"/>
  <c r="AF91" i="14" s="1"/>
  <c r="AG91" i="14" s="1"/>
  <c r="AH91" i="14" s="1"/>
  <c r="AI91" i="14" s="1"/>
  <c r="AJ91" i="14" s="1"/>
  <c r="AK91" i="14" s="1"/>
  <c r="AL91" i="14" s="1"/>
  <c r="AM91" i="14" s="1"/>
  <c r="AN91" i="14" s="1"/>
  <c r="AO91" i="14" s="1"/>
  <c r="AP91" i="14" s="1"/>
  <c r="AQ91" i="14" s="1"/>
  <c r="AR91" i="14" s="1"/>
  <c r="AS91" i="14" s="1"/>
  <c r="AT91" i="14" s="1"/>
  <c r="AU91" i="14" s="1"/>
  <c r="AV91" i="14" s="1"/>
  <c r="AW91" i="14" s="1"/>
  <c r="AX91" i="14" s="1"/>
  <c r="AY91" i="14" s="1"/>
  <c r="AZ91" i="14" s="1"/>
  <c r="BA91" i="14" s="1"/>
  <c r="BB91" i="14" s="1"/>
  <c r="BC91" i="14" s="1"/>
  <c r="BD91" i="14" s="1"/>
  <c r="BE91" i="14" s="1"/>
  <c r="BF91" i="14" s="1"/>
  <c r="BG91" i="14" s="1"/>
  <c r="BH91" i="14" s="1"/>
  <c r="BI91" i="14" s="1"/>
  <c r="BJ91" i="14" s="1"/>
  <c r="BK91" i="14" s="1"/>
  <c r="BL91" i="14" s="1"/>
  <c r="BM91" i="14" s="1"/>
  <c r="BN91" i="14" s="1"/>
  <c r="BO91" i="14" s="1"/>
  <c r="BP91" i="14" s="1"/>
  <c r="BQ91" i="14" s="1"/>
  <c r="BR91" i="14" s="1"/>
  <c r="BS91" i="14" s="1"/>
  <c r="BT91" i="14" s="1"/>
  <c r="BU91" i="14" s="1"/>
  <c r="BV91" i="14" s="1"/>
  <c r="BW91" i="14" s="1"/>
  <c r="BX91" i="14" s="1"/>
  <c r="BY91" i="14" s="1"/>
  <c r="BZ91" i="14" s="1"/>
  <c r="CA91" i="14" s="1"/>
  <c r="CB91" i="14" s="1"/>
  <c r="CC91" i="14" s="1"/>
  <c r="CD91" i="14" s="1"/>
  <c r="CE91" i="14" s="1"/>
  <c r="CF91" i="14" s="1"/>
  <c r="CG91" i="14" s="1"/>
  <c r="CH91" i="14" s="1"/>
  <c r="CI91" i="14" s="1"/>
  <c r="CJ91" i="14" s="1"/>
  <c r="CK91" i="14" s="1"/>
  <c r="CL91" i="14" s="1"/>
  <c r="CM91" i="14" s="1"/>
  <c r="CN91" i="14" s="1"/>
  <c r="CO91" i="14" s="1"/>
  <c r="CP91" i="14" s="1"/>
  <c r="CQ91" i="14" s="1"/>
  <c r="CR91" i="14" s="1"/>
  <c r="CS91" i="14" s="1"/>
  <c r="CT91" i="14" s="1"/>
  <c r="CU91" i="14" s="1"/>
  <c r="CV91" i="14" s="1"/>
  <c r="CW91" i="14" s="1"/>
  <c r="CX91" i="14" s="1"/>
  <c r="CY91" i="14" s="1"/>
  <c r="CZ91" i="14" s="1"/>
  <c r="DA91" i="14" s="1"/>
  <c r="DB91" i="14" s="1"/>
  <c r="DC91" i="14" s="1"/>
  <c r="DD91" i="14" s="1"/>
  <c r="DE91" i="14" s="1"/>
  <c r="DF91" i="14" s="1"/>
  <c r="DG91" i="14" s="1"/>
  <c r="DH91" i="14" s="1"/>
  <c r="DI91" i="14" s="1"/>
  <c r="DJ91" i="14" s="1"/>
  <c r="DK91" i="14" s="1"/>
  <c r="DL91" i="14" s="1"/>
  <c r="DM91" i="14" s="1"/>
  <c r="DN91" i="14" s="1"/>
  <c r="DO91" i="14" s="1"/>
  <c r="DP91" i="14" s="1"/>
  <c r="DQ91" i="14" s="1"/>
  <c r="DR91" i="14" s="1"/>
  <c r="A92" i="14"/>
  <c r="B92" i="14" s="1"/>
  <c r="C92" i="14" s="1"/>
  <c r="D92" i="14" s="1"/>
  <c r="E92" i="14" s="1"/>
  <c r="F92" i="14" s="1"/>
  <c r="G92" i="14" s="1"/>
  <c r="H92" i="14" s="1"/>
  <c r="I92" i="14" s="1"/>
  <c r="J92" i="14" s="1"/>
  <c r="K92" i="14" s="1"/>
  <c r="L92" i="14" s="1"/>
  <c r="M92" i="14" s="1"/>
  <c r="N92" i="14" s="1"/>
  <c r="O92" i="14" s="1"/>
  <c r="P92" i="14" s="1"/>
  <c r="Q92" i="14" s="1"/>
  <c r="R92" i="14" s="1"/>
  <c r="S92" i="14" s="1"/>
  <c r="T92" i="14" s="1"/>
  <c r="U92" i="14" s="1"/>
  <c r="V92" i="14" s="1"/>
  <c r="W92" i="14" s="1"/>
  <c r="X92" i="14" s="1"/>
  <c r="Y92" i="14" s="1"/>
  <c r="Z92" i="14" s="1"/>
  <c r="AA92" i="14" s="1"/>
  <c r="AB92" i="14" s="1"/>
  <c r="AC92" i="14" s="1"/>
  <c r="AD92" i="14" s="1"/>
  <c r="AE92" i="14" s="1"/>
  <c r="AF92" i="14" s="1"/>
  <c r="AG92" i="14" s="1"/>
  <c r="AH92" i="14" s="1"/>
  <c r="AI92" i="14" s="1"/>
  <c r="AJ92" i="14" s="1"/>
  <c r="AK92" i="14" s="1"/>
  <c r="AL92" i="14" s="1"/>
  <c r="AM92" i="14" s="1"/>
  <c r="AN92" i="14" s="1"/>
  <c r="AO92" i="14" s="1"/>
  <c r="AP92" i="14" s="1"/>
  <c r="AQ92" i="14" s="1"/>
  <c r="AR92" i="14" s="1"/>
  <c r="AS92" i="14" s="1"/>
  <c r="AT92" i="14" s="1"/>
  <c r="AU92" i="14" s="1"/>
  <c r="AV92" i="14" s="1"/>
  <c r="AW92" i="14" s="1"/>
  <c r="AX92" i="14" s="1"/>
  <c r="AY92" i="14" s="1"/>
  <c r="AZ92" i="14" s="1"/>
  <c r="BA92" i="14" s="1"/>
  <c r="BB92" i="14" s="1"/>
  <c r="BC92" i="14" s="1"/>
  <c r="BD92" i="14" s="1"/>
  <c r="BE92" i="14" s="1"/>
  <c r="BF92" i="14" s="1"/>
  <c r="BG92" i="14" s="1"/>
  <c r="BH92" i="14" s="1"/>
  <c r="BI92" i="14" s="1"/>
  <c r="BJ92" i="14" s="1"/>
  <c r="BK92" i="14" s="1"/>
  <c r="BL92" i="14" s="1"/>
  <c r="BM92" i="14" s="1"/>
  <c r="BN92" i="14" s="1"/>
  <c r="BO92" i="14" s="1"/>
  <c r="BP92" i="14" s="1"/>
  <c r="BQ92" i="14" s="1"/>
  <c r="BR92" i="14" s="1"/>
  <c r="BS92" i="14" s="1"/>
  <c r="BT92" i="14" s="1"/>
  <c r="BU92" i="14" s="1"/>
  <c r="BV92" i="14" s="1"/>
  <c r="BW92" i="14" s="1"/>
  <c r="BX92" i="14" s="1"/>
  <c r="BY92" i="14" s="1"/>
  <c r="BZ92" i="14" s="1"/>
  <c r="CA92" i="14" s="1"/>
  <c r="CB92" i="14" s="1"/>
  <c r="CC92" i="14" s="1"/>
  <c r="CD92" i="14" s="1"/>
  <c r="CE92" i="14" s="1"/>
  <c r="CF92" i="14" s="1"/>
  <c r="CG92" i="14" s="1"/>
  <c r="CH92" i="14" s="1"/>
  <c r="CI92" i="14" s="1"/>
  <c r="CJ92" i="14" s="1"/>
  <c r="CK92" i="14" s="1"/>
  <c r="CL92" i="14" s="1"/>
  <c r="CM92" i="14" s="1"/>
  <c r="CN92" i="14" s="1"/>
  <c r="CO92" i="14" s="1"/>
  <c r="CP92" i="14" s="1"/>
  <c r="CQ92" i="14" s="1"/>
  <c r="CR92" i="14" s="1"/>
  <c r="CS92" i="14" s="1"/>
  <c r="CT92" i="14" s="1"/>
  <c r="CU92" i="14" s="1"/>
  <c r="CV92" i="14" s="1"/>
  <c r="CW92" i="14" s="1"/>
  <c r="CX92" i="14" s="1"/>
  <c r="CY92" i="14" s="1"/>
  <c r="CZ92" i="14" s="1"/>
  <c r="DA92" i="14" s="1"/>
  <c r="DB92" i="14" s="1"/>
  <c r="DC92" i="14" s="1"/>
  <c r="DD92" i="14" s="1"/>
  <c r="DE92" i="14" s="1"/>
  <c r="DF92" i="14" s="1"/>
  <c r="DG92" i="14" s="1"/>
  <c r="DH92" i="14" s="1"/>
  <c r="DI92" i="14" s="1"/>
  <c r="DJ92" i="14" s="1"/>
  <c r="DK92" i="14" s="1"/>
  <c r="DL92" i="14" s="1"/>
  <c r="DM92" i="14" s="1"/>
  <c r="DN92" i="14" s="1"/>
  <c r="DO92" i="14" s="1"/>
  <c r="DP92" i="14" s="1"/>
  <c r="DQ92" i="14" s="1"/>
  <c r="DR92" i="14" s="1"/>
  <c r="A93" i="14"/>
  <c r="B93" i="14" s="1"/>
  <c r="C93" i="14" s="1"/>
  <c r="D93" i="14" s="1"/>
  <c r="E93" i="14" s="1"/>
  <c r="F93" i="14" s="1"/>
  <c r="G93" i="14" s="1"/>
  <c r="H93" i="14" s="1"/>
  <c r="I93" i="14" s="1"/>
  <c r="J93" i="14" s="1"/>
  <c r="K93" i="14" s="1"/>
  <c r="L93" i="14" s="1"/>
  <c r="M93" i="14" s="1"/>
  <c r="N93" i="14" s="1"/>
  <c r="O93" i="14" s="1"/>
  <c r="P93" i="14" s="1"/>
  <c r="Q93" i="14" s="1"/>
  <c r="R93" i="14" s="1"/>
  <c r="S93" i="14" s="1"/>
  <c r="T93" i="14" s="1"/>
  <c r="U93" i="14" s="1"/>
  <c r="V93" i="14" s="1"/>
  <c r="W93" i="14" s="1"/>
  <c r="X93" i="14" s="1"/>
  <c r="Y93" i="14" s="1"/>
  <c r="Z93" i="14" s="1"/>
  <c r="AA93" i="14" s="1"/>
  <c r="AB93" i="14" s="1"/>
  <c r="AC93" i="14" s="1"/>
  <c r="AD93" i="14" s="1"/>
  <c r="AE93" i="14" s="1"/>
  <c r="AF93" i="14" s="1"/>
  <c r="AG93" i="14" s="1"/>
  <c r="AH93" i="14" s="1"/>
  <c r="AI93" i="14" s="1"/>
  <c r="AJ93" i="14" s="1"/>
  <c r="AK93" i="14" s="1"/>
  <c r="AL93" i="14" s="1"/>
  <c r="AM93" i="14" s="1"/>
  <c r="AN93" i="14" s="1"/>
  <c r="AO93" i="14" s="1"/>
  <c r="AP93" i="14" s="1"/>
  <c r="AQ93" i="14" s="1"/>
  <c r="AR93" i="14" s="1"/>
  <c r="AS93" i="14" s="1"/>
  <c r="AT93" i="14" s="1"/>
  <c r="AU93" i="14" s="1"/>
  <c r="AV93" i="14" s="1"/>
  <c r="AW93" i="14" s="1"/>
  <c r="AX93" i="14" s="1"/>
  <c r="AY93" i="14" s="1"/>
  <c r="AZ93" i="14" s="1"/>
  <c r="BA93" i="14" s="1"/>
  <c r="BB93" i="14" s="1"/>
  <c r="BC93" i="14" s="1"/>
  <c r="BD93" i="14" s="1"/>
  <c r="BE93" i="14" s="1"/>
  <c r="BF93" i="14" s="1"/>
  <c r="BG93" i="14" s="1"/>
  <c r="BH93" i="14" s="1"/>
  <c r="BI93" i="14" s="1"/>
  <c r="BJ93" i="14" s="1"/>
  <c r="BK93" i="14" s="1"/>
  <c r="BL93" i="14" s="1"/>
  <c r="BM93" i="14" s="1"/>
  <c r="BN93" i="14" s="1"/>
  <c r="BO93" i="14" s="1"/>
  <c r="BP93" i="14" s="1"/>
  <c r="BQ93" i="14" s="1"/>
  <c r="BR93" i="14" s="1"/>
  <c r="BS93" i="14" s="1"/>
  <c r="BT93" i="14" s="1"/>
  <c r="BU93" i="14" s="1"/>
  <c r="BV93" i="14" s="1"/>
  <c r="BW93" i="14" s="1"/>
  <c r="BX93" i="14" s="1"/>
  <c r="BY93" i="14" s="1"/>
  <c r="BZ93" i="14" s="1"/>
  <c r="CA93" i="14" s="1"/>
  <c r="CB93" i="14" s="1"/>
  <c r="CC93" i="14" s="1"/>
  <c r="CD93" i="14" s="1"/>
  <c r="CE93" i="14" s="1"/>
  <c r="CF93" i="14" s="1"/>
  <c r="CG93" i="14" s="1"/>
  <c r="CH93" i="14" s="1"/>
  <c r="CI93" i="14" s="1"/>
  <c r="CJ93" i="14" s="1"/>
  <c r="CK93" i="14" s="1"/>
  <c r="CL93" i="14" s="1"/>
  <c r="CM93" i="14" s="1"/>
  <c r="CN93" i="14" s="1"/>
  <c r="CO93" i="14" s="1"/>
  <c r="CP93" i="14" s="1"/>
  <c r="CQ93" i="14" s="1"/>
  <c r="CR93" i="14" s="1"/>
  <c r="CS93" i="14" s="1"/>
  <c r="CT93" i="14" s="1"/>
  <c r="CU93" i="14" s="1"/>
  <c r="CV93" i="14" s="1"/>
  <c r="CW93" i="14" s="1"/>
  <c r="CX93" i="14" s="1"/>
  <c r="CY93" i="14" s="1"/>
  <c r="CZ93" i="14" s="1"/>
  <c r="DA93" i="14" s="1"/>
  <c r="DB93" i="14" s="1"/>
  <c r="DC93" i="14" s="1"/>
  <c r="DD93" i="14" s="1"/>
  <c r="DE93" i="14" s="1"/>
  <c r="DF93" i="14" s="1"/>
  <c r="DG93" i="14" s="1"/>
  <c r="DH93" i="14" s="1"/>
  <c r="DI93" i="14" s="1"/>
  <c r="DJ93" i="14" s="1"/>
  <c r="DK93" i="14" s="1"/>
  <c r="DL93" i="14" s="1"/>
  <c r="DM93" i="14" s="1"/>
  <c r="DN93" i="14" s="1"/>
  <c r="DO93" i="14" s="1"/>
  <c r="DP93" i="14" s="1"/>
  <c r="DQ93" i="14" s="1"/>
  <c r="DR93" i="14" s="1"/>
  <c r="A94" i="14"/>
  <c r="B94" i="14" s="1"/>
  <c r="C94" i="14" s="1"/>
  <c r="D94" i="14" s="1"/>
  <c r="E94" i="14" s="1"/>
  <c r="F94" i="14" s="1"/>
  <c r="G94" i="14" s="1"/>
  <c r="H94" i="14" s="1"/>
  <c r="I94" i="14" s="1"/>
  <c r="J94" i="14" s="1"/>
  <c r="K94" i="14" s="1"/>
  <c r="L94" i="14" s="1"/>
  <c r="M94" i="14" s="1"/>
  <c r="N94" i="14" s="1"/>
  <c r="O94" i="14" s="1"/>
  <c r="P94" i="14" s="1"/>
  <c r="Q94" i="14" s="1"/>
  <c r="R94" i="14" s="1"/>
  <c r="S94" i="14" s="1"/>
  <c r="T94" i="14" s="1"/>
  <c r="U94" i="14" s="1"/>
  <c r="V94" i="14" s="1"/>
  <c r="W94" i="14" s="1"/>
  <c r="X94" i="14" s="1"/>
  <c r="Y94" i="14" s="1"/>
  <c r="Z94" i="14" s="1"/>
  <c r="AA94" i="14" s="1"/>
  <c r="AB94" i="14" s="1"/>
  <c r="AC94" i="14" s="1"/>
  <c r="AD94" i="14" s="1"/>
  <c r="AE94" i="14" s="1"/>
  <c r="AF94" i="14" s="1"/>
  <c r="AG94" i="14" s="1"/>
  <c r="AH94" i="14" s="1"/>
  <c r="AI94" i="14" s="1"/>
  <c r="AJ94" i="14" s="1"/>
  <c r="AK94" i="14" s="1"/>
  <c r="AL94" i="14" s="1"/>
  <c r="AM94" i="14" s="1"/>
  <c r="AN94" i="14" s="1"/>
  <c r="AO94" i="14" s="1"/>
  <c r="AP94" i="14" s="1"/>
  <c r="AQ94" i="14" s="1"/>
  <c r="AR94" i="14" s="1"/>
  <c r="AS94" i="14" s="1"/>
  <c r="AT94" i="14" s="1"/>
  <c r="AU94" i="14" s="1"/>
  <c r="AV94" i="14" s="1"/>
  <c r="AW94" i="14" s="1"/>
  <c r="AX94" i="14" s="1"/>
  <c r="AY94" i="14" s="1"/>
  <c r="AZ94" i="14" s="1"/>
  <c r="BA94" i="14" s="1"/>
  <c r="BB94" i="14" s="1"/>
  <c r="BC94" i="14" s="1"/>
  <c r="BD94" i="14" s="1"/>
  <c r="BE94" i="14" s="1"/>
  <c r="BF94" i="14" s="1"/>
  <c r="BG94" i="14" s="1"/>
  <c r="BH94" i="14" s="1"/>
  <c r="BI94" i="14" s="1"/>
  <c r="BJ94" i="14" s="1"/>
  <c r="BK94" i="14" s="1"/>
  <c r="BL94" i="14" s="1"/>
  <c r="BM94" i="14" s="1"/>
  <c r="BN94" i="14" s="1"/>
  <c r="BO94" i="14" s="1"/>
  <c r="BP94" i="14" s="1"/>
  <c r="BQ94" i="14" s="1"/>
  <c r="BR94" i="14" s="1"/>
  <c r="BS94" i="14" s="1"/>
  <c r="BT94" i="14" s="1"/>
  <c r="BU94" i="14" s="1"/>
  <c r="BV94" i="14" s="1"/>
  <c r="BW94" i="14" s="1"/>
  <c r="BX94" i="14" s="1"/>
  <c r="BY94" i="14" s="1"/>
  <c r="BZ94" i="14" s="1"/>
  <c r="CA94" i="14" s="1"/>
  <c r="CB94" i="14" s="1"/>
  <c r="CC94" i="14" s="1"/>
  <c r="CD94" i="14" s="1"/>
  <c r="CE94" i="14" s="1"/>
  <c r="CF94" i="14" s="1"/>
  <c r="CG94" i="14" s="1"/>
  <c r="CH94" i="14" s="1"/>
  <c r="CI94" i="14" s="1"/>
  <c r="CJ94" i="14" s="1"/>
  <c r="CK94" i="14" s="1"/>
  <c r="CL94" i="14" s="1"/>
  <c r="CM94" i="14" s="1"/>
  <c r="CN94" i="14" s="1"/>
  <c r="CO94" i="14" s="1"/>
  <c r="CP94" i="14" s="1"/>
  <c r="CQ94" i="14" s="1"/>
  <c r="CR94" i="14" s="1"/>
  <c r="CS94" i="14" s="1"/>
  <c r="CT94" i="14" s="1"/>
  <c r="CU94" i="14" s="1"/>
  <c r="CV94" i="14" s="1"/>
  <c r="CW94" i="14" s="1"/>
  <c r="CX94" i="14" s="1"/>
  <c r="CY94" i="14" s="1"/>
  <c r="CZ94" i="14" s="1"/>
  <c r="DA94" i="14" s="1"/>
  <c r="DB94" i="14" s="1"/>
  <c r="DC94" i="14" s="1"/>
  <c r="DD94" i="14" s="1"/>
  <c r="DE94" i="14" s="1"/>
  <c r="DF94" i="14" s="1"/>
  <c r="DG94" i="14" s="1"/>
  <c r="DH94" i="14" s="1"/>
  <c r="DI94" i="14" s="1"/>
  <c r="DJ94" i="14" s="1"/>
  <c r="DK94" i="14" s="1"/>
  <c r="DL94" i="14" s="1"/>
  <c r="DM94" i="14" s="1"/>
  <c r="DN94" i="14" s="1"/>
  <c r="DO94" i="14" s="1"/>
  <c r="DP94" i="14" s="1"/>
  <c r="DQ94" i="14" s="1"/>
  <c r="DR94" i="14" s="1"/>
  <c r="A95" i="14"/>
  <c r="A96" i="14"/>
  <c r="A97" i="14"/>
  <c r="A98" i="14"/>
  <c r="A99" i="14"/>
  <c r="A100" i="14"/>
  <c r="B87" i="14"/>
  <c r="C87" i="14" s="1"/>
  <c r="D87" i="14" s="1"/>
  <c r="E87" i="14" s="1"/>
  <c r="F87" i="14" s="1"/>
  <c r="G87" i="14" s="1"/>
  <c r="H87" i="14" s="1"/>
  <c r="I87" i="14" s="1"/>
  <c r="J87" i="14" s="1"/>
  <c r="K87" i="14" s="1"/>
  <c r="L87" i="14" s="1"/>
  <c r="M87" i="14" s="1"/>
  <c r="N87" i="14" s="1"/>
  <c r="O87" i="14" s="1"/>
  <c r="P87" i="14" s="1"/>
  <c r="Q87" i="14" s="1"/>
  <c r="R87" i="14" s="1"/>
  <c r="S87" i="14" s="1"/>
  <c r="T87" i="14" s="1"/>
  <c r="U87" i="14" s="1"/>
  <c r="V87" i="14" s="1"/>
  <c r="W87" i="14" s="1"/>
  <c r="X87" i="14" s="1"/>
  <c r="Y87" i="14" s="1"/>
  <c r="Z87" i="14" s="1"/>
  <c r="AA87" i="14" s="1"/>
  <c r="AB87" i="14" s="1"/>
  <c r="AC87" i="14" s="1"/>
  <c r="AD87" i="14" s="1"/>
  <c r="AE87" i="14" s="1"/>
  <c r="AF87" i="14" s="1"/>
  <c r="AG87" i="14" s="1"/>
  <c r="AH87" i="14" s="1"/>
  <c r="AI87" i="14" s="1"/>
  <c r="AJ87" i="14" s="1"/>
  <c r="AK87" i="14" s="1"/>
  <c r="AL87" i="14" s="1"/>
  <c r="AM87" i="14" s="1"/>
  <c r="AN87" i="14" s="1"/>
  <c r="AO87" i="14" s="1"/>
  <c r="AP87" i="14" s="1"/>
  <c r="AQ87" i="14" s="1"/>
  <c r="AR87" i="14" s="1"/>
  <c r="AS87" i="14" s="1"/>
  <c r="AT87" i="14" s="1"/>
  <c r="AU87" i="14" s="1"/>
  <c r="AV87" i="14" s="1"/>
  <c r="AW87" i="14" s="1"/>
  <c r="AX87" i="14" s="1"/>
  <c r="AY87" i="14" s="1"/>
  <c r="AZ87" i="14" s="1"/>
  <c r="BA87" i="14" s="1"/>
  <c r="BB87" i="14" s="1"/>
  <c r="BC87" i="14" s="1"/>
  <c r="BD87" i="14" s="1"/>
  <c r="BE87" i="14" s="1"/>
  <c r="BF87" i="14" s="1"/>
  <c r="BG87" i="14" s="1"/>
  <c r="BH87" i="14" s="1"/>
  <c r="BI87" i="14" s="1"/>
  <c r="BJ87" i="14" s="1"/>
  <c r="BK87" i="14" s="1"/>
  <c r="BL87" i="14" s="1"/>
  <c r="BM87" i="14" s="1"/>
  <c r="BN87" i="14" s="1"/>
  <c r="BO87" i="14" s="1"/>
  <c r="BP87" i="14" s="1"/>
  <c r="BQ87" i="14" s="1"/>
  <c r="BR87" i="14" s="1"/>
  <c r="BS87" i="14" s="1"/>
  <c r="BT87" i="14" s="1"/>
  <c r="BU87" i="14" s="1"/>
  <c r="BV87" i="14" s="1"/>
  <c r="BW87" i="14" s="1"/>
  <c r="BX87" i="14" s="1"/>
  <c r="BY87" i="14" s="1"/>
  <c r="BZ87" i="14" s="1"/>
  <c r="CA87" i="14" s="1"/>
  <c r="CB87" i="14" s="1"/>
  <c r="CC87" i="14" s="1"/>
  <c r="CD87" i="14" s="1"/>
  <c r="CE87" i="14" s="1"/>
  <c r="CF87" i="14" s="1"/>
  <c r="CG87" i="14" s="1"/>
  <c r="CH87" i="14" s="1"/>
  <c r="CI87" i="14" s="1"/>
  <c r="CJ87" i="14" s="1"/>
  <c r="CK87" i="14" s="1"/>
  <c r="CL87" i="14" s="1"/>
  <c r="CM87" i="14" s="1"/>
  <c r="CN87" i="14" s="1"/>
  <c r="CO87" i="14" s="1"/>
  <c r="CP87" i="14" s="1"/>
  <c r="CQ87" i="14" s="1"/>
  <c r="CR87" i="14" s="1"/>
  <c r="CS87" i="14" s="1"/>
  <c r="CT87" i="14" s="1"/>
  <c r="CU87" i="14" s="1"/>
  <c r="CV87" i="14" s="1"/>
  <c r="CW87" i="14" s="1"/>
  <c r="CX87" i="14" s="1"/>
  <c r="CY87" i="14" s="1"/>
  <c r="CZ87" i="14" s="1"/>
  <c r="DA87" i="14" s="1"/>
  <c r="DB87" i="14" s="1"/>
  <c r="DC87" i="14" s="1"/>
  <c r="DD87" i="14" s="1"/>
  <c r="DE87" i="14" s="1"/>
  <c r="DF87" i="14" s="1"/>
  <c r="DG87" i="14" s="1"/>
  <c r="DH87" i="14" s="1"/>
  <c r="DI87" i="14" s="1"/>
  <c r="DJ87" i="14" s="1"/>
  <c r="DK87" i="14" s="1"/>
  <c r="DL87" i="14" s="1"/>
  <c r="DM87" i="14" s="1"/>
  <c r="DN87" i="14" s="1"/>
  <c r="DO87" i="14" s="1"/>
  <c r="DP87" i="14" s="1"/>
  <c r="DQ87" i="14" s="1"/>
  <c r="DR87" i="14" s="1"/>
  <c r="B79" i="14"/>
  <c r="C79" i="14" s="1"/>
  <c r="D79" i="14" s="1"/>
  <c r="E79" i="14" s="1"/>
  <c r="F79" i="14" s="1"/>
  <c r="G79" i="14" s="1"/>
  <c r="H79" i="14" s="1"/>
  <c r="I79" i="14" s="1"/>
  <c r="J79" i="14" s="1"/>
  <c r="K79" i="14" s="1"/>
  <c r="L79" i="14" s="1"/>
  <c r="M79" i="14" s="1"/>
  <c r="N79" i="14" s="1"/>
  <c r="O79" i="14" s="1"/>
  <c r="P79" i="14" s="1"/>
  <c r="Q79" i="14" s="1"/>
  <c r="R79" i="14" s="1"/>
  <c r="S79" i="14" s="1"/>
  <c r="T79" i="14" s="1"/>
  <c r="U79" i="14" s="1"/>
  <c r="V79" i="14" s="1"/>
  <c r="W79" i="14" s="1"/>
  <c r="X79" i="14" s="1"/>
  <c r="Y79" i="14" s="1"/>
  <c r="Z79" i="14" s="1"/>
  <c r="AA79" i="14" s="1"/>
  <c r="AB79" i="14" s="1"/>
  <c r="AC79" i="14" s="1"/>
  <c r="AD79" i="14" s="1"/>
  <c r="AE79" i="14" s="1"/>
  <c r="AF79" i="14" s="1"/>
  <c r="AG79" i="14" s="1"/>
  <c r="AH79" i="14" s="1"/>
  <c r="AI79" i="14" s="1"/>
  <c r="AJ79" i="14" s="1"/>
  <c r="AK79" i="14" s="1"/>
  <c r="AL79" i="14" s="1"/>
  <c r="AM79" i="14" s="1"/>
  <c r="AN79" i="14" s="1"/>
  <c r="AO79" i="14" s="1"/>
  <c r="AP79" i="14" s="1"/>
  <c r="AQ79" i="14" s="1"/>
  <c r="AR79" i="14" s="1"/>
  <c r="AS79" i="14" s="1"/>
  <c r="AT79" i="14" s="1"/>
  <c r="AU79" i="14" s="1"/>
  <c r="AV79" i="14" s="1"/>
  <c r="AW79" i="14" s="1"/>
  <c r="AX79" i="14" s="1"/>
  <c r="AY79" i="14" s="1"/>
  <c r="AZ79" i="14" s="1"/>
  <c r="BA79" i="14" s="1"/>
  <c r="BB79" i="14" s="1"/>
  <c r="BC79" i="14" s="1"/>
  <c r="BD79" i="14" s="1"/>
  <c r="BE79" i="14" s="1"/>
  <c r="BF79" i="14" s="1"/>
  <c r="BG79" i="14" s="1"/>
  <c r="BH79" i="14" s="1"/>
  <c r="BI79" i="14" s="1"/>
  <c r="BJ79" i="14" s="1"/>
  <c r="BK79" i="14" s="1"/>
  <c r="BL79" i="14" s="1"/>
  <c r="BM79" i="14" s="1"/>
  <c r="BN79" i="14" s="1"/>
  <c r="BO79" i="14" s="1"/>
  <c r="BP79" i="14" s="1"/>
  <c r="BQ79" i="14" s="1"/>
  <c r="BR79" i="14" s="1"/>
  <c r="BS79" i="14" s="1"/>
  <c r="BT79" i="14" s="1"/>
  <c r="BU79" i="14" s="1"/>
  <c r="BV79" i="14" s="1"/>
  <c r="BW79" i="14" s="1"/>
  <c r="BX79" i="14" s="1"/>
  <c r="BY79" i="14" s="1"/>
  <c r="BZ79" i="14" s="1"/>
  <c r="CA79" i="14" s="1"/>
  <c r="CB79" i="14" s="1"/>
  <c r="CC79" i="14" s="1"/>
  <c r="CD79" i="14" s="1"/>
  <c r="CE79" i="14" s="1"/>
  <c r="CF79" i="14" s="1"/>
  <c r="CG79" i="14" s="1"/>
  <c r="CH79" i="14" s="1"/>
  <c r="CI79" i="14" s="1"/>
  <c r="CJ79" i="14" s="1"/>
  <c r="CK79" i="14" s="1"/>
  <c r="CL79" i="14" s="1"/>
  <c r="CM79" i="14" s="1"/>
  <c r="CN79" i="14" s="1"/>
  <c r="CO79" i="14" s="1"/>
  <c r="CP79" i="14" s="1"/>
  <c r="CQ79" i="14" s="1"/>
  <c r="CR79" i="14" s="1"/>
  <c r="CS79" i="14" s="1"/>
  <c r="CT79" i="14" s="1"/>
  <c r="CU79" i="14" s="1"/>
  <c r="CV79" i="14" s="1"/>
  <c r="CW79" i="14" s="1"/>
  <c r="CX79" i="14" s="1"/>
  <c r="CY79" i="14" s="1"/>
  <c r="CZ79" i="14" s="1"/>
  <c r="DA79" i="14" s="1"/>
  <c r="DB79" i="14" s="1"/>
  <c r="DC79" i="14" s="1"/>
  <c r="DD79" i="14" s="1"/>
  <c r="DE79" i="14" s="1"/>
  <c r="DF79" i="14" s="1"/>
  <c r="DG79" i="14" s="1"/>
  <c r="DH79" i="14" s="1"/>
  <c r="DI79" i="14" s="1"/>
  <c r="DJ79" i="14" s="1"/>
  <c r="DK79" i="14" s="1"/>
  <c r="DL79" i="14" s="1"/>
  <c r="DM79" i="14" s="1"/>
  <c r="DN79" i="14" s="1"/>
  <c r="DO79" i="14" s="1"/>
  <c r="DP79" i="14" s="1"/>
  <c r="DQ79" i="14" s="1"/>
  <c r="DR79" i="14" s="1"/>
  <c r="B71" i="14"/>
  <c r="C71" i="14" s="1"/>
  <c r="D71" i="14" s="1"/>
  <c r="E71" i="14" s="1"/>
  <c r="F71" i="14" s="1"/>
  <c r="G71" i="14" s="1"/>
  <c r="H71" i="14" s="1"/>
  <c r="I71" i="14" s="1"/>
  <c r="J71" i="14" s="1"/>
  <c r="K71" i="14" s="1"/>
  <c r="L71" i="14" s="1"/>
  <c r="M71" i="14" s="1"/>
  <c r="N71" i="14" s="1"/>
  <c r="O71" i="14" s="1"/>
  <c r="P71" i="14" s="1"/>
  <c r="Q71" i="14" s="1"/>
  <c r="R71" i="14" s="1"/>
  <c r="S71" i="14" s="1"/>
  <c r="T71" i="14" s="1"/>
  <c r="U71" i="14" s="1"/>
  <c r="V71" i="14" s="1"/>
  <c r="W71" i="14" s="1"/>
  <c r="X71" i="14" s="1"/>
  <c r="Y71" i="14" s="1"/>
  <c r="Z71" i="14" s="1"/>
  <c r="AA71" i="14" s="1"/>
  <c r="AB71" i="14" s="1"/>
  <c r="AC71" i="14" s="1"/>
  <c r="AD71" i="14" s="1"/>
  <c r="AE71" i="14" s="1"/>
  <c r="AF71" i="14" s="1"/>
  <c r="AG71" i="14" s="1"/>
  <c r="AH71" i="14" s="1"/>
  <c r="AI71" i="14" s="1"/>
  <c r="AJ71" i="14" s="1"/>
  <c r="AK71" i="14" s="1"/>
  <c r="AL71" i="14" s="1"/>
  <c r="AM71" i="14" s="1"/>
  <c r="AN71" i="14" s="1"/>
  <c r="AO71" i="14" s="1"/>
  <c r="AP71" i="14" s="1"/>
  <c r="AQ71" i="14" s="1"/>
  <c r="AR71" i="14" s="1"/>
  <c r="AS71" i="14" s="1"/>
  <c r="AT71" i="14" s="1"/>
  <c r="AU71" i="14" s="1"/>
  <c r="AV71" i="14" s="1"/>
  <c r="AW71" i="14" s="1"/>
  <c r="AX71" i="14" s="1"/>
  <c r="AY71" i="14" s="1"/>
  <c r="AZ71" i="14" s="1"/>
  <c r="BA71" i="14" s="1"/>
  <c r="BB71" i="14" s="1"/>
  <c r="BC71" i="14" s="1"/>
  <c r="BD71" i="14" s="1"/>
  <c r="BE71" i="14" s="1"/>
  <c r="BF71" i="14" s="1"/>
  <c r="BG71" i="14" s="1"/>
  <c r="BH71" i="14" s="1"/>
  <c r="BI71" i="14" s="1"/>
  <c r="BJ71" i="14" s="1"/>
  <c r="BK71" i="14" s="1"/>
  <c r="BL71" i="14" s="1"/>
  <c r="BM71" i="14" s="1"/>
  <c r="BN71" i="14" s="1"/>
  <c r="BO71" i="14" s="1"/>
  <c r="BP71" i="14" s="1"/>
  <c r="BQ71" i="14" s="1"/>
  <c r="BR71" i="14" s="1"/>
  <c r="BS71" i="14" s="1"/>
  <c r="BT71" i="14" s="1"/>
  <c r="BU71" i="14" s="1"/>
  <c r="BV71" i="14" s="1"/>
  <c r="BW71" i="14" s="1"/>
  <c r="BX71" i="14" s="1"/>
  <c r="BY71" i="14" s="1"/>
  <c r="BZ71" i="14" s="1"/>
  <c r="CA71" i="14" s="1"/>
  <c r="CB71" i="14" s="1"/>
  <c r="CC71" i="14" s="1"/>
  <c r="CD71" i="14" s="1"/>
  <c r="CE71" i="14" s="1"/>
  <c r="CF71" i="14" s="1"/>
  <c r="CG71" i="14" s="1"/>
  <c r="CH71" i="14" s="1"/>
  <c r="CI71" i="14" s="1"/>
  <c r="CJ71" i="14" s="1"/>
  <c r="CK71" i="14" s="1"/>
  <c r="CL71" i="14" s="1"/>
  <c r="CM71" i="14" s="1"/>
  <c r="CN71" i="14" s="1"/>
  <c r="CO71" i="14" s="1"/>
  <c r="CP71" i="14" s="1"/>
  <c r="CQ71" i="14" s="1"/>
  <c r="CR71" i="14" s="1"/>
  <c r="CS71" i="14" s="1"/>
  <c r="CT71" i="14" s="1"/>
  <c r="CU71" i="14" s="1"/>
  <c r="CV71" i="14" s="1"/>
  <c r="CW71" i="14" s="1"/>
  <c r="CX71" i="14" s="1"/>
  <c r="CY71" i="14" s="1"/>
  <c r="CZ71" i="14" s="1"/>
  <c r="DA71" i="14" s="1"/>
  <c r="DB71" i="14" s="1"/>
  <c r="DC71" i="14" s="1"/>
  <c r="DD71" i="14" s="1"/>
  <c r="DE71" i="14" s="1"/>
  <c r="DF71" i="14" s="1"/>
  <c r="DG71" i="14" s="1"/>
  <c r="DH71" i="14" s="1"/>
  <c r="DI71" i="14" s="1"/>
  <c r="DJ71" i="14" s="1"/>
  <c r="DK71" i="14" s="1"/>
  <c r="DL71" i="14" s="1"/>
  <c r="DM71" i="14" s="1"/>
  <c r="DN71" i="14" s="1"/>
  <c r="DO71" i="14" s="1"/>
  <c r="DP71" i="14" s="1"/>
  <c r="DQ71" i="14" s="1"/>
  <c r="DR71" i="14" s="1"/>
  <c r="B56" i="14"/>
  <c r="C56" i="14" s="1"/>
  <c r="D56" i="14" s="1"/>
  <c r="E56" i="14" s="1"/>
  <c r="F56" i="14" s="1"/>
  <c r="G56" i="14" s="1"/>
  <c r="H56" i="14" s="1"/>
  <c r="I56" i="14" s="1"/>
  <c r="J56" i="14" s="1"/>
  <c r="K56" i="14" s="1"/>
  <c r="L56" i="14" s="1"/>
  <c r="M56" i="14" s="1"/>
  <c r="N56" i="14" s="1"/>
  <c r="O56" i="14" s="1"/>
  <c r="P56" i="14" s="1"/>
  <c r="Q56" i="14" s="1"/>
  <c r="R56" i="14" s="1"/>
  <c r="S56" i="14" s="1"/>
  <c r="T56" i="14" s="1"/>
  <c r="U56" i="14" s="1"/>
  <c r="V56" i="14" s="1"/>
  <c r="W56" i="14" s="1"/>
  <c r="X56" i="14" s="1"/>
  <c r="Y56" i="14" s="1"/>
  <c r="Z56" i="14" s="1"/>
  <c r="AA56" i="14" s="1"/>
  <c r="AB56" i="14" s="1"/>
  <c r="AC56" i="14" s="1"/>
  <c r="AD56" i="14" s="1"/>
  <c r="AE56" i="14" s="1"/>
  <c r="AF56" i="14" s="1"/>
  <c r="AG56" i="14" s="1"/>
  <c r="AH56" i="14" s="1"/>
  <c r="AI56" i="14" s="1"/>
  <c r="AJ56" i="14" s="1"/>
  <c r="AK56" i="14" s="1"/>
  <c r="AL56" i="14" s="1"/>
  <c r="AM56" i="14" s="1"/>
  <c r="AN56" i="14" s="1"/>
  <c r="AO56" i="14" s="1"/>
  <c r="AP56" i="14" s="1"/>
  <c r="AQ56" i="14" s="1"/>
  <c r="AR56" i="14" s="1"/>
  <c r="AS56" i="14" s="1"/>
  <c r="AT56" i="14" s="1"/>
  <c r="AU56" i="14" s="1"/>
  <c r="AV56" i="14" s="1"/>
  <c r="AW56" i="14" s="1"/>
  <c r="AX56" i="14" s="1"/>
  <c r="AY56" i="14" s="1"/>
  <c r="AZ56" i="14" s="1"/>
  <c r="BA56" i="14" s="1"/>
  <c r="BB56" i="14" s="1"/>
  <c r="BC56" i="14" s="1"/>
  <c r="BD56" i="14" s="1"/>
  <c r="BE56" i="14" s="1"/>
  <c r="BF56" i="14" s="1"/>
  <c r="BG56" i="14" s="1"/>
  <c r="BH56" i="14" s="1"/>
  <c r="BI56" i="14" s="1"/>
  <c r="BJ56" i="14" s="1"/>
  <c r="BK56" i="14" s="1"/>
  <c r="BL56" i="14" s="1"/>
  <c r="BM56" i="14" s="1"/>
  <c r="BN56" i="14" s="1"/>
  <c r="BO56" i="14" s="1"/>
  <c r="BP56" i="14" s="1"/>
  <c r="BQ56" i="14" s="1"/>
  <c r="BR56" i="14" s="1"/>
  <c r="BS56" i="14" s="1"/>
  <c r="BT56" i="14" s="1"/>
  <c r="BU56" i="14" s="1"/>
  <c r="BV56" i="14" s="1"/>
  <c r="BW56" i="14" s="1"/>
  <c r="BX56" i="14" s="1"/>
  <c r="BY56" i="14" s="1"/>
  <c r="BZ56" i="14" s="1"/>
  <c r="CA56" i="14" s="1"/>
  <c r="CB56" i="14" s="1"/>
  <c r="CC56" i="14" s="1"/>
  <c r="CD56" i="14" s="1"/>
  <c r="CE56" i="14" s="1"/>
  <c r="CF56" i="14" s="1"/>
  <c r="CG56" i="14" s="1"/>
  <c r="CH56" i="14" s="1"/>
  <c r="CI56" i="14" s="1"/>
  <c r="CJ56" i="14" s="1"/>
  <c r="CK56" i="14" s="1"/>
  <c r="CL56" i="14" s="1"/>
  <c r="CM56" i="14" s="1"/>
  <c r="CN56" i="14" s="1"/>
  <c r="CO56" i="14" s="1"/>
  <c r="CP56" i="14" s="1"/>
  <c r="CQ56" i="14" s="1"/>
  <c r="CR56" i="14" s="1"/>
  <c r="CS56" i="14" s="1"/>
  <c r="CT56" i="14" s="1"/>
  <c r="CU56" i="14" s="1"/>
  <c r="CV56" i="14" s="1"/>
  <c r="CW56" i="14" s="1"/>
  <c r="CX56" i="14" s="1"/>
  <c r="CY56" i="14" s="1"/>
  <c r="CZ56" i="14" s="1"/>
  <c r="DA56" i="14" s="1"/>
  <c r="DB56" i="14" s="1"/>
  <c r="DC56" i="14" s="1"/>
  <c r="DD56" i="14" s="1"/>
  <c r="DE56" i="14" s="1"/>
  <c r="DF56" i="14" s="1"/>
  <c r="DG56" i="14" s="1"/>
  <c r="DH56" i="14" s="1"/>
  <c r="DI56" i="14" s="1"/>
  <c r="DJ56" i="14" s="1"/>
  <c r="DK56" i="14" s="1"/>
  <c r="DL56" i="14" s="1"/>
  <c r="DM56" i="14" s="1"/>
  <c r="DN56" i="14" s="1"/>
  <c r="DO56" i="14" s="1"/>
  <c r="DP56" i="14" s="1"/>
  <c r="DQ56" i="14" s="1"/>
  <c r="DR56" i="14" s="1"/>
  <c r="B44" i="14"/>
  <c r="C44" i="14" s="1"/>
  <c r="D44" i="14" s="1"/>
  <c r="E44" i="14" s="1"/>
  <c r="F44" i="14" s="1"/>
  <c r="G44" i="14" s="1"/>
  <c r="H44" i="14" s="1"/>
  <c r="I44" i="14" s="1"/>
  <c r="J44" i="14" s="1"/>
  <c r="K44" i="14" s="1"/>
  <c r="L44" i="14" s="1"/>
  <c r="M44" i="14" s="1"/>
  <c r="N44" i="14" s="1"/>
  <c r="O44" i="14" s="1"/>
  <c r="P44" i="14" s="1"/>
  <c r="Q44" i="14" s="1"/>
  <c r="R44" i="14" s="1"/>
  <c r="S44" i="14" s="1"/>
  <c r="T44" i="14" s="1"/>
  <c r="U44" i="14" s="1"/>
  <c r="V44" i="14" s="1"/>
  <c r="W44" i="14" s="1"/>
  <c r="X44" i="14" s="1"/>
  <c r="Y44" i="14" s="1"/>
  <c r="Z44" i="14" s="1"/>
  <c r="AA44" i="14" s="1"/>
  <c r="AB44" i="14" s="1"/>
  <c r="AC44" i="14" s="1"/>
  <c r="AD44" i="14" s="1"/>
  <c r="AE44" i="14" s="1"/>
  <c r="AF44" i="14" s="1"/>
  <c r="AG44" i="14" s="1"/>
  <c r="AH44" i="14" s="1"/>
  <c r="AI44" i="14" s="1"/>
  <c r="AJ44" i="14" s="1"/>
  <c r="AK44" i="14" s="1"/>
  <c r="AL44" i="14" s="1"/>
  <c r="AM44" i="14" s="1"/>
  <c r="AN44" i="14" s="1"/>
  <c r="AO44" i="14" s="1"/>
  <c r="AP44" i="14" s="1"/>
  <c r="AQ44" i="14" s="1"/>
  <c r="AR44" i="14" s="1"/>
  <c r="AS44" i="14" s="1"/>
  <c r="AT44" i="14" s="1"/>
  <c r="AU44" i="14" s="1"/>
  <c r="AV44" i="14" s="1"/>
  <c r="AW44" i="14" s="1"/>
  <c r="AX44" i="14" s="1"/>
  <c r="AY44" i="14" s="1"/>
  <c r="AZ44" i="14" s="1"/>
  <c r="BA44" i="14" s="1"/>
  <c r="BB44" i="14" s="1"/>
  <c r="BC44" i="14" s="1"/>
  <c r="BD44" i="14" s="1"/>
  <c r="BE44" i="14" s="1"/>
  <c r="BF44" i="14" s="1"/>
  <c r="BG44" i="14" s="1"/>
  <c r="BH44" i="14" s="1"/>
  <c r="BI44" i="14" s="1"/>
  <c r="BJ44" i="14" s="1"/>
  <c r="BK44" i="14" s="1"/>
  <c r="BL44" i="14" s="1"/>
  <c r="BM44" i="14" s="1"/>
  <c r="BN44" i="14" s="1"/>
  <c r="BO44" i="14" s="1"/>
  <c r="BP44" i="14" s="1"/>
  <c r="BQ44" i="14" s="1"/>
  <c r="BR44" i="14" s="1"/>
  <c r="BS44" i="14" s="1"/>
  <c r="BT44" i="14" s="1"/>
  <c r="BU44" i="14" s="1"/>
  <c r="BV44" i="14" s="1"/>
  <c r="BW44" i="14" s="1"/>
  <c r="BX44" i="14" s="1"/>
  <c r="BY44" i="14" s="1"/>
  <c r="BZ44" i="14" s="1"/>
  <c r="CA44" i="14" s="1"/>
  <c r="CB44" i="14" s="1"/>
  <c r="CC44" i="14" s="1"/>
  <c r="CD44" i="14" s="1"/>
  <c r="CE44" i="14" s="1"/>
  <c r="CF44" i="14" s="1"/>
  <c r="CG44" i="14" s="1"/>
  <c r="CH44" i="14" s="1"/>
  <c r="CI44" i="14" s="1"/>
  <c r="CJ44" i="14" s="1"/>
  <c r="CK44" i="14" s="1"/>
  <c r="CL44" i="14" s="1"/>
  <c r="CM44" i="14" s="1"/>
  <c r="CN44" i="14" s="1"/>
  <c r="CO44" i="14" s="1"/>
  <c r="CP44" i="14" s="1"/>
  <c r="CQ44" i="14" s="1"/>
  <c r="CR44" i="14" s="1"/>
  <c r="CS44" i="14" s="1"/>
  <c r="CT44" i="14" s="1"/>
  <c r="CU44" i="14" s="1"/>
  <c r="CV44" i="14" s="1"/>
  <c r="CW44" i="14" s="1"/>
  <c r="CX44" i="14" s="1"/>
  <c r="CY44" i="14" s="1"/>
  <c r="CZ44" i="14" s="1"/>
  <c r="DA44" i="14" s="1"/>
  <c r="DB44" i="14" s="1"/>
  <c r="DC44" i="14" s="1"/>
  <c r="DD44" i="14" s="1"/>
  <c r="DE44" i="14" s="1"/>
  <c r="DF44" i="14" s="1"/>
  <c r="DG44" i="14" s="1"/>
  <c r="DH44" i="14" s="1"/>
  <c r="DI44" i="14" s="1"/>
  <c r="DJ44" i="14" s="1"/>
  <c r="DK44" i="14" s="1"/>
  <c r="DL44" i="14" s="1"/>
  <c r="DM44" i="14" s="1"/>
  <c r="DN44" i="14" s="1"/>
  <c r="DO44" i="14" s="1"/>
  <c r="DP44" i="14" s="1"/>
  <c r="DQ44" i="14" s="1"/>
  <c r="DR44" i="14" s="1"/>
  <c r="B15" i="14"/>
  <c r="C15" i="14" s="1"/>
  <c r="D15" i="14" s="1"/>
  <c r="E15" i="14" s="1"/>
  <c r="F15" i="14" s="1"/>
  <c r="G15" i="14" s="1"/>
  <c r="H15" i="14" s="1"/>
  <c r="I15" i="14" s="1"/>
  <c r="J15" i="14" s="1"/>
  <c r="K15" i="14" s="1"/>
  <c r="L15" i="14" s="1"/>
  <c r="M15" i="14" s="1"/>
  <c r="N15" i="14" s="1"/>
  <c r="O15" i="14" s="1"/>
  <c r="P15" i="14" s="1"/>
  <c r="Q15" i="14" s="1"/>
  <c r="R15" i="14" s="1"/>
  <c r="S15" i="14" s="1"/>
  <c r="T15" i="14" s="1"/>
  <c r="U15" i="14" s="1"/>
  <c r="V15" i="14" s="1"/>
  <c r="W15" i="14" s="1"/>
  <c r="X15" i="14" s="1"/>
  <c r="Y15" i="14" s="1"/>
  <c r="Z15" i="14" s="1"/>
  <c r="AA15" i="14" s="1"/>
  <c r="AB15" i="14" s="1"/>
  <c r="AC15" i="14" s="1"/>
  <c r="AD15" i="14" s="1"/>
  <c r="AE15" i="14" s="1"/>
  <c r="AF15" i="14" s="1"/>
  <c r="AG15" i="14" s="1"/>
  <c r="AH15" i="14" s="1"/>
  <c r="AI15" i="14" s="1"/>
  <c r="AJ15" i="14" s="1"/>
  <c r="AK15" i="14" s="1"/>
  <c r="AL15" i="14" s="1"/>
  <c r="AM15" i="14" s="1"/>
  <c r="AN15" i="14" s="1"/>
  <c r="AO15" i="14" s="1"/>
  <c r="AP15" i="14" s="1"/>
  <c r="AQ15" i="14" s="1"/>
  <c r="AR15" i="14" s="1"/>
  <c r="AS15" i="14" s="1"/>
  <c r="AT15" i="14" s="1"/>
  <c r="AU15" i="14" s="1"/>
  <c r="AV15" i="14" s="1"/>
  <c r="AW15" i="14" s="1"/>
  <c r="AX15" i="14" s="1"/>
  <c r="AY15" i="14" s="1"/>
  <c r="AZ15" i="14" s="1"/>
  <c r="BA15" i="14" s="1"/>
  <c r="BB15" i="14" s="1"/>
  <c r="BC15" i="14" s="1"/>
  <c r="BD15" i="14" s="1"/>
  <c r="BE15" i="14" s="1"/>
  <c r="BF15" i="14" s="1"/>
  <c r="BG15" i="14" s="1"/>
  <c r="BH15" i="14" s="1"/>
  <c r="BI15" i="14" s="1"/>
  <c r="BJ15" i="14" s="1"/>
  <c r="BK15" i="14" s="1"/>
  <c r="BL15" i="14" s="1"/>
  <c r="BM15" i="14" s="1"/>
  <c r="BN15" i="14" s="1"/>
  <c r="BO15" i="14" s="1"/>
  <c r="BP15" i="14" s="1"/>
  <c r="BQ15" i="14" s="1"/>
  <c r="BR15" i="14" s="1"/>
  <c r="BS15" i="14" s="1"/>
  <c r="BT15" i="14" s="1"/>
  <c r="BU15" i="14" s="1"/>
  <c r="BV15" i="14" s="1"/>
  <c r="BW15" i="14" s="1"/>
  <c r="BX15" i="14" s="1"/>
  <c r="BY15" i="14" s="1"/>
  <c r="BZ15" i="14" s="1"/>
  <c r="CA15" i="14" s="1"/>
  <c r="CB15" i="14" s="1"/>
  <c r="CC15" i="14" s="1"/>
  <c r="CD15" i="14" s="1"/>
  <c r="CE15" i="14" s="1"/>
  <c r="CF15" i="14" s="1"/>
  <c r="CG15" i="14" s="1"/>
  <c r="CH15" i="14" s="1"/>
  <c r="CI15" i="14" s="1"/>
  <c r="CJ15" i="14" s="1"/>
  <c r="CK15" i="14" s="1"/>
  <c r="CL15" i="14" s="1"/>
  <c r="CM15" i="14" s="1"/>
  <c r="CN15" i="14" s="1"/>
  <c r="CO15" i="14" s="1"/>
  <c r="CP15" i="14" s="1"/>
  <c r="CQ15" i="14" s="1"/>
  <c r="CR15" i="14" s="1"/>
  <c r="CS15" i="14" s="1"/>
  <c r="CT15" i="14" s="1"/>
  <c r="CU15" i="14" s="1"/>
  <c r="CV15" i="14" s="1"/>
  <c r="CW15" i="14" s="1"/>
  <c r="CX15" i="14" s="1"/>
  <c r="CY15" i="14" s="1"/>
  <c r="CZ15" i="14" s="1"/>
  <c r="DA15" i="14" s="1"/>
  <c r="DB15" i="14" s="1"/>
  <c r="DC15" i="14" s="1"/>
  <c r="DD15" i="14" s="1"/>
  <c r="DE15" i="14" s="1"/>
  <c r="DF15" i="14" s="1"/>
  <c r="DG15" i="14" s="1"/>
  <c r="DH15" i="14" s="1"/>
  <c r="DI15" i="14" s="1"/>
  <c r="DJ15" i="14" s="1"/>
  <c r="DK15" i="14" s="1"/>
  <c r="DL15" i="14" s="1"/>
  <c r="DM15" i="14" s="1"/>
  <c r="DN15" i="14" s="1"/>
  <c r="DO15" i="14" s="1"/>
  <c r="DP15" i="14" s="1"/>
  <c r="DQ15" i="14" s="1"/>
  <c r="DR15" i="14" s="1"/>
  <c r="B13" i="14"/>
  <c r="C13" i="14" s="1"/>
  <c r="D13" i="14" s="1"/>
  <c r="E13" i="14" s="1"/>
  <c r="F13" i="14" s="1"/>
  <c r="G13" i="14" s="1"/>
  <c r="H13" i="14" s="1"/>
  <c r="I13" i="14" s="1"/>
  <c r="J13" i="14" s="1"/>
  <c r="K13" i="14" s="1"/>
  <c r="L13" i="14" s="1"/>
  <c r="M13" i="14" s="1"/>
  <c r="N13" i="14" s="1"/>
  <c r="O13" i="14" s="1"/>
  <c r="P13" i="14" s="1"/>
  <c r="Q13" i="14" s="1"/>
  <c r="R13" i="14" s="1"/>
  <c r="S13" i="14" s="1"/>
  <c r="T13" i="14" s="1"/>
  <c r="U13" i="14" s="1"/>
  <c r="V13" i="14" s="1"/>
  <c r="W13" i="14" s="1"/>
  <c r="X13" i="14" s="1"/>
  <c r="Y13" i="14" s="1"/>
  <c r="Z13" i="14" s="1"/>
  <c r="AA13" i="14" s="1"/>
  <c r="AB13" i="14" s="1"/>
  <c r="AC13" i="14" s="1"/>
  <c r="AD13" i="14" s="1"/>
  <c r="AE13" i="14" s="1"/>
  <c r="AF13" i="14" s="1"/>
  <c r="AG13" i="14" s="1"/>
  <c r="AH13" i="14" s="1"/>
  <c r="AI13" i="14" s="1"/>
  <c r="AJ13" i="14" s="1"/>
  <c r="AK13" i="14" s="1"/>
  <c r="AL13" i="14" s="1"/>
  <c r="AM13" i="14" s="1"/>
  <c r="AN13" i="14" s="1"/>
  <c r="AO13" i="14" s="1"/>
  <c r="AP13" i="14" s="1"/>
  <c r="AQ13" i="14" s="1"/>
  <c r="AR13" i="14" s="1"/>
  <c r="AS13" i="14" s="1"/>
  <c r="AT13" i="14" s="1"/>
  <c r="AU13" i="14" s="1"/>
  <c r="AV13" i="14" s="1"/>
  <c r="AW13" i="14" s="1"/>
  <c r="AX13" i="14" s="1"/>
  <c r="AY13" i="14" s="1"/>
  <c r="AZ13" i="14" s="1"/>
  <c r="BA13" i="14" s="1"/>
  <c r="BB13" i="14" s="1"/>
  <c r="BC13" i="14" s="1"/>
  <c r="BD13" i="14" s="1"/>
  <c r="BE13" i="14" s="1"/>
  <c r="BF13" i="14" s="1"/>
  <c r="BG13" i="14" s="1"/>
  <c r="BH13" i="14" s="1"/>
  <c r="BI13" i="14" s="1"/>
  <c r="BJ13" i="14" s="1"/>
  <c r="BK13" i="14" s="1"/>
  <c r="BL13" i="14" s="1"/>
  <c r="BM13" i="14" s="1"/>
  <c r="BN13" i="14" s="1"/>
  <c r="BO13" i="14" s="1"/>
  <c r="BP13" i="14" s="1"/>
  <c r="BQ13" i="14" s="1"/>
  <c r="BR13" i="14" s="1"/>
  <c r="BS13" i="14" s="1"/>
  <c r="BT13" i="14" s="1"/>
  <c r="BU13" i="14" s="1"/>
  <c r="BV13" i="14" s="1"/>
  <c r="BW13" i="14" s="1"/>
  <c r="BX13" i="14" s="1"/>
  <c r="BY13" i="14" s="1"/>
  <c r="BZ13" i="14" s="1"/>
  <c r="CA13" i="14" s="1"/>
  <c r="CB13" i="14" s="1"/>
  <c r="CC13" i="14" s="1"/>
  <c r="CD13" i="14" s="1"/>
  <c r="CE13" i="14" s="1"/>
  <c r="CF13" i="14" s="1"/>
  <c r="CG13" i="14" s="1"/>
  <c r="CH13" i="14" s="1"/>
  <c r="CI13" i="14" s="1"/>
  <c r="CJ13" i="14" s="1"/>
  <c r="CK13" i="14" s="1"/>
  <c r="CL13" i="14" s="1"/>
  <c r="CM13" i="14" s="1"/>
  <c r="CN13" i="14" s="1"/>
  <c r="CO13" i="14" s="1"/>
  <c r="CP13" i="14" s="1"/>
  <c r="CQ13" i="14" s="1"/>
  <c r="CR13" i="14" s="1"/>
  <c r="CS13" i="14" s="1"/>
  <c r="CT13" i="14" s="1"/>
  <c r="CU13" i="14" s="1"/>
  <c r="CV13" i="14" s="1"/>
  <c r="CW13" i="14" s="1"/>
  <c r="CX13" i="14" s="1"/>
  <c r="CY13" i="14" s="1"/>
  <c r="CZ13" i="14" s="1"/>
  <c r="DA13" i="14" s="1"/>
  <c r="DB13" i="14" s="1"/>
  <c r="DC13" i="14" s="1"/>
  <c r="DD13" i="14" s="1"/>
  <c r="DE13" i="14" s="1"/>
  <c r="DF13" i="14" s="1"/>
  <c r="DG13" i="14" s="1"/>
  <c r="DH13" i="14" s="1"/>
  <c r="DI13" i="14" s="1"/>
  <c r="DJ13" i="14" s="1"/>
  <c r="DK13" i="14" s="1"/>
  <c r="DL13" i="14" s="1"/>
  <c r="DM13" i="14" s="1"/>
  <c r="DN13" i="14" s="1"/>
  <c r="DO13" i="14" s="1"/>
  <c r="DP13" i="14" s="1"/>
  <c r="DQ13" i="14" s="1"/>
  <c r="DR13" i="14" s="1"/>
  <c r="B12" i="14"/>
  <c r="C12" i="14" s="1"/>
  <c r="D12" i="14" s="1"/>
  <c r="E12" i="14" s="1"/>
  <c r="F12" i="14" s="1"/>
  <c r="G12" i="14" s="1"/>
  <c r="H12" i="14" s="1"/>
  <c r="I12" i="14" s="1"/>
  <c r="J12" i="14" s="1"/>
  <c r="K12" i="14" s="1"/>
  <c r="L12" i="14" s="1"/>
  <c r="M12" i="14" s="1"/>
  <c r="N12" i="14" s="1"/>
  <c r="O12" i="14" s="1"/>
  <c r="P12" i="14" s="1"/>
  <c r="Q12" i="14" s="1"/>
  <c r="R12" i="14" s="1"/>
  <c r="S12" i="14" s="1"/>
  <c r="T12" i="14" s="1"/>
  <c r="U12" i="14" s="1"/>
  <c r="V12" i="14" s="1"/>
  <c r="W12" i="14" s="1"/>
  <c r="X12" i="14" s="1"/>
  <c r="Y12" i="14" s="1"/>
  <c r="Z12" i="14" s="1"/>
  <c r="AA12" i="14" s="1"/>
  <c r="AB12" i="14" s="1"/>
  <c r="AC12" i="14" s="1"/>
  <c r="AD12" i="14" s="1"/>
  <c r="AE12" i="14" s="1"/>
  <c r="AF12" i="14" s="1"/>
  <c r="AG12" i="14" s="1"/>
  <c r="AH12" i="14" s="1"/>
  <c r="AI12" i="14" s="1"/>
  <c r="AJ12" i="14" s="1"/>
  <c r="AK12" i="14" s="1"/>
  <c r="AL12" i="14" s="1"/>
  <c r="AM12" i="14" s="1"/>
  <c r="AN12" i="14" s="1"/>
  <c r="AO12" i="14" s="1"/>
  <c r="AP12" i="14" s="1"/>
  <c r="AQ12" i="14" s="1"/>
  <c r="AR12" i="14" s="1"/>
  <c r="AS12" i="14" s="1"/>
  <c r="AT12" i="14" s="1"/>
  <c r="AU12" i="14" s="1"/>
  <c r="AV12" i="14" s="1"/>
  <c r="AW12" i="14" s="1"/>
  <c r="AX12" i="14" s="1"/>
  <c r="AY12" i="14" s="1"/>
  <c r="AZ12" i="14" s="1"/>
  <c r="BA12" i="14" s="1"/>
  <c r="BB12" i="14" s="1"/>
  <c r="BC12" i="14" s="1"/>
  <c r="BD12" i="14" s="1"/>
  <c r="BE12" i="14" s="1"/>
  <c r="BF12" i="14" s="1"/>
  <c r="BG12" i="14" s="1"/>
  <c r="BH12" i="14" s="1"/>
  <c r="BI12" i="14" s="1"/>
  <c r="BJ12" i="14" s="1"/>
  <c r="BK12" i="14" s="1"/>
  <c r="BL12" i="14" s="1"/>
  <c r="BM12" i="14" s="1"/>
  <c r="BN12" i="14" s="1"/>
  <c r="BO12" i="14" s="1"/>
  <c r="BP12" i="14" s="1"/>
  <c r="BQ12" i="14" s="1"/>
  <c r="BR12" i="14" s="1"/>
  <c r="BS12" i="14" s="1"/>
  <c r="BT12" i="14" s="1"/>
  <c r="BU12" i="14" s="1"/>
  <c r="BV12" i="14" s="1"/>
  <c r="BW12" i="14" s="1"/>
  <c r="BX12" i="14" s="1"/>
  <c r="BY12" i="14" s="1"/>
  <c r="BZ12" i="14" s="1"/>
  <c r="CA12" i="14" s="1"/>
  <c r="CB12" i="14" s="1"/>
  <c r="CC12" i="14" s="1"/>
  <c r="CD12" i="14" s="1"/>
  <c r="CE12" i="14" s="1"/>
  <c r="CF12" i="14" s="1"/>
  <c r="CG12" i="14" s="1"/>
  <c r="CH12" i="14" s="1"/>
  <c r="CI12" i="14" s="1"/>
  <c r="CJ12" i="14" s="1"/>
  <c r="CK12" i="14" s="1"/>
  <c r="CL12" i="14" s="1"/>
  <c r="CM12" i="14" s="1"/>
  <c r="CN12" i="14" s="1"/>
  <c r="CO12" i="14" s="1"/>
  <c r="CP12" i="14" s="1"/>
  <c r="CQ12" i="14" s="1"/>
  <c r="CR12" i="14" s="1"/>
  <c r="CS12" i="14" s="1"/>
  <c r="CT12" i="14" s="1"/>
  <c r="CU12" i="14" s="1"/>
  <c r="CV12" i="14" s="1"/>
  <c r="CW12" i="14" s="1"/>
  <c r="CX12" i="14" s="1"/>
  <c r="CY12" i="14" s="1"/>
  <c r="CZ12" i="14" s="1"/>
  <c r="DA12" i="14" s="1"/>
  <c r="DB12" i="14" s="1"/>
  <c r="DC12" i="14" s="1"/>
  <c r="DD12" i="14" s="1"/>
  <c r="DE12" i="14" s="1"/>
  <c r="DF12" i="14" s="1"/>
  <c r="DG12" i="14" s="1"/>
  <c r="DH12" i="14" s="1"/>
  <c r="DI12" i="14" s="1"/>
  <c r="DJ12" i="14" s="1"/>
  <c r="DK12" i="14" s="1"/>
  <c r="DL12" i="14" s="1"/>
  <c r="DM12" i="14" s="1"/>
  <c r="DN12" i="14" s="1"/>
  <c r="DO12" i="14" s="1"/>
  <c r="DP12" i="14" s="1"/>
  <c r="DQ12" i="14" s="1"/>
  <c r="DR12" i="14" s="1"/>
  <c r="A8" i="14"/>
  <c r="A7" i="14"/>
  <c r="B11" i="14" l="1"/>
  <c r="D11" i="14"/>
  <c r="L11" i="14"/>
  <c r="T11" i="14"/>
  <c r="AB11" i="14"/>
  <c r="AJ11" i="14"/>
  <c r="AR11" i="14"/>
  <c r="AZ11" i="14"/>
  <c r="BH11" i="14"/>
  <c r="BP11" i="14"/>
  <c r="BX11" i="14"/>
  <c r="CF11" i="14"/>
  <c r="CN11" i="14"/>
  <c r="CV11" i="14"/>
  <c r="DD11" i="14"/>
  <c r="DL11" i="14"/>
  <c r="E11" i="14"/>
  <c r="M11" i="14"/>
  <c r="U11" i="14"/>
  <c r="AC11" i="14"/>
  <c r="AK11" i="14"/>
  <c r="AS11" i="14"/>
  <c r="BA11" i="14"/>
  <c r="BI11" i="14"/>
  <c r="BQ11" i="14"/>
  <c r="BY11" i="14"/>
  <c r="CG11" i="14"/>
  <c r="CO11" i="14"/>
  <c r="CW11" i="14"/>
  <c r="DE11" i="14"/>
  <c r="DM11" i="14"/>
  <c r="F11" i="14"/>
  <c r="N11" i="14"/>
  <c r="V11" i="14"/>
  <c r="AD11" i="14"/>
  <c r="AL11" i="14"/>
  <c r="AT11" i="14"/>
  <c r="BB11" i="14"/>
  <c r="BJ11" i="14"/>
  <c r="BR11" i="14"/>
  <c r="BZ11" i="14"/>
  <c r="CH11" i="14"/>
  <c r="CP11" i="14"/>
  <c r="CX11" i="14"/>
  <c r="DF11" i="14"/>
  <c r="DN11" i="14"/>
  <c r="G11" i="14"/>
  <c r="O11" i="14"/>
  <c r="W11" i="14"/>
  <c r="AE11" i="14"/>
  <c r="AM11" i="14"/>
  <c r="AU11" i="14"/>
  <c r="BC11" i="14"/>
  <c r="BK11" i="14"/>
  <c r="BS11" i="14"/>
  <c r="CA11" i="14"/>
  <c r="CI11" i="14"/>
  <c r="CQ11" i="14"/>
  <c r="CY11" i="14"/>
  <c r="DG11" i="14"/>
  <c r="DO11" i="14"/>
  <c r="H11" i="14"/>
  <c r="P11" i="14"/>
  <c r="X11" i="14"/>
  <c r="AF11" i="14"/>
  <c r="AN11" i="14"/>
  <c r="AV11" i="14"/>
  <c r="BD11" i="14"/>
  <c r="BL11" i="14"/>
  <c r="BT11" i="14"/>
  <c r="CB11" i="14"/>
  <c r="CJ11" i="14"/>
  <c r="CR11" i="14"/>
  <c r="CZ11" i="14"/>
  <c r="DH11" i="14"/>
  <c r="DP11" i="14"/>
  <c r="I11" i="14"/>
  <c r="Q11" i="14"/>
  <c r="Y11" i="14"/>
  <c r="AG11" i="14"/>
  <c r="AO11" i="14"/>
  <c r="AW11" i="14"/>
  <c r="BE11" i="14"/>
  <c r="BM11" i="14"/>
  <c r="BU11" i="14"/>
  <c r="CC11" i="14"/>
  <c r="CK11" i="14"/>
  <c r="CS11" i="14"/>
  <c r="DA11" i="14"/>
  <c r="DI11" i="14"/>
  <c r="DQ11" i="14"/>
  <c r="J11" i="14"/>
  <c r="R11" i="14"/>
  <c r="Z11" i="14"/>
  <c r="AH11" i="14"/>
  <c r="AP11" i="14"/>
  <c r="AX11" i="14"/>
  <c r="BF11" i="14"/>
  <c r="BN11" i="14"/>
  <c r="BV11" i="14"/>
  <c r="CD11" i="14"/>
  <c r="CL11" i="14"/>
  <c r="CT11" i="14"/>
  <c r="DB11" i="14"/>
  <c r="DJ11" i="14"/>
  <c r="DR11" i="14"/>
  <c r="AQ11" i="14"/>
  <c r="DC11" i="14"/>
  <c r="AY11" i="14"/>
  <c r="DK11" i="14"/>
  <c r="BG11" i="14"/>
  <c r="C11" i="14"/>
  <c r="BO11" i="14"/>
  <c r="K11" i="14"/>
  <c r="BW11" i="14"/>
  <c r="S11" i="14"/>
  <c r="CE11" i="14"/>
  <c r="AA11" i="14"/>
  <c r="CM11" i="14"/>
  <c r="CU11" i="14"/>
  <c r="AI11" i="14"/>
  <c r="E50" i="14"/>
  <c r="M50" i="14"/>
  <c r="U50" i="14"/>
  <c r="AC50" i="14"/>
  <c r="AK50" i="14"/>
  <c r="AS50" i="14"/>
  <c r="BA50" i="14"/>
  <c r="BI50" i="14"/>
  <c r="BQ50" i="14"/>
  <c r="BY50" i="14"/>
  <c r="CG50" i="14"/>
  <c r="CO50" i="14"/>
  <c r="CW50" i="14"/>
  <c r="DE50" i="14"/>
  <c r="DM50" i="14"/>
  <c r="G50" i="14"/>
  <c r="O50" i="14"/>
  <c r="W50" i="14"/>
  <c r="AE50" i="14"/>
  <c r="AM50" i="14"/>
  <c r="AU50" i="14"/>
  <c r="BC50" i="14"/>
  <c r="BK50" i="14"/>
  <c r="BS50" i="14"/>
  <c r="CA50" i="14"/>
  <c r="CI50" i="14"/>
  <c r="CQ50" i="14"/>
  <c r="CY50" i="14"/>
  <c r="DG50" i="14"/>
  <c r="DO50" i="14"/>
  <c r="K50" i="14"/>
  <c r="V50" i="14"/>
  <c r="AG50" i="14"/>
  <c r="AQ50" i="14"/>
  <c r="BB50" i="14"/>
  <c r="BM50" i="14"/>
  <c r="BW50" i="14"/>
  <c r="CH50" i="14"/>
  <c r="CS50" i="14"/>
  <c r="DC50" i="14"/>
  <c r="DN50" i="14"/>
  <c r="AI50" i="14"/>
  <c r="DQ50" i="14"/>
  <c r="L50" i="14"/>
  <c r="X50" i="14"/>
  <c r="AH50" i="14"/>
  <c r="AR50" i="14"/>
  <c r="BD50" i="14"/>
  <c r="BN50" i="14"/>
  <c r="BX50" i="14"/>
  <c r="CJ50" i="14"/>
  <c r="CT50" i="14"/>
  <c r="DD50" i="14"/>
  <c r="DP50" i="14"/>
  <c r="B50" i="14"/>
  <c r="C50" i="14"/>
  <c r="Y50" i="14"/>
  <c r="AT50" i="14"/>
  <c r="BO50" i="14"/>
  <c r="CK50" i="14"/>
  <c r="DF50" i="14"/>
  <c r="N50" i="14"/>
  <c r="BE50" i="14"/>
  <c r="BZ50" i="14"/>
  <c r="CU50" i="14"/>
  <c r="D50" i="14"/>
  <c r="P50" i="14"/>
  <c r="Z50" i="14"/>
  <c r="AJ50" i="14"/>
  <c r="AV50" i="14"/>
  <c r="BF50" i="14"/>
  <c r="BP50" i="14"/>
  <c r="CB50" i="14"/>
  <c r="CL50" i="14"/>
  <c r="CV50" i="14"/>
  <c r="DH50" i="14"/>
  <c r="DR50" i="14"/>
  <c r="F50" i="14"/>
  <c r="Q50" i="14"/>
  <c r="AA50" i="14"/>
  <c r="AL50" i="14"/>
  <c r="AW50" i="14"/>
  <c r="BG50" i="14"/>
  <c r="BR50" i="14"/>
  <c r="CC50" i="14"/>
  <c r="CM50" i="14"/>
  <c r="CX50" i="14"/>
  <c r="DI50" i="14"/>
  <c r="H50" i="14"/>
  <c r="R50" i="14"/>
  <c r="AB50" i="14"/>
  <c r="AN50" i="14"/>
  <c r="AX50" i="14"/>
  <c r="BH50" i="14"/>
  <c r="BT50" i="14"/>
  <c r="CD50" i="14"/>
  <c r="CN50" i="14"/>
  <c r="CZ50" i="14"/>
  <c r="DJ50" i="14"/>
  <c r="I50" i="14"/>
  <c r="AD50" i="14"/>
  <c r="AO50" i="14"/>
  <c r="BJ50" i="14"/>
  <c r="CE50" i="14"/>
  <c r="DA50" i="14"/>
  <c r="S50" i="14"/>
  <c r="AY50" i="14"/>
  <c r="BU50" i="14"/>
  <c r="CP50" i="14"/>
  <c r="DK50" i="14"/>
  <c r="AZ50" i="14"/>
  <c r="BL50" i="14"/>
  <c r="BV50" i="14"/>
  <c r="CF50" i="14"/>
  <c r="J50" i="14"/>
  <c r="CR50" i="14"/>
  <c r="AP50" i="14"/>
  <c r="T50" i="14"/>
  <c r="DB50" i="14"/>
  <c r="AF50" i="14"/>
  <c r="DL50" i="14"/>
  <c r="F42" i="14"/>
  <c r="N42" i="14"/>
  <c r="V42" i="14"/>
  <c r="AD42" i="14"/>
  <c r="AL42" i="14"/>
  <c r="AT42" i="14"/>
  <c r="BB42" i="14"/>
  <c r="BJ42" i="14"/>
  <c r="BR42" i="14"/>
  <c r="BZ42" i="14"/>
  <c r="CH42" i="14"/>
  <c r="CP42" i="14"/>
  <c r="CX42" i="14"/>
  <c r="DF42" i="14"/>
  <c r="DN42" i="14"/>
  <c r="G42" i="14"/>
  <c r="O42" i="14"/>
  <c r="W42" i="14"/>
  <c r="AE42" i="14"/>
  <c r="AM42" i="14"/>
  <c r="AU42" i="14"/>
  <c r="BC42" i="14"/>
  <c r="BK42" i="14"/>
  <c r="BS42" i="14"/>
  <c r="CA42" i="14"/>
  <c r="CI42" i="14"/>
  <c r="CQ42" i="14"/>
  <c r="CY42" i="14"/>
  <c r="DG42" i="14"/>
  <c r="DO42" i="14"/>
  <c r="H42" i="14"/>
  <c r="P42" i="14"/>
  <c r="I42" i="14"/>
  <c r="J42" i="14"/>
  <c r="R42" i="14"/>
  <c r="Z42" i="14"/>
  <c r="AH42" i="14"/>
  <c r="AP42" i="14"/>
  <c r="AX42" i="14"/>
  <c r="BF42" i="14"/>
  <c r="BN42" i="14"/>
  <c r="BV42" i="14"/>
  <c r="CD42" i="14"/>
  <c r="CL42" i="14"/>
  <c r="CT42" i="14"/>
  <c r="DB42" i="14"/>
  <c r="DJ42" i="14"/>
  <c r="DR42" i="14"/>
  <c r="C42" i="14"/>
  <c r="K42" i="14"/>
  <c r="S42" i="14"/>
  <c r="AA42" i="14"/>
  <c r="AI42" i="14"/>
  <c r="AQ42" i="14"/>
  <c r="AY42" i="14"/>
  <c r="BG42" i="14"/>
  <c r="BO42" i="14"/>
  <c r="BW42" i="14"/>
  <c r="CE42" i="14"/>
  <c r="CM42" i="14"/>
  <c r="CU42" i="14"/>
  <c r="DC42" i="14"/>
  <c r="DK42" i="14"/>
  <c r="D42" i="14"/>
  <c r="L42" i="14"/>
  <c r="AC42" i="14"/>
  <c r="AS42" i="14"/>
  <c r="BI42" i="14"/>
  <c r="BY42" i="14"/>
  <c r="CO42" i="14"/>
  <c r="DE42" i="14"/>
  <c r="Q42" i="14"/>
  <c r="AG42" i="14"/>
  <c r="AW42" i="14"/>
  <c r="BM42" i="14"/>
  <c r="CC42" i="14"/>
  <c r="CS42" i="14"/>
  <c r="DI42" i="14"/>
  <c r="T42" i="14"/>
  <c r="AJ42" i="14"/>
  <c r="AZ42" i="14"/>
  <c r="BP42" i="14"/>
  <c r="CF42" i="14"/>
  <c r="CV42" i="14"/>
  <c r="DL42" i="14"/>
  <c r="AK42" i="14"/>
  <c r="BH42" i="14"/>
  <c r="CJ42" i="14"/>
  <c r="DH42" i="14"/>
  <c r="E42" i="14"/>
  <c r="AN42" i="14"/>
  <c r="BL42" i="14"/>
  <c r="CK42" i="14"/>
  <c r="DM42" i="14"/>
  <c r="M42" i="14"/>
  <c r="BQ42" i="14"/>
  <c r="CN42" i="14"/>
  <c r="AO42" i="14"/>
  <c r="DP42" i="14"/>
  <c r="U42" i="14"/>
  <c r="AR42" i="14"/>
  <c r="BT42" i="14"/>
  <c r="CR42" i="14"/>
  <c r="DQ42" i="14"/>
  <c r="X42" i="14"/>
  <c r="AV42" i="14"/>
  <c r="BU42" i="14"/>
  <c r="CW42" i="14"/>
  <c r="Y42" i="14"/>
  <c r="BA42" i="14"/>
  <c r="BX42" i="14"/>
  <c r="CZ42" i="14"/>
  <c r="B42" i="14"/>
  <c r="BD42" i="14"/>
  <c r="DA42" i="14"/>
  <c r="AB42" i="14"/>
  <c r="CB42" i="14"/>
  <c r="AF42" i="14"/>
  <c r="BE42" i="14"/>
  <c r="CG42" i="14"/>
  <c r="DD42" i="14"/>
  <c r="I34" i="14"/>
  <c r="Q34" i="14"/>
  <c r="Y34" i="14"/>
  <c r="G34" i="14"/>
  <c r="P34" i="14"/>
  <c r="Z34" i="14"/>
  <c r="AH34" i="14"/>
  <c r="AP34" i="14"/>
  <c r="AX34" i="14"/>
  <c r="BF34" i="14"/>
  <c r="BN34" i="14"/>
  <c r="BV34" i="14"/>
  <c r="CD34" i="14"/>
  <c r="CL34" i="14"/>
  <c r="CT34" i="14"/>
  <c r="DB34" i="14"/>
  <c r="DJ34" i="14"/>
  <c r="DR34" i="14"/>
  <c r="H34" i="14"/>
  <c r="R34" i="14"/>
  <c r="AA34" i="14"/>
  <c r="AI34" i="14"/>
  <c r="AQ34" i="14"/>
  <c r="AY34" i="14"/>
  <c r="BG34" i="14"/>
  <c r="BO34" i="14"/>
  <c r="BW34" i="14"/>
  <c r="CE34" i="14"/>
  <c r="CM34" i="14"/>
  <c r="CU34" i="14"/>
  <c r="DC34" i="14"/>
  <c r="DK34" i="14"/>
  <c r="J34" i="14"/>
  <c r="S34" i="14"/>
  <c r="AB34" i="14"/>
  <c r="AJ34" i="14"/>
  <c r="AR34" i="14"/>
  <c r="AZ34" i="14"/>
  <c r="BH34" i="14"/>
  <c r="BP34" i="14"/>
  <c r="BX34" i="14"/>
  <c r="CF34" i="14"/>
  <c r="CN34" i="14"/>
  <c r="CV34" i="14"/>
  <c r="DD34" i="14"/>
  <c r="DL34" i="14"/>
  <c r="K34" i="14"/>
  <c r="T34" i="14"/>
  <c r="AC34" i="14"/>
  <c r="AK34" i="14"/>
  <c r="AS34" i="14"/>
  <c r="BA34" i="14"/>
  <c r="BI34" i="14"/>
  <c r="BQ34" i="14"/>
  <c r="BY34" i="14"/>
  <c r="CG34" i="14"/>
  <c r="CO34" i="14"/>
  <c r="CW34" i="14"/>
  <c r="DE34" i="14"/>
  <c r="DM34" i="14"/>
  <c r="C34" i="14"/>
  <c r="L34" i="14"/>
  <c r="U34" i="14"/>
  <c r="AD34" i="14"/>
  <c r="AL34" i="14"/>
  <c r="AT34" i="14"/>
  <c r="BB34" i="14"/>
  <c r="BJ34" i="14"/>
  <c r="BR34" i="14"/>
  <c r="BZ34" i="14"/>
  <c r="CH34" i="14"/>
  <c r="CP34" i="14"/>
  <c r="CX34" i="14"/>
  <c r="DF34" i="14"/>
  <c r="DN34" i="14"/>
  <c r="D34" i="14"/>
  <c r="M34" i="14"/>
  <c r="V34" i="14"/>
  <c r="AE34" i="14"/>
  <c r="AM34" i="14"/>
  <c r="AU34" i="14"/>
  <c r="BC34" i="14"/>
  <c r="BK34" i="14"/>
  <c r="BS34" i="14"/>
  <c r="CA34" i="14"/>
  <c r="CI34" i="14"/>
  <c r="CQ34" i="14"/>
  <c r="CY34" i="14"/>
  <c r="DG34" i="14"/>
  <c r="DO34" i="14"/>
  <c r="E34" i="14"/>
  <c r="N34" i="14"/>
  <c r="W34" i="14"/>
  <c r="AF34" i="14"/>
  <c r="AN34" i="14"/>
  <c r="AV34" i="14"/>
  <c r="BD34" i="14"/>
  <c r="BL34" i="14"/>
  <c r="BT34" i="14"/>
  <c r="CB34" i="14"/>
  <c r="CJ34" i="14"/>
  <c r="CR34" i="14"/>
  <c r="CZ34" i="14"/>
  <c r="DH34" i="14"/>
  <c r="DP34" i="14"/>
  <c r="AW34" i="14"/>
  <c r="DI34" i="14"/>
  <c r="BE34" i="14"/>
  <c r="DQ34" i="14"/>
  <c r="BM34" i="14"/>
  <c r="F34" i="14"/>
  <c r="BU34" i="14"/>
  <c r="O34" i="14"/>
  <c r="CC34" i="14"/>
  <c r="X34" i="14"/>
  <c r="CK34" i="14"/>
  <c r="AG34" i="14"/>
  <c r="CS34" i="14"/>
  <c r="AO34" i="14"/>
  <c r="DA34" i="14"/>
  <c r="B34" i="14"/>
  <c r="B10" i="14"/>
  <c r="D10" i="14"/>
  <c r="L10" i="14"/>
  <c r="T10" i="14"/>
  <c r="AB10" i="14"/>
  <c r="AJ10" i="14"/>
  <c r="AR10" i="14"/>
  <c r="AZ10" i="14"/>
  <c r="BH10" i="14"/>
  <c r="BP10" i="14"/>
  <c r="BX10" i="14"/>
  <c r="CF10" i="14"/>
  <c r="CN10" i="14"/>
  <c r="CV10" i="14"/>
  <c r="DD10" i="14"/>
  <c r="DL10" i="14"/>
  <c r="E10" i="14"/>
  <c r="M10" i="14"/>
  <c r="U10" i="14"/>
  <c r="AC10" i="14"/>
  <c r="AK10" i="14"/>
  <c r="AS10" i="14"/>
  <c r="BA10" i="14"/>
  <c r="BI10" i="14"/>
  <c r="BQ10" i="14"/>
  <c r="BY10" i="14"/>
  <c r="CG10" i="14"/>
  <c r="CO10" i="14"/>
  <c r="CW10" i="14"/>
  <c r="DE10" i="14"/>
  <c r="DM10" i="14"/>
  <c r="F10" i="14"/>
  <c r="N10" i="14"/>
  <c r="V10" i="14"/>
  <c r="AD10" i="14"/>
  <c r="AL10" i="14"/>
  <c r="AT10" i="14"/>
  <c r="BB10" i="14"/>
  <c r="BJ10" i="14"/>
  <c r="BR10" i="14"/>
  <c r="BZ10" i="14"/>
  <c r="CH10" i="14"/>
  <c r="CP10" i="14"/>
  <c r="CX10" i="14"/>
  <c r="DF10" i="14"/>
  <c r="DN10" i="14"/>
  <c r="G10" i="14"/>
  <c r="O10" i="14"/>
  <c r="W10" i="14"/>
  <c r="AE10" i="14"/>
  <c r="AM10" i="14"/>
  <c r="AU10" i="14"/>
  <c r="BC10" i="14"/>
  <c r="BK10" i="14"/>
  <c r="BS10" i="14"/>
  <c r="CA10" i="14"/>
  <c r="CI10" i="14"/>
  <c r="CQ10" i="14"/>
  <c r="CY10" i="14"/>
  <c r="DG10" i="14"/>
  <c r="DO10" i="14"/>
  <c r="H10" i="14"/>
  <c r="P10" i="14"/>
  <c r="X10" i="14"/>
  <c r="AF10" i="14"/>
  <c r="AN10" i="14"/>
  <c r="AV10" i="14"/>
  <c r="BD10" i="14"/>
  <c r="BL10" i="14"/>
  <c r="BT10" i="14"/>
  <c r="CB10" i="14"/>
  <c r="CJ10" i="14"/>
  <c r="CR10" i="14"/>
  <c r="CZ10" i="14"/>
  <c r="DH10" i="14"/>
  <c r="DP10" i="14"/>
  <c r="I10" i="14"/>
  <c r="Q10" i="14"/>
  <c r="Y10" i="14"/>
  <c r="AG10" i="14"/>
  <c r="AO10" i="14"/>
  <c r="AW10" i="14"/>
  <c r="BE10" i="14"/>
  <c r="BM10" i="14"/>
  <c r="BU10" i="14"/>
  <c r="CC10" i="14"/>
  <c r="CK10" i="14"/>
  <c r="CS10" i="14"/>
  <c r="DA10" i="14"/>
  <c r="DI10" i="14"/>
  <c r="DQ10" i="14"/>
  <c r="J10" i="14"/>
  <c r="R10" i="14"/>
  <c r="Z10" i="14"/>
  <c r="AH10" i="14"/>
  <c r="AP10" i="14"/>
  <c r="AX10" i="14"/>
  <c r="BF10" i="14"/>
  <c r="BN10" i="14"/>
  <c r="BV10" i="14"/>
  <c r="CD10" i="14"/>
  <c r="CL10" i="14"/>
  <c r="CT10" i="14"/>
  <c r="DB10" i="14"/>
  <c r="DJ10" i="14"/>
  <c r="DR10" i="14"/>
  <c r="AI10" i="14"/>
  <c r="CU10" i="14"/>
  <c r="AQ10" i="14"/>
  <c r="DC10" i="14"/>
  <c r="AY10" i="14"/>
  <c r="DK10" i="14"/>
  <c r="BG10" i="14"/>
  <c r="C10" i="14"/>
  <c r="BO10" i="14"/>
  <c r="K10" i="14"/>
  <c r="BW10" i="14"/>
  <c r="S10" i="14"/>
  <c r="CE10" i="14"/>
  <c r="AA10" i="14"/>
  <c r="CM10" i="14"/>
  <c r="H57" i="14"/>
  <c r="P57" i="14"/>
  <c r="X57" i="14"/>
  <c r="AF57" i="14"/>
  <c r="AN57" i="14"/>
  <c r="AV57" i="14"/>
  <c r="BD57" i="14"/>
  <c r="BL57" i="14"/>
  <c r="BT57" i="14"/>
  <c r="CB57" i="14"/>
  <c r="CJ57" i="14"/>
  <c r="CR57" i="14"/>
  <c r="CZ57" i="14"/>
  <c r="DH57" i="14"/>
  <c r="DP57" i="14"/>
  <c r="I57" i="14"/>
  <c r="Q57" i="14"/>
  <c r="Y57" i="14"/>
  <c r="AG57" i="14"/>
  <c r="AO57" i="14"/>
  <c r="AW57" i="14"/>
  <c r="BE57" i="14"/>
  <c r="BM57" i="14"/>
  <c r="BU57" i="14"/>
  <c r="CC57" i="14"/>
  <c r="CK57" i="14"/>
  <c r="CS57" i="14"/>
  <c r="DA57" i="14"/>
  <c r="DI57" i="14"/>
  <c r="DQ57" i="14"/>
  <c r="K57" i="14"/>
  <c r="S57" i="14"/>
  <c r="AA57" i="14"/>
  <c r="AI57" i="14"/>
  <c r="AQ57" i="14"/>
  <c r="AY57" i="14"/>
  <c r="BG57" i="14"/>
  <c r="BO57" i="14"/>
  <c r="BW57" i="14"/>
  <c r="CE57" i="14"/>
  <c r="CM57" i="14"/>
  <c r="CU57" i="14"/>
  <c r="DC57" i="14"/>
  <c r="DK57" i="14"/>
  <c r="B57" i="14"/>
  <c r="D57" i="14"/>
  <c r="L57" i="14"/>
  <c r="T57" i="14"/>
  <c r="AB57" i="14"/>
  <c r="AJ57" i="14"/>
  <c r="AR57" i="14"/>
  <c r="AZ57" i="14"/>
  <c r="BH57" i="14"/>
  <c r="BP57" i="14"/>
  <c r="BX57" i="14"/>
  <c r="CF57" i="14"/>
  <c r="CN57" i="14"/>
  <c r="CV57" i="14"/>
  <c r="DD57" i="14"/>
  <c r="DL57" i="14"/>
  <c r="E57" i="14"/>
  <c r="M57" i="14"/>
  <c r="U57" i="14"/>
  <c r="AC57" i="14"/>
  <c r="AK57" i="14"/>
  <c r="AS57" i="14"/>
  <c r="BA57" i="14"/>
  <c r="BI57" i="14"/>
  <c r="BQ57" i="14"/>
  <c r="BY57" i="14"/>
  <c r="CG57" i="14"/>
  <c r="CO57" i="14"/>
  <c r="CW57" i="14"/>
  <c r="DE57" i="14"/>
  <c r="DM57" i="14"/>
  <c r="R57" i="14"/>
  <c r="AM57" i="14"/>
  <c r="BJ57" i="14"/>
  <c r="CD57" i="14"/>
  <c r="CY57" i="14"/>
  <c r="Z57" i="14"/>
  <c r="BR57" i="14"/>
  <c r="AD57" i="14"/>
  <c r="CP57" i="14"/>
  <c r="AH57" i="14"/>
  <c r="O57" i="14"/>
  <c r="V57" i="14"/>
  <c r="AP57" i="14"/>
  <c r="BK57" i="14"/>
  <c r="CH57" i="14"/>
  <c r="DB57" i="14"/>
  <c r="AU57" i="14"/>
  <c r="G57" i="14"/>
  <c r="DJ57" i="14"/>
  <c r="BZ57" i="14"/>
  <c r="CA57" i="14"/>
  <c r="W57" i="14"/>
  <c r="AT57" i="14"/>
  <c r="BN57" i="14"/>
  <c r="CI57" i="14"/>
  <c r="DF57" i="14"/>
  <c r="F57" i="14"/>
  <c r="CL57" i="14"/>
  <c r="BS57" i="14"/>
  <c r="N57" i="14"/>
  <c r="DR57" i="14"/>
  <c r="DG57" i="14"/>
  <c r="DO57" i="14"/>
  <c r="AX57" i="14"/>
  <c r="CT57" i="14"/>
  <c r="AL57" i="14"/>
  <c r="J57" i="14"/>
  <c r="AE57" i="14"/>
  <c r="BB57" i="14"/>
  <c r="BV57" i="14"/>
  <c r="CQ57" i="14"/>
  <c r="DN57" i="14"/>
  <c r="CX57" i="14"/>
  <c r="BC57" i="14"/>
  <c r="BF57" i="14"/>
  <c r="C57" i="14"/>
  <c r="J35" i="14"/>
  <c r="R35" i="14"/>
  <c r="Z35" i="14"/>
  <c r="AH35" i="14"/>
  <c r="AP35" i="14"/>
  <c r="AX35" i="14"/>
  <c r="BF35" i="14"/>
  <c r="BN35" i="14"/>
  <c r="BV35" i="14"/>
  <c r="CD35" i="14"/>
  <c r="C35" i="14"/>
  <c r="K35" i="14"/>
  <c r="S35" i="14"/>
  <c r="AA35" i="14"/>
  <c r="AI35" i="14"/>
  <c r="AQ35" i="14"/>
  <c r="AY35" i="14"/>
  <c r="BG35" i="14"/>
  <c r="BO35" i="14"/>
  <c r="BW35" i="14"/>
  <c r="CE35" i="14"/>
  <c r="CM35" i="14"/>
  <c r="CU35" i="14"/>
  <c r="DC35" i="14"/>
  <c r="DK35" i="14"/>
  <c r="D35" i="14"/>
  <c r="L35" i="14"/>
  <c r="T35" i="14"/>
  <c r="AB35" i="14"/>
  <c r="AJ35" i="14"/>
  <c r="AR35" i="14"/>
  <c r="AZ35" i="14"/>
  <c r="BH35" i="14"/>
  <c r="BP35" i="14"/>
  <c r="BX35" i="14"/>
  <c r="CF35" i="14"/>
  <c r="E35" i="14"/>
  <c r="M35" i="14"/>
  <c r="U35" i="14"/>
  <c r="AC35" i="14"/>
  <c r="AK35" i="14"/>
  <c r="AS35" i="14"/>
  <c r="BA35" i="14"/>
  <c r="BI35" i="14"/>
  <c r="BQ35" i="14"/>
  <c r="BY35" i="14"/>
  <c r="CG35" i="14"/>
  <c r="F35" i="14"/>
  <c r="N35" i="14"/>
  <c r="V35" i="14"/>
  <c r="AD35" i="14"/>
  <c r="AL35" i="14"/>
  <c r="AT35" i="14"/>
  <c r="BB35" i="14"/>
  <c r="BJ35" i="14"/>
  <c r="BR35" i="14"/>
  <c r="BZ35" i="14"/>
  <c r="CH35" i="14"/>
  <c r="G35" i="14"/>
  <c r="O35" i="14"/>
  <c r="W35" i="14"/>
  <c r="AE35" i="14"/>
  <c r="AM35" i="14"/>
  <c r="AU35" i="14"/>
  <c r="BC35" i="14"/>
  <c r="BK35" i="14"/>
  <c r="BS35" i="14"/>
  <c r="CA35" i="14"/>
  <c r="CI35" i="14"/>
  <c r="CQ35" i="14"/>
  <c r="CY35" i="14"/>
  <c r="DG35" i="14"/>
  <c r="DO35" i="14"/>
  <c r="H35" i="14"/>
  <c r="P35" i="14"/>
  <c r="X35" i="14"/>
  <c r="AF35" i="14"/>
  <c r="AN35" i="14"/>
  <c r="AV35" i="14"/>
  <c r="BD35" i="14"/>
  <c r="BL35" i="14"/>
  <c r="BT35" i="14"/>
  <c r="CB35" i="14"/>
  <c r="BE35" i="14"/>
  <c r="CO35" i="14"/>
  <c r="CZ35" i="14"/>
  <c r="DJ35" i="14"/>
  <c r="BM35" i="14"/>
  <c r="CP35" i="14"/>
  <c r="DA35" i="14"/>
  <c r="DL35" i="14"/>
  <c r="I35" i="14"/>
  <c r="BU35" i="14"/>
  <c r="CR35" i="14"/>
  <c r="DB35" i="14"/>
  <c r="DM35" i="14"/>
  <c r="Q35" i="14"/>
  <c r="CC35" i="14"/>
  <c r="CS35" i="14"/>
  <c r="DD35" i="14"/>
  <c r="DN35" i="14"/>
  <c r="Y35" i="14"/>
  <c r="CJ35" i="14"/>
  <c r="CT35" i="14"/>
  <c r="DE35" i="14"/>
  <c r="DP35" i="14"/>
  <c r="AG35" i="14"/>
  <c r="CK35" i="14"/>
  <c r="CV35" i="14"/>
  <c r="DF35" i="14"/>
  <c r="DQ35" i="14"/>
  <c r="AO35" i="14"/>
  <c r="CL35" i="14"/>
  <c r="CW35" i="14"/>
  <c r="DH35" i="14"/>
  <c r="DR35" i="14"/>
  <c r="CN35" i="14"/>
  <c r="AW35" i="14"/>
  <c r="CX35" i="14"/>
  <c r="DI35" i="14"/>
  <c r="B35" i="14"/>
  <c r="C27" i="14"/>
  <c r="K27" i="14"/>
  <c r="S27" i="14"/>
  <c r="AA27" i="14"/>
  <c r="AI27" i="14"/>
  <c r="AQ27" i="14"/>
  <c r="AY27" i="14"/>
  <c r="BG27" i="14"/>
  <c r="BO27" i="14"/>
  <c r="BW27" i="14"/>
  <c r="CE27" i="14"/>
  <c r="CM27" i="14"/>
  <c r="CU27" i="14"/>
  <c r="DC27" i="14"/>
  <c r="DK27" i="14"/>
  <c r="E27" i="14"/>
  <c r="M27" i="14"/>
  <c r="U27" i="14"/>
  <c r="AC27" i="14"/>
  <c r="AK27" i="14"/>
  <c r="AS27" i="14"/>
  <c r="BA27" i="14"/>
  <c r="BI27" i="14"/>
  <c r="BQ27" i="14"/>
  <c r="BY27" i="14"/>
  <c r="CG27" i="14"/>
  <c r="CO27" i="14"/>
  <c r="CW27" i="14"/>
  <c r="DE27" i="14"/>
  <c r="DM27" i="14"/>
  <c r="F27" i="14"/>
  <c r="N27" i="14"/>
  <c r="V27" i="14"/>
  <c r="AD27" i="14"/>
  <c r="AL27" i="14"/>
  <c r="AT27" i="14"/>
  <c r="BB27" i="14"/>
  <c r="BJ27" i="14"/>
  <c r="BR27" i="14"/>
  <c r="BZ27" i="14"/>
  <c r="CH27" i="14"/>
  <c r="CP27" i="14"/>
  <c r="CX27" i="14"/>
  <c r="DF27" i="14"/>
  <c r="DN27" i="14"/>
  <c r="G27" i="14"/>
  <c r="O27" i="14"/>
  <c r="W27" i="14"/>
  <c r="AE27" i="14"/>
  <c r="AM27" i="14"/>
  <c r="AU27" i="14"/>
  <c r="BC27" i="14"/>
  <c r="BK27" i="14"/>
  <c r="BS27" i="14"/>
  <c r="CA27" i="14"/>
  <c r="CI27" i="14"/>
  <c r="CQ27" i="14"/>
  <c r="CY27" i="14"/>
  <c r="DG27" i="14"/>
  <c r="DO27" i="14"/>
  <c r="J27" i="14"/>
  <c r="R27" i="14"/>
  <c r="Z27" i="14"/>
  <c r="AH27" i="14"/>
  <c r="AP27" i="14"/>
  <c r="AX27" i="14"/>
  <c r="BF27" i="14"/>
  <c r="BN27" i="14"/>
  <c r="BV27" i="14"/>
  <c r="CD27" i="14"/>
  <c r="CL27" i="14"/>
  <c r="CT27" i="14"/>
  <c r="DB27" i="14"/>
  <c r="DJ27" i="14"/>
  <c r="DR27" i="14"/>
  <c r="X27" i="14"/>
  <c r="AR27" i="14"/>
  <c r="BM27" i="14"/>
  <c r="CJ27" i="14"/>
  <c r="DD27" i="14"/>
  <c r="D27" i="14"/>
  <c r="Y27" i="14"/>
  <c r="AV27" i="14"/>
  <c r="BP27" i="14"/>
  <c r="CK27" i="14"/>
  <c r="DH27" i="14"/>
  <c r="H27" i="14"/>
  <c r="AB27" i="14"/>
  <c r="AW27" i="14"/>
  <c r="BT27" i="14"/>
  <c r="CN27" i="14"/>
  <c r="DI27" i="14"/>
  <c r="I27" i="14"/>
  <c r="AF27" i="14"/>
  <c r="AZ27" i="14"/>
  <c r="BU27" i="14"/>
  <c r="CR27" i="14"/>
  <c r="DL27" i="14"/>
  <c r="L27" i="14"/>
  <c r="AG27" i="14"/>
  <c r="BD27" i="14"/>
  <c r="BX27" i="14"/>
  <c r="CS27" i="14"/>
  <c r="DP27" i="14"/>
  <c r="P27" i="14"/>
  <c r="AJ27" i="14"/>
  <c r="BE27" i="14"/>
  <c r="CB27" i="14"/>
  <c r="CV27" i="14"/>
  <c r="DQ27" i="14"/>
  <c r="Q27" i="14"/>
  <c r="AN27" i="14"/>
  <c r="BH27" i="14"/>
  <c r="CC27" i="14"/>
  <c r="CZ27" i="14"/>
  <c r="T27" i="14"/>
  <c r="AO27" i="14"/>
  <c r="BL27" i="14"/>
  <c r="CF27" i="14"/>
  <c r="DA27" i="14"/>
  <c r="B27" i="14"/>
  <c r="H55" i="14"/>
  <c r="P55" i="14"/>
  <c r="X55" i="14"/>
  <c r="AF55" i="14"/>
  <c r="AN55" i="14"/>
  <c r="AV55" i="14"/>
  <c r="BD55" i="14"/>
  <c r="BL55" i="14"/>
  <c r="BT55" i="14"/>
  <c r="CB55" i="14"/>
  <c r="CJ55" i="14"/>
  <c r="CR55" i="14"/>
  <c r="CZ55" i="14"/>
  <c r="DH55" i="14"/>
  <c r="DP55" i="14"/>
  <c r="I55" i="14"/>
  <c r="Q55" i="14"/>
  <c r="Y55" i="14"/>
  <c r="AG55" i="14"/>
  <c r="AO55" i="14"/>
  <c r="AW55" i="14"/>
  <c r="BE55" i="14"/>
  <c r="BM55" i="14"/>
  <c r="BU55" i="14"/>
  <c r="CC55" i="14"/>
  <c r="CK55" i="14"/>
  <c r="CS55" i="14"/>
  <c r="DA55" i="14"/>
  <c r="DI55" i="14"/>
  <c r="DQ55" i="14"/>
  <c r="K55" i="14"/>
  <c r="S55" i="14"/>
  <c r="AA55" i="14"/>
  <c r="AI55" i="14"/>
  <c r="AQ55" i="14"/>
  <c r="AY55" i="14"/>
  <c r="BG55" i="14"/>
  <c r="BO55" i="14"/>
  <c r="BW55" i="14"/>
  <c r="CE55" i="14"/>
  <c r="CM55" i="14"/>
  <c r="CU55" i="14"/>
  <c r="DC55" i="14"/>
  <c r="DK55" i="14"/>
  <c r="D55" i="14"/>
  <c r="L55" i="14"/>
  <c r="T55" i="14"/>
  <c r="AB55" i="14"/>
  <c r="AJ55" i="14"/>
  <c r="AR55" i="14"/>
  <c r="AZ55" i="14"/>
  <c r="BH55" i="14"/>
  <c r="BP55" i="14"/>
  <c r="BX55" i="14"/>
  <c r="CF55" i="14"/>
  <c r="CN55" i="14"/>
  <c r="CV55" i="14"/>
  <c r="DD55" i="14"/>
  <c r="DL55" i="14"/>
  <c r="B55" i="14"/>
  <c r="E55" i="14"/>
  <c r="M55" i="14"/>
  <c r="U55" i="14"/>
  <c r="AC55" i="14"/>
  <c r="AK55" i="14"/>
  <c r="AS55" i="14"/>
  <c r="BA55" i="14"/>
  <c r="BI55" i="14"/>
  <c r="BQ55" i="14"/>
  <c r="BY55" i="14"/>
  <c r="CG55" i="14"/>
  <c r="CO55" i="14"/>
  <c r="CW55" i="14"/>
  <c r="DE55" i="14"/>
  <c r="DM55" i="14"/>
  <c r="J55" i="14"/>
  <c r="AE55" i="14"/>
  <c r="BB55" i="14"/>
  <c r="BV55" i="14"/>
  <c r="CQ55" i="14"/>
  <c r="DN55" i="14"/>
  <c r="BJ55" i="14"/>
  <c r="V55" i="14"/>
  <c r="N55" i="14"/>
  <c r="AH55" i="14"/>
  <c r="BC55" i="14"/>
  <c r="BZ55" i="14"/>
  <c r="CT55" i="14"/>
  <c r="DO55" i="14"/>
  <c r="R55" i="14"/>
  <c r="CD55" i="14"/>
  <c r="AX55" i="14"/>
  <c r="O55" i="14"/>
  <c r="AL55" i="14"/>
  <c r="BF55" i="14"/>
  <c r="CA55" i="14"/>
  <c r="CX55" i="14"/>
  <c r="DR55" i="14"/>
  <c r="AP55" i="14"/>
  <c r="DB55" i="14"/>
  <c r="DJ55" i="14"/>
  <c r="AM55" i="14"/>
  <c r="CY55" i="14"/>
  <c r="CH55" i="14"/>
  <c r="CP55" i="14"/>
  <c r="BK55" i="14"/>
  <c r="G55" i="14"/>
  <c r="W55" i="14"/>
  <c r="AT55" i="14"/>
  <c r="BN55" i="14"/>
  <c r="CI55" i="14"/>
  <c r="DF55" i="14"/>
  <c r="DG55" i="14"/>
  <c r="BS55" i="14"/>
  <c r="F55" i="14"/>
  <c r="Z55" i="14"/>
  <c r="AU55" i="14"/>
  <c r="BR55" i="14"/>
  <c r="CL55" i="14"/>
  <c r="AD55" i="14"/>
  <c r="C55" i="14"/>
  <c r="I33" i="14"/>
  <c r="Q33" i="14"/>
  <c r="Y33" i="14"/>
  <c r="AG33" i="14"/>
  <c r="AO33" i="14"/>
  <c r="AW33" i="14"/>
  <c r="BE33" i="14"/>
  <c r="BM33" i="14"/>
  <c r="BU33" i="14"/>
  <c r="CC33" i="14"/>
  <c r="CK33" i="14"/>
  <c r="CS33" i="14"/>
  <c r="DA33" i="14"/>
  <c r="DI33" i="14"/>
  <c r="DQ33" i="14"/>
  <c r="E33" i="14"/>
  <c r="M33" i="14"/>
  <c r="U33" i="14"/>
  <c r="AC33" i="14"/>
  <c r="AK33" i="14"/>
  <c r="AS33" i="14"/>
  <c r="BA33" i="14"/>
  <c r="BI33" i="14"/>
  <c r="BQ33" i="14"/>
  <c r="H33" i="14"/>
  <c r="S33" i="14"/>
  <c r="AD33" i="14"/>
  <c r="AN33" i="14"/>
  <c r="AY33" i="14"/>
  <c r="BJ33" i="14"/>
  <c r="BT33" i="14"/>
  <c r="CD33" i="14"/>
  <c r="CM33" i="14"/>
  <c r="CV33" i="14"/>
  <c r="DE33" i="14"/>
  <c r="DN33" i="14"/>
  <c r="J33" i="14"/>
  <c r="T33" i="14"/>
  <c r="AE33" i="14"/>
  <c r="AP33" i="14"/>
  <c r="AZ33" i="14"/>
  <c r="BK33" i="14"/>
  <c r="BV33" i="14"/>
  <c r="CE33" i="14"/>
  <c r="CN33" i="14"/>
  <c r="CW33" i="14"/>
  <c r="DF33" i="14"/>
  <c r="DO33" i="14"/>
  <c r="K33" i="14"/>
  <c r="V33" i="14"/>
  <c r="AF33" i="14"/>
  <c r="AQ33" i="14"/>
  <c r="BB33" i="14"/>
  <c r="BL33" i="14"/>
  <c r="BW33" i="14"/>
  <c r="CF33" i="14"/>
  <c r="CO33" i="14"/>
  <c r="CX33" i="14"/>
  <c r="DG33" i="14"/>
  <c r="DP33" i="14"/>
  <c r="L33" i="14"/>
  <c r="W33" i="14"/>
  <c r="AH33" i="14"/>
  <c r="AR33" i="14"/>
  <c r="BC33" i="14"/>
  <c r="BN33" i="14"/>
  <c r="BX33" i="14"/>
  <c r="CG33" i="14"/>
  <c r="CP33" i="14"/>
  <c r="CY33" i="14"/>
  <c r="DH33" i="14"/>
  <c r="DR33" i="14"/>
  <c r="C33" i="14"/>
  <c r="N33" i="14"/>
  <c r="X33" i="14"/>
  <c r="AI33" i="14"/>
  <c r="AT33" i="14"/>
  <c r="BD33" i="14"/>
  <c r="BO33" i="14"/>
  <c r="BY33" i="14"/>
  <c r="CH33" i="14"/>
  <c r="CQ33" i="14"/>
  <c r="CZ33" i="14"/>
  <c r="DJ33" i="14"/>
  <c r="D33" i="14"/>
  <c r="O33" i="14"/>
  <c r="Z33" i="14"/>
  <c r="AJ33" i="14"/>
  <c r="AU33" i="14"/>
  <c r="BF33" i="14"/>
  <c r="BP33" i="14"/>
  <c r="BZ33" i="14"/>
  <c r="CI33" i="14"/>
  <c r="CR33" i="14"/>
  <c r="DB33" i="14"/>
  <c r="DK33" i="14"/>
  <c r="F33" i="14"/>
  <c r="P33" i="14"/>
  <c r="AA33" i="14"/>
  <c r="AL33" i="14"/>
  <c r="AV33" i="14"/>
  <c r="BG33" i="14"/>
  <c r="BR33" i="14"/>
  <c r="CA33" i="14"/>
  <c r="CJ33" i="14"/>
  <c r="CT33" i="14"/>
  <c r="DC33" i="14"/>
  <c r="DL33" i="14"/>
  <c r="R33" i="14"/>
  <c r="CU33" i="14"/>
  <c r="AB33" i="14"/>
  <c r="DD33" i="14"/>
  <c r="AM33" i="14"/>
  <c r="DM33" i="14"/>
  <c r="AX33" i="14"/>
  <c r="BH33" i="14"/>
  <c r="BS33" i="14"/>
  <c r="CB33" i="14"/>
  <c r="G33" i="14"/>
  <c r="CL33" i="14"/>
  <c r="B33" i="14"/>
  <c r="G17" i="14"/>
  <c r="O17" i="14"/>
  <c r="W17" i="14"/>
  <c r="AE17" i="14"/>
  <c r="AM17" i="14"/>
  <c r="AU17" i="14"/>
  <c r="BC17" i="14"/>
  <c r="BK17" i="14"/>
  <c r="BS17" i="14"/>
  <c r="CA17" i="14"/>
  <c r="CI17" i="14"/>
  <c r="CQ17" i="14"/>
  <c r="CY17" i="14"/>
  <c r="DG17" i="14"/>
  <c r="DO17" i="14"/>
  <c r="H17" i="14"/>
  <c r="P17" i="14"/>
  <c r="X17" i="14"/>
  <c r="AF17" i="14"/>
  <c r="AN17" i="14"/>
  <c r="AV17" i="14"/>
  <c r="BD17" i="14"/>
  <c r="BL17" i="14"/>
  <c r="BT17" i="14"/>
  <c r="CB17" i="14"/>
  <c r="CJ17" i="14"/>
  <c r="CR17" i="14"/>
  <c r="CZ17" i="14"/>
  <c r="DH17" i="14"/>
  <c r="DP17" i="14"/>
  <c r="I17" i="14"/>
  <c r="Q17" i="14"/>
  <c r="Y17" i="14"/>
  <c r="AG17" i="14"/>
  <c r="AO17" i="14"/>
  <c r="AW17" i="14"/>
  <c r="BE17" i="14"/>
  <c r="BM17" i="14"/>
  <c r="BU17" i="14"/>
  <c r="CC17" i="14"/>
  <c r="CK17" i="14"/>
  <c r="CS17" i="14"/>
  <c r="DA17" i="14"/>
  <c r="DI17" i="14"/>
  <c r="DQ17" i="14"/>
  <c r="J17" i="14"/>
  <c r="R17" i="14"/>
  <c r="Z17" i="14"/>
  <c r="AH17" i="14"/>
  <c r="AP17" i="14"/>
  <c r="AX17" i="14"/>
  <c r="BF17" i="14"/>
  <c r="BN17" i="14"/>
  <c r="BV17" i="14"/>
  <c r="CD17" i="14"/>
  <c r="CL17" i="14"/>
  <c r="CT17" i="14"/>
  <c r="DB17" i="14"/>
  <c r="DJ17" i="14"/>
  <c r="DR17" i="14"/>
  <c r="C17" i="14"/>
  <c r="K17" i="14"/>
  <c r="S17" i="14"/>
  <c r="AA17" i="14"/>
  <c r="AI17" i="14"/>
  <c r="AQ17" i="14"/>
  <c r="AY17" i="14"/>
  <c r="BG17" i="14"/>
  <c r="BO17" i="14"/>
  <c r="BW17" i="14"/>
  <c r="CE17" i="14"/>
  <c r="CM17" i="14"/>
  <c r="CU17" i="14"/>
  <c r="DC17" i="14"/>
  <c r="DK17" i="14"/>
  <c r="D17" i="14"/>
  <c r="L17" i="14"/>
  <c r="T17" i="14"/>
  <c r="AB17" i="14"/>
  <c r="AJ17" i="14"/>
  <c r="AR17" i="14"/>
  <c r="AZ17" i="14"/>
  <c r="BH17" i="14"/>
  <c r="BP17" i="14"/>
  <c r="BX17" i="14"/>
  <c r="CF17" i="14"/>
  <c r="CN17" i="14"/>
  <c r="CV17" i="14"/>
  <c r="DD17" i="14"/>
  <c r="DL17" i="14"/>
  <c r="E17" i="14"/>
  <c r="M17" i="14"/>
  <c r="U17" i="14"/>
  <c r="AC17" i="14"/>
  <c r="AK17" i="14"/>
  <c r="AS17" i="14"/>
  <c r="BA17" i="14"/>
  <c r="BI17" i="14"/>
  <c r="BQ17" i="14"/>
  <c r="BY17" i="14"/>
  <c r="CG17" i="14"/>
  <c r="CO17" i="14"/>
  <c r="CW17" i="14"/>
  <c r="DE17" i="14"/>
  <c r="DM17" i="14"/>
  <c r="BB17" i="14"/>
  <c r="DN17" i="14"/>
  <c r="F17" i="14"/>
  <c r="BR17" i="14"/>
  <c r="N17" i="14"/>
  <c r="BZ17" i="14"/>
  <c r="V17" i="14"/>
  <c r="CH17" i="14"/>
  <c r="AT17" i="14"/>
  <c r="DF17" i="14"/>
  <c r="BJ17" i="14"/>
  <c r="CP17" i="14"/>
  <c r="CX17" i="14"/>
  <c r="AD17" i="14"/>
  <c r="AL17" i="14"/>
  <c r="B17" i="14"/>
  <c r="D9" i="14"/>
  <c r="L9" i="14"/>
  <c r="T9" i="14"/>
  <c r="AB9" i="14"/>
  <c r="AJ9" i="14"/>
  <c r="AR9" i="14"/>
  <c r="AZ9" i="14"/>
  <c r="BH9" i="14"/>
  <c r="BP9" i="14"/>
  <c r="BX9" i="14"/>
  <c r="CF9" i="14"/>
  <c r="CN9" i="14"/>
  <c r="CV9" i="14"/>
  <c r="DD9" i="14"/>
  <c r="DL9" i="14"/>
  <c r="E9" i="14"/>
  <c r="M9" i="14"/>
  <c r="U9" i="14"/>
  <c r="AC9" i="14"/>
  <c r="AK9" i="14"/>
  <c r="AS9" i="14"/>
  <c r="BA9" i="14"/>
  <c r="BI9" i="14"/>
  <c r="BQ9" i="14"/>
  <c r="BY9" i="14"/>
  <c r="CG9" i="14"/>
  <c r="CO9" i="14"/>
  <c r="CW9" i="14"/>
  <c r="DE9" i="14"/>
  <c r="DM9" i="14"/>
  <c r="F9" i="14"/>
  <c r="N9" i="14"/>
  <c r="V9" i="14"/>
  <c r="AD9" i="14"/>
  <c r="AL9" i="14"/>
  <c r="AT9" i="14"/>
  <c r="BB9" i="14"/>
  <c r="BJ9" i="14"/>
  <c r="BR9" i="14"/>
  <c r="BZ9" i="14"/>
  <c r="CH9" i="14"/>
  <c r="CP9" i="14"/>
  <c r="CX9" i="14"/>
  <c r="DF9" i="14"/>
  <c r="DN9" i="14"/>
  <c r="G9" i="14"/>
  <c r="O9" i="14"/>
  <c r="W9" i="14"/>
  <c r="AE9" i="14"/>
  <c r="AM9" i="14"/>
  <c r="AU9" i="14"/>
  <c r="BC9" i="14"/>
  <c r="BK9" i="14"/>
  <c r="BS9" i="14"/>
  <c r="CA9" i="14"/>
  <c r="CI9" i="14"/>
  <c r="CQ9" i="14"/>
  <c r="CY9" i="14"/>
  <c r="DG9" i="14"/>
  <c r="DO9" i="14"/>
  <c r="H9" i="14"/>
  <c r="P9" i="14"/>
  <c r="X9" i="14"/>
  <c r="AF9" i="14"/>
  <c r="AN9" i="14"/>
  <c r="AV9" i="14"/>
  <c r="BD9" i="14"/>
  <c r="BL9" i="14"/>
  <c r="BT9" i="14"/>
  <c r="CB9" i="14"/>
  <c r="CJ9" i="14"/>
  <c r="CR9" i="14"/>
  <c r="CZ9" i="14"/>
  <c r="DH9" i="14"/>
  <c r="DP9" i="14"/>
  <c r="I9" i="14"/>
  <c r="Q9" i="14"/>
  <c r="Y9" i="14"/>
  <c r="AG9" i="14"/>
  <c r="AO9" i="14"/>
  <c r="AW9" i="14"/>
  <c r="BE9" i="14"/>
  <c r="BM9" i="14"/>
  <c r="BU9" i="14"/>
  <c r="CC9" i="14"/>
  <c r="CK9" i="14"/>
  <c r="CS9" i="14"/>
  <c r="DA9" i="14"/>
  <c r="DI9" i="14"/>
  <c r="DQ9" i="14"/>
  <c r="J9" i="14"/>
  <c r="R9" i="14"/>
  <c r="Z9" i="14"/>
  <c r="AH9" i="14"/>
  <c r="AP9" i="14"/>
  <c r="AX9" i="14"/>
  <c r="BF9" i="14"/>
  <c r="BN9" i="14"/>
  <c r="BV9" i="14"/>
  <c r="CD9" i="14"/>
  <c r="CL9" i="14"/>
  <c r="CT9" i="14"/>
  <c r="DB9" i="14"/>
  <c r="DJ9" i="14"/>
  <c r="DR9" i="14"/>
  <c r="AA9" i="14"/>
  <c r="CM9" i="14"/>
  <c r="AI9" i="14"/>
  <c r="CU9" i="14"/>
  <c r="AQ9" i="14"/>
  <c r="DC9" i="14"/>
  <c r="AY9" i="14"/>
  <c r="DK9" i="14"/>
  <c r="BG9" i="14"/>
  <c r="C9" i="14"/>
  <c r="BO9" i="14"/>
  <c r="K9" i="14"/>
  <c r="BW9" i="14"/>
  <c r="S9" i="14"/>
  <c r="CE9" i="14"/>
  <c r="I40" i="14"/>
  <c r="Q40" i="14"/>
  <c r="Y40" i="14"/>
  <c r="AG40" i="14"/>
  <c r="AO40" i="14"/>
  <c r="AW40" i="14"/>
  <c r="BE40" i="14"/>
  <c r="BM40" i="14"/>
  <c r="BU40" i="14"/>
  <c r="CC40" i="14"/>
  <c r="CK40" i="14"/>
  <c r="CS40" i="14"/>
  <c r="DA40" i="14"/>
  <c r="DI40" i="14"/>
  <c r="DQ40" i="14"/>
  <c r="J40" i="14"/>
  <c r="R40" i="14"/>
  <c r="Z40" i="14"/>
  <c r="AH40" i="14"/>
  <c r="AP40" i="14"/>
  <c r="AX40" i="14"/>
  <c r="BF40" i="14"/>
  <c r="BN40" i="14"/>
  <c r="BV40" i="14"/>
  <c r="CD40" i="14"/>
  <c r="CL40" i="14"/>
  <c r="CT40" i="14"/>
  <c r="DB40" i="14"/>
  <c r="DJ40" i="14"/>
  <c r="DR40" i="14"/>
  <c r="C40" i="14"/>
  <c r="K40" i="14"/>
  <c r="S40" i="14"/>
  <c r="AA40" i="14"/>
  <c r="AI40" i="14"/>
  <c r="AQ40" i="14"/>
  <c r="AY40" i="14"/>
  <c r="BG40" i="14"/>
  <c r="BO40" i="14"/>
  <c r="BW40" i="14"/>
  <c r="CE40" i="14"/>
  <c r="CM40" i="14"/>
  <c r="CU40" i="14"/>
  <c r="DC40" i="14"/>
  <c r="DK40" i="14"/>
  <c r="D40" i="14"/>
  <c r="L40" i="14"/>
  <c r="T40" i="14"/>
  <c r="AB40" i="14"/>
  <c r="AJ40" i="14"/>
  <c r="AR40" i="14"/>
  <c r="AZ40" i="14"/>
  <c r="BH40" i="14"/>
  <c r="BP40" i="14"/>
  <c r="BX40" i="14"/>
  <c r="CF40" i="14"/>
  <c r="CN40" i="14"/>
  <c r="CV40" i="14"/>
  <c r="DD40" i="14"/>
  <c r="DL40" i="14"/>
  <c r="E40" i="14"/>
  <c r="M40" i="14"/>
  <c r="U40" i="14"/>
  <c r="AC40" i="14"/>
  <c r="AK40" i="14"/>
  <c r="AS40" i="14"/>
  <c r="BA40" i="14"/>
  <c r="BI40" i="14"/>
  <c r="BQ40" i="14"/>
  <c r="BY40" i="14"/>
  <c r="CG40" i="14"/>
  <c r="CO40" i="14"/>
  <c r="CW40" i="14"/>
  <c r="DE40" i="14"/>
  <c r="DM40" i="14"/>
  <c r="F40" i="14"/>
  <c r="N40" i="14"/>
  <c r="V40" i="14"/>
  <c r="AD40" i="14"/>
  <c r="AL40" i="14"/>
  <c r="AT40" i="14"/>
  <c r="BB40" i="14"/>
  <c r="BJ40" i="14"/>
  <c r="BR40" i="14"/>
  <c r="BZ40" i="14"/>
  <c r="CH40" i="14"/>
  <c r="CP40" i="14"/>
  <c r="CX40" i="14"/>
  <c r="DF40" i="14"/>
  <c r="DN40" i="14"/>
  <c r="G40" i="14"/>
  <c r="O40" i="14"/>
  <c r="W40" i="14"/>
  <c r="AE40" i="14"/>
  <c r="AM40" i="14"/>
  <c r="AU40" i="14"/>
  <c r="BC40" i="14"/>
  <c r="BK40" i="14"/>
  <c r="BS40" i="14"/>
  <c r="CA40" i="14"/>
  <c r="CI40" i="14"/>
  <c r="CQ40" i="14"/>
  <c r="CY40" i="14"/>
  <c r="DG40" i="14"/>
  <c r="DO40" i="14"/>
  <c r="AV40" i="14"/>
  <c r="H40" i="14"/>
  <c r="BT40" i="14"/>
  <c r="P40" i="14"/>
  <c r="X40" i="14"/>
  <c r="CJ40" i="14"/>
  <c r="AF40" i="14"/>
  <c r="CR40" i="14"/>
  <c r="DP40" i="14"/>
  <c r="AN40" i="14"/>
  <c r="BD40" i="14"/>
  <c r="BL40" i="14"/>
  <c r="B40" i="14"/>
  <c r="CB40" i="14"/>
  <c r="CZ40" i="14"/>
  <c r="DH40" i="14"/>
  <c r="H24" i="14"/>
  <c r="P24" i="14"/>
  <c r="X24" i="14"/>
  <c r="AF24" i="14"/>
  <c r="AN24" i="14"/>
  <c r="D24" i="14"/>
  <c r="L24" i="14"/>
  <c r="T24" i="14"/>
  <c r="AB24" i="14"/>
  <c r="AJ24" i="14"/>
  <c r="AR24" i="14"/>
  <c r="F24" i="14"/>
  <c r="Q24" i="14"/>
  <c r="AA24" i="14"/>
  <c r="AL24" i="14"/>
  <c r="AV24" i="14"/>
  <c r="BD24" i="14"/>
  <c r="BL24" i="14"/>
  <c r="BT24" i="14"/>
  <c r="CB24" i="14"/>
  <c r="CJ24" i="14"/>
  <c r="CR24" i="14"/>
  <c r="CZ24" i="14"/>
  <c r="DH24" i="14"/>
  <c r="DP24" i="14"/>
  <c r="I24" i="14"/>
  <c r="S24" i="14"/>
  <c r="AD24" i="14"/>
  <c r="AO24" i="14"/>
  <c r="AX24" i="14"/>
  <c r="BF24" i="14"/>
  <c r="BN24" i="14"/>
  <c r="BV24" i="14"/>
  <c r="CD24" i="14"/>
  <c r="CL24" i="14"/>
  <c r="CT24" i="14"/>
  <c r="DB24" i="14"/>
  <c r="DJ24" i="14"/>
  <c r="DR24" i="14"/>
  <c r="J24" i="14"/>
  <c r="U24" i="14"/>
  <c r="AE24" i="14"/>
  <c r="AP24" i="14"/>
  <c r="AY24" i="14"/>
  <c r="BG24" i="14"/>
  <c r="BO24" i="14"/>
  <c r="BW24" i="14"/>
  <c r="CE24" i="14"/>
  <c r="CM24" i="14"/>
  <c r="CU24" i="14"/>
  <c r="DC24" i="14"/>
  <c r="DK24" i="14"/>
  <c r="K24" i="14"/>
  <c r="V24" i="14"/>
  <c r="AG24" i="14"/>
  <c r="AQ24" i="14"/>
  <c r="AZ24" i="14"/>
  <c r="BH24" i="14"/>
  <c r="BP24" i="14"/>
  <c r="BX24" i="14"/>
  <c r="CF24" i="14"/>
  <c r="CN24" i="14"/>
  <c r="CV24" i="14"/>
  <c r="DD24" i="14"/>
  <c r="DL24" i="14"/>
  <c r="E24" i="14"/>
  <c r="O24" i="14"/>
  <c r="Z24" i="14"/>
  <c r="AK24" i="14"/>
  <c r="AU24" i="14"/>
  <c r="BC24" i="14"/>
  <c r="BK24" i="14"/>
  <c r="BS24" i="14"/>
  <c r="CA24" i="14"/>
  <c r="CI24" i="14"/>
  <c r="CQ24" i="14"/>
  <c r="CY24" i="14"/>
  <c r="DG24" i="14"/>
  <c r="DO24" i="14"/>
  <c r="M24" i="14"/>
  <c r="AM24" i="14"/>
  <c r="BJ24" i="14"/>
  <c r="CG24" i="14"/>
  <c r="DA24" i="14"/>
  <c r="N24" i="14"/>
  <c r="AS24" i="14"/>
  <c r="BM24" i="14"/>
  <c r="CH24" i="14"/>
  <c r="DE24" i="14"/>
  <c r="R24" i="14"/>
  <c r="AT24" i="14"/>
  <c r="BQ24" i="14"/>
  <c r="CK24" i="14"/>
  <c r="DF24" i="14"/>
  <c r="W24" i="14"/>
  <c r="AW24" i="14"/>
  <c r="BR24" i="14"/>
  <c r="CO24" i="14"/>
  <c r="DI24" i="14"/>
  <c r="Y24" i="14"/>
  <c r="BA24" i="14"/>
  <c r="BU24" i="14"/>
  <c r="CP24" i="14"/>
  <c r="DM24" i="14"/>
  <c r="AC24" i="14"/>
  <c r="BB24" i="14"/>
  <c r="BY24" i="14"/>
  <c r="CS24" i="14"/>
  <c r="DN24" i="14"/>
  <c r="C24" i="14"/>
  <c r="AH24" i="14"/>
  <c r="BE24" i="14"/>
  <c r="BZ24" i="14"/>
  <c r="CW24" i="14"/>
  <c r="DQ24" i="14"/>
  <c r="CC24" i="14"/>
  <c r="CX24" i="14"/>
  <c r="G24" i="14"/>
  <c r="AI24" i="14"/>
  <c r="BI24" i="14"/>
  <c r="B24" i="14"/>
  <c r="H53" i="14"/>
  <c r="P53" i="14"/>
  <c r="X53" i="14"/>
  <c r="AF53" i="14"/>
  <c r="AN53" i="14"/>
  <c r="AV53" i="14"/>
  <c r="BD53" i="14"/>
  <c r="BL53" i="14"/>
  <c r="BT53" i="14"/>
  <c r="CB53" i="14"/>
  <c r="CJ53" i="14"/>
  <c r="CR53" i="14"/>
  <c r="CZ53" i="14"/>
  <c r="DH53" i="14"/>
  <c r="DP53" i="14"/>
  <c r="I53" i="14"/>
  <c r="Q53" i="14"/>
  <c r="Y53" i="14"/>
  <c r="AG53" i="14"/>
  <c r="AO53" i="14"/>
  <c r="AW53" i="14"/>
  <c r="BE53" i="14"/>
  <c r="BM53" i="14"/>
  <c r="BU53" i="14"/>
  <c r="CC53" i="14"/>
  <c r="CK53" i="14"/>
  <c r="CS53" i="14"/>
  <c r="DA53" i="14"/>
  <c r="DI53" i="14"/>
  <c r="DQ53" i="14"/>
  <c r="K53" i="14"/>
  <c r="S53" i="14"/>
  <c r="AA53" i="14"/>
  <c r="AI53" i="14"/>
  <c r="AQ53" i="14"/>
  <c r="AY53" i="14"/>
  <c r="BG53" i="14"/>
  <c r="BO53" i="14"/>
  <c r="BW53" i="14"/>
  <c r="CE53" i="14"/>
  <c r="CM53" i="14"/>
  <c r="CU53" i="14"/>
  <c r="DC53" i="14"/>
  <c r="DK53" i="14"/>
  <c r="D53" i="14"/>
  <c r="L53" i="14"/>
  <c r="T53" i="14"/>
  <c r="AB53" i="14"/>
  <c r="AJ53" i="14"/>
  <c r="AR53" i="14"/>
  <c r="AZ53" i="14"/>
  <c r="BH53" i="14"/>
  <c r="BP53" i="14"/>
  <c r="BX53" i="14"/>
  <c r="CF53" i="14"/>
  <c r="CN53" i="14"/>
  <c r="CV53" i="14"/>
  <c r="DD53" i="14"/>
  <c r="DL53" i="14"/>
  <c r="E53" i="14"/>
  <c r="M53" i="14"/>
  <c r="U53" i="14"/>
  <c r="AC53" i="14"/>
  <c r="AK53" i="14"/>
  <c r="AS53" i="14"/>
  <c r="BA53" i="14"/>
  <c r="BI53" i="14"/>
  <c r="BQ53" i="14"/>
  <c r="BY53" i="14"/>
  <c r="CG53" i="14"/>
  <c r="CO53" i="14"/>
  <c r="CW53" i="14"/>
  <c r="DE53" i="14"/>
  <c r="DM53" i="14"/>
  <c r="B53" i="14"/>
  <c r="W53" i="14"/>
  <c r="AT53" i="14"/>
  <c r="BN53" i="14"/>
  <c r="CI53" i="14"/>
  <c r="DF53" i="14"/>
  <c r="DN53" i="14"/>
  <c r="DB53" i="14"/>
  <c r="F53" i="14"/>
  <c r="Z53" i="14"/>
  <c r="AU53" i="14"/>
  <c r="BR53" i="14"/>
  <c r="CL53" i="14"/>
  <c r="DG53" i="14"/>
  <c r="DO53" i="14"/>
  <c r="BK53" i="14"/>
  <c r="G53" i="14"/>
  <c r="AD53" i="14"/>
  <c r="AX53" i="14"/>
  <c r="BS53" i="14"/>
  <c r="CP53" i="14"/>
  <c r="DJ53" i="14"/>
  <c r="BV53" i="14"/>
  <c r="CH53" i="14"/>
  <c r="J53" i="14"/>
  <c r="AE53" i="14"/>
  <c r="BB53" i="14"/>
  <c r="CQ53" i="14"/>
  <c r="N53" i="14"/>
  <c r="AH53" i="14"/>
  <c r="BC53" i="14"/>
  <c r="BZ53" i="14"/>
  <c r="CT53" i="14"/>
  <c r="O53" i="14"/>
  <c r="AL53" i="14"/>
  <c r="BF53" i="14"/>
  <c r="CA53" i="14"/>
  <c r="CX53" i="14"/>
  <c r="DR53" i="14"/>
  <c r="AP53" i="14"/>
  <c r="R53" i="14"/>
  <c r="AM53" i="14"/>
  <c r="BJ53" i="14"/>
  <c r="CD53" i="14"/>
  <c r="CY53" i="14"/>
  <c r="V53" i="14"/>
  <c r="C53" i="14"/>
  <c r="H47" i="14"/>
  <c r="P47" i="14"/>
  <c r="X47" i="14"/>
  <c r="AF47" i="14"/>
  <c r="AN47" i="14"/>
  <c r="AV47" i="14"/>
  <c r="BD47" i="14"/>
  <c r="BL47" i="14"/>
  <c r="BT47" i="14"/>
  <c r="CB47" i="14"/>
  <c r="CJ47" i="14"/>
  <c r="CR47" i="14"/>
  <c r="CZ47" i="14"/>
  <c r="DH47" i="14"/>
  <c r="DP47" i="14"/>
  <c r="J47" i="14"/>
  <c r="R47" i="14"/>
  <c r="Z47" i="14"/>
  <c r="AH47" i="14"/>
  <c r="AP47" i="14"/>
  <c r="AX47" i="14"/>
  <c r="BF47" i="14"/>
  <c r="BN47" i="14"/>
  <c r="BV47" i="14"/>
  <c r="CD47" i="14"/>
  <c r="CL47" i="14"/>
  <c r="CT47" i="14"/>
  <c r="DB47" i="14"/>
  <c r="DJ47" i="14"/>
  <c r="DR47" i="14"/>
  <c r="F47" i="14"/>
  <c r="Q47" i="14"/>
  <c r="AB47" i="14"/>
  <c r="AL47" i="14"/>
  <c r="AW47" i="14"/>
  <c r="BH47" i="14"/>
  <c r="BR47" i="14"/>
  <c r="CC47" i="14"/>
  <c r="CN47" i="14"/>
  <c r="CX47" i="14"/>
  <c r="DI47" i="14"/>
  <c r="G47" i="14"/>
  <c r="S47" i="14"/>
  <c r="AC47" i="14"/>
  <c r="AM47" i="14"/>
  <c r="AY47" i="14"/>
  <c r="BI47" i="14"/>
  <c r="BS47" i="14"/>
  <c r="CE47" i="14"/>
  <c r="CO47" i="14"/>
  <c r="CY47" i="14"/>
  <c r="DK47" i="14"/>
  <c r="I47" i="14"/>
  <c r="AD47" i="14"/>
  <c r="AZ47" i="14"/>
  <c r="BU47" i="14"/>
  <c r="CP47" i="14"/>
  <c r="DA47" i="14"/>
  <c r="T47" i="14"/>
  <c r="AO47" i="14"/>
  <c r="BJ47" i="14"/>
  <c r="CF47" i="14"/>
  <c r="DL47" i="14"/>
  <c r="K47" i="14"/>
  <c r="U47" i="14"/>
  <c r="AE47" i="14"/>
  <c r="AQ47" i="14"/>
  <c r="BA47" i="14"/>
  <c r="BK47" i="14"/>
  <c r="BW47" i="14"/>
  <c r="CG47" i="14"/>
  <c r="CQ47" i="14"/>
  <c r="DC47" i="14"/>
  <c r="DM47" i="14"/>
  <c r="B47" i="14"/>
  <c r="DQ47" i="14"/>
  <c r="L47" i="14"/>
  <c r="V47" i="14"/>
  <c r="AG47" i="14"/>
  <c r="AR47" i="14"/>
  <c r="BB47" i="14"/>
  <c r="BM47" i="14"/>
  <c r="BX47" i="14"/>
  <c r="CH47" i="14"/>
  <c r="CS47" i="14"/>
  <c r="DD47" i="14"/>
  <c r="DN47" i="14"/>
  <c r="DF47" i="14"/>
  <c r="C47" i="14"/>
  <c r="M47" i="14"/>
  <c r="W47" i="14"/>
  <c r="AI47" i="14"/>
  <c r="AS47" i="14"/>
  <c r="BC47" i="14"/>
  <c r="BO47" i="14"/>
  <c r="BY47" i="14"/>
  <c r="CI47" i="14"/>
  <c r="CU47" i="14"/>
  <c r="DE47" i="14"/>
  <c r="DO47" i="14"/>
  <c r="D47" i="14"/>
  <c r="Y47" i="14"/>
  <c r="AT47" i="14"/>
  <c r="BP47" i="14"/>
  <c r="CV47" i="14"/>
  <c r="N47" i="14"/>
  <c r="AJ47" i="14"/>
  <c r="BE47" i="14"/>
  <c r="BZ47" i="14"/>
  <c r="CK47" i="14"/>
  <c r="E47" i="14"/>
  <c r="CM47" i="14"/>
  <c r="O47" i="14"/>
  <c r="CW47" i="14"/>
  <c r="AA47" i="14"/>
  <c r="DG47" i="14"/>
  <c r="AK47" i="14"/>
  <c r="AU47" i="14"/>
  <c r="BG47" i="14"/>
  <c r="CA47" i="14"/>
  <c r="BQ47" i="14"/>
  <c r="I39" i="14"/>
  <c r="Q39" i="14"/>
  <c r="Y39" i="14"/>
  <c r="AG39" i="14"/>
  <c r="AO39" i="14"/>
  <c r="AW39" i="14"/>
  <c r="BE39" i="14"/>
  <c r="BM39" i="14"/>
  <c r="BU39" i="14"/>
  <c r="CC39" i="14"/>
  <c r="CK39" i="14"/>
  <c r="CS39" i="14"/>
  <c r="DA39" i="14"/>
  <c r="DI39" i="14"/>
  <c r="DQ39" i="14"/>
  <c r="J39" i="14"/>
  <c r="R39" i="14"/>
  <c r="Z39" i="14"/>
  <c r="AH39" i="14"/>
  <c r="AP39" i="14"/>
  <c r="AX39" i="14"/>
  <c r="BF39" i="14"/>
  <c r="BN39" i="14"/>
  <c r="BV39" i="14"/>
  <c r="CD39" i="14"/>
  <c r="CL39" i="14"/>
  <c r="CT39" i="14"/>
  <c r="DB39" i="14"/>
  <c r="DJ39" i="14"/>
  <c r="DR39" i="14"/>
  <c r="C39" i="14"/>
  <c r="K39" i="14"/>
  <c r="S39" i="14"/>
  <c r="AA39" i="14"/>
  <c r="AI39" i="14"/>
  <c r="AQ39" i="14"/>
  <c r="AY39" i="14"/>
  <c r="BG39" i="14"/>
  <c r="BO39" i="14"/>
  <c r="BW39" i="14"/>
  <c r="CE39" i="14"/>
  <c r="CM39" i="14"/>
  <c r="CU39" i="14"/>
  <c r="DC39" i="14"/>
  <c r="DK39" i="14"/>
  <c r="D39" i="14"/>
  <c r="L39" i="14"/>
  <c r="T39" i="14"/>
  <c r="AB39" i="14"/>
  <c r="AJ39" i="14"/>
  <c r="AR39" i="14"/>
  <c r="AZ39" i="14"/>
  <c r="BH39" i="14"/>
  <c r="BP39" i="14"/>
  <c r="BX39" i="14"/>
  <c r="CF39" i="14"/>
  <c r="CN39" i="14"/>
  <c r="CV39" i="14"/>
  <c r="DD39" i="14"/>
  <c r="DL39" i="14"/>
  <c r="E39" i="14"/>
  <c r="M39" i="14"/>
  <c r="U39" i="14"/>
  <c r="AC39" i="14"/>
  <c r="AK39" i="14"/>
  <c r="AS39" i="14"/>
  <c r="BA39" i="14"/>
  <c r="BI39" i="14"/>
  <c r="BQ39" i="14"/>
  <c r="BY39" i="14"/>
  <c r="CG39" i="14"/>
  <c r="CO39" i="14"/>
  <c r="CW39" i="14"/>
  <c r="DE39" i="14"/>
  <c r="DM39" i="14"/>
  <c r="F39" i="14"/>
  <c r="N39" i="14"/>
  <c r="V39" i="14"/>
  <c r="AD39" i="14"/>
  <c r="AL39" i="14"/>
  <c r="AT39" i="14"/>
  <c r="BB39" i="14"/>
  <c r="BJ39" i="14"/>
  <c r="BR39" i="14"/>
  <c r="BZ39" i="14"/>
  <c r="CH39" i="14"/>
  <c r="CP39" i="14"/>
  <c r="CX39" i="14"/>
  <c r="DF39" i="14"/>
  <c r="DN39" i="14"/>
  <c r="G39" i="14"/>
  <c r="O39" i="14"/>
  <c r="W39" i="14"/>
  <c r="AE39" i="14"/>
  <c r="AM39" i="14"/>
  <c r="AU39" i="14"/>
  <c r="BC39" i="14"/>
  <c r="BK39" i="14"/>
  <c r="BS39" i="14"/>
  <c r="CA39" i="14"/>
  <c r="CI39" i="14"/>
  <c r="CQ39" i="14"/>
  <c r="CY39" i="14"/>
  <c r="DG39" i="14"/>
  <c r="DO39" i="14"/>
  <c r="AN39" i="14"/>
  <c r="CZ39" i="14"/>
  <c r="BL39" i="14"/>
  <c r="H39" i="14"/>
  <c r="BT39" i="14"/>
  <c r="P39" i="14"/>
  <c r="CB39" i="14"/>
  <c r="X39" i="14"/>
  <c r="CJ39" i="14"/>
  <c r="DH39" i="14"/>
  <c r="DP39" i="14"/>
  <c r="B39" i="14"/>
  <c r="AF39" i="14"/>
  <c r="AV39" i="14"/>
  <c r="BD39" i="14"/>
  <c r="CR39" i="14"/>
  <c r="H46" i="14"/>
  <c r="P46" i="14"/>
  <c r="X46" i="14"/>
  <c r="AF46" i="14"/>
  <c r="AN46" i="14"/>
  <c r="AV46" i="14"/>
  <c r="BD46" i="14"/>
  <c r="BL46" i="14"/>
  <c r="BT46" i="14"/>
  <c r="CB46" i="14"/>
  <c r="CJ46" i="14"/>
  <c r="CR46" i="14"/>
  <c r="CZ46" i="14"/>
  <c r="DH46" i="14"/>
  <c r="DP46" i="14"/>
  <c r="J46" i="14"/>
  <c r="R46" i="14"/>
  <c r="Z46" i="14"/>
  <c r="AH46" i="14"/>
  <c r="AP46" i="14"/>
  <c r="AX46" i="14"/>
  <c r="BF46" i="14"/>
  <c r="BN46" i="14"/>
  <c r="BV46" i="14"/>
  <c r="CD46" i="14"/>
  <c r="CL46" i="14"/>
  <c r="CT46" i="14"/>
  <c r="DB46" i="14"/>
  <c r="DJ46" i="14"/>
  <c r="DR46" i="14"/>
  <c r="C46" i="14"/>
  <c r="K46" i="14"/>
  <c r="S46" i="14"/>
  <c r="AA46" i="14"/>
  <c r="AI46" i="14"/>
  <c r="AQ46" i="14"/>
  <c r="AY46" i="14"/>
  <c r="BG46" i="14"/>
  <c r="L46" i="14"/>
  <c r="W46" i="14"/>
  <c r="AK46" i="14"/>
  <c r="AW46" i="14"/>
  <c r="BJ46" i="14"/>
  <c r="BU46" i="14"/>
  <c r="CF46" i="14"/>
  <c r="CP46" i="14"/>
  <c r="DA46" i="14"/>
  <c r="DL46" i="14"/>
  <c r="M46" i="14"/>
  <c r="Y46" i="14"/>
  <c r="AL46" i="14"/>
  <c r="AZ46" i="14"/>
  <c r="BK46" i="14"/>
  <c r="BW46" i="14"/>
  <c r="CG46" i="14"/>
  <c r="CQ46" i="14"/>
  <c r="DC46" i="14"/>
  <c r="DM46" i="14"/>
  <c r="N46" i="14"/>
  <c r="AM46" i="14"/>
  <c r="BM46" i="14"/>
  <c r="CH46" i="14"/>
  <c r="DD46" i="14"/>
  <c r="AB46" i="14"/>
  <c r="BA46" i="14"/>
  <c r="BX46" i="14"/>
  <c r="CS46" i="14"/>
  <c r="DN46" i="14"/>
  <c r="D46" i="14"/>
  <c r="O46" i="14"/>
  <c r="AC46" i="14"/>
  <c r="AO46" i="14"/>
  <c r="BB46" i="14"/>
  <c r="BO46" i="14"/>
  <c r="BY46" i="14"/>
  <c r="CI46" i="14"/>
  <c r="CU46" i="14"/>
  <c r="DE46" i="14"/>
  <c r="DO46" i="14"/>
  <c r="E46" i="14"/>
  <c r="Q46" i="14"/>
  <c r="AD46" i="14"/>
  <c r="AR46" i="14"/>
  <c r="BC46" i="14"/>
  <c r="BP46" i="14"/>
  <c r="BZ46" i="14"/>
  <c r="CK46" i="14"/>
  <c r="CV46" i="14"/>
  <c r="DF46" i="14"/>
  <c r="DQ46" i="14"/>
  <c r="F46" i="14"/>
  <c r="T46" i="14"/>
  <c r="AE46" i="14"/>
  <c r="AS46" i="14"/>
  <c r="BE46" i="14"/>
  <c r="BQ46" i="14"/>
  <c r="CA46" i="14"/>
  <c r="CM46" i="14"/>
  <c r="CW46" i="14"/>
  <c r="DG46" i="14"/>
  <c r="G46" i="14"/>
  <c r="AG46" i="14"/>
  <c r="BH46" i="14"/>
  <c r="CC46" i="14"/>
  <c r="CX46" i="14"/>
  <c r="U46" i="14"/>
  <c r="AT46" i="14"/>
  <c r="BR46" i="14"/>
  <c r="CN46" i="14"/>
  <c r="DI46" i="14"/>
  <c r="AJ46" i="14"/>
  <c r="AU46" i="14"/>
  <c r="BI46" i="14"/>
  <c r="B46" i="14"/>
  <c r="BS46" i="14"/>
  <c r="CE46" i="14"/>
  <c r="V46" i="14"/>
  <c r="CO46" i="14"/>
  <c r="I46" i="14"/>
  <c r="CY46" i="14"/>
  <c r="DK46" i="14"/>
  <c r="I38" i="14"/>
  <c r="Q38" i="14"/>
  <c r="Y38" i="14"/>
  <c r="AG38" i="14"/>
  <c r="AO38" i="14"/>
  <c r="AW38" i="14"/>
  <c r="BE38" i="14"/>
  <c r="BM38" i="14"/>
  <c r="BU38" i="14"/>
  <c r="CC38" i="14"/>
  <c r="CK38" i="14"/>
  <c r="CS38" i="14"/>
  <c r="DA38" i="14"/>
  <c r="DI38" i="14"/>
  <c r="DQ38" i="14"/>
  <c r="J38" i="14"/>
  <c r="R38" i="14"/>
  <c r="Z38" i="14"/>
  <c r="AH38" i="14"/>
  <c r="AP38" i="14"/>
  <c r="AX38" i="14"/>
  <c r="BF38" i="14"/>
  <c r="BN38" i="14"/>
  <c r="BV38" i="14"/>
  <c r="CD38" i="14"/>
  <c r="CL38" i="14"/>
  <c r="CT38" i="14"/>
  <c r="DB38" i="14"/>
  <c r="DJ38" i="14"/>
  <c r="DR38" i="14"/>
  <c r="C38" i="14"/>
  <c r="K38" i="14"/>
  <c r="S38" i="14"/>
  <c r="AA38" i="14"/>
  <c r="AI38" i="14"/>
  <c r="AQ38" i="14"/>
  <c r="AY38" i="14"/>
  <c r="BG38" i="14"/>
  <c r="BO38" i="14"/>
  <c r="BW38" i="14"/>
  <c r="CE38" i="14"/>
  <c r="CM38" i="14"/>
  <c r="CU38" i="14"/>
  <c r="DC38" i="14"/>
  <c r="DK38" i="14"/>
  <c r="D38" i="14"/>
  <c r="L38" i="14"/>
  <c r="T38" i="14"/>
  <c r="AB38" i="14"/>
  <c r="AJ38" i="14"/>
  <c r="AR38" i="14"/>
  <c r="AZ38" i="14"/>
  <c r="BH38" i="14"/>
  <c r="BP38" i="14"/>
  <c r="BX38" i="14"/>
  <c r="CF38" i="14"/>
  <c r="CN38" i="14"/>
  <c r="CV38" i="14"/>
  <c r="DD38" i="14"/>
  <c r="DL38" i="14"/>
  <c r="E38" i="14"/>
  <c r="M38" i="14"/>
  <c r="U38" i="14"/>
  <c r="AC38" i="14"/>
  <c r="AK38" i="14"/>
  <c r="AS38" i="14"/>
  <c r="BA38" i="14"/>
  <c r="BI38" i="14"/>
  <c r="BQ38" i="14"/>
  <c r="BY38" i="14"/>
  <c r="CG38" i="14"/>
  <c r="CO38" i="14"/>
  <c r="CW38" i="14"/>
  <c r="DE38" i="14"/>
  <c r="DM38" i="14"/>
  <c r="F38" i="14"/>
  <c r="N38" i="14"/>
  <c r="V38" i="14"/>
  <c r="AD38" i="14"/>
  <c r="AL38" i="14"/>
  <c r="AT38" i="14"/>
  <c r="BB38" i="14"/>
  <c r="BJ38" i="14"/>
  <c r="BR38" i="14"/>
  <c r="BZ38" i="14"/>
  <c r="CH38" i="14"/>
  <c r="CP38" i="14"/>
  <c r="CX38" i="14"/>
  <c r="DF38" i="14"/>
  <c r="DN38" i="14"/>
  <c r="G38" i="14"/>
  <c r="O38" i="14"/>
  <c r="W38" i="14"/>
  <c r="AE38" i="14"/>
  <c r="AM38" i="14"/>
  <c r="AU38" i="14"/>
  <c r="BC38" i="14"/>
  <c r="BK38" i="14"/>
  <c r="BS38" i="14"/>
  <c r="CA38" i="14"/>
  <c r="CI38" i="14"/>
  <c r="CQ38" i="14"/>
  <c r="CY38" i="14"/>
  <c r="DG38" i="14"/>
  <c r="DO38" i="14"/>
  <c r="AF38" i="14"/>
  <c r="CR38" i="14"/>
  <c r="BD38" i="14"/>
  <c r="DP38" i="14"/>
  <c r="BL38" i="14"/>
  <c r="H38" i="14"/>
  <c r="BT38" i="14"/>
  <c r="P38" i="14"/>
  <c r="CB38" i="14"/>
  <c r="AV38" i="14"/>
  <c r="CJ38" i="14"/>
  <c r="CZ38" i="14"/>
  <c r="DH38" i="14"/>
  <c r="X38" i="14"/>
  <c r="AN38" i="14"/>
  <c r="B38" i="14"/>
  <c r="H30" i="14"/>
  <c r="P30" i="14"/>
  <c r="X30" i="14"/>
  <c r="AF30" i="14"/>
  <c r="AN30" i="14"/>
  <c r="AV30" i="14"/>
  <c r="BD30" i="14"/>
  <c r="BL30" i="14"/>
  <c r="BT30" i="14"/>
  <c r="CB30" i="14"/>
  <c r="CJ30" i="14"/>
  <c r="CR30" i="14"/>
  <c r="CZ30" i="14"/>
  <c r="DH30" i="14"/>
  <c r="DP30" i="14"/>
  <c r="J30" i="14"/>
  <c r="R30" i="14"/>
  <c r="Z30" i="14"/>
  <c r="AH30" i="14"/>
  <c r="AP30" i="14"/>
  <c r="AX30" i="14"/>
  <c r="BF30" i="14"/>
  <c r="BN30" i="14"/>
  <c r="BV30" i="14"/>
  <c r="CD30" i="14"/>
  <c r="CL30" i="14"/>
  <c r="CT30" i="14"/>
  <c r="DB30" i="14"/>
  <c r="C30" i="14"/>
  <c r="K30" i="14"/>
  <c r="S30" i="14"/>
  <c r="AA30" i="14"/>
  <c r="AI30" i="14"/>
  <c r="AQ30" i="14"/>
  <c r="AY30" i="14"/>
  <c r="BG30" i="14"/>
  <c r="BO30" i="14"/>
  <c r="BW30" i="14"/>
  <c r="CE30" i="14"/>
  <c r="CM30" i="14"/>
  <c r="CU30" i="14"/>
  <c r="DC30" i="14"/>
  <c r="D30" i="14"/>
  <c r="L30" i="14"/>
  <c r="T30" i="14"/>
  <c r="AB30" i="14"/>
  <c r="AJ30" i="14"/>
  <c r="AR30" i="14"/>
  <c r="AZ30" i="14"/>
  <c r="BH30" i="14"/>
  <c r="BP30" i="14"/>
  <c r="BX30" i="14"/>
  <c r="CF30" i="14"/>
  <c r="CN30" i="14"/>
  <c r="CV30" i="14"/>
  <c r="DD30" i="14"/>
  <c r="DL30" i="14"/>
  <c r="E30" i="14"/>
  <c r="U30" i="14"/>
  <c r="AK30" i="14"/>
  <c r="BA30" i="14"/>
  <c r="BQ30" i="14"/>
  <c r="CG30" i="14"/>
  <c r="CW30" i="14"/>
  <c r="DJ30" i="14"/>
  <c r="F30" i="14"/>
  <c r="V30" i="14"/>
  <c r="AL30" i="14"/>
  <c r="BB30" i="14"/>
  <c r="BR30" i="14"/>
  <c r="CH30" i="14"/>
  <c r="CX30" i="14"/>
  <c r="DK30" i="14"/>
  <c r="G30" i="14"/>
  <c r="W30" i="14"/>
  <c r="AM30" i="14"/>
  <c r="BC30" i="14"/>
  <c r="BS30" i="14"/>
  <c r="CI30" i="14"/>
  <c r="CY30" i="14"/>
  <c r="DM30" i="14"/>
  <c r="I30" i="14"/>
  <c r="Y30" i="14"/>
  <c r="AO30" i="14"/>
  <c r="BE30" i="14"/>
  <c r="BU30" i="14"/>
  <c r="CK30" i="14"/>
  <c r="DA30" i="14"/>
  <c r="DN30" i="14"/>
  <c r="M30" i="14"/>
  <c r="AC30" i="14"/>
  <c r="AS30" i="14"/>
  <c r="BI30" i="14"/>
  <c r="BY30" i="14"/>
  <c r="CO30" i="14"/>
  <c r="DE30" i="14"/>
  <c r="DO30" i="14"/>
  <c r="N30" i="14"/>
  <c r="AD30" i="14"/>
  <c r="AT30" i="14"/>
  <c r="BJ30" i="14"/>
  <c r="BZ30" i="14"/>
  <c r="CP30" i="14"/>
  <c r="DF30" i="14"/>
  <c r="DQ30" i="14"/>
  <c r="O30" i="14"/>
  <c r="AE30" i="14"/>
  <c r="AU30" i="14"/>
  <c r="BK30" i="14"/>
  <c r="CA30" i="14"/>
  <c r="CQ30" i="14"/>
  <c r="DG30" i="14"/>
  <c r="DR30" i="14"/>
  <c r="AG30" i="14"/>
  <c r="AW30" i="14"/>
  <c r="BM30" i="14"/>
  <c r="CC30" i="14"/>
  <c r="CS30" i="14"/>
  <c r="DI30" i="14"/>
  <c r="Q30" i="14"/>
  <c r="B30" i="14"/>
  <c r="J22" i="14"/>
  <c r="R22" i="14"/>
  <c r="Z22" i="14"/>
  <c r="AH22" i="14"/>
  <c r="AP22" i="14"/>
  <c r="AX22" i="14"/>
  <c r="BF22" i="14"/>
  <c r="BN22" i="14"/>
  <c r="BV22" i="14"/>
  <c r="CD22" i="14"/>
  <c r="CL22" i="14"/>
  <c r="CT22" i="14"/>
  <c r="DB22" i="14"/>
  <c r="DJ22" i="14"/>
  <c r="DR22" i="14"/>
  <c r="C22" i="14"/>
  <c r="K22" i="14"/>
  <c r="S22" i="14"/>
  <c r="D22" i="14"/>
  <c r="L22" i="14"/>
  <c r="T22" i="14"/>
  <c r="AB22" i="14"/>
  <c r="AJ22" i="14"/>
  <c r="AR22" i="14"/>
  <c r="AZ22" i="14"/>
  <c r="BH22" i="14"/>
  <c r="BP22" i="14"/>
  <c r="BX22" i="14"/>
  <c r="CF22" i="14"/>
  <c r="CN22" i="14"/>
  <c r="CV22" i="14"/>
  <c r="DD22" i="14"/>
  <c r="E22" i="14"/>
  <c r="M22" i="14"/>
  <c r="U22" i="14"/>
  <c r="AC22" i="14"/>
  <c r="AK22" i="14"/>
  <c r="AS22" i="14"/>
  <c r="BA22" i="14"/>
  <c r="BI22" i="14"/>
  <c r="BQ22" i="14"/>
  <c r="BY22" i="14"/>
  <c r="CG22" i="14"/>
  <c r="CO22" i="14"/>
  <c r="CW22" i="14"/>
  <c r="DE22" i="14"/>
  <c r="F22" i="14"/>
  <c r="N22" i="14"/>
  <c r="V22" i="14"/>
  <c r="AD22" i="14"/>
  <c r="AL22" i="14"/>
  <c r="AT22" i="14"/>
  <c r="BB22" i="14"/>
  <c r="BJ22" i="14"/>
  <c r="BR22" i="14"/>
  <c r="BZ22" i="14"/>
  <c r="CH22" i="14"/>
  <c r="CP22" i="14"/>
  <c r="CX22" i="14"/>
  <c r="DF22" i="14"/>
  <c r="DN22" i="14"/>
  <c r="H22" i="14"/>
  <c r="P22" i="14"/>
  <c r="X22" i="14"/>
  <c r="W22" i="14"/>
  <c r="AN22" i="14"/>
  <c r="BD22" i="14"/>
  <c r="BT22" i="14"/>
  <c r="CJ22" i="14"/>
  <c r="CZ22" i="14"/>
  <c r="DM22" i="14"/>
  <c r="AA22" i="14"/>
  <c r="AQ22" i="14"/>
  <c r="BG22" i="14"/>
  <c r="BW22" i="14"/>
  <c r="CM22" i="14"/>
  <c r="DC22" i="14"/>
  <c r="DP22" i="14"/>
  <c r="AE22" i="14"/>
  <c r="AU22" i="14"/>
  <c r="BK22" i="14"/>
  <c r="CA22" i="14"/>
  <c r="CQ22" i="14"/>
  <c r="DG22" i="14"/>
  <c r="DQ22" i="14"/>
  <c r="G22" i="14"/>
  <c r="AF22" i="14"/>
  <c r="AV22" i="14"/>
  <c r="BL22" i="14"/>
  <c r="CB22" i="14"/>
  <c r="CR22" i="14"/>
  <c r="DH22" i="14"/>
  <c r="Q22" i="14"/>
  <c r="AM22" i="14"/>
  <c r="BC22" i="14"/>
  <c r="BS22" i="14"/>
  <c r="CI22" i="14"/>
  <c r="CY22" i="14"/>
  <c r="DL22" i="14"/>
  <c r="I22" i="14"/>
  <c r="BE22" i="14"/>
  <c r="CU22" i="14"/>
  <c r="O22" i="14"/>
  <c r="BM22" i="14"/>
  <c r="DA22" i="14"/>
  <c r="Y22" i="14"/>
  <c r="BO22" i="14"/>
  <c r="DI22" i="14"/>
  <c r="AG22" i="14"/>
  <c r="BU22" i="14"/>
  <c r="DK22" i="14"/>
  <c r="AI22" i="14"/>
  <c r="CC22" i="14"/>
  <c r="DO22" i="14"/>
  <c r="AO22" i="14"/>
  <c r="CE22" i="14"/>
  <c r="AW22" i="14"/>
  <c r="CK22" i="14"/>
  <c r="AY22" i="14"/>
  <c r="CS22" i="14"/>
  <c r="B22" i="14"/>
  <c r="J14" i="14"/>
  <c r="R14" i="14"/>
  <c r="Z14" i="14"/>
  <c r="AH14" i="14"/>
  <c r="AP14" i="14"/>
  <c r="AX14" i="14"/>
  <c r="BF14" i="14"/>
  <c r="BN14" i="14"/>
  <c r="C14" i="14"/>
  <c r="K14" i="14"/>
  <c r="S14" i="14"/>
  <c r="AA14" i="14"/>
  <c r="AI14" i="14"/>
  <c r="AQ14" i="14"/>
  <c r="AY14" i="14"/>
  <c r="BG14" i="14"/>
  <c r="BO14" i="14"/>
  <c r="BW14" i="14"/>
  <c r="D14" i="14"/>
  <c r="L14" i="14"/>
  <c r="E14" i="14"/>
  <c r="M14" i="14"/>
  <c r="U14" i="14"/>
  <c r="AC14" i="14"/>
  <c r="AK14" i="14"/>
  <c r="AS14" i="14"/>
  <c r="BA14" i="14"/>
  <c r="BI14" i="14"/>
  <c r="BQ14" i="14"/>
  <c r="F14" i="14"/>
  <c r="N14" i="14"/>
  <c r="V14" i="14"/>
  <c r="AD14" i="14"/>
  <c r="AL14" i="14"/>
  <c r="AT14" i="14"/>
  <c r="BB14" i="14"/>
  <c r="BJ14" i="14"/>
  <c r="BR14" i="14"/>
  <c r="G14" i="14"/>
  <c r="O14" i="14"/>
  <c r="W14" i="14"/>
  <c r="AE14" i="14"/>
  <c r="AM14" i="14"/>
  <c r="AU14" i="14"/>
  <c r="BC14" i="14"/>
  <c r="BK14" i="14"/>
  <c r="BS14" i="14"/>
  <c r="CA14" i="14"/>
  <c r="H14" i="14"/>
  <c r="P14" i="14"/>
  <c r="AB14" i="14"/>
  <c r="AW14" i="14"/>
  <c r="BT14" i="14"/>
  <c r="CD14" i="14"/>
  <c r="CL14" i="14"/>
  <c r="CT14" i="14"/>
  <c r="DB14" i="14"/>
  <c r="DJ14" i="14"/>
  <c r="DR14" i="14"/>
  <c r="AF14" i="14"/>
  <c r="AZ14" i="14"/>
  <c r="BU14" i="14"/>
  <c r="CE14" i="14"/>
  <c r="CM14" i="14"/>
  <c r="CU14" i="14"/>
  <c r="DC14" i="14"/>
  <c r="DK14" i="14"/>
  <c r="AG14" i="14"/>
  <c r="BD14" i="14"/>
  <c r="BV14" i="14"/>
  <c r="CF14" i="14"/>
  <c r="CN14" i="14"/>
  <c r="CV14" i="14"/>
  <c r="DD14" i="14"/>
  <c r="DL14" i="14"/>
  <c r="I14" i="14"/>
  <c r="AJ14" i="14"/>
  <c r="BE14" i="14"/>
  <c r="BX14" i="14"/>
  <c r="CG14" i="14"/>
  <c r="CO14" i="14"/>
  <c r="CW14" i="14"/>
  <c r="DE14" i="14"/>
  <c r="DM14" i="14"/>
  <c r="Q14" i="14"/>
  <c r="AN14" i="14"/>
  <c r="BH14" i="14"/>
  <c r="BY14" i="14"/>
  <c r="CH14" i="14"/>
  <c r="CP14" i="14"/>
  <c r="CX14" i="14"/>
  <c r="DF14" i="14"/>
  <c r="DN14" i="14"/>
  <c r="T14" i="14"/>
  <c r="AO14" i="14"/>
  <c r="BL14" i="14"/>
  <c r="BZ14" i="14"/>
  <c r="CI14" i="14"/>
  <c r="CQ14" i="14"/>
  <c r="CY14" i="14"/>
  <c r="DG14" i="14"/>
  <c r="DO14" i="14"/>
  <c r="X14" i="14"/>
  <c r="AR14" i="14"/>
  <c r="BM14" i="14"/>
  <c r="CB14" i="14"/>
  <c r="CJ14" i="14"/>
  <c r="CR14" i="14"/>
  <c r="CZ14" i="14"/>
  <c r="DH14" i="14"/>
  <c r="DP14" i="14"/>
  <c r="DI14" i="14"/>
  <c r="AV14" i="14"/>
  <c r="BP14" i="14"/>
  <c r="CC14" i="14"/>
  <c r="DA14" i="14"/>
  <c r="Y14" i="14"/>
  <c r="CK14" i="14"/>
  <c r="CS14" i="14"/>
  <c r="DQ14" i="14"/>
  <c r="D7" i="14"/>
  <c r="L7" i="14"/>
  <c r="T7" i="14"/>
  <c r="AB7" i="14"/>
  <c r="AJ7" i="14"/>
  <c r="AR7" i="14"/>
  <c r="AZ7" i="14"/>
  <c r="BH7" i="14"/>
  <c r="BP7" i="14"/>
  <c r="BX7" i="14"/>
  <c r="CF7" i="14"/>
  <c r="CN7" i="14"/>
  <c r="CV7" i="14"/>
  <c r="DD7" i="14"/>
  <c r="DL7" i="14"/>
  <c r="E7" i="14"/>
  <c r="M7" i="14"/>
  <c r="U7" i="14"/>
  <c r="AC7" i="14"/>
  <c r="AK7" i="14"/>
  <c r="AS7" i="14"/>
  <c r="BA7" i="14"/>
  <c r="BI7" i="14"/>
  <c r="BQ7" i="14"/>
  <c r="BY7" i="14"/>
  <c r="CG7" i="14"/>
  <c r="CO7" i="14"/>
  <c r="CW7" i="14"/>
  <c r="DE7" i="14"/>
  <c r="DM7" i="14"/>
  <c r="F7" i="14"/>
  <c r="N7" i="14"/>
  <c r="V7" i="14"/>
  <c r="AD7" i="14"/>
  <c r="AL7" i="14"/>
  <c r="AT7" i="14"/>
  <c r="BB7" i="14"/>
  <c r="BJ7" i="14"/>
  <c r="BR7" i="14"/>
  <c r="BZ7" i="14"/>
  <c r="CH7" i="14"/>
  <c r="CP7" i="14"/>
  <c r="CX7" i="14"/>
  <c r="DF7" i="14"/>
  <c r="DN7" i="14"/>
  <c r="G7" i="14"/>
  <c r="O7" i="14"/>
  <c r="W7" i="14"/>
  <c r="AE7" i="14"/>
  <c r="AM7" i="14"/>
  <c r="AU7" i="14"/>
  <c r="BC7" i="14"/>
  <c r="BK7" i="14"/>
  <c r="BS7" i="14"/>
  <c r="CA7" i="14"/>
  <c r="CI7" i="14"/>
  <c r="CQ7" i="14"/>
  <c r="CY7" i="14"/>
  <c r="DG7" i="14"/>
  <c r="DO7" i="14"/>
  <c r="H7" i="14"/>
  <c r="P7" i="14"/>
  <c r="X7" i="14"/>
  <c r="AF7" i="14"/>
  <c r="AN7" i="14"/>
  <c r="AV7" i="14"/>
  <c r="BD7" i="14"/>
  <c r="BL7" i="14"/>
  <c r="BT7" i="14"/>
  <c r="CB7" i="14"/>
  <c r="CJ7" i="14"/>
  <c r="CR7" i="14"/>
  <c r="CZ7" i="14"/>
  <c r="DH7" i="14"/>
  <c r="DP7" i="14"/>
  <c r="I7" i="14"/>
  <c r="Q7" i="14"/>
  <c r="Y7" i="14"/>
  <c r="AG7" i="14"/>
  <c r="AO7" i="14"/>
  <c r="AW7" i="14"/>
  <c r="BE7" i="14"/>
  <c r="BM7" i="14"/>
  <c r="BU7" i="14"/>
  <c r="CC7" i="14"/>
  <c r="CK7" i="14"/>
  <c r="CS7" i="14"/>
  <c r="DA7" i="14"/>
  <c r="DI7" i="14"/>
  <c r="DQ7" i="14"/>
  <c r="J7" i="14"/>
  <c r="R7" i="14"/>
  <c r="Z7" i="14"/>
  <c r="AH7" i="14"/>
  <c r="AP7" i="14"/>
  <c r="AX7" i="14"/>
  <c r="BF7" i="14"/>
  <c r="BN7" i="14"/>
  <c r="BV7" i="14"/>
  <c r="CD7" i="14"/>
  <c r="CL7" i="14"/>
  <c r="CT7" i="14"/>
  <c r="DB7" i="14"/>
  <c r="DJ7" i="14"/>
  <c r="DR7" i="14"/>
  <c r="K7" i="14"/>
  <c r="BW7" i="14"/>
  <c r="S7" i="14"/>
  <c r="CE7" i="14"/>
  <c r="AA7" i="14"/>
  <c r="CM7" i="14"/>
  <c r="AI7" i="14"/>
  <c r="CU7" i="14"/>
  <c r="AQ7" i="14"/>
  <c r="DC7" i="14"/>
  <c r="AY7" i="14"/>
  <c r="DK7" i="14"/>
  <c r="BG7" i="14"/>
  <c r="BO7" i="14"/>
  <c r="C7" i="14"/>
  <c r="D8" i="14"/>
  <c r="L8" i="14"/>
  <c r="T8" i="14"/>
  <c r="AB8" i="14"/>
  <c r="AJ8" i="14"/>
  <c r="AR8" i="14"/>
  <c r="AZ8" i="14"/>
  <c r="BH8" i="14"/>
  <c r="BP8" i="14"/>
  <c r="BX8" i="14"/>
  <c r="CF8" i="14"/>
  <c r="CN8" i="14"/>
  <c r="CV8" i="14"/>
  <c r="DD8" i="14"/>
  <c r="DL8" i="14"/>
  <c r="E8" i="14"/>
  <c r="M8" i="14"/>
  <c r="U8" i="14"/>
  <c r="AC8" i="14"/>
  <c r="AK8" i="14"/>
  <c r="AS8" i="14"/>
  <c r="BA8" i="14"/>
  <c r="BI8" i="14"/>
  <c r="BQ8" i="14"/>
  <c r="BY8" i="14"/>
  <c r="CG8" i="14"/>
  <c r="CO8" i="14"/>
  <c r="CW8" i="14"/>
  <c r="DE8" i="14"/>
  <c r="DM8" i="14"/>
  <c r="F8" i="14"/>
  <c r="N8" i="14"/>
  <c r="V8" i="14"/>
  <c r="AD8" i="14"/>
  <c r="AL8" i="14"/>
  <c r="AT8" i="14"/>
  <c r="BB8" i="14"/>
  <c r="BJ8" i="14"/>
  <c r="BR8" i="14"/>
  <c r="BZ8" i="14"/>
  <c r="CH8" i="14"/>
  <c r="CP8" i="14"/>
  <c r="CX8" i="14"/>
  <c r="DF8" i="14"/>
  <c r="DN8" i="14"/>
  <c r="G8" i="14"/>
  <c r="O8" i="14"/>
  <c r="W8" i="14"/>
  <c r="AE8" i="14"/>
  <c r="AM8" i="14"/>
  <c r="AU8" i="14"/>
  <c r="BC8" i="14"/>
  <c r="BK8" i="14"/>
  <c r="BS8" i="14"/>
  <c r="CA8" i="14"/>
  <c r="CI8" i="14"/>
  <c r="CQ8" i="14"/>
  <c r="CY8" i="14"/>
  <c r="DG8" i="14"/>
  <c r="DO8" i="14"/>
  <c r="H8" i="14"/>
  <c r="P8" i="14"/>
  <c r="X8" i="14"/>
  <c r="AF8" i="14"/>
  <c r="AN8" i="14"/>
  <c r="AV8" i="14"/>
  <c r="BD8" i="14"/>
  <c r="BL8" i="14"/>
  <c r="BT8" i="14"/>
  <c r="CB8" i="14"/>
  <c r="CJ8" i="14"/>
  <c r="CR8" i="14"/>
  <c r="CZ8" i="14"/>
  <c r="DH8" i="14"/>
  <c r="DP8" i="14"/>
  <c r="I8" i="14"/>
  <c r="Q8" i="14"/>
  <c r="Y8" i="14"/>
  <c r="AG8" i="14"/>
  <c r="AO8" i="14"/>
  <c r="AW8" i="14"/>
  <c r="BE8" i="14"/>
  <c r="BM8" i="14"/>
  <c r="BU8" i="14"/>
  <c r="CC8" i="14"/>
  <c r="CK8" i="14"/>
  <c r="CS8" i="14"/>
  <c r="DA8" i="14"/>
  <c r="DI8" i="14"/>
  <c r="DQ8" i="14"/>
  <c r="J8" i="14"/>
  <c r="R8" i="14"/>
  <c r="Z8" i="14"/>
  <c r="AH8" i="14"/>
  <c r="AP8" i="14"/>
  <c r="AX8" i="14"/>
  <c r="BF8" i="14"/>
  <c r="BN8" i="14"/>
  <c r="BV8" i="14"/>
  <c r="CD8" i="14"/>
  <c r="CL8" i="14"/>
  <c r="CT8" i="14"/>
  <c r="DB8" i="14"/>
  <c r="DJ8" i="14"/>
  <c r="DR8" i="14"/>
  <c r="S8" i="14"/>
  <c r="CE8" i="14"/>
  <c r="AA8" i="14"/>
  <c r="CM8" i="14"/>
  <c r="AI8" i="14"/>
  <c r="CU8" i="14"/>
  <c r="AQ8" i="14"/>
  <c r="DC8" i="14"/>
  <c r="AY8" i="14"/>
  <c r="DK8" i="14"/>
  <c r="BG8" i="14"/>
  <c r="C8" i="14"/>
  <c r="BO8" i="14"/>
  <c r="BW8" i="14"/>
  <c r="K8" i="14"/>
  <c r="I51" i="14"/>
  <c r="Q51" i="14"/>
  <c r="Y51" i="14"/>
  <c r="AG51" i="14"/>
  <c r="AO51" i="14"/>
  <c r="AW51" i="14"/>
  <c r="BE51" i="14"/>
  <c r="BM51" i="14"/>
  <c r="BU51" i="14"/>
  <c r="CC51" i="14"/>
  <c r="CK51" i="14"/>
  <c r="CS51" i="14"/>
  <c r="DA51" i="14"/>
  <c r="DI51" i="14"/>
  <c r="DQ51" i="14"/>
  <c r="B51" i="14"/>
  <c r="J51" i="14"/>
  <c r="R51" i="14"/>
  <c r="Z51" i="14"/>
  <c r="AH51" i="14"/>
  <c r="AP51" i="14"/>
  <c r="AX51" i="14"/>
  <c r="BF51" i="14"/>
  <c r="BN51" i="14"/>
  <c r="BV51" i="14"/>
  <c r="CD51" i="14"/>
  <c r="CL51" i="14"/>
  <c r="CT51" i="14"/>
  <c r="DB51" i="14"/>
  <c r="DJ51" i="14"/>
  <c r="DR51" i="14"/>
  <c r="D51" i="14"/>
  <c r="L51" i="14"/>
  <c r="T51" i="14"/>
  <c r="AB51" i="14"/>
  <c r="AJ51" i="14"/>
  <c r="AR51" i="14"/>
  <c r="AZ51" i="14"/>
  <c r="BH51" i="14"/>
  <c r="BP51" i="14"/>
  <c r="BX51" i="14"/>
  <c r="CF51" i="14"/>
  <c r="CN51" i="14"/>
  <c r="CV51" i="14"/>
  <c r="DD51" i="14"/>
  <c r="DL51" i="14"/>
  <c r="E51" i="14"/>
  <c r="M51" i="14"/>
  <c r="U51" i="14"/>
  <c r="AC51" i="14"/>
  <c r="AK51" i="14"/>
  <c r="AS51" i="14"/>
  <c r="BA51" i="14"/>
  <c r="BI51" i="14"/>
  <c r="BQ51" i="14"/>
  <c r="BY51" i="14"/>
  <c r="CG51" i="14"/>
  <c r="CO51" i="14"/>
  <c r="CW51" i="14"/>
  <c r="DE51" i="14"/>
  <c r="DM51" i="14"/>
  <c r="F51" i="14"/>
  <c r="N51" i="14"/>
  <c r="V51" i="14"/>
  <c r="AD51" i="14"/>
  <c r="AL51" i="14"/>
  <c r="AT51" i="14"/>
  <c r="BB51" i="14"/>
  <c r="BJ51" i="14"/>
  <c r="BR51" i="14"/>
  <c r="BZ51" i="14"/>
  <c r="CH51" i="14"/>
  <c r="CP51" i="14"/>
  <c r="CX51" i="14"/>
  <c r="DF51" i="14"/>
  <c r="DN51" i="14"/>
  <c r="P51" i="14"/>
  <c r="AM51" i="14"/>
  <c r="BG51" i="14"/>
  <c r="CB51" i="14"/>
  <c r="CY51" i="14"/>
  <c r="BD51" i="14"/>
  <c r="S51" i="14"/>
  <c r="AN51" i="14"/>
  <c r="BK51" i="14"/>
  <c r="CE51" i="14"/>
  <c r="CZ51" i="14"/>
  <c r="CU51" i="14"/>
  <c r="W51" i="14"/>
  <c r="AQ51" i="14"/>
  <c r="BL51" i="14"/>
  <c r="CI51" i="14"/>
  <c r="DC51" i="14"/>
  <c r="CA51" i="14"/>
  <c r="C51" i="14"/>
  <c r="X51" i="14"/>
  <c r="AU51" i="14"/>
  <c r="BO51" i="14"/>
  <c r="CJ51" i="14"/>
  <c r="DG51" i="14"/>
  <c r="AI51" i="14"/>
  <c r="G51" i="14"/>
  <c r="AA51" i="14"/>
  <c r="AV51" i="14"/>
  <c r="BS51" i="14"/>
  <c r="CM51" i="14"/>
  <c r="DH51" i="14"/>
  <c r="DP51" i="14"/>
  <c r="H51" i="14"/>
  <c r="AE51" i="14"/>
  <c r="AY51" i="14"/>
  <c r="BT51" i="14"/>
  <c r="CQ51" i="14"/>
  <c r="DK51" i="14"/>
  <c r="K51" i="14"/>
  <c r="AF51" i="14"/>
  <c r="BC51" i="14"/>
  <c r="BW51" i="14"/>
  <c r="CR51" i="14"/>
  <c r="DO51" i="14"/>
  <c r="O51" i="14"/>
  <c r="I45" i="14"/>
  <c r="Q45" i="14"/>
  <c r="Y45" i="14"/>
  <c r="AG45" i="14"/>
  <c r="AO45" i="14"/>
  <c r="AW45" i="14"/>
  <c r="BE45" i="14"/>
  <c r="BM45" i="14"/>
  <c r="BU45" i="14"/>
  <c r="CC45" i="14"/>
  <c r="J45" i="14"/>
  <c r="R45" i="14"/>
  <c r="Z45" i="14"/>
  <c r="AH45" i="14"/>
  <c r="AP45" i="14"/>
  <c r="AX45" i="14"/>
  <c r="BF45" i="14"/>
  <c r="BN45" i="14"/>
  <c r="BV45" i="14"/>
  <c r="CD45" i="14"/>
  <c r="CL45" i="14"/>
  <c r="CT45" i="14"/>
  <c r="DB45" i="14"/>
  <c r="E45" i="14"/>
  <c r="M45" i="14"/>
  <c r="U45" i="14"/>
  <c r="AC45" i="14"/>
  <c r="AK45" i="14"/>
  <c r="AS45" i="14"/>
  <c r="BA45" i="14"/>
  <c r="BI45" i="14"/>
  <c r="BQ45" i="14"/>
  <c r="BY45" i="14"/>
  <c r="CG45" i="14"/>
  <c r="CO45" i="14"/>
  <c r="CW45" i="14"/>
  <c r="DE45" i="14"/>
  <c r="F45" i="14"/>
  <c r="N45" i="14"/>
  <c r="V45" i="14"/>
  <c r="AD45" i="14"/>
  <c r="AL45" i="14"/>
  <c r="AT45" i="14"/>
  <c r="BB45" i="14"/>
  <c r="BJ45" i="14"/>
  <c r="BR45" i="14"/>
  <c r="P45" i="14"/>
  <c r="AF45" i="14"/>
  <c r="AV45" i="14"/>
  <c r="BL45" i="14"/>
  <c r="CA45" i="14"/>
  <c r="CM45" i="14"/>
  <c r="CX45" i="14"/>
  <c r="DH45" i="14"/>
  <c r="DP45" i="14"/>
  <c r="D45" i="14"/>
  <c r="T45" i="14"/>
  <c r="AJ45" i="14"/>
  <c r="AZ45" i="14"/>
  <c r="BP45" i="14"/>
  <c r="CE45" i="14"/>
  <c r="CP45" i="14"/>
  <c r="CZ45" i="14"/>
  <c r="DJ45" i="14"/>
  <c r="DR45" i="14"/>
  <c r="G45" i="14"/>
  <c r="W45" i="14"/>
  <c r="AM45" i="14"/>
  <c r="BC45" i="14"/>
  <c r="BS45" i="14"/>
  <c r="CF45" i="14"/>
  <c r="CQ45" i="14"/>
  <c r="DA45" i="14"/>
  <c r="DK45" i="14"/>
  <c r="L45" i="14"/>
  <c r="AN45" i="14"/>
  <c r="BK45" i="14"/>
  <c r="CI45" i="14"/>
  <c r="CY45" i="14"/>
  <c r="DN45" i="14"/>
  <c r="CK45" i="14"/>
  <c r="O45" i="14"/>
  <c r="AQ45" i="14"/>
  <c r="BO45" i="14"/>
  <c r="CJ45" i="14"/>
  <c r="DC45" i="14"/>
  <c r="DO45" i="14"/>
  <c r="S45" i="14"/>
  <c r="BT45" i="14"/>
  <c r="DQ45" i="14"/>
  <c r="AR45" i="14"/>
  <c r="DD45" i="14"/>
  <c r="X45" i="14"/>
  <c r="AU45" i="14"/>
  <c r="BW45" i="14"/>
  <c r="CN45" i="14"/>
  <c r="DF45" i="14"/>
  <c r="AA45" i="14"/>
  <c r="AY45" i="14"/>
  <c r="BX45" i="14"/>
  <c r="CR45" i="14"/>
  <c r="DG45" i="14"/>
  <c r="B45" i="14"/>
  <c r="C45" i="14"/>
  <c r="AB45" i="14"/>
  <c r="BD45" i="14"/>
  <c r="BZ45" i="14"/>
  <c r="CS45" i="14"/>
  <c r="DI45" i="14"/>
  <c r="H45" i="14"/>
  <c r="BG45" i="14"/>
  <c r="CU45" i="14"/>
  <c r="AE45" i="14"/>
  <c r="CB45" i="14"/>
  <c r="DL45" i="14"/>
  <c r="K45" i="14"/>
  <c r="AI45" i="14"/>
  <c r="BH45" i="14"/>
  <c r="CH45" i="14"/>
  <c r="CV45" i="14"/>
  <c r="DM45" i="14"/>
  <c r="C37" i="14"/>
  <c r="K37" i="14"/>
  <c r="S37" i="14"/>
  <c r="AA37" i="14"/>
  <c r="AI37" i="14"/>
  <c r="AQ37" i="14"/>
  <c r="AY37" i="14"/>
  <c r="BG37" i="14"/>
  <c r="BO37" i="14"/>
  <c r="BW37" i="14"/>
  <c r="H37" i="14"/>
  <c r="Q37" i="14"/>
  <c r="Z37" i="14"/>
  <c r="AJ37" i="14"/>
  <c r="AS37" i="14"/>
  <c r="BB37" i="14"/>
  <c r="BK37" i="14"/>
  <c r="BT37" i="14"/>
  <c r="CC37" i="14"/>
  <c r="CK37" i="14"/>
  <c r="CS37" i="14"/>
  <c r="DA37" i="14"/>
  <c r="DI37" i="14"/>
  <c r="DQ37" i="14"/>
  <c r="I37" i="14"/>
  <c r="R37" i="14"/>
  <c r="AB37" i="14"/>
  <c r="AK37" i="14"/>
  <c r="AT37" i="14"/>
  <c r="BC37" i="14"/>
  <c r="BL37" i="14"/>
  <c r="BU37" i="14"/>
  <c r="CD37" i="14"/>
  <c r="CL37" i="14"/>
  <c r="CT37" i="14"/>
  <c r="DB37" i="14"/>
  <c r="DJ37" i="14"/>
  <c r="DR37" i="14"/>
  <c r="J37" i="14"/>
  <c r="T37" i="14"/>
  <c r="AC37" i="14"/>
  <c r="AL37" i="14"/>
  <c r="AU37" i="14"/>
  <c r="BD37" i="14"/>
  <c r="BM37" i="14"/>
  <c r="BV37" i="14"/>
  <c r="CE37" i="14"/>
  <c r="CM37" i="14"/>
  <c r="CU37" i="14"/>
  <c r="DC37" i="14"/>
  <c r="DK37" i="14"/>
  <c r="L37" i="14"/>
  <c r="U37" i="14"/>
  <c r="AD37" i="14"/>
  <c r="AM37" i="14"/>
  <c r="AV37" i="14"/>
  <c r="BE37" i="14"/>
  <c r="BN37" i="14"/>
  <c r="BX37" i="14"/>
  <c r="CF37" i="14"/>
  <c r="CN37" i="14"/>
  <c r="CV37" i="14"/>
  <c r="DD37" i="14"/>
  <c r="DL37" i="14"/>
  <c r="D37" i="14"/>
  <c r="M37" i="14"/>
  <c r="V37" i="14"/>
  <c r="AE37" i="14"/>
  <c r="AN37" i="14"/>
  <c r="AW37" i="14"/>
  <c r="BF37" i="14"/>
  <c r="BP37" i="14"/>
  <c r="BY37" i="14"/>
  <c r="CG37" i="14"/>
  <c r="CO37" i="14"/>
  <c r="CW37" i="14"/>
  <c r="DE37" i="14"/>
  <c r="DM37" i="14"/>
  <c r="E37" i="14"/>
  <c r="N37" i="14"/>
  <c r="W37" i="14"/>
  <c r="AF37" i="14"/>
  <c r="AO37" i="14"/>
  <c r="AX37" i="14"/>
  <c r="BH37" i="14"/>
  <c r="BQ37" i="14"/>
  <c r="BZ37" i="14"/>
  <c r="CH37" i="14"/>
  <c r="CP37" i="14"/>
  <c r="CX37" i="14"/>
  <c r="DF37" i="14"/>
  <c r="DN37" i="14"/>
  <c r="F37" i="14"/>
  <c r="O37" i="14"/>
  <c r="X37" i="14"/>
  <c r="AG37" i="14"/>
  <c r="AP37" i="14"/>
  <c r="AZ37" i="14"/>
  <c r="BI37" i="14"/>
  <c r="BR37" i="14"/>
  <c r="CA37" i="14"/>
  <c r="CI37" i="14"/>
  <c r="CQ37" i="14"/>
  <c r="CY37" i="14"/>
  <c r="DG37" i="14"/>
  <c r="DO37" i="14"/>
  <c r="P37" i="14"/>
  <c r="CJ37" i="14"/>
  <c r="AR37" i="14"/>
  <c r="DH37" i="14"/>
  <c r="BA37" i="14"/>
  <c r="DP37" i="14"/>
  <c r="BJ37" i="14"/>
  <c r="BS37" i="14"/>
  <c r="G37" i="14"/>
  <c r="Y37" i="14"/>
  <c r="B37" i="14"/>
  <c r="AH37" i="14"/>
  <c r="CB37" i="14"/>
  <c r="CR37" i="14"/>
  <c r="CZ37" i="14"/>
  <c r="J21" i="14"/>
  <c r="R21" i="14"/>
  <c r="Z21" i="14"/>
  <c r="AH21" i="14"/>
  <c r="AP21" i="14"/>
  <c r="AX21" i="14"/>
  <c r="BF21" i="14"/>
  <c r="BN21" i="14"/>
  <c r="BV21" i="14"/>
  <c r="CD21" i="14"/>
  <c r="CL21" i="14"/>
  <c r="CT21" i="14"/>
  <c r="DB21" i="14"/>
  <c r="DJ21" i="14"/>
  <c r="DR21" i="14"/>
  <c r="C21" i="14"/>
  <c r="K21" i="14"/>
  <c r="S21" i="14"/>
  <c r="AA21" i="14"/>
  <c r="AI21" i="14"/>
  <c r="AQ21" i="14"/>
  <c r="AY21" i="14"/>
  <c r="BG21" i="14"/>
  <c r="BO21" i="14"/>
  <c r="BW21" i="14"/>
  <c r="CE21" i="14"/>
  <c r="CM21" i="14"/>
  <c r="CU21" i="14"/>
  <c r="DC21" i="14"/>
  <c r="DK21" i="14"/>
  <c r="D21" i="14"/>
  <c r="L21" i="14"/>
  <c r="T21" i="14"/>
  <c r="AB21" i="14"/>
  <c r="AJ21" i="14"/>
  <c r="AR21" i="14"/>
  <c r="AZ21" i="14"/>
  <c r="BH21" i="14"/>
  <c r="BP21" i="14"/>
  <c r="BX21" i="14"/>
  <c r="CF21" i="14"/>
  <c r="CN21" i="14"/>
  <c r="CV21" i="14"/>
  <c r="DD21" i="14"/>
  <c r="DL21" i="14"/>
  <c r="E21" i="14"/>
  <c r="M21" i="14"/>
  <c r="U21" i="14"/>
  <c r="AC21" i="14"/>
  <c r="AK21" i="14"/>
  <c r="AS21" i="14"/>
  <c r="BA21" i="14"/>
  <c r="BI21" i="14"/>
  <c r="BQ21" i="14"/>
  <c r="BY21" i="14"/>
  <c r="CG21" i="14"/>
  <c r="CO21" i="14"/>
  <c r="CW21" i="14"/>
  <c r="DE21" i="14"/>
  <c r="DM21" i="14"/>
  <c r="F21" i="14"/>
  <c r="N21" i="14"/>
  <c r="V21" i="14"/>
  <c r="AD21" i="14"/>
  <c r="AL21" i="14"/>
  <c r="AT21" i="14"/>
  <c r="BB21" i="14"/>
  <c r="BJ21" i="14"/>
  <c r="BR21" i="14"/>
  <c r="BZ21" i="14"/>
  <c r="CH21" i="14"/>
  <c r="CP21" i="14"/>
  <c r="CX21" i="14"/>
  <c r="DF21" i="14"/>
  <c r="DN21" i="14"/>
  <c r="G21" i="14"/>
  <c r="O21" i="14"/>
  <c r="W21" i="14"/>
  <c r="AE21" i="14"/>
  <c r="AM21" i="14"/>
  <c r="AU21" i="14"/>
  <c r="BC21" i="14"/>
  <c r="BK21" i="14"/>
  <c r="BS21" i="14"/>
  <c r="CA21" i="14"/>
  <c r="CI21" i="14"/>
  <c r="H21" i="14"/>
  <c r="P21" i="14"/>
  <c r="X21" i="14"/>
  <c r="AF21" i="14"/>
  <c r="AN21" i="14"/>
  <c r="AV21" i="14"/>
  <c r="BD21" i="14"/>
  <c r="BL21" i="14"/>
  <c r="BT21" i="14"/>
  <c r="CB21" i="14"/>
  <c r="CJ21" i="14"/>
  <c r="CR21" i="14"/>
  <c r="CZ21" i="14"/>
  <c r="DH21" i="14"/>
  <c r="DP21" i="14"/>
  <c r="BM21" i="14"/>
  <c r="DG21" i="14"/>
  <c r="Q21" i="14"/>
  <c r="CC21" i="14"/>
  <c r="DO21" i="14"/>
  <c r="Y21" i="14"/>
  <c r="CK21" i="14"/>
  <c r="DQ21" i="14"/>
  <c r="AG21" i="14"/>
  <c r="CQ21" i="14"/>
  <c r="BE21" i="14"/>
  <c r="DA21" i="14"/>
  <c r="I21" i="14"/>
  <c r="AO21" i="14"/>
  <c r="AW21" i="14"/>
  <c r="BU21" i="14"/>
  <c r="CS21" i="14"/>
  <c r="CY21" i="14"/>
  <c r="DI21" i="14"/>
  <c r="B21" i="14"/>
  <c r="C36" i="14"/>
  <c r="K36" i="14"/>
  <c r="S36" i="14"/>
  <c r="AA36" i="14"/>
  <c r="AI36" i="14"/>
  <c r="AQ36" i="14"/>
  <c r="AY36" i="14"/>
  <c r="BG36" i="14"/>
  <c r="BO36" i="14"/>
  <c r="BW36" i="14"/>
  <c r="CE36" i="14"/>
  <c r="CM36" i="14"/>
  <c r="CU36" i="14"/>
  <c r="DC36" i="14"/>
  <c r="DK36" i="14"/>
  <c r="G36" i="14"/>
  <c r="O36" i="14"/>
  <c r="W36" i="14"/>
  <c r="AE36" i="14"/>
  <c r="AM36" i="14"/>
  <c r="AU36" i="14"/>
  <c r="BC36" i="14"/>
  <c r="BK36" i="14"/>
  <c r="BS36" i="14"/>
  <c r="CA36" i="14"/>
  <c r="CI36" i="14"/>
  <c r="CQ36" i="14"/>
  <c r="E36" i="14"/>
  <c r="P36" i="14"/>
  <c r="Z36" i="14"/>
  <c r="AK36" i="14"/>
  <c r="AV36" i="14"/>
  <c r="BF36" i="14"/>
  <c r="BQ36" i="14"/>
  <c r="CB36" i="14"/>
  <c r="CL36" i="14"/>
  <c r="CW36" i="14"/>
  <c r="DF36" i="14"/>
  <c r="DO36" i="14"/>
  <c r="F36" i="14"/>
  <c r="Q36" i="14"/>
  <c r="AB36" i="14"/>
  <c r="AL36" i="14"/>
  <c r="AW36" i="14"/>
  <c r="BH36" i="14"/>
  <c r="BR36" i="14"/>
  <c r="CC36" i="14"/>
  <c r="CN36" i="14"/>
  <c r="CX36" i="14"/>
  <c r="DG36" i="14"/>
  <c r="DP36" i="14"/>
  <c r="H36" i="14"/>
  <c r="R36" i="14"/>
  <c r="AC36" i="14"/>
  <c r="AN36" i="14"/>
  <c r="AX36" i="14"/>
  <c r="BI36" i="14"/>
  <c r="BT36" i="14"/>
  <c r="CD36" i="14"/>
  <c r="CO36" i="14"/>
  <c r="CY36" i="14"/>
  <c r="DH36" i="14"/>
  <c r="DQ36" i="14"/>
  <c r="I36" i="14"/>
  <c r="T36" i="14"/>
  <c r="AD36" i="14"/>
  <c r="AO36" i="14"/>
  <c r="AZ36" i="14"/>
  <c r="BJ36" i="14"/>
  <c r="BU36" i="14"/>
  <c r="CF36" i="14"/>
  <c r="CP36" i="14"/>
  <c r="CZ36" i="14"/>
  <c r="DI36" i="14"/>
  <c r="DR36" i="14"/>
  <c r="J36" i="14"/>
  <c r="U36" i="14"/>
  <c r="AF36" i="14"/>
  <c r="AP36" i="14"/>
  <c r="BA36" i="14"/>
  <c r="BL36" i="14"/>
  <c r="BV36" i="14"/>
  <c r="CG36" i="14"/>
  <c r="CR36" i="14"/>
  <c r="DA36" i="14"/>
  <c r="DJ36" i="14"/>
  <c r="L36" i="14"/>
  <c r="V36" i="14"/>
  <c r="AG36" i="14"/>
  <c r="AR36" i="14"/>
  <c r="BB36" i="14"/>
  <c r="BM36" i="14"/>
  <c r="BX36" i="14"/>
  <c r="CH36" i="14"/>
  <c r="CS36" i="14"/>
  <c r="DB36" i="14"/>
  <c r="DL36" i="14"/>
  <c r="M36" i="14"/>
  <c r="X36" i="14"/>
  <c r="AH36" i="14"/>
  <c r="AS36" i="14"/>
  <c r="BD36" i="14"/>
  <c r="BN36" i="14"/>
  <c r="BY36" i="14"/>
  <c r="CJ36" i="14"/>
  <c r="CT36" i="14"/>
  <c r="DD36" i="14"/>
  <c r="DM36" i="14"/>
  <c r="BE36" i="14"/>
  <c r="D36" i="14"/>
  <c r="CK36" i="14"/>
  <c r="N36" i="14"/>
  <c r="CV36" i="14"/>
  <c r="Y36" i="14"/>
  <c r="DE36" i="14"/>
  <c r="AJ36" i="14"/>
  <c r="DN36" i="14"/>
  <c r="B36" i="14"/>
  <c r="AT36" i="14"/>
  <c r="BP36" i="14"/>
  <c r="BZ36" i="14"/>
  <c r="C28" i="14"/>
  <c r="K28" i="14"/>
  <c r="S28" i="14"/>
  <c r="AA28" i="14"/>
  <c r="AI28" i="14"/>
  <c r="AQ28" i="14"/>
  <c r="AY28" i="14"/>
  <c r="BG28" i="14"/>
  <c r="BO28" i="14"/>
  <c r="BW28" i="14"/>
  <c r="CE28" i="14"/>
  <c r="CM28" i="14"/>
  <c r="CU28" i="14"/>
  <c r="DC28" i="14"/>
  <c r="DK28" i="14"/>
  <c r="E28" i="14"/>
  <c r="M28" i="14"/>
  <c r="U28" i="14"/>
  <c r="AC28" i="14"/>
  <c r="AK28" i="14"/>
  <c r="AS28" i="14"/>
  <c r="BA28" i="14"/>
  <c r="BI28" i="14"/>
  <c r="BQ28" i="14"/>
  <c r="BY28" i="14"/>
  <c r="CG28" i="14"/>
  <c r="CO28" i="14"/>
  <c r="CW28" i="14"/>
  <c r="DE28" i="14"/>
  <c r="DM28" i="14"/>
  <c r="F28" i="14"/>
  <c r="N28" i="14"/>
  <c r="V28" i="14"/>
  <c r="AD28" i="14"/>
  <c r="AL28" i="14"/>
  <c r="AT28" i="14"/>
  <c r="BB28" i="14"/>
  <c r="BJ28" i="14"/>
  <c r="BR28" i="14"/>
  <c r="BZ28" i="14"/>
  <c r="CH28" i="14"/>
  <c r="CP28" i="14"/>
  <c r="CX28" i="14"/>
  <c r="DF28" i="14"/>
  <c r="DN28" i="14"/>
  <c r="G28" i="14"/>
  <c r="O28" i="14"/>
  <c r="W28" i="14"/>
  <c r="AE28" i="14"/>
  <c r="AM28" i="14"/>
  <c r="AU28" i="14"/>
  <c r="BC28" i="14"/>
  <c r="BK28" i="14"/>
  <c r="BS28" i="14"/>
  <c r="CA28" i="14"/>
  <c r="CI28" i="14"/>
  <c r="CQ28" i="14"/>
  <c r="CY28" i="14"/>
  <c r="DG28" i="14"/>
  <c r="DO28" i="14"/>
  <c r="J28" i="14"/>
  <c r="R28" i="14"/>
  <c r="Z28" i="14"/>
  <c r="AH28" i="14"/>
  <c r="AP28" i="14"/>
  <c r="AX28" i="14"/>
  <c r="BF28" i="14"/>
  <c r="BN28" i="14"/>
  <c r="BV28" i="14"/>
  <c r="CD28" i="14"/>
  <c r="CL28" i="14"/>
  <c r="I28" i="14"/>
  <c r="AF28" i="14"/>
  <c r="AZ28" i="14"/>
  <c r="BU28" i="14"/>
  <c r="CR28" i="14"/>
  <c r="DH28" i="14"/>
  <c r="L28" i="14"/>
  <c r="AG28" i="14"/>
  <c r="BD28" i="14"/>
  <c r="BX28" i="14"/>
  <c r="CS28" i="14"/>
  <c r="DI28" i="14"/>
  <c r="P28" i="14"/>
  <c r="AJ28" i="14"/>
  <c r="BE28" i="14"/>
  <c r="CB28" i="14"/>
  <c r="CT28" i="14"/>
  <c r="DJ28" i="14"/>
  <c r="Q28" i="14"/>
  <c r="AN28" i="14"/>
  <c r="BH28" i="14"/>
  <c r="CC28" i="14"/>
  <c r="CV28" i="14"/>
  <c r="DL28" i="14"/>
  <c r="T28" i="14"/>
  <c r="AO28" i="14"/>
  <c r="BL28" i="14"/>
  <c r="CF28" i="14"/>
  <c r="CZ28" i="14"/>
  <c r="DP28" i="14"/>
  <c r="X28" i="14"/>
  <c r="AR28" i="14"/>
  <c r="BM28" i="14"/>
  <c r="CJ28" i="14"/>
  <c r="DA28" i="14"/>
  <c r="DQ28" i="14"/>
  <c r="D28" i="14"/>
  <c r="Y28" i="14"/>
  <c r="AV28" i="14"/>
  <c r="BP28" i="14"/>
  <c r="CK28" i="14"/>
  <c r="DB28" i="14"/>
  <c r="DR28" i="14"/>
  <c r="H28" i="14"/>
  <c r="AB28" i="14"/>
  <c r="AW28" i="14"/>
  <c r="BT28" i="14"/>
  <c r="CN28" i="14"/>
  <c r="DD28" i="14"/>
  <c r="B28" i="14"/>
  <c r="J20" i="14"/>
  <c r="R20" i="14"/>
  <c r="Z20" i="14"/>
  <c r="AH20" i="14"/>
  <c r="AP20" i="14"/>
  <c r="AX20" i="14"/>
  <c r="BF20" i="14"/>
  <c r="BN20" i="14"/>
  <c r="BV20" i="14"/>
  <c r="CD20" i="14"/>
  <c r="CL20" i="14"/>
  <c r="CT20" i="14"/>
  <c r="DB20" i="14"/>
  <c r="DJ20" i="14"/>
  <c r="DR20" i="14"/>
  <c r="C20" i="14"/>
  <c r="K20" i="14"/>
  <c r="S20" i="14"/>
  <c r="AA20" i="14"/>
  <c r="AI20" i="14"/>
  <c r="AQ20" i="14"/>
  <c r="AY20" i="14"/>
  <c r="BG20" i="14"/>
  <c r="BO20" i="14"/>
  <c r="BW20" i="14"/>
  <c r="CE20" i="14"/>
  <c r="CM20" i="14"/>
  <c r="CU20" i="14"/>
  <c r="DC20" i="14"/>
  <c r="DK20" i="14"/>
  <c r="D20" i="14"/>
  <c r="L20" i="14"/>
  <c r="T20" i="14"/>
  <c r="AB20" i="14"/>
  <c r="AJ20" i="14"/>
  <c r="AR20" i="14"/>
  <c r="AZ20" i="14"/>
  <c r="BH20" i="14"/>
  <c r="BP20" i="14"/>
  <c r="BX20" i="14"/>
  <c r="CF20" i="14"/>
  <c r="CN20" i="14"/>
  <c r="CV20" i="14"/>
  <c r="DD20" i="14"/>
  <c r="DL20" i="14"/>
  <c r="E20" i="14"/>
  <c r="M20" i="14"/>
  <c r="U20" i="14"/>
  <c r="AC20" i="14"/>
  <c r="AK20" i="14"/>
  <c r="AS20" i="14"/>
  <c r="BA20" i="14"/>
  <c r="BI20" i="14"/>
  <c r="BQ20" i="14"/>
  <c r="BY20" i="14"/>
  <c r="CG20" i="14"/>
  <c r="CO20" i="14"/>
  <c r="CW20" i="14"/>
  <c r="DE20" i="14"/>
  <c r="DM20" i="14"/>
  <c r="F20" i="14"/>
  <c r="N20" i="14"/>
  <c r="V20" i="14"/>
  <c r="AD20" i="14"/>
  <c r="AL20" i="14"/>
  <c r="AT20" i="14"/>
  <c r="BB20" i="14"/>
  <c r="BJ20" i="14"/>
  <c r="BR20" i="14"/>
  <c r="BZ20" i="14"/>
  <c r="CH20" i="14"/>
  <c r="CP20" i="14"/>
  <c r="CX20" i="14"/>
  <c r="DF20" i="14"/>
  <c r="DN20" i="14"/>
  <c r="G20" i="14"/>
  <c r="O20" i="14"/>
  <c r="W20" i="14"/>
  <c r="AE20" i="14"/>
  <c r="AM20" i="14"/>
  <c r="AU20" i="14"/>
  <c r="BC20" i="14"/>
  <c r="BK20" i="14"/>
  <c r="BS20" i="14"/>
  <c r="CA20" i="14"/>
  <c r="CI20" i="14"/>
  <c r="CQ20" i="14"/>
  <c r="CY20" i="14"/>
  <c r="DG20" i="14"/>
  <c r="DO20" i="14"/>
  <c r="H20" i="14"/>
  <c r="P20" i="14"/>
  <c r="X20" i="14"/>
  <c r="AF20" i="14"/>
  <c r="AN20" i="14"/>
  <c r="AV20" i="14"/>
  <c r="BD20" i="14"/>
  <c r="BL20" i="14"/>
  <c r="BT20" i="14"/>
  <c r="CB20" i="14"/>
  <c r="CJ20" i="14"/>
  <c r="CR20" i="14"/>
  <c r="CZ20" i="14"/>
  <c r="DH20" i="14"/>
  <c r="DP20" i="14"/>
  <c r="BE20" i="14"/>
  <c r="DQ20" i="14"/>
  <c r="I20" i="14"/>
  <c r="BU20" i="14"/>
  <c r="Q20" i="14"/>
  <c r="CC20" i="14"/>
  <c r="Y20" i="14"/>
  <c r="CK20" i="14"/>
  <c r="AW20" i="14"/>
  <c r="DI20" i="14"/>
  <c r="DA20" i="14"/>
  <c r="AG20" i="14"/>
  <c r="AO20" i="14"/>
  <c r="BM20" i="14"/>
  <c r="CS20" i="14"/>
  <c r="B20" i="14"/>
  <c r="B7" i="14"/>
  <c r="B8" i="14"/>
  <c r="B9" i="14"/>
  <c r="B14" i="14"/>
  <c r="HH67" i="2"/>
  <c r="HH66" i="2"/>
  <c r="EL207" i="2" l="1"/>
  <c r="EK207" i="2"/>
  <c r="EJ207" i="2"/>
  <c r="EI207" i="2"/>
  <c r="EH207" i="2"/>
  <c r="EG207" i="2"/>
  <c r="EF207" i="2"/>
  <c r="EE207" i="2"/>
  <c r="ED207" i="2"/>
  <c r="EC207" i="2"/>
  <c r="EB207" i="2"/>
  <c r="EA207" i="2"/>
  <c r="DZ207" i="2"/>
  <c r="DY207" i="2"/>
  <c r="DX207" i="2"/>
  <c r="DW207" i="2"/>
  <c r="DV207" i="2"/>
  <c r="DU207" i="2"/>
  <c r="DT207" i="2"/>
  <c r="DS207" i="2"/>
  <c r="DR207" i="2"/>
  <c r="DQ207" i="2"/>
  <c r="DP207" i="2"/>
  <c r="DO207" i="2"/>
  <c r="DN207" i="2"/>
  <c r="DM207" i="2"/>
  <c r="DL207" i="2"/>
  <c r="DK207" i="2"/>
  <c r="DJ207" i="2"/>
  <c r="DI207" i="2"/>
  <c r="DH207" i="2"/>
  <c r="DG207" i="2"/>
  <c r="DF207" i="2"/>
  <c r="DE207" i="2"/>
  <c r="DD207" i="2"/>
  <c r="DC207" i="2"/>
  <c r="DB207" i="2"/>
  <c r="DA207" i="2"/>
  <c r="CZ207" i="2"/>
  <c r="CY207" i="2"/>
  <c r="CX207" i="2"/>
  <c r="CW207" i="2"/>
  <c r="CV207" i="2"/>
  <c r="CU207" i="2"/>
  <c r="CT207" i="2"/>
  <c r="CS207" i="2"/>
  <c r="CR207" i="2"/>
  <c r="CQ207" i="2"/>
  <c r="CP207" i="2"/>
  <c r="CO207" i="2"/>
  <c r="CN207" i="2"/>
  <c r="CM207" i="2"/>
  <c r="CL207" i="2"/>
  <c r="CK207" i="2"/>
  <c r="CJ207" i="2"/>
  <c r="CI207" i="2"/>
  <c r="CH207" i="2"/>
  <c r="CG207" i="2"/>
  <c r="CF207" i="2"/>
  <c r="CE207" i="2"/>
  <c r="CD207" i="2"/>
  <c r="CC207" i="2"/>
  <c r="CB207" i="2"/>
  <c r="CA207" i="2"/>
  <c r="BZ207" i="2"/>
  <c r="BY207" i="2"/>
  <c r="BX207" i="2"/>
  <c r="BW207" i="2"/>
  <c r="BV207" i="2"/>
  <c r="BU207" i="2"/>
  <c r="BT207" i="2"/>
  <c r="BS207" i="2"/>
  <c r="BR207" i="2"/>
  <c r="BQ207" i="2"/>
  <c r="BP207" i="2"/>
  <c r="BO207" i="2"/>
  <c r="BN207" i="2"/>
  <c r="BM207" i="2"/>
  <c r="BL207" i="2"/>
  <c r="BK207" i="2"/>
  <c r="BJ207" i="2"/>
  <c r="BI207" i="2"/>
  <c r="BH207" i="2"/>
  <c r="BG207" i="2"/>
  <c r="BF207" i="2"/>
  <c r="BE207" i="2"/>
  <c r="BD207" i="2"/>
  <c r="BC207" i="2"/>
  <c r="BB207" i="2"/>
  <c r="BA207" i="2"/>
  <c r="AZ207" i="2"/>
  <c r="AY207" i="2"/>
  <c r="AX207" i="2"/>
  <c r="AW207" i="2"/>
  <c r="AV207" i="2"/>
  <c r="AU207" i="2"/>
  <c r="AT207" i="2"/>
  <c r="AS207" i="2"/>
  <c r="AR207" i="2"/>
  <c r="AQ207" i="2"/>
  <c r="AP207" i="2"/>
  <c r="AO207" i="2"/>
  <c r="AN207" i="2"/>
  <c r="AM207" i="2"/>
  <c r="AL207" i="2"/>
  <c r="AK207" i="2"/>
  <c r="AJ207" i="2"/>
  <c r="AI207" i="2"/>
  <c r="AH207" i="2"/>
  <c r="AG207" i="2"/>
  <c r="AF207" i="2"/>
  <c r="AE207" i="2"/>
  <c r="AD207" i="2"/>
  <c r="AC207" i="2"/>
  <c r="AB207" i="2"/>
  <c r="AA207" i="2"/>
  <c r="Z207" i="2"/>
  <c r="Y207" i="2"/>
  <c r="X207" i="2"/>
  <c r="W207" i="2"/>
  <c r="V207" i="2"/>
  <c r="U207" i="2"/>
  <c r="T207" i="2"/>
  <c r="S207" i="2"/>
  <c r="R207" i="2"/>
  <c r="Q207" i="2"/>
  <c r="P207" i="2"/>
  <c r="O207" i="2"/>
  <c r="N207" i="2"/>
  <c r="M207" i="2"/>
  <c r="L207" i="2"/>
  <c r="E42" i="1"/>
  <c r="E41" i="1"/>
  <c r="B202" i="2"/>
  <c r="K37" i="2" l="1"/>
  <c r="K34" i="2"/>
  <c r="K29" i="2"/>
  <c r="K26" i="2"/>
  <c r="E19" i="1"/>
  <c r="L14" i="1"/>
  <c r="L13" i="1"/>
  <c r="L11" i="1"/>
  <c r="L10" i="1"/>
  <c r="L9" i="1"/>
  <c r="R60" i="2" l="1"/>
  <c r="Q29" i="2"/>
  <c r="P60" i="2"/>
  <c r="N29" i="2"/>
  <c r="Q60" i="2"/>
  <c r="P29" i="2"/>
  <c r="M29" i="2"/>
  <c r="S60" i="2"/>
  <c r="R29" i="2"/>
  <c r="O29" i="2"/>
  <c r="O60" i="2"/>
  <c r="T29" i="2"/>
  <c r="T60" i="2"/>
  <c r="O26" i="2"/>
  <c r="T26" i="2"/>
  <c r="M26" i="2"/>
  <c r="S29" i="2"/>
  <c r="L26" i="2"/>
  <c r="P26" i="2"/>
  <c r="Q26" i="2"/>
  <c r="L29" i="2"/>
  <c r="R26" i="2"/>
  <c r="N26" i="2"/>
  <c r="S26" i="2"/>
  <c r="E2" i="32" l="1"/>
  <c r="J5" i="32"/>
  <c r="J4" i="32"/>
  <c r="J3" i="32"/>
  <c r="I2" i="32"/>
  <c r="C9" i="32"/>
  <c r="C10" i="32" s="1"/>
  <c r="C11" i="32" s="1"/>
  <c r="C12" i="32" s="1"/>
  <c r="C13" i="32" s="1"/>
  <c r="C14" i="32" s="1"/>
  <c r="C15" i="32" s="1"/>
  <c r="C16" i="32" s="1"/>
  <c r="C17" i="32" s="1"/>
  <c r="C18" i="32" s="1"/>
  <c r="C19" i="32" s="1"/>
  <c r="C20" i="32" s="1"/>
  <c r="C21" i="32" s="1"/>
  <c r="C22" i="32" s="1"/>
  <c r="C23" i="32" s="1"/>
  <c r="C24" i="32" s="1"/>
  <c r="C25" i="32" s="1"/>
  <c r="C26" i="32" s="1"/>
  <c r="C27" i="32" s="1"/>
  <c r="C28" i="32" s="1"/>
  <c r="C29" i="32" s="1"/>
  <c r="C30" i="32" s="1"/>
  <c r="C31" i="32" s="1"/>
  <c r="C32" i="32" s="1"/>
  <c r="C33" i="32" s="1"/>
  <c r="C34" i="32" s="1"/>
  <c r="C35" i="32" s="1"/>
  <c r="C36" i="32" s="1"/>
  <c r="C37" i="32" s="1"/>
  <c r="C38" i="32" s="1"/>
  <c r="C39" i="32" s="1"/>
  <c r="C40" i="32" s="1"/>
  <c r="C41" i="32" s="1"/>
  <c r="C42" i="32" s="1"/>
  <c r="C43" i="32" s="1"/>
  <c r="C44" i="32" s="1"/>
  <c r="C45" i="32" s="1"/>
  <c r="C46" i="32" s="1"/>
  <c r="C47" i="32" s="1"/>
  <c r="C48" i="32" s="1"/>
  <c r="C49" i="32" s="1"/>
  <c r="C50" i="32" s="1"/>
  <c r="C51" i="32" s="1"/>
  <c r="C52" i="32" s="1"/>
  <c r="C53" i="32" s="1"/>
  <c r="C54" i="32" s="1"/>
  <c r="C55" i="32" s="1"/>
  <c r="C56" i="32" s="1"/>
  <c r="C57" i="32" s="1"/>
  <c r="C58" i="32" s="1"/>
  <c r="C59" i="32" s="1"/>
  <c r="C60" i="32" s="1"/>
  <c r="C61" i="32" s="1"/>
  <c r="C62" i="32" s="1"/>
  <c r="C63" i="32" s="1"/>
  <c r="C64" i="32" s="1"/>
  <c r="C65" i="32" s="1"/>
  <c r="C66" i="32" s="1"/>
  <c r="C67" i="32" s="1"/>
  <c r="C68" i="32" s="1"/>
  <c r="C69" i="32" s="1"/>
  <c r="C70" i="32" s="1"/>
  <c r="C71" i="32" s="1"/>
  <c r="C72" i="32" s="1"/>
  <c r="C73" i="32" s="1"/>
  <c r="C74" i="32" s="1"/>
  <c r="C75" i="32" s="1"/>
  <c r="C76" i="32" s="1"/>
  <c r="C77" i="32" s="1"/>
  <c r="C78" i="32" s="1"/>
  <c r="C79" i="32" s="1"/>
  <c r="C80" i="32" s="1"/>
  <c r="C81" i="32" s="1"/>
  <c r="C82" i="32" s="1"/>
  <c r="C83" i="32" s="1"/>
  <c r="C84" i="32" s="1"/>
  <c r="C85" i="32" s="1"/>
  <c r="C86" i="32" s="1"/>
  <c r="C87" i="32" s="1"/>
  <c r="C88" i="32" s="1"/>
  <c r="C89" i="32" s="1"/>
  <c r="C90" i="32" s="1"/>
  <c r="C91" i="32" s="1"/>
  <c r="C92" i="32" s="1"/>
  <c r="C93" i="32" s="1"/>
  <c r="C94" i="32" s="1"/>
  <c r="C95" i="32" s="1"/>
  <c r="C96" i="32" s="1"/>
  <c r="C97" i="32" s="1"/>
  <c r="C98" i="32" s="1"/>
  <c r="C99" i="32" s="1"/>
  <c r="C100" i="32" s="1"/>
  <c r="C101" i="32" s="1"/>
  <c r="C102" i="32" s="1"/>
  <c r="C103" i="32" s="1"/>
  <c r="C104" i="32" s="1"/>
  <c r="C105" i="32" s="1"/>
  <c r="C106" i="32" s="1"/>
  <c r="M9" i="32"/>
  <c r="M10" i="32" s="1"/>
  <c r="M11" i="32" s="1"/>
  <c r="M12" i="32" s="1"/>
  <c r="M13" i="32" s="1"/>
  <c r="M14" i="32" s="1"/>
  <c r="M15" i="32" s="1"/>
  <c r="M16" i="32" s="1"/>
  <c r="M17" i="32" s="1"/>
  <c r="M18" i="32" s="1"/>
  <c r="M19" i="32" s="1"/>
  <c r="M20" i="32" s="1"/>
  <c r="M21" i="32" s="1"/>
  <c r="M22" i="32" s="1"/>
  <c r="M23" i="32" s="1"/>
  <c r="M24" i="32" s="1"/>
  <c r="M25" i="32" s="1"/>
  <c r="M26" i="32" s="1"/>
  <c r="M27" i="32" s="1"/>
  <c r="M28" i="32" s="1"/>
  <c r="M29" i="32" s="1"/>
  <c r="M30" i="32" s="1"/>
  <c r="M31" i="32" s="1"/>
  <c r="M32" i="32" s="1"/>
  <c r="M33" i="32" s="1"/>
  <c r="M34" i="32" s="1"/>
  <c r="M35" i="32" s="1"/>
  <c r="M36" i="32" s="1"/>
  <c r="M37" i="32" s="1"/>
  <c r="M38" i="32" s="1"/>
  <c r="M39" i="32" s="1"/>
  <c r="M40" i="32" s="1"/>
  <c r="M41" i="32" s="1"/>
  <c r="M42" i="32" s="1"/>
  <c r="M43" i="32" s="1"/>
  <c r="M44" i="32" s="1"/>
  <c r="M45" i="32" s="1"/>
  <c r="M46" i="32" s="1"/>
  <c r="M47" i="32" s="1"/>
  <c r="M48" i="32" s="1"/>
  <c r="M49" i="32" s="1"/>
  <c r="M50" i="32" s="1"/>
  <c r="M51" i="32" s="1"/>
  <c r="M52" i="32" s="1"/>
  <c r="M53" i="32" s="1"/>
  <c r="M54" i="32" s="1"/>
  <c r="M55" i="32" s="1"/>
  <c r="M56" i="32" s="1"/>
  <c r="M57" i="32" s="1"/>
  <c r="M58" i="32" s="1"/>
  <c r="M59" i="32" s="1"/>
  <c r="M60" i="32" s="1"/>
  <c r="M61" i="32" s="1"/>
  <c r="M62" i="32" s="1"/>
  <c r="M63" i="32" s="1"/>
  <c r="M64" i="32" s="1"/>
  <c r="M65" i="32" s="1"/>
  <c r="M66" i="32" s="1"/>
  <c r="M67" i="32" s="1"/>
  <c r="M68" i="32" s="1"/>
  <c r="M69" i="32" s="1"/>
  <c r="M70" i="32" s="1"/>
  <c r="M71" i="32" s="1"/>
  <c r="M72" i="32" s="1"/>
  <c r="M73" i="32" s="1"/>
  <c r="M74" i="32" s="1"/>
  <c r="M75" i="32" s="1"/>
  <c r="M76" i="32" s="1"/>
  <c r="M77" i="32" s="1"/>
  <c r="M78" i="32" s="1"/>
  <c r="M79" i="32" s="1"/>
  <c r="M80" i="32" s="1"/>
  <c r="M81" i="32" s="1"/>
  <c r="M82" i="32" s="1"/>
  <c r="M83" i="32" s="1"/>
  <c r="M84" i="32" s="1"/>
  <c r="M85" i="32" s="1"/>
  <c r="M86" i="32" s="1"/>
  <c r="M87" i="32" s="1"/>
  <c r="M88" i="32" s="1"/>
  <c r="M89" i="32" s="1"/>
  <c r="M90" i="32" s="1"/>
  <c r="M91" i="32" s="1"/>
  <c r="M92" i="32" s="1"/>
  <c r="M93" i="32" s="1"/>
  <c r="M94" i="32" s="1"/>
  <c r="M95" i="32" s="1"/>
  <c r="M96" i="32" s="1"/>
  <c r="M97" i="32" s="1"/>
  <c r="M98" i="32" s="1"/>
  <c r="M99" i="32" s="1"/>
  <c r="M100" i="32" s="1"/>
  <c r="M101" i="32" s="1"/>
  <c r="M102" i="32" s="1"/>
  <c r="M103" i="32" s="1"/>
  <c r="M104" i="32" s="1"/>
  <c r="M105" i="32" s="1"/>
  <c r="M106" i="32" s="1"/>
  <c r="M107" i="32" s="1"/>
  <c r="M108" i="32" s="1"/>
  <c r="M109" i="32" s="1"/>
  <c r="M110" i="32" s="1"/>
  <c r="M111" i="32" s="1"/>
  <c r="M112" i="32" s="1"/>
  <c r="M113" i="32" s="1"/>
  <c r="M114" i="32" s="1"/>
  <c r="M115" i="32" s="1"/>
  <c r="M116" i="32" s="1"/>
  <c r="M117" i="32" s="1"/>
  <c r="M118" i="32" s="1"/>
  <c r="M119" i="32" s="1"/>
  <c r="M120" i="32" s="1"/>
  <c r="M121" i="32" s="1"/>
  <c r="M122" i="32" s="1"/>
  <c r="M123" i="32" s="1"/>
  <c r="M124" i="32" s="1"/>
  <c r="M125" i="32" s="1"/>
  <c r="M126" i="32" s="1"/>
  <c r="M127" i="32" s="1"/>
  <c r="M128" i="32" s="1"/>
  <c r="M129" i="32" s="1"/>
  <c r="M130" i="32" s="1"/>
  <c r="M131" i="32" s="1"/>
  <c r="M132" i="32" s="1"/>
  <c r="M133" i="32" s="1"/>
  <c r="M134" i="32" s="1"/>
  <c r="M135" i="32" s="1"/>
  <c r="M136" i="32" s="1"/>
  <c r="M137" i="32" s="1"/>
  <c r="M138" i="32" s="1"/>
  <c r="M139" i="32" s="1"/>
  <c r="M140" i="32" s="1"/>
  <c r="M141" i="32" s="1"/>
  <c r="M142" i="32" s="1"/>
  <c r="M143" i="32" s="1"/>
  <c r="M144" i="32" s="1"/>
  <c r="M145" i="32" s="1"/>
  <c r="M146" i="32" s="1"/>
  <c r="M147" i="32" s="1"/>
  <c r="M148" i="32" s="1"/>
  <c r="M149" i="32" s="1"/>
  <c r="M150" i="32" s="1"/>
  <c r="M151" i="32" s="1"/>
  <c r="M152" i="32" s="1"/>
  <c r="M153" i="32" s="1"/>
  <c r="M154" i="32" s="1"/>
  <c r="M155" i="32" s="1"/>
  <c r="M156" i="32" s="1"/>
  <c r="M157" i="32" s="1"/>
  <c r="M158" i="32" s="1"/>
  <c r="M159" i="32" s="1"/>
  <c r="M160" i="32" s="1"/>
  <c r="M161" i="32" s="1"/>
  <c r="M162" i="32" s="1"/>
  <c r="M163" i="32" s="1"/>
  <c r="M164" i="32" s="1"/>
  <c r="M165" i="32" s="1"/>
  <c r="M166" i="32" s="1"/>
  <c r="M167" i="32" s="1"/>
  <c r="M168" i="32" s="1"/>
  <c r="M169" i="32" s="1"/>
  <c r="M170" i="32" s="1"/>
  <c r="M171" i="32" s="1"/>
  <c r="M172" i="32" s="1"/>
  <c r="M173" i="32" s="1"/>
  <c r="M174" i="32" s="1"/>
  <c r="M175" i="32" s="1"/>
  <c r="M176" i="32" s="1"/>
  <c r="M177" i="32" s="1"/>
  <c r="M178" i="32" s="1"/>
  <c r="M179" i="32" s="1"/>
  <c r="M180" i="32" s="1"/>
  <c r="M181" i="32" s="1"/>
  <c r="M182" i="32" s="1"/>
  <c r="M183" i="32" s="1"/>
  <c r="M184" i="32" s="1"/>
  <c r="M185" i="32" s="1"/>
  <c r="M186" i="32" s="1"/>
  <c r="M187" i="32" s="1"/>
  <c r="M188" i="32" s="1"/>
  <c r="M189" i="32" s="1"/>
  <c r="M190" i="32" s="1"/>
  <c r="M191" i="32" s="1"/>
  <c r="M192" i="32" s="1"/>
  <c r="M193" i="32" s="1"/>
  <c r="M194" i="32" s="1"/>
  <c r="M195" i="32" s="1"/>
  <c r="M196" i="32" s="1"/>
  <c r="M197" i="32" s="1"/>
  <c r="M198" i="32" s="1"/>
  <c r="M199" i="32" s="1"/>
  <c r="M200" i="32" s="1"/>
  <c r="M201" i="32" s="1"/>
  <c r="M202" i="32" s="1"/>
  <c r="M203" i="32" s="1"/>
  <c r="M204" i="32" s="1"/>
  <c r="M205" i="32" s="1"/>
  <c r="M206" i="32" s="1"/>
  <c r="M207" i="32" s="1"/>
  <c r="M208" i="32" s="1"/>
  <c r="M209" i="32" s="1"/>
  <c r="M210" i="32" s="1"/>
  <c r="M211" i="32" s="1"/>
  <c r="M212" i="32" s="1"/>
  <c r="M213" i="32" s="1"/>
  <c r="M214" i="32" s="1"/>
  <c r="M215" i="32" s="1"/>
  <c r="M216" i="32" s="1"/>
  <c r="M217" i="32" s="1"/>
  <c r="M218" i="32" s="1"/>
  <c r="M219" i="32" s="1"/>
  <c r="M220" i="32" s="1"/>
  <c r="M221" i="32" s="1"/>
  <c r="M222" i="32" s="1"/>
  <c r="M223" i="32" s="1"/>
  <c r="M224" i="32" s="1"/>
  <c r="M225" i="32" s="1"/>
  <c r="M226" i="32" s="1"/>
  <c r="M227" i="32" s="1"/>
  <c r="M228" i="32" s="1"/>
  <c r="M229" i="32" s="1"/>
  <c r="M230" i="32" s="1"/>
  <c r="M231" i="32" s="1"/>
  <c r="M232" i="32" s="1"/>
  <c r="M233" i="32" s="1"/>
  <c r="M234" i="32" s="1"/>
  <c r="M235" i="32" s="1"/>
  <c r="M236" i="32" s="1"/>
  <c r="M237" i="32" s="1"/>
  <c r="M238" i="32" s="1"/>
  <c r="M239" i="32" s="1"/>
  <c r="M240" i="32" s="1"/>
  <c r="M241" i="32" s="1"/>
  <c r="M242" i="32" s="1"/>
  <c r="M243" i="32" s="1"/>
  <c r="M244" i="32" s="1"/>
  <c r="M245" i="32" s="1"/>
  <c r="M246" i="32" s="1"/>
  <c r="M247" i="32" s="1"/>
  <c r="M248" i="32" s="1"/>
  <c r="M249" i="32" s="1"/>
  <c r="M250" i="32" s="1"/>
  <c r="M251" i="32" s="1"/>
  <c r="M252" i="32" s="1"/>
  <c r="M253" i="32" s="1"/>
  <c r="M254" i="32" s="1"/>
  <c r="M255" i="32" s="1"/>
  <c r="M256" i="32" s="1"/>
  <c r="M257" i="32" s="1"/>
  <c r="M258" i="32" s="1"/>
  <c r="M259" i="32" s="1"/>
  <c r="M260" i="32" s="1"/>
  <c r="M261" i="32" s="1"/>
  <c r="M262" i="32" s="1"/>
  <c r="M263" i="32" s="1"/>
  <c r="M264" i="32" s="1"/>
  <c r="M265" i="32" s="1"/>
  <c r="M266" i="32" s="1"/>
  <c r="M267" i="32" s="1"/>
  <c r="M268" i="32" s="1"/>
  <c r="M269" i="32" s="1"/>
  <c r="M270" i="32" s="1"/>
  <c r="M271" i="32" s="1"/>
  <c r="M272" i="32" s="1"/>
  <c r="M273" i="32" s="1"/>
  <c r="M274" i="32" s="1"/>
  <c r="M275" i="32" s="1"/>
  <c r="M276" i="32" s="1"/>
  <c r="M277" i="32" s="1"/>
  <c r="M278" i="32" s="1"/>
  <c r="M279" i="32" s="1"/>
  <c r="M280" i="32" s="1"/>
  <c r="M281" i="32" s="1"/>
  <c r="M282" i="32" s="1"/>
  <c r="M283" i="32" s="1"/>
  <c r="M284" i="32" s="1"/>
  <c r="M285" i="32" s="1"/>
  <c r="M286" i="32" s="1"/>
  <c r="M287" i="32" s="1"/>
  <c r="M288" i="32" s="1"/>
  <c r="M289" i="32" s="1"/>
  <c r="M290" i="32" s="1"/>
  <c r="M291" i="32" s="1"/>
  <c r="M292" i="32" s="1"/>
  <c r="M293" i="32" s="1"/>
  <c r="M294" i="32" s="1"/>
  <c r="M295" i="32" s="1"/>
  <c r="M296" i="32" s="1"/>
  <c r="M297" i="32" s="1"/>
  <c r="M298" i="32" s="1"/>
  <c r="M299" i="32" s="1"/>
  <c r="M300" i="32" s="1"/>
  <c r="M301" i="32" s="1"/>
  <c r="M302" i="32" s="1"/>
  <c r="M303" i="32" s="1"/>
  <c r="M304" i="32" s="1"/>
  <c r="M305" i="32" s="1"/>
  <c r="M306" i="32" s="1"/>
  <c r="M307" i="32" s="1"/>
  <c r="M308" i="32" s="1"/>
  <c r="M309" i="32" s="1"/>
  <c r="M310" i="32" s="1"/>
  <c r="M311" i="32" s="1"/>
  <c r="M312" i="32" s="1"/>
  <c r="M313" i="32" s="1"/>
  <c r="M314" i="32" s="1"/>
  <c r="M315" i="32" s="1"/>
  <c r="M316" i="32" s="1"/>
  <c r="M317" i="32" s="1"/>
  <c r="M318" i="32" s="1"/>
  <c r="M319" i="32" s="1"/>
  <c r="M320" i="32" s="1"/>
  <c r="M321" i="32" s="1"/>
  <c r="M322" i="32" s="1"/>
  <c r="M323" i="32" s="1"/>
  <c r="M324" i="32" s="1"/>
  <c r="M325" i="32" s="1"/>
  <c r="M326" i="32" s="1"/>
  <c r="M327" i="32" s="1"/>
  <c r="M328" i="32" s="1"/>
  <c r="M329" i="32" s="1"/>
  <c r="M330" i="32" s="1"/>
  <c r="M331" i="32" s="1"/>
  <c r="M332" i="32" s="1"/>
  <c r="M333" i="32" s="1"/>
  <c r="M334" i="32" s="1"/>
  <c r="M335" i="32" s="1"/>
  <c r="M336" i="32" s="1"/>
  <c r="M337" i="32" s="1"/>
  <c r="M338" i="32" s="1"/>
  <c r="M339" i="32" s="1"/>
  <c r="M340" i="32" s="1"/>
  <c r="M341" i="32" s="1"/>
  <c r="M342" i="32" s="1"/>
  <c r="M343" i="32" s="1"/>
  <c r="M344" i="32" s="1"/>
  <c r="M345" i="32" s="1"/>
  <c r="M346" i="32" s="1"/>
  <c r="M347" i="32" s="1"/>
  <c r="M348" i="32" s="1"/>
  <c r="M349" i="32" s="1"/>
  <c r="M350" i="32" s="1"/>
  <c r="M351" i="32" s="1"/>
  <c r="M352" i="32" s="1"/>
  <c r="M353" i="32" s="1"/>
  <c r="M354" i="32" s="1"/>
  <c r="M355" i="32" s="1"/>
  <c r="M356" i="32" s="1"/>
  <c r="M357" i="32" s="1"/>
  <c r="M358" i="32" s="1"/>
  <c r="M359" i="32" s="1"/>
  <c r="M360" i="32" s="1"/>
  <c r="M361" i="32" s="1"/>
  <c r="M362" i="32" s="1"/>
  <c r="M363" i="32" s="1"/>
  <c r="M364" i="32" s="1"/>
  <c r="M365" i="32" s="1"/>
  <c r="M366" i="32" s="1"/>
  <c r="T4" i="32"/>
  <c r="T3" i="32"/>
  <c r="S2" i="32"/>
  <c r="O2" i="32"/>
  <c r="J5" i="9"/>
  <c r="C107" i="32" l="1"/>
  <c r="C108" i="32" s="1"/>
  <c r="C109" i="32" s="1"/>
  <c r="C110" i="32" s="1"/>
  <c r="C111" i="32" s="1"/>
  <c r="C112" i="32" s="1"/>
  <c r="C113" i="32" s="1"/>
  <c r="C114" i="32" s="1"/>
  <c r="C115" i="32" s="1"/>
  <c r="C116" i="32" s="1"/>
  <c r="C117" i="32" s="1"/>
  <c r="C118" i="32" s="1"/>
  <c r="C119" i="32" s="1"/>
  <c r="C120" i="32" s="1"/>
  <c r="C121" i="32" s="1"/>
  <c r="C122" i="32" s="1"/>
  <c r="C123" i="32" s="1"/>
  <c r="C124" i="32" s="1"/>
  <c r="C125" i="32" s="1"/>
  <c r="C126" i="32" s="1"/>
  <c r="C127" i="32" s="1"/>
  <c r="C128" i="32" s="1"/>
  <c r="C129" i="32" s="1"/>
  <c r="C130" i="32" s="1"/>
  <c r="C131" i="32" s="1"/>
  <c r="C132" i="32" s="1"/>
  <c r="C133" i="32" s="1"/>
  <c r="C134" i="32" s="1"/>
  <c r="C135" i="32" s="1"/>
  <c r="C136" i="32" s="1"/>
  <c r="C137" i="32" s="1"/>
  <c r="C138" i="32" s="1"/>
  <c r="C139" i="32" s="1"/>
  <c r="C140" i="32" s="1"/>
  <c r="C141" i="32" s="1"/>
  <c r="C142" i="32" s="1"/>
  <c r="C143" i="32" s="1"/>
  <c r="C144" i="32" s="1"/>
  <c r="C145" i="32" s="1"/>
  <c r="C146" i="32" s="1"/>
  <c r="C147" i="32" s="1"/>
  <c r="C148" i="32" s="1"/>
  <c r="C149" i="32" s="1"/>
  <c r="C150" i="32" s="1"/>
  <c r="C151" i="32" s="1"/>
  <c r="C152" i="32" s="1"/>
  <c r="C153" i="32" s="1"/>
  <c r="C154" i="32" s="1"/>
  <c r="C155" i="32" s="1"/>
  <c r="C156" i="32" s="1"/>
  <c r="C157" i="32" s="1"/>
  <c r="C158" i="32" s="1"/>
  <c r="C159" i="32" s="1"/>
  <c r="C160" i="32" s="1"/>
  <c r="C161" i="32" s="1"/>
  <c r="C162" i="32" s="1"/>
  <c r="C163" i="32" s="1"/>
  <c r="C164" i="32" s="1"/>
  <c r="C165" i="32" s="1"/>
  <c r="C166" i="32" s="1"/>
  <c r="C167" i="32" s="1"/>
  <c r="C168" i="32" s="1"/>
  <c r="C169" i="32" s="1"/>
  <c r="C170" i="32" s="1"/>
  <c r="C171" i="32" s="1"/>
  <c r="C172" i="32" s="1"/>
  <c r="C173" i="32" s="1"/>
  <c r="C174" i="32" s="1"/>
  <c r="C175" i="32" s="1"/>
  <c r="C176" i="32" s="1"/>
  <c r="C177" i="32" s="1"/>
  <c r="C178" i="32" s="1"/>
  <c r="C179" i="32" s="1"/>
  <c r="C180" i="32" s="1"/>
  <c r="C181" i="32" s="1"/>
  <c r="C182" i="32" s="1"/>
  <c r="C183" i="32" s="1"/>
  <c r="C184" i="32" s="1"/>
  <c r="C185" i="32" s="1"/>
  <c r="C186" i="32" s="1"/>
  <c r="C187" i="32" s="1"/>
  <c r="C188" i="32" s="1"/>
  <c r="C189" i="32" s="1"/>
  <c r="C190" i="32" s="1"/>
  <c r="C191" i="32" s="1"/>
  <c r="C192" i="32" s="1"/>
  <c r="C193" i="32" s="1"/>
  <c r="C194" i="32" s="1"/>
  <c r="C195" i="32" s="1"/>
  <c r="C196" i="32" s="1"/>
  <c r="C197" i="32" s="1"/>
  <c r="C198" i="32" s="1"/>
  <c r="C199" i="32" s="1"/>
  <c r="C200" i="32" s="1"/>
  <c r="C201" i="32" s="1"/>
  <c r="C202" i="32" s="1"/>
  <c r="C203" i="32" s="1"/>
  <c r="C204" i="32" s="1"/>
  <c r="C205" i="32" s="1"/>
  <c r="C206" i="32" s="1"/>
  <c r="C207" i="32" s="1"/>
  <c r="C208" i="32" s="1"/>
  <c r="C209" i="32" s="1"/>
  <c r="C210" i="32" s="1"/>
  <c r="C211" i="32" s="1"/>
  <c r="C212" i="32" s="1"/>
  <c r="C213" i="32" s="1"/>
  <c r="C214" i="32" s="1"/>
  <c r="C215" i="32" s="1"/>
  <c r="C216" i="32" s="1"/>
  <c r="C217" i="32" s="1"/>
  <c r="C218" i="32" s="1"/>
  <c r="C219" i="32" s="1"/>
  <c r="C220" i="32" s="1"/>
  <c r="C221" i="32" s="1"/>
  <c r="C222" i="32" s="1"/>
  <c r="C223" i="32" s="1"/>
  <c r="C224" i="32" s="1"/>
  <c r="C225" i="32" s="1"/>
  <c r="C226" i="32" s="1"/>
  <c r="C227" i="32" s="1"/>
  <c r="C228" i="32" s="1"/>
  <c r="C229" i="32" s="1"/>
  <c r="C230" i="32" s="1"/>
  <c r="C231" i="32" s="1"/>
  <c r="C232" i="32" s="1"/>
  <c r="C233" i="32" s="1"/>
  <c r="C234" i="32" s="1"/>
  <c r="C235" i="32" s="1"/>
  <c r="C236" i="32" s="1"/>
  <c r="C237" i="32" s="1"/>
  <c r="C238" i="32" s="1"/>
  <c r="C239" i="32" s="1"/>
  <c r="C240" i="32" s="1"/>
  <c r="C241" i="32" s="1"/>
  <c r="C242" i="32" s="1"/>
  <c r="C243" i="32" s="1"/>
  <c r="C244" i="32" s="1"/>
  <c r="C245" i="32" s="1"/>
  <c r="C246" i="32" s="1"/>
  <c r="C247" i="32" s="1"/>
  <c r="C248" i="32" s="1"/>
  <c r="C249" i="32" s="1"/>
  <c r="C250" i="32" s="1"/>
  <c r="C251" i="32" s="1"/>
  <c r="C252" i="32" s="1"/>
  <c r="C253" i="32" s="1"/>
  <c r="C254" i="32" s="1"/>
  <c r="C255" i="32" s="1"/>
  <c r="C256" i="32" s="1"/>
  <c r="C257" i="32" s="1"/>
  <c r="C258" i="32" s="1"/>
  <c r="C259" i="32" s="1"/>
  <c r="C260" i="32" s="1"/>
  <c r="C261" i="32" s="1"/>
  <c r="C262" i="32" s="1"/>
  <c r="C263" i="32" s="1"/>
  <c r="C264" i="32" s="1"/>
  <c r="C265" i="32" s="1"/>
  <c r="C266" i="32" s="1"/>
  <c r="C267" i="32" s="1"/>
  <c r="C268" i="32" s="1"/>
  <c r="C269" i="32" s="1"/>
  <c r="C270" i="32" s="1"/>
  <c r="C271" i="32" s="1"/>
  <c r="C272" i="32" s="1"/>
  <c r="C273" i="32" s="1"/>
  <c r="C274" i="32" s="1"/>
  <c r="C275" i="32" s="1"/>
  <c r="C276" i="32" s="1"/>
  <c r="C277" i="32" s="1"/>
  <c r="C278" i="32" s="1"/>
  <c r="C279" i="32" s="1"/>
  <c r="C280" i="32" s="1"/>
  <c r="C281" i="32" s="1"/>
  <c r="C282" i="32" s="1"/>
  <c r="C283" i="32" s="1"/>
  <c r="C284" i="32" s="1"/>
  <c r="C285" i="32" s="1"/>
  <c r="C286" i="32" s="1"/>
  <c r="C287" i="32" s="1"/>
  <c r="C288" i="32" s="1"/>
  <c r="C289" i="32" s="1"/>
  <c r="C290" i="32" s="1"/>
  <c r="C291" i="32" s="1"/>
  <c r="C292" i="32" s="1"/>
  <c r="C293" i="32" s="1"/>
  <c r="C294" i="32" s="1"/>
  <c r="C295" i="32" s="1"/>
  <c r="C296" i="32" s="1"/>
  <c r="C297" i="32" s="1"/>
  <c r="C298" i="32" s="1"/>
  <c r="C299" i="32" s="1"/>
  <c r="C300" i="32" s="1"/>
  <c r="C301" i="32" s="1"/>
  <c r="C302" i="32" s="1"/>
  <c r="C303" i="32" s="1"/>
  <c r="C304" i="32" s="1"/>
  <c r="C305" i="32" s="1"/>
  <c r="C306" i="32" s="1"/>
  <c r="C307" i="32" s="1"/>
  <c r="C308" i="32" s="1"/>
  <c r="C309" i="32" s="1"/>
  <c r="C310" i="32" s="1"/>
  <c r="C311" i="32" s="1"/>
  <c r="C312" i="32" s="1"/>
  <c r="C313" i="32" s="1"/>
  <c r="C314" i="32" s="1"/>
  <c r="C315" i="32" s="1"/>
  <c r="C316" i="32" s="1"/>
  <c r="C317" i="32" s="1"/>
  <c r="C318" i="32" s="1"/>
  <c r="C319" i="32" s="1"/>
  <c r="C320" i="32" s="1"/>
  <c r="C321" i="32" s="1"/>
  <c r="C322" i="32" s="1"/>
  <c r="C323" i="32" s="1"/>
  <c r="C324" i="32" s="1"/>
  <c r="C325" i="32" s="1"/>
  <c r="C326" i="32" s="1"/>
  <c r="C327" i="32" s="1"/>
  <c r="C328" i="32" s="1"/>
  <c r="C329" i="32" s="1"/>
  <c r="C330" i="32" s="1"/>
  <c r="C331" i="32" s="1"/>
  <c r="C332" i="32" s="1"/>
  <c r="C333" i="32" s="1"/>
  <c r="C334" i="32" s="1"/>
  <c r="C335" i="32" s="1"/>
  <c r="C336" i="32" s="1"/>
  <c r="C337" i="32" s="1"/>
  <c r="C338" i="32" s="1"/>
  <c r="C339" i="32" s="1"/>
  <c r="C340" i="32" s="1"/>
  <c r="C341" i="32" s="1"/>
  <c r="C342" i="32" s="1"/>
  <c r="C343" i="32" s="1"/>
  <c r="C344" i="32" s="1"/>
  <c r="C345" i="32" s="1"/>
  <c r="C346" i="32" s="1"/>
  <c r="C347" i="32" s="1"/>
  <c r="C348" i="32" s="1"/>
  <c r="C349" i="32" s="1"/>
  <c r="C350" i="32" s="1"/>
  <c r="C351" i="32" s="1"/>
  <c r="C352" i="32" s="1"/>
  <c r="C353" i="32" s="1"/>
  <c r="C354" i="32" s="1"/>
  <c r="C355" i="32" s="1"/>
  <c r="C356" i="32" s="1"/>
  <c r="C357" i="32" s="1"/>
  <c r="C358" i="32" s="1"/>
  <c r="C359" i="32" s="1"/>
  <c r="C360" i="32" s="1"/>
  <c r="C361" i="32" s="1"/>
  <c r="C362" i="32" s="1"/>
  <c r="C363" i="32" s="1"/>
  <c r="C364" i="32" s="1"/>
  <c r="C365" i="32" s="1"/>
  <c r="C366" i="32" s="1"/>
  <c r="B2" i="30" l="1"/>
  <c r="HH108" i="2" l="1"/>
  <c r="J55" i="30" l="1"/>
  <c r="J57" i="30" s="1"/>
  <c r="X82" i="30"/>
  <c r="W82" i="30"/>
  <c r="Y81" i="30"/>
  <c r="Y80" i="30"/>
  <c r="Y79" i="30"/>
  <c r="Y78" i="30"/>
  <c r="Y77" i="30"/>
  <c r="Y76" i="30"/>
  <c r="Y75" i="30"/>
  <c r="Y74" i="30"/>
  <c r="Y73" i="30"/>
  <c r="Y72" i="30"/>
  <c r="Y71" i="30"/>
  <c r="Y70" i="30"/>
  <c r="Y69" i="30"/>
  <c r="Y68" i="30"/>
  <c r="B28" i="30"/>
  <c r="B29" i="30" s="1"/>
  <c r="B30" i="30" s="1"/>
  <c r="B31" i="30" s="1"/>
  <c r="B32" i="30" s="1"/>
  <c r="B33" i="30" s="1"/>
  <c r="B34" i="30" s="1"/>
  <c r="B35" i="30" s="1"/>
  <c r="B36" i="30" s="1"/>
  <c r="B37" i="30" s="1"/>
  <c r="B38" i="30" s="1"/>
  <c r="B39" i="30" s="1"/>
  <c r="Y67" i="30"/>
  <c r="Y66" i="30"/>
  <c r="Y65" i="30"/>
  <c r="Y64" i="30"/>
  <c r="O64" i="30"/>
  <c r="O65" i="30" s="1"/>
  <c r="O66" i="30" s="1"/>
  <c r="O67" i="30" s="1"/>
  <c r="O68" i="30" s="1"/>
  <c r="O69" i="30" s="1"/>
  <c r="O70" i="30" s="1"/>
  <c r="O71" i="30" s="1"/>
  <c r="O72" i="30" s="1"/>
  <c r="O73" i="30" s="1"/>
  <c r="O74" i="30" s="1"/>
  <c r="O75" i="30" s="1"/>
  <c r="O76" i="30" s="1"/>
  <c r="O77" i="30" s="1"/>
  <c r="O78" i="30" s="1"/>
  <c r="O79" i="30" s="1"/>
  <c r="O80" i="30" s="1"/>
  <c r="O81" i="30" s="1"/>
  <c r="Y63" i="30"/>
  <c r="J20" i="30"/>
  <c r="I20" i="30"/>
  <c r="W59" i="30"/>
  <c r="Y57" i="30"/>
  <c r="Y56" i="30"/>
  <c r="K54" i="30"/>
  <c r="K53" i="30"/>
  <c r="K52" i="30"/>
  <c r="K51" i="30"/>
  <c r="K50" i="30"/>
  <c r="O49" i="30"/>
  <c r="O50" i="30" s="1"/>
  <c r="O51" i="30" s="1"/>
  <c r="O52" i="30" s="1"/>
  <c r="O53" i="30" s="1"/>
  <c r="O54" i="30" s="1"/>
  <c r="O55" i="30" s="1"/>
  <c r="O56" i="30" s="1"/>
  <c r="O57" i="30" s="1"/>
  <c r="O58" i="30" s="1"/>
  <c r="K49" i="30"/>
  <c r="K48" i="30"/>
  <c r="B48" i="30"/>
  <c r="B49" i="30" s="1"/>
  <c r="B50" i="30" s="1"/>
  <c r="B51" i="30" s="1"/>
  <c r="B52" i="30" s="1"/>
  <c r="B53" i="30" s="1"/>
  <c r="B8" i="30"/>
  <c r="B9" i="30" s="1"/>
  <c r="B10" i="30" s="1"/>
  <c r="B11" i="30" s="1"/>
  <c r="B12" i="30" s="1"/>
  <c r="B13" i="30" s="1"/>
  <c r="B14" i="30" s="1"/>
  <c r="B15" i="30" s="1"/>
  <c r="B16" i="30" s="1"/>
  <c r="B17" i="30" s="1"/>
  <c r="B18" i="30" s="1"/>
  <c r="B19" i="30" s="1"/>
  <c r="K47" i="30"/>
  <c r="Y82" i="30" l="1"/>
  <c r="E65" i="1" l="1"/>
  <c r="H4" i="25" l="1"/>
  <c r="H11" i="25"/>
  <c r="D9" i="25"/>
  <c r="E9" i="25" s="1"/>
  <c r="E12" i="25"/>
  <c r="G11" i="26"/>
  <c r="E20" i="26"/>
  <c r="G20" i="26"/>
  <c r="H19" i="26"/>
  <c r="G19" i="26"/>
  <c r="H18" i="26"/>
  <c r="H17" i="26"/>
  <c r="H16" i="26"/>
  <c r="H10" i="26"/>
  <c r="G10" i="26"/>
  <c r="C4" i="14"/>
  <c r="K15" i="2"/>
  <c r="K13" i="2"/>
  <c r="K161" i="2" s="1"/>
  <c r="K164" i="2" s="1"/>
  <c r="K181" i="2" s="1"/>
  <c r="HO14" i="2"/>
  <c r="K18" i="2"/>
  <c r="I18" i="2" s="1"/>
  <c r="C30" i="2"/>
  <c r="E30" i="2"/>
  <c r="G146" i="2"/>
  <c r="N3" i="3"/>
  <c r="N4" i="3"/>
  <c r="N5" i="3"/>
  <c r="N6" i="3"/>
  <c r="N7" i="3"/>
  <c r="N8" i="3"/>
  <c r="N9" i="3"/>
  <c r="N10" i="3"/>
  <c r="N11" i="3"/>
  <c r="N12" i="3"/>
  <c r="N13" i="3"/>
  <c r="N14" i="3"/>
  <c r="N15" i="3"/>
  <c r="N16" i="3"/>
  <c r="N17" i="3"/>
  <c r="N18" i="3"/>
  <c r="L133" i="2"/>
  <c r="K88" i="2"/>
  <c r="K111" i="2" s="1"/>
  <c r="E12" i="1"/>
  <c r="E15" i="1" s="1"/>
  <c r="F15" i="1" s="1"/>
  <c r="F19" i="1"/>
  <c r="G141" i="2"/>
  <c r="CR20" i="2"/>
  <c r="CS20" i="2"/>
  <c r="CT20" i="2"/>
  <c r="CU20" i="2"/>
  <c r="L20" i="2"/>
  <c r="M20" i="2"/>
  <c r="N20" i="2"/>
  <c r="O20" i="2"/>
  <c r="P20" i="2"/>
  <c r="Q20" i="2"/>
  <c r="S20" i="2"/>
  <c r="T20" i="2"/>
  <c r="U20" i="2"/>
  <c r="V20" i="2"/>
  <c r="W20" i="2"/>
  <c r="X20" i="2"/>
  <c r="Y20" i="2"/>
  <c r="Z20" i="2"/>
  <c r="AA20" i="2"/>
  <c r="AB20" i="2"/>
  <c r="AC20" i="2"/>
  <c r="AD20" i="2"/>
  <c r="AE20" i="2"/>
  <c r="AF20" i="2"/>
  <c r="AG20" i="2"/>
  <c r="AH20" i="2"/>
  <c r="AI20" i="2"/>
  <c r="AJ20" i="2"/>
  <c r="AK20" i="2"/>
  <c r="AL20" i="2"/>
  <c r="AM20" i="2"/>
  <c r="AN20" i="2"/>
  <c r="AO20" i="2"/>
  <c r="AP20" i="2"/>
  <c r="AQ20" i="2"/>
  <c r="AR20" i="2"/>
  <c r="AS20" i="2"/>
  <c r="AT20" i="2"/>
  <c r="AU20" i="2"/>
  <c r="AV20" i="2"/>
  <c r="AW20" i="2"/>
  <c r="AX20" i="2"/>
  <c r="AY20" i="2"/>
  <c r="AZ20" i="2"/>
  <c r="BA20" i="2"/>
  <c r="BB20" i="2"/>
  <c r="BC20" i="2"/>
  <c r="BD20" i="2"/>
  <c r="BE20" i="2"/>
  <c r="BF20" i="2"/>
  <c r="BG20" i="2"/>
  <c r="BH20" i="2"/>
  <c r="BI20" i="2"/>
  <c r="BJ20" i="2"/>
  <c r="BK20" i="2"/>
  <c r="BL20" i="2"/>
  <c r="BM20" i="2"/>
  <c r="BN20" i="2"/>
  <c r="BO20" i="2"/>
  <c r="BP20" i="2"/>
  <c r="BQ20" i="2"/>
  <c r="BR20" i="2"/>
  <c r="BS20" i="2"/>
  <c r="BT20" i="2"/>
  <c r="BU20" i="2"/>
  <c r="BV20" i="2"/>
  <c r="BW20" i="2"/>
  <c r="BX20" i="2"/>
  <c r="BY20" i="2"/>
  <c r="BZ20" i="2"/>
  <c r="CA20" i="2"/>
  <c r="CB20" i="2"/>
  <c r="CC20" i="2"/>
  <c r="CD20" i="2"/>
  <c r="CE20" i="2"/>
  <c r="CF20" i="2"/>
  <c r="CG20" i="2"/>
  <c r="CH20" i="2"/>
  <c r="CI20" i="2"/>
  <c r="CJ20" i="2"/>
  <c r="CK20" i="2"/>
  <c r="CL20" i="2"/>
  <c r="CM20" i="2"/>
  <c r="CN20" i="2"/>
  <c r="CO20" i="2"/>
  <c r="CP20" i="2"/>
  <c r="CQ20" i="2"/>
  <c r="CV20" i="2"/>
  <c r="CW20" i="2"/>
  <c r="CX20" i="2"/>
  <c r="CY20" i="2"/>
  <c r="CZ20" i="2"/>
  <c r="DA20" i="2"/>
  <c r="DB20" i="2"/>
  <c r="DC20" i="2"/>
  <c r="DD20" i="2"/>
  <c r="DE20" i="2"/>
  <c r="DF20" i="2"/>
  <c r="DG20" i="2"/>
  <c r="DH20" i="2"/>
  <c r="DI20" i="2"/>
  <c r="DJ20" i="2"/>
  <c r="DK20" i="2"/>
  <c r="DL20" i="2"/>
  <c r="DM20" i="2"/>
  <c r="DN20" i="2"/>
  <c r="DO20" i="2"/>
  <c r="DP20" i="2"/>
  <c r="DQ20" i="2"/>
  <c r="DR20" i="2"/>
  <c r="DS20" i="2"/>
  <c r="DT20" i="2"/>
  <c r="DU20" i="2"/>
  <c r="DV20" i="2"/>
  <c r="DW20" i="2"/>
  <c r="DX20" i="2"/>
  <c r="DY20" i="2"/>
  <c r="DZ20" i="2"/>
  <c r="EA20" i="2"/>
  <c r="EB20" i="2"/>
  <c r="EC20" i="2"/>
  <c r="ED20" i="2"/>
  <c r="EE20" i="2"/>
  <c r="EF20" i="2"/>
  <c r="EG20" i="2"/>
  <c r="EH20" i="2"/>
  <c r="EI20" i="2"/>
  <c r="EJ20" i="2"/>
  <c r="EK20" i="2"/>
  <c r="EL20" i="2"/>
  <c r="HH71" i="2"/>
  <c r="K82" i="2"/>
  <c r="K83" i="2" s="1"/>
  <c r="C19" i="1"/>
  <c r="D19" i="1" s="1"/>
  <c r="F31" i="1"/>
  <c r="G134" i="2"/>
  <c r="HH140" i="2"/>
  <c r="HH139" i="2"/>
  <c r="K137" i="2"/>
  <c r="K133" i="2"/>
  <c r="K100" i="2"/>
  <c r="K177" i="2"/>
  <c r="R20" i="2"/>
  <c r="L4" i="2"/>
  <c r="M4" i="2" s="1"/>
  <c r="N4" i="2" s="1"/>
  <c r="O4" i="2" s="1"/>
  <c r="P4" i="2" s="1"/>
  <c r="Q4" i="2" s="1"/>
  <c r="R4" i="2" s="1"/>
  <c r="S4" i="2" s="1"/>
  <c r="T4" i="2" s="1"/>
  <c r="U4" i="2" s="1"/>
  <c r="V4" i="2" s="1"/>
  <c r="W4" i="2" s="1"/>
  <c r="X4" i="2" s="1"/>
  <c r="Y4" i="2" s="1"/>
  <c r="Z4" i="2" s="1"/>
  <c r="AA4" i="2" s="1"/>
  <c r="AB4" i="2" s="1"/>
  <c r="AC4" i="2" s="1"/>
  <c r="AD4" i="2" s="1"/>
  <c r="AE4" i="2" s="1"/>
  <c r="AF4" i="2" s="1"/>
  <c r="AG4" i="2" s="1"/>
  <c r="AH4" i="2" s="1"/>
  <c r="AI4" i="2" s="1"/>
  <c r="AJ4" i="2" s="1"/>
  <c r="AK4" i="2" s="1"/>
  <c r="AL4" i="2" s="1"/>
  <c r="AM4" i="2" s="1"/>
  <c r="AN4" i="2" s="1"/>
  <c r="AO4" i="2" s="1"/>
  <c r="AP4" i="2" s="1"/>
  <c r="AQ4" i="2" s="1"/>
  <c r="AR4" i="2" s="1"/>
  <c r="AS4" i="2" s="1"/>
  <c r="AT4" i="2" s="1"/>
  <c r="AU4" i="2" s="1"/>
  <c r="AV4" i="2" s="1"/>
  <c r="AW4" i="2" s="1"/>
  <c r="AX4" i="2" s="1"/>
  <c r="AY4" i="2" s="1"/>
  <c r="AZ4" i="2" s="1"/>
  <c r="BA4" i="2" s="1"/>
  <c r="BB4" i="2" s="1"/>
  <c r="BC4" i="2" s="1"/>
  <c r="BD4" i="2" s="1"/>
  <c r="BE4" i="2" s="1"/>
  <c r="BF4" i="2" s="1"/>
  <c r="BG4" i="2" s="1"/>
  <c r="BH4" i="2" s="1"/>
  <c r="BI4" i="2" s="1"/>
  <c r="BJ4" i="2" s="1"/>
  <c r="BK4" i="2" s="1"/>
  <c r="BL4" i="2" s="1"/>
  <c r="BM4" i="2" s="1"/>
  <c r="BN4" i="2" s="1"/>
  <c r="BO4" i="2" s="1"/>
  <c r="BP4" i="2" s="1"/>
  <c r="BQ4" i="2" s="1"/>
  <c r="BR4" i="2" s="1"/>
  <c r="BS4" i="2" s="1"/>
  <c r="BT4" i="2" s="1"/>
  <c r="BU4" i="2" s="1"/>
  <c r="BV4" i="2" s="1"/>
  <c r="BW4" i="2" s="1"/>
  <c r="BX4" i="2" s="1"/>
  <c r="BY4" i="2" s="1"/>
  <c r="CB4" i="2" s="1"/>
  <c r="CC4" i="2" s="1"/>
  <c r="CD4" i="2" s="1"/>
  <c r="CE4" i="2" s="1"/>
  <c r="CF4" i="2" s="1"/>
  <c r="CG4" i="2" s="1"/>
  <c r="CH4" i="2" s="1"/>
  <c r="CI4" i="2" s="1"/>
  <c r="CJ4" i="2" s="1"/>
  <c r="CK4" i="2" s="1"/>
  <c r="CL4" i="2" s="1"/>
  <c r="CM4" i="2" s="1"/>
  <c r="CN4" i="2" s="1"/>
  <c r="CO4" i="2" s="1"/>
  <c r="CP4" i="2" s="1"/>
  <c r="CQ4" i="2" s="1"/>
  <c r="CR4" i="2" s="1"/>
  <c r="CU4" i="2" s="1"/>
  <c r="CV4" i="2" s="1"/>
  <c r="CW4" i="2" s="1"/>
  <c r="CX4" i="2" s="1"/>
  <c r="CY4" i="2" s="1"/>
  <c r="CZ4" i="2" s="1"/>
  <c r="DA4" i="2" s="1"/>
  <c r="DB4" i="2" s="1"/>
  <c r="DC4" i="2" s="1"/>
  <c r="DD4" i="2" s="1"/>
  <c r="DE4" i="2" s="1"/>
  <c r="DF4" i="2" s="1"/>
  <c r="DG4" i="2" s="1"/>
  <c r="DH4" i="2" s="1"/>
  <c r="DI4" i="2" s="1"/>
  <c r="DJ4" i="2" s="1"/>
  <c r="DK4" i="2" s="1"/>
  <c r="DL4" i="2" s="1"/>
  <c r="DM4" i="2" s="1"/>
  <c r="DN4" i="2" s="1"/>
  <c r="DO4" i="2" s="1"/>
  <c r="DP4" i="2" s="1"/>
  <c r="DQ4" i="2" s="1"/>
  <c r="DR4" i="2" s="1"/>
  <c r="DS4" i="2" s="1"/>
  <c r="DT4" i="2" s="1"/>
  <c r="DU4" i="2" s="1"/>
  <c r="DV4" i="2" s="1"/>
  <c r="DW4" i="2" s="1"/>
  <c r="DX4" i="2" s="1"/>
  <c r="DY4" i="2" s="1"/>
  <c r="DZ4" i="2" s="1"/>
  <c r="EA4" i="2" s="1"/>
  <c r="EB4" i="2" s="1"/>
  <c r="EC4" i="2" s="1"/>
  <c r="ED4" i="2" s="1"/>
  <c r="EE4" i="2" s="1"/>
  <c r="EF4" i="2" s="1"/>
  <c r="EG4" i="2" s="1"/>
  <c r="EH4" i="2" s="1"/>
  <c r="EI4" i="2" s="1"/>
  <c r="EJ4" i="2" s="1"/>
  <c r="EK4" i="2" s="1"/>
  <c r="EL4" i="2" s="1"/>
  <c r="GS4" i="2" s="1"/>
  <c r="L2" i="2"/>
  <c r="M2" i="2" s="1"/>
  <c r="N2" i="2" s="1"/>
  <c r="O2" i="2" s="1"/>
  <c r="P2" i="2" s="1"/>
  <c r="Q2" i="2" s="1"/>
  <c r="R2" i="2" s="1"/>
  <c r="S2" i="2" s="1"/>
  <c r="T2" i="2" s="1"/>
  <c r="U2" i="2" s="1"/>
  <c r="V2" i="2" s="1"/>
  <c r="W2" i="2" s="1"/>
  <c r="X2" i="2" s="1"/>
  <c r="Y2" i="2" s="1"/>
  <c r="Z2" i="2" s="1"/>
  <c r="AA2" i="2" s="1"/>
  <c r="AB2" i="2" s="1"/>
  <c r="AC2" i="2" s="1"/>
  <c r="AD2" i="2" s="1"/>
  <c r="AE2" i="2" s="1"/>
  <c r="AF2" i="2" s="1"/>
  <c r="AG2" i="2" s="1"/>
  <c r="AH2" i="2" s="1"/>
  <c r="AI2" i="2" s="1"/>
  <c r="AJ2" i="2" s="1"/>
  <c r="AK2" i="2" s="1"/>
  <c r="AL2" i="2" s="1"/>
  <c r="AM2" i="2" s="1"/>
  <c r="AN2" i="2" s="1"/>
  <c r="AO2" i="2" s="1"/>
  <c r="AP2" i="2" s="1"/>
  <c r="AQ2" i="2" s="1"/>
  <c r="AR2" i="2" s="1"/>
  <c r="AS2" i="2" s="1"/>
  <c r="AT2" i="2" s="1"/>
  <c r="AU2" i="2" s="1"/>
  <c r="AV2" i="2" s="1"/>
  <c r="AW2" i="2" s="1"/>
  <c r="AX2" i="2" s="1"/>
  <c r="AY2" i="2" s="1"/>
  <c r="AZ2" i="2" s="1"/>
  <c r="BA2" i="2" s="1"/>
  <c r="BB2" i="2" s="1"/>
  <c r="BC2" i="2" s="1"/>
  <c r="BD2" i="2" s="1"/>
  <c r="BE2" i="2" s="1"/>
  <c r="BF2" i="2" s="1"/>
  <c r="BG2" i="2" s="1"/>
  <c r="BH2" i="2" s="1"/>
  <c r="BI2" i="2" s="1"/>
  <c r="BJ2" i="2" s="1"/>
  <c r="BK2" i="2" s="1"/>
  <c r="BL2" i="2" s="1"/>
  <c r="BM2" i="2" s="1"/>
  <c r="BN2" i="2" s="1"/>
  <c r="BO2" i="2" s="1"/>
  <c r="BP2" i="2" s="1"/>
  <c r="BQ2" i="2" s="1"/>
  <c r="BR2" i="2" s="1"/>
  <c r="BS2" i="2" s="1"/>
  <c r="BT2" i="2" s="1"/>
  <c r="BU2" i="2" s="1"/>
  <c r="BV2" i="2" s="1"/>
  <c r="BW2" i="2" s="1"/>
  <c r="BX2" i="2" s="1"/>
  <c r="BY2" i="2" s="1"/>
  <c r="CB2" i="2" s="1"/>
  <c r="CC2" i="2" s="1"/>
  <c r="CD2" i="2" s="1"/>
  <c r="CE2" i="2" s="1"/>
  <c r="CF2" i="2" s="1"/>
  <c r="CG2" i="2" s="1"/>
  <c r="CH2" i="2" s="1"/>
  <c r="CI2" i="2" s="1"/>
  <c r="CJ2" i="2" s="1"/>
  <c r="CK2" i="2" s="1"/>
  <c r="CL2" i="2" s="1"/>
  <c r="CM2" i="2" s="1"/>
  <c r="CN2" i="2" s="1"/>
  <c r="CO2" i="2" s="1"/>
  <c r="CP2" i="2" s="1"/>
  <c r="CQ2" i="2" s="1"/>
  <c r="CR2" i="2" s="1"/>
  <c r="CU2" i="2" s="1"/>
  <c r="CV2" i="2" s="1"/>
  <c r="CW2" i="2" s="1"/>
  <c r="CX2" i="2" s="1"/>
  <c r="CY2" i="2" s="1"/>
  <c r="CZ2" i="2" s="1"/>
  <c r="DA2" i="2" s="1"/>
  <c r="DB2" i="2" s="1"/>
  <c r="DC2" i="2" s="1"/>
  <c r="DD2" i="2" s="1"/>
  <c r="DE2" i="2" s="1"/>
  <c r="DF2" i="2" s="1"/>
  <c r="DG2" i="2" s="1"/>
  <c r="DH2" i="2" s="1"/>
  <c r="DI2" i="2" s="1"/>
  <c r="DJ2" i="2" s="1"/>
  <c r="DK2" i="2" s="1"/>
  <c r="DL2" i="2" s="1"/>
  <c r="DM2" i="2" s="1"/>
  <c r="DN2" i="2" s="1"/>
  <c r="DO2" i="2" s="1"/>
  <c r="DP2" i="2" s="1"/>
  <c r="DQ2" i="2" s="1"/>
  <c r="DR2" i="2" s="1"/>
  <c r="DS2" i="2" s="1"/>
  <c r="DT2" i="2" s="1"/>
  <c r="DU2" i="2" s="1"/>
  <c r="DV2" i="2" s="1"/>
  <c r="DW2" i="2" s="1"/>
  <c r="DX2" i="2" s="1"/>
  <c r="DY2" i="2" s="1"/>
  <c r="DZ2" i="2" s="1"/>
  <c r="EA2" i="2" s="1"/>
  <c r="EB2" i="2" s="1"/>
  <c r="EC2" i="2" s="1"/>
  <c r="ED2" i="2" s="1"/>
  <c r="EE2" i="2" s="1"/>
  <c r="EF2" i="2" s="1"/>
  <c r="EG2" i="2" s="1"/>
  <c r="EH2" i="2" s="1"/>
  <c r="EI2" i="2" s="1"/>
  <c r="EJ2" i="2" s="1"/>
  <c r="EK2" i="2" s="1"/>
  <c r="EL2" i="2" s="1"/>
  <c r="GS2" i="2" s="1"/>
  <c r="L5" i="2"/>
  <c r="M5" i="2" s="1"/>
  <c r="N5" i="2" s="1"/>
  <c r="O5" i="2" s="1"/>
  <c r="P5" i="2" s="1"/>
  <c r="Q5" i="2" s="1"/>
  <c r="R5" i="2" s="1"/>
  <c r="S5" i="2" s="1"/>
  <c r="T5" i="2" s="1"/>
  <c r="U5" i="2" s="1"/>
  <c r="V5" i="2" s="1"/>
  <c r="W5" i="2" s="1"/>
  <c r="X5" i="2" s="1"/>
  <c r="Y5" i="2" s="1"/>
  <c r="Z5" i="2" s="1"/>
  <c r="AA5" i="2" s="1"/>
  <c r="AB5" i="2" s="1"/>
  <c r="AC5" i="2" s="1"/>
  <c r="AD5" i="2" s="1"/>
  <c r="AE5" i="2" s="1"/>
  <c r="AF5" i="2" s="1"/>
  <c r="AG5" i="2" s="1"/>
  <c r="AH5" i="2" s="1"/>
  <c r="AI5" i="2" s="1"/>
  <c r="AJ5" i="2" s="1"/>
  <c r="AK5" i="2" s="1"/>
  <c r="AL5" i="2" s="1"/>
  <c r="AM5" i="2" s="1"/>
  <c r="AN5" i="2" s="1"/>
  <c r="AO5" i="2" s="1"/>
  <c r="AP5" i="2" s="1"/>
  <c r="AQ5" i="2" s="1"/>
  <c r="AR5" i="2" s="1"/>
  <c r="AS5" i="2" s="1"/>
  <c r="AT5" i="2" s="1"/>
  <c r="AU5" i="2" s="1"/>
  <c r="AV5" i="2" s="1"/>
  <c r="AW5" i="2" s="1"/>
  <c r="AX5" i="2" s="1"/>
  <c r="AY5" i="2" s="1"/>
  <c r="AZ5" i="2" s="1"/>
  <c r="BA5" i="2" s="1"/>
  <c r="BB5" i="2" s="1"/>
  <c r="BC5" i="2" s="1"/>
  <c r="BD5" i="2" s="1"/>
  <c r="BE5" i="2" s="1"/>
  <c r="BF5" i="2" s="1"/>
  <c r="BG5" i="2" s="1"/>
  <c r="BH5" i="2" s="1"/>
  <c r="BI5" i="2" s="1"/>
  <c r="BJ5" i="2" s="1"/>
  <c r="BK5" i="2" s="1"/>
  <c r="BL5" i="2" s="1"/>
  <c r="BM5" i="2" s="1"/>
  <c r="BN5" i="2" s="1"/>
  <c r="BO5" i="2" s="1"/>
  <c r="BP5" i="2" s="1"/>
  <c r="BQ5" i="2" s="1"/>
  <c r="BR5" i="2" s="1"/>
  <c r="BS5" i="2" s="1"/>
  <c r="BT5" i="2" s="1"/>
  <c r="BU5" i="2" s="1"/>
  <c r="BV5" i="2" s="1"/>
  <c r="BW5" i="2" s="1"/>
  <c r="BX5" i="2" s="1"/>
  <c r="BY5" i="2" s="1"/>
  <c r="CB5" i="2" s="1"/>
  <c r="CC5" i="2" s="1"/>
  <c r="CD5" i="2" s="1"/>
  <c r="CE5" i="2" s="1"/>
  <c r="CF5" i="2" s="1"/>
  <c r="CG5" i="2" s="1"/>
  <c r="CH5" i="2" s="1"/>
  <c r="CI5" i="2" s="1"/>
  <c r="CJ5" i="2" s="1"/>
  <c r="CK5" i="2" s="1"/>
  <c r="CL5" i="2" s="1"/>
  <c r="CM5" i="2" s="1"/>
  <c r="CN5" i="2" s="1"/>
  <c r="CO5" i="2" s="1"/>
  <c r="CP5" i="2" s="1"/>
  <c r="CQ5" i="2" s="1"/>
  <c r="CR5" i="2" s="1"/>
  <c r="CU5" i="2" s="1"/>
  <c r="CV5" i="2" s="1"/>
  <c r="CW5" i="2" s="1"/>
  <c r="CX5" i="2" s="1"/>
  <c r="CY5" i="2" s="1"/>
  <c r="CZ5" i="2" s="1"/>
  <c r="DA5" i="2" s="1"/>
  <c r="DB5" i="2" s="1"/>
  <c r="DC5" i="2" s="1"/>
  <c r="DD5" i="2" s="1"/>
  <c r="DE5" i="2" s="1"/>
  <c r="DF5" i="2" s="1"/>
  <c r="DG5" i="2" s="1"/>
  <c r="DH5" i="2" s="1"/>
  <c r="DI5" i="2" s="1"/>
  <c r="DJ5" i="2" s="1"/>
  <c r="DK5" i="2" s="1"/>
  <c r="DL5" i="2" s="1"/>
  <c r="DM5" i="2" s="1"/>
  <c r="DN5" i="2" s="1"/>
  <c r="DO5" i="2" s="1"/>
  <c r="DP5" i="2" s="1"/>
  <c r="DQ5" i="2" s="1"/>
  <c r="DR5" i="2" s="1"/>
  <c r="DS5" i="2" s="1"/>
  <c r="DT5" i="2" s="1"/>
  <c r="DU5" i="2" s="1"/>
  <c r="DV5" i="2" s="1"/>
  <c r="DW5" i="2" s="1"/>
  <c r="DX5" i="2" s="1"/>
  <c r="DY5" i="2" s="1"/>
  <c r="DZ5" i="2" s="1"/>
  <c r="EA5" i="2" s="1"/>
  <c r="EB5" i="2" s="1"/>
  <c r="EC5" i="2" s="1"/>
  <c r="ED5" i="2" s="1"/>
  <c r="EE5" i="2" s="1"/>
  <c r="EF5" i="2" s="1"/>
  <c r="EG5" i="2" s="1"/>
  <c r="EH5" i="2" s="1"/>
  <c r="EI5" i="2" s="1"/>
  <c r="EJ5" i="2" s="1"/>
  <c r="EK5" i="2" s="1"/>
  <c r="EL5" i="2" s="1"/>
  <c r="GS5" i="2" s="1"/>
  <c r="B28" i="7"/>
  <c r="G19" i="7"/>
  <c r="I19" i="7" s="1"/>
  <c r="E110" i="2"/>
  <c r="F110" i="2"/>
  <c r="H41" i="1"/>
  <c r="H60" i="1" s="1"/>
  <c r="B2" i="5"/>
  <c r="B37" i="7"/>
  <c r="HH39" i="2"/>
  <c r="HH57" i="2"/>
  <c r="HH58" i="2"/>
  <c r="F65" i="1"/>
  <c r="L3" i="2"/>
  <c r="M3" i="2" s="1"/>
  <c r="N3" i="2" s="1"/>
  <c r="O3" i="2" s="1"/>
  <c r="P3" i="2" s="1"/>
  <c r="Q3" i="2" s="1"/>
  <c r="R3" i="2" s="1"/>
  <c r="S3" i="2" s="1"/>
  <c r="T3" i="2" s="1"/>
  <c r="U3" i="2" s="1"/>
  <c r="V3" i="2" s="1"/>
  <c r="W3" i="2" s="1"/>
  <c r="X3" i="2" s="1"/>
  <c r="Y3" i="2" s="1"/>
  <c r="Z3" i="2" s="1"/>
  <c r="AA3" i="2" s="1"/>
  <c r="AB3" i="2" s="1"/>
  <c r="AC3" i="2" s="1"/>
  <c r="AD3" i="2" s="1"/>
  <c r="AE3" i="2" s="1"/>
  <c r="AF3" i="2" s="1"/>
  <c r="AG3" i="2" s="1"/>
  <c r="AH3" i="2" s="1"/>
  <c r="AI3" i="2" s="1"/>
  <c r="AJ3" i="2" s="1"/>
  <c r="AK3" i="2" s="1"/>
  <c r="AL3" i="2" s="1"/>
  <c r="AM3" i="2" s="1"/>
  <c r="AN3" i="2" s="1"/>
  <c r="AO3" i="2" s="1"/>
  <c r="AP3" i="2" s="1"/>
  <c r="AQ3" i="2" s="1"/>
  <c r="AR3" i="2" s="1"/>
  <c r="AS3" i="2" s="1"/>
  <c r="AT3" i="2" s="1"/>
  <c r="AU3" i="2" s="1"/>
  <c r="AV3" i="2" s="1"/>
  <c r="AW3" i="2" s="1"/>
  <c r="AX3" i="2" s="1"/>
  <c r="AY3" i="2" s="1"/>
  <c r="AZ3" i="2" s="1"/>
  <c r="BA3" i="2" s="1"/>
  <c r="BB3" i="2" s="1"/>
  <c r="BC3" i="2" s="1"/>
  <c r="BD3" i="2" s="1"/>
  <c r="BE3" i="2" s="1"/>
  <c r="BF3" i="2" s="1"/>
  <c r="BG3" i="2" s="1"/>
  <c r="BH3" i="2" s="1"/>
  <c r="BI3" i="2" s="1"/>
  <c r="BJ3" i="2" s="1"/>
  <c r="BK3" i="2" s="1"/>
  <c r="BL3" i="2" s="1"/>
  <c r="BM3" i="2" s="1"/>
  <c r="BN3" i="2" s="1"/>
  <c r="BO3" i="2" s="1"/>
  <c r="BP3" i="2" s="1"/>
  <c r="BQ3" i="2" s="1"/>
  <c r="BR3" i="2" s="1"/>
  <c r="BS3" i="2" s="1"/>
  <c r="BT3" i="2" s="1"/>
  <c r="BU3" i="2" s="1"/>
  <c r="BV3" i="2" s="1"/>
  <c r="BW3" i="2" s="1"/>
  <c r="BX3" i="2" s="1"/>
  <c r="BY3" i="2" s="1"/>
  <c r="CB3" i="2" s="1"/>
  <c r="CC3" i="2" s="1"/>
  <c r="CD3" i="2" s="1"/>
  <c r="CE3" i="2" s="1"/>
  <c r="CF3" i="2" s="1"/>
  <c r="CG3" i="2" s="1"/>
  <c r="CH3" i="2" s="1"/>
  <c r="CI3" i="2" s="1"/>
  <c r="CJ3" i="2" s="1"/>
  <c r="CK3" i="2" s="1"/>
  <c r="CL3" i="2" s="1"/>
  <c r="CM3" i="2" s="1"/>
  <c r="CN3" i="2" s="1"/>
  <c r="CO3" i="2" s="1"/>
  <c r="CP3" i="2" s="1"/>
  <c r="CQ3" i="2" s="1"/>
  <c r="CR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EJ3" i="2" s="1"/>
  <c r="EK3" i="2" s="1"/>
  <c r="EL3" i="2" s="1"/>
  <c r="GS3" i="2" s="1"/>
  <c r="H56" i="1"/>
  <c r="H54" i="1"/>
  <c r="B21" i="7" s="1"/>
  <c r="H53" i="1"/>
  <c r="B19" i="7" s="1"/>
  <c r="H43" i="1"/>
  <c r="H62" i="1" s="1"/>
  <c r="B27" i="7" s="1"/>
  <c r="H39" i="1"/>
  <c r="H58" i="1" s="1"/>
  <c r="B24" i="7" s="1"/>
  <c r="H40" i="1"/>
  <c r="H59" i="1" s="1"/>
  <c r="B25" i="7" s="1"/>
  <c r="H42" i="1"/>
  <c r="H61" i="1" s="1"/>
  <c r="B26" i="7" s="1"/>
  <c r="H38" i="1"/>
  <c r="H57" i="1" s="1"/>
  <c r="B29" i="2"/>
  <c r="HH29" i="2" s="1"/>
  <c r="B30" i="2"/>
  <c r="HH30" i="2" s="1"/>
  <c r="B26" i="2"/>
  <c r="HH26" i="2" s="1"/>
  <c r="H12" i="1"/>
  <c r="H8" i="1"/>
  <c r="F165" i="2"/>
  <c r="K160" i="2"/>
  <c r="G120" i="2"/>
  <c r="G17" i="5"/>
  <c r="F49" i="5" s="1"/>
  <c r="F20" i="5"/>
  <c r="F70" i="5" s="1"/>
  <c r="F19" i="5"/>
  <c r="F56" i="5" s="1"/>
  <c r="F16" i="5"/>
  <c r="F35" i="5" s="1"/>
  <c r="F14" i="5"/>
  <c r="G14" i="5" s="1"/>
  <c r="E22" i="5"/>
  <c r="F98" i="5" s="1"/>
  <c r="E21" i="5"/>
  <c r="F80" i="5" s="1"/>
  <c r="E19" i="5"/>
  <c r="F53" i="5" s="1"/>
  <c r="E17" i="5"/>
  <c r="F43" i="5" s="1"/>
  <c r="E16" i="5"/>
  <c r="F34" i="5" s="1"/>
  <c r="M9" i="9"/>
  <c r="T4" i="9"/>
  <c r="T3" i="9"/>
  <c r="S2" i="9"/>
  <c r="O2" i="9"/>
  <c r="E2" i="9"/>
  <c r="HH120" i="2"/>
  <c r="HH121" i="2"/>
  <c r="HH122" i="2"/>
  <c r="HH123" i="2"/>
  <c r="HH129" i="2"/>
  <c r="C9" i="9"/>
  <c r="C10" i="9" s="1"/>
  <c r="C11" i="9" s="1"/>
  <c r="C12" i="9" s="1"/>
  <c r="C13" i="9" s="1"/>
  <c r="C14" i="9" s="1"/>
  <c r="C15" i="9" s="1"/>
  <c r="C16" i="9" s="1"/>
  <c r="C17" i="9" s="1"/>
  <c r="C18" i="9" s="1"/>
  <c r="C19" i="9" s="1"/>
  <c r="C20" i="9" s="1"/>
  <c r="C21" i="9" s="1"/>
  <c r="C22" i="9" s="1"/>
  <c r="C23" i="9" s="1"/>
  <c r="C24" i="9" s="1"/>
  <c r="C25" i="9" s="1"/>
  <c r="C26" i="9" s="1"/>
  <c r="C27" i="9" s="1"/>
  <c r="C28" i="9" s="1"/>
  <c r="C29" i="9" s="1"/>
  <c r="C30" i="9" s="1"/>
  <c r="C31" i="9" s="1"/>
  <c r="C32" i="9" s="1"/>
  <c r="C33" i="9" s="1"/>
  <c r="C34" i="9" s="1"/>
  <c r="C35" i="9" s="1"/>
  <c r="C36" i="9" s="1"/>
  <c r="C37" i="9" s="1"/>
  <c r="C38" i="9" s="1"/>
  <c r="C39" i="9" s="1"/>
  <c r="C40" i="9" s="1"/>
  <c r="C41" i="9" s="1"/>
  <c r="C42" i="9" s="1"/>
  <c r="C43" i="9" s="1"/>
  <c r="C44" i="9" s="1"/>
  <c r="C45" i="9" s="1"/>
  <c r="C46" i="9" s="1"/>
  <c r="C47" i="9" s="1"/>
  <c r="C48" i="9" s="1"/>
  <c r="C49" i="9" s="1"/>
  <c r="C50" i="9" s="1"/>
  <c r="C51" i="9" s="1"/>
  <c r="C52" i="9" s="1"/>
  <c r="C53" i="9" s="1"/>
  <c r="C54" i="9" s="1"/>
  <c r="C55" i="9" s="1"/>
  <c r="C56" i="9" s="1"/>
  <c r="C57" i="9" s="1"/>
  <c r="C58" i="9" s="1"/>
  <c r="C59" i="9" s="1"/>
  <c r="C60" i="9" s="1"/>
  <c r="C61" i="9" s="1"/>
  <c r="C62" i="9" s="1"/>
  <c r="C63" i="9" s="1"/>
  <c r="C64" i="9" s="1"/>
  <c r="C65" i="9" s="1"/>
  <c r="C66" i="9" s="1"/>
  <c r="C67" i="9" s="1"/>
  <c r="C68" i="9" s="1"/>
  <c r="C69" i="9" s="1"/>
  <c r="C70" i="9" s="1"/>
  <c r="C71" i="9" s="1"/>
  <c r="C72" i="9" s="1"/>
  <c r="C73" i="9" s="1"/>
  <c r="C74" i="9" s="1"/>
  <c r="C75" i="9" s="1"/>
  <c r="C76" i="9" s="1"/>
  <c r="C77" i="9" s="1"/>
  <c r="C78" i="9" s="1"/>
  <c r="C79" i="9" s="1"/>
  <c r="C80" i="9" s="1"/>
  <c r="C81" i="9" s="1"/>
  <c r="C82" i="9" s="1"/>
  <c r="C83" i="9" s="1"/>
  <c r="C84" i="9" s="1"/>
  <c r="C85" i="9" s="1"/>
  <c r="C86" i="9" s="1"/>
  <c r="C87" i="9" s="1"/>
  <c r="C88" i="9" s="1"/>
  <c r="C89" i="9" s="1"/>
  <c r="C90" i="9" s="1"/>
  <c r="C91" i="9" s="1"/>
  <c r="C92" i="9" s="1"/>
  <c r="C93" i="9" s="1"/>
  <c r="J4" i="9"/>
  <c r="J3" i="9"/>
  <c r="I2" i="9"/>
  <c r="F134" i="2"/>
  <c r="B3" i="7"/>
  <c r="B3" i="4"/>
  <c r="J5" i="5"/>
  <c r="J6" i="5" s="1"/>
  <c r="K5" i="5"/>
  <c r="K6" i="5" s="1"/>
  <c r="Q11" i="1"/>
  <c r="I44" i="5"/>
  <c r="I54" i="5"/>
  <c r="I66" i="5"/>
  <c r="I81" i="5" s="1"/>
  <c r="I99" i="5" s="1"/>
  <c r="I55" i="5"/>
  <c r="I67" i="5"/>
  <c r="I82" i="5" s="1"/>
  <c r="I100" i="5" s="1"/>
  <c r="I68" i="5"/>
  <c r="I83" i="5"/>
  <c r="I101" i="5" s="1"/>
  <c r="I65" i="5"/>
  <c r="R17" i="1"/>
  <c r="G23" i="5" s="1"/>
  <c r="R16" i="1"/>
  <c r="G11" i="5"/>
  <c r="F122" i="5" s="1"/>
  <c r="I128" i="5" s="1"/>
  <c r="R15" i="1"/>
  <c r="R14" i="1"/>
  <c r="R13" i="1"/>
  <c r="R10" i="1"/>
  <c r="R9" i="1"/>
  <c r="C92" i="5"/>
  <c r="C111" i="5"/>
  <c r="C117" i="5" s="1"/>
  <c r="C90" i="5"/>
  <c r="C109" i="5"/>
  <c r="I102" i="5"/>
  <c r="I86" i="5"/>
  <c r="I105" i="5"/>
  <c r="C89" i="5"/>
  <c r="C108" i="5"/>
  <c r="C47" i="5"/>
  <c r="C59" i="5" s="1"/>
  <c r="C71" i="5" s="1"/>
  <c r="C87" i="5" s="1"/>
  <c r="C106" i="5" s="1"/>
  <c r="C86" i="5"/>
  <c r="C105" i="5"/>
  <c r="C46" i="5"/>
  <c r="C57" i="5" s="1"/>
  <c r="C69" i="5" s="1"/>
  <c r="C85" i="5" s="1"/>
  <c r="C104" i="5" s="1"/>
  <c r="C102" i="5"/>
  <c r="C68" i="5"/>
  <c r="C83" i="5"/>
  <c r="C101" i="5"/>
  <c r="C55" i="5"/>
  <c r="C67" i="5" s="1"/>
  <c r="C82" i="5" s="1"/>
  <c r="C100" i="5" s="1"/>
  <c r="C44" i="5"/>
  <c r="C54" i="5"/>
  <c r="C66" i="5"/>
  <c r="C81" i="5"/>
  <c r="C99" i="5" s="1"/>
  <c r="C43" i="5"/>
  <c r="C53" i="5"/>
  <c r="C65" i="5"/>
  <c r="C80" i="5" s="1"/>
  <c r="C98" i="5" s="1"/>
  <c r="C42" i="5"/>
  <c r="C52" i="5"/>
  <c r="C64" i="5" s="1"/>
  <c r="C79" i="5" s="1"/>
  <c r="C97" i="5" s="1"/>
  <c r="I58" i="5"/>
  <c r="I39" i="5"/>
  <c r="I7" i="5"/>
  <c r="I6" i="5"/>
  <c r="B4" i="4"/>
  <c r="L7" i="1"/>
  <c r="E141" i="2"/>
  <c r="EL156" i="2"/>
  <c r="EK156" i="2"/>
  <c r="EJ156" i="2"/>
  <c r="EI156" i="2"/>
  <c r="EH156" i="2"/>
  <c r="EG156" i="2"/>
  <c r="EF156" i="2"/>
  <c r="EE156" i="2"/>
  <c r="ED156" i="2"/>
  <c r="EC156" i="2"/>
  <c r="EB156" i="2"/>
  <c r="EA156" i="2"/>
  <c r="DZ156" i="2"/>
  <c r="DY156" i="2"/>
  <c r="DX156" i="2"/>
  <c r="DW156" i="2"/>
  <c r="DV156" i="2"/>
  <c r="DU156" i="2"/>
  <c r="DT156" i="2"/>
  <c r="DS156" i="2"/>
  <c r="DR156" i="2"/>
  <c r="DQ156" i="2"/>
  <c r="DP156" i="2"/>
  <c r="DO156" i="2"/>
  <c r="DN156" i="2"/>
  <c r="DM156" i="2"/>
  <c r="DL156" i="2"/>
  <c r="DK156" i="2"/>
  <c r="DJ156" i="2"/>
  <c r="DI156" i="2"/>
  <c r="DH156" i="2"/>
  <c r="DG156" i="2"/>
  <c r="DF156" i="2"/>
  <c r="DE156" i="2"/>
  <c r="DD156" i="2"/>
  <c r="DC156" i="2"/>
  <c r="DB156" i="2"/>
  <c r="DA156" i="2"/>
  <c r="CZ156" i="2"/>
  <c r="CY156" i="2"/>
  <c r="CX156" i="2"/>
  <c r="CW156" i="2"/>
  <c r="CV156" i="2"/>
  <c r="CU156" i="2"/>
  <c r="CT156" i="2"/>
  <c r="CS156" i="2"/>
  <c r="CR156" i="2"/>
  <c r="CQ156" i="2"/>
  <c r="CP156" i="2"/>
  <c r="CO156" i="2"/>
  <c r="CN156" i="2"/>
  <c r="CM156" i="2"/>
  <c r="CL156" i="2"/>
  <c r="CK156" i="2"/>
  <c r="CJ156" i="2"/>
  <c r="CI156" i="2"/>
  <c r="CH156" i="2"/>
  <c r="CG156" i="2"/>
  <c r="CF156" i="2"/>
  <c r="CE156" i="2"/>
  <c r="CD156" i="2"/>
  <c r="CC156" i="2"/>
  <c r="CB156" i="2"/>
  <c r="CA156" i="2"/>
  <c r="BZ156" i="2"/>
  <c r="BY156" i="2"/>
  <c r="BX156" i="2"/>
  <c r="BW156" i="2"/>
  <c r="BV156" i="2"/>
  <c r="BU156" i="2"/>
  <c r="BT156" i="2"/>
  <c r="B18" i="2"/>
  <c r="HH18" i="2" s="1"/>
  <c r="G160" i="2"/>
  <c r="EL133" i="2"/>
  <c r="EK133" i="2"/>
  <c r="EJ133" i="2"/>
  <c r="EI133" i="2"/>
  <c r="EH133" i="2"/>
  <c r="EG133" i="2"/>
  <c r="EF133" i="2"/>
  <c r="EE133" i="2"/>
  <c r="ED133" i="2"/>
  <c r="EC133" i="2"/>
  <c r="EB133" i="2"/>
  <c r="EA133" i="2"/>
  <c r="DZ133" i="2"/>
  <c r="DY133" i="2"/>
  <c r="DX133" i="2"/>
  <c r="DW133" i="2"/>
  <c r="DV133" i="2"/>
  <c r="DU133" i="2"/>
  <c r="DT133" i="2"/>
  <c r="DS133" i="2"/>
  <c r="DR133" i="2"/>
  <c r="DQ133" i="2"/>
  <c r="DP133" i="2"/>
  <c r="DO133" i="2"/>
  <c r="DN133" i="2"/>
  <c r="DM133" i="2"/>
  <c r="DL133" i="2"/>
  <c r="DK133" i="2"/>
  <c r="DJ133" i="2"/>
  <c r="DI133" i="2"/>
  <c r="DH133" i="2"/>
  <c r="DG133" i="2"/>
  <c r="DF133" i="2"/>
  <c r="DE133" i="2"/>
  <c r="DD133" i="2"/>
  <c r="DC133" i="2"/>
  <c r="DB133" i="2"/>
  <c r="DA133" i="2"/>
  <c r="CZ133" i="2"/>
  <c r="CY133" i="2"/>
  <c r="CX133" i="2"/>
  <c r="CW133" i="2"/>
  <c r="CV133" i="2"/>
  <c r="CU133" i="2"/>
  <c r="CT133" i="2"/>
  <c r="CS133" i="2"/>
  <c r="CR133" i="2"/>
  <c r="CQ133" i="2"/>
  <c r="CP133" i="2"/>
  <c r="CO133" i="2"/>
  <c r="CN133" i="2"/>
  <c r="CM133" i="2"/>
  <c r="CL133" i="2"/>
  <c r="CK133" i="2"/>
  <c r="CJ133" i="2"/>
  <c r="CI133" i="2"/>
  <c r="CH133" i="2"/>
  <c r="CG133" i="2"/>
  <c r="CF133" i="2"/>
  <c r="CE133" i="2"/>
  <c r="CD133" i="2"/>
  <c r="CC133" i="2"/>
  <c r="CB133" i="2"/>
  <c r="CA133" i="2"/>
  <c r="BZ133" i="2"/>
  <c r="BY133" i="2"/>
  <c r="BX133" i="2"/>
  <c r="BW133" i="2"/>
  <c r="BV133" i="2"/>
  <c r="BU133" i="2"/>
  <c r="BT133" i="2"/>
  <c r="BS133" i="2"/>
  <c r="BR133" i="2"/>
  <c r="BQ133" i="2"/>
  <c r="BP133" i="2"/>
  <c r="BO133" i="2"/>
  <c r="BN133" i="2"/>
  <c r="BM133" i="2"/>
  <c r="BL133" i="2"/>
  <c r="BK133" i="2"/>
  <c r="BJ133" i="2"/>
  <c r="BI133" i="2"/>
  <c r="BH133" i="2"/>
  <c r="BG133" i="2"/>
  <c r="BF133" i="2"/>
  <c r="BE133" i="2"/>
  <c r="BD133" i="2"/>
  <c r="BC133" i="2"/>
  <c r="BB133" i="2"/>
  <c r="BA133" i="2"/>
  <c r="AZ133" i="2"/>
  <c r="AY133" i="2"/>
  <c r="AX133" i="2"/>
  <c r="AW133" i="2"/>
  <c r="AV133" i="2"/>
  <c r="AU133" i="2"/>
  <c r="AT133" i="2"/>
  <c r="AS133" i="2"/>
  <c r="AR133" i="2"/>
  <c r="AQ133" i="2"/>
  <c r="AP133" i="2"/>
  <c r="AO133" i="2"/>
  <c r="AN133" i="2"/>
  <c r="AM133" i="2"/>
  <c r="AL133" i="2"/>
  <c r="AK133" i="2"/>
  <c r="AJ133" i="2"/>
  <c r="AI133" i="2"/>
  <c r="AH133" i="2"/>
  <c r="AG133" i="2"/>
  <c r="AF133" i="2"/>
  <c r="AE133" i="2"/>
  <c r="AD133" i="2"/>
  <c r="AC133" i="2"/>
  <c r="AB133" i="2"/>
  <c r="AA133" i="2"/>
  <c r="Z133" i="2"/>
  <c r="Y133" i="2"/>
  <c r="X133" i="2"/>
  <c r="W133" i="2"/>
  <c r="V133" i="2"/>
  <c r="U133" i="2"/>
  <c r="T133" i="2"/>
  <c r="S133" i="2"/>
  <c r="R133" i="2"/>
  <c r="Q133" i="2"/>
  <c r="P133" i="2"/>
  <c r="O133" i="2"/>
  <c r="N133" i="2"/>
  <c r="M133" i="2"/>
  <c r="K121" i="2"/>
  <c r="B10" i="2"/>
  <c r="HH200" i="2"/>
  <c r="HH199" i="2"/>
  <c r="HH198" i="2"/>
  <c r="HH197" i="2"/>
  <c r="HH196" i="2"/>
  <c r="B186" i="2"/>
  <c r="HH186" i="2" s="1"/>
  <c r="B185" i="2"/>
  <c r="HH185" i="2" s="1"/>
  <c r="B184" i="2"/>
  <c r="HH184" i="2" s="1"/>
  <c r="B183" i="2"/>
  <c r="HH183" i="2" s="1"/>
  <c r="B182" i="2"/>
  <c r="HH182" i="2" s="1"/>
  <c r="HH181" i="2"/>
  <c r="B179" i="2"/>
  <c r="HH179" i="2" s="1"/>
  <c r="HH178" i="2"/>
  <c r="HH177" i="2"/>
  <c r="HH176" i="2"/>
  <c r="HH174" i="2"/>
  <c r="HH171" i="2"/>
  <c r="HH170" i="2"/>
  <c r="HH169" i="2"/>
  <c r="HH168" i="2"/>
  <c r="HH167" i="2"/>
  <c r="HH166" i="2"/>
  <c r="HH165" i="2"/>
  <c r="HH161" i="2"/>
  <c r="HH160" i="2"/>
  <c r="HH159" i="2"/>
  <c r="HN137" i="2"/>
  <c r="HH152" i="2"/>
  <c r="HH151" i="2"/>
  <c r="HH150" i="2"/>
  <c r="HH149" i="2"/>
  <c r="HH148" i="2"/>
  <c r="HH147" i="2"/>
  <c r="HH146" i="2"/>
  <c r="HH142" i="2"/>
  <c r="HH141" i="2"/>
  <c r="HH138" i="2"/>
  <c r="HH137" i="2"/>
  <c r="HH136" i="2"/>
  <c r="HH118" i="2"/>
  <c r="HH116" i="2"/>
  <c r="HH115" i="2"/>
  <c r="HH113" i="2"/>
  <c r="HH112" i="2"/>
  <c r="HH111" i="2"/>
  <c r="HH110" i="2"/>
  <c r="HH109" i="2"/>
  <c r="HH107" i="2"/>
  <c r="HH106" i="2"/>
  <c r="HH105" i="2"/>
  <c r="HH103" i="2"/>
  <c r="HH102" i="2"/>
  <c r="HH100" i="2"/>
  <c r="HH98" i="2"/>
  <c r="HH96" i="2"/>
  <c r="HH95" i="2"/>
  <c r="HH94" i="2"/>
  <c r="HH93" i="2"/>
  <c r="HH92" i="2"/>
  <c r="HH90" i="2"/>
  <c r="HH89" i="2"/>
  <c r="HH88" i="2"/>
  <c r="HH87" i="2"/>
  <c r="HH85" i="2"/>
  <c r="HH82" i="2"/>
  <c r="HH81" i="2"/>
  <c r="HH80" i="2"/>
  <c r="HH79" i="2"/>
  <c r="HH76" i="2"/>
  <c r="HH74" i="2"/>
  <c r="HH69" i="2"/>
  <c r="HH68" i="2"/>
  <c r="HH62" i="2"/>
  <c r="HH61" i="2"/>
  <c r="HH60" i="2"/>
  <c r="HH54" i="2"/>
  <c r="HH53" i="2"/>
  <c r="HH51" i="2"/>
  <c r="HH46" i="2"/>
  <c r="HH45" i="2"/>
  <c r="HH44" i="2"/>
  <c r="HH41" i="2"/>
  <c r="HH37" i="2"/>
  <c r="HH36" i="2"/>
  <c r="HH34" i="2"/>
  <c r="HH32" i="2"/>
  <c r="HH20" i="2"/>
  <c r="HH17" i="2"/>
  <c r="HH16" i="2"/>
  <c r="F40" i="1"/>
  <c r="F72" i="1"/>
  <c r="R2" i="1"/>
  <c r="HH33" i="2"/>
  <c r="HH65" i="2"/>
  <c r="HH72" i="2"/>
  <c r="HH70" i="2"/>
  <c r="HH56" i="2"/>
  <c r="HH55" i="2"/>
  <c r="HH59" i="2"/>
  <c r="D8" i="7"/>
  <c r="J20" i="7" s="1"/>
  <c r="D22" i="1"/>
  <c r="D20" i="1"/>
  <c r="D25" i="1"/>
  <c r="D17" i="1"/>
  <c r="D21" i="1"/>
  <c r="D18" i="1"/>
  <c r="D16" i="1"/>
  <c r="G21" i="5" l="1"/>
  <c r="F21" i="5" s="1"/>
  <c r="F84" i="5" s="1"/>
  <c r="G22" i="5"/>
  <c r="HP14" i="2"/>
  <c r="BT157" i="2"/>
  <c r="D4" i="14"/>
  <c r="E4" i="14" s="1"/>
  <c r="GR134" i="2"/>
  <c r="FM134" i="2"/>
  <c r="FP134" i="2"/>
  <c r="FY134" i="2"/>
  <c r="FQ134" i="2"/>
  <c r="FU134" i="2"/>
  <c r="FX134" i="2"/>
  <c r="GC134" i="2"/>
  <c r="FW134" i="2"/>
  <c r="GA134" i="2"/>
  <c r="FV134" i="2"/>
  <c r="FO134" i="2"/>
  <c r="FS134" i="2"/>
  <c r="GB134" i="2"/>
  <c r="GP134" i="2"/>
  <c r="FK134" i="2"/>
  <c r="GT134" i="2"/>
  <c r="FN134" i="2"/>
  <c r="FZ134" i="2"/>
  <c r="FR134" i="2"/>
  <c r="FT134" i="2"/>
  <c r="FJ134" i="2"/>
  <c r="GQ134" i="2"/>
  <c r="FL134" i="2"/>
  <c r="FE134" i="2"/>
  <c r="FH134" i="2"/>
  <c r="FG134" i="2"/>
  <c r="FI134" i="2"/>
  <c r="FF134" i="2"/>
  <c r="EQ134" i="2"/>
  <c r="EY134" i="2"/>
  <c r="ER134" i="2"/>
  <c r="EZ134" i="2"/>
  <c r="ES134" i="2"/>
  <c r="FA134" i="2"/>
  <c r="ET134" i="2"/>
  <c r="FB134" i="2"/>
  <c r="EN134" i="2"/>
  <c r="EV134" i="2"/>
  <c r="FD134" i="2"/>
  <c r="EX134" i="2"/>
  <c r="FC134" i="2"/>
  <c r="EM134" i="2"/>
  <c r="EO134" i="2"/>
  <c r="EP134" i="2"/>
  <c r="EU134" i="2"/>
  <c r="EW134" i="2"/>
  <c r="K108" i="2"/>
  <c r="B22" i="7"/>
  <c r="B23" i="7"/>
  <c r="F12" i="1"/>
  <c r="J35" i="1"/>
  <c r="L35" i="1" s="1"/>
  <c r="G19" i="5"/>
  <c r="K44" i="2"/>
  <c r="K45" i="2" s="1"/>
  <c r="G16" i="5"/>
  <c r="L5" i="5"/>
  <c r="K7" i="5"/>
  <c r="J7" i="5"/>
  <c r="K176" i="2"/>
  <c r="K109" i="2"/>
  <c r="K185" i="2" s="1"/>
  <c r="K107" i="2"/>
  <c r="C94" i="9"/>
  <c r="M10" i="9"/>
  <c r="M11" i="9" s="1"/>
  <c r="M12" i="9" s="1"/>
  <c r="M13" i="9" s="1"/>
  <c r="M14" i="9" s="1"/>
  <c r="M15" i="9" s="1"/>
  <c r="M16" i="9" s="1"/>
  <c r="M17" i="9" s="1"/>
  <c r="M18" i="9" s="1"/>
  <c r="M19" i="9" s="1"/>
  <c r="M20" i="9" s="1"/>
  <c r="M21" i="9" s="1"/>
  <c r="M22" i="9" s="1"/>
  <c r="M23" i="9" s="1"/>
  <c r="M24" i="9" s="1"/>
  <c r="M25" i="9" s="1"/>
  <c r="M26" i="9" s="1"/>
  <c r="M27" i="9" s="1"/>
  <c r="M28" i="9" s="1"/>
  <c r="M29" i="9" s="1"/>
  <c r="M30" i="9" s="1"/>
  <c r="M31" i="9" s="1"/>
  <c r="M32" i="9" s="1"/>
  <c r="M33" i="9" s="1"/>
  <c r="M34" i="9" s="1"/>
  <c r="M35" i="9" s="1"/>
  <c r="M36" i="9" s="1"/>
  <c r="M37" i="9" s="1"/>
  <c r="M38" i="9" s="1"/>
  <c r="M39" i="9" s="1"/>
  <c r="M40" i="9" s="1"/>
  <c r="M41" i="9" s="1"/>
  <c r="M42" i="9" s="1"/>
  <c r="M43" i="9" s="1"/>
  <c r="M44" i="9" s="1"/>
  <c r="M45" i="9" s="1"/>
  <c r="M46" i="9" s="1"/>
  <c r="M47" i="9" s="1"/>
  <c r="M48" i="9" s="1"/>
  <c r="M49" i="9" s="1"/>
  <c r="M50" i="9" s="1"/>
  <c r="M51" i="9" s="1"/>
  <c r="M52" i="9" s="1"/>
  <c r="M53" i="9" s="1"/>
  <c r="M54" i="9" s="1"/>
  <c r="M55" i="9" s="1"/>
  <c r="M56" i="9" s="1"/>
  <c r="M57" i="9" s="1"/>
  <c r="M58" i="9" s="1"/>
  <c r="M59" i="9" s="1"/>
  <c r="M60" i="9" s="1"/>
  <c r="M61" i="9" s="1"/>
  <c r="M62" i="9" s="1"/>
  <c r="M63" i="9" s="1"/>
  <c r="M64" i="9" s="1"/>
  <c r="M65" i="9" s="1"/>
  <c r="M66" i="9" s="1"/>
  <c r="M67" i="9" s="1"/>
  <c r="M68" i="9" s="1"/>
  <c r="M69" i="9" s="1"/>
  <c r="M70" i="9" s="1"/>
  <c r="M71" i="9" s="1"/>
  <c r="M72" i="9" s="1"/>
  <c r="M73" i="9" s="1"/>
  <c r="M74" i="9" s="1"/>
  <c r="M75" i="9" s="1"/>
  <c r="M76" i="9" s="1"/>
  <c r="M77" i="9" s="1"/>
  <c r="M78" i="9" s="1"/>
  <c r="M79" i="9" s="1"/>
  <c r="M80" i="9" s="1"/>
  <c r="M81" i="9" s="1"/>
  <c r="M82" i="9" s="1"/>
  <c r="M83" i="9" s="1"/>
  <c r="M84" i="9" s="1"/>
  <c r="M85" i="9" s="1"/>
  <c r="M86" i="9" s="1"/>
  <c r="M87" i="9" s="1"/>
  <c r="M88" i="9" s="1"/>
  <c r="M89" i="9" s="1"/>
  <c r="M90" i="9" s="1"/>
  <c r="M91" i="9" s="1"/>
  <c r="M92" i="9" s="1"/>
  <c r="M93" i="9" s="1"/>
  <c r="M94" i="9" s="1"/>
  <c r="M95" i="9" s="1"/>
  <c r="M96" i="9" s="1"/>
  <c r="M97" i="9" s="1"/>
  <c r="M98" i="9" s="1"/>
  <c r="M99" i="9" s="1"/>
  <c r="M100" i="9" s="1"/>
  <c r="M101" i="9" s="1"/>
  <c r="M102" i="9" s="1"/>
  <c r="M103" i="9" s="1"/>
  <c r="M104" i="9" s="1"/>
  <c r="M105" i="9" s="1"/>
  <c r="M106" i="9" s="1"/>
  <c r="M107" i="9" s="1"/>
  <c r="M108" i="9" s="1"/>
  <c r="M109" i="9" s="1"/>
  <c r="M110" i="9" s="1"/>
  <c r="M111" i="9" s="1"/>
  <c r="M112" i="9" s="1"/>
  <c r="M113" i="9" s="1"/>
  <c r="M114" i="9" s="1"/>
  <c r="M115" i="9" s="1"/>
  <c r="M116" i="9" s="1"/>
  <c r="M117" i="9" s="1"/>
  <c r="M118" i="9" s="1"/>
  <c r="M119" i="9" s="1"/>
  <c r="M120" i="9" s="1"/>
  <c r="M121" i="9" s="1"/>
  <c r="M122" i="9" s="1"/>
  <c r="M123" i="9" s="1"/>
  <c r="M124" i="9" s="1"/>
  <c r="M125" i="9" s="1"/>
  <c r="M126" i="9" s="1"/>
  <c r="M127" i="9" s="1"/>
  <c r="M128" i="9" s="1"/>
  <c r="M129" i="9" s="1"/>
  <c r="M130" i="9" s="1"/>
  <c r="M131" i="9" s="1"/>
  <c r="M132" i="9" s="1"/>
  <c r="M133" i="9" s="1"/>
  <c r="M134" i="9" s="1"/>
  <c r="M135" i="9" s="1"/>
  <c r="M136" i="9" s="1"/>
  <c r="M137" i="9" s="1"/>
  <c r="M138" i="9" s="1"/>
  <c r="M139" i="9" s="1"/>
  <c r="M140" i="9" s="1"/>
  <c r="M141" i="9" s="1"/>
  <c r="M142" i="9" s="1"/>
  <c r="M143" i="9" s="1"/>
  <c r="M144" i="9" s="1"/>
  <c r="M145" i="9" s="1"/>
  <c r="M146" i="9" s="1"/>
  <c r="M147" i="9" s="1"/>
  <c r="M148" i="9" s="1"/>
  <c r="M149" i="9" s="1"/>
  <c r="M150" i="9" s="1"/>
  <c r="M151" i="9" s="1"/>
  <c r="M152" i="9" s="1"/>
  <c r="M153" i="9" s="1"/>
  <c r="M154" i="9" s="1"/>
  <c r="M155" i="9" s="1"/>
  <c r="M156" i="9" s="1"/>
  <c r="M157" i="9" s="1"/>
  <c r="M158" i="9" s="1"/>
  <c r="M159" i="9" s="1"/>
  <c r="M160" i="9" s="1"/>
  <c r="M161" i="9" s="1"/>
  <c r="M162" i="9" s="1"/>
  <c r="M163" i="9" s="1"/>
  <c r="M164" i="9" s="1"/>
  <c r="M165" i="9" s="1"/>
  <c r="M166" i="9" s="1"/>
  <c r="M167" i="9" s="1"/>
  <c r="M168" i="9" s="1"/>
  <c r="M169" i="9" s="1"/>
  <c r="M170" i="9" s="1"/>
  <c r="M171" i="9" s="1"/>
  <c r="M172" i="9" s="1"/>
  <c r="M173" i="9" s="1"/>
  <c r="M174" i="9" s="1"/>
  <c r="M175" i="9" s="1"/>
  <c r="M176" i="9" s="1"/>
  <c r="M177" i="9" s="1"/>
  <c r="M178" i="9" s="1"/>
  <c r="M179" i="9" s="1"/>
  <c r="M180" i="9" s="1"/>
  <c r="M181" i="9" s="1"/>
  <c r="M182" i="9" s="1"/>
  <c r="M183" i="9" s="1"/>
  <c r="M184" i="9" s="1"/>
  <c r="M185" i="9" s="1"/>
  <c r="M186" i="9" s="1"/>
  <c r="M187" i="9" s="1"/>
  <c r="M188" i="9" s="1"/>
  <c r="M189" i="9" s="1"/>
  <c r="M190" i="9" s="1"/>
  <c r="M191" i="9" s="1"/>
  <c r="M192" i="9" s="1"/>
  <c r="M193" i="9" s="1"/>
  <c r="M194" i="9" s="1"/>
  <c r="M195" i="9" s="1"/>
  <c r="M196" i="9" s="1"/>
  <c r="M197" i="9" s="1"/>
  <c r="M198" i="9" s="1"/>
  <c r="M199" i="9" s="1"/>
  <c r="M200" i="9" s="1"/>
  <c r="M201" i="9" s="1"/>
  <c r="M202" i="9" s="1"/>
  <c r="M203" i="9" s="1"/>
  <c r="M204" i="9" s="1"/>
  <c r="M205" i="9" s="1"/>
  <c r="M206" i="9" s="1"/>
  <c r="M207" i="9" s="1"/>
  <c r="M208" i="9" s="1"/>
  <c r="M209" i="9" s="1"/>
  <c r="M210" i="9" s="1"/>
  <c r="M211" i="9" s="1"/>
  <c r="M212" i="9" s="1"/>
  <c r="M213" i="9" s="1"/>
  <c r="M214" i="9" s="1"/>
  <c r="M215" i="9" s="1"/>
  <c r="M216" i="9" s="1"/>
  <c r="M217" i="9" s="1"/>
  <c r="M218" i="9" s="1"/>
  <c r="M219" i="9" s="1"/>
  <c r="M220" i="9" s="1"/>
  <c r="M221" i="9" s="1"/>
  <c r="M222" i="9" s="1"/>
  <c r="M223" i="9" s="1"/>
  <c r="M224" i="9" s="1"/>
  <c r="M225" i="9" s="1"/>
  <c r="M226" i="9" s="1"/>
  <c r="M227" i="9" s="1"/>
  <c r="M228" i="9" s="1"/>
  <c r="M229" i="9" s="1"/>
  <c r="M230" i="9" s="1"/>
  <c r="M231" i="9" s="1"/>
  <c r="M232" i="9" s="1"/>
  <c r="M233" i="9" s="1"/>
  <c r="M234" i="9" s="1"/>
  <c r="M235" i="9" s="1"/>
  <c r="M236" i="9" s="1"/>
  <c r="M237" i="9" s="1"/>
  <c r="M238" i="9" s="1"/>
  <c r="M239" i="9" s="1"/>
  <c r="M240" i="9" s="1"/>
  <c r="M241" i="9" s="1"/>
  <c r="M242" i="9" s="1"/>
  <c r="M243" i="9" s="1"/>
  <c r="M244" i="9" s="1"/>
  <c r="M245" i="9" s="1"/>
  <c r="M246" i="9" s="1"/>
  <c r="M247" i="9" s="1"/>
  <c r="M248" i="9" s="1"/>
  <c r="M249" i="9" s="1"/>
  <c r="M250" i="9" s="1"/>
  <c r="M251" i="9" s="1"/>
  <c r="M252" i="9" s="1"/>
  <c r="M253" i="9" s="1"/>
  <c r="M254" i="9" s="1"/>
  <c r="M255" i="9" s="1"/>
  <c r="M256" i="9" s="1"/>
  <c r="M257" i="9" s="1"/>
  <c r="M258" i="9" s="1"/>
  <c r="M259" i="9" s="1"/>
  <c r="M260" i="9" s="1"/>
  <c r="M261" i="9" s="1"/>
  <c r="M262" i="9" s="1"/>
  <c r="M263" i="9" s="1"/>
  <c r="M264" i="9" s="1"/>
  <c r="M265" i="9" s="1"/>
  <c r="M266" i="9" s="1"/>
  <c r="M267" i="9" s="1"/>
  <c r="M268" i="9" s="1"/>
  <c r="M269" i="9" s="1"/>
  <c r="M270" i="9" s="1"/>
  <c r="M271" i="9" s="1"/>
  <c r="M272" i="9" s="1"/>
  <c r="M273" i="9" s="1"/>
  <c r="M274" i="9" s="1"/>
  <c r="M275" i="9" s="1"/>
  <c r="M276" i="9" s="1"/>
  <c r="M277" i="9" s="1"/>
  <c r="M278" i="9" s="1"/>
  <c r="M279" i="9" s="1"/>
  <c r="M280" i="9" s="1"/>
  <c r="M281" i="9" s="1"/>
  <c r="M282" i="9" s="1"/>
  <c r="M283" i="9" s="1"/>
  <c r="M284" i="9" s="1"/>
  <c r="M285" i="9" s="1"/>
  <c r="M286" i="9" s="1"/>
  <c r="M287" i="9" s="1"/>
  <c r="M288" i="9" s="1"/>
  <c r="M289" i="9" s="1"/>
  <c r="M290" i="9" s="1"/>
  <c r="M291" i="9" s="1"/>
  <c r="M292" i="9" s="1"/>
  <c r="M293" i="9" s="1"/>
  <c r="M294" i="9" s="1"/>
  <c r="M295" i="9" s="1"/>
  <c r="M296" i="9" s="1"/>
  <c r="M297" i="9" s="1"/>
  <c r="M298" i="9" s="1"/>
  <c r="M299" i="9" s="1"/>
  <c r="M300" i="9" s="1"/>
  <c r="M301" i="9" s="1"/>
  <c r="M302" i="9" s="1"/>
  <c r="M303" i="9" s="1"/>
  <c r="M304" i="9" s="1"/>
  <c r="M305" i="9" s="1"/>
  <c r="M306" i="9" s="1"/>
  <c r="M307" i="9" s="1"/>
  <c r="M308" i="9" s="1"/>
  <c r="M309" i="9" s="1"/>
  <c r="M310" i="9" s="1"/>
  <c r="M311" i="9" s="1"/>
  <c r="M312" i="9" s="1"/>
  <c r="M313" i="9" s="1"/>
  <c r="M314" i="9" s="1"/>
  <c r="M315" i="9" s="1"/>
  <c r="M316" i="9" s="1"/>
  <c r="M317" i="9" s="1"/>
  <c r="M318" i="9" s="1"/>
  <c r="M319" i="9" s="1"/>
  <c r="M320" i="9" s="1"/>
  <c r="M321" i="9" s="1"/>
  <c r="M322" i="9" s="1"/>
  <c r="M323" i="9" s="1"/>
  <c r="M324" i="9" s="1"/>
  <c r="M325" i="9" s="1"/>
  <c r="M326" i="9" s="1"/>
  <c r="M327" i="9" s="1"/>
  <c r="M328" i="9" s="1"/>
  <c r="M329" i="9" s="1"/>
  <c r="M330" i="9" s="1"/>
  <c r="M331" i="9" s="1"/>
  <c r="M332" i="9" s="1"/>
  <c r="M333" i="9" s="1"/>
  <c r="M334" i="9" s="1"/>
  <c r="M335" i="9" s="1"/>
  <c r="M336" i="9" s="1"/>
  <c r="M337" i="9" s="1"/>
  <c r="M338" i="9" s="1"/>
  <c r="M339" i="9" s="1"/>
  <c r="M340" i="9" s="1"/>
  <c r="M341" i="9" s="1"/>
  <c r="M342" i="9" s="1"/>
  <c r="M343" i="9" s="1"/>
  <c r="M344" i="9" s="1"/>
  <c r="M345" i="9" s="1"/>
  <c r="M346" i="9" s="1"/>
  <c r="M347" i="9" s="1"/>
  <c r="M348" i="9" s="1"/>
  <c r="M349" i="9" s="1"/>
  <c r="M350" i="9" s="1"/>
  <c r="M351" i="9" s="1"/>
  <c r="M352" i="9" s="1"/>
  <c r="M353" i="9" s="1"/>
  <c r="M354" i="9" s="1"/>
  <c r="M355" i="9" s="1"/>
  <c r="M356" i="9" s="1"/>
  <c r="M357" i="9" s="1"/>
  <c r="M358" i="9" s="1"/>
  <c r="M359" i="9" s="1"/>
  <c r="M360" i="9" s="1"/>
  <c r="M361" i="9" s="1"/>
  <c r="M362" i="9" s="1"/>
  <c r="M363" i="9" s="1"/>
  <c r="M364" i="9" s="1"/>
  <c r="M365" i="9" s="1"/>
  <c r="M366" i="9" s="1"/>
  <c r="L15" i="2"/>
  <c r="M15" i="2" s="1"/>
  <c r="F92" i="5"/>
  <c r="I92" i="5" s="1"/>
  <c r="I153" i="5" s="1"/>
  <c r="I127" i="5"/>
  <c r="L13" i="2"/>
  <c r="L161" i="2" s="1"/>
  <c r="L164" i="2" s="1"/>
  <c r="L181" i="2" s="1"/>
  <c r="G20" i="5"/>
  <c r="HN15" i="2"/>
  <c r="HO15" i="2" s="1"/>
  <c r="I8" i="5"/>
  <c r="F17" i="5"/>
  <c r="F45" i="5" s="1"/>
  <c r="I49" i="5" s="1"/>
  <c r="I152" i="5" s="1"/>
  <c r="K131" i="2"/>
  <c r="K110" i="2"/>
  <c r="K14" i="2"/>
  <c r="K30" i="2"/>
  <c r="K175" i="2" s="1"/>
  <c r="K7" i="2"/>
  <c r="K132" i="2" s="1"/>
  <c r="K134" i="2" s="1"/>
  <c r="K151" i="2"/>
  <c r="I124" i="5"/>
  <c r="F137" i="5"/>
  <c r="I129" i="5"/>
  <c r="I125" i="5"/>
  <c r="I126" i="5"/>
  <c r="F111" i="5"/>
  <c r="F22" i="5"/>
  <c r="F103" i="5" s="1"/>
  <c r="F117" i="5"/>
  <c r="F23" i="5"/>
  <c r="F116" i="5" s="1"/>
  <c r="G140" i="2"/>
  <c r="G139" i="2"/>
  <c r="H20" i="26"/>
  <c r="K154" i="2"/>
  <c r="J53" i="1"/>
  <c r="L53" i="1" s="1"/>
  <c r="J19" i="7"/>
  <c r="K184" i="2" l="1"/>
  <c r="HP15" i="2"/>
  <c r="HQ14" i="2"/>
  <c r="F4" i="14"/>
  <c r="L108" i="2"/>
  <c r="M5" i="5"/>
  <c r="L7" i="5"/>
  <c r="L6" i="5"/>
  <c r="J8" i="5"/>
  <c r="K8" i="5" s="1"/>
  <c r="L8" i="5" s="1"/>
  <c r="M8" i="5" s="1"/>
  <c r="N8" i="5" s="1"/>
  <c r="O8" i="5" s="1"/>
  <c r="P8" i="5" s="1"/>
  <c r="Q8" i="5" s="1"/>
  <c r="R8" i="5" s="1"/>
  <c r="S8" i="5" s="1"/>
  <c r="T8" i="5" s="1"/>
  <c r="U8" i="5" s="1"/>
  <c r="V8" i="5" s="1"/>
  <c r="W8" i="5" s="1"/>
  <c r="X8" i="5" s="1"/>
  <c r="Y8" i="5" s="1"/>
  <c r="Z8" i="5" s="1"/>
  <c r="AA8" i="5" s="1"/>
  <c r="AB8" i="5" s="1"/>
  <c r="AC8" i="5" s="1"/>
  <c r="AD8" i="5" s="1"/>
  <c r="AE8" i="5" s="1"/>
  <c r="AF8" i="5" s="1"/>
  <c r="AG8" i="5" s="1"/>
  <c r="AH8" i="5" s="1"/>
  <c r="AI8" i="5" s="1"/>
  <c r="AJ8" i="5" s="1"/>
  <c r="AK8" i="5" s="1"/>
  <c r="AL8" i="5" s="1"/>
  <c r="AM8" i="5" s="1"/>
  <c r="AN8" i="5" s="1"/>
  <c r="AO8" i="5" s="1"/>
  <c r="AP8" i="5" s="1"/>
  <c r="AQ8" i="5" s="1"/>
  <c r="AR8" i="5" s="1"/>
  <c r="AS8" i="5" s="1"/>
  <c r="AT8" i="5" s="1"/>
  <c r="AU8" i="5" s="1"/>
  <c r="AV8" i="5" s="1"/>
  <c r="AW8" i="5" s="1"/>
  <c r="AX8" i="5" s="1"/>
  <c r="AY8" i="5" s="1"/>
  <c r="AZ8" i="5" s="1"/>
  <c r="BA8" i="5" s="1"/>
  <c r="BB8" i="5" s="1"/>
  <c r="BC8" i="5" s="1"/>
  <c r="BD8" i="5" s="1"/>
  <c r="BE8" i="5" s="1"/>
  <c r="BF8" i="5" s="1"/>
  <c r="BG8" i="5" s="1"/>
  <c r="BH8" i="5" s="1"/>
  <c r="L7" i="2"/>
  <c r="L132" i="2" s="1"/>
  <c r="L134" i="2" s="1"/>
  <c r="L45" i="2"/>
  <c r="L48" i="2" s="1"/>
  <c r="L138" i="2"/>
  <c r="C95" i="9"/>
  <c r="L154" i="2"/>
  <c r="L131" i="2"/>
  <c r="L81" i="2"/>
  <c r="L151" i="2"/>
  <c r="M13" i="2"/>
  <c r="M161" i="2" s="1"/>
  <c r="M164" i="2" s="1"/>
  <c r="M181" i="2" s="1"/>
  <c r="L6" i="2"/>
  <c r="L109" i="2"/>
  <c r="L185" i="2" s="1"/>
  <c r="L30" i="2"/>
  <c r="L14" i="2"/>
  <c r="I111" i="5"/>
  <c r="I154" i="5" s="1"/>
  <c r="I141" i="5"/>
  <c r="I144" i="5"/>
  <c r="I143" i="5"/>
  <c r="I140" i="5"/>
  <c r="I142" i="5"/>
  <c r="I139" i="5"/>
  <c r="N15" i="2"/>
  <c r="M45" i="2"/>
  <c r="M131" i="2"/>
  <c r="M154" i="2"/>
  <c r="K48" i="2"/>
  <c r="K49" i="2" s="1"/>
  <c r="HR14" i="2" l="1"/>
  <c r="HQ15" i="2"/>
  <c r="G4" i="14"/>
  <c r="M108" i="2"/>
  <c r="M44" i="2"/>
  <c r="M46" i="2" s="1"/>
  <c r="M48" i="2"/>
  <c r="M7" i="2"/>
  <c r="M132" i="2" s="1"/>
  <c r="M134" i="2" s="1"/>
  <c r="N5" i="5"/>
  <c r="M7" i="5"/>
  <c r="M6" i="5"/>
  <c r="L44" i="2"/>
  <c r="L46" i="2" s="1"/>
  <c r="L74" i="2"/>
  <c r="C96" i="9"/>
  <c r="L60" i="2"/>
  <c r="L62" i="2" s="1"/>
  <c r="M30" i="2"/>
  <c r="M151" i="2"/>
  <c r="M138" i="2"/>
  <c r="M81" i="2"/>
  <c r="N13" i="2"/>
  <c r="N161" i="2" s="1"/>
  <c r="N164" i="2" s="1"/>
  <c r="N181" i="2" s="1"/>
  <c r="M109" i="2"/>
  <c r="M185" i="2" s="1"/>
  <c r="M14" i="2"/>
  <c r="M6" i="2"/>
  <c r="M74" i="2"/>
  <c r="M60" i="2"/>
  <c r="M62" i="2" s="1"/>
  <c r="O15" i="2"/>
  <c r="N45" i="2"/>
  <c r="N131" i="2"/>
  <c r="N154" i="2"/>
  <c r="BI8" i="5"/>
  <c r="HS14" i="2" l="1"/>
  <c r="HR15" i="2"/>
  <c r="H4" i="14"/>
  <c r="N108" i="2"/>
  <c r="N7" i="2"/>
  <c r="N132" i="2" s="1"/>
  <c r="N134" i="2" s="1"/>
  <c r="N81" i="2"/>
  <c r="O5" i="5"/>
  <c r="N6" i="5"/>
  <c r="N7" i="5"/>
  <c r="L76" i="2"/>
  <c r="L79" i="2" s="1"/>
  <c r="C97" i="9"/>
  <c r="N14" i="2"/>
  <c r="N151" i="2"/>
  <c r="N30" i="2"/>
  <c r="N109" i="2"/>
  <c r="N185" i="2" s="1"/>
  <c r="O13" i="2"/>
  <c r="O161" i="2" s="1"/>
  <c r="O164" i="2" s="1"/>
  <c r="O181" i="2" s="1"/>
  <c r="N138" i="2"/>
  <c r="N6" i="2"/>
  <c r="M76" i="2"/>
  <c r="M79" i="2" s="1"/>
  <c r="N48" i="2"/>
  <c r="N44" i="2"/>
  <c r="N46" i="2" s="1"/>
  <c r="P15" i="2"/>
  <c r="O45" i="2"/>
  <c r="O131" i="2"/>
  <c r="O154" i="2"/>
  <c r="N60" i="2"/>
  <c r="N62" i="2" s="1"/>
  <c r="N74" i="2"/>
  <c r="BJ8" i="5"/>
  <c r="HS15" i="2" l="1"/>
  <c r="HT14" i="2"/>
  <c r="I4" i="14"/>
  <c r="O108" i="2"/>
  <c r="O7" i="2"/>
  <c r="O132" i="2" s="1"/>
  <c r="O134" i="2" s="1"/>
  <c r="O7" i="5"/>
  <c r="O6" i="5"/>
  <c r="P5" i="5"/>
  <c r="O62" i="2"/>
  <c r="O74" i="2"/>
  <c r="C98" i="9"/>
  <c r="O109" i="2"/>
  <c r="O185" i="2" s="1"/>
  <c r="O138" i="2"/>
  <c r="O151" i="2"/>
  <c r="O6" i="2"/>
  <c r="O30" i="2"/>
  <c r="O14" i="2"/>
  <c r="O81" i="2"/>
  <c r="P13" i="2"/>
  <c r="P161" i="2" s="1"/>
  <c r="P164" i="2" s="1"/>
  <c r="P181" i="2" s="1"/>
  <c r="M82" i="2"/>
  <c r="M83" i="2" s="1"/>
  <c r="O48" i="2"/>
  <c r="O44" i="2"/>
  <c r="O46" i="2" s="1"/>
  <c r="P131" i="2"/>
  <c r="P45" i="2"/>
  <c r="Q15" i="2"/>
  <c r="P154" i="2"/>
  <c r="N76" i="2"/>
  <c r="N79" i="2" s="1"/>
  <c r="BK8" i="5"/>
  <c r="L82" i="2"/>
  <c r="L83" i="2" s="1"/>
  <c r="HU14" i="2" l="1"/>
  <c r="HT15" i="2"/>
  <c r="HU15" i="2" s="1"/>
  <c r="J4" i="14"/>
  <c r="P108" i="2"/>
  <c r="P7" i="2"/>
  <c r="P132" i="2" s="1"/>
  <c r="P134" i="2" s="1"/>
  <c r="Q5" i="5"/>
  <c r="P6" i="5"/>
  <c r="P7" i="5"/>
  <c r="O76" i="2"/>
  <c r="O79" i="2" s="1"/>
  <c r="P74" i="2"/>
  <c r="P62" i="2"/>
  <c r="C99" i="9"/>
  <c r="P6" i="2"/>
  <c r="P14" i="2"/>
  <c r="P109" i="2"/>
  <c r="P185" i="2" s="1"/>
  <c r="P138" i="2"/>
  <c r="P30" i="2"/>
  <c r="P81" i="2"/>
  <c r="P151" i="2"/>
  <c r="Q13" i="2"/>
  <c r="Q161" i="2" s="1"/>
  <c r="Q164" i="2" s="1"/>
  <c r="Q181" i="2" s="1"/>
  <c r="R15" i="2"/>
  <c r="Q45" i="2"/>
  <c r="Q131" i="2"/>
  <c r="Q154" i="2"/>
  <c r="N82" i="2"/>
  <c r="N83" i="2" s="1"/>
  <c r="P48" i="2"/>
  <c r="P44" i="2"/>
  <c r="P46" i="2" s="1"/>
  <c r="BL8" i="5"/>
  <c r="HV14" i="2" l="1"/>
  <c r="K4" i="14"/>
  <c r="Q108" i="2"/>
  <c r="Q7" i="2"/>
  <c r="Q132" i="2" s="1"/>
  <c r="Q134" i="2" s="1"/>
  <c r="Q6" i="5"/>
  <c r="Q7" i="5"/>
  <c r="R5" i="5"/>
  <c r="P76" i="2"/>
  <c r="P79" i="2" s="1"/>
  <c r="Q62" i="2"/>
  <c r="Q74" i="2"/>
  <c r="C100" i="9"/>
  <c r="Q30" i="2"/>
  <c r="Q6" i="2"/>
  <c r="Q81" i="2"/>
  <c r="Q138" i="2"/>
  <c r="Q151" i="2"/>
  <c r="Q109" i="2"/>
  <c r="Q185" i="2" s="1"/>
  <c r="R13" i="2"/>
  <c r="R161" i="2" s="1"/>
  <c r="R164" i="2" s="1"/>
  <c r="R181" i="2" s="1"/>
  <c r="Q14" i="2"/>
  <c r="O82" i="2"/>
  <c r="O83" i="2" s="1"/>
  <c r="Q48" i="2"/>
  <c r="Q44" i="2"/>
  <c r="Q46" i="2" s="1"/>
  <c r="S15" i="2"/>
  <c r="R154" i="2"/>
  <c r="R45" i="2"/>
  <c r="R131" i="2"/>
  <c r="BM8" i="5"/>
  <c r="HV15" i="2" l="1"/>
  <c r="R7" i="2"/>
  <c r="R132" i="2" s="1"/>
  <c r="R134" i="2" s="1"/>
  <c r="L4" i="14"/>
  <c r="R108" i="2"/>
  <c r="R6" i="5"/>
  <c r="S5" i="5"/>
  <c r="R7" i="5"/>
  <c r="Q76" i="2"/>
  <c r="Q79" i="2" s="1"/>
  <c r="R74" i="2"/>
  <c r="R62" i="2"/>
  <c r="C101" i="9"/>
  <c r="R14" i="2"/>
  <c r="R151" i="2"/>
  <c r="R6" i="2"/>
  <c r="R109" i="2"/>
  <c r="R185" i="2" s="1"/>
  <c r="R30" i="2"/>
  <c r="S13" i="2"/>
  <c r="S161" i="2" s="1"/>
  <c r="S164" i="2" s="1"/>
  <c r="S181" i="2" s="1"/>
  <c r="R138" i="2"/>
  <c r="R81" i="2"/>
  <c r="P82" i="2"/>
  <c r="P83" i="2" s="1"/>
  <c r="R48" i="2"/>
  <c r="R44" i="2"/>
  <c r="R46" i="2" s="1"/>
  <c r="S45" i="2"/>
  <c r="S131" i="2"/>
  <c r="T15" i="2"/>
  <c r="S154" i="2"/>
  <c r="BN8" i="5"/>
  <c r="S7" i="2" l="1"/>
  <c r="S132" i="2" s="1"/>
  <c r="S134" i="2" s="1"/>
  <c r="M4" i="14"/>
  <c r="S108" i="2"/>
  <c r="T5" i="5"/>
  <c r="S7" i="5"/>
  <c r="S6" i="5"/>
  <c r="T13" i="2"/>
  <c r="T161" i="2" s="1"/>
  <c r="T164" i="2" s="1"/>
  <c r="T181" i="2" s="1"/>
  <c r="R76" i="2"/>
  <c r="R79" i="2" s="1"/>
  <c r="S74" i="2"/>
  <c r="S62" i="2"/>
  <c r="C102" i="9"/>
  <c r="S138" i="2"/>
  <c r="S151" i="2"/>
  <c r="S6" i="2"/>
  <c r="S14" i="2"/>
  <c r="S81" i="2"/>
  <c r="S30" i="2"/>
  <c r="S109" i="2"/>
  <c r="S185" i="2" s="1"/>
  <c r="Q82" i="2"/>
  <c r="Q83" i="2" s="1"/>
  <c r="S48" i="2"/>
  <c r="S44" i="2"/>
  <c r="S46" i="2" s="1"/>
  <c r="T45" i="2"/>
  <c r="U15" i="2"/>
  <c r="T131" i="2"/>
  <c r="T154" i="2"/>
  <c r="BO8" i="5"/>
  <c r="T7" i="2" l="1"/>
  <c r="T132" i="2" s="1"/>
  <c r="T134" i="2" s="1"/>
  <c r="N4" i="14"/>
  <c r="U13" i="2"/>
  <c r="U161" i="2" s="1"/>
  <c r="U164" i="2" s="1"/>
  <c r="U181" i="2" s="1"/>
  <c r="T108" i="2"/>
  <c r="T30" i="2"/>
  <c r="T81" i="2"/>
  <c r="T138" i="2"/>
  <c r="T109" i="2"/>
  <c r="T185" i="2" s="1"/>
  <c r="T151" i="2"/>
  <c r="T6" i="2"/>
  <c r="T14" i="2"/>
  <c r="T7" i="5"/>
  <c r="T6" i="5"/>
  <c r="U5" i="5"/>
  <c r="T74" i="2"/>
  <c r="S76" i="2"/>
  <c r="S79" i="2" s="1"/>
  <c r="T62" i="2"/>
  <c r="C103" i="9"/>
  <c r="R82" i="2"/>
  <c r="R83" i="2" s="1"/>
  <c r="T44" i="2"/>
  <c r="T46" i="2" s="1"/>
  <c r="T48" i="2"/>
  <c r="V15" i="2"/>
  <c r="U45" i="2"/>
  <c r="U131" i="2"/>
  <c r="U154" i="2"/>
  <c r="BP8" i="5"/>
  <c r="U7" i="2" l="1"/>
  <c r="U132" i="2" s="1"/>
  <c r="U134" i="2" s="1"/>
  <c r="U14" i="2"/>
  <c r="O4" i="14"/>
  <c r="U151" i="2"/>
  <c r="U81" i="2"/>
  <c r="U6" i="2"/>
  <c r="V13" i="2"/>
  <c r="U30" i="2"/>
  <c r="U138" i="2"/>
  <c r="U109" i="2"/>
  <c r="U185" i="2" s="1"/>
  <c r="U108" i="2"/>
  <c r="U29" i="2"/>
  <c r="U26" i="2"/>
  <c r="V5" i="5"/>
  <c r="U6" i="5"/>
  <c r="U7" i="5"/>
  <c r="T76" i="2"/>
  <c r="T79" i="2" s="1"/>
  <c r="U60" i="2"/>
  <c r="U62" i="2" s="1"/>
  <c r="U74" i="2"/>
  <c r="C104" i="9"/>
  <c r="S82" i="2"/>
  <c r="S83" i="2" s="1"/>
  <c r="U48" i="2"/>
  <c r="U44" i="2"/>
  <c r="V154" i="2"/>
  <c r="V7" i="2"/>
  <c r="V132" i="2" s="1"/>
  <c r="V134" i="2" s="1"/>
  <c r="V131" i="2"/>
  <c r="W15" i="2"/>
  <c r="V45" i="2"/>
  <c r="BQ8" i="5"/>
  <c r="V81" i="2" l="1"/>
  <c r="V161" i="2"/>
  <c r="V164" i="2" s="1"/>
  <c r="V181" i="2" s="1"/>
  <c r="P4" i="14"/>
  <c r="W13" i="2"/>
  <c r="W161" i="2" s="1"/>
  <c r="W164" i="2" s="1"/>
  <c r="W181" i="2" s="1"/>
  <c r="V30" i="2"/>
  <c r="V109" i="2"/>
  <c r="V185" i="2" s="1"/>
  <c r="V138" i="2"/>
  <c r="V108" i="2"/>
  <c r="V14" i="2"/>
  <c r="V151" i="2"/>
  <c r="V6" i="2"/>
  <c r="V29" i="2"/>
  <c r="V26" i="2"/>
  <c r="V7" i="5"/>
  <c r="V6" i="5"/>
  <c r="W5" i="5"/>
  <c r="U76" i="2"/>
  <c r="U79" i="2" s="1"/>
  <c r="V74" i="2"/>
  <c r="V60" i="2"/>
  <c r="V62" i="2" s="1"/>
  <c r="C105" i="9"/>
  <c r="T82" i="2"/>
  <c r="T83" i="2" s="1"/>
  <c r="W45" i="2"/>
  <c r="W131" i="2"/>
  <c r="X15" i="2"/>
  <c r="W154" i="2"/>
  <c r="W7" i="2"/>
  <c r="W132" i="2" s="1"/>
  <c r="W134" i="2" s="1"/>
  <c r="U46" i="2"/>
  <c r="V44" i="2"/>
  <c r="V46" i="2" s="1"/>
  <c r="V48" i="2"/>
  <c r="BR8" i="5"/>
  <c r="W151" i="2" l="1"/>
  <c r="W108" i="2"/>
  <c r="W30" i="2"/>
  <c r="W6" i="2"/>
  <c r="W138" i="2"/>
  <c r="W14" i="2"/>
  <c r="X13" i="2"/>
  <c r="W109" i="2"/>
  <c r="W185" i="2" s="1"/>
  <c r="W81" i="2"/>
  <c r="Q4" i="14"/>
  <c r="W29" i="2"/>
  <c r="W26" i="2"/>
  <c r="W6" i="5"/>
  <c r="X5" i="5"/>
  <c r="W7" i="5"/>
  <c r="V76" i="2"/>
  <c r="W60" i="2"/>
  <c r="W62" i="2" s="1"/>
  <c r="W74" i="2"/>
  <c r="C106" i="9"/>
  <c r="Y15" i="2"/>
  <c r="X154" i="2"/>
  <c r="X45" i="2"/>
  <c r="X131" i="2"/>
  <c r="X7" i="2"/>
  <c r="X132" i="2" s="1"/>
  <c r="X134" i="2" s="1"/>
  <c r="U82" i="2"/>
  <c r="U83" i="2" s="1"/>
  <c r="W48" i="2"/>
  <c r="W44" i="2"/>
  <c r="BS8" i="5"/>
  <c r="X108" i="2" l="1"/>
  <c r="X161" i="2"/>
  <c r="X164" i="2" s="1"/>
  <c r="X181" i="2" s="1"/>
  <c r="X6" i="2"/>
  <c r="X151" i="2"/>
  <c r="X138" i="2"/>
  <c r="X14" i="2"/>
  <c r="X30" i="2"/>
  <c r="X109" i="2"/>
  <c r="X185" i="2" s="1"/>
  <c r="Y13" i="2"/>
  <c r="R4" i="14"/>
  <c r="X26" i="2"/>
  <c r="X29" i="2"/>
  <c r="X7" i="5"/>
  <c r="Y5" i="5"/>
  <c r="X6" i="5"/>
  <c r="W76" i="2"/>
  <c r="W79" i="2" s="1"/>
  <c r="X74" i="2"/>
  <c r="X60" i="2"/>
  <c r="X62" i="2" s="1"/>
  <c r="C107" i="9"/>
  <c r="W46" i="2"/>
  <c r="X44" i="2"/>
  <c r="X46" i="2" s="1"/>
  <c r="X48" i="2"/>
  <c r="Z15" i="2"/>
  <c r="Y154" i="2"/>
  <c r="Y131" i="2"/>
  <c r="Y45" i="2"/>
  <c r="Y7" i="2"/>
  <c r="Y132" i="2" s="1"/>
  <c r="Y134" i="2" s="1"/>
  <c r="BT8" i="5"/>
  <c r="Y108" i="2" l="1"/>
  <c r="Y161" i="2"/>
  <c r="Y164" i="2" s="1"/>
  <c r="Y181" i="2" s="1"/>
  <c r="Y30" i="2"/>
  <c r="Z13" i="2"/>
  <c r="Z161" i="2" s="1"/>
  <c r="Z164" i="2" s="1"/>
  <c r="Z181" i="2" s="1"/>
  <c r="Y6" i="2"/>
  <c r="Y138" i="2"/>
  <c r="Y151" i="2"/>
  <c r="Y14" i="2"/>
  <c r="Y109" i="2"/>
  <c r="Y185" i="2" s="1"/>
  <c r="S4" i="14"/>
  <c r="Y29" i="2"/>
  <c r="Y26" i="2"/>
  <c r="Y7" i="5"/>
  <c r="Y6" i="5"/>
  <c r="Z5" i="5"/>
  <c r="X76" i="2"/>
  <c r="X79" i="2" s="1"/>
  <c r="Y74" i="2"/>
  <c r="Y60" i="2"/>
  <c r="Y62" i="2" s="1"/>
  <c r="C108" i="9"/>
  <c r="V79" i="2"/>
  <c r="Y48" i="2"/>
  <c r="Y44" i="2"/>
  <c r="Y46" i="2" s="1"/>
  <c r="Z131" i="2"/>
  <c r="Z7" i="2"/>
  <c r="Z132" i="2" s="1"/>
  <c r="Z134" i="2" s="1"/>
  <c r="Z45" i="2"/>
  <c r="AA15" i="2"/>
  <c r="Z154" i="2"/>
  <c r="W82" i="2"/>
  <c r="W83" i="2" s="1"/>
  <c r="BU8" i="5"/>
  <c r="Z108" i="2" l="1"/>
  <c r="AA13" i="2"/>
  <c r="AA161" i="2" s="1"/>
  <c r="AA164" i="2" s="1"/>
  <c r="AA181" i="2" s="1"/>
  <c r="Z109" i="2"/>
  <c r="Z185" i="2" s="1"/>
  <c r="Z151" i="2"/>
  <c r="Z14" i="2"/>
  <c r="Z30" i="2"/>
  <c r="Z6" i="2"/>
  <c r="Z138" i="2"/>
  <c r="T4" i="14"/>
  <c r="Z29" i="2"/>
  <c r="Z26" i="2"/>
  <c r="Z6" i="5"/>
  <c r="Z7" i="5"/>
  <c r="AA5" i="5"/>
  <c r="Y76" i="2"/>
  <c r="Y79" i="2" s="1"/>
  <c r="Z74" i="2"/>
  <c r="Z60" i="2"/>
  <c r="Z62" i="2" s="1"/>
  <c r="C109" i="9"/>
  <c r="V82" i="2"/>
  <c r="V83" i="2" s="1"/>
  <c r="Z44" i="2"/>
  <c r="Z46" i="2" s="1"/>
  <c r="Z48" i="2"/>
  <c r="AA131" i="2"/>
  <c r="AB15" i="2"/>
  <c r="AA7" i="2"/>
  <c r="AA132" i="2" s="1"/>
  <c r="AA134" i="2" s="1"/>
  <c r="AA154" i="2"/>
  <c r="AA45" i="2"/>
  <c r="X82" i="2"/>
  <c r="X83" i="2" s="1"/>
  <c r="BV8" i="5"/>
  <c r="AA151" i="2" l="1"/>
  <c r="AA138" i="2"/>
  <c r="AB13" i="2"/>
  <c r="AB161" i="2" s="1"/>
  <c r="AB164" i="2" s="1"/>
  <c r="AB181" i="2" s="1"/>
  <c r="AA109" i="2"/>
  <c r="AA185" i="2" s="1"/>
  <c r="AA30" i="2"/>
  <c r="AA108" i="2"/>
  <c r="AA14" i="2"/>
  <c r="AA6" i="2"/>
  <c r="U4" i="14"/>
  <c r="AA29" i="2"/>
  <c r="AA26" i="2"/>
  <c r="AA7" i="5"/>
  <c r="AB5" i="5"/>
  <c r="AA6" i="5"/>
  <c r="AA74" i="2"/>
  <c r="AA60" i="2"/>
  <c r="AA62" i="2" s="1"/>
  <c r="Z76" i="2"/>
  <c r="Z79" i="2" s="1"/>
  <c r="C110" i="9"/>
  <c r="Y82" i="2"/>
  <c r="Y83" i="2" s="1"/>
  <c r="AB45" i="2"/>
  <c r="AB131" i="2"/>
  <c r="AC15" i="2"/>
  <c r="AB154" i="2"/>
  <c r="AB7" i="2"/>
  <c r="AB132" i="2" s="1"/>
  <c r="AB134" i="2" s="1"/>
  <c r="AA44" i="2"/>
  <c r="AA46" i="2" s="1"/>
  <c r="AA48" i="2"/>
  <c r="BW8" i="5"/>
  <c r="AB151" i="2" l="1"/>
  <c r="AB138" i="2"/>
  <c r="AB14" i="2"/>
  <c r="AC13" i="2"/>
  <c r="AC161" i="2" s="1"/>
  <c r="AC164" i="2" s="1"/>
  <c r="AC181" i="2" s="1"/>
  <c r="AB108" i="2"/>
  <c r="AB30" i="2"/>
  <c r="AB6" i="2"/>
  <c r="AB109" i="2"/>
  <c r="AB185" i="2" s="1"/>
  <c r="V4" i="14"/>
  <c r="AB29" i="2"/>
  <c r="AB26" i="2"/>
  <c r="AB7" i="5"/>
  <c r="AC5" i="5"/>
  <c r="AB6" i="5"/>
  <c r="AA76" i="2"/>
  <c r="AA79" i="2" s="1"/>
  <c r="AB74" i="2"/>
  <c r="AB60" i="2"/>
  <c r="AB62" i="2" s="1"/>
  <c r="C111" i="9"/>
  <c r="AB48" i="2"/>
  <c r="AB44" i="2"/>
  <c r="AB46" i="2" s="1"/>
  <c r="Z82" i="2"/>
  <c r="Z83" i="2" s="1"/>
  <c r="AD15" i="2"/>
  <c r="AC154" i="2"/>
  <c r="AC131" i="2"/>
  <c r="AC45" i="2"/>
  <c r="AC7" i="2"/>
  <c r="AC132" i="2" s="1"/>
  <c r="AC134" i="2" s="1"/>
  <c r="BX8" i="5"/>
  <c r="AC108" i="2" l="1"/>
  <c r="AC109" i="2"/>
  <c r="AC185" i="2" s="1"/>
  <c r="AD13" i="2"/>
  <c r="AD161" i="2" s="1"/>
  <c r="AD164" i="2" s="1"/>
  <c r="AD181" i="2" s="1"/>
  <c r="AC30" i="2"/>
  <c r="AC14" i="2"/>
  <c r="AC6" i="2"/>
  <c r="AC151" i="2"/>
  <c r="AC138" i="2"/>
  <c r="W4" i="14"/>
  <c r="AC29" i="2"/>
  <c r="AC26" i="2"/>
  <c r="AC6" i="5"/>
  <c r="AD5" i="5"/>
  <c r="AC7" i="5"/>
  <c r="AB76" i="2"/>
  <c r="AB79" i="2" s="1"/>
  <c r="AC60" i="2"/>
  <c r="AC62" i="2" s="1"/>
  <c r="AC74" i="2"/>
  <c r="C112" i="9"/>
  <c r="AA82" i="2"/>
  <c r="AA83" i="2" s="1"/>
  <c r="AD131" i="2"/>
  <c r="AD7" i="2"/>
  <c r="AD132" i="2" s="1"/>
  <c r="AD134" i="2" s="1"/>
  <c r="AD154" i="2"/>
  <c r="AE15" i="2"/>
  <c r="AD45" i="2"/>
  <c r="AC48" i="2"/>
  <c r="AC44" i="2"/>
  <c r="AC46" i="2" s="1"/>
  <c r="BY8" i="5"/>
  <c r="AD108" i="2" l="1"/>
  <c r="AD14" i="2"/>
  <c r="AD151" i="2"/>
  <c r="AD138" i="2"/>
  <c r="AD6" i="2"/>
  <c r="AD109" i="2"/>
  <c r="AD185" i="2" s="1"/>
  <c r="AE13" i="2"/>
  <c r="AE161" i="2" s="1"/>
  <c r="AE164" i="2" s="1"/>
  <c r="AE181" i="2" s="1"/>
  <c r="AD30" i="2"/>
  <c r="X4" i="14"/>
  <c r="AD29" i="2"/>
  <c r="AD26" i="2"/>
  <c r="AE5" i="5"/>
  <c r="AD7" i="5"/>
  <c r="AD6" i="5"/>
  <c r="AC76" i="2"/>
  <c r="AC79" i="2" s="1"/>
  <c r="AD60" i="2"/>
  <c r="AD62" i="2" s="1"/>
  <c r="AD74" i="2"/>
  <c r="C113" i="9"/>
  <c r="AB82" i="2"/>
  <c r="AB83" i="2" s="1"/>
  <c r="AE45" i="2"/>
  <c r="AE131" i="2"/>
  <c r="AE7" i="2"/>
  <c r="AE132" i="2" s="1"/>
  <c r="AE134" i="2" s="1"/>
  <c r="AF15" i="2"/>
  <c r="AE154" i="2"/>
  <c r="AD48" i="2"/>
  <c r="AD44" i="2"/>
  <c r="AD46" i="2" s="1"/>
  <c r="BZ8" i="5"/>
  <c r="AF13" i="2" l="1"/>
  <c r="AF30" i="2" s="1"/>
  <c r="AE6" i="2"/>
  <c r="AE108" i="2"/>
  <c r="AE109" i="2"/>
  <c r="AE185" i="2" s="1"/>
  <c r="AE138" i="2"/>
  <c r="AE151" i="2"/>
  <c r="AE30" i="2"/>
  <c r="AE14" i="2"/>
  <c r="Y4" i="14"/>
  <c r="AE29" i="2"/>
  <c r="AE26" i="2"/>
  <c r="AE7" i="5"/>
  <c r="AF5" i="5"/>
  <c r="AE6" i="5"/>
  <c r="AE60" i="2"/>
  <c r="AE62" i="2" s="1"/>
  <c r="AD76" i="2"/>
  <c r="AD79" i="2" s="1"/>
  <c r="AE74" i="2"/>
  <c r="C114" i="9"/>
  <c r="AC82" i="2"/>
  <c r="AC83" i="2" s="1"/>
  <c r="AG15" i="2"/>
  <c r="AF154" i="2"/>
  <c r="AF45" i="2"/>
  <c r="AF131" i="2"/>
  <c r="AF7" i="2"/>
  <c r="AF132" i="2" s="1"/>
  <c r="AF134" i="2" s="1"/>
  <c r="AE48" i="2"/>
  <c r="AE44" i="2"/>
  <c r="AE46" i="2" s="1"/>
  <c r="CA8" i="5"/>
  <c r="AF109" i="2" l="1"/>
  <c r="AF185" i="2" s="1"/>
  <c r="AF14" i="2"/>
  <c r="AF151" i="2"/>
  <c r="AG13" i="2"/>
  <c r="AG161" i="2" s="1"/>
  <c r="AG164" i="2" s="1"/>
  <c r="AG181" i="2" s="1"/>
  <c r="AF138" i="2"/>
  <c r="AF108" i="2"/>
  <c r="AF161" i="2"/>
  <c r="AF164" i="2" s="1"/>
  <c r="AF181" i="2" s="1"/>
  <c r="AF6" i="2"/>
  <c r="Z4" i="14"/>
  <c r="AF26" i="2"/>
  <c r="AF29" i="2"/>
  <c r="AG29" i="2"/>
  <c r="AG5" i="5"/>
  <c r="AF6" i="5"/>
  <c r="AF7" i="5"/>
  <c r="AF74" i="2"/>
  <c r="AF60" i="2"/>
  <c r="AF62" i="2" s="1"/>
  <c r="AE76" i="2"/>
  <c r="AE79" i="2" s="1"/>
  <c r="AE82" i="2" s="1"/>
  <c r="AE83" i="2" s="1"/>
  <c r="C115" i="9"/>
  <c r="AG30" i="2"/>
  <c r="AG109" i="2"/>
  <c r="AG185" i="2" s="1"/>
  <c r="AG14" i="2"/>
  <c r="AH13" i="2"/>
  <c r="AH161" i="2" s="1"/>
  <c r="AH164" i="2" s="1"/>
  <c r="AH181" i="2" s="1"/>
  <c r="AD82" i="2"/>
  <c r="AD83" i="2" s="1"/>
  <c r="AF48" i="2"/>
  <c r="AF44" i="2"/>
  <c r="AF46" i="2" s="1"/>
  <c r="AG154" i="2"/>
  <c r="AH15" i="2"/>
  <c r="AG45" i="2"/>
  <c r="AG131" i="2"/>
  <c r="AG7" i="2"/>
  <c r="AG132" i="2" s="1"/>
  <c r="AG134" i="2" s="1"/>
  <c r="CB8" i="5"/>
  <c r="AG138" i="2" l="1"/>
  <c r="AG108" i="2"/>
  <c r="AG6" i="2"/>
  <c r="AG151" i="2"/>
  <c r="AA4" i="14"/>
  <c r="AH108" i="2"/>
  <c r="AG26" i="2"/>
  <c r="AG7" i="5"/>
  <c r="AH5" i="5"/>
  <c r="AG6" i="5"/>
  <c r="AF76" i="2"/>
  <c r="AF79" i="2" s="1"/>
  <c r="AG60" i="2"/>
  <c r="AG62" i="2" s="1"/>
  <c r="AG74" i="2"/>
  <c r="C116" i="9"/>
  <c r="AH30" i="2"/>
  <c r="AH109" i="2"/>
  <c r="AH185" i="2" s="1"/>
  <c r="AH138" i="2"/>
  <c r="AH6" i="2"/>
  <c r="AH151" i="2"/>
  <c r="AH14" i="2"/>
  <c r="AI13" i="2"/>
  <c r="AI161" i="2" s="1"/>
  <c r="AI164" i="2" s="1"/>
  <c r="AI181" i="2" s="1"/>
  <c r="AG48" i="2"/>
  <c r="AG44" i="2"/>
  <c r="AG46" i="2" s="1"/>
  <c r="AI15" i="2"/>
  <c r="AH7" i="2"/>
  <c r="AH132" i="2" s="1"/>
  <c r="AH134" i="2" s="1"/>
  <c r="AH154" i="2"/>
  <c r="AH131" i="2"/>
  <c r="AH45" i="2"/>
  <c r="CC8" i="5"/>
  <c r="AB4" i="14" l="1"/>
  <c r="AI108" i="2"/>
  <c r="AH29" i="2"/>
  <c r="AH26" i="2"/>
  <c r="AH7" i="5"/>
  <c r="AH6" i="5"/>
  <c r="AI5" i="5"/>
  <c r="AH74" i="2"/>
  <c r="AH60" i="2"/>
  <c r="AH62" i="2" s="1"/>
  <c r="AG76" i="2"/>
  <c r="AG79" i="2" s="1"/>
  <c r="C117" i="9"/>
  <c r="AJ13" i="2"/>
  <c r="AJ161" i="2" s="1"/>
  <c r="AJ164" i="2" s="1"/>
  <c r="AJ181" i="2" s="1"/>
  <c r="AI151" i="2"/>
  <c r="AI14" i="2"/>
  <c r="AI138" i="2"/>
  <c r="AI30" i="2"/>
  <c r="AI109" i="2"/>
  <c r="AI185" i="2" s="1"/>
  <c r="AI6" i="2"/>
  <c r="AF82" i="2"/>
  <c r="AF83" i="2" s="1"/>
  <c r="AH44" i="2"/>
  <c r="AH46" i="2" s="1"/>
  <c r="AH48" i="2"/>
  <c r="AI154" i="2"/>
  <c r="AI7" i="2"/>
  <c r="AI132" i="2" s="1"/>
  <c r="AI134" i="2" s="1"/>
  <c r="AI45" i="2"/>
  <c r="AI131" i="2"/>
  <c r="AJ15" i="2"/>
  <c r="CD8" i="5"/>
  <c r="AC4" i="14" l="1"/>
  <c r="AJ108" i="2"/>
  <c r="AI29" i="2"/>
  <c r="AI26" i="2"/>
  <c r="AI6" i="5"/>
  <c r="AI7" i="5"/>
  <c r="AJ5" i="5"/>
  <c r="AI74" i="2"/>
  <c r="AI60" i="2"/>
  <c r="AI62" i="2" s="1"/>
  <c r="AH76" i="2"/>
  <c r="AH79" i="2" s="1"/>
  <c r="C118" i="9"/>
  <c r="AK13" i="2"/>
  <c r="AK161" i="2" s="1"/>
  <c r="AK164" i="2" s="1"/>
  <c r="AK181" i="2" s="1"/>
  <c r="AJ6" i="2"/>
  <c r="AJ30" i="2"/>
  <c r="AJ138" i="2"/>
  <c r="AJ14" i="2"/>
  <c r="AJ109" i="2"/>
  <c r="AJ185" i="2" s="1"/>
  <c r="AG82" i="2"/>
  <c r="AG83" i="2" s="1"/>
  <c r="AI48" i="2"/>
  <c r="AI44" i="2"/>
  <c r="AI46" i="2" s="1"/>
  <c r="AJ7" i="2"/>
  <c r="AJ132" i="2" s="1"/>
  <c r="AJ134" i="2" s="1"/>
  <c r="AK15" i="2"/>
  <c r="AJ154" i="2"/>
  <c r="AJ45" i="2"/>
  <c r="AJ131" i="2"/>
  <c r="CE8" i="5"/>
  <c r="AD4" i="14" l="1"/>
  <c r="AK108" i="2"/>
  <c r="AK205" i="2"/>
  <c r="AK127" i="2" s="1"/>
  <c r="AJ29" i="2"/>
  <c r="AJ26" i="2"/>
  <c r="AJ7" i="5"/>
  <c r="AJ6" i="5"/>
  <c r="AK5" i="5"/>
  <c r="AJ60" i="2"/>
  <c r="AJ62" i="2" s="1"/>
  <c r="AJ74" i="2"/>
  <c r="AI76" i="2"/>
  <c r="AI79" i="2" s="1"/>
  <c r="C119" i="9"/>
  <c r="AK6" i="2"/>
  <c r="AK14" i="2"/>
  <c r="AK109" i="2"/>
  <c r="AK185" i="2" s="1"/>
  <c r="AL13" i="2"/>
  <c r="AL161" i="2" s="1"/>
  <c r="AL164" i="2" s="1"/>
  <c r="AL181" i="2" s="1"/>
  <c r="AK138" i="2"/>
  <c r="AK30" i="2"/>
  <c r="AK151" i="2"/>
  <c r="AH82" i="2"/>
  <c r="AH83" i="2" s="1"/>
  <c r="AL15" i="2"/>
  <c r="AK45" i="2"/>
  <c r="AK154" i="2"/>
  <c r="AK7" i="2"/>
  <c r="AK132" i="2" s="1"/>
  <c r="AK134" i="2" s="1"/>
  <c r="AK131" i="2"/>
  <c r="AJ48" i="2"/>
  <c r="AJ44" i="2"/>
  <c r="AJ46" i="2" s="1"/>
  <c r="CF8" i="5"/>
  <c r="AE4" i="14" l="1"/>
  <c r="AL108" i="2"/>
  <c r="AL205" i="2"/>
  <c r="AL127" i="2" s="1"/>
  <c r="AK29" i="2"/>
  <c r="AK26" i="2"/>
  <c r="AL5" i="5"/>
  <c r="AK6" i="5"/>
  <c r="AK7" i="5"/>
  <c r="AJ76" i="2"/>
  <c r="AJ79" i="2" s="1"/>
  <c r="AK60" i="2"/>
  <c r="AK62" i="2" s="1"/>
  <c r="AK74" i="2"/>
  <c r="C120" i="9"/>
  <c r="AL109" i="2"/>
  <c r="AL185" i="2" s="1"/>
  <c r="AM13" i="2"/>
  <c r="AM161" i="2" s="1"/>
  <c r="AM164" i="2" s="1"/>
  <c r="AM181" i="2" s="1"/>
  <c r="AL30" i="2"/>
  <c r="AL151" i="2"/>
  <c r="AL138" i="2"/>
  <c r="AL14" i="2"/>
  <c r="AL6" i="2"/>
  <c r="AI82" i="2"/>
  <c r="AI83" i="2" s="1"/>
  <c r="AK44" i="2"/>
  <c r="AK46" i="2" s="1"/>
  <c r="AK48" i="2"/>
  <c r="AL131" i="2"/>
  <c r="AL154" i="2"/>
  <c r="AL45" i="2"/>
  <c r="AL7" i="2"/>
  <c r="AL132" i="2" s="1"/>
  <c r="AL134" i="2" s="1"/>
  <c r="AM15" i="2"/>
  <c r="CG8" i="5"/>
  <c r="AF4" i="14" l="1"/>
  <c r="AM108" i="2"/>
  <c r="AM205" i="2"/>
  <c r="AM127" i="2" s="1"/>
  <c r="AL26" i="2"/>
  <c r="AL29" i="2"/>
  <c r="AL6" i="5"/>
  <c r="AM5" i="5"/>
  <c r="AL7" i="5"/>
  <c r="AL74" i="2"/>
  <c r="AK76" i="2"/>
  <c r="AK79" i="2" s="1"/>
  <c r="AL60" i="2"/>
  <c r="AL62" i="2" s="1"/>
  <c r="C121" i="9"/>
  <c r="AM30" i="2"/>
  <c r="AM6" i="2"/>
  <c r="AM14" i="2"/>
  <c r="AM109" i="2"/>
  <c r="AM185" i="2" s="1"/>
  <c r="AM138" i="2"/>
  <c r="AM151" i="2"/>
  <c r="AN13" i="2"/>
  <c r="AN161" i="2" s="1"/>
  <c r="AN164" i="2" s="1"/>
  <c r="AN181" i="2" s="1"/>
  <c r="AM154" i="2"/>
  <c r="AM131" i="2"/>
  <c r="AM7" i="2"/>
  <c r="AM132" i="2" s="1"/>
  <c r="AM134" i="2" s="1"/>
  <c r="AM45" i="2"/>
  <c r="AN15" i="2"/>
  <c r="AL44" i="2"/>
  <c r="AL46" i="2" s="1"/>
  <c r="AL48" i="2"/>
  <c r="AJ82" i="2"/>
  <c r="AJ83" i="2" s="1"/>
  <c r="CH8" i="5"/>
  <c r="AG4" i="14" l="1"/>
  <c r="AN108" i="2"/>
  <c r="AN205" i="2"/>
  <c r="AN127" i="2" s="1"/>
  <c r="AM26" i="2"/>
  <c r="AM29" i="2"/>
  <c r="AN5" i="5"/>
  <c r="AM7" i="5"/>
  <c r="AM6" i="5"/>
  <c r="AL76" i="2"/>
  <c r="AL79" i="2" s="1"/>
  <c r="AM60" i="2"/>
  <c r="AM62" i="2" s="1"/>
  <c r="AM74" i="2"/>
  <c r="C122" i="9"/>
  <c r="AN151" i="2"/>
  <c r="AN30" i="2"/>
  <c r="AN109" i="2"/>
  <c r="AN185" i="2" s="1"/>
  <c r="AO13" i="2"/>
  <c r="AO161" i="2" s="1"/>
  <c r="AO164" i="2" s="1"/>
  <c r="AO181" i="2" s="1"/>
  <c r="AN14" i="2"/>
  <c r="AN138" i="2"/>
  <c r="AN6" i="2"/>
  <c r="AK82" i="2"/>
  <c r="AK83" i="2" s="1"/>
  <c r="AO15" i="2"/>
  <c r="AN7" i="2"/>
  <c r="AN132" i="2" s="1"/>
  <c r="AN134" i="2" s="1"/>
  <c r="AN154" i="2"/>
  <c r="AN45" i="2"/>
  <c r="AN131" i="2"/>
  <c r="AM48" i="2"/>
  <c r="AM44" i="2"/>
  <c r="AM46" i="2" s="1"/>
  <c r="CI8" i="5"/>
  <c r="AH4" i="14" l="1"/>
  <c r="AO108" i="2"/>
  <c r="AO205" i="2"/>
  <c r="AO127" i="2" s="1"/>
  <c r="AN26" i="2"/>
  <c r="AN29" i="2"/>
  <c r="AO5" i="5"/>
  <c r="AN6" i="5"/>
  <c r="AN7" i="5"/>
  <c r="AM76" i="2"/>
  <c r="AM79" i="2" s="1"/>
  <c r="AM82" i="2" s="1"/>
  <c r="AM83" i="2" s="1"/>
  <c r="AN74" i="2"/>
  <c r="AN60" i="2"/>
  <c r="AN62" i="2" s="1"/>
  <c r="C123" i="9"/>
  <c r="AO6" i="2"/>
  <c r="AO14" i="2"/>
  <c r="AO109" i="2"/>
  <c r="AO185" i="2" s="1"/>
  <c r="AO151" i="2"/>
  <c r="AP13" i="2"/>
  <c r="AP161" i="2" s="1"/>
  <c r="AP164" i="2" s="1"/>
  <c r="AP181" i="2" s="1"/>
  <c r="AO138" i="2"/>
  <c r="AO30" i="2"/>
  <c r="AL82" i="2"/>
  <c r="AL83" i="2" s="1"/>
  <c r="AP15" i="2"/>
  <c r="AO154" i="2"/>
  <c r="AO7" i="2"/>
  <c r="AO132" i="2" s="1"/>
  <c r="AO134" i="2" s="1"/>
  <c r="AO45" i="2"/>
  <c r="AO131" i="2"/>
  <c r="AN44" i="2"/>
  <c r="AN46" i="2" s="1"/>
  <c r="AN48" i="2"/>
  <c r="CJ8" i="5"/>
  <c r="AI4" i="14" l="1"/>
  <c r="AP108" i="2"/>
  <c r="AP205" i="2"/>
  <c r="AP127" i="2" s="1"/>
  <c r="AO29" i="2"/>
  <c r="AO26" i="2"/>
  <c r="AP5" i="5"/>
  <c r="AO7" i="5"/>
  <c r="AO6" i="5"/>
  <c r="AN76" i="2"/>
  <c r="AN79" i="2" s="1"/>
  <c r="AO74" i="2"/>
  <c r="AO60" i="2"/>
  <c r="AO62" i="2" s="1"/>
  <c r="C124" i="9"/>
  <c r="AP109" i="2"/>
  <c r="AP185" i="2" s="1"/>
  <c r="AP14" i="2"/>
  <c r="AQ13" i="2"/>
  <c r="AQ161" i="2" s="1"/>
  <c r="AQ164" i="2" s="1"/>
  <c r="AQ181" i="2" s="1"/>
  <c r="AP151" i="2"/>
  <c r="AP138" i="2"/>
  <c r="AP6" i="2"/>
  <c r="AP30" i="2"/>
  <c r="AO48" i="2"/>
  <c r="AO44" i="2"/>
  <c r="AO46" i="2" s="1"/>
  <c r="AP7" i="2"/>
  <c r="AP132" i="2" s="1"/>
  <c r="AP134" i="2" s="1"/>
  <c r="AQ15" i="2"/>
  <c r="AP154" i="2"/>
  <c r="AP45" i="2"/>
  <c r="AP131" i="2"/>
  <c r="CK8" i="5"/>
  <c r="AJ4" i="14" l="1"/>
  <c r="AQ108" i="2"/>
  <c r="AQ205" i="2"/>
  <c r="AQ127" i="2" s="1"/>
  <c r="AP26" i="2"/>
  <c r="AP29" i="2"/>
  <c r="AQ5" i="5"/>
  <c r="AP7" i="5"/>
  <c r="AP6" i="5"/>
  <c r="AO76" i="2"/>
  <c r="AO79" i="2" s="1"/>
  <c r="AP74" i="2"/>
  <c r="AP60" i="2"/>
  <c r="AP62" i="2" s="1"/>
  <c r="C125" i="9"/>
  <c r="AQ138" i="2"/>
  <c r="AQ151" i="2"/>
  <c r="AR13" i="2"/>
  <c r="AR161" i="2" s="1"/>
  <c r="AR164" i="2" s="1"/>
  <c r="AR181" i="2" s="1"/>
  <c r="AQ6" i="2"/>
  <c r="AQ30" i="2"/>
  <c r="AQ109" i="2"/>
  <c r="AQ185" i="2" s="1"/>
  <c r="AQ14" i="2"/>
  <c r="AN82" i="2"/>
  <c r="AN83" i="2" s="1"/>
  <c r="AQ7" i="2"/>
  <c r="AQ132" i="2" s="1"/>
  <c r="AQ134" i="2" s="1"/>
  <c r="AR15" i="2"/>
  <c r="AQ131" i="2"/>
  <c r="AQ154" i="2"/>
  <c r="AQ45" i="2"/>
  <c r="AP48" i="2"/>
  <c r="AP44" i="2"/>
  <c r="AP46" i="2" s="1"/>
  <c r="CL8" i="5"/>
  <c r="AK4" i="14" l="1"/>
  <c r="AR108" i="2"/>
  <c r="AR205" i="2"/>
  <c r="AR127" i="2" s="1"/>
  <c r="AQ29" i="2"/>
  <c r="AQ26" i="2"/>
  <c r="AR5" i="5"/>
  <c r="AQ7" i="5"/>
  <c r="AQ6" i="5"/>
  <c r="AP76" i="2"/>
  <c r="AP79" i="2" s="1"/>
  <c r="AQ74" i="2"/>
  <c r="AQ60" i="2"/>
  <c r="AQ62" i="2" s="1"/>
  <c r="C126" i="9"/>
  <c r="AR14" i="2"/>
  <c r="AR109" i="2"/>
  <c r="AR185" i="2" s="1"/>
  <c r="AR138" i="2"/>
  <c r="AR151" i="2"/>
  <c r="AR30" i="2"/>
  <c r="AR6" i="2"/>
  <c r="AS13" i="2"/>
  <c r="AS161" i="2" s="1"/>
  <c r="AS164" i="2" s="1"/>
  <c r="AS181" i="2" s="1"/>
  <c r="AO82" i="2"/>
  <c r="AO83" i="2" s="1"/>
  <c r="AQ48" i="2"/>
  <c r="AQ44" i="2"/>
  <c r="AQ46" i="2" s="1"/>
  <c r="AR7" i="2"/>
  <c r="AR132" i="2" s="1"/>
  <c r="AR134" i="2" s="1"/>
  <c r="AS15" i="2"/>
  <c r="AR154" i="2"/>
  <c r="AR45" i="2"/>
  <c r="AR131" i="2"/>
  <c r="CM8" i="5"/>
  <c r="AL4" i="14" l="1"/>
  <c r="AS108" i="2"/>
  <c r="AS205" i="2"/>
  <c r="AS127" i="2" s="1"/>
  <c r="AR26" i="2"/>
  <c r="AR29" i="2"/>
  <c r="AS5" i="5"/>
  <c r="AR6" i="5"/>
  <c r="AR7" i="5"/>
  <c r="AQ76" i="2"/>
  <c r="AQ79" i="2" s="1"/>
  <c r="AR60" i="2"/>
  <c r="AR62" i="2" s="1"/>
  <c r="AR74" i="2"/>
  <c r="C127" i="9"/>
  <c r="AS138" i="2"/>
  <c r="AS30" i="2"/>
  <c r="AS14" i="2"/>
  <c r="AS109" i="2"/>
  <c r="AS185" i="2" s="1"/>
  <c r="AS6" i="2"/>
  <c r="AT13" i="2"/>
  <c r="AT161" i="2" s="1"/>
  <c r="AT164" i="2" s="1"/>
  <c r="AT181" i="2" s="1"/>
  <c r="AS151" i="2"/>
  <c r="AP82" i="2"/>
  <c r="AP83" i="2" s="1"/>
  <c r="AR48" i="2"/>
  <c r="AR44" i="2"/>
  <c r="AR46" i="2" s="1"/>
  <c r="AT15" i="2"/>
  <c r="AS7" i="2"/>
  <c r="AS132" i="2" s="1"/>
  <c r="AS134" i="2" s="1"/>
  <c r="AS45" i="2"/>
  <c r="AS154" i="2"/>
  <c r="AS131" i="2"/>
  <c r="CN8" i="5"/>
  <c r="AM4" i="14" l="1"/>
  <c r="AT108" i="2"/>
  <c r="AT205" i="2"/>
  <c r="AT127" i="2" s="1"/>
  <c r="AS26" i="2"/>
  <c r="AS29" i="2"/>
  <c r="AT5" i="5"/>
  <c r="AS7" i="5"/>
  <c r="AS6" i="5"/>
  <c r="AR76" i="2"/>
  <c r="AR79" i="2" s="1"/>
  <c r="AS60" i="2"/>
  <c r="AS62" i="2" s="1"/>
  <c r="AS74" i="2"/>
  <c r="C128" i="9"/>
  <c r="AT138" i="2"/>
  <c r="AU13" i="2"/>
  <c r="AU161" i="2" s="1"/>
  <c r="AU164" i="2" s="1"/>
  <c r="AU181" i="2" s="1"/>
  <c r="AT30" i="2"/>
  <c r="AT6" i="2"/>
  <c r="AT109" i="2"/>
  <c r="AT185" i="2" s="1"/>
  <c r="AT14" i="2"/>
  <c r="AT151" i="2"/>
  <c r="AS44" i="2"/>
  <c r="AS46" i="2" s="1"/>
  <c r="AS48" i="2"/>
  <c r="AQ82" i="2"/>
  <c r="AQ83" i="2" s="1"/>
  <c r="AT45" i="2"/>
  <c r="AT7" i="2"/>
  <c r="AT132" i="2" s="1"/>
  <c r="AT134" i="2" s="1"/>
  <c r="AU15" i="2"/>
  <c r="AT154" i="2"/>
  <c r="AT131" i="2"/>
  <c r="CO8" i="5"/>
  <c r="AN4" i="14" l="1"/>
  <c r="AU108" i="2"/>
  <c r="AU205" i="2"/>
  <c r="AU127" i="2" s="1"/>
  <c r="AT29" i="2"/>
  <c r="AT26" i="2"/>
  <c r="AT7" i="5"/>
  <c r="AT6" i="5"/>
  <c r="AU5" i="5"/>
  <c r="AS76" i="2"/>
  <c r="AS79" i="2" s="1"/>
  <c r="AT74" i="2"/>
  <c r="AT60" i="2"/>
  <c r="AT62" i="2" s="1"/>
  <c r="C129" i="9"/>
  <c r="AU151" i="2"/>
  <c r="AV13" i="2"/>
  <c r="AV161" i="2" s="1"/>
  <c r="AV164" i="2" s="1"/>
  <c r="AV181" i="2" s="1"/>
  <c r="AU14" i="2"/>
  <c r="AU138" i="2"/>
  <c r="AU109" i="2"/>
  <c r="AU185" i="2" s="1"/>
  <c r="AU30" i="2"/>
  <c r="AU6" i="2"/>
  <c r="AT48" i="2"/>
  <c r="AT44" i="2"/>
  <c r="AT46" i="2" s="1"/>
  <c r="AR82" i="2"/>
  <c r="AR83" i="2" s="1"/>
  <c r="AU131" i="2"/>
  <c r="AV15" i="2"/>
  <c r="AU154" i="2"/>
  <c r="AU7" i="2"/>
  <c r="AU132" i="2" s="1"/>
  <c r="AU134" i="2" s="1"/>
  <c r="AU45" i="2"/>
  <c r="CP8" i="5"/>
  <c r="AO4" i="14" l="1"/>
  <c r="AV108" i="2"/>
  <c r="AV205" i="2"/>
  <c r="AV127" i="2" s="1"/>
  <c r="AU29" i="2"/>
  <c r="AU26" i="2"/>
  <c r="AU6" i="5"/>
  <c r="AU7" i="5"/>
  <c r="AV5" i="5"/>
  <c r="AT76" i="2"/>
  <c r="AU74" i="2"/>
  <c r="AU60" i="2"/>
  <c r="AU62" i="2" s="1"/>
  <c r="C130" i="9"/>
  <c r="AS82" i="2"/>
  <c r="AS83" i="2" s="1"/>
  <c r="AV6" i="2"/>
  <c r="AV14" i="2"/>
  <c r="AV109" i="2"/>
  <c r="AV185" i="2" s="1"/>
  <c r="AV138" i="2"/>
  <c r="AV30" i="2"/>
  <c r="AW13" i="2"/>
  <c r="AW161" i="2" s="1"/>
  <c r="AW164" i="2" s="1"/>
  <c r="AW181" i="2" s="1"/>
  <c r="AW15" i="2"/>
  <c r="AV7" i="2"/>
  <c r="AV132" i="2" s="1"/>
  <c r="AV134" i="2" s="1"/>
  <c r="AV154" i="2"/>
  <c r="AV45" i="2"/>
  <c r="AV131" i="2"/>
  <c r="AU44" i="2"/>
  <c r="AU46" i="2" s="1"/>
  <c r="AU48" i="2"/>
  <c r="CQ8" i="5"/>
  <c r="AP4" i="14" l="1"/>
  <c r="AW108" i="2"/>
  <c r="AW205" i="2"/>
  <c r="AW127" i="2" s="1"/>
  <c r="AV29" i="2"/>
  <c r="AV26" i="2"/>
  <c r="AV7" i="5"/>
  <c r="AW5" i="5"/>
  <c r="AV6" i="5"/>
  <c r="AU76" i="2"/>
  <c r="AU79" i="2" s="1"/>
  <c r="AV74" i="2"/>
  <c r="AV60" i="2"/>
  <c r="AV62" i="2" s="1"/>
  <c r="C131" i="9"/>
  <c r="AW14" i="2"/>
  <c r="AW6" i="2"/>
  <c r="AW30" i="2"/>
  <c r="AW109" i="2"/>
  <c r="AW185" i="2" s="1"/>
  <c r="AW151" i="2"/>
  <c r="AX13" i="2"/>
  <c r="AX161" i="2" s="1"/>
  <c r="AX164" i="2" s="1"/>
  <c r="AX181" i="2" s="1"/>
  <c r="AW138" i="2"/>
  <c r="AW154" i="2"/>
  <c r="AW131" i="2"/>
  <c r="AW45" i="2"/>
  <c r="AW7" i="2"/>
  <c r="AW132" i="2" s="1"/>
  <c r="AW134" i="2" s="1"/>
  <c r="AX15" i="2"/>
  <c r="AT79" i="2"/>
  <c r="AV48" i="2"/>
  <c r="AV44" i="2"/>
  <c r="AV46" i="2" s="1"/>
  <c r="CR8" i="5"/>
  <c r="AQ4" i="14" l="1"/>
  <c r="AX108" i="2"/>
  <c r="AX205" i="2"/>
  <c r="AX127" i="2" s="1"/>
  <c r="AW26" i="2"/>
  <c r="AW29" i="2"/>
  <c r="AW7" i="5"/>
  <c r="AX5" i="5"/>
  <c r="AW6" i="5"/>
  <c r="AV76" i="2"/>
  <c r="AV79" i="2" s="1"/>
  <c r="AW74" i="2"/>
  <c r="AW60" i="2"/>
  <c r="AW62" i="2" s="1"/>
  <c r="C132" i="9"/>
  <c r="AY13" i="2"/>
  <c r="AY161" i="2" s="1"/>
  <c r="AY164" i="2" s="1"/>
  <c r="AY181" i="2" s="1"/>
  <c r="AX151" i="2"/>
  <c r="AX6" i="2"/>
  <c r="AX14" i="2"/>
  <c r="AX138" i="2"/>
  <c r="AX30" i="2"/>
  <c r="AX109" i="2"/>
  <c r="AX185" i="2" s="1"/>
  <c r="AW48" i="2"/>
  <c r="AW44" i="2"/>
  <c r="AW46" i="2" s="1"/>
  <c r="AT82" i="2"/>
  <c r="AT83" i="2" s="1"/>
  <c r="AU82" i="2"/>
  <c r="AU83" i="2" s="1"/>
  <c r="AX131" i="2"/>
  <c r="AX7" i="2"/>
  <c r="AX132" i="2" s="1"/>
  <c r="AX134" i="2" s="1"/>
  <c r="AX154" i="2"/>
  <c r="AY15" i="2"/>
  <c r="AX45" i="2"/>
  <c r="CS8" i="5"/>
  <c r="AR4" i="14" l="1"/>
  <c r="AY108" i="2"/>
  <c r="AY205" i="2"/>
  <c r="AY127" i="2" s="1"/>
  <c r="AX29" i="2"/>
  <c r="AX26" i="2"/>
  <c r="AX7" i="5"/>
  <c r="AX6" i="5"/>
  <c r="AY5" i="5"/>
  <c r="AW76" i="2"/>
  <c r="AW79" i="2" s="1"/>
  <c r="AX74" i="2"/>
  <c r="AX60" i="2"/>
  <c r="AX62" i="2" s="1"/>
  <c r="C133" i="9"/>
  <c r="AY14" i="2"/>
  <c r="AY151" i="2"/>
  <c r="AY6" i="2"/>
  <c r="AZ13" i="2"/>
  <c r="AZ161" i="2" s="1"/>
  <c r="AZ164" i="2" s="1"/>
  <c r="AZ181" i="2" s="1"/>
  <c r="AY109" i="2"/>
  <c r="AY185" i="2" s="1"/>
  <c r="AY138" i="2"/>
  <c r="AY30" i="2"/>
  <c r="AY7" i="2"/>
  <c r="AY132" i="2" s="1"/>
  <c r="AY134" i="2" s="1"/>
  <c r="AZ15" i="2"/>
  <c r="AY154" i="2"/>
  <c r="AY131" i="2"/>
  <c r="AY45" i="2"/>
  <c r="AV82" i="2"/>
  <c r="AV83" i="2" s="1"/>
  <c r="AX48" i="2"/>
  <c r="AX44" i="2"/>
  <c r="AX46" i="2" s="1"/>
  <c r="CT8" i="5"/>
  <c r="AS4" i="14" l="1"/>
  <c r="AZ108" i="2"/>
  <c r="AZ205" i="2"/>
  <c r="AZ127" i="2" s="1"/>
  <c r="AY29" i="2"/>
  <c r="AY26" i="2"/>
  <c r="AY6" i="5"/>
  <c r="AZ5" i="5"/>
  <c r="AY7" i="5"/>
  <c r="AY74" i="2"/>
  <c r="AY60" i="2"/>
  <c r="AY62" i="2" s="1"/>
  <c r="AX76" i="2"/>
  <c r="AX79" i="2" s="1"/>
  <c r="C134" i="9"/>
  <c r="AZ6" i="2"/>
  <c r="AZ14" i="2"/>
  <c r="AZ30" i="2"/>
  <c r="AZ109" i="2"/>
  <c r="AZ185" i="2" s="1"/>
  <c r="AZ151" i="2"/>
  <c r="AZ138" i="2"/>
  <c r="BA13" i="2"/>
  <c r="BA161" i="2" s="1"/>
  <c r="BA164" i="2" s="1"/>
  <c r="BA181" i="2" s="1"/>
  <c r="AW82" i="2"/>
  <c r="AW83" i="2" s="1"/>
  <c r="AY48" i="2"/>
  <c r="AY44" i="2"/>
  <c r="AY46" i="2" s="1"/>
  <c r="BA15" i="2"/>
  <c r="AZ154" i="2"/>
  <c r="AZ45" i="2"/>
  <c r="AZ131" i="2"/>
  <c r="AZ7" i="2"/>
  <c r="AZ132" i="2" s="1"/>
  <c r="AZ134" i="2" s="1"/>
  <c r="CU8" i="5"/>
  <c r="AT4" i="14" l="1"/>
  <c r="BA108" i="2"/>
  <c r="BA205" i="2"/>
  <c r="BA127" i="2" s="1"/>
  <c r="AZ29" i="2"/>
  <c r="AZ26" i="2"/>
  <c r="AZ6" i="5"/>
  <c r="BA5" i="5"/>
  <c r="AZ7" i="5"/>
  <c r="AY76" i="2"/>
  <c r="AY79" i="2" s="1"/>
  <c r="AZ74" i="2"/>
  <c r="AZ60" i="2"/>
  <c r="AZ62" i="2" s="1"/>
  <c r="C135" i="9"/>
  <c r="BA14" i="2"/>
  <c r="BA109" i="2"/>
  <c r="BA185" i="2" s="1"/>
  <c r="BA138" i="2"/>
  <c r="BA30" i="2"/>
  <c r="BA151" i="2"/>
  <c r="BB13" i="2"/>
  <c r="BB161" i="2" s="1"/>
  <c r="BB164" i="2" s="1"/>
  <c r="BB181" i="2" s="1"/>
  <c r="BA6" i="2"/>
  <c r="BA7" i="2"/>
  <c r="BA132" i="2" s="1"/>
  <c r="BA134" i="2" s="1"/>
  <c r="BA131" i="2"/>
  <c r="BB15" i="2"/>
  <c r="BA154" i="2"/>
  <c r="BA45" i="2"/>
  <c r="AX82" i="2"/>
  <c r="AX83" i="2" s="1"/>
  <c r="AZ48" i="2"/>
  <c r="AZ44" i="2"/>
  <c r="AZ46" i="2" s="1"/>
  <c r="CV8" i="5"/>
  <c r="AU4" i="14" l="1"/>
  <c r="BB108" i="2"/>
  <c r="BB205" i="2"/>
  <c r="BB127" i="2" s="1"/>
  <c r="BA26" i="2"/>
  <c r="BA29" i="2"/>
  <c r="BA6" i="5"/>
  <c r="BA7" i="5"/>
  <c r="BB5" i="5"/>
  <c r="AZ76" i="2"/>
  <c r="AZ79" i="2" s="1"/>
  <c r="BA74" i="2"/>
  <c r="BA60" i="2"/>
  <c r="BA62" i="2" s="1"/>
  <c r="C136" i="9"/>
  <c r="BB151" i="2"/>
  <c r="BB6" i="2"/>
  <c r="BC13" i="2"/>
  <c r="BC161" i="2" s="1"/>
  <c r="BC164" i="2" s="1"/>
  <c r="BC181" i="2" s="1"/>
  <c r="BB138" i="2"/>
  <c r="BB14" i="2"/>
  <c r="BB30" i="2"/>
  <c r="BB109" i="2"/>
  <c r="BB185" i="2" s="1"/>
  <c r="AY82" i="2"/>
  <c r="AY83" i="2" s="1"/>
  <c r="BB131" i="2"/>
  <c r="BC15" i="2"/>
  <c r="BB154" i="2"/>
  <c r="BB45" i="2"/>
  <c r="BB7" i="2"/>
  <c r="BB132" i="2" s="1"/>
  <c r="BB134" i="2" s="1"/>
  <c r="BA48" i="2"/>
  <c r="BA44" i="2"/>
  <c r="BA46" i="2" s="1"/>
  <c r="CW8" i="5"/>
  <c r="AV4" i="14" l="1"/>
  <c r="BC108" i="2"/>
  <c r="BC205" i="2"/>
  <c r="BC127" i="2" s="1"/>
  <c r="BB29" i="2"/>
  <c r="BB26" i="2"/>
  <c r="BB6" i="5"/>
  <c r="BC5" i="5"/>
  <c r="BB7" i="5"/>
  <c r="BA76" i="2"/>
  <c r="BA79" i="2" s="1"/>
  <c r="BB74" i="2"/>
  <c r="BB60" i="2"/>
  <c r="BB62" i="2" s="1"/>
  <c r="C137" i="9"/>
  <c r="BC6" i="2"/>
  <c r="BC14" i="2"/>
  <c r="BC109" i="2"/>
  <c r="BC185" i="2" s="1"/>
  <c r="BC138" i="2"/>
  <c r="BC151" i="2"/>
  <c r="BD13" i="2"/>
  <c r="BD161" i="2" s="1"/>
  <c r="BD164" i="2" s="1"/>
  <c r="BD181" i="2" s="1"/>
  <c r="BC30" i="2"/>
  <c r="AZ82" i="2"/>
  <c r="AZ83" i="2" s="1"/>
  <c r="BC7" i="2"/>
  <c r="BC132" i="2" s="1"/>
  <c r="BC134" i="2" s="1"/>
  <c r="BC45" i="2"/>
  <c r="BD15" i="2"/>
  <c r="BC154" i="2"/>
  <c r="BC131" i="2"/>
  <c r="BB48" i="2"/>
  <c r="BB44" i="2"/>
  <c r="BB46" i="2" s="1"/>
  <c r="CX8" i="5"/>
  <c r="AW4" i="14" l="1"/>
  <c r="BD108" i="2"/>
  <c r="BD205" i="2"/>
  <c r="BD127" i="2" s="1"/>
  <c r="BC29" i="2"/>
  <c r="BC26" i="2"/>
  <c r="BC6" i="5"/>
  <c r="BD5" i="5"/>
  <c r="BC7" i="5"/>
  <c r="BC74" i="2"/>
  <c r="BC60" i="2"/>
  <c r="BC62" i="2" s="1"/>
  <c r="BB76" i="2"/>
  <c r="BB79" i="2" s="1"/>
  <c r="C138" i="9"/>
  <c r="BD30" i="2"/>
  <c r="BD109" i="2"/>
  <c r="BD185" i="2" s="1"/>
  <c r="BD14" i="2"/>
  <c r="BD138" i="2"/>
  <c r="BD151" i="2"/>
  <c r="BE13" i="2"/>
  <c r="BE161" i="2" s="1"/>
  <c r="BE164" i="2" s="1"/>
  <c r="BE181" i="2" s="1"/>
  <c r="BD6" i="2"/>
  <c r="BA82" i="2"/>
  <c r="BA83" i="2" s="1"/>
  <c r="BC44" i="2"/>
  <c r="BC46" i="2" s="1"/>
  <c r="BC48" i="2"/>
  <c r="BD131" i="2"/>
  <c r="BD45" i="2"/>
  <c r="BE15" i="2"/>
  <c r="BD154" i="2"/>
  <c r="BD7" i="2"/>
  <c r="BD132" i="2" s="1"/>
  <c r="BD134" i="2" s="1"/>
  <c r="CY8" i="5"/>
  <c r="AX4" i="14" l="1"/>
  <c r="BE108" i="2"/>
  <c r="BE205" i="2"/>
  <c r="BE127" i="2" s="1"/>
  <c r="BD29" i="2"/>
  <c r="BD26" i="2"/>
  <c r="BE5" i="5"/>
  <c r="BD6" i="5"/>
  <c r="BD7" i="5"/>
  <c r="BC76" i="2"/>
  <c r="BC79" i="2" s="1"/>
  <c r="BD74" i="2"/>
  <c r="BD60" i="2"/>
  <c r="BD62" i="2" s="1"/>
  <c r="C139" i="9"/>
  <c r="BE151" i="2"/>
  <c r="BE30" i="2"/>
  <c r="BF13" i="2"/>
  <c r="BF161" i="2" s="1"/>
  <c r="BF164" i="2" s="1"/>
  <c r="BF181" i="2" s="1"/>
  <c r="BE109" i="2"/>
  <c r="BE185" i="2" s="1"/>
  <c r="BE6" i="2"/>
  <c r="BE14" i="2"/>
  <c r="BE138" i="2"/>
  <c r="BF15" i="2"/>
  <c r="BE154" i="2"/>
  <c r="BE131" i="2"/>
  <c r="BE45" i="2"/>
  <c r="BE7" i="2"/>
  <c r="BE132" i="2" s="1"/>
  <c r="BE134" i="2" s="1"/>
  <c r="BD48" i="2"/>
  <c r="BD44" i="2"/>
  <c r="BD46" i="2" s="1"/>
  <c r="BB82" i="2"/>
  <c r="BB83" i="2" s="1"/>
  <c r="CZ8" i="5"/>
  <c r="AY4" i="14" l="1"/>
  <c r="BF108" i="2"/>
  <c r="BF205" i="2"/>
  <c r="BF127" i="2" s="1"/>
  <c r="BE29" i="2"/>
  <c r="BE26" i="2"/>
  <c r="BE6" i="5"/>
  <c r="BF5" i="5"/>
  <c r="BE7" i="5"/>
  <c r="BD76" i="2"/>
  <c r="BD79" i="2" s="1"/>
  <c r="BE74" i="2"/>
  <c r="BE60" i="2"/>
  <c r="BE62" i="2" s="1"/>
  <c r="C140" i="9"/>
  <c r="BF30" i="2"/>
  <c r="BF138" i="2"/>
  <c r="BG13" i="2"/>
  <c r="BG161" i="2" s="1"/>
  <c r="BG164" i="2" s="1"/>
  <c r="BG181" i="2" s="1"/>
  <c r="BF109" i="2"/>
  <c r="BF185" i="2" s="1"/>
  <c r="BF14" i="2"/>
  <c r="BF151" i="2"/>
  <c r="BF6" i="2"/>
  <c r="BE48" i="2"/>
  <c r="BE44" i="2"/>
  <c r="BE46" i="2" s="1"/>
  <c r="BG15" i="2"/>
  <c r="BF154" i="2"/>
  <c r="BF131" i="2"/>
  <c r="BF7" i="2"/>
  <c r="BF132" i="2" s="1"/>
  <c r="BF134" i="2" s="1"/>
  <c r="BF45" i="2"/>
  <c r="BC82" i="2"/>
  <c r="BC83" i="2" s="1"/>
  <c r="DA8" i="5"/>
  <c r="AZ4" i="14" l="1"/>
  <c r="BG108" i="2"/>
  <c r="BG205" i="2"/>
  <c r="BG127" i="2" s="1"/>
  <c r="BF29" i="2"/>
  <c r="BF26" i="2"/>
  <c r="BF7" i="5"/>
  <c r="BG5" i="5"/>
  <c r="BF6" i="5"/>
  <c r="BE76" i="2"/>
  <c r="BE79" i="2" s="1"/>
  <c r="BF74" i="2"/>
  <c r="BF60" i="2"/>
  <c r="BF62" i="2" s="1"/>
  <c r="C141" i="9"/>
  <c r="BG14" i="2"/>
  <c r="BG30" i="2"/>
  <c r="BG109" i="2"/>
  <c r="BG185" i="2" s="1"/>
  <c r="BH13" i="2"/>
  <c r="BH161" i="2" s="1"/>
  <c r="BH164" i="2" s="1"/>
  <c r="BH181" i="2" s="1"/>
  <c r="BG138" i="2"/>
  <c r="BG6" i="2"/>
  <c r="BH15" i="2"/>
  <c r="BG154" i="2"/>
  <c r="BG131" i="2"/>
  <c r="BG7" i="2"/>
  <c r="BG132" i="2" s="1"/>
  <c r="BG134" i="2" s="1"/>
  <c r="BG45" i="2"/>
  <c r="BD82" i="2"/>
  <c r="BD83" i="2" s="1"/>
  <c r="BF48" i="2"/>
  <c r="BF44" i="2"/>
  <c r="BF46" i="2" s="1"/>
  <c r="DB8" i="5"/>
  <c r="BA4" i="14" l="1"/>
  <c r="BH108" i="2"/>
  <c r="BG29" i="2"/>
  <c r="BG26" i="2"/>
  <c r="BH205" i="2"/>
  <c r="BH127" i="2" s="1"/>
  <c r="BG6" i="5"/>
  <c r="BH5" i="5"/>
  <c r="BG7" i="5"/>
  <c r="BF76" i="2"/>
  <c r="BF79" i="2" s="1"/>
  <c r="BG74" i="2"/>
  <c r="BG60" i="2"/>
  <c r="BG62" i="2" s="1"/>
  <c r="C142" i="9"/>
  <c r="BH6" i="2"/>
  <c r="BH14" i="2"/>
  <c r="BI13" i="2"/>
  <c r="BI161" i="2" s="1"/>
  <c r="BI164" i="2" s="1"/>
  <c r="BI181" i="2" s="1"/>
  <c r="BH109" i="2"/>
  <c r="BH185" i="2" s="1"/>
  <c r="BH151" i="2"/>
  <c r="BH30" i="2"/>
  <c r="BH138" i="2"/>
  <c r="BE82" i="2"/>
  <c r="BE83" i="2" s="1"/>
  <c r="BG44" i="2"/>
  <c r="BG46" i="2" s="1"/>
  <c r="BG48" i="2"/>
  <c r="BH154" i="2"/>
  <c r="BH7" i="2"/>
  <c r="BH132" i="2" s="1"/>
  <c r="BH134" i="2" s="1"/>
  <c r="BH45" i="2"/>
  <c r="BI15" i="2"/>
  <c r="BH131" i="2"/>
  <c r="DC8" i="5"/>
  <c r="BB4" i="14" l="1"/>
  <c r="BI108" i="2"/>
  <c r="BH29" i="2"/>
  <c r="BI205" i="2"/>
  <c r="BI127" i="2" s="1"/>
  <c r="BH26" i="2"/>
  <c r="BH6" i="5"/>
  <c r="BI5" i="5"/>
  <c r="BH7" i="5"/>
  <c r="BG76" i="2"/>
  <c r="BG79" i="2" s="1"/>
  <c r="BG82" i="2" s="1"/>
  <c r="BH74" i="2"/>
  <c r="BH60" i="2"/>
  <c r="BH62" i="2" s="1"/>
  <c r="C143" i="9"/>
  <c r="BJ13" i="2"/>
  <c r="BJ161" i="2" s="1"/>
  <c r="BJ164" i="2" s="1"/>
  <c r="BJ181" i="2" s="1"/>
  <c r="BI151" i="2"/>
  <c r="BI6" i="2"/>
  <c r="BI14" i="2"/>
  <c r="BI109" i="2"/>
  <c r="BI185" i="2" s="1"/>
  <c r="BI138" i="2"/>
  <c r="BI30" i="2"/>
  <c r="BF82" i="2"/>
  <c r="BF83" i="2" s="1"/>
  <c r="BH44" i="2"/>
  <c r="BH46" i="2" s="1"/>
  <c r="BH48" i="2"/>
  <c r="BI154" i="2"/>
  <c r="BI7" i="2"/>
  <c r="BI132" i="2" s="1"/>
  <c r="BI134" i="2" s="1"/>
  <c r="BI131" i="2"/>
  <c r="BJ15" i="2"/>
  <c r="BI45" i="2"/>
  <c r="DD8" i="5"/>
  <c r="BC4" i="14" l="1"/>
  <c r="BJ108" i="2"/>
  <c r="BG83" i="2"/>
  <c r="BI29" i="2"/>
  <c r="BJ205" i="2"/>
  <c r="BJ127" i="2" s="1"/>
  <c r="BI6" i="5"/>
  <c r="BJ5" i="5"/>
  <c r="BI7" i="5"/>
  <c r="BH76" i="2"/>
  <c r="BI74" i="2"/>
  <c r="BI60" i="2"/>
  <c r="BI62" i="2" s="1"/>
  <c r="C144" i="9"/>
  <c r="BJ138" i="2"/>
  <c r="BJ30" i="2"/>
  <c r="BJ151" i="2"/>
  <c r="BK13" i="2"/>
  <c r="BK161" i="2" s="1"/>
  <c r="BK164" i="2" s="1"/>
  <c r="BK181" i="2" s="1"/>
  <c r="BJ6" i="2"/>
  <c r="BJ14" i="2"/>
  <c r="BJ109" i="2"/>
  <c r="BJ185" i="2" s="1"/>
  <c r="BI48" i="2"/>
  <c r="BI44" i="2"/>
  <c r="BI46" i="2" s="1"/>
  <c r="BK15" i="2"/>
  <c r="BJ154" i="2"/>
  <c r="BJ45" i="2"/>
  <c r="BJ131" i="2"/>
  <c r="BJ7" i="2"/>
  <c r="BJ132" i="2" s="1"/>
  <c r="BJ134" i="2" s="1"/>
  <c r="DE8" i="5"/>
  <c r="BD4" i="14" l="1"/>
  <c r="BK108" i="2"/>
  <c r="BJ29" i="2"/>
  <c r="BK205" i="2"/>
  <c r="BK127" i="2" s="1"/>
  <c r="BJ7" i="5"/>
  <c r="BJ6" i="5"/>
  <c r="BK5" i="5"/>
  <c r="BI76" i="2"/>
  <c r="BJ74" i="2"/>
  <c r="BJ60" i="2"/>
  <c r="BJ62" i="2" s="1"/>
  <c r="C145" i="9"/>
  <c r="BH79" i="2"/>
  <c r="BH82" i="2" s="1"/>
  <c r="BL13" i="2"/>
  <c r="BK6" i="2"/>
  <c r="BK14" i="2"/>
  <c r="BK138" i="2"/>
  <c r="BK109" i="2"/>
  <c r="BK185" i="2" s="1"/>
  <c r="BK151" i="2"/>
  <c r="BK30" i="2"/>
  <c r="BK154" i="2"/>
  <c r="BK131" i="2"/>
  <c r="BK45" i="2"/>
  <c r="BL15" i="2"/>
  <c r="BK7" i="2"/>
  <c r="BK132" i="2" s="1"/>
  <c r="BK134" i="2" s="1"/>
  <c r="BJ44" i="2"/>
  <c r="BJ46" i="2" s="1"/>
  <c r="BJ48" i="2"/>
  <c r="DF8" i="5"/>
  <c r="BL24" i="2" l="1"/>
  <c r="BL161" i="2"/>
  <c r="BL164" i="2" s="1"/>
  <c r="BL181" i="2" s="1"/>
  <c r="BE4" i="14"/>
  <c r="BL108" i="2"/>
  <c r="BL30" i="2"/>
  <c r="BL28" i="2"/>
  <c r="BH83" i="2"/>
  <c r="BK29" i="2"/>
  <c r="BL205" i="2"/>
  <c r="BL127" i="2" s="1"/>
  <c r="BK6" i="5"/>
  <c r="BK7" i="5"/>
  <c r="BL5" i="5"/>
  <c r="BJ76" i="2"/>
  <c r="BK60" i="2"/>
  <c r="BK62" i="2" s="1"/>
  <c r="BK74" i="2"/>
  <c r="BI79" i="2"/>
  <c r="C146" i="9"/>
  <c r="BM13" i="2"/>
  <c r="BM161" i="2" s="1"/>
  <c r="BM164" i="2" s="1"/>
  <c r="BM181" i="2" s="1"/>
  <c r="BL109" i="2"/>
  <c r="BL185" i="2" s="1"/>
  <c r="BL138" i="2"/>
  <c r="BL151" i="2"/>
  <c r="BL14" i="2"/>
  <c r="BL6" i="2"/>
  <c r="BK48" i="2"/>
  <c r="BK44" i="2"/>
  <c r="BK46" i="2" s="1"/>
  <c r="BL154" i="2"/>
  <c r="BM15" i="2"/>
  <c r="BL7" i="2"/>
  <c r="BL132" i="2" s="1"/>
  <c r="BL134" i="2" s="1"/>
  <c r="BL131" i="2"/>
  <c r="BL45" i="2"/>
  <c r="DG8" i="5"/>
  <c r="BN10" i="2" l="1"/>
  <c r="BM24" i="2"/>
  <c r="BF4" i="14"/>
  <c r="BM108" i="2"/>
  <c r="BM205" i="2"/>
  <c r="BM127" i="2" s="1"/>
  <c r="BM28" i="2"/>
  <c r="BM5" i="5"/>
  <c r="BL7" i="5"/>
  <c r="BL6" i="5"/>
  <c r="BK76" i="2"/>
  <c r="BL74" i="2"/>
  <c r="BL60" i="2"/>
  <c r="BI82" i="2"/>
  <c r="BJ79" i="2"/>
  <c r="BJ82" i="2" s="1"/>
  <c r="BJ83" i="2" s="1"/>
  <c r="C147" i="9"/>
  <c r="BM30" i="2"/>
  <c r="BM138" i="2"/>
  <c r="BM6" i="2"/>
  <c r="BN13" i="2"/>
  <c r="BM109" i="2"/>
  <c r="BM185" i="2" s="1"/>
  <c r="BM151" i="2"/>
  <c r="BM14" i="2"/>
  <c r="BL48" i="2"/>
  <c r="BL44" i="2"/>
  <c r="BL46" i="2" s="1"/>
  <c r="BM131" i="2"/>
  <c r="BN15" i="2"/>
  <c r="BM45" i="2"/>
  <c r="BM7" i="2"/>
  <c r="BM132" i="2" s="1"/>
  <c r="BM134" i="2" s="1"/>
  <c r="BM154" i="2"/>
  <c r="DH8" i="5"/>
  <c r="BN24" i="2" l="1"/>
  <c r="BN161" i="2"/>
  <c r="BN164" i="2" s="1"/>
  <c r="BN181" i="2" s="1"/>
  <c r="BG4" i="14"/>
  <c r="BM110" i="2"/>
  <c r="BI80" i="2"/>
  <c r="BN85" i="2"/>
  <c r="BN174" i="2" s="1"/>
  <c r="I17" i="1"/>
  <c r="G53" i="52" s="1"/>
  <c r="L110" i="2"/>
  <c r="E8" i="5"/>
  <c r="F8" i="5" s="1"/>
  <c r="L37" i="2"/>
  <c r="L34" i="2"/>
  <c r="L146" i="2"/>
  <c r="K146" i="2"/>
  <c r="M146" i="2"/>
  <c r="M110" i="2"/>
  <c r="M34" i="2"/>
  <c r="M37" i="2"/>
  <c r="N146" i="2"/>
  <c r="N110" i="2"/>
  <c r="N34" i="2"/>
  <c r="N37" i="2"/>
  <c r="O146" i="2"/>
  <c r="L80" i="2"/>
  <c r="O34" i="2"/>
  <c r="O37" i="2"/>
  <c r="M80" i="2"/>
  <c r="O110" i="2"/>
  <c r="P146" i="2"/>
  <c r="P34" i="2"/>
  <c r="P110" i="2"/>
  <c r="P37" i="2"/>
  <c r="N80" i="2"/>
  <c r="O80" i="2"/>
  <c r="Q110" i="2"/>
  <c r="Q146" i="2"/>
  <c r="Q37" i="2"/>
  <c r="Q34" i="2"/>
  <c r="P80" i="2"/>
  <c r="R146" i="2"/>
  <c r="R110" i="2"/>
  <c r="R37" i="2"/>
  <c r="R34" i="2"/>
  <c r="Q80" i="2"/>
  <c r="S110" i="2"/>
  <c r="S37" i="2"/>
  <c r="S146" i="2"/>
  <c r="S34" i="2"/>
  <c r="R80" i="2"/>
  <c r="T34" i="2"/>
  <c r="T146" i="2"/>
  <c r="T37" i="2"/>
  <c r="T110" i="2"/>
  <c r="S80" i="2"/>
  <c r="U37" i="2"/>
  <c r="U110" i="2"/>
  <c r="U146" i="2"/>
  <c r="V146" i="2"/>
  <c r="U34" i="2"/>
  <c r="V34" i="2"/>
  <c r="T80" i="2"/>
  <c r="V110" i="2"/>
  <c r="W37" i="2"/>
  <c r="W110" i="2"/>
  <c r="V37" i="2"/>
  <c r="W146" i="2"/>
  <c r="W34" i="2"/>
  <c r="U80" i="2"/>
  <c r="X110" i="2"/>
  <c r="X34" i="2"/>
  <c r="X146" i="2"/>
  <c r="X37" i="2"/>
  <c r="Y110" i="2"/>
  <c r="Y146" i="2"/>
  <c r="Y37" i="2"/>
  <c r="Y34" i="2"/>
  <c r="Z146" i="2"/>
  <c r="W80" i="2"/>
  <c r="Z110" i="2"/>
  <c r="Z37" i="2"/>
  <c r="Z34" i="2"/>
  <c r="AA37" i="2"/>
  <c r="AA146" i="2"/>
  <c r="AA34" i="2"/>
  <c r="AA110" i="2"/>
  <c r="V80" i="2"/>
  <c r="X80" i="2"/>
  <c r="Y80" i="2"/>
  <c r="AB34" i="2"/>
  <c r="AB110" i="2"/>
  <c r="AB37" i="2"/>
  <c r="AB146" i="2"/>
  <c r="AC34" i="2"/>
  <c r="AC146" i="2"/>
  <c r="AC37" i="2"/>
  <c r="AC110" i="2"/>
  <c r="Z80" i="2"/>
  <c r="AA80" i="2"/>
  <c r="AD110" i="2"/>
  <c r="AD34" i="2"/>
  <c r="AD146" i="2"/>
  <c r="AD37" i="2"/>
  <c r="AB80" i="2"/>
  <c r="AE34" i="2"/>
  <c r="AE146" i="2"/>
  <c r="AE37" i="2"/>
  <c r="AE110" i="2"/>
  <c r="AF146" i="2"/>
  <c r="AF110" i="2"/>
  <c r="AF34" i="2"/>
  <c r="AC80" i="2"/>
  <c r="AF37" i="2"/>
  <c r="AD80" i="2"/>
  <c r="AG37" i="2"/>
  <c r="AG34" i="2"/>
  <c r="AG110" i="2"/>
  <c r="AG146" i="2"/>
  <c r="AH146" i="2"/>
  <c r="AE80" i="2"/>
  <c r="AH110" i="2"/>
  <c r="AH37" i="2"/>
  <c r="AH34" i="2"/>
  <c r="AI110" i="2"/>
  <c r="AI37" i="2"/>
  <c r="AI146" i="2"/>
  <c r="AF80" i="2"/>
  <c r="AI34" i="2"/>
  <c r="AJ110" i="2"/>
  <c r="AJ34" i="2"/>
  <c r="AJ146" i="2"/>
  <c r="AJ37" i="2"/>
  <c r="AG80" i="2"/>
  <c r="AH80" i="2"/>
  <c r="AK146" i="2"/>
  <c r="AK34" i="2"/>
  <c r="AK110" i="2"/>
  <c r="AK37" i="2"/>
  <c r="AI80" i="2"/>
  <c r="AL34" i="2"/>
  <c r="AL110" i="2"/>
  <c r="AL37" i="2"/>
  <c r="AL146" i="2"/>
  <c r="AM110" i="2"/>
  <c r="AJ80" i="2"/>
  <c r="AM146" i="2"/>
  <c r="AM34" i="2"/>
  <c r="AM37" i="2"/>
  <c r="AK80" i="2"/>
  <c r="AN34" i="2"/>
  <c r="AN37" i="2"/>
  <c r="AN110" i="2"/>
  <c r="AN146" i="2"/>
  <c r="AO37" i="2"/>
  <c r="AO34" i="2"/>
  <c r="AO110" i="2"/>
  <c r="AL80" i="2"/>
  <c r="AO146" i="2"/>
  <c r="AP146" i="2"/>
  <c r="AP37" i="2"/>
  <c r="AP110" i="2"/>
  <c r="AP34" i="2"/>
  <c r="AM80" i="2"/>
  <c r="AN80" i="2"/>
  <c r="AQ110" i="2"/>
  <c r="AQ37" i="2"/>
  <c r="AQ146" i="2"/>
  <c r="AQ34" i="2"/>
  <c r="AO80" i="2"/>
  <c r="AR34" i="2"/>
  <c r="AR110" i="2"/>
  <c r="AR37" i="2"/>
  <c r="AR146" i="2"/>
  <c r="AS110" i="2"/>
  <c r="AP80" i="2"/>
  <c r="AS34" i="2"/>
  <c r="AS37" i="2"/>
  <c r="AS146" i="2"/>
  <c r="AT146" i="2"/>
  <c r="AQ80" i="2"/>
  <c r="AT34" i="2"/>
  <c r="AT37" i="2"/>
  <c r="AT110" i="2"/>
  <c r="AR80" i="2"/>
  <c r="AU110" i="2"/>
  <c r="AU34" i="2"/>
  <c r="AU146" i="2"/>
  <c r="AU37" i="2"/>
  <c r="AS80" i="2"/>
  <c r="AV146" i="2"/>
  <c r="AV34" i="2"/>
  <c r="AV37" i="2"/>
  <c r="AV110" i="2"/>
  <c r="AW37" i="2"/>
  <c r="AW34" i="2"/>
  <c r="AW110" i="2"/>
  <c r="AW146" i="2"/>
  <c r="AX110" i="2"/>
  <c r="AX37" i="2"/>
  <c r="AX146" i="2"/>
  <c r="AU80" i="2"/>
  <c r="AT80" i="2"/>
  <c r="AX34" i="2"/>
  <c r="AV80" i="2"/>
  <c r="AY37" i="2"/>
  <c r="AY146" i="2"/>
  <c r="AY34" i="2"/>
  <c r="AY110" i="2"/>
  <c r="AZ34" i="2"/>
  <c r="AZ37" i="2"/>
  <c r="AZ110" i="2"/>
  <c r="AZ146" i="2"/>
  <c r="AW80" i="2"/>
  <c r="AX80" i="2"/>
  <c r="BA34" i="2"/>
  <c r="BA37" i="2"/>
  <c r="BA110" i="2"/>
  <c r="BA146" i="2"/>
  <c r="AY80" i="2"/>
  <c r="BB34" i="2"/>
  <c r="BB110" i="2"/>
  <c r="BB37" i="2"/>
  <c r="BB146" i="2"/>
  <c r="AZ80" i="2"/>
  <c r="BC34" i="2"/>
  <c r="BC146" i="2"/>
  <c r="BC37" i="2"/>
  <c r="BC110" i="2"/>
  <c r="BA80" i="2"/>
  <c r="BD34" i="2"/>
  <c r="BD146" i="2"/>
  <c r="BD37" i="2"/>
  <c r="BD110" i="2"/>
  <c r="BB80" i="2"/>
  <c r="BE37" i="2"/>
  <c r="BE146" i="2"/>
  <c r="BE34" i="2"/>
  <c r="BE110" i="2"/>
  <c r="BF146" i="2"/>
  <c r="BC80" i="2"/>
  <c r="BF37" i="2"/>
  <c r="BF110" i="2"/>
  <c r="BF34" i="2"/>
  <c r="BG37" i="2"/>
  <c r="BG34" i="2"/>
  <c r="BG146" i="2"/>
  <c r="BD80" i="2"/>
  <c r="BE80" i="2"/>
  <c r="BH37" i="2"/>
  <c r="BH34" i="2"/>
  <c r="BF80" i="2"/>
  <c r="BI37" i="2"/>
  <c r="BI34" i="2"/>
  <c r="BI110" i="2"/>
  <c r="BJ37" i="2"/>
  <c r="BG80" i="2"/>
  <c r="BJ34" i="2"/>
  <c r="BJ110" i="2"/>
  <c r="BK37" i="2"/>
  <c r="BK110" i="2"/>
  <c r="BK34" i="2"/>
  <c r="BH80" i="2"/>
  <c r="BL110" i="2"/>
  <c r="BN108" i="2"/>
  <c r="BI83" i="2"/>
  <c r="BN205" i="2"/>
  <c r="BN127" i="2" s="1"/>
  <c r="BN28" i="2"/>
  <c r="BN5" i="5"/>
  <c r="BM7" i="5"/>
  <c r="BM6" i="5"/>
  <c r="BM60" i="2"/>
  <c r="BM74" i="2"/>
  <c r="BJ80" i="2"/>
  <c r="BK79" i="2"/>
  <c r="BN110" i="2"/>
  <c r="C148" i="9"/>
  <c r="BO13" i="2"/>
  <c r="BN151" i="2"/>
  <c r="BN30" i="2"/>
  <c r="BN109" i="2"/>
  <c r="BN185" i="2" s="1"/>
  <c r="BN14" i="2"/>
  <c r="BN138" i="2"/>
  <c r="BN6" i="2"/>
  <c r="BM44" i="2"/>
  <c r="BM46" i="2" s="1"/>
  <c r="BM48" i="2"/>
  <c r="BN154" i="2"/>
  <c r="BN7" i="2"/>
  <c r="BN132" i="2" s="1"/>
  <c r="BN134" i="2" s="1"/>
  <c r="BN131" i="2"/>
  <c r="BN45" i="2"/>
  <c r="BO15" i="2"/>
  <c r="DI8" i="5"/>
  <c r="HC163" i="2" l="1"/>
  <c r="HD163" i="2"/>
  <c r="HE163" i="2"/>
  <c r="HD162" i="2"/>
  <c r="HB162" i="2"/>
  <c r="HC162" i="2"/>
  <c r="HE162" i="2"/>
  <c r="HB163" i="2"/>
  <c r="BO24" i="2"/>
  <c r="BO161" i="2"/>
  <c r="BO164" i="2" s="1"/>
  <c r="BO181" i="2" s="1"/>
  <c r="AB176" i="2"/>
  <c r="BN170" i="2"/>
  <c r="BN186" i="2" s="1"/>
  <c r="BH4" i="14"/>
  <c r="BJ176" i="2"/>
  <c r="AT176" i="2"/>
  <c r="BK176" i="2"/>
  <c r="AZ176" i="2"/>
  <c r="AQ176" i="2"/>
  <c r="BA176" i="2"/>
  <c r="AR176" i="2"/>
  <c r="AJ176" i="2"/>
  <c r="Z176" i="2"/>
  <c r="R176" i="2"/>
  <c r="P176" i="2"/>
  <c r="X176" i="2"/>
  <c r="N176" i="2"/>
  <c r="AW176" i="2"/>
  <c r="AC176" i="2"/>
  <c r="Q176" i="2"/>
  <c r="T176" i="2"/>
  <c r="O176" i="2"/>
  <c r="AY176" i="2"/>
  <c r="AN176" i="2"/>
  <c r="AH176" i="2"/>
  <c r="AE176" i="2"/>
  <c r="AP176" i="2"/>
  <c r="AO176" i="2"/>
  <c r="AF176" i="2"/>
  <c r="AA176" i="2"/>
  <c r="AV177" i="2"/>
  <c r="AV88" i="2"/>
  <c r="AV100" i="2"/>
  <c r="AM88" i="2"/>
  <c r="AM177" i="2"/>
  <c r="AM100" i="2"/>
  <c r="AG88" i="2"/>
  <c r="AG111" i="2" s="1"/>
  <c r="AG100" i="2"/>
  <c r="AG177" i="2"/>
  <c r="Z177" i="2"/>
  <c r="Z88" i="2"/>
  <c r="Z111" i="2" s="1"/>
  <c r="Z100" i="2"/>
  <c r="T177" i="2"/>
  <c r="T100" i="2"/>
  <c r="T88" i="2"/>
  <c r="T111" i="2" s="1"/>
  <c r="X100" i="2"/>
  <c r="X88" i="2"/>
  <c r="X111" i="2" s="1"/>
  <c r="X177" i="2"/>
  <c r="Y176" i="2"/>
  <c r="BB176" i="2"/>
  <c r="R88" i="2"/>
  <c r="R111" i="2" s="1"/>
  <c r="R100" i="2"/>
  <c r="R177" i="2"/>
  <c r="L88" i="2"/>
  <c r="L111" i="2" s="1"/>
  <c r="L100" i="2"/>
  <c r="L177" i="2"/>
  <c r="BI176" i="2"/>
  <c r="BE88" i="2"/>
  <c r="BE111" i="2" s="1"/>
  <c r="BE100" i="2"/>
  <c r="BE177" i="2"/>
  <c r="BF176" i="2"/>
  <c r="BE176" i="2"/>
  <c r="BD176" i="2"/>
  <c r="BC176" i="2"/>
  <c r="AY88" i="2"/>
  <c r="AY111" i="2" s="1"/>
  <c r="AY177" i="2"/>
  <c r="AY100" i="2"/>
  <c r="AX177" i="2"/>
  <c r="AX88" i="2"/>
  <c r="AX100" i="2"/>
  <c r="AX176" i="2"/>
  <c r="AL100" i="2"/>
  <c r="AL88" i="2"/>
  <c r="AL111" i="2" s="1"/>
  <c r="AL177" i="2"/>
  <c r="AK176" i="2"/>
  <c r="AI176" i="2"/>
  <c r="AG176" i="2"/>
  <c r="AC88" i="2"/>
  <c r="AC111" i="2" s="1"/>
  <c r="AC177" i="2"/>
  <c r="AC100" i="2"/>
  <c r="AD176" i="2"/>
  <c r="V177" i="2"/>
  <c r="V100" i="2"/>
  <c r="V88" i="2"/>
  <c r="V111" i="2" s="1"/>
  <c r="V176" i="2"/>
  <c r="U176" i="2"/>
  <c r="S88" i="2"/>
  <c r="S111" i="2" s="1"/>
  <c r="S100" i="2"/>
  <c r="S177" i="2"/>
  <c r="Q100" i="2"/>
  <c r="Q177" i="2"/>
  <c r="Q88" i="2"/>
  <c r="Q111" i="2" s="1"/>
  <c r="P100" i="2"/>
  <c r="P88" i="2"/>
  <c r="P111" i="2" s="1"/>
  <c r="P177" i="2"/>
  <c r="O177" i="2"/>
  <c r="O88" i="2"/>
  <c r="O111" i="2" s="1"/>
  <c r="O100" i="2"/>
  <c r="K85" i="2"/>
  <c r="K170" i="2"/>
  <c r="K186" i="2" s="1"/>
  <c r="K147" i="2"/>
  <c r="K148" i="2" s="1"/>
  <c r="L170" i="2"/>
  <c r="L186" i="2" s="1"/>
  <c r="L85" i="2"/>
  <c r="M85" i="2"/>
  <c r="M170" i="2"/>
  <c r="M186" i="2" s="1"/>
  <c r="N170" i="2"/>
  <c r="N186" i="2" s="1"/>
  <c r="N85" i="2"/>
  <c r="O85" i="2"/>
  <c r="O170" i="2"/>
  <c r="O186" i="2" s="1"/>
  <c r="P85" i="2"/>
  <c r="P170" i="2"/>
  <c r="P186" i="2" s="1"/>
  <c r="Q85" i="2"/>
  <c r="Q170" i="2"/>
  <c r="Q186" i="2" s="1"/>
  <c r="R85" i="2"/>
  <c r="R170" i="2"/>
  <c r="R186" i="2" s="1"/>
  <c r="S170" i="2"/>
  <c r="S186" i="2" s="1"/>
  <c r="S85" i="2"/>
  <c r="T170" i="2"/>
  <c r="T186" i="2" s="1"/>
  <c r="T85" i="2"/>
  <c r="T174" i="2" s="1"/>
  <c r="U85" i="2"/>
  <c r="U170" i="2"/>
  <c r="U186" i="2" s="1"/>
  <c r="W170" i="2"/>
  <c r="W186" i="2" s="1"/>
  <c r="W85" i="2"/>
  <c r="V85" i="2"/>
  <c r="V170" i="2"/>
  <c r="V186" i="2" s="1"/>
  <c r="X170" i="2"/>
  <c r="X186" i="2" s="1"/>
  <c r="X85" i="2"/>
  <c r="Y85" i="2"/>
  <c r="Y170" i="2"/>
  <c r="Y186" i="2" s="1"/>
  <c r="Z85" i="2"/>
  <c r="Z170" i="2"/>
  <c r="Z186" i="2" s="1"/>
  <c r="AA170" i="2"/>
  <c r="AA186" i="2" s="1"/>
  <c r="AA85" i="2"/>
  <c r="AB85" i="2"/>
  <c r="AB170" i="2"/>
  <c r="AB186" i="2" s="1"/>
  <c r="AC85" i="2"/>
  <c r="AC170" i="2"/>
  <c r="AC186" i="2" s="1"/>
  <c r="AD170" i="2"/>
  <c r="AD186" i="2" s="1"/>
  <c r="AD85" i="2"/>
  <c r="AE170" i="2"/>
  <c r="AE186" i="2" s="1"/>
  <c r="AE85" i="2"/>
  <c r="AF85" i="2"/>
  <c r="AF170" i="2"/>
  <c r="AF186" i="2" s="1"/>
  <c r="AG170" i="2"/>
  <c r="AG186" i="2" s="1"/>
  <c r="AG85" i="2"/>
  <c r="AH170" i="2"/>
  <c r="AH186" i="2" s="1"/>
  <c r="AH85" i="2"/>
  <c r="AI170" i="2"/>
  <c r="AI186" i="2" s="1"/>
  <c r="AI85" i="2"/>
  <c r="AJ85" i="2"/>
  <c r="AJ170" i="2"/>
  <c r="AK85" i="2"/>
  <c r="AK170" i="2"/>
  <c r="AK186" i="2" s="1"/>
  <c r="AL85" i="2"/>
  <c r="AL170" i="2"/>
  <c r="AL186" i="2" s="1"/>
  <c r="AM170" i="2"/>
  <c r="AM186" i="2" s="1"/>
  <c r="AM85" i="2"/>
  <c r="AN85" i="2"/>
  <c r="AN170" i="2"/>
  <c r="AN186" i="2" s="1"/>
  <c r="AO85" i="2"/>
  <c r="AO170" i="2"/>
  <c r="AO186" i="2" s="1"/>
  <c r="AP170" i="2"/>
  <c r="AP186" i="2" s="1"/>
  <c r="AP85" i="2"/>
  <c r="AQ85" i="2"/>
  <c r="AQ170" i="2"/>
  <c r="AQ186" i="2" s="1"/>
  <c r="AR170" i="2"/>
  <c r="AR186" i="2" s="1"/>
  <c r="AR85" i="2"/>
  <c r="AS170" i="2"/>
  <c r="AS186" i="2" s="1"/>
  <c r="AS85" i="2"/>
  <c r="AS174" i="2" s="1"/>
  <c r="AT170" i="2"/>
  <c r="AT186" i="2" s="1"/>
  <c r="AT85" i="2"/>
  <c r="AU85" i="2"/>
  <c r="AU170" i="2"/>
  <c r="AU186" i="2" s="1"/>
  <c r="AV85" i="2"/>
  <c r="AV170" i="2"/>
  <c r="AW170" i="2"/>
  <c r="AW186" i="2" s="1"/>
  <c r="AW85" i="2"/>
  <c r="AX85" i="2"/>
  <c r="AX170" i="2"/>
  <c r="AX186" i="2" s="1"/>
  <c r="AY85" i="2"/>
  <c r="AY170" i="2"/>
  <c r="AY186" i="2" s="1"/>
  <c r="AZ170" i="2"/>
  <c r="AZ186" i="2" s="1"/>
  <c r="AZ85" i="2"/>
  <c r="BA170" i="2"/>
  <c r="BA186" i="2" s="1"/>
  <c r="BA85" i="2"/>
  <c r="BB85" i="2"/>
  <c r="BB170" i="2"/>
  <c r="BB186" i="2" s="1"/>
  <c r="BC85" i="2"/>
  <c r="BC170" i="2"/>
  <c r="BC186" i="2" s="1"/>
  <c r="BD85" i="2"/>
  <c r="BD170" i="2"/>
  <c r="BD186" i="2" s="1"/>
  <c r="BE170" i="2"/>
  <c r="BE186" i="2" s="1"/>
  <c r="BE85" i="2"/>
  <c r="BE174" i="2" s="1"/>
  <c r="BF85" i="2"/>
  <c r="BF174" i="2" s="1"/>
  <c r="BF170" i="2"/>
  <c r="BF186" i="2" s="1"/>
  <c r="BH85" i="2"/>
  <c r="BH170" i="2"/>
  <c r="BH186" i="2" s="1"/>
  <c r="BI85" i="2"/>
  <c r="BI170" i="2"/>
  <c r="BI186" i="2" s="1"/>
  <c r="BJ170" i="2"/>
  <c r="BJ186" i="2" s="1"/>
  <c r="BJ85" i="2"/>
  <c r="BJ174" i="2" s="1"/>
  <c r="BK170" i="2"/>
  <c r="BK186" i="2" s="1"/>
  <c r="BK85" i="2"/>
  <c r="BK174" i="2" s="1"/>
  <c r="BL85" i="2"/>
  <c r="BL174" i="2" s="1"/>
  <c r="BL170" i="2"/>
  <c r="BL186" i="2" s="1"/>
  <c r="BM170" i="2"/>
  <c r="BM186" i="2" s="1"/>
  <c r="BM85" i="2"/>
  <c r="BM174" i="2" s="1"/>
  <c r="AZ177" i="2"/>
  <c r="AZ88" i="2"/>
  <c r="AZ100" i="2"/>
  <c r="AW100" i="2"/>
  <c r="AW88" i="2"/>
  <c r="AW177" i="2"/>
  <c r="AT100" i="2"/>
  <c r="AT88" i="2"/>
  <c r="AT111" i="2" s="1"/>
  <c r="AT177" i="2"/>
  <c r="AV176" i="2"/>
  <c r="AU176" i="2"/>
  <c r="AS176" i="2"/>
  <c r="AM176" i="2"/>
  <c r="AL176" i="2"/>
  <c r="AF177" i="2"/>
  <c r="AF88" i="2"/>
  <c r="AF111" i="2" s="1"/>
  <c r="AF100" i="2"/>
  <c r="U100" i="2"/>
  <c r="U88" i="2"/>
  <c r="U111" i="2" s="1"/>
  <c r="U177" i="2"/>
  <c r="N88" i="2"/>
  <c r="N111" i="2" s="1"/>
  <c r="N100" i="2"/>
  <c r="N177" i="2"/>
  <c r="L176" i="2"/>
  <c r="BH88" i="2"/>
  <c r="BH111" i="2" s="1"/>
  <c r="BH177" i="2"/>
  <c r="BH100" i="2"/>
  <c r="BD100" i="2"/>
  <c r="BD177" i="2"/>
  <c r="BD88" i="2"/>
  <c r="AU177" i="2"/>
  <c r="AU100" i="2"/>
  <c r="AU88" i="2"/>
  <c r="AQ88" i="2"/>
  <c r="AQ100" i="2"/>
  <c r="AQ177" i="2"/>
  <c r="AP100" i="2"/>
  <c r="AP88" i="2"/>
  <c r="AP111" i="2" s="1"/>
  <c r="AP177" i="2"/>
  <c r="S176" i="2"/>
  <c r="BG100" i="2"/>
  <c r="BG177" i="2"/>
  <c r="BG88" i="2"/>
  <c r="BG111" i="2" s="1"/>
  <c r="BF100" i="2"/>
  <c r="BF88" i="2"/>
  <c r="BF177" i="2"/>
  <c r="BC88" i="2"/>
  <c r="BC177" i="2"/>
  <c r="BC100" i="2"/>
  <c r="BB100" i="2"/>
  <c r="BB88" i="2"/>
  <c r="BB177" i="2"/>
  <c r="BA100" i="2"/>
  <c r="BA177" i="2"/>
  <c r="BA88" i="2"/>
  <c r="BA111" i="2" s="1"/>
  <c r="AR177" i="2"/>
  <c r="AR88" i="2"/>
  <c r="AR100" i="2"/>
  <c r="AN177" i="2"/>
  <c r="AN100" i="2"/>
  <c r="AN88" i="2"/>
  <c r="AN111" i="2" s="1"/>
  <c r="AJ177" i="2"/>
  <c r="AJ100" i="2"/>
  <c r="AJ88" i="2"/>
  <c r="AJ111" i="2" s="1"/>
  <c r="AE177" i="2"/>
  <c r="AE88" i="2"/>
  <c r="AE111" i="2" s="1"/>
  <c r="AE100" i="2"/>
  <c r="W100" i="2"/>
  <c r="W88" i="2"/>
  <c r="W111" i="2" s="1"/>
  <c r="W177" i="2"/>
  <c r="M176" i="2"/>
  <c r="BI177" i="2"/>
  <c r="BI100" i="2"/>
  <c r="BI88" i="2"/>
  <c r="BH176" i="2"/>
  <c r="BG176" i="2"/>
  <c r="AS177" i="2"/>
  <c r="AS88" i="2"/>
  <c r="AS111" i="2" s="1"/>
  <c r="AS100" i="2"/>
  <c r="AO177" i="2"/>
  <c r="AO88" i="2"/>
  <c r="AO100" i="2"/>
  <c r="AK100" i="2"/>
  <c r="AK88" i="2"/>
  <c r="AK111" i="2" s="1"/>
  <c r="AK177" i="2"/>
  <c r="AI88" i="2"/>
  <c r="AI111" i="2" s="1"/>
  <c r="AI177" i="2"/>
  <c r="AI100" i="2"/>
  <c r="AH177" i="2"/>
  <c r="AH100" i="2"/>
  <c r="AH88" i="2"/>
  <c r="AH111" i="2" s="1"/>
  <c r="AD177" i="2"/>
  <c r="AD88" i="2"/>
  <c r="AD111" i="2" s="1"/>
  <c r="AD100" i="2"/>
  <c r="AB177" i="2"/>
  <c r="AB88" i="2"/>
  <c r="AB111" i="2" s="1"/>
  <c r="AB100" i="2"/>
  <c r="AA88" i="2"/>
  <c r="AA111" i="2" s="1"/>
  <c r="AA177" i="2"/>
  <c r="AA100" i="2"/>
  <c r="Y100" i="2"/>
  <c r="Y88" i="2"/>
  <c r="Y111" i="2" s="1"/>
  <c r="Y177" i="2"/>
  <c r="W176" i="2"/>
  <c r="M100" i="2"/>
  <c r="M177" i="2"/>
  <c r="M88" i="2"/>
  <c r="M111" i="2" s="1"/>
  <c r="BO108" i="2"/>
  <c r="BO205" i="2"/>
  <c r="BO127" i="2" s="1"/>
  <c r="BO28" i="2"/>
  <c r="BN7" i="5"/>
  <c r="BO5" i="5"/>
  <c r="BN6" i="5"/>
  <c r="BN74" i="2"/>
  <c r="BN60" i="2"/>
  <c r="BK80" i="2"/>
  <c r="BJ88" i="2"/>
  <c r="BJ100" i="2"/>
  <c r="BJ177" i="2"/>
  <c r="BK82" i="2"/>
  <c r="C149" i="9"/>
  <c r="BO110" i="2"/>
  <c r="BO14" i="2"/>
  <c r="BO85" i="2"/>
  <c r="BO174" i="2" s="1"/>
  <c r="BO151" i="2"/>
  <c r="BP13" i="2"/>
  <c r="BO138" i="2"/>
  <c r="BO30" i="2"/>
  <c r="BO109" i="2"/>
  <c r="BO185" i="2" s="1"/>
  <c r="BO170" i="2"/>
  <c r="BO6" i="2"/>
  <c r="BN48" i="2"/>
  <c r="BN44" i="2"/>
  <c r="BN46" i="2" s="1"/>
  <c r="BO154" i="2"/>
  <c r="BO7" i="2"/>
  <c r="BO132" i="2" s="1"/>
  <c r="BO134" i="2" s="1"/>
  <c r="BO131" i="2"/>
  <c r="BO45" i="2"/>
  <c r="BP15" i="2"/>
  <c r="DJ8" i="5"/>
  <c r="HE164" i="2" l="1"/>
  <c r="HE181" i="2" s="1"/>
  <c r="HC164" i="2"/>
  <c r="HC171" i="2" s="1"/>
  <c r="HD164" i="2"/>
  <c r="HD171" i="2" s="1"/>
  <c r="HB164" i="2"/>
  <c r="HB181" i="2" s="1"/>
  <c r="BP24" i="2"/>
  <c r="BP161" i="2"/>
  <c r="BP164" i="2" s="1"/>
  <c r="BP181" i="2" s="1"/>
  <c r="K167" i="2"/>
  <c r="BI4" i="14"/>
  <c r="K149" i="2"/>
  <c r="K150" i="2" s="1"/>
  <c r="K112" i="2" s="1"/>
  <c r="K182" i="2"/>
  <c r="K102" i="2"/>
  <c r="K103" i="2" s="1"/>
  <c r="K115" i="2" s="1"/>
  <c r="BD111" i="2"/>
  <c r="AW111" i="2"/>
  <c r="BI174" i="2"/>
  <c r="BD174" i="2"/>
  <c r="AV174" i="2"/>
  <c r="AN174" i="2"/>
  <c r="AJ174" i="2"/>
  <c r="AF174" i="2"/>
  <c r="AB174" i="2"/>
  <c r="P174" i="2"/>
  <c r="BC111" i="2"/>
  <c r="AM174" i="2"/>
  <c r="AI174" i="2"/>
  <c r="AE174" i="2"/>
  <c r="AA174" i="2"/>
  <c r="S174" i="2"/>
  <c r="AV111" i="2"/>
  <c r="BH174" i="2"/>
  <c r="BC174" i="2"/>
  <c r="AY174" i="2"/>
  <c r="AU174" i="2"/>
  <c r="AQ174" i="2"/>
  <c r="V174" i="2"/>
  <c r="O174" i="2"/>
  <c r="BF111" i="2"/>
  <c r="AT174" i="2"/>
  <c r="AP174" i="2"/>
  <c r="AH174" i="2"/>
  <c r="AD174" i="2"/>
  <c r="W174" i="2"/>
  <c r="N174" i="2"/>
  <c r="AX111" i="2"/>
  <c r="AZ111" i="2"/>
  <c r="BB174" i="2"/>
  <c r="AX174" i="2"/>
  <c r="AL174" i="2"/>
  <c r="Z174" i="2"/>
  <c r="AM111" i="2"/>
  <c r="BB111" i="2"/>
  <c r="BA174" i="2"/>
  <c r="AW174" i="2"/>
  <c r="AG174" i="2"/>
  <c r="AQ111" i="2"/>
  <c r="AO174" i="2"/>
  <c r="AK174" i="2"/>
  <c r="AC174" i="2"/>
  <c r="Y174" i="2"/>
  <c r="U174" i="2"/>
  <c r="Q174" i="2"/>
  <c r="M174" i="2"/>
  <c r="AO111" i="2"/>
  <c r="BI111" i="2"/>
  <c r="AR111" i="2"/>
  <c r="AU111" i="2"/>
  <c r="AZ174" i="2"/>
  <c r="AR174" i="2"/>
  <c r="X174" i="2"/>
  <c r="L174" i="2"/>
  <c r="BP108" i="2"/>
  <c r="BK83" i="2"/>
  <c r="BP205" i="2"/>
  <c r="BP127" i="2" s="1"/>
  <c r="BP28" i="2"/>
  <c r="BK177" i="2"/>
  <c r="BJ111" i="2"/>
  <c r="BO7" i="5"/>
  <c r="BP5" i="5"/>
  <c r="BO6" i="5"/>
  <c r="BO74" i="2"/>
  <c r="BO60" i="2"/>
  <c r="BK100" i="2"/>
  <c r="BK88" i="2"/>
  <c r="BP110" i="2"/>
  <c r="C150" i="9"/>
  <c r="BO186" i="2"/>
  <c r="BP30" i="2"/>
  <c r="BP6" i="2"/>
  <c r="BP109" i="2"/>
  <c r="BP185" i="2" s="1"/>
  <c r="BP14" i="2"/>
  <c r="BP170" i="2"/>
  <c r="BP138" i="2"/>
  <c r="BP151" i="2"/>
  <c r="BQ13" i="2"/>
  <c r="BP85" i="2"/>
  <c r="BP174" i="2" s="1"/>
  <c r="BP131" i="2"/>
  <c r="BQ15" i="2"/>
  <c r="BP7" i="2"/>
  <c r="BP132" i="2" s="1"/>
  <c r="BP134" i="2" s="1"/>
  <c r="BP154" i="2"/>
  <c r="BP45" i="2"/>
  <c r="BO44" i="2"/>
  <c r="BO46" i="2" s="1"/>
  <c r="BO48" i="2"/>
  <c r="DK8" i="5"/>
  <c r="HC181" i="2" l="1"/>
  <c r="HC187" i="2" s="1"/>
  <c r="HE171" i="2"/>
  <c r="HB171" i="2"/>
  <c r="HD181" i="2"/>
  <c r="HD187" i="2" s="1"/>
  <c r="HE187" i="2"/>
  <c r="HB187" i="2"/>
  <c r="HB195" i="2"/>
  <c r="HB196" i="2" s="1"/>
  <c r="HE195" i="2"/>
  <c r="HE196" i="2" s="1"/>
  <c r="BQ24" i="2"/>
  <c r="BQ161" i="2"/>
  <c r="BQ164" i="2" s="1"/>
  <c r="BQ181" i="2" s="1"/>
  <c r="K168" i="2"/>
  <c r="K169" i="2" s="1"/>
  <c r="K183" i="2"/>
  <c r="BJ4" i="14"/>
  <c r="BQ108" i="2"/>
  <c r="BQ205" i="2"/>
  <c r="BQ127" i="2" s="1"/>
  <c r="BQ28" i="2"/>
  <c r="BQ5" i="5"/>
  <c r="BP7" i="5"/>
  <c r="BP6" i="5"/>
  <c r="BP74" i="2"/>
  <c r="BP60" i="2"/>
  <c r="BK111" i="2"/>
  <c r="C151" i="9"/>
  <c r="BQ110" i="2"/>
  <c r="BP186" i="2"/>
  <c r="BQ30" i="2"/>
  <c r="BQ151" i="2"/>
  <c r="BQ14" i="2"/>
  <c r="BQ170" i="2"/>
  <c r="BQ138" i="2"/>
  <c r="BQ109" i="2"/>
  <c r="BQ185" i="2" s="1"/>
  <c r="BQ85" i="2"/>
  <c r="BQ174" i="2" s="1"/>
  <c r="BQ6" i="2"/>
  <c r="BR13" i="2"/>
  <c r="BP44" i="2"/>
  <c r="BP46" i="2" s="1"/>
  <c r="BP48" i="2"/>
  <c r="BQ7" i="2"/>
  <c r="BQ132" i="2" s="1"/>
  <c r="BQ134" i="2" s="1"/>
  <c r="BQ45" i="2"/>
  <c r="BR15" i="2"/>
  <c r="BQ131" i="2"/>
  <c r="BQ154" i="2"/>
  <c r="DL8" i="5"/>
  <c r="HC195" i="2" l="1"/>
  <c r="HC196" i="2" s="1"/>
  <c r="HD195" i="2"/>
  <c r="HD196" i="2" s="1"/>
  <c r="BR24" i="2"/>
  <c r="BR161" i="2"/>
  <c r="BR164" i="2" s="1"/>
  <c r="BR181" i="2" s="1"/>
  <c r="BK4" i="14"/>
  <c r="BR108" i="2"/>
  <c r="BR205" i="2"/>
  <c r="BR127" i="2" s="1"/>
  <c r="BR28" i="2"/>
  <c r="BR5" i="5"/>
  <c r="BQ7" i="5"/>
  <c r="BQ6" i="5"/>
  <c r="BR110" i="2"/>
  <c r="C152" i="9"/>
  <c r="BQ186" i="2"/>
  <c r="BS13" i="2"/>
  <c r="BS161" i="2" s="1"/>
  <c r="BR151" i="2"/>
  <c r="BR109" i="2"/>
  <c r="BR185" i="2" s="1"/>
  <c r="BR85" i="2"/>
  <c r="BR174" i="2" s="1"/>
  <c r="BR138" i="2"/>
  <c r="BR170" i="2"/>
  <c r="BR30" i="2"/>
  <c r="BR6" i="2"/>
  <c r="BR14" i="2"/>
  <c r="BQ44" i="2"/>
  <c r="BQ46" i="2" s="1"/>
  <c r="BQ48" i="2"/>
  <c r="BR154" i="2"/>
  <c r="BR7" i="2"/>
  <c r="BR132" i="2" s="1"/>
  <c r="BR134" i="2" s="1"/>
  <c r="BR45" i="2"/>
  <c r="BR131" i="2"/>
  <c r="BS15" i="2"/>
  <c r="DM8" i="5"/>
  <c r="BS138" i="2" l="1"/>
  <c r="BS24" i="2"/>
  <c r="BL4" i="14"/>
  <c r="BS205" i="2"/>
  <c r="BS127" i="2" s="1"/>
  <c r="BS28" i="2"/>
  <c r="BR6" i="5"/>
  <c r="BR7" i="5"/>
  <c r="BS5" i="5"/>
  <c r="C153" i="9"/>
  <c r="BS110" i="2"/>
  <c r="BS30" i="2"/>
  <c r="BS185" i="2"/>
  <c r="BT13" i="2"/>
  <c r="BS6" i="2"/>
  <c r="BS14" i="2"/>
  <c r="BR186" i="2"/>
  <c r="BR48" i="2"/>
  <c r="BR44" i="2"/>
  <c r="BR46" i="2" s="1"/>
  <c r="BS154" i="2"/>
  <c r="BS7" i="2"/>
  <c r="BS132" i="2" s="1"/>
  <c r="BS134" i="2" s="1"/>
  <c r="BS45" i="2"/>
  <c r="BS131" i="2"/>
  <c r="BT15" i="2"/>
  <c r="DN8" i="5"/>
  <c r="BT24" i="2" l="1"/>
  <c r="BT161" i="2"/>
  <c r="BT138" i="2"/>
  <c r="BM4" i="14"/>
  <c r="BT108" i="2"/>
  <c r="BT205" i="2"/>
  <c r="BT127" i="2" s="1"/>
  <c r="BT28" i="2"/>
  <c r="BS6" i="5"/>
  <c r="BT5" i="5"/>
  <c r="BS7" i="5"/>
  <c r="C154" i="9"/>
  <c r="BT85" i="2"/>
  <c r="BT174" i="2" s="1"/>
  <c r="BU13" i="2"/>
  <c r="BT6" i="2"/>
  <c r="BT14" i="2"/>
  <c r="BT109" i="2"/>
  <c r="BT185" i="2" s="1"/>
  <c r="BT170" i="2"/>
  <c r="BT30" i="2"/>
  <c r="BS48" i="2"/>
  <c r="BS44" i="2"/>
  <c r="BS46" i="2" s="1"/>
  <c r="BT7" i="2"/>
  <c r="BT132" i="2" s="1"/>
  <c r="BT134" i="2" s="1"/>
  <c r="BT131" i="2"/>
  <c r="BT154" i="2"/>
  <c r="BT45" i="2"/>
  <c r="BU15" i="2"/>
  <c r="DO8" i="5"/>
  <c r="BU24" i="2" l="1"/>
  <c r="BU161" i="2"/>
  <c r="BU138" i="2"/>
  <c r="BN4" i="14"/>
  <c r="BU108" i="2"/>
  <c r="BU205" i="2"/>
  <c r="BU127" i="2" s="1"/>
  <c r="BU28" i="2"/>
  <c r="BU5" i="5"/>
  <c r="BT7" i="5"/>
  <c r="BT6" i="5"/>
  <c r="BU110" i="2"/>
  <c r="C155" i="9"/>
  <c r="BU30" i="2"/>
  <c r="BU14" i="2"/>
  <c r="BU85" i="2"/>
  <c r="BU174" i="2" s="1"/>
  <c r="BU109" i="2"/>
  <c r="BU185" i="2" s="1"/>
  <c r="BU6" i="2"/>
  <c r="BV13" i="2"/>
  <c r="BU170" i="2"/>
  <c r="BU151" i="2"/>
  <c r="BU45" i="2"/>
  <c r="BU154" i="2"/>
  <c r="BU155" i="2" s="1"/>
  <c r="BU157" i="2" s="1"/>
  <c r="BV15" i="2"/>
  <c r="BU7" i="2"/>
  <c r="BU132" i="2" s="1"/>
  <c r="BU134" i="2" s="1"/>
  <c r="BU131" i="2"/>
  <c r="BT48" i="2"/>
  <c r="BT44" i="2"/>
  <c r="BT46" i="2" s="1"/>
  <c r="DP8" i="5"/>
  <c r="BV24" i="2" l="1"/>
  <c r="BV161" i="2"/>
  <c r="BV138" i="2"/>
  <c r="BO4" i="14"/>
  <c r="BV108" i="2"/>
  <c r="BV205" i="2"/>
  <c r="BV127" i="2" s="1"/>
  <c r="BV28" i="2"/>
  <c r="BU7" i="5"/>
  <c r="BU6" i="5"/>
  <c r="BV5" i="5"/>
  <c r="C156" i="9"/>
  <c r="BV110" i="2"/>
  <c r="BU186" i="2"/>
  <c r="BV109" i="2"/>
  <c r="BV185" i="2" s="1"/>
  <c r="BW13" i="2"/>
  <c r="BV170" i="2"/>
  <c r="BV30" i="2"/>
  <c r="BV6" i="2"/>
  <c r="BV151" i="2"/>
  <c r="BV14" i="2"/>
  <c r="BV85" i="2"/>
  <c r="BV174" i="2" s="1"/>
  <c r="BV45" i="2"/>
  <c r="BW15" i="2"/>
  <c r="BV154" i="2"/>
  <c r="BV7" i="2"/>
  <c r="BV132" i="2" s="1"/>
  <c r="BV134" i="2" s="1"/>
  <c r="BV131" i="2"/>
  <c r="BU48" i="2"/>
  <c r="BU44" i="2"/>
  <c r="BU46" i="2" s="1"/>
  <c r="DQ8" i="5"/>
  <c r="BW24" i="2" l="1"/>
  <c r="BW161" i="2"/>
  <c r="BV155" i="2"/>
  <c r="BV157" i="2" s="1"/>
  <c r="BW138" i="2"/>
  <c r="BP4" i="14"/>
  <c r="BW108" i="2"/>
  <c r="BW205" i="2"/>
  <c r="BW127" i="2" s="1"/>
  <c r="BW28" i="2"/>
  <c r="BV6" i="5"/>
  <c r="BW5" i="5"/>
  <c r="BV7" i="5"/>
  <c r="BW110" i="2"/>
  <c r="C157" i="9"/>
  <c r="BV186" i="2"/>
  <c r="BW109" i="2"/>
  <c r="BW185" i="2" s="1"/>
  <c r="BW30" i="2"/>
  <c r="BW14" i="2"/>
  <c r="BW85" i="2"/>
  <c r="BW174" i="2" s="1"/>
  <c r="BX13" i="2"/>
  <c r="BW151" i="2"/>
  <c r="BW170" i="2"/>
  <c r="BW6" i="2"/>
  <c r="BV44" i="2"/>
  <c r="BV46" i="2" s="1"/>
  <c r="BV48" i="2"/>
  <c r="BW131" i="2"/>
  <c r="BW7" i="2"/>
  <c r="BW132" i="2" s="1"/>
  <c r="BW134" i="2" s="1"/>
  <c r="BW45" i="2"/>
  <c r="BX15" i="2"/>
  <c r="BW154" i="2"/>
  <c r="DR8" i="5"/>
  <c r="BX24" i="2" l="1"/>
  <c r="BX161" i="2"/>
  <c r="BW155" i="2"/>
  <c r="BW157" i="2" s="1"/>
  <c r="BX138" i="2"/>
  <c r="BQ4" i="14"/>
  <c r="BX108" i="2"/>
  <c r="BX205" i="2"/>
  <c r="BX127" i="2" s="1"/>
  <c r="BX28" i="2"/>
  <c r="BW7" i="5"/>
  <c r="BX5" i="5"/>
  <c r="BW6" i="5"/>
  <c r="C158" i="9"/>
  <c r="BX110" i="2"/>
  <c r="BX14" i="2"/>
  <c r="BX170" i="2"/>
  <c r="BX30" i="2"/>
  <c r="BX6" i="2"/>
  <c r="BX85" i="2"/>
  <c r="BX174" i="2" s="1"/>
  <c r="BX151" i="2"/>
  <c r="BY13" i="2"/>
  <c r="BX109" i="2"/>
  <c r="BX185" i="2" s="1"/>
  <c r="BW186" i="2"/>
  <c r="BX154" i="2"/>
  <c r="BX45" i="2"/>
  <c r="BX7" i="2"/>
  <c r="BX132" i="2" s="1"/>
  <c r="BX134" i="2" s="1"/>
  <c r="BX131" i="2"/>
  <c r="BY15" i="2"/>
  <c r="BW48" i="2"/>
  <c r="BW44" i="2"/>
  <c r="BW46" i="2" s="1"/>
  <c r="DS8" i="5"/>
  <c r="BY24" i="2" l="1"/>
  <c r="BY161" i="2"/>
  <c r="BX155" i="2"/>
  <c r="BX157" i="2" s="1"/>
  <c r="BY138" i="2"/>
  <c r="BR4" i="14"/>
  <c r="BY108" i="2"/>
  <c r="BY205" i="2"/>
  <c r="BY127" i="2" s="1"/>
  <c r="BY28" i="2"/>
  <c r="BX7" i="5"/>
  <c r="BY5" i="5"/>
  <c r="BX6" i="5"/>
  <c r="BY110" i="2"/>
  <c r="C159" i="9"/>
  <c r="BY6" i="2"/>
  <c r="BY109" i="2"/>
  <c r="BY185" i="2" s="1"/>
  <c r="BY151" i="2"/>
  <c r="BY30" i="2"/>
  <c r="BY14" i="2"/>
  <c r="BZ13" i="2"/>
  <c r="BX186" i="2"/>
  <c r="BY7" i="2"/>
  <c r="BY132" i="2" s="1"/>
  <c r="BY134" i="2" s="1"/>
  <c r="BY154" i="2"/>
  <c r="BY131" i="2"/>
  <c r="BZ15" i="2"/>
  <c r="BY45" i="2"/>
  <c r="BX44" i="2"/>
  <c r="BX46" i="2" s="1"/>
  <c r="BX48" i="2"/>
  <c r="DT8" i="5"/>
  <c r="BZ24" i="2" l="1"/>
  <c r="BZ161" i="2"/>
  <c r="BY155" i="2"/>
  <c r="BY157" i="2" s="1"/>
  <c r="BZ138" i="2"/>
  <c r="BS4" i="14"/>
  <c r="BZ108" i="2"/>
  <c r="BZ205" i="2"/>
  <c r="BZ127" i="2" s="1"/>
  <c r="BZ28" i="2"/>
  <c r="BY6" i="5"/>
  <c r="BZ5" i="5"/>
  <c r="BY7" i="5"/>
  <c r="C160" i="9"/>
  <c r="BZ110" i="2"/>
  <c r="BZ109" i="2"/>
  <c r="BZ185" i="2" s="1"/>
  <c r="BZ14" i="2"/>
  <c r="CA13" i="2"/>
  <c r="BZ170" i="2"/>
  <c r="BZ85" i="2"/>
  <c r="BZ174" i="2" s="1"/>
  <c r="BZ151" i="2"/>
  <c r="BZ30" i="2"/>
  <c r="BY44" i="2"/>
  <c r="BY46" i="2" s="1"/>
  <c r="BY48" i="2"/>
  <c r="BZ154" i="2"/>
  <c r="BZ132" i="2"/>
  <c r="BZ134" i="2" s="1"/>
  <c r="BZ45" i="2"/>
  <c r="CA15" i="2"/>
  <c r="BZ131" i="2"/>
  <c r="DU8" i="5"/>
  <c r="CA24" i="2" l="1"/>
  <c r="CA161" i="2"/>
  <c r="CA138" i="2"/>
  <c r="BZ155" i="2"/>
  <c r="BZ157" i="2" s="1"/>
  <c r="BT4" i="14"/>
  <c r="CA108" i="2"/>
  <c r="CA205" i="2"/>
  <c r="CA127" i="2" s="1"/>
  <c r="CA28" i="2"/>
  <c r="BZ7" i="5"/>
  <c r="BZ6" i="5"/>
  <c r="CA5" i="5"/>
  <c r="CA110" i="2"/>
  <c r="C161" i="9"/>
  <c r="BZ186" i="2"/>
  <c r="CA170" i="2"/>
  <c r="CA109" i="2"/>
  <c r="CA185" i="2" s="1"/>
  <c r="CA151" i="2"/>
  <c r="CA30" i="2"/>
  <c r="CB13" i="2"/>
  <c r="CA85" i="2"/>
  <c r="CA174" i="2" s="1"/>
  <c r="CA14" i="2"/>
  <c r="CA132" i="2"/>
  <c r="CA134" i="2" s="1"/>
  <c r="CA154" i="2"/>
  <c r="CB15" i="2"/>
  <c r="CA131" i="2"/>
  <c r="CA45" i="2"/>
  <c r="BZ44" i="2"/>
  <c r="BZ46" i="2" s="1"/>
  <c r="BZ48" i="2"/>
  <c r="DV8" i="5"/>
  <c r="CB24" i="2" l="1"/>
  <c r="CB161" i="2"/>
  <c r="CB138" i="2"/>
  <c r="CA155" i="2"/>
  <c r="CA157" i="2" s="1"/>
  <c r="BU4" i="14"/>
  <c r="CB108" i="2"/>
  <c r="CB205" i="2"/>
  <c r="CB127" i="2" s="1"/>
  <c r="CB28" i="2"/>
  <c r="CA6" i="5"/>
  <c r="CA7" i="5"/>
  <c r="CB5" i="5"/>
  <c r="CB110" i="2"/>
  <c r="C162" i="9"/>
  <c r="CB151" i="2"/>
  <c r="CC13" i="2"/>
  <c r="CB30" i="2"/>
  <c r="CB85" i="2"/>
  <c r="CB174" i="2" s="1"/>
  <c r="CB109" i="2"/>
  <c r="CB185" i="2" s="1"/>
  <c r="CB14" i="2"/>
  <c r="CB6" i="2"/>
  <c r="CB170" i="2"/>
  <c r="CA186" i="2"/>
  <c r="CB154" i="2"/>
  <c r="CB7" i="2"/>
  <c r="CB132" i="2" s="1"/>
  <c r="CB134" i="2" s="1"/>
  <c r="CB45" i="2"/>
  <c r="CC15" i="2"/>
  <c r="CB131" i="2"/>
  <c r="CA44" i="2"/>
  <c r="CA46" i="2" s="1"/>
  <c r="CA48" i="2"/>
  <c r="DW8" i="5"/>
  <c r="CC24" i="2" l="1"/>
  <c r="CC161" i="2"/>
  <c r="CC138" i="2"/>
  <c r="CB155" i="2"/>
  <c r="CB157" i="2" s="1"/>
  <c r="BV4" i="14"/>
  <c r="CC108" i="2"/>
  <c r="CC205" i="2"/>
  <c r="CC127" i="2" s="1"/>
  <c r="CC28" i="2"/>
  <c r="CB6" i="5"/>
  <c r="CB7" i="5"/>
  <c r="CC5" i="5"/>
  <c r="CC110" i="2"/>
  <c r="C163" i="9"/>
  <c r="CB186" i="2"/>
  <c r="CC151" i="2"/>
  <c r="CD13" i="2"/>
  <c r="CC6" i="2"/>
  <c r="CC109" i="2"/>
  <c r="CC185" i="2" s="1"/>
  <c r="CC14" i="2"/>
  <c r="CC30" i="2"/>
  <c r="CD15" i="2"/>
  <c r="CC45" i="2"/>
  <c r="CC131" i="2"/>
  <c r="CC7" i="2"/>
  <c r="CC132" i="2" s="1"/>
  <c r="CC134" i="2" s="1"/>
  <c r="CC154" i="2"/>
  <c r="CB48" i="2"/>
  <c r="CB44" i="2"/>
  <c r="CB46" i="2" s="1"/>
  <c r="DX8" i="5"/>
  <c r="CD24" i="2" l="1"/>
  <c r="CD161" i="2"/>
  <c r="CC155" i="2"/>
  <c r="CC157" i="2" s="1"/>
  <c r="CD138" i="2"/>
  <c r="BW4" i="14"/>
  <c r="CD108" i="2"/>
  <c r="CD205" i="2"/>
  <c r="CD127" i="2" s="1"/>
  <c r="CD28" i="2"/>
  <c r="CD5" i="5"/>
  <c r="CC7" i="5"/>
  <c r="CC6" i="5"/>
  <c r="CD110" i="2"/>
  <c r="C164" i="9"/>
  <c r="CD14" i="2"/>
  <c r="CD30" i="2"/>
  <c r="CD151" i="2"/>
  <c r="CD85" i="2"/>
  <c r="CD174" i="2" s="1"/>
  <c r="CE13" i="2"/>
  <c r="CD6" i="2"/>
  <c r="CD170" i="2"/>
  <c r="CD109" i="2"/>
  <c r="CD185" i="2" s="1"/>
  <c r="CC48" i="2"/>
  <c r="CC44" i="2"/>
  <c r="CC46" i="2" s="1"/>
  <c r="CE15" i="2"/>
  <c r="CD131" i="2"/>
  <c r="CD45" i="2"/>
  <c r="CD154" i="2"/>
  <c r="CD7" i="2"/>
  <c r="CD132" i="2" s="1"/>
  <c r="CD134" i="2" s="1"/>
  <c r="DY8" i="5"/>
  <c r="CE24" i="2" l="1"/>
  <c r="CE161" i="2"/>
  <c r="CE138" i="2"/>
  <c r="CD155" i="2"/>
  <c r="CD157" i="2" s="1"/>
  <c r="BX4" i="14"/>
  <c r="CE108" i="2"/>
  <c r="CE205" i="2"/>
  <c r="CE127" i="2" s="1"/>
  <c r="CE28" i="2"/>
  <c r="CE23" i="2"/>
  <c r="CE5" i="5"/>
  <c r="CD6" i="5"/>
  <c r="CD7" i="5"/>
  <c r="C165" i="9"/>
  <c r="CE110" i="2"/>
  <c r="CE30" i="2"/>
  <c r="CE14" i="2"/>
  <c r="CE109" i="2"/>
  <c r="CE185" i="2" s="1"/>
  <c r="CF13" i="2"/>
  <c r="CE6" i="2"/>
  <c r="CD186" i="2"/>
  <c r="CF15" i="2"/>
  <c r="CE7" i="2"/>
  <c r="CE132" i="2" s="1"/>
  <c r="CE134" i="2" s="1"/>
  <c r="CE45" i="2"/>
  <c r="CE154" i="2"/>
  <c r="CE131" i="2"/>
  <c r="CD48" i="2"/>
  <c r="CD44" i="2"/>
  <c r="CD46" i="2" s="1"/>
  <c r="DZ8" i="5"/>
  <c r="CF24" i="2" l="1"/>
  <c r="CF161" i="2"/>
  <c r="CF138" i="2"/>
  <c r="CE155" i="2"/>
  <c r="CE157" i="2" s="1"/>
  <c r="BY4" i="14"/>
  <c r="CF108" i="2"/>
  <c r="CF205" i="2"/>
  <c r="CF127" i="2" s="1"/>
  <c r="CF28" i="2"/>
  <c r="CF23" i="2"/>
  <c r="CE7" i="5"/>
  <c r="CF5" i="5"/>
  <c r="CE6" i="5"/>
  <c r="CF110" i="2"/>
  <c r="C166" i="9"/>
  <c r="CF14" i="2"/>
  <c r="CG13" i="2"/>
  <c r="CF30" i="2"/>
  <c r="CF109" i="2"/>
  <c r="CF185" i="2" s="1"/>
  <c r="CF6" i="2"/>
  <c r="CF151" i="2"/>
  <c r="CF85" i="2"/>
  <c r="CF174" i="2" s="1"/>
  <c r="CF170" i="2"/>
  <c r="CE44" i="2"/>
  <c r="CE46" i="2" s="1"/>
  <c r="CE48" i="2"/>
  <c r="CF45" i="2"/>
  <c r="CG15" i="2"/>
  <c r="CF154" i="2"/>
  <c r="CF7" i="2"/>
  <c r="CF132" i="2" s="1"/>
  <c r="CF134" i="2" s="1"/>
  <c r="CF131" i="2"/>
  <c r="EA8" i="5"/>
  <c r="CG24" i="2" l="1"/>
  <c r="CG161" i="2"/>
  <c r="CG138" i="2"/>
  <c r="CF155" i="2"/>
  <c r="CF157" i="2" s="1"/>
  <c r="BZ4" i="14"/>
  <c r="CG108" i="2"/>
  <c r="CG205" i="2"/>
  <c r="CG127" i="2" s="1"/>
  <c r="CG28" i="2"/>
  <c r="CG23" i="2"/>
  <c r="CG5" i="5"/>
  <c r="CF6" i="5"/>
  <c r="CF7" i="5"/>
  <c r="CG110" i="2"/>
  <c r="C167" i="9"/>
  <c r="CF186" i="2"/>
  <c r="CG109" i="2"/>
  <c r="CG185" i="2" s="1"/>
  <c r="CG151" i="2"/>
  <c r="CG6" i="2"/>
  <c r="CH13" i="2"/>
  <c r="CG30" i="2"/>
  <c r="CG14" i="2"/>
  <c r="CG45" i="2"/>
  <c r="CG131" i="2"/>
  <c r="CG7" i="2"/>
  <c r="CG132" i="2" s="1"/>
  <c r="CG134" i="2" s="1"/>
  <c r="CH15" i="2"/>
  <c r="CG154" i="2"/>
  <c r="CF44" i="2"/>
  <c r="CF46" i="2" s="1"/>
  <c r="CF48" i="2"/>
  <c r="EB8" i="5"/>
  <c r="CH24" i="2" l="1"/>
  <c r="CH161" i="2"/>
  <c r="CH138" i="2"/>
  <c r="CG155" i="2"/>
  <c r="CG157" i="2" s="1"/>
  <c r="CA4" i="14"/>
  <c r="CH108" i="2"/>
  <c r="CH205" i="2"/>
  <c r="CH127" i="2" s="1"/>
  <c r="CH28" i="2"/>
  <c r="CH23" i="2"/>
  <c r="CH5" i="5"/>
  <c r="CG7" i="5"/>
  <c r="CG6" i="5"/>
  <c r="CH110" i="2"/>
  <c r="C168" i="9"/>
  <c r="CH6" i="2"/>
  <c r="CH14" i="2"/>
  <c r="CI13" i="2"/>
  <c r="CI161" i="2" s="1"/>
  <c r="CH30" i="2"/>
  <c r="CH151" i="2"/>
  <c r="CH109" i="2"/>
  <c r="CH185" i="2" s="1"/>
  <c r="CG48" i="2"/>
  <c r="CG44" i="2"/>
  <c r="CG46" i="2" s="1"/>
  <c r="CH154" i="2"/>
  <c r="CH7" i="2"/>
  <c r="CH132" i="2" s="1"/>
  <c r="CH134" i="2" s="1"/>
  <c r="CH45" i="2"/>
  <c r="CH131" i="2"/>
  <c r="CI15" i="2"/>
  <c r="EC8" i="5"/>
  <c r="CI24" i="2" l="1"/>
  <c r="CH155" i="2"/>
  <c r="CH157" i="2" s="1"/>
  <c r="CI138" i="2"/>
  <c r="CB4" i="14"/>
  <c r="CI108" i="2"/>
  <c r="CI205" i="2"/>
  <c r="CI127" i="2" s="1"/>
  <c r="CI28" i="2"/>
  <c r="CI23" i="2"/>
  <c r="CI5" i="5"/>
  <c r="CH7" i="5"/>
  <c r="CH6" i="5"/>
  <c r="CI110" i="2"/>
  <c r="C169" i="9"/>
  <c r="CI30" i="2"/>
  <c r="CI109" i="2"/>
  <c r="CI185" i="2" s="1"/>
  <c r="CI6" i="2"/>
  <c r="CJ13" i="2"/>
  <c r="CI151" i="2"/>
  <c r="CI14" i="2"/>
  <c r="CH44" i="2"/>
  <c r="CH46" i="2" s="1"/>
  <c r="CH48" i="2"/>
  <c r="CI154" i="2"/>
  <c r="CI131" i="2"/>
  <c r="CJ15" i="2"/>
  <c r="CI45" i="2"/>
  <c r="CI7" i="2"/>
  <c r="CI132" i="2" s="1"/>
  <c r="CI134" i="2" s="1"/>
  <c r="ED8" i="5"/>
  <c r="CJ24" i="2" l="1"/>
  <c r="CJ161" i="2"/>
  <c r="CI155" i="2"/>
  <c r="CI157" i="2" s="1"/>
  <c r="CJ138" i="2"/>
  <c r="CC4" i="14"/>
  <c r="CJ108" i="2"/>
  <c r="CJ205" i="2"/>
  <c r="CJ127" i="2" s="1"/>
  <c r="CJ28" i="2"/>
  <c r="CJ23" i="2"/>
  <c r="CJ5" i="5"/>
  <c r="CI6" i="5"/>
  <c r="CI7" i="5"/>
  <c r="C170" i="9"/>
  <c r="CJ110" i="2"/>
  <c r="CJ6" i="2"/>
  <c r="CJ109" i="2"/>
  <c r="CJ185" i="2" s="1"/>
  <c r="CJ14" i="2"/>
  <c r="CJ30" i="2"/>
  <c r="CJ170" i="2"/>
  <c r="CJ85" i="2"/>
  <c r="CJ174" i="2" s="1"/>
  <c r="CJ151" i="2"/>
  <c r="CK13" i="2"/>
  <c r="CK161" i="2" s="1"/>
  <c r="CJ45" i="2"/>
  <c r="CJ131" i="2"/>
  <c r="CJ154" i="2"/>
  <c r="CJ7" i="2"/>
  <c r="CJ132" i="2" s="1"/>
  <c r="CJ134" i="2" s="1"/>
  <c r="CK15" i="2"/>
  <c r="CI48" i="2"/>
  <c r="CI44" i="2"/>
  <c r="CI46" i="2" s="1"/>
  <c r="EE8" i="5"/>
  <c r="CK24" i="2" l="1"/>
  <c r="CJ155" i="2"/>
  <c r="CJ157" i="2" s="1"/>
  <c r="CK138" i="2"/>
  <c r="CD4" i="14"/>
  <c r="CK108" i="2"/>
  <c r="CK205" i="2"/>
  <c r="CK127" i="2" s="1"/>
  <c r="CK28" i="2"/>
  <c r="CK23" i="2"/>
  <c r="CJ7" i="5"/>
  <c r="CJ6" i="5"/>
  <c r="CK5" i="5"/>
  <c r="CK110" i="2"/>
  <c r="C171" i="9"/>
  <c r="CJ186" i="2"/>
  <c r="CK30" i="2"/>
  <c r="CK151" i="2"/>
  <c r="CK14" i="2"/>
  <c r="CK109" i="2"/>
  <c r="CK185" i="2" s="1"/>
  <c r="CK6" i="2"/>
  <c r="CL13" i="2"/>
  <c r="CK131" i="2"/>
  <c r="CK45" i="2"/>
  <c r="CK7" i="2"/>
  <c r="CK132" i="2" s="1"/>
  <c r="CK134" i="2" s="1"/>
  <c r="CK154" i="2"/>
  <c r="CL15" i="2"/>
  <c r="CJ44" i="2"/>
  <c r="CJ46" i="2" s="1"/>
  <c r="CJ48" i="2"/>
  <c r="G27" i="5"/>
  <c r="CL24" i="2" l="1"/>
  <c r="CL161" i="2"/>
  <c r="CL138" i="2"/>
  <c r="CL140" i="2"/>
  <c r="CL139" i="2"/>
  <c r="CK155" i="2"/>
  <c r="CK157" i="2" s="1"/>
  <c r="CE4" i="14"/>
  <c r="CL108" i="2"/>
  <c r="CL205" i="2"/>
  <c r="CL127" i="2" s="1"/>
  <c r="CL28" i="2"/>
  <c r="CL23" i="2"/>
  <c r="CL25" i="2"/>
  <c r="CK6" i="5"/>
  <c r="CL5" i="5"/>
  <c r="CK7" i="5"/>
  <c r="CL110" i="2"/>
  <c r="C172" i="9"/>
  <c r="CM13" i="2"/>
  <c r="CM161" i="2" s="1"/>
  <c r="CL109" i="2"/>
  <c r="CL185" i="2" s="1"/>
  <c r="CL170" i="2"/>
  <c r="CL30" i="2"/>
  <c r="CL6" i="2"/>
  <c r="CL151" i="2"/>
  <c r="CL14" i="2"/>
  <c r="CL85" i="2"/>
  <c r="CL174" i="2" s="1"/>
  <c r="CK48" i="2"/>
  <c r="CK44" i="2"/>
  <c r="CK46" i="2" s="1"/>
  <c r="CL7" i="2"/>
  <c r="CL132" i="2" s="1"/>
  <c r="CL134" i="2" s="1"/>
  <c r="CL45" i="2"/>
  <c r="CL131" i="2"/>
  <c r="CL154" i="2"/>
  <c r="CM15" i="2"/>
  <c r="CM24" i="2" l="1"/>
  <c r="CL155" i="2"/>
  <c r="CL157" i="2" s="1"/>
  <c r="CM138" i="2"/>
  <c r="CM139" i="2"/>
  <c r="CM140" i="2"/>
  <c r="CF4" i="14"/>
  <c r="CM108" i="2"/>
  <c r="CM205" i="2"/>
  <c r="CM127" i="2" s="1"/>
  <c r="CM28" i="2"/>
  <c r="CM23" i="2"/>
  <c r="CM25" i="2"/>
  <c r="CL6" i="5"/>
  <c r="CM5" i="5"/>
  <c r="CL7" i="5"/>
  <c r="CM110" i="2"/>
  <c r="C173" i="9"/>
  <c r="CL186" i="2"/>
  <c r="CM85" i="2"/>
  <c r="CM174" i="2" s="1"/>
  <c r="CM109" i="2"/>
  <c r="CM185" i="2" s="1"/>
  <c r="CM14" i="2"/>
  <c r="CN13" i="2"/>
  <c r="CM170" i="2"/>
  <c r="CM151" i="2"/>
  <c r="CM6" i="2"/>
  <c r="CM30" i="2"/>
  <c r="CM45" i="2"/>
  <c r="CM131" i="2"/>
  <c r="CM154" i="2"/>
  <c r="CN15" i="2"/>
  <c r="CM7" i="2"/>
  <c r="CM132" i="2" s="1"/>
  <c r="CM134" i="2" s="1"/>
  <c r="CL44" i="2"/>
  <c r="CL46" i="2" s="1"/>
  <c r="CL48" i="2"/>
  <c r="CN24" i="2" l="1"/>
  <c r="CN161" i="2"/>
  <c r="CN138" i="2"/>
  <c r="CN139" i="2"/>
  <c r="CN140" i="2"/>
  <c r="CM155" i="2"/>
  <c r="CM157" i="2" s="1"/>
  <c r="CG4" i="14"/>
  <c r="CN108" i="2"/>
  <c r="CN205" i="2"/>
  <c r="CN127" i="2" s="1"/>
  <c r="CN28" i="2"/>
  <c r="CN23" i="2"/>
  <c r="CN25" i="2"/>
  <c r="CN5" i="5"/>
  <c r="CM6" i="5"/>
  <c r="CM7" i="5"/>
  <c r="CN110" i="2"/>
  <c r="C174" i="9"/>
  <c r="CM186" i="2"/>
  <c r="CN30" i="2"/>
  <c r="CN109" i="2"/>
  <c r="CN185" i="2" s="1"/>
  <c r="CN151" i="2"/>
  <c r="CN14" i="2"/>
  <c r="CN85" i="2"/>
  <c r="CN174" i="2" s="1"/>
  <c r="CN6" i="2"/>
  <c r="CN170" i="2"/>
  <c r="CO13" i="2"/>
  <c r="CO161" i="2" s="1"/>
  <c r="CN131" i="2"/>
  <c r="CN7" i="2"/>
  <c r="CN132" i="2" s="1"/>
  <c r="CN134" i="2" s="1"/>
  <c r="CN45" i="2"/>
  <c r="CO15" i="2"/>
  <c r="CN154" i="2"/>
  <c r="CM44" i="2"/>
  <c r="CM46" i="2" s="1"/>
  <c r="CM48" i="2"/>
  <c r="CO24" i="2" l="1"/>
  <c r="CN155" i="2"/>
  <c r="CN157" i="2" s="1"/>
  <c r="CO138" i="2"/>
  <c r="CO139" i="2"/>
  <c r="CO140" i="2"/>
  <c r="CH4" i="14"/>
  <c r="CO108" i="2"/>
  <c r="CO205" i="2"/>
  <c r="CO127" i="2" s="1"/>
  <c r="CO28" i="2"/>
  <c r="CO25" i="2"/>
  <c r="CO23" i="2"/>
  <c r="CO5" i="5"/>
  <c r="CN6" i="5"/>
  <c r="CN7" i="5"/>
  <c r="CO110" i="2"/>
  <c r="C175" i="9"/>
  <c r="CN186" i="2"/>
  <c r="CO85" i="2"/>
  <c r="CO174" i="2" s="1"/>
  <c r="CO170" i="2"/>
  <c r="CP13" i="2"/>
  <c r="CO151" i="2"/>
  <c r="CO109" i="2"/>
  <c r="CO185" i="2" s="1"/>
  <c r="CO30" i="2"/>
  <c r="CO6" i="2"/>
  <c r="CO14" i="2"/>
  <c r="CN44" i="2"/>
  <c r="CN46" i="2" s="1"/>
  <c r="CN48" i="2"/>
  <c r="CO7" i="2"/>
  <c r="CO132" i="2" s="1"/>
  <c r="CO134" i="2" s="1"/>
  <c r="CO131" i="2"/>
  <c r="CP15" i="2"/>
  <c r="CO154" i="2"/>
  <c r="CO45" i="2"/>
  <c r="CP24" i="2" l="1"/>
  <c r="CP161" i="2"/>
  <c r="CO155" i="2"/>
  <c r="CO157" i="2" s="1"/>
  <c r="CP138" i="2"/>
  <c r="CP140" i="2"/>
  <c r="CP139" i="2"/>
  <c r="CI4" i="14"/>
  <c r="CP108" i="2"/>
  <c r="CP205" i="2"/>
  <c r="CP127" i="2" s="1"/>
  <c r="CP28" i="2"/>
  <c r="CP25" i="2"/>
  <c r="CP23" i="2"/>
  <c r="CO6" i="5"/>
  <c r="CP5" i="5"/>
  <c r="CO7" i="5"/>
  <c r="C176" i="9"/>
  <c r="CP110" i="2"/>
  <c r="CQ13" i="2"/>
  <c r="CP170" i="2"/>
  <c r="CP30" i="2"/>
  <c r="CP6" i="2"/>
  <c r="CP109" i="2"/>
  <c r="CP185" i="2" s="1"/>
  <c r="CP85" i="2"/>
  <c r="CP174" i="2" s="1"/>
  <c r="CP151" i="2"/>
  <c r="CP14" i="2"/>
  <c r="CO186" i="2"/>
  <c r="CO48" i="2"/>
  <c r="CO44" i="2"/>
  <c r="CO46" i="2" s="1"/>
  <c r="CP131" i="2"/>
  <c r="CQ15" i="2"/>
  <c r="CP154" i="2"/>
  <c r="CP7" i="2"/>
  <c r="CP132" i="2" s="1"/>
  <c r="CP134" i="2" s="1"/>
  <c r="CP45" i="2"/>
  <c r="CQ24" i="2" l="1"/>
  <c r="CQ161" i="2"/>
  <c r="CQ138" i="2"/>
  <c r="CQ139" i="2"/>
  <c r="CQ140" i="2"/>
  <c r="CP155" i="2"/>
  <c r="CP157" i="2" s="1"/>
  <c r="CJ4" i="14"/>
  <c r="CQ108" i="2"/>
  <c r="CQ205" i="2"/>
  <c r="CQ127" i="2" s="1"/>
  <c r="CQ28" i="2"/>
  <c r="CQ25" i="2"/>
  <c r="CQ23" i="2"/>
  <c r="CQ5" i="5"/>
  <c r="CP7" i="5"/>
  <c r="CP6" i="5"/>
  <c r="C177" i="9"/>
  <c r="CQ110" i="2"/>
  <c r="CP186" i="2"/>
  <c r="CQ14" i="2"/>
  <c r="CR13" i="2"/>
  <c r="CQ30" i="2"/>
  <c r="CQ6" i="2"/>
  <c r="CQ151" i="2"/>
  <c r="CQ109" i="2"/>
  <c r="CQ185" i="2" s="1"/>
  <c r="CP44" i="2"/>
  <c r="CP46" i="2" s="1"/>
  <c r="CP48" i="2"/>
  <c r="CQ131" i="2"/>
  <c r="CQ45" i="2"/>
  <c r="CR15" i="2"/>
  <c r="CQ7" i="2"/>
  <c r="CQ132" i="2" s="1"/>
  <c r="CQ134" i="2" s="1"/>
  <c r="CQ154" i="2"/>
  <c r="CR24" i="2" l="1"/>
  <c r="CR161" i="2"/>
  <c r="CR138" i="2"/>
  <c r="CR140" i="2"/>
  <c r="CR139" i="2"/>
  <c r="CQ155" i="2"/>
  <c r="CQ157" i="2" s="1"/>
  <c r="CK4" i="14"/>
  <c r="CR108" i="2"/>
  <c r="CR205" i="2"/>
  <c r="CR127" i="2" s="1"/>
  <c r="CR28" i="2"/>
  <c r="CR25" i="2"/>
  <c r="CR23" i="2"/>
  <c r="CQ7" i="5"/>
  <c r="CQ6" i="5"/>
  <c r="CR5" i="5"/>
  <c r="CR110" i="2"/>
  <c r="CR165" i="2"/>
  <c r="C178" i="9"/>
  <c r="CR6" i="2"/>
  <c r="CR14" i="2"/>
  <c r="CR30" i="2"/>
  <c r="CR109" i="2"/>
  <c r="CR185" i="2" s="1"/>
  <c r="CS13" i="2"/>
  <c r="CR85" i="2"/>
  <c r="CR174" i="2" s="1"/>
  <c r="CR170" i="2"/>
  <c r="CR151" i="2"/>
  <c r="CR131" i="2"/>
  <c r="CR45" i="2"/>
  <c r="CR7" i="2"/>
  <c r="CR132" i="2" s="1"/>
  <c r="CR134" i="2" s="1"/>
  <c r="CR154" i="2"/>
  <c r="CS15" i="2"/>
  <c r="CQ48" i="2"/>
  <c r="CQ44" i="2"/>
  <c r="CQ46" i="2" s="1"/>
  <c r="CS24" i="2" l="1"/>
  <c r="CS161" i="2"/>
  <c r="CR155" i="2"/>
  <c r="CR157" i="2" s="1"/>
  <c r="CS138" i="2"/>
  <c r="CS139" i="2"/>
  <c r="CS140" i="2"/>
  <c r="CL4" i="14"/>
  <c r="CS108" i="2"/>
  <c r="CS205" i="2"/>
  <c r="CS127" i="2" s="1"/>
  <c r="CS28" i="2"/>
  <c r="CS23" i="2"/>
  <c r="CS25" i="2"/>
  <c r="CR6" i="5"/>
  <c r="CS5" i="5"/>
  <c r="CR7" i="5"/>
  <c r="CS110" i="2"/>
  <c r="C179" i="9"/>
  <c r="CR186" i="2"/>
  <c r="CS85" i="2"/>
  <c r="CS174" i="2" s="1"/>
  <c r="CS151" i="2"/>
  <c r="CS14" i="2"/>
  <c r="CS109" i="2"/>
  <c r="CS185" i="2" s="1"/>
  <c r="CS170" i="2"/>
  <c r="CS30" i="2"/>
  <c r="CT13" i="2"/>
  <c r="CR48" i="2"/>
  <c r="CR44" i="2"/>
  <c r="CR46" i="2" s="1"/>
  <c r="CT15" i="2"/>
  <c r="CS132" i="2"/>
  <c r="CS134" i="2" s="1"/>
  <c r="CS131" i="2"/>
  <c r="CS45" i="2"/>
  <c r="CS154" i="2"/>
  <c r="CT24" i="2" l="1"/>
  <c r="CT161" i="2"/>
  <c r="CT138" i="2"/>
  <c r="CT139" i="2"/>
  <c r="CT140" i="2"/>
  <c r="CS155" i="2"/>
  <c r="CS157" i="2" s="1"/>
  <c r="CM4" i="14"/>
  <c r="CT108" i="2"/>
  <c r="CT205" i="2"/>
  <c r="CT127" i="2" s="1"/>
  <c r="CT27" i="2"/>
  <c r="CT28" i="2"/>
  <c r="CT23" i="2"/>
  <c r="CT25" i="2"/>
  <c r="CT5" i="5"/>
  <c r="CS7" i="5"/>
  <c r="CS6" i="5"/>
  <c r="CT110" i="2"/>
  <c r="C180" i="9"/>
  <c r="CS186" i="2"/>
  <c r="CT14" i="2"/>
  <c r="CU13" i="2"/>
  <c r="CT170" i="2"/>
  <c r="CT85" i="2"/>
  <c r="CT174" i="2" s="1"/>
  <c r="CT151" i="2"/>
  <c r="CT30" i="2"/>
  <c r="CT109" i="2"/>
  <c r="CT185" i="2" s="1"/>
  <c r="CT45" i="2"/>
  <c r="CT154" i="2"/>
  <c r="CT131" i="2"/>
  <c r="CT132" i="2"/>
  <c r="CT134" i="2" s="1"/>
  <c r="CU15" i="2"/>
  <c r="CS44" i="2"/>
  <c r="CS46" i="2" s="1"/>
  <c r="CS48" i="2"/>
  <c r="CU24" i="2" l="1"/>
  <c r="CU161" i="2"/>
  <c r="CT155" i="2"/>
  <c r="CT157" i="2" s="1"/>
  <c r="CU138" i="2"/>
  <c r="CU140" i="2"/>
  <c r="CU139" i="2"/>
  <c r="CN4" i="14"/>
  <c r="CU108" i="2"/>
  <c r="CT29" i="2"/>
  <c r="CU205" i="2"/>
  <c r="CU127" i="2" s="1"/>
  <c r="CT26" i="2"/>
  <c r="CT162" i="2" s="1"/>
  <c r="CU27" i="2"/>
  <c r="CU28" i="2"/>
  <c r="CU23" i="2"/>
  <c r="CU25" i="2"/>
  <c r="CU5" i="5"/>
  <c r="CT6" i="5"/>
  <c r="CT7" i="5"/>
  <c r="C181" i="9"/>
  <c r="CU110" i="2"/>
  <c r="CT186" i="2"/>
  <c r="CV13" i="2"/>
  <c r="CU151" i="2"/>
  <c r="CU30" i="2"/>
  <c r="CU109" i="2"/>
  <c r="CU185" i="2" s="1"/>
  <c r="CU6" i="2"/>
  <c r="CU170" i="2"/>
  <c r="CU14" i="2"/>
  <c r="CU85" i="2"/>
  <c r="CU174" i="2" s="1"/>
  <c r="CU7" i="2"/>
  <c r="CU132" i="2" s="1"/>
  <c r="CU134" i="2" s="1"/>
  <c r="CU131" i="2"/>
  <c r="CU154" i="2"/>
  <c r="CV15" i="2"/>
  <c r="CU45" i="2"/>
  <c r="CT44" i="2"/>
  <c r="CT46" i="2" s="1"/>
  <c r="CT48" i="2"/>
  <c r="CV24" i="2" l="1"/>
  <c r="CV161" i="2"/>
  <c r="CV138" i="2"/>
  <c r="CV139" i="2"/>
  <c r="CV140" i="2"/>
  <c r="CU155" i="2"/>
  <c r="CU157" i="2" s="1"/>
  <c r="CO4" i="14"/>
  <c r="CV108" i="2"/>
  <c r="CU29" i="2"/>
  <c r="CU26" i="2"/>
  <c r="CV205" i="2"/>
  <c r="CV127" i="2" s="1"/>
  <c r="CV27" i="2"/>
  <c r="CV28" i="2"/>
  <c r="CV23" i="2"/>
  <c r="CV25" i="2"/>
  <c r="CU6" i="5"/>
  <c r="CV5" i="5"/>
  <c r="CU7" i="5"/>
  <c r="CV110" i="2"/>
  <c r="C182" i="9"/>
  <c r="CV170" i="2"/>
  <c r="CV109" i="2"/>
  <c r="CV185" i="2" s="1"/>
  <c r="CV85" i="2"/>
  <c r="CV174" i="2" s="1"/>
  <c r="CV30" i="2"/>
  <c r="CV6" i="2"/>
  <c r="CV14" i="2"/>
  <c r="CW13" i="2"/>
  <c r="CV151" i="2"/>
  <c r="CU186" i="2"/>
  <c r="CU48" i="2"/>
  <c r="CU44" i="2"/>
  <c r="CU46" i="2" s="1"/>
  <c r="CV7" i="2"/>
  <c r="CV132" i="2" s="1"/>
  <c r="CV134" i="2" s="1"/>
  <c r="CV131" i="2"/>
  <c r="CW15" i="2"/>
  <c r="CV154" i="2"/>
  <c r="CV45" i="2"/>
  <c r="CU162" i="2" l="1"/>
  <c r="CW24" i="2"/>
  <c r="CW161" i="2"/>
  <c r="CV155" i="2"/>
  <c r="CV157" i="2" s="1"/>
  <c r="CW138" i="2"/>
  <c r="CW140" i="2"/>
  <c r="CW139" i="2"/>
  <c r="CP4" i="14"/>
  <c r="CW108" i="2"/>
  <c r="CW205" i="2"/>
  <c r="CW127" i="2" s="1"/>
  <c r="CV29" i="2"/>
  <c r="CV26" i="2"/>
  <c r="CW28" i="2"/>
  <c r="CW27" i="2"/>
  <c r="CW23" i="2"/>
  <c r="CW25" i="2"/>
  <c r="CW5" i="5"/>
  <c r="CV7" i="5"/>
  <c r="CV6" i="5"/>
  <c r="CW110" i="2"/>
  <c r="C183" i="9"/>
  <c r="CV186" i="2"/>
  <c r="CW109" i="2"/>
  <c r="CW185" i="2" s="1"/>
  <c r="CX13" i="2"/>
  <c r="CW14" i="2"/>
  <c r="CW30" i="2"/>
  <c r="CW6" i="2"/>
  <c r="CX15" i="2"/>
  <c r="CW131" i="2"/>
  <c r="CW7" i="2"/>
  <c r="CW132" i="2" s="1"/>
  <c r="CW134" i="2" s="1"/>
  <c r="CW154" i="2"/>
  <c r="CW45" i="2"/>
  <c r="CV44" i="2"/>
  <c r="CV46" i="2" s="1"/>
  <c r="CV48" i="2"/>
  <c r="CV162" i="2" l="1"/>
  <c r="CX24" i="2"/>
  <c r="CX161" i="2"/>
  <c r="CW155" i="2"/>
  <c r="CW157" i="2" s="1"/>
  <c r="CX138" i="2"/>
  <c r="CX140" i="2"/>
  <c r="CX139" i="2"/>
  <c r="CQ4" i="14"/>
  <c r="CX108" i="2"/>
  <c r="CW29" i="2"/>
  <c r="CW26" i="2"/>
  <c r="CX205" i="2"/>
  <c r="CX127" i="2" s="1"/>
  <c r="CX28" i="2"/>
  <c r="CX27" i="2"/>
  <c r="CX25" i="2"/>
  <c r="CX23" i="2"/>
  <c r="CX5" i="5"/>
  <c r="CW7" i="5"/>
  <c r="CW6" i="5"/>
  <c r="CX107" i="2"/>
  <c r="CX110" i="2"/>
  <c r="CX146" i="2"/>
  <c r="CX165" i="2"/>
  <c r="C184" i="9"/>
  <c r="CX151" i="2"/>
  <c r="CX14" i="2"/>
  <c r="CX85" i="2"/>
  <c r="CX174" i="2" s="1"/>
  <c r="CY13" i="2"/>
  <c r="CX6" i="2"/>
  <c r="CX30" i="2"/>
  <c r="CX109" i="2"/>
  <c r="CX185" i="2" s="1"/>
  <c r="CX170" i="2"/>
  <c r="CX154" i="2"/>
  <c r="CX7" i="2"/>
  <c r="CX132" i="2" s="1"/>
  <c r="CX134" i="2" s="1"/>
  <c r="CX45" i="2"/>
  <c r="CY15" i="2"/>
  <c r="CX131" i="2"/>
  <c r="CW44" i="2"/>
  <c r="CW46" i="2" s="1"/>
  <c r="CW48" i="2"/>
  <c r="CW162" i="2" l="1"/>
  <c r="CX184" i="2"/>
  <c r="CY24" i="2"/>
  <c r="CY161" i="2"/>
  <c r="CY138" i="2"/>
  <c r="CY139" i="2"/>
  <c r="CY140" i="2"/>
  <c r="CX155" i="2"/>
  <c r="CX157" i="2" s="1"/>
  <c r="CR4" i="14"/>
  <c r="CY108" i="2"/>
  <c r="CX29" i="2"/>
  <c r="CX26" i="2"/>
  <c r="CY205" i="2"/>
  <c r="CY127" i="2" s="1"/>
  <c r="CY27" i="2"/>
  <c r="CY28" i="2"/>
  <c r="CY23" i="2"/>
  <c r="CY25" i="2"/>
  <c r="CX6" i="5"/>
  <c r="CX7" i="5"/>
  <c r="CY5" i="5"/>
  <c r="CY107" i="2"/>
  <c r="C185" i="9"/>
  <c r="CY165" i="2"/>
  <c r="CY146" i="2"/>
  <c r="CY110" i="2"/>
  <c r="CZ13" i="2"/>
  <c r="CY30" i="2"/>
  <c r="CY6" i="2"/>
  <c r="CY109" i="2"/>
  <c r="CY185" i="2" s="1"/>
  <c r="CY151" i="2"/>
  <c r="CY170" i="2"/>
  <c r="CY14" i="2"/>
  <c r="CY85" i="2"/>
  <c r="CY174" i="2" s="1"/>
  <c r="CX186" i="2"/>
  <c r="CY7" i="2"/>
  <c r="CY132" i="2" s="1"/>
  <c r="CY134" i="2" s="1"/>
  <c r="CZ15" i="2"/>
  <c r="CY154" i="2"/>
  <c r="CY131" i="2"/>
  <c r="CY45" i="2"/>
  <c r="CX48" i="2"/>
  <c r="CX44" i="2"/>
  <c r="CX46" i="2" s="1"/>
  <c r="CX162" i="2" l="1"/>
  <c r="CY184" i="2"/>
  <c r="CZ24" i="2"/>
  <c r="CZ161" i="2"/>
  <c r="CZ138" i="2"/>
  <c r="CZ140" i="2"/>
  <c r="CZ139" i="2"/>
  <c r="CY155" i="2"/>
  <c r="CY157" i="2" s="1"/>
  <c r="CS4" i="14"/>
  <c r="CZ108" i="2"/>
  <c r="CY29" i="2"/>
  <c r="CY26" i="2"/>
  <c r="CY162" i="2" s="1"/>
  <c r="CZ205" i="2"/>
  <c r="CZ127" i="2" s="1"/>
  <c r="CZ28" i="2"/>
  <c r="CZ27" i="2"/>
  <c r="CZ25" i="2"/>
  <c r="CZ23" i="2"/>
  <c r="CY6" i="5"/>
  <c r="CZ5" i="5"/>
  <c r="CY7" i="5"/>
  <c r="CZ107" i="2"/>
  <c r="CZ110" i="2"/>
  <c r="CZ146" i="2"/>
  <c r="CZ165" i="2"/>
  <c r="C186" i="9"/>
  <c r="CY186" i="2"/>
  <c r="CZ6" i="2"/>
  <c r="CZ14" i="2"/>
  <c r="CZ109" i="2"/>
  <c r="CZ185" i="2" s="1"/>
  <c r="DA13" i="2"/>
  <c r="CZ151" i="2"/>
  <c r="CZ30" i="2"/>
  <c r="CZ7" i="2"/>
  <c r="CZ132" i="2" s="1"/>
  <c r="CZ134" i="2" s="1"/>
  <c r="CZ154" i="2"/>
  <c r="DA15" i="2"/>
  <c r="CZ131" i="2"/>
  <c r="CZ45" i="2"/>
  <c r="CY48" i="2"/>
  <c r="CY44" i="2"/>
  <c r="CY46" i="2" s="1"/>
  <c r="CZ184" i="2" l="1"/>
  <c r="DA24" i="2"/>
  <c r="DA161" i="2"/>
  <c r="DA138" i="2"/>
  <c r="DA139" i="2"/>
  <c r="DA140" i="2"/>
  <c r="CZ155" i="2"/>
  <c r="CZ157" i="2" s="1"/>
  <c r="CT4" i="14"/>
  <c r="DA108" i="2"/>
  <c r="CZ29" i="2"/>
  <c r="CZ26" i="2"/>
  <c r="DA205" i="2"/>
  <c r="DA127" i="2" s="1"/>
  <c r="DA28" i="2"/>
  <c r="DA27" i="2"/>
  <c r="DA23" i="2"/>
  <c r="DA25" i="2"/>
  <c r="CZ6" i="5"/>
  <c r="DA5" i="5"/>
  <c r="CZ7" i="5"/>
  <c r="DA107" i="2"/>
  <c r="DA165" i="2"/>
  <c r="DA110" i="2"/>
  <c r="DA146" i="2"/>
  <c r="C187" i="9"/>
  <c r="DA151" i="2"/>
  <c r="DA109" i="2"/>
  <c r="DA185" i="2" s="1"/>
  <c r="DA85" i="2"/>
  <c r="DA174" i="2" s="1"/>
  <c r="DA30" i="2"/>
  <c r="DB13" i="2"/>
  <c r="DB161" i="2" s="1"/>
  <c r="DA14" i="2"/>
  <c r="DA170" i="2"/>
  <c r="DA6" i="2"/>
  <c r="DB15" i="2"/>
  <c r="DA7" i="2"/>
  <c r="DA132" i="2" s="1"/>
  <c r="DA134" i="2" s="1"/>
  <c r="DA45" i="2"/>
  <c r="DA154" i="2"/>
  <c r="DA131" i="2"/>
  <c r="CZ48" i="2"/>
  <c r="CZ44" i="2"/>
  <c r="CZ46" i="2" s="1"/>
  <c r="CZ162" i="2" l="1"/>
  <c r="DA184" i="2"/>
  <c r="I11" i="1"/>
  <c r="DB24" i="2"/>
  <c r="I10" i="1"/>
  <c r="I14" i="1"/>
  <c r="DA155" i="2"/>
  <c r="DA157" i="2" s="1"/>
  <c r="E74" i="1"/>
  <c r="DB138" i="2"/>
  <c r="DB139" i="2"/>
  <c r="DB140" i="2"/>
  <c r="CU4" i="14"/>
  <c r="L9" i="32"/>
  <c r="L9" i="9"/>
  <c r="B9" i="9"/>
  <c r="I13" i="1"/>
  <c r="I9" i="1"/>
  <c r="DB108" i="2"/>
  <c r="DA29" i="2"/>
  <c r="DA26" i="2"/>
  <c r="DB205" i="2"/>
  <c r="DB127" i="2" s="1"/>
  <c r="DB28" i="2"/>
  <c r="DB27" i="2"/>
  <c r="DB23" i="2"/>
  <c r="DB25" i="2"/>
  <c r="DA6" i="5"/>
  <c r="DB5" i="5"/>
  <c r="DA7" i="5"/>
  <c r="DB107" i="2"/>
  <c r="DB110" i="2"/>
  <c r="DB146" i="2"/>
  <c r="DB165" i="2"/>
  <c r="C188" i="9"/>
  <c r="DA186" i="2"/>
  <c r="DC13" i="2"/>
  <c r="DB30" i="2"/>
  <c r="DB151" i="2"/>
  <c r="DB109" i="2"/>
  <c r="DB185" i="2" s="1"/>
  <c r="DB14" i="2"/>
  <c r="DB6" i="2"/>
  <c r="DA44" i="2"/>
  <c r="DA46" i="2" s="1"/>
  <c r="DA48" i="2"/>
  <c r="DC15" i="2"/>
  <c r="DB131" i="2"/>
  <c r="DB7" i="2"/>
  <c r="DB132" i="2" s="1"/>
  <c r="DB134" i="2" s="1"/>
  <c r="DB154" i="2"/>
  <c r="DB45" i="2"/>
  <c r="DA162" i="2" l="1"/>
  <c r="DB184" i="2"/>
  <c r="DC24" i="2"/>
  <c r="DC161" i="2"/>
  <c r="DB155" i="2"/>
  <c r="DB157" i="2" s="1"/>
  <c r="D13" i="2"/>
  <c r="F21" i="2" s="1"/>
  <c r="DC138" i="2"/>
  <c r="DC140" i="2"/>
  <c r="DC139" i="2"/>
  <c r="CV4" i="14"/>
  <c r="I9" i="9"/>
  <c r="J9" i="9" s="1"/>
  <c r="B10" i="9"/>
  <c r="S9" i="9"/>
  <c r="T9" i="9" s="1"/>
  <c r="L10" i="9"/>
  <c r="L10" i="32"/>
  <c r="S9" i="32"/>
  <c r="T9" i="32" s="1"/>
  <c r="DC108" i="2"/>
  <c r="DB29" i="2"/>
  <c r="DC205" i="2"/>
  <c r="DC127" i="2" s="1"/>
  <c r="DB26" i="2"/>
  <c r="DC28" i="2"/>
  <c r="DC27" i="2"/>
  <c r="DC23" i="2"/>
  <c r="DC25" i="2"/>
  <c r="DB7" i="5"/>
  <c r="DB6" i="5"/>
  <c r="DC5" i="5"/>
  <c r="DC107" i="2"/>
  <c r="DC146" i="2"/>
  <c r="DC110" i="2"/>
  <c r="DC165" i="2"/>
  <c r="C189" i="9"/>
  <c r="DC30" i="2"/>
  <c r="DC6" i="2"/>
  <c r="DC14" i="2"/>
  <c r="DC151" i="2"/>
  <c r="DD13" i="2"/>
  <c r="DC109" i="2"/>
  <c r="DC185" i="2" s="1"/>
  <c r="DC7" i="2"/>
  <c r="DC132" i="2" s="1"/>
  <c r="DC134" i="2" s="1"/>
  <c r="DD15" i="2"/>
  <c r="DC131" i="2"/>
  <c r="DC45" i="2"/>
  <c r="DC154" i="2"/>
  <c r="DB48" i="2"/>
  <c r="DB44" i="2"/>
  <c r="DB46" i="2" s="1"/>
  <c r="DB162" i="2" l="1"/>
  <c r="DC184" i="2"/>
  <c r="DD24" i="2"/>
  <c r="DD161" i="2"/>
  <c r="DC155" i="2"/>
  <c r="DC157" i="2" s="1"/>
  <c r="DD138" i="2"/>
  <c r="DD139" i="2"/>
  <c r="DD140" i="2"/>
  <c r="CW4" i="14"/>
  <c r="S10" i="32"/>
  <c r="T10" i="32" s="1"/>
  <c r="P10" i="32" s="1"/>
  <c r="L11" i="32"/>
  <c r="L11" i="9"/>
  <c r="S10" i="9"/>
  <c r="T10" i="9" s="1"/>
  <c r="P10" i="9" s="1"/>
  <c r="I10" i="9"/>
  <c r="J10" i="9" s="1"/>
  <c r="B11" i="9"/>
  <c r="DD108" i="2"/>
  <c r="DC29" i="2"/>
  <c r="DC26" i="2"/>
  <c r="DD205" i="2"/>
  <c r="DD127" i="2" s="1"/>
  <c r="DD28" i="2"/>
  <c r="DD27" i="2"/>
  <c r="DD23" i="2"/>
  <c r="DD25" i="2"/>
  <c r="DC7" i="5"/>
  <c r="DD5" i="5"/>
  <c r="DC6" i="5"/>
  <c r="DD107" i="2"/>
  <c r="DD110" i="2"/>
  <c r="DD165" i="2"/>
  <c r="DD146" i="2"/>
  <c r="C190" i="9"/>
  <c r="DD14" i="2"/>
  <c r="DD170" i="2"/>
  <c r="DE13" i="2"/>
  <c r="DD109" i="2"/>
  <c r="DD185" i="2" s="1"/>
  <c r="DD6" i="2"/>
  <c r="DD151" i="2"/>
  <c r="DD85" i="2"/>
  <c r="DD174" i="2" s="1"/>
  <c r="DD30" i="2"/>
  <c r="DD7" i="2"/>
  <c r="DD132" i="2" s="1"/>
  <c r="DD134" i="2" s="1"/>
  <c r="DD131" i="2"/>
  <c r="DD154" i="2"/>
  <c r="DD45" i="2"/>
  <c r="DE15" i="2"/>
  <c r="DC48" i="2"/>
  <c r="DC44" i="2"/>
  <c r="DC46" i="2" s="1"/>
  <c r="DC162" i="2" l="1"/>
  <c r="DD184" i="2"/>
  <c r="DE24" i="2"/>
  <c r="DE161" i="2"/>
  <c r="DE138" i="2"/>
  <c r="DE140" i="2"/>
  <c r="DE139" i="2"/>
  <c r="DD155" i="2"/>
  <c r="DD157" i="2" s="1"/>
  <c r="CX4" i="14"/>
  <c r="I11" i="9"/>
  <c r="J11" i="9" s="1"/>
  <c r="B12" i="9"/>
  <c r="S11" i="9"/>
  <c r="T11" i="9" s="1"/>
  <c r="P11" i="9" s="1"/>
  <c r="L12" i="9"/>
  <c r="L12" i="32"/>
  <c r="S11" i="32"/>
  <c r="T11" i="32" s="1"/>
  <c r="P11" i="32" s="1"/>
  <c r="DE108" i="2"/>
  <c r="DD29" i="2"/>
  <c r="DE205" i="2"/>
  <c r="DE127" i="2" s="1"/>
  <c r="DD26" i="2"/>
  <c r="DE28" i="2"/>
  <c r="DE27" i="2"/>
  <c r="DE25" i="2"/>
  <c r="DE23" i="2"/>
  <c r="DE5" i="5"/>
  <c r="DD6" i="5"/>
  <c r="DD7" i="5"/>
  <c r="DE107" i="2"/>
  <c r="DE146" i="2"/>
  <c r="DE110" i="2"/>
  <c r="DE165" i="2"/>
  <c r="C191" i="9"/>
  <c r="DD186" i="2"/>
  <c r="DE14" i="2"/>
  <c r="DE30" i="2"/>
  <c r="DE151" i="2"/>
  <c r="DE6" i="2"/>
  <c r="DE109" i="2"/>
  <c r="DE185" i="2" s="1"/>
  <c r="DF13" i="2"/>
  <c r="DE154" i="2"/>
  <c r="DE131" i="2"/>
  <c r="DE7" i="2"/>
  <c r="DE132" i="2" s="1"/>
  <c r="DE134" i="2" s="1"/>
  <c r="DF15" i="2"/>
  <c r="DE45" i="2"/>
  <c r="DD48" i="2"/>
  <c r="DD44" i="2"/>
  <c r="DD46" i="2" s="1"/>
  <c r="DD162" i="2" l="1"/>
  <c r="DE184" i="2"/>
  <c r="DF24" i="2"/>
  <c r="DF161" i="2"/>
  <c r="DE155" i="2"/>
  <c r="DE157" i="2" s="1"/>
  <c r="DF138" i="2"/>
  <c r="DF140" i="2"/>
  <c r="DF139" i="2"/>
  <c r="CY4" i="14"/>
  <c r="S12" i="32"/>
  <c r="T12" i="32" s="1"/>
  <c r="P12" i="32" s="1"/>
  <c r="L13" i="32"/>
  <c r="S12" i="9"/>
  <c r="T12" i="9" s="1"/>
  <c r="P12" i="9" s="1"/>
  <c r="L13" i="9"/>
  <c r="I12" i="9"/>
  <c r="J12" i="9" s="1"/>
  <c r="B13" i="9"/>
  <c r="DF108" i="2"/>
  <c r="DE29" i="2"/>
  <c r="DF205" i="2"/>
  <c r="DF127" i="2" s="1"/>
  <c r="DE26" i="2"/>
  <c r="DF28" i="2"/>
  <c r="DF27" i="2"/>
  <c r="DF25" i="2"/>
  <c r="DF23" i="2"/>
  <c r="DF5" i="5"/>
  <c r="DE6" i="5"/>
  <c r="DE7" i="5"/>
  <c r="DF107" i="2"/>
  <c r="DF146" i="2"/>
  <c r="DF165" i="2"/>
  <c r="DF110" i="2"/>
  <c r="C192" i="9"/>
  <c r="DF30" i="2"/>
  <c r="DF109" i="2"/>
  <c r="DF185" i="2" s="1"/>
  <c r="DG13" i="2"/>
  <c r="DF151" i="2"/>
  <c r="DF6" i="2"/>
  <c r="DF14" i="2"/>
  <c r="DE48" i="2"/>
  <c r="DE44" i="2"/>
  <c r="DE46" i="2" s="1"/>
  <c r="DF7" i="2"/>
  <c r="DF132" i="2" s="1"/>
  <c r="DF134" i="2" s="1"/>
  <c r="DF154" i="2"/>
  <c r="DG15" i="2"/>
  <c r="DF131" i="2"/>
  <c r="DF45" i="2"/>
  <c r="DE162" i="2" l="1"/>
  <c r="DF184" i="2"/>
  <c r="DG24" i="2"/>
  <c r="DG161" i="2"/>
  <c r="DG138" i="2"/>
  <c r="DG139" i="2"/>
  <c r="DG140" i="2"/>
  <c r="DF155" i="2"/>
  <c r="DF157" i="2" s="1"/>
  <c r="CZ4" i="14"/>
  <c r="B14" i="9"/>
  <c r="I13" i="9"/>
  <c r="J13" i="9" s="1"/>
  <c r="S13" i="9"/>
  <c r="T13" i="9" s="1"/>
  <c r="P13" i="9" s="1"/>
  <c r="L14" i="9"/>
  <c r="S13" i="32"/>
  <c r="T13" i="32" s="1"/>
  <c r="P13" i="32" s="1"/>
  <c r="L14" i="32"/>
  <c r="DG108" i="2"/>
  <c r="DF29" i="2"/>
  <c r="DG205" i="2"/>
  <c r="DG127" i="2" s="1"/>
  <c r="DF26" i="2"/>
  <c r="DG28" i="2"/>
  <c r="DG27" i="2"/>
  <c r="DG23" i="2"/>
  <c r="DG25" i="2"/>
  <c r="DG5" i="5"/>
  <c r="DF6" i="5"/>
  <c r="DF7" i="5"/>
  <c r="DG107" i="2"/>
  <c r="DG165" i="2"/>
  <c r="DG146" i="2"/>
  <c r="DG110" i="2"/>
  <c r="C193" i="9"/>
  <c r="DG170" i="2"/>
  <c r="DG14" i="2"/>
  <c r="DG85" i="2"/>
  <c r="DG174" i="2" s="1"/>
  <c r="DH13" i="2"/>
  <c r="DG151" i="2"/>
  <c r="DG6" i="2"/>
  <c r="DG30" i="2"/>
  <c r="DG109" i="2"/>
  <c r="DG185" i="2" s="1"/>
  <c r="DF48" i="2"/>
  <c r="DF44" i="2"/>
  <c r="DF46" i="2" s="1"/>
  <c r="DH15" i="2"/>
  <c r="DG45" i="2"/>
  <c r="DG131" i="2"/>
  <c r="DG154" i="2"/>
  <c r="DG7" i="2"/>
  <c r="DG132" i="2" s="1"/>
  <c r="DG134" i="2" s="1"/>
  <c r="DF162" i="2" l="1"/>
  <c r="DG184" i="2"/>
  <c r="DH24" i="2"/>
  <c r="DH161" i="2"/>
  <c r="DH138" i="2"/>
  <c r="DH139" i="2"/>
  <c r="DH140" i="2"/>
  <c r="DG155" i="2"/>
  <c r="DG157" i="2" s="1"/>
  <c r="DA4" i="14"/>
  <c r="S14" i="32"/>
  <c r="T14" i="32" s="1"/>
  <c r="P14" i="32" s="1"/>
  <c r="L15" i="32"/>
  <c r="L15" i="9"/>
  <c r="S14" i="9"/>
  <c r="T14" i="9" s="1"/>
  <c r="P14" i="9" s="1"/>
  <c r="I14" i="9"/>
  <c r="J14" i="9" s="1"/>
  <c r="B15" i="9"/>
  <c r="DH108" i="2"/>
  <c r="DG29" i="2"/>
  <c r="DG26" i="2"/>
  <c r="DH205" i="2"/>
  <c r="DH127" i="2" s="1"/>
  <c r="DH28" i="2"/>
  <c r="DH27" i="2"/>
  <c r="DH25" i="2"/>
  <c r="DH23" i="2"/>
  <c r="DG7" i="5"/>
  <c r="DG6" i="5"/>
  <c r="DH5" i="5"/>
  <c r="DH107" i="2"/>
  <c r="C194" i="9"/>
  <c r="DH110" i="2"/>
  <c r="DH146" i="2"/>
  <c r="DH165" i="2"/>
  <c r="DG186" i="2"/>
  <c r="DH30" i="2"/>
  <c r="DH109" i="2"/>
  <c r="DH185" i="2" s="1"/>
  <c r="DH14" i="2"/>
  <c r="DH151" i="2"/>
  <c r="DH85" i="2"/>
  <c r="DH174" i="2" s="1"/>
  <c r="DH6" i="2"/>
  <c r="DH170" i="2"/>
  <c r="DI13" i="2"/>
  <c r="DG48" i="2"/>
  <c r="DG44" i="2"/>
  <c r="DG46" i="2" s="1"/>
  <c r="DH154" i="2"/>
  <c r="DH45" i="2"/>
  <c r="DI15" i="2"/>
  <c r="DH7" i="2"/>
  <c r="DH132" i="2" s="1"/>
  <c r="DH134" i="2" s="1"/>
  <c r="DH131" i="2"/>
  <c r="DG162" i="2" l="1"/>
  <c r="DH184" i="2"/>
  <c r="DI24" i="2"/>
  <c r="DI161" i="2"/>
  <c r="DH155" i="2"/>
  <c r="DH157" i="2" s="1"/>
  <c r="DI138" i="2"/>
  <c r="DI140" i="2"/>
  <c r="DI139" i="2"/>
  <c r="DB4" i="14"/>
  <c r="I15" i="9"/>
  <c r="J15" i="9" s="1"/>
  <c r="B16" i="9"/>
  <c r="L16" i="9"/>
  <c r="S15" i="9"/>
  <c r="T15" i="9" s="1"/>
  <c r="P15" i="9" s="1"/>
  <c r="S15" i="32"/>
  <c r="T15" i="32" s="1"/>
  <c r="P15" i="32" s="1"/>
  <c r="L16" i="32"/>
  <c r="DI108" i="2"/>
  <c r="DH29" i="2"/>
  <c r="DH26" i="2"/>
  <c r="DI205" i="2"/>
  <c r="DI127" i="2" s="1"/>
  <c r="DI28" i="2"/>
  <c r="DI27" i="2"/>
  <c r="DI23" i="2"/>
  <c r="DI25" i="2"/>
  <c r="DI5" i="5"/>
  <c r="DH7" i="5"/>
  <c r="DH6" i="5"/>
  <c r="DI107" i="2"/>
  <c r="DI110" i="2"/>
  <c r="DI146" i="2"/>
  <c r="DI165" i="2"/>
  <c r="C195" i="9"/>
  <c r="DI151" i="2"/>
  <c r="DI30" i="2"/>
  <c r="DI109" i="2"/>
  <c r="DI185" i="2" s="1"/>
  <c r="DJ13" i="2"/>
  <c r="DI6" i="2"/>
  <c r="DI14" i="2"/>
  <c r="DH186" i="2"/>
  <c r="DJ15" i="2"/>
  <c r="DI7" i="2"/>
  <c r="DI132" i="2" s="1"/>
  <c r="DI134" i="2" s="1"/>
  <c r="DI154" i="2"/>
  <c r="DI45" i="2"/>
  <c r="DI131" i="2"/>
  <c r="DH44" i="2"/>
  <c r="DH46" i="2" s="1"/>
  <c r="DH48" i="2"/>
  <c r="DH162" i="2" l="1"/>
  <c r="DI184" i="2"/>
  <c r="DJ24" i="2"/>
  <c r="DJ161" i="2"/>
  <c r="DJ162" i="2"/>
  <c r="DI155" i="2"/>
  <c r="DI157" i="2" s="1"/>
  <c r="DJ138" i="2"/>
  <c r="DJ139" i="2"/>
  <c r="DJ140" i="2"/>
  <c r="DC4" i="14"/>
  <c r="L17" i="32"/>
  <c r="S16" i="32"/>
  <c r="T16" i="32" s="1"/>
  <c r="P16" i="32" s="1"/>
  <c r="L17" i="9"/>
  <c r="S16" i="9"/>
  <c r="T16" i="9" s="1"/>
  <c r="P16" i="9" s="1"/>
  <c r="I16" i="9"/>
  <c r="J16" i="9" s="1"/>
  <c r="B17" i="9"/>
  <c r="DJ108" i="2"/>
  <c r="DI29" i="2"/>
  <c r="DJ205" i="2"/>
  <c r="DJ127" i="2" s="1"/>
  <c r="DI26" i="2"/>
  <c r="DJ27" i="2"/>
  <c r="DJ28" i="2"/>
  <c r="DJ23" i="2"/>
  <c r="DJ25" i="2"/>
  <c r="DI6" i="5"/>
  <c r="DJ5" i="5"/>
  <c r="DI7" i="5"/>
  <c r="DJ107" i="2"/>
  <c r="DJ110" i="2"/>
  <c r="DJ146" i="2"/>
  <c r="DJ165" i="2"/>
  <c r="C196" i="9"/>
  <c r="BS85" i="2"/>
  <c r="CQ85" i="2"/>
  <c r="CQ174" i="2" s="1"/>
  <c r="BG85" i="2"/>
  <c r="DJ6" i="2"/>
  <c r="DJ14" i="2"/>
  <c r="DK13" i="2"/>
  <c r="DJ170" i="2"/>
  <c r="DJ30" i="2"/>
  <c r="DJ151" i="2"/>
  <c r="DJ85" i="2"/>
  <c r="DJ174" i="2" s="1"/>
  <c r="DJ109" i="2"/>
  <c r="DJ185" i="2" s="1"/>
  <c r="DI44" i="2"/>
  <c r="DI46" i="2" s="1"/>
  <c r="DI48" i="2"/>
  <c r="DJ154" i="2"/>
  <c r="DJ131" i="2"/>
  <c r="DK15" i="2"/>
  <c r="DJ7" i="2"/>
  <c r="DJ132" i="2" s="1"/>
  <c r="DJ134" i="2" s="1"/>
  <c r="DJ45" i="2"/>
  <c r="DI162" i="2" l="1"/>
  <c r="DJ184" i="2"/>
  <c r="DK24" i="2"/>
  <c r="DK161" i="2"/>
  <c r="DK162" i="2"/>
  <c r="DK138" i="2"/>
  <c r="DK140" i="2"/>
  <c r="DK139" i="2"/>
  <c r="DJ155" i="2"/>
  <c r="DJ157" i="2" s="1"/>
  <c r="DD4" i="14"/>
  <c r="B18" i="9"/>
  <c r="I17" i="9"/>
  <c r="J17" i="9" s="1"/>
  <c r="S17" i="9"/>
  <c r="T17" i="9" s="1"/>
  <c r="P17" i="9" s="1"/>
  <c r="L18" i="9"/>
  <c r="S17" i="32"/>
  <c r="T17" i="32" s="1"/>
  <c r="P17" i="32" s="1"/>
  <c r="L18" i="32"/>
  <c r="DK108" i="2"/>
  <c r="DJ29" i="2"/>
  <c r="DK205" i="2"/>
  <c r="DK127" i="2" s="1"/>
  <c r="DJ26" i="2"/>
  <c r="DK27" i="2"/>
  <c r="DK28" i="2"/>
  <c r="DK23" i="2"/>
  <c r="DK25" i="2"/>
  <c r="DJ6" i="5"/>
  <c r="DJ7" i="5"/>
  <c r="DK5" i="5"/>
  <c r="DK107" i="2"/>
  <c r="BS174" i="2"/>
  <c r="DK110" i="2"/>
  <c r="DK146" i="2"/>
  <c r="DK165" i="2"/>
  <c r="C197" i="9"/>
  <c r="BG174" i="2"/>
  <c r="DJ186" i="2"/>
  <c r="DL13" i="2"/>
  <c r="DL196" i="2" s="1"/>
  <c r="DK109" i="2"/>
  <c r="DK185" i="2" s="1"/>
  <c r="DK151" i="2"/>
  <c r="DK30" i="2"/>
  <c r="DK6" i="2"/>
  <c r="DK14" i="2"/>
  <c r="DJ48" i="2"/>
  <c r="DJ44" i="2"/>
  <c r="DJ46" i="2" s="1"/>
  <c r="DK7" i="2"/>
  <c r="DK132" i="2" s="1"/>
  <c r="DK134" i="2" s="1"/>
  <c r="DK154" i="2"/>
  <c r="DK131" i="2"/>
  <c r="DK45" i="2"/>
  <c r="DL15" i="2"/>
  <c r="DK184" i="2" l="1"/>
  <c r="DL24" i="2"/>
  <c r="DL161" i="2"/>
  <c r="DL162" i="2"/>
  <c r="DL163" i="2"/>
  <c r="DL138" i="2"/>
  <c r="DL139" i="2"/>
  <c r="DL140" i="2"/>
  <c r="DK155" i="2"/>
  <c r="DK157" i="2" s="1"/>
  <c r="DE4" i="14"/>
  <c r="S18" i="32"/>
  <c r="T18" i="32" s="1"/>
  <c r="P18" i="32" s="1"/>
  <c r="L19" i="32"/>
  <c r="L19" i="9"/>
  <c r="S18" i="9"/>
  <c r="T18" i="9" s="1"/>
  <c r="P18" i="9" s="1"/>
  <c r="I18" i="9"/>
  <c r="J18" i="9" s="1"/>
  <c r="B19" i="9"/>
  <c r="DL108" i="2"/>
  <c r="DK29" i="2"/>
  <c r="DL205" i="2"/>
  <c r="DL127" i="2" s="1"/>
  <c r="DK26" i="2"/>
  <c r="DL28" i="2"/>
  <c r="DL27" i="2"/>
  <c r="DL23" i="2"/>
  <c r="DL25" i="2"/>
  <c r="DL5" i="5"/>
  <c r="DK7" i="5"/>
  <c r="DK6" i="5"/>
  <c r="DL107" i="2"/>
  <c r="C198" i="9"/>
  <c r="DL110" i="2"/>
  <c r="DL165" i="2"/>
  <c r="DL146" i="2"/>
  <c r="DL14" i="2"/>
  <c r="DL170" i="2"/>
  <c r="DM13" i="2"/>
  <c r="DM196" i="2" s="1"/>
  <c r="DL85" i="2"/>
  <c r="DL174" i="2" s="1"/>
  <c r="DL30" i="2"/>
  <c r="DL6" i="2"/>
  <c r="DL151" i="2"/>
  <c r="DL109" i="2"/>
  <c r="DL185" i="2" s="1"/>
  <c r="DL45" i="2"/>
  <c r="DM15" i="2"/>
  <c r="DL131" i="2"/>
  <c r="DL7" i="2"/>
  <c r="DL132" i="2" s="1"/>
  <c r="DL134" i="2" s="1"/>
  <c r="DL154" i="2"/>
  <c r="DK48" i="2"/>
  <c r="DK44" i="2"/>
  <c r="DK46" i="2" s="1"/>
  <c r="DL184" i="2" l="1"/>
  <c r="DM24" i="2"/>
  <c r="DM161" i="2"/>
  <c r="DL164" i="2"/>
  <c r="DL181" i="2" s="1"/>
  <c r="DM163" i="2"/>
  <c r="DM162" i="2"/>
  <c r="DM138" i="2"/>
  <c r="DM140" i="2"/>
  <c r="DM139" i="2"/>
  <c r="DL155" i="2"/>
  <c r="DL157" i="2" s="1"/>
  <c r="DF4" i="14"/>
  <c r="I19" i="9"/>
  <c r="J19" i="9" s="1"/>
  <c r="B20" i="9"/>
  <c r="S19" i="9"/>
  <c r="T19" i="9" s="1"/>
  <c r="P19" i="9" s="1"/>
  <c r="L20" i="9"/>
  <c r="S19" i="32"/>
  <c r="T19" i="32" s="1"/>
  <c r="P19" i="32" s="1"/>
  <c r="L20" i="32"/>
  <c r="DM108" i="2"/>
  <c r="DL29" i="2"/>
  <c r="DM205" i="2"/>
  <c r="DM127" i="2" s="1"/>
  <c r="DL26" i="2"/>
  <c r="DM28" i="2"/>
  <c r="DM27" i="2"/>
  <c r="DM23" i="2"/>
  <c r="DM25" i="2"/>
  <c r="DM5" i="5"/>
  <c r="DL6" i="5"/>
  <c r="DL7" i="5"/>
  <c r="DM107" i="2"/>
  <c r="DM110" i="2"/>
  <c r="DM146" i="2"/>
  <c r="DM165" i="2"/>
  <c r="C199" i="9"/>
  <c r="DN13" i="2"/>
  <c r="DN196" i="2" s="1"/>
  <c r="DM85" i="2"/>
  <c r="DM174" i="2" s="1"/>
  <c r="DM151" i="2"/>
  <c r="DM14" i="2"/>
  <c r="DM109" i="2"/>
  <c r="DM185" i="2" s="1"/>
  <c r="DM30" i="2"/>
  <c r="DM6" i="2"/>
  <c r="DM170" i="2"/>
  <c r="DL186" i="2"/>
  <c r="DL48" i="2"/>
  <c r="DL44" i="2"/>
  <c r="DL46" i="2" s="1"/>
  <c r="DM131" i="2"/>
  <c r="DM154" i="2"/>
  <c r="DN15" i="2"/>
  <c r="DM45" i="2"/>
  <c r="DM7" i="2"/>
  <c r="DM132" i="2" s="1"/>
  <c r="DM134" i="2" s="1"/>
  <c r="DM184" i="2" l="1"/>
  <c r="DN24" i="2"/>
  <c r="DN161" i="2"/>
  <c r="DM164" i="2"/>
  <c r="DM181" i="2" s="1"/>
  <c r="DN163" i="2"/>
  <c r="DN162" i="2"/>
  <c r="DN138" i="2"/>
  <c r="DN140" i="2"/>
  <c r="DN139" i="2"/>
  <c r="DM155" i="2"/>
  <c r="DM157" i="2" s="1"/>
  <c r="DG4" i="14"/>
  <c r="S20" i="32"/>
  <c r="T20" i="32" s="1"/>
  <c r="P20" i="32" s="1"/>
  <c r="L21" i="32"/>
  <c r="L21" i="9"/>
  <c r="S20" i="9"/>
  <c r="T20" i="9" s="1"/>
  <c r="P20" i="9" s="1"/>
  <c r="I20" i="9"/>
  <c r="J20" i="9" s="1"/>
  <c r="B21" i="9"/>
  <c r="DL41" i="2"/>
  <c r="DL87" i="2" s="1"/>
  <c r="DN108" i="2"/>
  <c r="DM29" i="2"/>
  <c r="DM26" i="2"/>
  <c r="DN205" i="2"/>
  <c r="DN127" i="2" s="1"/>
  <c r="DN28" i="2"/>
  <c r="DN27" i="2"/>
  <c r="DN25" i="2"/>
  <c r="DN23" i="2"/>
  <c r="DM7" i="5"/>
  <c r="DM6" i="5"/>
  <c r="DN5" i="5"/>
  <c r="DN107" i="2"/>
  <c r="DN146" i="2"/>
  <c r="DN165" i="2"/>
  <c r="DN110" i="2"/>
  <c r="C200" i="9"/>
  <c r="DN151" i="2"/>
  <c r="DN170" i="2"/>
  <c r="DN109" i="2"/>
  <c r="DN185" i="2" s="1"/>
  <c r="DO13" i="2"/>
  <c r="DO196" i="2" s="1"/>
  <c r="DN6" i="2"/>
  <c r="DN85" i="2"/>
  <c r="DN174" i="2" s="1"/>
  <c r="DN14" i="2"/>
  <c r="DN30" i="2"/>
  <c r="DM186" i="2"/>
  <c r="DM44" i="2"/>
  <c r="DM46" i="2" s="1"/>
  <c r="DM48" i="2"/>
  <c r="DN7" i="2"/>
  <c r="DN132" i="2" s="1"/>
  <c r="DN134" i="2" s="1"/>
  <c r="DN131" i="2"/>
  <c r="DN45" i="2"/>
  <c r="DN154" i="2"/>
  <c r="DO15" i="2"/>
  <c r="DN184" i="2" l="1"/>
  <c r="DN164" i="2"/>
  <c r="DN181" i="2" s="1"/>
  <c r="DO24" i="2"/>
  <c r="DO161" i="2"/>
  <c r="DO162" i="2"/>
  <c r="DO163" i="2"/>
  <c r="DN155" i="2"/>
  <c r="DN157" i="2" s="1"/>
  <c r="DO138" i="2"/>
  <c r="DO140" i="2"/>
  <c r="DO139" i="2"/>
  <c r="DH4" i="14"/>
  <c r="I21" i="9"/>
  <c r="J21" i="9" s="1"/>
  <c r="B22" i="9"/>
  <c r="S21" i="9"/>
  <c r="T21" i="9" s="1"/>
  <c r="P21" i="9" s="1"/>
  <c r="L22" i="9"/>
  <c r="L22" i="32"/>
  <c r="S21" i="32"/>
  <c r="T21" i="32" s="1"/>
  <c r="P21" i="32" s="1"/>
  <c r="DL106" i="2"/>
  <c r="DM41" i="2"/>
  <c r="DM87" i="2" s="1"/>
  <c r="DO108" i="2"/>
  <c r="CG85" i="2"/>
  <c r="DN29" i="2"/>
  <c r="DO205" i="2"/>
  <c r="DO127" i="2" s="1"/>
  <c r="DN26" i="2"/>
  <c r="DO28" i="2"/>
  <c r="DO27" i="2"/>
  <c r="DO23" i="2"/>
  <c r="DO25" i="2"/>
  <c r="DO5" i="5"/>
  <c r="DN6" i="5"/>
  <c r="DN7" i="5"/>
  <c r="DO107" i="2"/>
  <c r="DO146" i="2"/>
  <c r="DO110" i="2"/>
  <c r="DO165" i="2"/>
  <c r="C201" i="9"/>
  <c r="DN186" i="2"/>
  <c r="DP13" i="2"/>
  <c r="DP196" i="2" s="1"/>
  <c r="DO14" i="2"/>
  <c r="DO6" i="2"/>
  <c r="DO85" i="2"/>
  <c r="DO174" i="2" s="1"/>
  <c r="DO151" i="2"/>
  <c r="DO170" i="2"/>
  <c r="DO30" i="2"/>
  <c r="DO109" i="2"/>
  <c r="DO185" i="2" s="1"/>
  <c r="DN44" i="2"/>
  <c r="DN46" i="2" s="1"/>
  <c r="DN48" i="2"/>
  <c r="DO154" i="2"/>
  <c r="DO131" i="2"/>
  <c r="DO45" i="2"/>
  <c r="DP15" i="2"/>
  <c r="DO7" i="2"/>
  <c r="DO132" i="2" s="1"/>
  <c r="DO134" i="2" s="1"/>
  <c r="DO184" i="2" l="1"/>
  <c r="DP24" i="2"/>
  <c r="DP161" i="2"/>
  <c r="DO164" i="2"/>
  <c r="DO181" i="2" s="1"/>
  <c r="DP162" i="2"/>
  <c r="DP163" i="2"/>
  <c r="DO155" i="2"/>
  <c r="DO157" i="2" s="1"/>
  <c r="DP138" i="2"/>
  <c r="DP139" i="2"/>
  <c r="DP140" i="2"/>
  <c r="DI4" i="14"/>
  <c r="L23" i="32"/>
  <c r="S22" i="32"/>
  <c r="T22" i="32" s="1"/>
  <c r="P22" i="32" s="1"/>
  <c r="S22" i="9"/>
  <c r="T22" i="9" s="1"/>
  <c r="P22" i="9" s="1"/>
  <c r="L23" i="9"/>
  <c r="I22" i="9"/>
  <c r="J22" i="9" s="1"/>
  <c r="B23" i="9"/>
  <c r="DM106" i="2"/>
  <c r="DN41" i="2"/>
  <c r="DN87" i="2" s="1"/>
  <c r="DP108" i="2"/>
  <c r="DL80" i="2"/>
  <c r="CG174" i="2"/>
  <c r="DO29" i="2"/>
  <c r="DP205" i="2"/>
  <c r="DP127" i="2" s="1"/>
  <c r="DO26" i="2"/>
  <c r="DO41" i="2" s="1"/>
  <c r="DO87" i="2" s="1"/>
  <c r="DP28" i="2"/>
  <c r="DP27" i="2"/>
  <c r="DP25" i="2"/>
  <c r="DP23" i="2"/>
  <c r="DO7" i="5"/>
  <c r="DP5" i="5"/>
  <c r="DO6" i="5"/>
  <c r="DP107" i="2"/>
  <c r="DP165" i="2"/>
  <c r="DP146" i="2"/>
  <c r="DP110" i="2"/>
  <c r="C202" i="9"/>
  <c r="DO186" i="2"/>
  <c r="DP14" i="2"/>
  <c r="DP109" i="2"/>
  <c r="DP185" i="2" s="1"/>
  <c r="DQ13" i="2"/>
  <c r="DQ196" i="2" s="1"/>
  <c r="DP85" i="2"/>
  <c r="DP174" i="2" s="1"/>
  <c r="DP151" i="2"/>
  <c r="DP170" i="2"/>
  <c r="DP6" i="2"/>
  <c r="DP30" i="2"/>
  <c r="DP154" i="2"/>
  <c r="DP131" i="2"/>
  <c r="DP45" i="2"/>
  <c r="DP7" i="2"/>
  <c r="DP132" i="2" s="1"/>
  <c r="DP134" i="2" s="1"/>
  <c r="DQ15" i="2"/>
  <c r="DO44" i="2"/>
  <c r="DO46" i="2" s="1"/>
  <c r="DO48" i="2"/>
  <c r="DP184" i="2" l="1"/>
  <c r="DQ24" i="2"/>
  <c r="DQ161" i="2"/>
  <c r="DQ162" i="2"/>
  <c r="DQ163" i="2"/>
  <c r="DP164" i="2"/>
  <c r="DP181" i="2" s="1"/>
  <c r="DP155" i="2"/>
  <c r="DP157" i="2" s="1"/>
  <c r="DQ138" i="2"/>
  <c r="DQ140" i="2"/>
  <c r="DQ139" i="2"/>
  <c r="DJ4" i="14"/>
  <c r="B24" i="9"/>
  <c r="I23" i="9"/>
  <c r="J23" i="9" s="1"/>
  <c r="L24" i="9"/>
  <c r="S23" i="9"/>
  <c r="T23" i="9" s="1"/>
  <c r="P23" i="9" s="1"/>
  <c r="L24" i="32"/>
  <c r="S23" i="32"/>
  <c r="T23" i="32" s="1"/>
  <c r="P23" i="32" s="1"/>
  <c r="DN106" i="2"/>
  <c r="DQ108" i="2"/>
  <c r="DO106" i="2"/>
  <c r="DM80" i="2"/>
  <c r="DP34" i="2"/>
  <c r="DL92" i="2"/>
  <c r="DL88" i="2"/>
  <c r="DL100" i="2"/>
  <c r="DL177" i="2"/>
  <c r="DL89" i="2"/>
  <c r="DP29" i="2"/>
  <c r="DP26" i="2"/>
  <c r="DQ205" i="2"/>
  <c r="DQ127" i="2" s="1"/>
  <c r="DQ28" i="2"/>
  <c r="DQ27" i="2"/>
  <c r="DQ23" i="2"/>
  <c r="DQ25" i="2"/>
  <c r="DP6" i="5"/>
  <c r="DP7" i="5"/>
  <c r="DQ5" i="5"/>
  <c r="DQ107" i="2"/>
  <c r="DQ146" i="2"/>
  <c r="DQ165" i="2"/>
  <c r="DQ110" i="2"/>
  <c r="C203" i="9"/>
  <c r="DQ14" i="2"/>
  <c r="DQ30" i="2"/>
  <c r="DQ109" i="2"/>
  <c r="DQ185" i="2" s="1"/>
  <c r="DQ151" i="2"/>
  <c r="DQ170" i="2"/>
  <c r="DR13" i="2"/>
  <c r="DR196" i="2" s="1"/>
  <c r="DQ6" i="2"/>
  <c r="DQ85" i="2"/>
  <c r="DQ174" i="2" s="1"/>
  <c r="DP186" i="2"/>
  <c r="DQ7" i="2"/>
  <c r="DQ132" i="2" s="1"/>
  <c r="DQ134" i="2" s="1"/>
  <c r="DQ131" i="2"/>
  <c r="DQ45" i="2"/>
  <c r="DQ154" i="2"/>
  <c r="DR15" i="2"/>
  <c r="DP44" i="2"/>
  <c r="DP46" i="2" s="1"/>
  <c r="DP48" i="2"/>
  <c r="DQ184" i="2" l="1"/>
  <c r="DR24" i="2"/>
  <c r="DR161" i="2"/>
  <c r="DQ164" i="2"/>
  <c r="DQ181" i="2" s="1"/>
  <c r="DR163" i="2"/>
  <c r="DR162" i="2"/>
  <c r="DQ155" i="2"/>
  <c r="DQ157" i="2" s="1"/>
  <c r="DR138" i="2"/>
  <c r="DR139" i="2"/>
  <c r="DR140" i="2"/>
  <c r="DK4" i="14"/>
  <c r="L25" i="32"/>
  <c r="S24" i="32"/>
  <c r="T24" i="32" s="1"/>
  <c r="P24" i="32" s="1"/>
  <c r="L25" i="9"/>
  <c r="S24" i="9"/>
  <c r="T24" i="9" s="1"/>
  <c r="P24" i="9" s="1"/>
  <c r="I24" i="9"/>
  <c r="J24" i="9" s="1"/>
  <c r="B25" i="9"/>
  <c r="DP41" i="2"/>
  <c r="DP87" i="2" s="1"/>
  <c r="DR108" i="2"/>
  <c r="DM177" i="2"/>
  <c r="DM100" i="2"/>
  <c r="DM92" i="2"/>
  <c r="DM88" i="2"/>
  <c r="DM89" i="2"/>
  <c r="DN80" i="2"/>
  <c r="DL111" i="2"/>
  <c r="DL90" i="2"/>
  <c r="DQ26" i="2"/>
  <c r="DQ41" i="2" s="1"/>
  <c r="DQ87" i="2" s="1"/>
  <c r="DQ29" i="2"/>
  <c r="DR205" i="2"/>
  <c r="DR127" i="2" s="1"/>
  <c r="DR27" i="2"/>
  <c r="DR28" i="2"/>
  <c r="DR23" i="2"/>
  <c r="DR25" i="2"/>
  <c r="DR5" i="5"/>
  <c r="DQ7" i="5"/>
  <c r="DQ6" i="5"/>
  <c r="DR107" i="2"/>
  <c r="DR146" i="2"/>
  <c r="DR165" i="2"/>
  <c r="DR110" i="2"/>
  <c r="C204" i="9"/>
  <c r="DR85" i="2"/>
  <c r="DR174" i="2" s="1"/>
  <c r="DS13" i="2"/>
  <c r="DS196" i="2" s="1"/>
  <c r="DR170" i="2"/>
  <c r="DR14" i="2"/>
  <c r="DR6" i="2"/>
  <c r="DR109" i="2"/>
  <c r="DR185" i="2" s="1"/>
  <c r="DR151" i="2"/>
  <c r="DR30" i="2"/>
  <c r="DQ186" i="2"/>
  <c r="DQ48" i="2"/>
  <c r="DQ44" i="2"/>
  <c r="DQ46" i="2" s="1"/>
  <c r="DR131" i="2"/>
  <c r="DS15" i="2"/>
  <c r="DR45" i="2"/>
  <c r="DR154" i="2"/>
  <c r="DR7" i="2"/>
  <c r="DR132" i="2" s="1"/>
  <c r="DR134" i="2" s="1"/>
  <c r="DR164" i="2" l="1"/>
  <c r="DR181" i="2" s="1"/>
  <c r="DR184" i="2"/>
  <c r="DS24" i="2"/>
  <c r="DS161" i="2"/>
  <c r="DS162" i="2"/>
  <c r="DS163" i="2"/>
  <c r="DR155" i="2"/>
  <c r="DR157" i="2" s="1"/>
  <c r="DS138" i="2"/>
  <c r="DS139" i="2"/>
  <c r="DS140" i="2"/>
  <c r="DL4" i="14"/>
  <c r="B26" i="9"/>
  <c r="I25" i="9"/>
  <c r="J25" i="9" s="1"/>
  <c r="S25" i="9"/>
  <c r="T25" i="9" s="1"/>
  <c r="P25" i="9" s="1"/>
  <c r="L26" i="9"/>
  <c r="S25" i="32"/>
  <c r="T25" i="32" s="1"/>
  <c r="P25" i="32" s="1"/>
  <c r="L26" i="32"/>
  <c r="DQ106" i="2"/>
  <c r="DS108" i="2"/>
  <c r="DM111" i="2"/>
  <c r="DM90" i="2"/>
  <c r="DN88" i="2"/>
  <c r="DN177" i="2"/>
  <c r="DN100" i="2"/>
  <c r="DN89" i="2"/>
  <c r="DN92" i="2"/>
  <c r="DO80" i="2"/>
  <c r="DR34" i="2"/>
  <c r="DP106" i="2"/>
  <c r="DS205" i="2"/>
  <c r="DS127" i="2" s="1"/>
  <c r="DR29" i="2"/>
  <c r="DR26" i="2"/>
  <c r="DS27" i="2"/>
  <c r="DS28" i="2"/>
  <c r="DS23" i="2"/>
  <c r="DS25" i="2"/>
  <c r="DR7" i="5"/>
  <c r="DS5" i="5"/>
  <c r="DR6" i="5"/>
  <c r="DS107" i="2"/>
  <c r="C205" i="9"/>
  <c r="DS165" i="2"/>
  <c r="DS110" i="2"/>
  <c r="DS146" i="2"/>
  <c r="DR186" i="2"/>
  <c r="DS14" i="2"/>
  <c r="DS85" i="2"/>
  <c r="DS174" i="2" s="1"/>
  <c r="DS151" i="2"/>
  <c r="DS170" i="2"/>
  <c r="DS109" i="2"/>
  <c r="DS185" i="2" s="1"/>
  <c r="DS30" i="2"/>
  <c r="DT13" i="2"/>
  <c r="DT196" i="2" s="1"/>
  <c r="DS6" i="2"/>
  <c r="DR48" i="2"/>
  <c r="DR44" i="2"/>
  <c r="DR46" i="2" s="1"/>
  <c r="DS131" i="2"/>
  <c r="DS154" i="2"/>
  <c r="DS7" i="2"/>
  <c r="DS132" i="2" s="1"/>
  <c r="DS134" i="2" s="1"/>
  <c r="DT15" i="2"/>
  <c r="DS45" i="2"/>
  <c r="DS184" i="2" l="1"/>
  <c r="DT24" i="2"/>
  <c r="DT161" i="2"/>
  <c r="DT162" i="2"/>
  <c r="DT163" i="2"/>
  <c r="DS164" i="2"/>
  <c r="DS181" i="2" s="1"/>
  <c r="DS155" i="2"/>
  <c r="DS157" i="2" s="1"/>
  <c r="DT138" i="2"/>
  <c r="DT140" i="2"/>
  <c r="DT139" i="2"/>
  <c r="DM4" i="14"/>
  <c r="S26" i="32"/>
  <c r="T26" i="32" s="1"/>
  <c r="P26" i="32" s="1"/>
  <c r="L27" i="32"/>
  <c r="S26" i="9"/>
  <c r="T26" i="9" s="1"/>
  <c r="P26" i="9" s="1"/>
  <c r="L27" i="9"/>
  <c r="I26" i="9"/>
  <c r="J26" i="9" s="1"/>
  <c r="B27" i="9"/>
  <c r="DR41" i="2"/>
  <c r="DR87" i="2" s="1"/>
  <c r="DT108" i="2"/>
  <c r="DN90" i="2"/>
  <c r="DN111" i="2"/>
  <c r="DO177" i="2"/>
  <c r="DO92" i="2"/>
  <c r="DO88" i="2"/>
  <c r="DO89" i="2"/>
  <c r="DO100" i="2"/>
  <c r="DP80" i="2"/>
  <c r="DS29" i="2"/>
  <c r="DT205" i="2"/>
  <c r="DT127" i="2" s="1"/>
  <c r="DS26" i="2"/>
  <c r="DT28" i="2"/>
  <c r="DT27" i="2"/>
  <c r="DT23" i="2"/>
  <c r="DT25" i="2"/>
  <c r="DT5" i="5"/>
  <c r="DS7" i="5"/>
  <c r="DS6" i="5"/>
  <c r="DT107" i="2"/>
  <c r="DT110" i="2"/>
  <c r="DT165" i="2"/>
  <c r="DT146" i="2"/>
  <c r="C206" i="9"/>
  <c r="DU13" i="2"/>
  <c r="DU196" i="2" s="1"/>
  <c r="DT109" i="2"/>
  <c r="DT185" i="2" s="1"/>
  <c r="DT85" i="2"/>
  <c r="DT174" i="2" s="1"/>
  <c r="DT6" i="2"/>
  <c r="DT14" i="2"/>
  <c r="DT30" i="2"/>
  <c r="DT151" i="2"/>
  <c r="DT170" i="2"/>
  <c r="DS186" i="2"/>
  <c r="DS48" i="2"/>
  <c r="DS44" i="2"/>
  <c r="DS46" i="2" s="1"/>
  <c r="DU15" i="2"/>
  <c r="DT154" i="2"/>
  <c r="DT7" i="2"/>
  <c r="DT132" i="2" s="1"/>
  <c r="DT134" i="2" s="1"/>
  <c r="DT131" i="2"/>
  <c r="DT45" i="2"/>
  <c r="DT184" i="2" l="1"/>
  <c r="DU24" i="2"/>
  <c r="DU161" i="2"/>
  <c r="DU163" i="2"/>
  <c r="DU162" i="2"/>
  <c r="DT164" i="2"/>
  <c r="DT181" i="2" s="1"/>
  <c r="DU138" i="2"/>
  <c r="DU139" i="2"/>
  <c r="DU140" i="2"/>
  <c r="DT155" i="2"/>
  <c r="DT157" i="2" s="1"/>
  <c r="DN4" i="14"/>
  <c r="B28" i="9"/>
  <c r="I27" i="9"/>
  <c r="J27" i="9" s="1"/>
  <c r="S27" i="9"/>
  <c r="T27" i="9" s="1"/>
  <c r="P27" i="9" s="1"/>
  <c r="L28" i="9"/>
  <c r="S27" i="32"/>
  <c r="T27" i="32" s="1"/>
  <c r="P27" i="32" s="1"/>
  <c r="L28" i="32"/>
  <c r="DS41" i="2"/>
  <c r="DS87" i="2" s="1"/>
  <c r="DU108" i="2"/>
  <c r="DP177" i="2"/>
  <c r="DP100" i="2"/>
  <c r="DP88" i="2"/>
  <c r="DP92" i="2"/>
  <c r="DP89" i="2"/>
  <c r="DQ80" i="2"/>
  <c r="DO90" i="2"/>
  <c r="DO111" i="2"/>
  <c r="DR106" i="2"/>
  <c r="DT29" i="2"/>
  <c r="DT26" i="2"/>
  <c r="DU205" i="2"/>
  <c r="DU127" i="2" s="1"/>
  <c r="DU28" i="2"/>
  <c r="DU27" i="2"/>
  <c r="DU23" i="2"/>
  <c r="DU25" i="2"/>
  <c r="DT7" i="5"/>
  <c r="DU5" i="5"/>
  <c r="DT6" i="5"/>
  <c r="DU107" i="2"/>
  <c r="C207" i="9"/>
  <c r="DU110" i="2"/>
  <c r="DU146" i="2"/>
  <c r="DU165" i="2"/>
  <c r="DT186" i="2"/>
  <c r="DU14" i="2"/>
  <c r="DU170" i="2"/>
  <c r="DU85" i="2"/>
  <c r="DU174" i="2" s="1"/>
  <c r="DU109" i="2"/>
  <c r="DU185" i="2" s="1"/>
  <c r="DV13" i="2"/>
  <c r="DV196" i="2" s="1"/>
  <c r="DU30" i="2"/>
  <c r="DU151" i="2"/>
  <c r="DU6" i="2"/>
  <c r="DT48" i="2"/>
  <c r="DT44" i="2"/>
  <c r="DT46" i="2" s="1"/>
  <c r="DU131" i="2"/>
  <c r="DU154" i="2"/>
  <c r="DV15" i="2"/>
  <c r="DU45" i="2"/>
  <c r="DU7" i="2"/>
  <c r="DU132" i="2" s="1"/>
  <c r="DU134" i="2" s="1"/>
  <c r="DU184" i="2" l="1"/>
  <c r="DU164" i="2"/>
  <c r="DU181" i="2" s="1"/>
  <c r="DV24" i="2"/>
  <c r="DV161" i="2"/>
  <c r="DV163" i="2"/>
  <c r="DV162" i="2"/>
  <c r="DV138" i="2"/>
  <c r="DV140" i="2"/>
  <c r="DV139" i="2"/>
  <c r="DU155" i="2"/>
  <c r="DU157" i="2" s="1"/>
  <c r="DO4" i="14"/>
  <c r="S28" i="32"/>
  <c r="T28" i="32" s="1"/>
  <c r="P28" i="32" s="1"/>
  <c r="L29" i="32"/>
  <c r="S28" i="9"/>
  <c r="T28" i="9" s="1"/>
  <c r="P28" i="9" s="1"/>
  <c r="L29" i="9"/>
  <c r="I28" i="9"/>
  <c r="J28" i="9" s="1"/>
  <c r="B29" i="9"/>
  <c r="DT41" i="2"/>
  <c r="DT87" i="2" s="1"/>
  <c r="DT106" i="2" s="1"/>
  <c r="DS106" i="2"/>
  <c r="DV108" i="2"/>
  <c r="DQ100" i="2"/>
  <c r="DQ177" i="2"/>
  <c r="DQ92" i="2"/>
  <c r="DQ88" i="2"/>
  <c r="DQ89" i="2"/>
  <c r="DP90" i="2"/>
  <c r="DP111" i="2"/>
  <c r="DR80" i="2"/>
  <c r="DU29" i="2"/>
  <c r="DV205" i="2"/>
  <c r="DV127" i="2" s="1"/>
  <c r="DU26" i="2"/>
  <c r="DV28" i="2"/>
  <c r="DV27" i="2"/>
  <c r="DV25" i="2"/>
  <c r="DV23" i="2"/>
  <c r="DU7" i="5"/>
  <c r="DV5" i="5"/>
  <c r="DU6" i="5"/>
  <c r="DV107" i="2"/>
  <c r="C208" i="9"/>
  <c r="DV146" i="2"/>
  <c r="DV165" i="2"/>
  <c r="DV110" i="2"/>
  <c r="DU186" i="2"/>
  <c r="DV151" i="2"/>
  <c r="DV14" i="2"/>
  <c r="DV85" i="2"/>
  <c r="DV174" i="2" s="1"/>
  <c r="DV170" i="2"/>
  <c r="DV30" i="2"/>
  <c r="DV6" i="2"/>
  <c r="DV109" i="2"/>
  <c r="DV185" i="2" s="1"/>
  <c r="DW13" i="2"/>
  <c r="DW196" i="2" s="1"/>
  <c r="DW15" i="2"/>
  <c r="DV45" i="2"/>
  <c r="DV7" i="2"/>
  <c r="DV132" i="2" s="1"/>
  <c r="DV134" i="2" s="1"/>
  <c r="DV154" i="2"/>
  <c r="DV131" i="2"/>
  <c r="DU48" i="2"/>
  <c r="DU44" i="2"/>
  <c r="DU46" i="2" s="1"/>
  <c r="DV184" i="2" l="1"/>
  <c r="DV164" i="2"/>
  <c r="DV181" i="2" s="1"/>
  <c r="DW24" i="2"/>
  <c r="DW161" i="2"/>
  <c r="DW162" i="2"/>
  <c r="DW163" i="2"/>
  <c r="DW138" i="2"/>
  <c r="DW140" i="2"/>
  <c r="DW139" i="2"/>
  <c r="DV155" i="2"/>
  <c r="DV157" i="2" s="1"/>
  <c r="DP4" i="14"/>
  <c r="I29" i="9"/>
  <c r="J29" i="9" s="1"/>
  <c r="B30" i="9"/>
  <c r="L30" i="9"/>
  <c r="S29" i="9"/>
  <c r="T29" i="9" s="1"/>
  <c r="P29" i="9" s="1"/>
  <c r="S29" i="32"/>
  <c r="T29" i="32" s="1"/>
  <c r="P29" i="32" s="1"/>
  <c r="L30" i="32"/>
  <c r="DU41" i="2"/>
  <c r="DU87" i="2" s="1"/>
  <c r="DW108" i="2"/>
  <c r="DV34" i="2"/>
  <c r="DQ90" i="2"/>
  <c r="DQ111" i="2"/>
  <c r="DS80" i="2"/>
  <c r="DR88" i="2"/>
  <c r="DR177" i="2"/>
  <c r="DR100" i="2"/>
  <c r="DR92" i="2"/>
  <c r="DR89" i="2"/>
  <c r="DV29" i="2"/>
  <c r="DW205" i="2"/>
  <c r="DW127" i="2" s="1"/>
  <c r="DV26" i="2"/>
  <c r="DW27" i="2"/>
  <c r="DW28" i="2"/>
  <c r="DW23" i="2"/>
  <c r="DW25" i="2"/>
  <c r="DV6" i="5"/>
  <c r="DW5" i="5"/>
  <c r="DV7" i="5"/>
  <c r="DW107" i="2"/>
  <c r="C209" i="9"/>
  <c r="DW110" i="2"/>
  <c r="DW146" i="2"/>
  <c r="DW165" i="2"/>
  <c r="DW170" i="2"/>
  <c r="DW14" i="2"/>
  <c r="DW30" i="2"/>
  <c r="DW6" i="2"/>
  <c r="DW151" i="2"/>
  <c r="DX13" i="2"/>
  <c r="DX196" i="2" s="1"/>
  <c r="DW109" i="2"/>
  <c r="DW185" i="2" s="1"/>
  <c r="DW85" i="2"/>
  <c r="DW174" i="2" s="1"/>
  <c r="DV186" i="2"/>
  <c r="DV48" i="2"/>
  <c r="DV44" i="2"/>
  <c r="DV46" i="2" s="1"/>
  <c r="DW131" i="2"/>
  <c r="DX15" i="2"/>
  <c r="DW154" i="2"/>
  <c r="DW7" i="2"/>
  <c r="DW132" i="2" s="1"/>
  <c r="DW134" i="2" s="1"/>
  <c r="DW45" i="2"/>
  <c r="DW184" i="2" l="1"/>
  <c r="DX24" i="2"/>
  <c r="DX161" i="2"/>
  <c r="DW164" i="2"/>
  <c r="DW181" i="2" s="1"/>
  <c r="DX162" i="2"/>
  <c r="DX163" i="2"/>
  <c r="DW155" i="2"/>
  <c r="DW157" i="2" s="1"/>
  <c r="DX138" i="2"/>
  <c r="DX139" i="2"/>
  <c r="DX140" i="2"/>
  <c r="DQ4" i="14"/>
  <c r="L31" i="32"/>
  <c r="S30" i="32"/>
  <c r="T30" i="32" s="1"/>
  <c r="P30" i="32" s="1"/>
  <c r="L31" i="9"/>
  <c r="S30" i="9"/>
  <c r="T30" i="9" s="1"/>
  <c r="P30" i="9" s="1"/>
  <c r="I30" i="9"/>
  <c r="J30" i="9" s="1"/>
  <c r="B31" i="9"/>
  <c r="DU106" i="2"/>
  <c r="DV41" i="2"/>
  <c r="DV87" i="2" s="1"/>
  <c r="DX108" i="2"/>
  <c r="DT80" i="2"/>
  <c r="DR90" i="2"/>
  <c r="DR111" i="2"/>
  <c r="DS89" i="2"/>
  <c r="DS100" i="2"/>
  <c r="DS88" i="2"/>
  <c r="DS92" i="2"/>
  <c r="DS177" i="2"/>
  <c r="DW26" i="2"/>
  <c r="DW29" i="2"/>
  <c r="DX205" i="2"/>
  <c r="DX127" i="2" s="1"/>
  <c r="DX28" i="2"/>
  <c r="DX27" i="2"/>
  <c r="DX25" i="2"/>
  <c r="DX23" i="2"/>
  <c r="DW6" i="5"/>
  <c r="DX5" i="5"/>
  <c r="DW7" i="5"/>
  <c r="DX107" i="2"/>
  <c r="C210" i="9"/>
  <c r="DX146" i="2"/>
  <c r="DX165" i="2"/>
  <c r="DX110" i="2"/>
  <c r="DW186" i="2"/>
  <c r="DX85" i="2"/>
  <c r="DX174" i="2" s="1"/>
  <c r="DX30" i="2"/>
  <c r="DX151" i="2"/>
  <c r="DY13" i="2"/>
  <c r="DY196" i="2" s="1"/>
  <c r="DX109" i="2"/>
  <c r="DX185" i="2" s="1"/>
  <c r="DX6" i="2"/>
  <c r="DX170" i="2"/>
  <c r="DX14" i="2"/>
  <c r="DW48" i="2"/>
  <c r="DW44" i="2"/>
  <c r="DW46" i="2" s="1"/>
  <c r="DX7" i="2"/>
  <c r="DX132" i="2" s="1"/>
  <c r="DX134" i="2" s="1"/>
  <c r="DY15" i="2"/>
  <c r="DX154" i="2"/>
  <c r="DX131" i="2"/>
  <c r="DX45" i="2"/>
  <c r="DX184" i="2" l="1"/>
  <c r="DY24" i="2"/>
  <c r="DY161" i="2"/>
  <c r="DX164" i="2"/>
  <c r="DX181" i="2" s="1"/>
  <c r="DY162" i="2"/>
  <c r="DY163" i="2"/>
  <c r="DY138" i="2"/>
  <c r="DY140" i="2"/>
  <c r="DY139" i="2"/>
  <c r="DX155" i="2"/>
  <c r="DX157" i="2" s="1"/>
  <c r="DR4" i="14"/>
  <c r="B32" i="9"/>
  <c r="I31" i="9"/>
  <c r="J31" i="9" s="1"/>
  <c r="L32" i="9"/>
  <c r="S31" i="9"/>
  <c r="T31" i="9" s="1"/>
  <c r="P31" i="9" s="1"/>
  <c r="L32" i="32"/>
  <c r="S31" i="32"/>
  <c r="T31" i="32" s="1"/>
  <c r="P31" i="32" s="1"/>
  <c r="DW41" i="2"/>
  <c r="DW87" i="2" s="1"/>
  <c r="DY108" i="2"/>
  <c r="DT100" i="2"/>
  <c r="DT92" i="2"/>
  <c r="DT177" i="2"/>
  <c r="DT89" i="2"/>
  <c r="DT88" i="2"/>
  <c r="DS111" i="2"/>
  <c r="DS90" i="2"/>
  <c r="DU80" i="2"/>
  <c r="DV106" i="2"/>
  <c r="DX29" i="2"/>
  <c r="DX26" i="2"/>
  <c r="DY205" i="2"/>
  <c r="DY127" i="2" s="1"/>
  <c r="DY28" i="2"/>
  <c r="DY27" i="2"/>
  <c r="DY25" i="2"/>
  <c r="DY23" i="2"/>
  <c r="DX7" i="5"/>
  <c r="DX6" i="5"/>
  <c r="DY5" i="5"/>
  <c r="DY107" i="2"/>
  <c r="C211" i="9"/>
  <c r="DY146" i="2"/>
  <c r="DY165" i="2"/>
  <c r="DY110" i="2"/>
  <c r="DX186" i="2"/>
  <c r="DY14" i="2"/>
  <c r="DZ13" i="2"/>
  <c r="DZ196" i="2" s="1"/>
  <c r="DY30" i="2"/>
  <c r="DY151" i="2"/>
  <c r="DY170" i="2"/>
  <c r="DY109" i="2"/>
  <c r="DY185" i="2" s="1"/>
  <c r="DY85" i="2"/>
  <c r="DY174" i="2" s="1"/>
  <c r="DY6" i="2"/>
  <c r="DY45" i="2"/>
  <c r="DY7" i="2"/>
  <c r="DY132" i="2" s="1"/>
  <c r="DY134" i="2" s="1"/>
  <c r="DY131" i="2"/>
  <c r="DY154" i="2"/>
  <c r="DZ15" i="2"/>
  <c r="DX48" i="2"/>
  <c r="DX44" i="2"/>
  <c r="DX46" i="2" s="1"/>
  <c r="DY184" i="2" l="1"/>
  <c r="DZ24" i="2"/>
  <c r="DZ161" i="2"/>
  <c r="DZ163" i="2"/>
  <c r="DZ162" i="2"/>
  <c r="DY164" i="2"/>
  <c r="DY181" i="2" s="1"/>
  <c r="DZ138" i="2"/>
  <c r="DZ139" i="2"/>
  <c r="DZ140" i="2"/>
  <c r="DY155" i="2"/>
  <c r="DY157" i="2" s="1"/>
  <c r="DX41" i="2"/>
  <c r="DX87" i="2" s="1"/>
  <c r="L33" i="32"/>
  <c r="S32" i="32"/>
  <c r="T32" i="32" s="1"/>
  <c r="P32" i="32" s="1"/>
  <c r="L33" i="9"/>
  <c r="S32" i="9"/>
  <c r="T32" i="9" s="1"/>
  <c r="P32" i="9" s="1"/>
  <c r="I32" i="9"/>
  <c r="J32" i="9" s="1"/>
  <c r="B33" i="9"/>
  <c r="DW106" i="2"/>
  <c r="DZ108" i="2"/>
  <c r="DT111" i="2"/>
  <c r="DT90" i="2"/>
  <c r="DU89" i="2"/>
  <c r="DU92" i="2"/>
  <c r="DU88" i="2"/>
  <c r="DU177" i="2"/>
  <c r="DU100" i="2"/>
  <c r="DV80" i="2"/>
  <c r="DY29" i="2"/>
  <c r="DZ205" i="2"/>
  <c r="DZ127" i="2" s="1"/>
  <c r="DY26" i="2"/>
  <c r="DZ27" i="2"/>
  <c r="DZ28" i="2"/>
  <c r="DZ23" i="2"/>
  <c r="DZ25" i="2"/>
  <c r="DY7" i="5"/>
  <c r="DZ5" i="5"/>
  <c r="DY6" i="5"/>
  <c r="DZ107" i="2"/>
  <c r="C212" i="9"/>
  <c r="DZ165" i="2"/>
  <c r="DZ110" i="2"/>
  <c r="DZ146" i="2"/>
  <c r="DY186" i="2"/>
  <c r="EA13" i="2"/>
  <c r="EA196" i="2" s="1"/>
  <c r="DZ109" i="2"/>
  <c r="DZ185" i="2" s="1"/>
  <c r="DZ85" i="2"/>
  <c r="DZ174" i="2" s="1"/>
  <c r="DZ151" i="2"/>
  <c r="DZ170" i="2"/>
  <c r="DZ14" i="2"/>
  <c r="DZ6" i="2"/>
  <c r="DZ30" i="2"/>
  <c r="DY48" i="2"/>
  <c r="DY44" i="2"/>
  <c r="DY46" i="2" s="1"/>
  <c r="EA15" i="2"/>
  <c r="DZ45" i="2"/>
  <c r="DZ131" i="2"/>
  <c r="DZ7" i="2"/>
  <c r="DZ132" i="2" s="1"/>
  <c r="DZ134" i="2" s="1"/>
  <c r="DZ154" i="2"/>
  <c r="DZ184" i="2" l="1"/>
  <c r="EA24" i="2"/>
  <c r="EA161" i="2"/>
  <c r="DZ164" i="2"/>
  <c r="DZ181" i="2" s="1"/>
  <c r="EA162" i="2"/>
  <c r="EA163" i="2"/>
  <c r="EA138" i="2"/>
  <c r="EA139" i="2"/>
  <c r="EA140" i="2"/>
  <c r="DZ155" i="2"/>
  <c r="DZ157" i="2" s="1"/>
  <c r="DX106" i="2"/>
  <c r="B34" i="9"/>
  <c r="I33" i="9"/>
  <c r="J33" i="9" s="1"/>
  <c r="S33" i="9"/>
  <c r="T33" i="9" s="1"/>
  <c r="P33" i="9" s="1"/>
  <c r="L34" i="9"/>
  <c r="L34" i="32"/>
  <c r="S33" i="32"/>
  <c r="T33" i="32" s="1"/>
  <c r="P33" i="32" s="1"/>
  <c r="DY41" i="2"/>
  <c r="DY87" i="2" s="1"/>
  <c r="DY106" i="2" s="1"/>
  <c r="EA108" i="2"/>
  <c r="DW80" i="2"/>
  <c r="DU111" i="2"/>
  <c r="DU90" i="2"/>
  <c r="DZ34" i="2"/>
  <c r="DV88" i="2"/>
  <c r="DV100" i="2"/>
  <c r="DV177" i="2"/>
  <c r="DV92" i="2"/>
  <c r="DV89" i="2"/>
  <c r="DZ29" i="2"/>
  <c r="EA205" i="2"/>
  <c r="EA127" i="2" s="1"/>
  <c r="DZ26" i="2"/>
  <c r="EA27" i="2"/>
  <c r="EA28" i="2"/>
  <c r="EA23" i="2"/>
  <c r="EA25" i="2"/>
  <c r="DZ7" i="5"/>
  <c r="EA5" i="5"/>
  <c r="DZ6" i="5"/>
  <c r="EA107" i="2"/>
  <c r="EA110" i="2"/>
  <c r="EA146" i="2"/>
  <c r="EA165" i="2"/>
  <c r="C213" i="9"/>
  <c r="EA109" i="2"/>
  <c r="EA185" i="2" s="1"/>
  <c r="EA6" i="2"/>
  <c r="EA14" i="2"/>
  <c r="EA151" i="2"/>
  <c r="EB13" i="2"/>
  <c r="EB196" i="2" s="1"/>
  <c r="EA30" i="2"/>
  <c r="DZ186" i="2"/>
  <c r="DZ44" i="2"/>
  <c r="DZ46" i="2" s="1"/>
  <c r="DZ48" i="2"/>
  <c r="EA131" i="2"/>
  <c r="EA7" i="2"/>
  <c r="EA132" i="2" s="1"/>
  <c r="EA134" i="2" s="1"/>
  <c r="EB15" i="2"/>
  <c r="EA154" i="2"/>
  <c r="EA45" i="2"/>
  <c r="EA184" i="2" l="1"/>
  <c r="EB24" i="2"/>
  <c r="EB161" i="2"/>
  <c r="EB162" i="2"/>
  <c r="EB163" i="2"/>
  <c r="EA164" i="2"/>
  <c r="EA181" i="2" s="1"/>
  <c r="EB138" i="2"/>
  <c r="EB139" i="2"/>
  <c r="EB140" i="2"/>
  <c r="EA155" i="2"/>
  <c r="EA157" i="2" s="1"/>
  <c r="S34" i="32"/>
  <c r="T34" i="32" s="1"/>
  <c r="P34" i="32" s="1"/>
  <c r="L35" i="32"/>
  <c r="L35" i="9"/>
  <c r="S34" i="9"/>
  <c r="T34" i="9" s="1"/>
  <c r="P34" i="9" s="1"/>
  <c r="I34" i="9"/>
  <c r="J34" i="9" s="1"/>
  <c r="B35" i="9"/>
  <c r="DZ41" i="2"/>
  <c r="DZ87" i="2" s="1"/>
  <c r="EB108" i="2"/>
  <c r="DX80" i="2"/>
  <c r="DW177" i="2"/>
  <c r="DW100" i="2"/>
  <c r="DW88" i="2"/>
  <c r="DW92" i="2"/>
  <c r="DW89" i="2"/>
  <c r="DV90" i="2"/>
  <c r="DV111" i="2"/>
  <c r="EA29" i="2"/>
  <c r="EA26" i="2"/>
  <c r="EB205" i="2"/>
  <c r="EB127" i="2" s="1"/>
  <c r="EB27" i="2"/>
  <c r="EB28" i="2"/>
  <c r="EB23" i="2"/>
  <c r="EB25" i="2"/>
  <c r="EA7" i="5"/>
  <c r="EA6" i="5"/>
  <c r="EB5" i="5"/>
  <c r="EB107" i="2"/>
  <c r="C214" i="9"/>
  <c r="EB146" i="2"/>
  <c r="EB110" i="2"/>
  <c r="EB170" i="2"/>
  <c r="EC13" i="2"/>
  <c r="EC196" i="2" s="1"/>
  <c r="EB6" i="2"/>
  <c r="EB109" i="2"/>
  <c r="EB185" i="2" s="1"/>
  <c r="EB151" i="2"/>
  <c r="EB14" i="2"/>
  <c r="EB85" i="2"/>
  <c r="EB174" i="2" s="1"/>
  <c r="EB30" i="2"/>
  <c r="EA48" i="2"/>
  <c r="EA44" i="2"/>
  <c r="EA46" i="2" s="1"/>
  <c r="EB45" i="2"/>
  <c r="EC15" i="2"/>
  <c r="EB131" i="2"/>
  <c r="EB154" i="2"/>
  <c r="EB7" i="2"/>
  <c r="EB132" i="2" s="1"/>
  <c r="EB134" i="2" s="1"/>
  <c r="EB184" i="2" l="1"/>
  <c r="EC24" i="2"/>
  <c r="EC161" i="2"/>
  <c r="EC163" i="2"/>
  <c r="EC162" i="2"/>
  <c r="EB164" i="2"/>
  <c r="EB181" i="2" s="1"/>
  <c r="EC138" i="2"/>
  <c r="EC139" i="2"/>
  <c r="EC140" i="2"/>
  <c r="EB155" i="2"/>
  <c r="EB157" i="2" s="1"/>
  <c r="I35" i="9"/>
  <c r="J35" i="9" s="1"/>
  <c r="B36" i="9"/>
  <c r="L36" i="9"/>
  <c r="S35" i="9"/>
  <c r="T35" i="9" s="1"/>
  <c r="P35" i="9" s="1"/>
  <c r="S35" i="32"/>
  <c r="T35" i="32" s="1"/>
  <c r="P35" i="32" s="1"/>
  <c r="L36" i="32"/>
  <c r="EA41" i="2"/>
  <c r="EA87" i="2" s="1"/>
  <c r="EC108" i="2"/>
  <c r="DX92" i="2"/>
  <c r="DX100" i="2"/>
  <c r="DX89" i="2"/>
  <c r="DX177" i="2"/>
  <c r="DX88" i="2"/>
  <c r="DY80" i="2"/>
  <c r="DW111" i="2"/>
  <c r="DW90" i="2"/>
  <c r="DZ106" i="2"/>
  <c r="EB29" i="2"/>
  <c r="EC205" i="2"/>
  <c r="EC127" i="2" s="1"/>
  <c r="EB26" i="2"/>
  <c r="EC28" i="2"/>
  <c r="EC27" i="2"/>
  <c r="EC23" i="2"/>
  <c r="EC25" i="2"/>
  <c r="EB6" i="5"/>
  <c r="EB7" i="5"/>
  <c r="EC5" i="5"/>
  <c r="EC107" i="2"/>
  <c r="EC110" i="2"/>
  <c r="EC146" i="2"/>
  <c r="C215" i="9"/>
  <c r="EB186" i="2"/>
  <c r="EC14" i="2"/>
  <c r="EC30" i="2"/>
  <c r="ED13" i="2"/>
  <c r="ED196" i="2" s="1"/>
  <c r="EC109" i="2"/>
  <c r="EC185" i="2" s="1"/>
  <c r="EC170" i="2"/>
  <c r="EC151" i="2"/>
  <c r="EC85" i="2"/>
  <c r="EC174" i="2" s="1"/>
  <c r="EC6" i="2"/>
  <c r="EB48" i="2"/>
  <c r="EB44" i="2"/>
  <c r="EB46" i="2" s="1"/>
  <c r="ED15" i="2"/>
  <c r="EC154" i="2"/>
  <c r="EC7" i="2"/>
  <c r="EC132" i="2" s="1"/>
  <c r="EC134" i="2" s="1"/>
  <c r="EC131" i="2"/>
  <c r="EC45" i="2"/>
  <c r="EC164" i="2" l="1"/>
  <c r="EC181" i="2" s="1"/>
  <c r="EC184" i="2"/>
  <c r="ED24" i="2"/>
  <c r="ED161" i="2"/>
  <c r="ED163" i="2"/>
  <c r="ED162" i="2"/>
  <c r="ED138" i="2"/>
  <c r="ED139" i="2"/>
  <c r="ED140" i="2"/>
  <c r="EC155" i="2"/>
  <c r="EC157" i="2" s="1"/>
  <c r="EB41" i="2"/>
  <c r="EB87" i="2" s="1"/>
  <c r="EB106" i="2" s="1"/>
  <c r="S36" i="32"/>
  <c r="T36" i="32" s="1"/>
  <c r="P36" i="32" s="1"/>
  <c r="L37" i="32"/>
  <c r="S36" i="9"/>
  <c r="T36" i="9" s="1"/>
  <c r="P36" i="9" s="1"/>
  <c r="L37" i="9"/>
  <c r="I36" i="9"/>
  <c r="J36" i="9" s="1"/>
  <c r="B37" i="9"/>
  <c r="EA106" i="2"/>
  <c r="EC34" i="2"/>
  <c r="ED108" i="2"/>
  <c r="DX111" i="2"/>
  <c r="DX90" i="2"/>
  <c r="DZ80" i="2"/>
  <c r="DY88" i="2"/>
  <c r="DY177" i="2"/>
  <c r="DY89" i="2"/>
  <c r="DY100" i="2"/>
  <c r="DY92" i="2"/>
  <c r="EC29" i="2"/>
  <c r="EC26" i="2"/>
  <c r="ED205" i="2"/>
  <c r="ED127" i="2" s="1"/>
  <c r="ED28" i="2"/>
  <c r="ED27" i="2"/>
  <c r="ED23" i="2"/>
  <c r="ED25" i="2"/>
  <c r="ED5" i="5"/>
  <c r="EC6" i="5"/>
  <c r="EC7" i="5"/>
  <c r="ED107" i="2"/>
  <c r="C216" i="9"/>
  <c r="ED110" i="2"/>
  <c r="ED146" i="2"/>
  <c r="EC186" i="2"/>
  <c r="EE13" i="2"/>
  <c r="EE196" i="2" s="1"/>
  <c r="ED85" i="2"/>
  <c r="ED174" i="2" s="1"/>
  <c r="ED170" i="2"/>
  <c r="ED6" i="2"/>
  <c r="ED151" i="2"/>
  <c r="ED109" i="2"/>
  <c r="ED185" i="2" s="1"/>
  <c r="ED14" i="2"/>
  <c r="ED30" i="2"/>
  <c r="EC48" i="2"/>
  <c r="EC44" i="2"/>
  <c r="EC46" i="2" s="1"/>
  <c r="ED131" i="2"/>
  <c r="ED7" i="2"/>
  <c r="ED132" i="2" s="1"/>
  <c r="ED134" i="2" s="1"/>
  <c r="ED45" i="2"/>
  <c r="ED154" i="2"/>
  <c r="EE15" i="2"/>
  <c r="ED184" i="2" l="1"/>
  <c r="ED164" i="2"/>
  <c r="ED181" i="2" s="1"/>
  <c r="EE24" i="2"/>
  <c r="EE161" i="2"/>
  <c r="EE162" i="2"/>
  <c r="EE163" i="2"/>
  <c r="ED155" i="2"/>
  <c r="ED157" i="2" s="1"/>
  <c r="EE138" i="2"/>
  <c r="EE140" i="2"/>
  <c r="EE139" i="2"/>
  <c r="B38" i="9"/>
  <c r="I37" i="9"/>
  <c r="J37" i="9" s="1"/>
  <c r="L38" i="9"/>
  <c r="S37" i="9"/>
  <c r="T37" i="9" s="1"/>
  <c r="P37" i="9" s="1"/>
  <c r="L38" i="32"/>
  <c r="S37" i="32"/>
  <c r="T37" i="32" s="1"/>
  <c r="P37" i="32" s="1"/>
  <c r="EC41" i="2"/>
  <c r="EC87" i="2" s="1"/>
  <c r="ED34" i="2"/>
  <c r="EE108" i="2"/>
  <c r="DZ177" i="2"/>
  <c r="DZ100" i="2"/>
  <c r="DZ88" i="2"/>
  <c r="DZ92" i="2"/>
  <c r="DZ89" i="2"/>
  <c r="EA80" i="2"/>
  <c r="DY111" i="2"/>
  <c r="DY90" i="2"/>
  <c r="ED29" i="2"/>
  <c r="ED26" i="2"/>
  <c r="EE205" i="2"/>
  <c r="EE127" i="2" s="1"/>
  <c r="EE28" i="2"/>
  <c r="EE27" i="2"/>
  <c r="EE23" i="2"/>
  <c r="EE25" i="2"/>
  <c r="ED6" i="5"/>
  <c r="ED7" i="5"/>
  <c r="EE5" i="5"/>
  <c r="EE107" i="2"/>
  <c r="C217" i="9"/>
  <c r="EE110" i="2"/>
  <c r="EE146" i="2"/>
  <c r="EE151" i="2"/>
  <c r="EE14" i="2"/>
  <c r="EE85" i="2"/>
  <c r="EE174" i="2" s="1"/>
  <c r="EE170" i="2"/>
  <c r="EF13" i="2"/>
  <c r="EF196" i="2" s="1"/>
  <c r="EE109" i="2"/>
  <c r="EE185" i="2" s="1"/>
  <c r="EE30" i="2"/>
  <c r="EE6" i="2"/>
  <c r="ED186" i="2"/>
  <c r="ED44" i="2"/>
  <c r="ED46" i="2" s="1"/>
  <c r="ED48" i="2"/>
  <c r="EE131" i="2"/>
  <c r="EF15" i="2"/>
  <c r="EE154" i="2"/>
  <c r="EE45" i="2"/>
  <c r="EE7" i="2"/>
  <c r="EE132" i="2" s="1"/>
  <c r="EE134" i="2" s="1"/>
  <c r="EE184" i="2" l="1"/>
  <c r="EF24" i="2"/>
  <c r="EF161" i="2"/>
  <c r="EF162" i="2"/>
  <c r="EF163" i="2"/>
  <c r="EE164" i="2"/>
  <c r="EE181" i="2" s="1"/>
  <c r="EF138" i="2"/>
  <c r="EF139" i="2"/>
  <c r="EF140" i="2"/>
  <c r="EE155" i="2"/>
  <c r="EE157" i="2" s="1"/>
  <c r="S38" i="32"/>
  <c r="T38" i="32" s="1"/>
  <c r="P38" i="32" s="1"/>
  <c r="L39" i="32"/>
  <c r="L39" i="9"/>
  <c r="S38" i="9"/>
  <c r="T38" i="9" s="1"/>
  <c r="P38" i="9" s="1"/>
  <c r="I38" i="9"/>
  <c r="J38" i="9" s="1"/>
  <c r="B39" i="9"/>
  <c r="ED41" i="2"/>
  <c r="ED87" i="2" s="1"/>
  <c r="EE34" i="2"/>
  <c r="EB80" i="2"/>
  <c r="EC106" i="2"/>
  <c r="EF108" i="2"/>
  <c r="DZ111" i="2"/>
  <c r="DZ90" i="2"/>
  <c r="EA88" i="2"/>
  <c r="EA100" i="2"/>
  <c r="EA177" i="2"/>
  <c r="EA89" i="2"/>
  <c r="EE29" i="2"/>
  <c r="EE26" i="2"/>
  <c r="EF205" i="2"/>
  <c r="EF127" i="2" s="1"/>
  <c r="EF28" i="2"/>
  <c r="EF27" i="2"/>
  <c r="EF23" i="2"/>
  <c r="EF25" i="2"/>
  <c r="EE6" i="5"/>
  <c r="EE7" i="5"/>
  <c r="EF107" i="2"/>
  <c r="C218" i="9"/>
  <c r="EF146" i="2"/>
  <c r="EF110" i="2"/>
  <c r="EF109" i="2"/>
  <c r="EF185" i="2" s="1"/>
  <c r="EF14" i="2"/>
  <c r="EF170" i="2"/>
  <c r="EF85" i="2"/>
  <c r="EF174" i="2" s="1"/>
  <c r="EF30" i="2"/>
  <c r="EF6" i="2"/>
  <c r="EG13" i="2"/>
  <c r="EG196" i="2" s="1"/>
  <c r="EF151" i="2"/>
  <c r="EE186" i="2"/>
  <c r="EE48" i="2"/>
  <c r="EE44" i="2"/>
  <c r="EE46" i="2" s="1"/>
  <c r="EF45" i="2"/>
  <c r="EF154" i="2"/>
  <c r="EF131" i="2"/>
  <c r="EG15" i="2"/>
  <c r="EF7" i="2"/>
  <c r="EF132" i="2" s="1"/>
  <c r="EF134" i="2" s="1"/>
  <c r="EF184" i="2" l="1"/>
  <c r="EG24" i="2"/>
  <c r="EG161" i="2"/>
  <c r="EG162" i="2"/>
  <c r="EG163" i="2"/>
  <c r="EF164" i="2"/>
  <c r="EF181" i="2" s="1"/>
  <c r="EG138" i="2"/>
  <c r="EG139" i="2"/>
  <c r="EG140" i="2"/>
  <c r="EF155" i="2"/>
  <c r="EF157" i="2" s="1"/>
  <c r="I39" i="9"/>
  <c r="J39" i="9" s="1"/>
  <c r="B40" i="9"/>
  <c r="S39" i="9"/>
  <c r="T39" i="9" s="1"/>
  <c r="P39" i="9" s="1"/>
  <c r="L40" i="9"/>
  <c r="S39" i="32"/>
  <c r="T39" i="32" s="1"/>
  <c r="P39" i="32" s="1"/>
  <c r="L40" i="32"/>
  <c r="EE41" i="2"/>
  <c r="EE87" i="2" s="1"/>
  <c r="EB89" i="2"/>
  <c r="EB177" i="2"/>
  <c r="EB88" i="2"/>
  <c r="EB100" i="2"/>
  <c r="EB92" i="2"/>
  <c r="EC80" i="2"/>
  <c r="ED106" i="2"/>
  <c r="EG108" i="2"/>
  <c r="EA111" i="2"/>
  <c r="EA90" i="2"/>
  <c r="EF29" i="2"/>
  <c r="EF26" i="2"/>
  <c r="EF41" i="2" s="1"/>
  <c r="EF87" i="2" s="1"/>
  <c r="EG205" i="2"/>
  <c r="EG127" i="2" s="1"/>
  <c r="EG28" i="2"/>
  <c r="EG27" i="2"/>
  <c r="EG23" i="2"/>
  <c r="EG25" i="2"/>
  <c r="EG107" i="2"/>
  <c r="C219" i="9"/>
  <c r="EG146" i="2"/>
  <c r="EG110" i="2"/>
  <c r="EG85" i="2"/>
  <c r="EG174" i="2" s="1"/>
  <c r="EG30" i="2"/>
  <c r="EG14" i="2"/>
  <c r="EG6" i="2"/>
  <c r="EG151" i="2"/>
  <c r="EG170" i="2"/>
  <c r="EH13" i="2"/>
  <c r="EH196" i="2" s="1"/>
  <c r="EG109" i="2"/>
  <c r="EG185" i="2" s="1"/>
  <c r="EF186" i="2"/>
  <c r="EF48" i="2"/>
  <c r="EF44" i="2"/>
  <c r="EF46" i="2" s="1"/>
  <c r="EH15" i="2"/>
  <c r="EG45" i="2"/>
  <c r="EG154" i="2"/>
  <c r="EG7" i="2"/>
  <c r="EG132" i="2" s="1"/>
  <c r="EG134" i="2" s="1"/>
  <c r="EG131" i="2"/>
  <c r="EG184" i="2" l="1"/>
  <c r="EH24" i="2"/>
  <c r="EH161" i="2"/>
  <c r="EG164" i="2"/>
  <c r="EG181" i="2" s="1"/>
  <c r="EH163" i="2"/>
  <c r="EH162" i="2"/>
  <c r="EG155" i="2"/>
  <c r="EG157" i="2" s="1"/>
  <c r="EH138" i="2"/>
  <c r="EH140" i="2"/>
  <c r="EH139" i="2"/>
  <c r="L41" i="32"/>
  <c r="S40" i="32"/>
  <c r="T40" i="32" s="1"/>
  <c r="P40" i="32" s="1"/>
  <c r="S40" i="9"/>
  <c r="T40" i="9" s="1"/>
  <c r="P40" i="9" s="1"/>
  <c r="L41" i="9"/>
  <c r="B41" i="9"/>
  <c r="I40" i="9"/>
  <c r="J40" i="9" s="1"/>
  <c r="EF106" i="2"/>
  <c r="ED80" i="2"/>
  <c r="EG34" i="2"/>
  <c r="EB111" i="2"/>
  <c r="EB90" i="2"/>
  <c r="EC100" i="2"/>
  <c r="EC177" i="2"/>
  <c r="EC88" i="2"/>
  <c r="EC92" i="2"/>
  <c r="EC89" i="2"/>
  <c r="EE106" i="2"/>
  <c r="EH108" i="2"/>
  <c r="EG29" i="2"/>
  <c r="EG26" i="2"/>
  <c r="EH205" i="2"/>
  <c r="EH127" i="2" s="1"/>
  <c r="EH27" i="2"/>
  <c r="EH28" i="2"/>
  <c r="EH23" i="2"/>
  <c r="EH25" i="2"/>
  <c r="EH107" i="2"/>
  <c r="C220" i="9"/>
  <c r="EH110" i="2"/>
  <c r="EH146" i="2"/>
  <c r="EG186" i="2"/>
  <c r="EH30" i="2"/>
  <c r="EH109" i="2"/>
  <c r="EH185" i="2" s="1"/>
  <c r="EH170" i="2"/>
  <c r="EH151" i="2"/>
  <c r="EH6" i="2"/>
  <c r="EH14" i="2"/>
  <c r="EI13" i="2"/>
  <c r="EI196" i="2" s="1"/>
  <c r="EH85" i="2"/>
  <c r="EH174" i="2" s="1"/>
  <c r="EG48" i="2"/>
  <c r="EG44" i="2"/>
  <c r="EG46" i="2" s="1"/>
  <c r="EH7" i="2"/>
  <c r="EH132" i="2" s="1"/>
  <c r="EH134" i="2" s="1"/>
  <c r="EH131" i="2"/>
  <c r="EI15" i="2"/>
  <c r="EH45" i="2"/>
  <c r="EH154" i="2"/>
  <c r="EH164" i="2" l="1"/>
  <c r="EH181" i="2" s="1"/>
  <c r="EH184" i="2"/>
  <c r="EI24" i="2"/>
  <c r="EI161" i="2"/>
  <c r="EI162" i="2"/>
  <c r="EI163" i="2"/>
  <c r="EH155" i="2"/>
  <c r="EH157" i="2" s="1"/>
  <c r="EI138" i="2"/>
  <c r="EI139" i="2"/>
  <c r="EI140" i="2"/>
  <c r="B42" i="9"/>
  <c r="I41" i="9"/>
  <c r="J41" i="9" s="1"/>
  <c r="S41" i="9"/>
  <c r="T41" i="9" s="1"/>
  <c r="P41" i="9" s="1"/>
  <c r="L42" i="9"/>
  <c r="S41" i="32"/>
  <c r="T41" i="32" s="1"/>
  <c r="P41" i="32" s="1"/>
  <c r="L42" i="32"/>
  <c r="EG41" i="2"/>
  <c r="EG87" i="2" s="1"/>
  <c r="EE80" i="2"/>
  <c r="EC111" i="2"/>
  <c r="EC90" i="2"/>
  <c r="ED88" i="2"/>
  <c r="ED177" i="2"/>
  <c r="ED100" i="2"/>
  <c r="ED92" i="2"/>
  <c r="ED89" i="2"/>
  <c r="EI108" i="2"/>
  <c r="EH29" i="2"/>
  <c r="EI205" i="2"/>
  <c r="EI127" i="2" s="1"/>
  <c r="EH26" i="2"/>
  <c r="EI27" i="2"/>
  <c r="EI28" i="2"/>
  <c r="EI23" i="2"/>
  <c r="EI25" i="2"/>
  <c r="EI107" i="2"/>
  <c r="C221" i="9"/>
  <c r="EI146" i="2"/>
  <c r="EI110" i="2"/>
  <c r="EH186" i="2"/>
  <c r="EI30" i="2"/>
  <c r="EI151" i="2"/>
  <c r="EI14" i="2"/>
  <c r="EI6" i="2"/>
  <c r="EJ13" i="2"/>
  <c r="EJ196" i="2" s="1"/>
  <c r="EI109" i="2"/>
  <c r="EI185" i="2" s="1"/>
  <c r="EI170" i="2"/>
  <c r="EI85" i="2"/>
  <c r="EI174" i="2" s="1"/>
  <c r="EH44" i="2"/>
  <c r="EH46" i="2" s="1"/>
  <c r="EH48" i="2"/>
  <c r="EJ15" i="2"/>
  <c r="EI7" i="2"/>
  <c r="EI132" i="2" s="1"/>
  <c r="EI134" i="2" s="1"/>
  <c r="EI131" i="2"/>
  <c r="EI45" i="2"/>
  <c r="EI154" i="2"/>
  <c r="EI184" i="2" l="1"/>
  <c r="EJ24" i="2"/>
  <c r="EJ161" i="2"/>
  <c r="EJ162" i="2"/>
  <c r="EJ163" i="2"/>
  <c r="EI164" i="2"/>
  <c r="EI181" i="2" s="1"/>
  <c r="EJ138" i="2"/>
  <c r="EJ140" i="2"/>
  <c r="EJ139" i="2"/>
  <c r="EI155" i="2"/>
  <c r="EI157" i="2" s="1"/>
  <c r="S42" i="32"/>
  <c r="T42" i="32" s="1"/>
  <c r="P42" i="32" s="1"/>
  <c r="L43" i="32"/>
  <c r="L43" i="9"/>
  <c r="S42" i="9"/>
  <c r="T42" i="9" s="1"/>
  <c r="P42" i="9" s="1"/>
  <c r="I42" i="9"/>
  <c r="J42" i="9" s="1"/>
  <c r="B43" i="9"/>
  <c r="EH41" i="2"/>
  <c r="EH87" i="2" s="1"/>
  <c r="ED111" i="2"/>
  <c r="ED90" i="2"/>
  <c r="EI34" i="2"/>
  <c r="EE177" i="2"/>
  <c r="EE88" i="2"/>
  <c r="EE100" i="2"/>
  <c r="EE92" i="2"/>
  <c r="EE89" i="2"/>
  <c r="EF80" i="2"/>
  <c r="EG106" i="2"/>
  <c r="EJ108" i="2"/>
  <c r="EI29" i="2"/>
  <c r="EI26" i="2"/>
  <c r="EJ205" i="2"/>
  <c r="EJ127" i="2" s="1"/>
  <c r="EJ28" i="2"/>
  <c r="EJ27" i="2"/>
  <c r="EJ23" i="2"/>
  <c r="EJ25" i="2"/>
  <c r="EJ107" i="2"/>
  <c r="EJ146" i="2"/>
  <c r="EJ110" i="2"/>
  <c r="C222" i="9"/>
  <c r="EI186" i="2"/>
  <c r="EJ14" i="2"/>
  <c r="EK13" i="2"/>
  <c r="EK196" i="2" s="1"/>
  <c r="EJ109" i="2"/>
  <c r="EJ185" i="2" s="1"/>
  <c r="EJ170" i="2"/>
  <c r="EJ151" i="2"/>
  <c r="EJ30" i="2"/>
  <c r="EJ6" i="2"/>
  <c r="EJ85" i="2"/>
  <c r="EJ174" i="2" s="1"/>
  <c r="EI44" i="2"/>
  <c r="EI46" i="2" s="1"/>
  <c r="EI48" i="2"/>
  <c r="EJ131" i="2"/>
  <c r="EJ45" i="2"/>
  <c r="EK15" i="2"/>
  <c r="EJ154" i="2"/>
  <c r="EJ7" i="2"/>
  <c r="EJ132" i="2" s="1"/>
  <c r="EJ134" i="2" s="1"/>
  <c r="EJ184" i="2" l="1"/>
  <c r="EK24" i="2"/>
  <c r="EK161" i="2"/>
  <c r="EK163" i="2"/>
  <c r="EK162" i="2"/>
  <c r="EJ164" i="2"/>
  <c r="EJ181" i="2" s="1"/>
  <c r="EK138" i="2"/>
  <c r="EK139" i="2"/>
  <c r="EK140" i="2"/>
  <c r="EJ155" i="2"/>
  <c r="EJ157" i="2" s="1"/>
  <c r="I43" i="9"/>
  <c r="J43" i="9" s="1"/>
  <c r="B44" i="9"/>
  <c r="L44" i="9"/>
  <c r="S43" i="9"/>
  <c r="T43" i="9" s="1"/>
  <c r="P43" i="9" s="1"/>
  <c r="S43" i="32"/>
  <c r="T43" i="32" s="1"/>
  <c r="P43" i="32" s="1"/>
  <c r="L44" i="32"/>
  <c r="EH106" i="2"/>
  <c r="EI41" i="2"/>
  <c r="EI87" i="2" s="1"/>
  <c r="EE90" i="2"/>
  <c r="EE111" i="2"/>
  <c r="EJ34" i="2"/>
  <c r="EG80" i="2"/>
  <c r="EF92" i="2"/>
  <c r="EF88" i="2"/>
  <c r="EF89" i="2"/>
  <c r="EF100" i="2"/>
  <c r="EF177" i="2"/>
  <c r="EK108" i="2"/>
  <c r="EJ29" i="2"/>
  <c r="EJ26" i="2"/>
  <c r="EK205" i="2"/>
  <c r="EK127" i="2" s="1"/>
  <c r="EK28" i="2"/>
  <c r="EK27" i="2"/>
  <c r="EK25" i="2"/>
  <c r="EK23" i="2"/>
  <c r="EK107" i="2"/>
  <c r="EK146" i="2"/>
  <c r="EK110" i="2"/>
  <c r="C223" i="9"/>
  <c r="EJ186" i="2"/>
  <c r="EL13" i="2"/>
  <c r="EL196" i="2" s="1"/>
  <c r="EK151" i="2"/>
  <c r="EK85" i="2"/>
  <c r="EK174" i="2" s="1"/>
  <c r="EK30" i="2"/>
  <c r="EK170" i="2"/>
  <c r="EK14" i="2"/>
  <c r="EK109" i="2"/>
  <c r="EK185" i="2" s="1"/>
  <c r="EK6" i="2"/>
  <c r="EK45" i="2"/>
  <c r="EL15" i="2"/>
  <c r="EK131" i="2"/>
  <c r="EK7" i="2"/>
  <c r="EK132" i="2" s="1"/>
  <c r="EK134" i="2" s="1"/>
  <c r="EK154" i="2"/>
  <c r="EJ48" i="2"/>
  <c r="EJ44" i="2"/>
  <c r="EJ46" i="2" s="1"/>
  <c r="EK184" i="2" l="1"/>
  <c r="EK164" i="2"/>
  <c r="EK181" i="2" s="1"/>
  <c r="EL24" i="2"/>
  <c r="EL161" i="2"/>
  <c r="EM15" i="2"/>
  <c r="EN15" i="2" s="1"/>
  <c r="EL163" i="2"/>
  <c r="EL162" i="2"/>
  <c r="EK155" i="2"/>
  <c r="EK157" i="2" s="1"/>
  <c r="EM13" i="2"/>
  <c r="EL138" i="2"/>
  <c r="EL140" i="2"/>
  <c r="EL139" i="2"/>
  <c r="S44" i="32"/>
  <c r="T44" i="32" s="1"/>
  <c r="P44" i="32" s="1"/>
  <c r="L45" i="32"/>
  <c r="L45" i="9"/>
  <c r="S44" i="9"/>
  <c r="T44" i="9" s="1"/>
  <c r="P44" i="9" s="1"/>
  <c r="I44" i="9"/>
  <c r="J44" i="9" s="1"/>
  <c r="B45" i="9"/>
  <c r="EJ41" i="2"/>
  <c r="EJ87" i="2" s="1"/>
  <c r="EH80" i="2"/>
  <c r="EK34" i="2"/>
  <c r="EF90" i="2"/>
  <c r="EF111" i="2"/>
  <c r="EG100" i="2"/>
  <c r="EG177" i="2"/>
  <c r="EG88" i="2"/>
  <c r="EG92" i="2"/>
  <c r="EG89" i="2"/>
  <c r="EI106" i="2"/>
  <c r="EL108" i="2"/>
  <c r="EK29" i="2"/>
  <c r="EK26" i="2"/>
  <c r="EL205" i="2"/>
  <c r="EL127" i="2" s="1"/>
  <c r="EL28" i="2"/>
  <c r="EL27" i="2"/>
  <c r="EL25" i="2"/>
  <c r="EL23" i="2"/>
  <c r="EL107" i="2"/>
  <c r="C224" i="9"/>
  <c r="EL110" i="2"/>
  <c r="EL146" i="2"/>
  <c r="EL14" i="2"/>
  <c r="EL109" i="2"/>
  <c r="EL185" i="2" s="1"/>
  <c r="EL151" i="2"/>
  <c r="EL85" i="2"/>
  <c r="EL174" i="2" s="1"/>
  <c r="EL30" i="2"/>
  <c r="EL6" i="2"/>
  <c r="EL170" i="2"/>
  <c r="EK186" i="2"/>
  <c r="EL154" i="2"/>
  <c r="EL7" i="2"/>
  <c r="EL132" i="2" s="1"/>
  <c r="EL134" i="2" s="1"/>
  <c r="EL45" i="2"/>
  <c r="EL131" i="2"/>
  <c r="EK48" i="2"/>
  <c r="EK44" i="2"/>
  <c r="EK46" i="2" s="1"/>
  <c r="EM161" i="2" l="1"/>
  <c r="EM196" i="2"/>
  <c r="EL164" i="2"/>
  <c r="EL181" i="2" s="1"/>
  <c r="EL184" i="2"/>
  <c r="EM154" i="2"/>
  <c r="EM131" i="2"/>
  <c r="EM45" i="2"/>
  <c r="EM44" i="2" s="1"/>
  <c r="EM46" i="2" s="1"/>
  <c r="EM162" i="2"/>
  <c r="EM163" i="2"/>
  <c r="EN162" i="2"/>
  <c r="EN163" i="2"/>
  <c r="EM25" i="2"/>
  <c r="EM24" i="2"/>
  <c r="EM108" i="2"/>
  <c r="EM151" i="2"/>
  <c r="EM27" i="2"/>
  <c r="EM170" i="2"/>
  <c r="EM146" i="2"/>
  <c r="EM30" i="2"/>
  <c r="EM110" i="2"/>
  <c r="EM23" i="2"/>
  <c r="EM28" i="2"/>
  <c r="EM155" i="2"/>
  <c r="EM157" i="2" s="1"/>
  <c r="EM85" i="2"/>
  <c r="EM174" i="2" s="1"/>
  <c r="EM14" i="2"/>
  <c r="EL155" i="2"/>
  <c r="EL157" i="2" s="1"/>
  <c r="EM107" i="2"/>
  <c r="EM138" i="2"/>
  <c r="EM139" i="2"/>
  <c r="EM140" i="2"/>
  <c r="EM109" i="2"/>
  <c r="EM185" i="2" s="1"/>
  <c r="EN13" i="2"/>
  <c r="I45" i="9"/>
  <c r="J45" i="9" s="1"/>
  <c r="B46" i="9"/>
  <c r="S45" i="9"/>
  <c r="T45" i="9" s="1"/>
  <c r="P45" i="9" s="1"/>
  <c r="L46" i="9"/>
  <c r="S45" i="32"/>
  <c r="T45" i="32" s="1"/>
  <c r="P45" i="32" s="1"/>
  <c r="L46" i="32"/>
  <c r="EM41" i="2"/>
  <c r="EO15" i="2"/>
  <c r="EN45" i="2"/>
  <c r="EN131" i="2"/>
  <c r="EN154" i="2"/>
  <c r="EJ106" i="2"/>
  <c r="EK41" i="2"/>
  <c r="EK87" i="2" s="1"/>
  <c r="EL34" i="2"/>
  <c r="EI80" i="2"/>
  <c r="EH88" i="2"/>
  <c r="EH100" i="2"/>
  <c r="EH177" i="2"/>
  <c r="EH92" i="2"/>
  <c r="EH89" i="2"/>
  <c r="EG111" i="2"/>
  <c r="EG90" i="2"/>
  <c r="EL29" i="2"/>
  <c r="EL26" i="2"/>
  <c r="C225" i="9"/>
  <c r="EL186" i="2"/>
  <c r="EL48" i="2"/>
  <c r="EL44" i="2"/>
  <c r="EL46" i="2" s="1"/>
  <c r="EN161" i="2" l="1"/>
  <c r="EN196" i="2"/>
  <c r="EM48" i="2"/>
  <c r="EM184" i="2"/>
  <c r="EN164" i="2"/>
  <c r="EN181" i="2" s="1"/>
  <c r="EO162" i="2"/>
  <c r="EO163" i="2"/>
  <c r="EM164" i="2"/>
  <c r="EM181" i="2" s="1"/>
  <c r="EN24" i="2"/>
  <c r="EM26" i="2"/>
  <c r="EN14" i="2"/>
  <c r="EM29" i="2"/>
  <c r="EM186" i="2"/>
  <c r="EN138" i="2"/>
  <c r="EN139" i="2"/>
  <c r="EN140" i="2"/>
  <c r="EN107" i="2"/>
  <c r="EN25" i="2"/>
  <c r="EN109" i="2"/>
  <c r="EN185" i="2" s="1"/>
  <c r="EN30" i="2"/>
  <c r="EO13" i="2"/>
  <c r="EN155" i="2"/>
  <c r="EN157" i="2" s="1"/>
  <c r="EN108" i="2"/>
  <c r="EN27" i="2"/>
  <c r="EN85" i="2"/>
  <c r="EN174" i="2" s="1"/>
  <c r="EN151" i="2"/>
  <c r="EN110" i="2"/>
  <c r="EN23" i="2"/>
  <c r="EN170" i="2"/>
  <c r="EN146" i="2"/>
  <c r="EN28" i="2"/>
  <c r="L47" i="32"/>
  <c r="S46" i="32"/>
  <c r="T46" i="32" s="1"/>
  <c r="P46" i="32" s="1"/>
  <c r="L47" i="9"/>
  <c r="S46" i="9"/>
  <c r="T46" i="9" s="1"/>
  <c r="P46" i="9" s="1"/>
  <c r="I46" i="9"/>
  <c r="J46" i="9" s="1"/>
  <c r="B47" i="9"/>
  <c r="EL41" i="2"/>
  <c r="EL87" i="2" s="1"/>
  <c r="EP15" i="2"/>
  <c r="EO45" i="2"/>
  <c r="EO131" i="2"/>
  <c r="EO154" i="2"/>
  <c r="EM87" i="2"/>
  <c r="EN48" i="2"/>
  <c r="EN44" i="2"/>
  <c r="EN46" i="2" s="1"/>
  <c r="EH90" i="2"/>
  <c r="EH111" i="2"/>
  <c r="EI177" i="2"/>
  <c r="EI100" i="2"/>
  <c r="EI88" i="2"/>
  <c r="EI92" i="2"/>
  <c r="EI89" i="2"/>
  <c r="EJ80" i="2"/>
  <c r="EK106" i="2"/>
  <c r="C226" i="9"/>
  <c r="EO161" i="2" l="1"/>
  <c r="EO196" i="2"/>
  <c r="EN184" i="2"/>
  <c r="EP163" i="2"/>
  <c r="EP162" i="2"/>
  <c r="EO164" i="2"/>
  <c r="EO181" i="2" s="1"/>
  <c r="EP13" i="2"/>
  <c r="EP85" i="2" s="1"/>
  <c r="EP174" i="2" s="1"/>
  <c r="EO24" i="2"/>
  <c r="EO170" i="2"/>
  <c r="EN29" i="2"/>
  <c r="EN26" i="2"/>
  <c r="EN186" i="2"/>
  <c r="EO109" i="2"/>
  <c r="EO185" i="2" s="1"/>
  <c r="EO25" i="2"/>
  <c r="EO155" i="2"/>
  <c r="EO157" i="2" s="1"/>
  <c r="EO108" i="2"/>
  <c r="EO151" i="2"/>
  <c r="EO110" i="2"/>
  <c r="EO138" i="2"/>
  <c r="EO139" i="2"/>
  <c r="EO140" i="2"/>
  <c r="EO28" i="2"/>
  <c r="EO14" i="2"/>
  <c r="EO146" i="2"/>
  <c r="EO30" i="2"/>
  <c r="EO107" i="2"/>
  <c r="EO27" i="2"/>
  <c r="EO85" i="2"/>
  <c r="EO174" i="2" s="1"/>
  <c r="EO23" i="2"/>
  <c r="I47" i="9"/>
  <c r="J47" i="9" s="1"/>
  <c r="B48" i="9"/>
  <c r="S47" i="9"/>
  <c r="T47" i="9" s="1"/>
  <c r="P47" i="9" s="1"/>
  <c r="L48" i="9"/>
  <c r="S47" i="32"/>
  <c r="T47" i="32" s="1"/>
  <c r="P47" i="32" s="1"/>
  <c r="L48" i="32"/>
  <c r="EL106" i="2"/>
  <c r="EN41" i="2"/>
  <c r="EN87" i="2" s="1"/>
  <c r="EO44" i="2"/>
  <c r="EO46" i="2" s="1"/>
  <c r="EO48" i="2"/>
  <c r="EO34" i="2"/>
  <c r="EM106" i="2"/>
  <c r="EQ15" i="2"/>
  <c r="EP45" i="2"/>
  <c r="EP131" i="2"/>
  <c r="EP154" i="2"/>
  <c r="EO37" i="2"/>
  <c r="EP27" i="2"/>
  <c r="EP25" i="2"/>
  <c r="EK80" i="2"/>
  <c r="EJ88" i="2"/>
  <c r="EJ89" i="2"/>
  <c r="EJ177" i="2"/>
  <c r="EJ100" i="2"/>
  <c r="EJ92" i="2"/>
  <c r="EI111" i="2"/>
  <c r="EI90" i="2"/>
  <c r="C227" i="9"/>
  <c r="EP140" i="2" l="1"/>
  <c r="EP196" i="2"/>
  <c r="EP30" i="2"/>
  <c r="EP146" i="2"/>
  <c r="EP170" i="2"/>
  <c r="EP110" i="2"/>
  <c r="EP108" i="2"/>
  <c r="EP109" i="2"/>
  <c r="EP185" i="2" s="1"/>
  <c r="EQ13" i="2"/>
  <c r="EP107" i="2"/>
  <c r="EP14" i="2"/>
  <c r="EP151" i="2"/>
  <c r="EP28" i="2"/>
  <c r="EP29" i="2" s="1"/>
  <c r="EP139" i="2"/>
  <c r="EO184" i="2"/>
  <c r="EP24" i="2"/>
  <c r="EP161" i="2"/>
  <c r="EP164" i="2" s="1"/>
  <c r="EP181" i="2" s="1"/>
  <c r="EQ162" i="2"/>
  <c r="EQ163" i="2"/>
  <c r="EP23" i="2"/>
  <c r="EO186" i="2"/>
  <c r="EP138" i="2"/>
  <c r="EO26" i="2"/>
  <c r="EO29" i="2"/>
  <c r="EP155" i="2"/>
  <c r="EP157" i="2" s="1"/>
  <c r="EM80" i="2"/>
  <c r="EM89" i="2" s="1"/>
  <c r="S48" i="32"/>
  <c r="T48" i="32" s="1"/>
  <c r="P48" i="32" s="1"/>
  <c r="L49" i="32"/>
  <c r="S48" i="9"/>
  <c r="T48" i="9" s="1"/>
  <c r="P48" i="9" s="1"/>
  <c r="L49" i="9"/>
  <c r="I48" i="9"/>
  <c r="J48" i="9" s="1"/>
  <c r="B49" i="9"/>
  <c r="ER15" i="2"/>
  <c r="EQ45" i="2"/>
  <c r="EQ131" i="2"/>
  <c r="EQ154" i="2"/>
  <c r="EO176" i="2"/>
  <c r="EP41" i="2"/>
  <c r="EN106" i="2"/>
  <c r="EP44" i="2"/>
  <c r="EP48" i="2"/>
  <c r="EO41" i="2"/>
  <c r="EJ111" i="2"/>
  <c r="EJ90" i="2"/>
  <c r="EL80" i="2"/>
  <c r="EK177" i="2"/>
  <c r="EK88" i="2"/>
  <c r="EK100" i="2"/>
  <c r="EK92" i="2"/>
  <c r="EK89" i="2"/>
  <c r="C228" i="9"/>
  <c r="EQ139" i="2" l="1"/>
  <c r="EQ196" i="2"/>
  <c r="EQ107" i="2"/>
  <c r="EQ170" i="2"/>
  <c r="EQ27" i="2"/>
  <c r="EQ24" i="2"/>
  <c r="EP184" i="2"/>
  <c r="EQ108" i="2"/>
  <c r="EQ110" i="2"/>
  <c r="EQ14" i="2"/>
  <c r="EQ151" i="2"/>
  <c r="EQ30" i="2"/>
  <c r="EP186" i="2"/>
  <c r="EQ109" i="2"/>
  <c r="EQ185" i="2" s="1"/>
  <c r="EQ146" i="2"/>
  <c r="ER13" i="2"/>
  <c r="EQ138" i="2"/>
  <c r="EQ161" i="2"/>
  <c r="EQ164" i="2" s="1"/>
  <c r="EQ181" i="2" s="1"/>
  <c r="EQ25" i="2"/>
  <c r="EQ28" i="2"/>
  <c r="EQ23" i="2"/>
  <c r="EQ140" i="2"/>
  <c r="EQ85" i="2"/>
  <c r="EQ174" i="2" s="1"/>
  <c r="EP26" i="2"/>
  <c r="ER162" i="2"/>
  <c r="ER163" i="2"/>
  <c r="EQ155" i="2"/>
  <c r="EQ157" i="2" s="1"/>
  <c r="EN80" i="2"/>
  <c r="EN89" i="2" s="1"/>
  <c r="EM92" i="2"/>
  <c r="EM100" i="2"/>
  <c r="EM177" i="2"/>
  <c r="EM88" i="2"/>
  <c r="EM90" i="2" s="1"/>
  <c r="B50" i="9"/>
  <c r="I49" i="9"/>
  <c r="J49" i="9" s="1"/>
  <c r="S49" i="9"/>
  <c r="T49" i="9" s="1"/>
  <c r="P49" i="9" s="1"/>
  <c r="L50" i="9"/>
  <c r="S49" i="32"/>
  <c r="T49" i="32" s="1"/>
  <c r="P49" i="32" s="1"/>
  <c r="L50" i="32"/>
  <c r="EQ29" i="2"/>
  <c r="EO87" i="2"/>
  <c r="EQ44" i="2"/>
  <c r="EQ46" i="2" s="1"/>
  <c r="EQ48" i="2"/>
  <c r="EP46" i="2"/>
  <c r="EP87" i="2"/>
  <c r="ES15" i="2"/>
  <c r="ER45" i="2"/>
  <c r="ER131" i="2"/>
  <c r="ER154" i="2"/>
  <c r="EK90" i="2"/>
  <c r="EK111" i="2"/>
  <c r="EL89" i="2"/>
  <c r="EL92" i="2"/>
  <c r="EL88" i="2"/>
  <c r="EL177" i="2"/>
  <c r="EL100" i="2"/>
  <c r="C229" i="9"/>
  <c r="ER110" i="2" l="1"/>
  <c r="ER196" i="2"/>
  <c r="EQ26" i="2"/>
  <c r="EQ184" i="2"/>
  <c r="ER24" i="2"/>
  <c r="ER140" i="2"/>
  <c r="ER170" i="2"/>
  <c r="ER139" i="2"/>
  <c r="ER151" i="2"/>
  <c r="ER30" i="2"/>
  <c r="ER146" i="2"/>
  <c r="ER161" i="2"/>
  <c r="ER164" i="2" s="1"/>
  <c r="ER181" i="2" s="1"/>
  <c r="ER25" i="2"/>
  <c r="ER109" i="2"/>
  <c r="ER185" i="2" s="1"/>
  <c r="ES13" i="2"/>
  <c r="ES24" i="2" s="1"/>
  <c r="ER27" i="2"/>
  <c r="ER138" i="2"/>
  <c r="ER23" i="2"/>
  <c r="ER108" i="2"/>
  <c r="ER28" i="2"/>
  <c r="ER85" i="2"/>
  <c r="ER174" i="2" s="1"/>
  <c r="EQ186" i="2"/>
  <c r="ER107" i="2"/>
  <c r="ER14" i="2"/>
  <c r="ES163" i="2"/>
  <c r="ES162" i="2"/>
  <c r="ER155" i="2"/>
  <c r="ER157" i="2" s="1"/>
  <c r="EN88" i="2"/>
  <c r="EN111" i="2" s="1"/>
  <c r="EN92" i="2"/>
  <c r="EN177" i="2"/>
  <c r="EN100" i="2"/>
  <c r="EM111" i="2"/>
  <c r="EO80" i="2"/>
  <c r="EO92" i="2" s="1"/>
  <c r="S50" i="32"/>
  <c r="T50" i="32" s="1"/>
  <c r="P50" i="32" s="1"/>
  <c r="L51" i="32"/>
  <c r="S50" i="9"/>
  <c r="T50" i="9" s="1"/>
  <c r="P50" i="9" s="1"/>
  <c r="L51" i="9"/>
  <c r="I50" i="9"/>
  <c r="J50" i="9" s="1"/>
  <c r="B51" i="9"/>
  <c r="EQ41" i="2"/>
  <c r="EQ87" i="2" s="1"/>
  <c r="EP106" i="2"/>
  <c r="ES110" i="2"/>
  <c r="ES170" i="2"/>
  <c r="EO106" i="2"/>
  <c r="ER44" i="2"/>
  <c r="ER48" i="2"/>
  <c r="ET15" i="2"/>
  <c r="ES45" i="2"/>
  <c r="ES131" i="2"/>
  <c r="ES154" i="2"/>
  <c r="EL111" i="2"/>
  <c r="EL90" i="2"/>
  <c r="C230" i="9"/>
  <c r="ES27" i="2" l="1"/>
  <c r="ES23" i="2"/>
  <c r="ES108" i="2"/>
  <c r="ES109" i="2"/>
  <c r="ES185" i="2" s="1"/>
  <c r="ES14" i="2"/>
  <c r="ES107" i="2"/>
  <c r="ES25" i="2"/>
  <c r="ES26" i="2" s="1"/>
  <c r="ES28" i="2"/>
  <c r="ES29" i="2" s="1"/>
  <c r="ER29" i="2"/>
  <c r="ES85" i="2"/>
  <c r="ES174" i="2" s="1"/>
  <c r="ES161" i="2"/>
  <c r="ES164" i="2" s="1"/>
  <c r="ES181" i="2" s="1"/>
  <c r="ES146" i="2"/>
  <c r="ES30" i="2"/>
  <c r="ES151" i="2"/>
  <c r="ES186" i="2" s="1"/>
  <c r="ET13" i="2"/>
  <c r="ET196" i="2" s="1"/>
  <c r="ES138" i="2"/>
  <c r="ES196" i="2"/>
  <c r="ER26" i="2"/>
  <c r="ER186" i="2"/>
  <c r="ES140" i="2"/>
  <c r="ES139" i="2"/>
  <c r="ER184" i="2"/>
  <c r="ET24" i="2"/>
  <c r="ET161" i="2"/>
  <c r="ET163" i="2"/>
  <c r="ET162" i="2"/>
  <c r="ES155" i="2"/>
  <c r="ES157" i="2" s="1"/>
  <c r="EN90" i="2"/>
  <c r="EO88" i="2"/>
  <c r="EO111" i="2" s="1"/>
  <c r="EO89" i="2"/>
  <c r="EO100" i="2"/>
  <c r="EO177" i="2"/>
  <c r="B52" i="9"/>
  <c r="I51" i="9"/>
  <c r="J51" i="9" s="1"/>
  <c r="S51" i="9"/>
  <c r="T51" i="9" s="1"/>
  <c r="P51" i="9" s="1"/>
  <c r="L52" i="9"/>
  <c r="ER41" i="2"/>
  <c r="ER87" i="2" s="1"/>
  <c r="S51" i="32"/>
  <c r="T51" i="32" s="1"/>
  <c r="P51" i="32" s="1"/>
  <c r="L52" i="32"/>
  <c r="ER46" i="2"/>
  <c r="ES44" i="2"/>
  <c r="ES46" i="2" s="1"/>
  <c r="ES48" i="2"/>
  <c r="ET45" i="2"/>
  <c r="EU15" i="2"/>
  <c r="ET131" i="2"/>
  <c r="ET154" i="2"/>
  <c r="ET30" i="2"/>
  <c r="ET14" i="2"/>
  <c r="ET28" i="2"/>
  <c r="ET107" i="2"/>
  <c r="ET109" i="2"/>
  <c r="ET185" i="2" s="1"/>
  <c r="ET110" i="2"/>
  <c r="ET170" i="2"/>
  <c r="ET146" i="2"/>
  <c r="EQ106" i="2"/>
  <c r="EA85" i="2"/>
  <c r="C231" i="9"/>
  <c r="ES184" i="2" l="1"/>
  <c r="ET140" i="2"/>
  <c r="ET25" i="2"/>
  <c r="ET27" i="2"/>
  <c r="ET138" i="2"/>
  <c r="ET85" i="2"/>
  <c r="ET174" i="2" s="1"/>
  <c r="EU13" i="2"/>
  <c r="EU196" i="2" s="1"/>
  <c r="ET139" i="2"/>
  <c r="ET151" i="2"/>
  <c r="ET186" i="2" s="1"/>
  <c r="ET108" i="2"/>
  <c r="ET184" i="2" s="1"/>
  <c r="ET23" i="2"/>
  <c r="ET26" i="2" s="1"/>
  <c r="ET164" i="2"/>
  <c r="ET181" i="2" s="1"/>
  <c r="EU162" i="2"/>
  <c r="EU163" i="2"/>
  <c r="EU138" i="2"/>
  <c r="EU139" i="2"/>
  <c r="ET155" i="2"/>
  <c r="ET157" i="2" s="1"/>
  <c r="EO90" i="2"/>
  <c r="EQ80" i="2"/>
  <c r="EQ89" i="2" s="1"/>
  <c r="L53" i="32"/>
  <c r="S52" i="32"/>
  <c r="T52" i="32" s="1"/>
  <c r="P52" i="32" s="1"/>
  <c r="L53" i="9"/>
  <c r="S52" i="9"/>
  <c r="T52" i="9" s="1"/>
  <c r="P52" i="9" s="1"/>
  <c r="I52" i="9"/>
  <c r="J52" i="9" s="1"/>
  <c r="B53" i="9"/>
  <c r="ES41" i="2"/>
  <c r="ES87" i="2" s="1"/>
  <c r="ET29" i="2"/>
  <c r="ER106" i="2"/>
  <c r="EP80" i="2"/>
  <c r="EU45" i="2"/>
  <c r="EV15" i="2"/>
  <c r="EU131" i="2"/>
  <c r="EU154" i="2"/>
  <c r="EU30" i="2"/>
  <c r="EU25" i="2"/>
  <c r="EU23" i="2"/>
  <c r="EU109" i="2"/>
  <c r="EU185" i="2" s="1"/>
  <c r="EU107" i="2"/>
  <c r="EU170" i="2"/>
  <c r="ET44" i="2"/>
  <c r="ET48" i="2"/>
  <c r="BY85" i="2"/>
  <c r="BY174" i="2" s="1"/>
  <c r="CC85" i="2"/>
  <c r="EA174" i="2"/>
  <c r="EA92" i="2"/>
  <c r="C232" i="9"/>
  <c r="EU161" i="2" l="1"/>
  <c r="EV13" i="2"/>
  <c r="EV196" i="2" s="1"/>
  <c r="EU85" i="2"/>
  <c r="EU174" i="2" s="1"/>
  <c r="EU27" i="2"/>
  <c r="EU110" i="2"/>
  <c r="EU151" i="2"/>
  <c r="EU186" i="2" s="1"/>
  <c r="EU108" i="2"/>
  <c r="EU24" i="2"/>
  <c r="EU26" i="2" s="1"/>
  <c r="EU146" i="2"/>
  <c r="EU28" i="2"/>
  <c r="EU14" i="2"/>
  <c r="EU140" i="2"/>
  <c r="EV24" i="2"/>
  <c r="EV161" i="2"/>
  <c r="EV162" i="2"/>
  <c r="EV163" i="2"/>
  <c r="EU164" i="2"/>
  <c r="EU181" i="2" s="1"/>
  <c r="EV138" i="2"/>
  <c r="EV140" i="2"/>
  <c r="EV139" i="2"/>
  <c r="EU155" i="2"/>
  <c r="EU157" i="2" s="1"/>
  <c r="EQ92" i="2"/>
  <c r="ER80" i="2"/>
  <c r="ER88" i="2" s="1"/>
  <c r="ER111" i="2" s="1"/>
  <c r="EQ177" i="2"/>
  <c r="EQ100" i="2"/>
  <c r="EQ88" i="2"/>
  <c r="B54" i="9"/>
  <c r="I53" i="9"/>
  <c r="J53" i="9" s="1"/>
  <c r="S53" i="9"/>
  <c r="T53" i="9" s="1"/>
  <c r="P53" i="9" s="1"/>
  <c r="L54" i="9"/>
  <c r="S53" i="32"/>
  <c r="T53" i="32" s="1"/>
  <c r="P53" i="32" s="1"/>
  <c r="L54" i="32"/>
  <c r="ET41" i="2"/>
  <c r="ET87" i="2" s="1"/>
  <c r="ET46" i="2"/>
  <c r="EP100" i="2"/>
  <c r="EP88" i="2"/>
  <c r="EP177" i="2"/>
  <c r="EP92" i="2"/>
  <c r="EP89" i="2"/>
  <c r="ES106" i="2"/>
  <c r="EV23" i="2"/>
  <c r="EV27" i="2"/>
  <c r="EW13" i="2"/>
  <c r="EW196" i="2" s="1"/>
  <c r="EV30" i="2"/>
  <c r="EV25" i="2"/>
  <c r="EV14" i="2"/>
  <c r="EV28" i="2"/>
  <c r="EV110" i="2"/>
  <c r="EV85" i="2"/>
  <c r="EV174" i="2" s="1"/>
  <c r="EV109" i="2"/>
  <c r="EV185" i="2" s="1"/>
  <c r="EV107" i="2"/>
  <c r="EV108" i="2"/>
  <c r="EV170" i="2"/>
  <c r="EV151" i="2"/>
  <c r="EV146" i="2"/>
  <c r="EU48" i="2"/>
  <c r="EU44" i="2"/>
  <c r="EU46" i="2" s="1"/>
  <c r="EU29" i="2"/>
  <c r="EW15" i="2"/>
  <c r="EV45" i="2"/>
  <c r="EV131" i="2"/>
  <c r="EV154" i="2"/>
  <c r="CC174" i="2"/>
  <c r="C233" i="9"/>
  <c r="EU184" i="2" l="1"/>
  <c r="EV184" i="2"/>
  <c r="EW24" i="2"/>
  <c r="EW161" i="2"/>
  <c r="EW162" i="2"/>
  <c r="EW163" i="2"/>
  <c r="EV164" i="2"/>
  <c r="EV181" i="2" s="1"/>
  <c r="EV155" i="2"/>
  <c r="EV157" i="2" s="1"/>
  <c r="EW138" i="2"/>
  <c r="EW139" i="2"/>
  <c r="EW140" i="2"/>
  <c r="EQ111" i="2"/>
  <c r="ER92" i="2"/>
  <c r="EQ90" i="2"/>
  <c r="ER100" i="2"/>
  <c r="ER89" i="2"/>
  <c r="ER90" i="2" s="1"/>
  <c r="ER177" i="2"/>
  <c r="S54" i="32"/>
  <c r="T54" i="32" s="1"/>
  <c r="P54" i="32" s="1"/>
  <c r="L55" i="32"/>
  <c r="L55" i="9"/>
  <c r="S54" i="9"/>
  <c r="T54" i="9" s="1"/>
  <c r="P54" i="9" s="1"/>
  <c r="B55" i="9"/>
  <c r="I54" i="9"/>
  <c r="J54" i="9" s="1"/>
  <c r="EV26" i="2"/>
  <c r="EX15" i="2"/>
  <c r="EW45" i="2"/>
  <c r="EW131" i="2"/>
  <c r="EW154" i="2"/>
  <c r="EV186" i="2"/>
  <c r="ET106" i="2"/>
  <c r="EU41" i="2"/>
  <c r="EP111" i="2"/>
  <c r="EP90" i="2"/>
  <c r="EW23" i="2"/>
  <c r="EW27" i="2"/>
  <c r="EX13" i="2"/>
  <c r="EX196" i="2" s="1"/>
  <c r="EW30" i="2"/>
  <c r="EW25" i="2"/>
  <c r="EW14" i="2"/>
  <c r="EW28" i="2"/>
  <c r="EW85" i="2"/>
  <c r="EW174" i="2" s="1"/>
  <c r="EW107" i="2"/>
  <c r="EW110" i="2"/>
  <c r="EW109" i="2"/>
  <c r="EW185" i="2" s="1"/>
  <c r="EW108" i="2"/>
  <c r="EW170" i="2"/>
  <c r="EW146" i="2"/>
  <c r="EW151" i="2"/>
  <c r="EV48" i="2"/>
  <c r="EV44" i="2"/>
  <c r="EV46" i="2" s="1"/>
  <c r="EV29" i="2"/>
  <c r="EV41" i="2" s="1"/>
  <c r="C234" i="9"/>
  <c r="EW184" i="2" l="1"/>
  <c r="EX24" i="2"/>
  <c r="EX161" i="2"/>
  <c r="EX163" i="2"/>
  <c r="EX162" i="2"/>
  <c r="EW164" i="2"/>
  <c r="EW181" i="2" s="1"/>
  <c r="EW155" i="2"/>
  <c r="EW157" i="2" s="1"/>
  <c r="B9" i="32"/>
  <c r="B10" i="32" s="1"/>
  <c r="EX138" i="2"/>
  <c r="EX140" i="2"/>
  <c r="EX139" i="2"/>
  <c r="ET80" i="2"/>
  <c r="ET89" i="2" s="1"/>
  <c r="EW29" i="2"/>
  <c r="B56" i="9"/>
  <c r="I55" i="9"/>
  <c r="J55" i="9" s="1"/>
  <c r="S55" i="9"/>
  <c r="T55" i="9" s="1"/>
  <c r="P55" i="9" s="1"/>
  <c r="L56" i="9"/>
  <c r="S55" i="32"/>
  <c r="T55" i="32" s="1"/>
  <c r="P55" i="32" s="1"/>
  <c r="L56" i="32"/>
  <c r="EW186" i="2"/>
  <c r="EV87" i="2"/>
  <c r="EY15" i="2"/>
  <c r="EX45" i="2"/>
  <c r="EX131" i="2"/>
  <c r="EX154" i="2"/>
  <c r="EX23" i="2"/>
  <c r="EX27" i="2"/>
  <c r="EY13" i="2"/>
  <c r="EY196" i="2" s="1"/>
  <c r="EX30" i="2"/>
  <c r="EX25" i="2"/>
  <c r="EX14" i="2"/>
  <c r="EX28" i="2"/>
  <c r="EX85" i="2"/>
  <c r="EX174" i="2" s="1"/>
  <c r="EX107" i="2"/>
  <c r="EX108" i="2"/>
  <c r="EX110" i="2"/>
  <c r="EX109" i="2"/>
  <c r="EX185" i="2" s="1"/>
  <c r="EX170" i="2"/>
  <c r="EX146" i="2"/>
  <c r="EX151" i="2"/>
  <c r="ES80" i="2"/>
  <c r="EW26" i="2"/>
  <c r="EU87" i="2"/>
  <c r="EW44" i="2"/>
  <c r="EW46" i="2" s="1"/>
  <c r="EW48" i="2"/>
  <c r="C235" i="9"/>
  <c r="EX184" i="2" l="1"/>
  <c r="EY24" i="2"/>
  <c r="EY161" i="2"/>
  <c r="EX164" i="2"/>
  <c r="EX181" i="2" s="1"/>
  <c r="EY162" i="2"/>
  <c r="EY163" i="2"/>
  <c r="EY138" i="2"/>
  <c r="EY139" i="2"/>
  <c r="EY140" i="2"/>
  <c r="I9" i="32"/>
  <c r="J9" i="32" s="1"/>
  <c r="EX155" i="2"/>
  <c r="EX157" i="2" s="1"/>
  <c r="EU80" i="2"/>
  <c r="EU92" i="2" s="1"/>
  <c r="ET177" i="2"/>
  <c r="ET92" i="2"/>
  <c r="ET88" i="2"/>
  <c r="ET111" i="2" s="1"/>
  <c r="ET100" i="2"/>
  <c r="L57" i="9"/>
  <c r="S56" i="9"/>
  <c r="T56" i="9" s="1"/>
  <c r="P56" i="9" s="1"/>
  <c r="B57" i="9"/>
  <c r="I56" i="9"/>
  <c r="J56" i="9" s="1"/>
  <c r="S56" i="32"/>
  <c r="T56" i="32" s="1"/>
  <c r="P56" i="32" s="1"/>
  <c r="L57" i="32"/>
  <c r="I10" i="32"/>
  <c r="J10" i="32" s="1"/>
  <c r="B11" i="32"/>
  <c r="EX186" i="2"/>
  <c r="EW41" i="2"/>
  <c r="EW87" i="2" s="1"/>
  <c r="EY23" i="2"/>
  <c r="EY27" i="2"/>
  <c r="EZ13" i="2"/>
  <c r="EZ196" i="2" s="1"/>
  <c r="EY30" i="2"/>
  <c r="EY25" i="2"/>
  <c r="EY109" i="2"/>
  <c r="EY185" i="2" s="1"/>
  <c r="EY14" i="2"/>
  <c r="EY85" i="2"/>
  <c r="EY108" i="2"/>
  <c r="EY110" i="2"/>
  <c r="EY28" i="2"/>
  <c r="EY107" i="2"/>
  <c r="EY170" i="2"/>
  <c r="EY146" i="2"/>
  <c r="EY151" i="2"/>
  <c r="EX26" i="2"/>
  <c r="EX29" i="2"/>
  <c r="EX44" i="2"/>
  <c r="EX46" i="2" s="1"/>
  <c r="EX48" i="2"/>
  <c r="EU106" i="2"/>
  <c r="ES88" i="2"/>
  <c r="ES100" i="2"/>
  <c r="ES177" i="2"/>
  <c r="ES92" i="2"/>
  <c r="ES89" i="2"/>
  <c r="EV106" i="2"/>
  <c r="EZ15" i="2"/>
  <c r="EY45" i="2"/>
  <c r="EY154" i="2"/>
  <c r="EY131" i="2"/>
  <c r="C236" i="9"/>
  <c r="EY184" i="2" l="1"/>
  <c r="EZ24" i="2"/>
  <c r="EZ161" i="2"/>
  <c r="EZ162" i="2"/>
  <c r="EZ163" i="2"/>
  <c r="EY164" i="2"/>
  <c r="EY181" i="2" s="1"/>
  <c r="EY155" i="2"/>
  <c r="EY157" i="2" s="1"/>
  <c r="EZ138" i="2"/>
  <c r="EZ139" i="2"/>
  <c r="EZ140" i="2"/>
  <c r="EU88" i="2"/>
  <c r="EU111" i="2" s="1"/>
  <c r="EU177" i="2"/>
  <c r="EU89" i="2"/>
  <c r="EU100" i="2"/>
  <c r="ET90" i="2"/>
  <c r="I57" i="9"/>
  <c r="J57" i="9" s="1"/>
  <c r="B58" i="9"/>
  <c r="S57" i="9"/>
  <c r="T57" i="9" s="1"/>
  <c r="P57" i="9" s="1"/>
  <c r="L58" i="9"/>
  <c r="S57" i="32"/>
  <c r="T57" i="32" s="1"/>
  <c r="P57" i="32" s="1"/>
  <c r="L58" i="32"/>
  <c r="I11" i="32"/>
  <c r="J11" i="32" s="1"/>
  <c r="B12" i="32"/>
  <c r="EX41" i="2"/>
  <c r="EX87" i="2" s="1"/>
  <c r="ES111" i="2"/>
  <c r="ES90" i="2"/>
  <c r="EY44" i="2"/>
  <c r="EY46" i="2" s="1"/>
  <c r="EY48" i="2"/>
  <c r="EY26" i="2"/>
  <c r="EW106" i="2"/>
  <c r="EZ14" i="2"/>
  <c r="EZ28" i="2"/>
  <c r="EZ23" i="2"/>
  <c r="EZ27" i="2"/>
  <c r="FA13" i="2"/>
  <c r="FA196" i="2" s="1"/>
  <c r="EZ30" i="2"/>
  <c r="EZ25" i="2"/>
  <c r="EZ109" i="2"/>
  <c r="EZ185" i="2" s="1"/>
  <c r="EZ110" i="2"/>
  <c r="EZ85" i="2"/>
  <c r="EZ174" i="2" s="1"/>
  <c r="EZ108" i="2"/>
  <c r="EZ107" i="2"/>
  <c r="EZ170" i="2"/>
  <c r="EZ146" i="2"/>
  <c r="EZ151" i="2"/>
  <c r="FA15" i="2"/>
  <c r="EZ45" i="2"/>
  <c r="EZ131" i="2"/>
  <c r="EZ154" i="2"/>
  <c r="EY29" i="2"/>
  <c r="EY174" i="2"/>
  <c r="EY186" i="2"/>
  <c r="C237" i="9"/>
  <c r="EZ184" i="2" l="1"/>
  <c r="FA24" i="2"/>
  <c r="FA161" i="2"/>
  <c r="FA163" i="2"/>
  <c r="FA162" i="2"/>
  <c r="EZ164" i="2"/>
  <c r="EZ181" i="2" s="1"/>
  <c r="EZ155" i="2"/>
  <c r="EZ157" i="2" s="1"/>
  <c r="FA138" i="2"/>
  <c r="FA139" i="2"/>
  <c r="FA140" i="2"/>
  <c r="EU90" i="2"/>
  <c r="EW80" i="2"/>
  <c r="EW89" i="2" s="1"/>
  <c r="S58" i="9"/>
  <c r="T58" i="9" s="1"/>
  <c r="P58" i="9" s="1"/>
  <c r="L59" i="9"/>
  <c r="I58" i="9"/>
  <c r="J58" i="9" s="1"/>
  <c r="B59" i="9"/>
  <c r="B13" i="32"/>
  <c r="I12" i="32"/>
  <c r="J12" i="32" s="1"/>
  <c r="L59" i="32"/>
  <c r="S58" i="32"/>
  <c r="T58" i="32" s="1"/>
  <c r="P58" i="32" s="1"/>
  <c r="EZ186" i="2"/>
  <c r="EY41" i="2"/>
  <c r="EY87" i="2" s="1"/>
  <c r="EZ44" i="2"/>
  <c r="EZ46" i="2" s="1"/>
  <c r="EZ48" i="2"/>
  <c r="EV80" i="2"/>
  <c r="FB15" i="2"/>
  <c r="FA45" i="2"/>
  <c r="FA131" i="2"/>
  <c r="FA154" i="2"/>
  <c r="EZ26" i="2"/>
  <c r="EX106" i="2"/>
  <c r="FA25" i="2"/>
  <c r="FA14" i="2"/>
  <c r="FA28" i="2"/>
  <c r="FA23" i="2"/>
  <c r="FA27" i="2"/>
  <c r="FB13" i="2"/>
  <c r="FB196" i="2" s="1"/>
  <c r="FA30" i="2"/>
  <c r="FA85" i="2"/>
  <c r="FA107" i="2"/>
  <c r="FA110" i="2"/>
  <c r="FA108" i="2"/>
  <c r="FA109" i="2"/>
  <c r="FA185" i="2" s="1"/>
  <c r="FA170" i="2"/>
  <c r="FA146" i="2"/>
  <c r="FA151" i="2"/>
  <c r="EZ29" i="2"/>
  <c r="C238" i="9"/>
  <c r="FA184" i="2" l="1"/>
  <c r="FA164" i="2"/>
  <c r="FA181" i="2" s="1"/>
  <c r="FB24" i="2"/>
  <c r="FB161" i="2"/>
  <c r="FB163" i="2"/>
  <c r="FB162" i="2"/>
  <c r="FB138" i="2"/>
  <c r="FB140" i="2"/>
  <c r="FB139" i="2"/>
  <c r="FA155" i="2"/>
  <c r="FA157" i="2" s="1"/>
  <c r="EW177" i="2"/>
  <c r="EW88" i="2"/>
  <c r="EW111" i="2" s="1"/>
  <c r="EW100" i="2"/>
  <c r="EW92" i="2"/>
  <c r="EX80" i="2"/>
  <c r="EX89" i="2" s="1"/>
  <c r="L60" i="32"/>
  <c r="S59" i="32"/>
  <c r="T59" i="32" s="1"/>
  <c r="P59" i="32" s="1"/>
  <c r="B14" i="32"/>
  <c r="I13" i="32"/>
  <c r="J13" i="32" s="1"/>
  <c r="I59" i="9"/>
  <c r="J59" i="9" s="1"/>
  <c r="B60" i="9"/>
  <c r="S59" i="9"/>
  <c r="T59" i="9" s="1"/>
  <c r="P59" i="9" s="1"/>
  <c r="L60" i="9"/>
  <c r="FA186" i="2"/>
  <c r="FA174" i="2"/>
  <c r="FA26" i="2"/>
  <c r="EV100" i="2"/>
  <c r="EV88" i="2"/>
  <c r="EV177" i="2"/>
  <c r="EV92" i="2"/>
  <c r="EV89" i="2"/>
  <c r="FC13" i="2"/>
  <c r="FC196" i="2" s="1"/>
  <c r="FB30" i="2"/>
  <c r="FB25" i="2"/>
  <c r="FB14" i="2"/>
  <c r="FB28" i="2"/>
  <c r="FB23" i="2"/>
  <c r="FB108" i="2"/>
  <c r="FB27" i="2"/>
  <c r="FB85" i="2"/>
  <c r="FB174" i="2" s="1"/>
  <c r="FB110" i="2"/>
  <c r="FB107" i="2"/>
  <c r="FB170" i="2"/>
  <c r="FB109" i="2"/>
  <c r="FB185" i="2" s="1"/>
  <c r="FB151" i="2"/>
  <c r="FB146" i="2"/>
  <c r="FA44" i="2"/>
  <c r="FA46" i="2" s="1"/>
  <c r="FA48" i="2"/>
  <c r="FA29" i="2"/>
  <c r="FB45" i="2"/>
  <c r="FC15" i="2"/>
  <c r="FB131" i="2"/>
  <c r="FB154" i="2"/>
  <c r="EZ41" i="2"/>
  <c r="EY106" i="2"/>
  <c r="C239" i="9"/>
  <c r="FB184" i="2" l="1"/>
  <c r="FC24" i="2"/>
  <c r="FC161" i="2"/>
  <c r="FB164" i="2"/>
  <c r="FB181" i="2" s="1"/>
  <c r="FC162" i="2"/>
  <c r="FC163" i="2"/>
  <c r="FB155" i="2"/>
  <c r="FB157" i="2" s="1"/>
  <c r="FC138" i="2"/>
  <c r="FC139" i="2"/>
  <c r="FC140" i="2"/>
  <c r="EW90" i="2"/>
  <c r="EX88" i="2"/>
  <c r="EX90" i="2" s="1"/>
  <c r="EX92" i="2"/>
  <c r="EX177" i="2"/>
  <c r="EX100" i="2"/>
  <c r="L61" i="9"/>
  <c r="S60" i="9"/>
  <c r="T60" i="9" s="1"/>
  <c r="P60" i="9" s="1"/>
  <c r="B61" i="9"/>
  <c r="I60" i="9"/>
  <c r="J60" i="9" s="1"/>
  <c r="B15" i="32"/>
  <c r="I14" i="32"/>
  <c r="J14" i="32" s="1"/>
  <c r="L61" i="32"/>
  <c r="S60" i="32"/>
  <c r="T60" i="32" s="1"/>
  <c r="P60" i="32" s="1"/>
  <c r="FB26" i="2"/>
  <c r="FA41" i="2"/>
  <c r="FA87" i="2" s="1"/>
  <c r="FB29" i="2"/>
  <c r="FC27" i="2"/>
  <c r="FD13" i="2"/>
  <c r="FD196" i="2" s="1"/>
  <c r="FC30" i="2"/>
  <c r="FC25" i="2"/>
  <c r="FC14" i="2"/>
  <c r="FC28" i="2"/>
  <c r="FC108" i="2"/>
  <c r="FC23" i="2"/>
  <c r="FC109" i="2"/>
  <c r="FC185" i="2" s="1"/>
  <c r="FC85" i="2"/>
  <c r="FC174" i="2" s="1"/>
  <c r="FC110" i="2"/>
  <c r="FC170" i="2"/>
  <c r="FC107" i="2"/>
  <c r="FC151" i="2"/>
  <c r="FC146" i="2"/>
  <c r="FB186" i="2"/>
  <c r="EY80" i="2"/>
  <c r="FB44" i="2"/>
  <c r="FB46" i="2" s="1"/>
  <c r="FB48" i="2"/>
  <c r="FC45" i="2"/>
  <c r="FD15" i="2"/>
  <c r="FC131" i="2"/>
  <c r="FC154" i="2"/>
  <c r="FB41" i="2"/>
  <c r="EV111" i="2"/>
  <c r="EV90" i="2"/>
  <c r="EZ87" i="2"/>
  <c r="C240" i="9"/>
  <c r="FC184" i="2" l="1"/>
  <c r="FD24" i="2"/>
  <c r="FD161" i="2"/>
  <c r="FE15" i="2"/>
  <c r="FE154" i="2" s="1"/>
  <c r="FD162" i="2"/>
  <c r="FD163" i="2"/>
  <c r="FC164" i="2"/>
  <c r="FC181" i="2" s="1"/>
  <c r="FE13" i="2"/>
  <c r="FD138" i="2"/>
  <c r="FD140" i="2"/>
  <c r="FD139" i="2"/>
  <c r="FC155" i="2"/>
  <c r="FC157" i="2" s="1"/>
  <c r="EZ80" i="2"/>
  <c r="EZ92" i="2" s="1"/>
  <c r="EX111" i="2"/>
  <c r="L62" i="32"/>
  <c r="S61" i="32"/>
  <c r="T61" i="32" s="1"/>
  <c r="P61" i="32" s="1"/>
  <c r="B16" i="32"/>
  <c r="I15" i="32"/>
  <c r="J15" i="32" s="1"/>
  <c r="I61" i="9"/>
  <c r="J61" i="9" s="1"/>
  <c r="B62" i="9"/>
  <c r="L62" i="9"/>
  <c r="S61" i="9"/>
  <c r="T61" i="9" s="1"/>
  <c r="P61" i="9" s="1"/>
  <c r="FF15" i="2"/>
  <c r="FE45" i="2"/>
  <c r="FE48" i="2" s="1"/>
  <c r="FC26" i="2"/>
  <c r="FC186" i="2"/>
  <c r="FC48" i="2"/>
  <c r="FC44" i="2"/>
  <c r="FC46" i="2" s="1"/>
  <c r="FB87" i="2"/>
  <c r="EZ106" i="2"/>
  <c r="FD45" i="2"/>
  <c r="FD131" i="2"/>
  <c r="FD154" i="2"/>
  <c r="FA106" i="2"/>
  <c r="FD23" i="2"/>
  <c r="FD27" i="2"/>
  <c r="FD30" i="2"/>
  <c r="FD25" i="2"/>
  <c r="FD14" i="2"/>
  <c r="FD28" i="2"/>
  <c r="FD110" i="2"/>
  <c r="FD107" i="2"/>
  <c r="FD85" i="2"/>
  <c r="FD108" i="2"/>
  <c r="FD109" i="2"/>
  <c r="FD185" i="2" s="1"/>
  <c r="FD170" i="2"/>
  <c r="FD146" i="2"/>
  <c r="FD151" i="2"/>
  <c r="EY88" i="2"/>
  <c r="EY100" i="2"/>
  <c r="EY177" i="2"/>
  <c r="EY92" i="2"/>
  <c r="EY89" i="2"/>
  <c r="FC29" i="2"/>
  <c r="C241" i="9"/>
  <c r="FE161" i="2" l="1"/>
  <c r="FE196" i="2"/>
  <c r="FD184" i="2"/>
  <c r="FF163" i="2"/>
  <c r="FF162" i="2"/>
  <c r="FD164" i="2"/>
  <c r="FD181" i="2" s="1"/>
  <c r="FE162" i="2"/>
  <c r="FE163" i="2"/>
  <c r="FE131" i="2"/>
  <c r="FE107" i="2"/>
  <c r="FE24" i="2"/>
  <c r="FE30" i="2"/>
  <c r="FE109" i="2"/>
  <c r="FE185" i="2" s="1"/>
  <c r="FE14" i="2"/>
  <c r="FE108" i="2"/>
  <c r="FE170" i="2"/>
  <c r="FE25" i="2"/>
  <c r="FE85" i="2"/>
  <c r="FE174" i="2" s="1"/>
  <c r="FE28" i="2"/>
  <c r="FE27" i="2"/>
  <c r="FF13" i="2"/>
  <c r="FE151" i="2"/>
  <c r="FE110" i="2"/>
  <c r="FE23" i="2"/>
  <c r="FE146" i="2"/>
  <c r="FD155" i="2"/>
  <c r="FD157" i="2" s="1"/>
  <c r="FE155" i="2"/>
  <c r="FE157" i="2" s="1"/>
  <c r="FE138" i="2"/>
  <c r="FE139" i="2"/>
  <c r="FE140" i="2"/>
  <c r="EZ100" i="2"/>
  <c r="FC41" i="2"/>
  <c r="FC87" i="2" s="1"/>
  <c r="EZ89" i="2"/>
  <c r="EZ177" i="2"/>
  <c r="EZ88" i="2"/>
  <c r="FA80" i="2"/>
  <c r="FA89" i="2" s="1"/>
  <c r="FE44" i="2"/>
  <c r="FE46" i="2" s="1"/>
  <c r="L63" i="9"/>
  <c r="S62" i="9"/>
  <c r="T62" i="9" s="1"/>
  <c r="P62" i="9" s="1"/>
  <c r="I62" i="9"/>
  <c r="J62" i="9" s="1"/>
  <c r="B63" i="9"/>
  <c r="B17" i="32"/>
  <c r="I16" i="32"/>
  <c r="J16" i="32" s="1"/>
  <c r="L63" i="32"/>
  <c r="S62" i="32"/>
  <c r="T62" i="32" s="1"/>
  <c r="P62" i="32" s="1"/>
  <c r="FF131" i="2"/>
  <c r="FF154" i="2"/>
  <c r="FG15" i="2"/>
  <c r="FF45" i="2"/>
  <c r="FD174" i="2"/>
  <c r="FD186" i="2"/>
  <c r="EY111" i="2"/>
  <c r="EY90" i="2"/>
  <c r="FD29" i="2"/>
  <c r="FD26" i="2"/>
  <c r="FB106" i="2"/>
  <c r="FD48" i="2"/>
  <c r="FD44" i="2"/>
  <c r="FD46" i="2" s="1"/>
  <c r="C242" i="9"/>
  <c r="FF161" i="2" l="1"/>
  <c r="FF196" i="2"/>
  <c r="FE184" i="2"/>
  <c r="FF164" i="2"/>
  <c r="FF181" i="2" s="1"/>
  <c r="FE164" i="2"/>
  <c r="FE181" i="2" s="1"/>
  <c r="FG162" i="2"/>
  <c r="FG163" i="2"/>
  <c r="FF146" i="2"/>
  <c r="FF23" i="2"/>
  <c r="FF25" i="2"/>
  <c r="FG13" i="2"/>
  <c r="FG196" i="2" s="1"/>
  <c r="FF140" i="2"/>
  <c r="FF138" i="2"/>
  <c r="FF24" i="2"/>
  <c r="FE186" i="2"/>
  <c r="FF27" i="2"/>
  <c r="FF108" i="2"/>
  <c r="FF14" i="2"/>
  <c r="FF85" i="2"/>
  <c r="FF174" i="2" s="1"/>
  <c r="FF107" i="2"/>
  <c r="FF139" i="2"/>
  <c r="FF151" i="2"/>
  <c r="FF28" i="2"/>
  <c r="FF110" i="2"/>
  <c r="FF109" i="2"/>
  <c r="FF185" i="2" s="1"/>
  <c r="FF30" i="2"/>
  <c r="FF170" i="2"/>
  <c r="FE29" i="2"/>
  <c r="FE26" i="2"/>
  <c r="FF155" i="2"/>
  <c r="FF157" i="2" s="1"/>
  <c r="EZ111" i="2"/>
  <c r="EZ90" i="2"/>
  <c r="FA177" i="2"/>
  <c r="FA88" i="2"/>
  <c r="FA90" i="2" s="1"/>
  <c r="FA100" i="2"/>
  <c r="FA92" i="2"/>
  <c r="S63" i="32"/>
  <c r="T63" i="32" s="1"/>
  <c r="P63" i="32" s="1"/>
  <c r="L64" i="32"/>
  <c r="I17" i="32"/>
  <c r="J17" i="32" s="1"/>
  <c r="B18" i="32"/>
  <c r="I63" i="9"/>
  <c r="J63" i="9" s="1"/>
  <c r="B64" i="9"/>
  <c r="S63" i="9"/>
  <c r="T63" i="9" s="1"/>
  <c r="P63" i="9" s="1"/>
  <c r="L64" i="9"/>
  <c r="FF44" i="2"/>
  <c r="FF46" i="2" s="1"/>
  <c r="FF48" i="2"/>
  <c r="FG131" i="2"/>
  <c r="FG154" i="2"/>
  <c r="FH15" i="2"/>
  <c r="FG45" i="2"/>
  <c r="FE41" i="2"/>
  <c r="FD41" i="2"/>
  <c r="FD87" i="2" s="1"/>
  <c r="FC106" i="2"/>
  <c r="C243" i="9"/>
  <c r="FF29" i="2" l="1"/>
  <c r="FF184" i="2"/>
  <c r="FG24" i="2"/>
  <c r="FG161" i="2"/>
  <c r="FG164" i="2" s="1"/>
  <c r="FG181" i="2" s="1"/>
  <c r="FG14" i="2"/>
  <c r="FG25" i="2"/>
  <c r="FH162" i="2"/>
  <c r="FH163" i="2"/>
  <c r="FG109" i="2"/>
  <c r="FG185" i="2" s="1"/>
  <c r="FG85" i="2"/>
  <c r="FG174" i="2" s="1"/>
  <c r="FG139" i="2"/>
  <c r="FG138" i="2"/>
  <c r="FG108" i="2"/>
  <c r="FG151" i="2"/>
  <c r="FG146" i="2"/>
  <c r="FG23" i="2"/>
  <c r="FG140" i="2"/>
  <c r="FG170" i="2"/>
  <c r="FG27" i="2"/>
  <c r="FG28" i="2"/>
  <c r="FH13" i="2"/>
  <c r="FH196" i="2" s="1"/>
  <c r="FG30" i="2"/>
  <c r="FG107" i="2"/>
  <c r="FG110" i="2"/>
  <c r="FF26" i="2"/>
  <c r="FF186" i="2"/>
  <c r="FG155" i="2"/>
  <c r="FG157" i="2" s="1"/>
  <c r="FA111" i="2"/>
  <c r="FC80" i="2"/>
  <c r="FC92" i="2" s="1"/>
  <c r="L65" i="9"/>
  <c r="S64" i="9"/>
  <c r="T64" i="9" s="1"/>
  <c r="P64" i="9" s="1"/>
  <c r="B65" i="9"/>
  <c r="I64" i="9"/>
  <c r="J64" i="9" s="1"/>
  <c r="B19" i="32"/>
  <c r="I18" i="32"/>
  <c r="J18" i="32" s="1"/>
  <c r="L65" i="32"/>
  <c r="S64" i="32"/>
  <c r="T64" i="32" s="1"/>
  <c r="P64" i="32" s="1"/>
  <c r="FG48" i="2"/>
  <c r="FG44" i="2"/>
  <c r="FG46" i="2" s="1"/>
  <c r="FI15" i="2"/>
  <c r="FH45" i="2"/>
  <c r="FH131" i="2"/>
  <c r="FH154" i="2"/>
  <c r="FE87" i="2"/>
  <c r="FG34" i="2"/>
  <c r="FF41" i="2"/>
  <c r="FD106" i="2"/>
  <c r="C244" i="9"/>
  <c r="FG26" i="2" l="1"/>
  <c r="FG184" i="2"/>
  <c r="FH24" i="2"/>
  <c r="FH161" i="2"/>
  <c r="FH164" i="2" s="1"/>
  <c r="FH181" i="2" s="1"/>
  <c r="FJ15" i="2"/>
  <c r="FK15" i="2" s="1"/>
  <c r="FI163" i="2"/>
  <c r="FI162" i="2"/>
  <c r="FH146" i="2"/>
  <c r="FG186" i="2"/>
  <c r="FH110" i="2"/>
  <c r="FH85" i="2"/>
  <c r="FH174" i="2" s="1"/>
  <c r="FH107" i="2"/>
  <c r="FG29" i="2"/>
  <c r="FH30" i="2"/>
  <c r="FH140" i="2"/>
  <c r="FH23" i="2"/>
  <c r="FH109" i="2"/>
  <c r="FH185" i="2" s="1"/>
  <c r="FH139" i="2"/>
  <c r="FH170" i="2"/>
  <c r="FH25" i="2"/>
  <c r="FI13" i="2"/>
  <c r="FI196" i="2" s="1"/>
  <c r="FH28" i="2"/>
  <c r="FH151" i="2"/>
  <c r="FH27" i="2"/>
  <c r="FH138" i="2"/>
  <c r="FH14" i="2"/>
  <c r="FH108" i="2"/>
  <c r="FH155" i="2"/>
  <c r="FH157" i="2" s="1"/>
  <c r="FC177" i="2"/>
  <c r="FC100" i="2"/>
  <c r="FC88" i="2"/>
  <c r="FC89" i="2"/>
  <c r="FE80" i="2"/>
  <c r="FE89" i="2" s="1"/>
  <c r="FD80" i="2"/>
  <c r="FD89" i="2" s="1"/>
  <c r="S65" i="32"/>
  <c r="T65" i="32" s="1"/>
  <c r="P65" i="32" s="1"/>
  <c r="L66" i="32"/>
  <c r="I19" i="32"/>
  <c r="J19" i="32" s="1"/>
  <c r="B20" i="32"/>
  <c r="B66" i="9"/>
  <c r="I65" i="9"/>
  <c r="J65" i="9" s="1"/>
  <c r="S65" i="9"/>
  <c r="T65" i="9" s="1"/>
  <c r="P65" i="9" s="1"/>
  <c r="L66" i="9"/>
  <c r="FJ45" i="2"/>
  <c r="FJ48" i="2" s="1"/>
  <c r="FJ131" i="2"/>
  <c r="FI154" i="2"/>
  <c r="FI131" i="2"/>
  <c r="FI45" i="2"/>
  <c r="FH41" i="2"/>
  <c r="FH87" i="2" s="1"/>
  <c r="FE106" i="2"/>
  <c r="FF87" i="2"/>
  <c r="FH44" i="2"/>
  <c r="FH48" i="2"/>
  <c r="FG41" i="2"/>
  <c r="C245" i="9"/>
  <c r="FI108" i="2" l="1"/>
  <c r="FJ154" i="2"/>
  <c r="FH184" i="2"/>
  <c r="FI24" i="2"/>
  <c r="FI161" i="2"/>
  <c r="FI164" i="2" s="1"/>
  <c r="FI181" i="2" s="1"/>
  <c r="FH29" i="2"/>
  <c r="FK162" i="2"/>
  <c r="FK163" i="2"/>
  <c r="FJ163" i="2"/>
  <c r="FJ162" i="2"/>
  <c r="FI27" i="2"/>
  <c r="FI109" i="2"/>
  <c r="FI185" i="2" s="1"/>
  <c r="FI151" i="2"/>
  <c r="FH26" i="2"/>
  <c r="FH186" i="2"/>
  <c r="FI139" i="2"/>
  <c r="FI140" i="2"/>
  <c r="FI25" i="2"/>
  <c r="FI28" i="2"/>
  <c r="FI107" i="2"/>
  <c r="FI170" i="2"/>
  <c r="FI138" i="2"/>
  <c r="FI23" i="2"/>
  <c r="FI110" i="2"/>
  <c r="FI85" i="2"/>
  <c r="FI174" i="2" s="1"/>
  <c r="FI146" i="2"/>
  <c r="FI14" i="2"/>
  <c r="FI30" i="2"/>
  <c r="FJ13" i="2"/>
  <c r="FJ155" i="2"/>
  <c r="FJ157" i="2" s="1"/>
  <c r="FI155" i="2"/>
  <c r="FI157" i="2" s="1"/>
  <c r="FD92" i="2"/>
  <c r="FD100" i="2"/>
  <c r="FC111" i="2"/>
  <c r="FD88" i="2"/>
  <c r="FD90" i="2" s="1"/>
  <c r="FC90" i="2"/>
  <c r="FD177" i="2"/>
  <c r="FE100" i="2"/>
  <c r="FE177" i="2"/>
  <c r="FE88" i="2"/>
  <c r="FE92" i="2"/>
  <c r="FJ44" i="2"/>
  <c r="FJ46" i="2" s="1"/>
  <c r="S66" i="9"/>
  <c r="T66" i="9" s="1"/>
  <c r="P66" i="9" s="1"/>
  <c r="L67" i="9"/>
  <c r="I66" i="9"/>
  <c r="J66" i="9" s="1"/>
  <c r="B67" i="9"/>
  <c r="B21" i="32"/>
  <c r="I20" i="32"/>
  <c r="J20" i="32" s="1"/>
  <c r="S66" i="32"/>
  <c r="T66" i="32" s="1"/>
  <c r="P66" i="32" s="1"/>
  <c r="L67" i="32"/>
  <c r="FK154" i="2"/>
  <c r="FK131" i="2"/>
  <c r="FL15" i="2"/>
  <c r="FK45" i="2"/>
  <c r="FH46" i="2"/>
  <c r="FG87" i="2"/>
  <c r="FF106" i="2"/>
  <c r="FH106" i="2"/>
  <c r="FI34" i="2"/>
  <c r="FI48" i="2"/>
  <c r="FI44" i="2"/>
  <c r="FI46" i="2" s="1"/>
  <c r="C246" i="9"/>
  <c r="FJ108" i="2" l="1"/>
  <c r="FJ196" i="2"/>
  <c r="FI184" i="2"/>
  <c r="FJ109" i="2"/>
  <c r="FJ185" i="2" s="1"/>
  <c r="FJ161" i="2"/>
  <c r="FJ164" i="2" s="1"/>
  <c r="FJ181" i="2" s="1"/>
  <c r="FL162" i="2"/>
  <c r="FL163" i="2"/>
  <c r="FI186" i="2"/>
  <c r="FI29" i="2"/>
  <c r="FI26" i="2"/>
  <c r="FJ27" i="2"/>
  <c r="FJ30" i="2"/>
  <c r="FJ170" i="2"/>
  <c r="FJ139" i="2"/>
  <c r="FJ140" i="2"/>
  <c r="FK13" i="2"/>
  <c r="FK196" i="2" s="1"/>
  <c r="FJ146" i="2"/>
  <c r="FJ85" i="2"/>
  <c r="FJ174" i="2" s="1"/>
  <c r="FJ25" i="2"/>
  <c r="FJ107" i="2"/>
  <c r="FJ110" i="2"/>
  <c r="FJ151" i="2"/>
  <c r="FJ138" i="2"/>
  <c r="FJ28" i="2"/>
  <c r="FJ24" i="2"/>
  <c r="FJ23" i="2"/>
  <c r="FJ41" i="2"/>
  <c r="FJ14" i="2"/>
  <c r="FK155" i="2"/>
  <c r="FK157" i="2" s="1"/>
  <c r="FD111" i="2"/>
  <c r="FE111" i="2"/>
  <c r="FE90" i="2"/>
  <c r="L68" i="32"/>
  <c r="S67" i="32"/>
  <c r="T67" i="32" s="1"/>
  <c r="P67" i="32" s="1"/>
  <c r="I21" i="32"/>
  <c r="J21" i="32" s="1"/>
  <c r="B22" i="32"/>
  <c r="B68" i="9"/>
  <c r="I67" i="9"/>
  <c r="J67" i="9" s="1"/>
  <c r="S67" i="9"/>
  <c r="T67" i="9" s="1"/>
  <c r="P67" i="9" s="1"/>
  <c r="L68" i="9"/>
  <c r="FK44" i="2"/>
  <c r="FK46" i="2" s="1"/>
  <c r="FK48" i="2"/>
  <c r="FL45" i="2"/>
  <c r="FL131" i="2"/>
  <c r="FM15" i="2"/>
  <c r="FL154" i="2"/>
  <c r="FJ87" i="2"/>
  <c r="FG106" i="2"/>
  <c r="FI41" i="2"/>
  <c r="C247" i="9"/>
  <c r="FJ184" i="2" l="1"/>
  <c r="FJ26" i="2"/>
  <c r="FK139" i="2"/>
  <c r="FK161" i="2"/>
  <c r="FK164" i="2" s="1"/>
  <c r="FK181" i="2" s="1"/>
  <c r="FM162" i="2"/>
  <c r="FM163" i="2"/>
  <c r="FJ29" i="2"/>
  <c r="FJ186" i="2"/>
  <c r="FK138" i="2"/>
  <c r="FK24" i="2"/>
  <c r="FK109" i="2"/>
  <c r="FK185" i="2" s="1"/>
  <c r="FL13" i="2"/>
  <c r="FL196" i="2" s="1"/>
  <c r="FK25" i="2"/>
  <c r="FK23" i="2"/>
  <c r="FK110" i="2"/>
  <c r="FK14" i="2"/>
  <c r="FK170" i="2"/>
  <c r="FK146" i="2"/>
  <c r="FK108" i="2"/>
  <c r="FK28" i="2"/>
  <c r="FK30" i="2"/>
  <c r="FK151" i="2"/>
  <c r="FK107" i="2"/>
  <c r="FK27" i="2"/>
  <c r="FK85" i="2"/>
  <c r="FK174" i="2" s="1"/>
  <c r="FK140" i="2"/>
  <c r="FL155" i="2"/>
  <c r="FL157" i="2" s="1"/>
  <c r="L69" i="9"/>
  <c r="S68" i="9"/>
  <c r="T68" i="9" s="1"/>
  <c r="P68" i="9" s="1"/>
  <c r="B69" i="9"/>
  <c r="I68" i="9"/>
  <c r="J68" i="9" s="1"/>
  <c r="B23" i="32"/>
  <c r="I22" i="32"/>
  <c r="J22" i="32" s="1"/>
  <c r="L69" i="32"/>
  <c r="S68" i="32"/>
  <c r="T68" i="32" s="1"/>
  <c r="P68" i="32" s="1"/>
  <c r="FK87" i="2"/>
  <c r="FJ106" i="2"/>
  <c r="FM131" i="2"/>
  <c r="FM45" i="2"/>
  <c r="FM154" i="2"/>
  <c r="FN15" i="2"/>
  <c r="FL44" i="2"/>
  <c r="FL46" i="2" s="1"/>
  <c r="FL48" i="2"/>
  <c r="FI87" i="2"/>
  <c r="C248" i="9"/>
  <c r="FK184" i="2" l="1"/>
  <c r="FL41" i="2"/>
  <c r="FL161" i="2"/>
  <c r="FL164" i="2" s="1"/>
  <c r="FL181" i="2" s="1"/>
  <c r="FN163" i="2"/>
  <c r="FN162" i="2"/>
  <c r="FK29" i="2"/>
  <c r="FK186" i="2"/>
  <c r="FK26" i="2"/>
  <c r="FK41" i="2" s="1"/>
  <c r="FL24" i="2"/>
  <c r="FL140" i="2"/>
  <c r="FL109" i="2"/>
  <c r="FL185" i="2" s="1"/>
  <c r="FL23" i="2"/>
  <c r="FL85" i="2"/>
  <c r="FL174" i="2" s="1"/>
  <c r="FL170" i="2"/>
  <c r="FL107" i="2"/>
  <c r="FL138" i="2"/>
  <c r="FL139" i="2"/>
  <c r="FL27" i="2"/>
  <c r="FL151" i="2"/>
  <c r="FL30" i="2"/>
  <c r="FL25" i="2"/>
  <c r="FL108" i="2"/>
  <c r="FM13" i="2"/>
  <c r="FL146" i="2"/>
  <c r="FL110" i="2"/>
  <c r="FL14" i="2"/>
  <c r="FL28" i="2"/>
  <c r="FM155" i="2"/>
  <c r="FM157" i="2" s="1"/>
  <c r="FI80" i="2"/>
  <c r="FI92" i="2" s="1"/>
  <c r="FJ80" i="2"/>
  <c r="FJ89" i="2" s="1"/>
  <c r="S69" i="32"/>
  <c r="T69" i="32" s="1"/>
  <c r="P69" i="32" s="1"/>
  <c r="L70" i="32"/>
  <c r="I23" i="32"/>
  <c r="J23" i="32" s="1"/>
  <c r="B24" i="32"/>
  <c r="I69" i="9"/>
  <c r="J69" i="9" s="1"/>
  <c r="B70" i="9"/>
  <c r="L70" i="9"/>
  <c r="S69" i="9"/>
  <c r="T69" i="9" s="1"/>
  <c r="P69" i="9" s="1"/>
  <c r="FM44" i="2"/>
  <c r="FM46" i="2" s="1"/>
  <c r="FM48" i="2"/>
  <c r="FN154" i="2"/>
  <c r="FO15" i="2"/>
  <c r="FN45" i="2"/>
  <c r="FN131" i="2"/>
  <c r="FL87" i="2"/>
  <c r="FK106" i="2"/>
  <c r="FI106" i="2"/>
  <c r="FH80" i="2"/>
  <c r="C249" i="9"/>
  <c r="FM161" i="2" l="1"/>
  <c r="FM164" i="2" s="1"/>
  <c r="FM181" i="2" s="1"/>
  <c r="FM196" i="2"/>
  <c r="FL184" i="2"/>
  <c r="FO162" i="2"/>
  <c r="FO163" i="2"/>
  <c r="FL186" i="2"/>
  <c r="FL29" i="2"/>
  <c r="FL26" i="2"/>
  <c r="FM24" i="2"/>
  <c r="FM139" i="2"/>
  <c r="FM110" i="2"/>
  <c r="FM151" i="2"/>
  <c r="FN13" i="2"/>
  <c r="FM170" i="2"/>
  <c r="FM140" i="2"/>
  <c r="FM107" i="2"/>
  <c r="FM27" i="2"/>
  <c r="FM85" i="2"/>
  <c r="FM174" i="2" s="1"/>
  <c r="FM109" i="2"/>
  <c r="FM185" i="2" s="1"/>
  <c r="FM25" i="2"/>
  <c r="FM28" i="2"/>
  <c r="FM14" i="2"/>
  <c r="FM30" i="2"/>
  <c r="FM23" i="2"/>
  <c r="FM108" i="2"/>
  <c r="FM146" i="2"/>
  <c r="FM138" i="2"/>
  <c r="FN155" i="2"/>
  <c r="FN157" i="2" s="1"/>
  <c r="FI88" i="2"/>
  <c r="FI177" i="2"/>
  <c r="FI100" i="2"/>
  <c r="FI89" i="2"/>
  <c r="FJ100" i="2"/>
  <c r="FJ88" i="2"/>
  <c r="FJ90" i="2" s="1"/>
  <c r="FJ177" i="2"/>
  <c r="FJ92" i="2"/>
  <c r="FK80" i="2"/>
  <c r="FK88" i="2" s="1"/>
  <c r="L71" i="9"/>
  <c r="S70" i="9"/>
  <c r="T70" i="9" s="1"/>
  <c r="P70" i="9" s="1"/>
  <c r="B71" i="9"/>
  <c r="I70" i="9"/>
  <c r="J70" i="9" s="1"/>
  <c r="I24" i="32"/>
  <c r="J24" i="32" s="1"/>
  <c r="B25" i="32"/>
  <c r="L71" i="32"/>
  <c r="S70" i="32"/>
  <c r="T70" i="32" s="1"/>
  <c r="P70" i="32" s="1"/>
  <c r="FL106" i="2"/>
  <c r="FN48" i="2"/>
  <c r="FN44" i="2"/>
  <c r="FN46" i="2" s="1"/>
  <c r="FM41" i="2"/>
  <c r="FP15" i="2"/>
  <c r="FO45" i="2"/>
  <c r="FO131" i="2"/>
  <c r="FO154" i="2"/>
  <c r="FH92" i="2"/>
  <c r="FH88" i="2"/>
  <c r="FH100" i="2"/>
  <c r="FH177" i="2"/>
  <c r="FH89" i="2"/>
  <c r="C250" i="9"/>
  <c r="FN161" i="2" l="1"/>
  <c r="FN164" i="2" s="1"/>
  <c r="FN181" i="2" s="1"/>
  <c r="FN196" i="2"/>
  <c r="FM184" i="2"/>
  <c r="FP162" i="2"/>
  <c r="FP163" i="2"/>
  <c r="FM29" i="2"/>
  <c r="FN24" i="2"/>
  <c r="FN30" i="2"/>
  <c r="FN14" i="2"/>
  <c r="FN170" i="2"/>
  <c r="FN108" i="2"/>
  <c r="FN25" i="2"/>
  <c r="FN27" i="2"/>
  <c r="FN23" i="2"/>
  <c r="FN85" i="2"/>
  <c r="FN174" i="2" s="1"/>
  <c r="FN110" i="2"/>
  <c r="FN146" i="2"/>
  <c r="FN28" i="2"/>
  <c r="FN151" i="2"/>
  <c r="FN140" i="2"/>
  <c r="FO13" i="2"/>
  <c r="FN109" i="2"/>
  <c r="FN185" i="2" s="1"/>
  <c r="FN138" i="2"/>
  <c r="FN107" i="2"/>
  <c r="FN139" i="2"/>
  <c r="FM26" i="2"/>
  <c r="FM186" i="2"/>
  <c r="FO155" i="2"/>
  <c r="FO157" i="2" s="1"/>
  <c r="FI111" i="2"/>
  <c r="FI90" i="2"/>
  <c r="FL80" i="2"/>
  <c r="FL92" i="2" s="1"/>
  <c r="FK92" i="2"/>
  <c r="FK100" i="2"/>
  <c r="FK177" i="2"/>
  <c r="FK89" i="2"/>
  <c r="FK90" i="2" s="1"/>
  <c r="FJ111" i="2"/>
  <c r="S71" i="32"/>
  <c r="T71" i="32" s="1"/>
  <c r="P71" i="32" s="1"/>
  <c r="L72" i="32"/>
  <c r="I25" i="32"/>
  <c r="J25" i="32" s="1"/>
  <c r="B26" i="32"/>
  <c r="B72" i="9"/>
  <c r="I71" i="9"/>
  <c r="J71" i="9" s="1"/>
  <c r="S71" i="9"/>
  <c r="T71" i="9" s="1"/>
  <c r="P71" i="9" s="1"/>
  <c r="L72" i="9"/>
  <c r="FO44" i="2"/>
  <c r="FO46" i="2" s="1"/>
  <c r="FO48" i="2"/>
  <c r="FM87" i="2"/>
  <c r="FK111" i="2"/>
  <c r="FN41" i="2"/>
  <c r="FP154" i="2"/>
  <c r="FP131" i="2"/>
  <c r="FQ15" i="2"/>
  <c r="FP45" i="2"/>
  <c r="FH90" i="2"/>
  <c r="FH111" i="2"/>
  <c r="C251" i="9"/>
  <c r="FO161" i="2" l="1"/>
  <c r="FO164" i="2" s="1"/>
  <c r="FO181" i="2" s="1"/>
  <c r="FO196" i="2"/>
  <c r="FN184" i="2"/>
  <c r="FQ163" i="2"/>
  <c r="FQ162" i="2"/>
  <c r="FN29" i="2"/>
  <c r="FN186" i="2"/>
  <c r="FO24" i="2"/>
  <c r="FO14" i="2"/>
  <c r="FO146" i="2"/>
  <c r="FO107" i="2"/>
  <c r="FO23" i="2"/>
  <c r="FO138" i="2"/>
  <c r="FO27" i="2"/>
  <c r="FO110" i="2"/>
  <c r="FO170" i="2"/>
  <c r="FO109" i="2"/>
  <c r="FO185" i="2" s="1"/>
  <c r="FO108" i="2"/>
  <c r="FO140" i="2"/>
  <c r="FO28" i="2"/>
  <c r="FO25" i="2"/>
  <c r="FO85" i="2"/>
  <c r="FO174" i="2" s="1"/>
  <c r="FO30" i="2"/>
  <c r="FO139" i="2"/>
  <c r="FP13" i="2"/>
  <c r="FO151" i="2"/>
  <c r="FN26" i="2"/>
  <c r="FP155" i="2"/>
  <c r="FP157" i="2" s="1"/>
  <c r="FL100" i="2"/>
  <c r="FL88" i="2"/>
  <c r="FL111" i="2" s="1"/>
  <c r="FL89" i="2"/>
  <c r="FL177" i="2"/>
  <c r="FM80" i="2"/>
  <c r="FM92" i="2" s="1"/>
  <c r="L73" i="9"/>
  <c r="S72" i="9"/>
  <c r="T72" i="9" s="1"/>
  <c r="P72" i="9" s="1"/>
  <c r="I72" i="9"/>
  <c r="J72" i="9" s="1"/>
  <c r="B73" i="9"/>
  <c r="I26" i="32"/>
  <c r="J26" i="32" s="1"/>
  <c r="B27" i="32"/>
  <c r="L73" i="32"/>
  <c r="S72" i="32"/>
  <c r="T72" i="32" s="1"/>
  <c r="P72" i="32" s="1"/>
  <c r="FP44" i="2"/>
  <c r="FP46" i="2" s="1"/>
  <c r="FP48" i="2"/>
  <c r="FM106" i="2"/>
  <c r="FQ131" i="2"/>
  <c r="FR15" i="2"/>
  <c r="FQ45" i="2"/>
  <c r="FQ154" i="2"/>
  <c r="FN87" i="2"/>
  <c r="FO41" i="2"/>
  <c r="C252" i="9"/>
  <c r="FP161" i="2" l="1"/>
  <c r="FP164" i="2" s="1"/>
  <c r="FP181" i="2" s="1"/>
  <c r="FP196" i="2"/>
  <c r="FO184" i="2"/>
  <c r="FR163" i="2"/>
  <c r="FR162" i="2"/>
  <c r="FO186" i="2"/>
  <c r="FP24" i="2"/>
  <c r="FP107" i="2"/>
  <c r="FP110" i="2"/>
  <c r="FP85" i="2"/>
  <c r="FP174" i="2" s="1"/>
  <c r="FP108" i="2"/>
  <c r="FP14" i="2"/>
  <c r="FP27" i="2"/>
  <c r="FP140" i="2"/>
  <c r="FP28" i="2"/>
  <c r="FP23" i="2"/>
  <c r="FP170" i="2"/>
  <c r="FP109" i="2"/>
  <c r="FP185" i="2" s="1"/>
  <c r="FP146" i="2"/>
  <c r="FP151" i="2"/>
  <c r="FP138" i="2"/>
  <c r="FQ13" i="2"/>
  <c r="FQ41" i="2" s="1"/>
  <c r="FP139" i="2"/>
  <c r="FP30" i="2"/>
  <c r="FP25" i="2"/>
  <c r="FO26" i="2"/>
  <c r="FO29" i="2"/>
  <c r="FQ155" i="2"/>
  <c r="FQ157" i="2" s="1"/>
  <c r="FL90" i="2"/>
  <c r="FN80" i="2"/>
  <c r="FN177" i="2" s="1"/>
  <c r="FM88" i="2"/>
  <c r="FM111" i="2" s="1"/>
  <c r="FM100" i="2"/>
  <c r="FM177" i="2"/>
  <c r="FM89" i="2"/>
  <c r="S73" i="32"/>
  <c r="T73" i="32" s="1"/>
  <c r="P73" i="32" s="1"/>
  <c r="L74" i="32"/>
  <c r="B28" i="32"/>
  <c r="I27" i="32"/>
  <c r="J27" i="32" s="1"/>
  <c r="B74" i="9"/>
  <c r="I73" i="9"/>
  <c r="J73" i="9" s="1"/>
  <c r="S73" i="9"/>
  <c r="T73" i="9" s="1"/>
  <c r="P73" i="9" s="1"/>
  <c r="L74" i="9"/>
  <c r="FQ48" i="2"/>
  <c r="FQ44" i="2"/>
  <c r="FQ46" i="2" s="1"/>
  <c r="FR131" i="2"/>
  <c r="FS15" i="2"/>
  <c r="FR45" i="2"/>
  <c r="FR154" i="2"/>
  <c r="FP87" i="2"/>
  <c r="FO87" i="2"/>
  <c r="FN106" i="2"/>
  <c r="C253" i="9"/>
  <c r="FQ161" i="2" l="1"/>
  <c r="FQ164" i="2" s="1"/>
  <c r="FQ181" i="2" s="1"/>
  <c r="FQ196" i="2"/>
  <c r="FP184" i="2"/>
  <c r="FS162" i="2"/>
  <c r="FS163" i="2"/>
  <c r="FP186" i="2"/>
  <c r="FP29" i="2"/>
  <c r="FQ24" i="2"/>
  <c r="FQ110" i="2"/>
  <c r="FQ14" i="2"/>
  <c r="FQ151" i="2"/>
  <c r="FQ28" i="2"/>
  <c r="FQ85" i="2"/>
  <c r="FQ174" i="2" s="1"/>
  <c r="FQ138" i="2"/>
  <c r="FQ107" i="2"/>
  <c r="FQ109" i="2"/>
  <c r="FQ185" i="2" s="1"/>
  <c r="FQ170" i="2"/>
  <c r="FQ25" i="2"/>
  <c r="FQ108" i="2"/>
  <c r="FR13" i="2"/>
  <c r="FQ30" i="2"/>
  <c r="FQ140" i="2"/>
  <c r="FQ139" i="2"/>
  <c r="FQ27" i="2"/>
  <c r="FQ146" i="2"/>
  <c r="FQ23" i="2"/>
  <c r="FP26" i="2"/>
  <c r="FP41" i="2" s="1"/>
  <c r="FR155" i="2"/>
  <c r="FR157" i="2" s="1"/>
  <c r="FM55" i="2"/>
  <c r="FO65" i="2"/>
  <c r="FH61" i="2"/>
  <c r="FM33" i="2"/>
  <c r="FM34" i="2" s="1"/>
  <c r="FH59" i="2"/>
  <c r="FO66" i="2"/>
  <c r="FK59" i="2"/>
  <c r="FO68" i="2"/>
  <c r="FK69" i="2"/>
  <c r="FQ36" i="2"/>
  <c r="FQ37" i="2" s="1"/>
  <c r="FQ69" i="2"/>
  <c r="FQ72" i="2"/>
  <c r="FH33" i="2"/>
  <c r="FH34" i="2" s="1"/>
  <c r="FO59" i="2"/>
  <c r="FK36" i="2"/>
  <c r="FK37" i="2" s="1"/>
  <c r="FK39" i="2"/>
  <c r="FO56" i="2"/>
  <c r="FH65" i="2"/>
  <c r="FO70" i="2"/>
  <c r="FM36" i="2"/>
  <c r="FM37" i="2" s="1"/>
  <c r="FK56" i="2"/>
  <c r="FQ67" i="2"/>
  <c r="FQ61" i="2"/>
  <c r="FQ39" i="2"/>
  <c r="FQ101" i="2" s="1"/>
  <c r="FK70" i="2"/>
  <c r="FM70" i="2"/>
  <c r="FM54" i="2"/>
  <c r="FM68" i="2"/>
  <c r="FO33" i="2"/>
  <c r="FO34" i="2" s="1"/>
  <c r="FM39" i="2"/>
  <c r="FO69" i="2"/>
  <c r="FH56" i="2"/>
  <c r="FM66" i="2"/>
  <c r="FH36" i="2"/>
  <c r="FH37" i="2" s="1"/>
  <c r="FQ58" i="2"/>
  <c r="FH70" i="2"/>
  <c r="FM69" i="2"/>
  <c r="FK71" i="2"/>
  <c r="FH57" i="2"/>
  <c r="FK57" i="2"/>
  <c r="FK58" i="2"/>
  <c r="FO39" i="2"/>
  <c r="FM57" i="2"/>
  <c r="FO57" i="2"/>
  <c r="FK68" i="2"/>
  <c r="FQ57" i="2"/>
  <c r="FQ71" i="2"/>
  <c r="FM59" i="2"/>
  <c r="FO55" i="2"/>
  <c r="FM56" i="2"/>
  <c r="FK33" i="2"/>
  <c r="FK34" i="2" s="1"/>
  <c r="FO71" i="2"/>
  <c r="FM58" i="2"/>
  <c r="FH69" i="2"/>
  <c r="FH68" i="2"/>
  <c r="FQ66" i="2"/>
  <c r="FQ70" i="2"/>
  <c r="FK66" i="2"/>
  <c r="FO67" i="2"/>
  <c r="FM71" i="2"/>
  <c r="FO54" i="2"/>
  <c r="FK72" i="2"/>
  <c r="FH58" i="2"/>
  <c r="FK67" i="2"/>
  <c r="FH55" i="2"/>
  <c r="FK65" i="2"/>
  <c r="FQ54" i="2"/>
  <c r="FQ68" i="2"/>
  <c r="FQ56" i="2"/>
  <c r="FQ65" i="2"/>
  <c r="FM72" i="2"/>
  <c r="FO36" i="2"/>
  <c r="FO37" i="2" s="1"/>
  <c r="FK54" i="2"/>
  <c r="FO58" i="2"/>
  <c r="FM65" i="2"/>
  <c r="FM67" i="2"/>
  <c r="FK55" i="2"/>
  <c r="FK61" i="2"/>
  <c r="FM61" i="2"/>
  <c r="FQ59" i="2"/>
  <c r="FQ55" i="2"/>
  <c r="FH66" i="2"/>
  <c r="FH39" i="2"/>
  <c r="FO61" i="2"/>
  <c r="FH71" i="2"/>
  <c r="FH72" i="2"/>
  <c r="FH67" i="2"/>
  <c r="FO72" i="2"/>
  <c r="FH54" i="2"/>
  <c r="FQ33" i="2"/>
  <c r="FQ34" i="2" s="1"/>
  <c r="FM90" i="2"/>
  <c r="FN89" i="2"/>
  <c r="FN92" i="2"/>
  <c r="FN100" i="2"/>
  <c r="FN88" i="2"/>
  <c r="FN111" i="2" s="1"/>
  <c r="FO80" i="2"/>
  <c r="FO92" i="2" s="1"/>
  <c r="S74" i="9"/>
  <c r="T74" i="9" s="1"/>
  <c r="P74" i="9" s="1"/>
  <c r="L75" i="9"/>
  <c r="I74" i="9"/>
  <c r="J74" i="9" s="1"/>
  <c r="B75" i="9"/>
  <c r="B29" i="32"/>
  <c r="I28" i="32"/>
  <c r="J28" i="32" s="1"/>
  <c r="S74" i="32"/>
  <c r="T74" i="32" s="1"/>
  <c r="P74" i="32" s="1"/>
  <c r="L75" i="32"/>
  <c r="FQ87" i="2"/>
  <c r="FR44" i="2"/>
  <c r="FR46" i="2" s="1"/>
  <c r="FR48" i="2"/>
  <c r="FP106" i="2"/>
  <c r="FO106" i="2"/>
  <c r="FS55" i="2"/>
  <c r="FS58" i="2"/>
  <c r="FS67" i="2"/>
  <c r="FS54" i="2"/>
  <c r="FS56" i="2"/>
  <c r="FS72" i="2"/>
  <c r="FS131" i="2"/>
  <c r="FS57" i="2"/>
  <c r="FS33" i="2"/>
  <c r="FS154" i="2"/>
  <c r="FS61" i="2"/>
  <c r="FS59" i="2"/>
  <c r="FS65" i="2"/>
  <c r="FS66" i="2"/>
  <c r="FS69" i="2"/>
  <c r="FS45" i="2"/>
  <c r="FT15" i="2"/>
  <c r="FS68" i="2"/>
  <c r="FS36" i="2"/>
  <c r="FS39" i="2"/>
  <c r="FS101" i="2" s="1"/>
  <c r="FS71" i="2"/>
  <c r="FS70" i="2"/>
  <c r="C254" i="9"/>
  <c r="FR161" i="2" l="1"/>
  <c r="FR164" i="2" s="1"/>
  <c r="FR181" i="2" s="1"/>
  <c r="FR196" i="2"/>
  <c r="FQ184" i="2"/>
  <c r="FT162" i="2"/>
  <c r="FT163" i="2"/>
  <c r="FQ186" i="2"/>
  <c r="FQ26" i="2"/>
  <c r="FQ29" i="2"/>
  <c r="FR24" i="2"/>
  <c r="FR139" i="2"/>
  <c r="FR23" i="2"/>
  <c r="FR108" i="2"/>
  <c r="FR27" i="2"/>
  <c r="FR85" i="2"/>
  <c r="FR174" i="2" s="1"/>
  <c r="FR30" i="2"/>
  <c r="FR146" i="2"/>
  <c r="FR14" i="2"/>
  <c r="FR107" i="2"/>
  <c r="FS13" i="2"/>
  <c r="FS196" i="2" s="1"/>
  <c r="FR25" i="2"/>
  <c r="FR110" i="2"/>
  <c r="FR28" i="2"/>
  <c r="FR151" i="2"/>
  <c r="FR138" i="2"/>
  <c r="FR140" i="2"/>
  <c r="FR109" i="2"/>
  <c r="FR185" i="2" s="1"/>
  <c r="FR170" i="2"/>
  <c r="FH60" i="2"/>
  <c r="FH62" i="2" s="1"/>
  <c r="FS60" i="2"/>
  <c r="FS62" i="2" s="1"/>
  <c r="FQ60" i="2"/>
  <c r="FQ62" i="2" s="1"/>
  <c r="FM60" i="2"/>
  <c r="FM62" i="2" s="1"/>
  <c r="FK60" i="2"/>
  <c r="FK62" i="2" s="1"/>
  <c r="FO60" i="2"/>
  <c r="FO62" i="2" s="1"/>
  <c r="FQ176" i="2"/>
  <c r="FS155" i="2"/>
  <c r="FS157" i="2" s="1"/>
  <c r="FO176" i="2"/>
  <c r="FH176" i="2"/>
  <c r="FM176" i="2"/>
  <c r="FK176" i="2"/>
  <c r="FK74" i="2"/>
  <c r="FK49" i="2"/>
  <c r="FQ49" i="2"/>
  <c r="FH175" i="2"/>
  <c r="FH101" i="2"/>
  <c r="FM74" i="2"/>
  <c r="FO101" i="2"/>
  <c r="FO175" i="2"/>
  <c r="FH74" i="2"/>
  <c r="FO74" i="2"/>
  <c r="FH49" i="2"/>
  <c r="FO49" i="2"/>
  <c r="FM49" i="2"/>
  <c r="FK101" i="2"/>
  <c r="FK175" i="2"/>
  <c r="BJ39" i="2"/>
  <c r="DQ65" i="2"/>
  <c r="BK39" i="2"/>
  <c r="BL39" i="2"/>
  <c r="BL101" i="2" s="1"/>
  <c r="BM39" i="2"/>
  <c r="BM101" i="2" s="1"/>
  <c r="BL61" i="2"/>
  <c r="BN37" i="2"/>
  <c r="BN39" i="2"/>
  <c r="BN101" i="2" s="1"/>
  <c r="BN61" i="2"/>
  <c r="BM36" i="2"/>
  <c r="BM37" i="2" s="1"/>
  <c r="BL36" i="2"/>
  <c r="BL37" i="2" s="1"/>
  <c r="BL33" i="2"/>
  <c r="BL34" i="2" s="1"/>
  <c r="BN33" i="2"/>
  <c r="BN34" i="2" s="1"/>
  <c r="BM61" i="2"/>
  <c r="BM33" i="2"/>
  <c r="BM34" i="2" s="1"/>
  <c r="BP39" i="2"/>
  <c r="BP101" i="2" s="1"/>
  <c r="BQ39" i="2"/>
  <c r="BQ101" i="2" s="1"/>
  <c r="BP61" i="2"/>
  <c r="BO37" i="2"/>
  <c r="BO39" i="2"/>
  <c r="BO101" i="2" s="1"/>
  <c r="BP33" i="2"/>
  <c r="BP34" i="2" s="1"/>
  <c r="BQ61" i="2"/>
  <c r="BO61" i="2"/>
  <c r="BP37" i="2"/>
  <c r="BO33" i="2"/>
  <c r="BO34" i="2" s="1"/>
  <c r="BQ33" i="2"/>
  <c r="BQ34" i="2" s="1"/>
  <c r="BQ37" i="2"/>
  <c r="BR39" i="2"/>
  <c r="BR101" i="2" s="1"/>
  <c r="BR37" i="2"/>
  <c r="BR33" i="2"/>
  <c r="BR34" i="2" s="1"/>
  <c r="AQ39" i="2"/>
  <c r="BR61" i="2"/>
  <c r="BT39" i="2"/>
  <c r="BT101" i="2" s="1"/>
  <c r="BS37" i="2"/>
  <c r="BT61" i="2"/>
  <c r="BT33" i="2"/>
  <c r="BT34" i="2" s="1"/>
  <c r="BT37" i="2"/>
  <c r="BH39" i="2"/>
  <c r="BS33" i="2"/>
  <c r="BS34" i="2" s="1"/>
  <c r="Z39" i="2"/>
  <c r="AI39" i="2"/>
  <c r="AH39" i="2"/>
  <c r="AL39" i="2"/>
  <c r="BS39" i="2"/>
  <c r="BS101" i="2" s="1"/>
  <c r="BS61" i="2"/>
  <c r="BV39" i="2"/>
  <c r="BV101" i="2" s="1"/>
  <c r="BU37" i="2"/>
  <c r="BV61" i="2"/>
  <c r="AB39" i="2"/>
  <c r="AX39" i="2"/>
  <c r="AU39" i="2"/>
  <c r="AJ39" i="2"/>
  <c r="T39" i="2"/>
  <c r="S39" i="2"/>
  <c r="BF39" i="2"/>
  <c r="AW39" i="2"/>
  <c r="AK39" i="2"/>
  <c r="AF39" i="2"/>
  <c r="BG39" i="2"/>
  <c r="AS39" i="2"/>
  <c r="AZ39" i="2"/>
  <c r="N39" i="2"/>
  <c r="X39" i="2"/>
  <c r="AV39" i="2"/>
  <c r="P39" i="2"/>
  <c r="BI39" i="2"/>
  <c r="R39" i="2"/>
  <c r="AA39" i="2"/>
  <c r="AY39" i="2"/>
  <c r="AD39" i="2"/>
  <c r="V39" i="2"/>
  <c r="AO39" i="2"/>
  <c r="BU33" i="2"/>
  <c r="BU34" i="2" s="1"/>
  <c r="W39" i="2"/>
  <c r="BD39" i="2"/>
  <c r="AE39" i="2"/>
  <c r="Y39" i="2"/>
  <c r="AG39" i="2"/>
  <c r="Q39" i="2"/>
  <c r="BU61" i="2"/>
  <c r="AN39" i="2"/>
  <c r="BE39" i="2"/>
  <c r="AM39" i="2"/>
  <c r="BU39" i="2"/>
  <c r="BU101" i="2" s="1"/>
  <c r="AP39" i="2"/>
  <c r="U39" i="2"/>
  <c r="BB39" i="2"/>
  <c r="AT39" i="2"/>
  <c r="BC39" i="2"/>
  <c r="L39" i="2"/>
  <c r="AR39" i="2"/>
  <c r="AC39" i="2"/>
  <c r="BA39" i="2"/>
  <c r="O39" i="2"/>
  <c r="M39" i="2"/>
  <c r="BV33" i="2"/>
  <c r="BV34" i="2" s="1"/>
  <c r="BV37" i="2"/>
  <c r="BW39" i="2"/>
  <c r="BW101" i="2" s="1"/>
  <c r="BW37" i="2"/>
  <c r="BW33" i="2"/>
  <c r="BW34" i="2" s="1"/>
  <c r="BW61" i="2"/>
  <c r="BX61" i="2"/>
  <c r="BX39" i="2"/>
  <c r="BX101" i="2" s="1"/>
  <c r="BX37" i="2"/>
  <c r="BX33" i="2"/>
  <c r="BX34" i="2" s="1"/>
  <c r="BY33" i="2"/>
  <c r="BY34" i="2" s="1"/>
  <c r="BY36" i="2"/>
  <c r="BY37" i="2" s="1"/>
  <c r="BY61" i="2"/>
  <c r="BY39" i="2"/>
  <c r="BZ33" i="2"/>
  <c r="BZ34" i="2" s="1"/>
  <c r="BZ61" i="2"/>
  <c r="BZ36" i="2"/>
  <c r="BZ37" i="2" s="1"/>
  <c r="BZ39" i="2"/>
  <c r="CA39" i="2"/>
  <c r="CA36" i="2"/>
  <c r="CA37" i="2" s="1"/>
  <c r="CA34" i="2"/>
  <c r="CA61" i="2"/>
  <c r="CB61" i="2"/>
  <c r="CB36" i="2"/>
  <c r="CB37" i="2" s="1"/>
  <c r="CB33" i="2"/>
  <c r="CB34" i="2" s="1"/>
  <c r="CB39" i="2"/>
  <c r="CC39" i="2"/>
  <c r="CD34" i="2"/>
  <c r="CC61" i="2"/>
  <c r="CC36" i="2"/>
  <c r="CC37" i="2" s="1"/>
  <c r="CC33" i="2"/>
  <c r="CC34" i="2" s="1"/>
  <c r="CH33" i="2"/>
  <c r="CH34" i="2" s="1"/>
  <c r="CF33" i="2"/>
  <c r="CF34" i="2" s="1"/>
  <c r="CD36" i="2"/>
  <c r="CD37" i="2" s="1"/>
  <c r="CD39" i="2"/>
  <c r="CD61" i="2"/>
  <c r="CE61" i="2"/>
  <c r="CE33" i="2"/>
  <c r="CE34" i="2" s="1"/>
  <c r="CE36" i="2"/>
  <c r="CE37" i="2" s="1"/>
  <c r="CE39" i="2"/>
  <c r="CF39" i="2"/>
  <c r="CF61" i="2"/>
  <c r="CG39" i="2"/>
  <c r="CF36" i="2"/>
  <c r="CF37" i="2" s="1"/>
  <c r="CG61" i="2"/>
  <c r="CG33" i="2"/>
  <c r="CG34" i="2" s="1"/>
  <c r="CJ70" i="2"/>
  <c r="CH61" i="2"/>
  <c r="CI59" i="2"/>
  <c r="CG36" i="2"/>
  <c r="CG37" i="2" s="1"/>
  <c r="CH39" i="2"/>
  <c r="CI57" i="2"/>
  <c r="CI72" i="2"/>
  <c r="CH36" i="2"/>
  <c r="CH37" i="2" s="1"/>
  <c r="CL69" i="2"/>
  <c r="CI67" i="2"/>
  <c r="CJ69" i="2"/>
  <c r="CJ59" i="2"/>
  <c r="CJ33" i="2"/>
  <c r="CJ34" i="2" s="1"/>
  <c r="CJ54" i="2"/>
  <c r="CM36" i="2"/>
  <c r="CM37" i="2" s="1"/>
  <c r="CK56" i="2"/>
  <c r="CI65" i="2"/>
  <c r="CJ57" i="2"/>
  <c r="CI70" i="2"/>
  <c r="CJ56" i="2"/>
  <c r="CI39" i="2"/>
  <c r="CI101" i="2" s="1"/>
  <c r="CI54" i="2"/>
  <c r="CI66" i="2"/>
  <c r="CJ39" i="2"/>
  <c r="CJ101" i="2" s="1"/>
  <c r="CJ65" i="2"/>
  <c r="CI69" i="2"/>
  <c r="CK54" i="2"/>
  <c r="CJ36" i="2"/>
  <c r="CJ37" i="2" s="1"/>
  <c r="CK67" i="2"/>
  <c r="CI56" i="2"/>
  <c r="CK39" i="2"/>
  <c r="CI55" i="2"/>
  <c r="CJ66" i="2"/>
  <c r="CJ67" i="2"/>
  <c r="CI71" i="2"/>
  <c r="CJ71" i="2"/>
  <c r="CJ55" i="2"/>
  <c r="CI36" i="2"/>
  <c r="CI37" i="2" s="1"/>
  <c r="CI58" i="2"/>
  <c r="CI33" i="2"/>
  <c r="CI34" i="2" s="1"/>
  <c r="CJ72" i="2"/>
  <c r="CI68" i="2"/>
  <c r="CL36" i="2"/>
  <c r="CL37" i="2" s="1"/>
  <c r="CM72" i="2"/>
  <c r="CJ68" i="2"/>
  <c r="CL56" i="2"/>
  <c r="CL72" i="2"/>
  <c r="CL58" i="2"/>
  <c r="CK59" i="2"/>
  <c r="CL39" i="2"/>
  <c r="CL67" i="2"/>
  <c r="CK70" i="2"/>
  <c r="CL33" i="2"/>
  <c r="CJ58" i="2"/>
  <c r="CK69" i="2"/>
  <c r="CK58" i="2"/>
  <c r="CK55" i="2"/>
  <c r="CK72" i="2"/>
  <c r="CL66" i="2"/>
  <c r="CL59" i="2"/>
  <c r="CL54" i="2"/>
  <c r="CL70" i="2"/>
  <c r="CK65" i="2"/>
  <c r="CK36" i="2"/>
  <c r="CK37" i="2" s="1"/>
  <c r="CK57" i="2"/>
  <c r="CL55" i="2"/>
  <c r="CK66" i="2"/>
  <c r="CK71" i="2"/>
  <c r="CK33" i="2"/>
  <c r="CK68" i="2"/>
  <c r="CL65" i="2"/>
  <c r="CL57" i="2"/>
  <c r="CN55" i="2"/>
  <c r="CN69" i="2"/>
  <c r="CL68" i="2"/>
  <c r="CN57" i="2"/>
  <c r="CN54" i="2"/>
  <c r="CN56" i="2"/>
  <c r="CL71" i="2"/>
  <c r="CN59" i="2"/>
  <c r="CN65" i="2"/>
  <c r="CM58" i="2"/>
  <c r="CM33" i="2"/>
  <c r="CM56" i="2"/>
  <c r="CM65" i="2"/>
  <c r="CN72" i="2"/>
  <c r="CM70" i="2"/>
  <c r="CN66" i="2"/>
  <c r="CM59" i="2"/>
  <c r="CM54" i="2"/>
  <c r="CN68" i="2"/>
  <c r="CN39" i="2"/>
  <c r="CM55" i="2"/>
  <c r="CN33" i="2"/>
  <c r="CM67" i="2"/>
  <c r="CN58" i="2"/>
  <c r="CM69" i="2"/>
  <c r="CN71" i="2"/>
  <c r="CM57" i="2"/>
  <c r="CM66" i="2"/>
  <c r="CM68" i="2"/>
  <c r="CM39" i="2"/>
  <c r="CM71" i="2"/>
  <c r="CN67" i="2"/>
  <c r="CN36" i="2"/>
  <c r="CN37" i="2" s="1"/>
  <c r="CP33" i="2"/>
  <c r="CN70" i="2"/>
  <c r="CP65" i="2"/>
  <c r="CP39" i="2"/>
  <c r="CO66" i="2"/>
  <c r="CO67" i="2"/>
  <c r="CO59" i="2"/>
  <c r="CP72" i="2"/>
  <c r="CO71" i="2"/>
  <c r="CO36" i="2"/>
  <c r="CO37" i="2" s="1"/>
  <c r="CO68" i="2"/>
  <c r="CO65" i="2"/>
  <c r="CP58" i="2"/>
  <c r="CO55" i="2"/>
  <c r="CO70" i="2"/>
  <c r="CO56" i="2"/>
  <c r="CO39" i="2"/>
  <c r="CO69" i="2"/>
  <c r="CP71" i="2"/>
  <c r="CO72" i="2"/>
  <c r="CO58" i="2"/>
  <c r="CP59" i="2"/>
  <c r="CO33" i="2"/>
  <c r="CP57" i="2"/>
  <c r="CP36" i="2"/>
  <c r="CP37" i="2" s="1"/>
  <c r="CP56" i="2"/>
  <c r="CO54" i="2"/>
  <c r="CO57" i="2"/>
  <c r="CP68" i="2"/>
  <c r="CP66" i="2"/>
  <c r="CP70" i="2"/>
  <c r="CP54" i="2"/>
  <c r="CP67" i="2"/>
  <c r="CP55" i="2"/>
  <c r="CP69" i="2"/>
  <c r="CR71" i="2"/>
  <c r="CQ67" i="2"/>
  <c r="CR39" i="2"/>
  <c r="CQ39" i="2"/>
  <c r="CQ36" i="2"/>
  <c r="CQ37" i="2" s="1"/>
  <c r="CR36" i="2"/>
  <c r="CR37" i="2" s="1"/>
  <c r="CQ56" i="2"/>
  <c r="CQ33" i="2"/>
  <c r="CQ66" i="2"/>
  <c r="CQ54" i="2"/>
  <c r="CQ55" i="2"/>
  <c r="CQ68" i="2"/>
  <c r="CQ59" i="2"/>
  <c r="CQ72" i="2"/>
  <c r="CQ69" i="2"/>
  <c r="CQ58" i="2"/>
  <c r="CQ65" i="2"/>
  <c r="CQ71" i="2"/>
  <c r="CQ57" i="2"/>
  <c r="CQ70" i="2"/>
  <c r="CT59" i="2"/>
  <c r="CR66" i="2"/>
  <c r="CR56" i="2"/>
  <c r="CR55" i="2"/>
  <c r="CV36" i="2"/>
  <c r="CV37" i="2" s="1"/>
  <c r="CR57" i="2"/>
  <c r="CR54" i="2"/>
  <c r="CT69" i="2"/>
  <c r="CT39" i="2"/>
  <c r="CR72" i="2"/>
  <c r="CT68" i="2"/>
  <c r="CR65" i="2"/>
  <c r="CR67" i="2"/>
  <c r="CR68" i="2"/>
  <c r="CR69" i="2"/>
  <c r="CR58" i="2"/>
  <c r="CR70" i="2"/>
  <c r="CR59" i="2"/>
  <c r="CR33" i="2"/>
  <c r="CS57" i="2"/>
  <c r="CS54" i="2"/>
  <c r="CS56" i="2"/>
  <c r="CS59" i="2"/>
  <c r="CS65" i="2"/>
  <c r="CS66" i="2"/>
  <c r="CS70" i="2"/>
  <c r="CS39" i="2"/>
  <c r="CT56" i="2"/>
  <c r="CS33" i="2"/>
  <c r="CS69" i="2"/>
  <c r="CS72" i="2"/>
  <c r="CS36" i="2"/>
  <c r="CS37" i="2" s="1"/>
  <c r="CS67" i="2"/>
  <c r="CS58" i="2"/>
  <c r="CS55" i="2"/>
  <c r="CS71" i="2"/>
  <c r="CS68" i="2"/>
  <c r="CT55" i="2"/>
  <c r="CT54" i="2"/>
  <c r="CT36" i="2"/>
  <c r="CT37" i="2" s="1"/>
  <c r="CT66" i="2"/>
  <c r="CT70" i="2"/>
  <c r="CT58" i="2"/>
  <c r="CT71" i="2"/>
  <c r="CT33" i="2"/>
  <c r="CV65" i="2"/>
  <c r="CT57" i="2"/>
  <c r="CV57" i="2"/>
  <c r="CT65" i="2"/>
  <c r="CT67" i="2"/>
  <c r="CT72" i="2"/>
  <c r="CU69" i="2"/>
  <c r="CU36" i="2"/>
  <c r="CU37" i="2" s="1"/>
  <c r="CU55" i="2"/>
  <c r="CU59" i="2"/>
  <c r="CU54" i="2"/>
  <c r="CU56" i="2"/>
  <c r="CU70" i="2"/>
  <c r="CU33" i="2"/>
  <c r="CU58" i="2"/>
  <c r="CU68" i="2"/>
  <c r="CU65" i="2"/>
  <c r="CV56" i="2"/>
  <c r="CU57" i="2"/>
  <c r="CU67" i="2"/>
  <c r="CU39" i="2"/>
  <c r="CU71" i="2"/>
  <c r="CU66" i="2"/>
  <c r="CU72" i="2"/>
  <c r="CV55" i="2"/>
  <c r="CV68" i="2"/>
  <c r="CX54" i="2"/>
  <c r="CX56" i="2"/>
  <c r="CV58" i="2"/>
  <c r="CX68" i="2"/>
  <c r="CV67" i="2"/>
  <c r="CV71" i="2"/>
  <c r="CV33" i="2"/>
  <c r="CV59" i="2"/>
  <c r="CV54" i="2"/>
  <c r="CV69" i="2"/>
  <c r="CV39" i="2"/>
  <c r="CV66" i="2"/>
  <c r="CV72" i="2"/>
  <c r="CV70" i="2"/>
  <c r="CW66" i="2"/>
  <c r="CW72" i="2"/>
  <c r="CW59" i="2"/>
  <c r="CW58" i="2"/>
  <c r="CW71" i="2"/>
  <c r="CW70" i="2"/>
  <c r="CW69" i="2"/>
  <c r="CW55" i="2"/>
  <c r="CX70" i="2"/>
  <c r="CX69" i="2"/>
  <c r="CW67" i="2"/>
  <c r="CW56" i="2"/>
  <c r="CW68" i="2"/>
  <c r="CW65" i="2"/>
  <c r="CW33" i="2"/>
  <c r="CW36" i="2"/>
  <c r="CW37" i="2" s="1"/>
  <c r="CW57" i="2"/>
  <c r="CW39" i="2"/>
  <c r="CW54" i="2"/>
  <c r="CX36" i="2"/>
  <c r="CX37" i="2" s="1"/>
  <c r="CX72" i="2"/>
  <c r="CX55" i="2"/>
  <c r="CX67" i="2"/>
  <c r="CX39" i="2"/>
  <c r="CX71" i="2"/>
  <c r="CX57" i="2"/>
  <c r="CX65" i="2"/>
  <c r="CX33" i="2"/>
  <c r="CX59" i="2"/>
  <c r="CX66" i="2"/>
  <c r="CX58" i="2"/>
  <c r="CY36" i="2"/>
  <c r="CY37" i="2" s="1"/>
  <c r="CY70" i="2"/>
  <c r="CY69" i="2"/>
  <c r="CY54" i="2"/>
  <c r="CY72" i="2"/>
  <c r="CY55" i="2"/>
  <c r="CY67" i="2"/>
  <c r="CY56" i="2"/>
  <c r="CY65" i="2"/>
  <c r="CY66" i="2"/>
  <c r="CY39" i="2"/>
  <c r="CY59" i="2"/>
  <c r="CY33" i="2"/>
  <c r="CY57" i="2"/>
  <c r="CY71" i="2"/>
  <c r="CY58" i="2"/>
  <c r="CY68" i="2"/>
  <c r="DC57" i="2"/>
  <c r="CZ39" i="2"/>
  <c r="CZ54" i="2"/>
  <c r="CZ59" i="2"/>
  <c r="CZ69" i="2"/>
  <c r="CZ71" i="2"/>
  <c r="CZ65" i="2"/>
  <c r="CZ56" i="2"/>
  <c r="CZ55" i="2"/>
  <c r="CZ58" i="2"/>
  <c r="CZ66" i="2"/>
  <c r="CZ72" i="2"/>
  <c r="CZ67" i="2"/>
  <c r="CZ36" i="2"/>
  <c r="CZ37" i="2" s="1"/>
  <c r="CZ57" i="2"/>
  <c r="CZ33" i="2"/>
  <c r="CZ68" i="2"/>
  <c r="CZ70" i="2"/>
  <c r="DA54" i="2"/>
  <c r="DA55" i="2"/>
  <c r="DA58" i="2"/>
  <c r="DA59" i="2"/>
  <c r="DA69" i="2"/>
  <c r="DA67" i="2"/>
  <c r="DA57" i="2"/>
  <c r="DA66" i="2"/>
  <c r="DA68" i="2"/>
  <c r="DA70" i="2"/>
  <c r="DA56" i="2"/>
  <c r="DA39" i="2"/>
  <c r="DA71" i="2"/>
  <c r="DA72" i="2"/>
  <c r="DA33" i="2"/>
  <c r="DA65" i="2"/>
  <c r="DA36" i="2"/>
  <c r="DA37" i="2" s="1"/>
  <c r="DB57" i="2"/>
  <c r="DB54" i="2"/>
  <c r="DB55" i="2"/>
  <c r="DB59" i="2"/>
  <c r="DB71" i="2"/>
  <c r="DB70" i="2"/>
  <c r="DB68" i="2"/>
  <c r="DB67" i="2"/>
  <c r="DB56" i="2"/>
  <c r="DB33" i="2"/>
  <c r="DB58" i="2"/>
  <c r="DB72" i="2"/>
  <c r="DB39" i="2"/>
  <c r="DB36" i="2"/>
  <c r="DB37" i="2" s="1"/>
  <c r="DB69" i="2"/>
  <c r="DB66" i="2"/>
  <c r="DB65" i="2"/>
  <c r="DC72" i="2"/>
  <c r="DC56" i="2"/>
  <c r="DC36" i="2"/>
  <c r="DC37" i="2" s="1"/>
  <c r="DC67" i="2"/>
  <c r="DC33" i="2"/>
  <c r="DC69" i="2"/>
  <c r="DC59" i="2"/>
  <c r="DC54" i="2"/>
  <c r="DC65" i="2"/>
  <c r="DC68" i="2"/>
  <c r="DC71" i="2"/>
  <c r="DC55" i="2"/>
  <c r="DC66" i="2"/>
  <c r="DC61" i="2"/>
  <c r="DC58" i="2"/>
  <c r="DC39" i="2"/>
  <c r="DC70" i="2"/>
  <c r="DD56" i="2"/>
  <c r="DD33" i="2"/>
  <c r="DD58" i="2"/>
  <c r="DD61" i="2"/>
  <c r="DD36" i="2"/>
  <c r="DD37" i="2" s="1"/>
  <c r="DD67" i="2"/>
  <c r="DD69" i="2"/>
  <c r="DD55" i="2"/>
  <c r="DD72" i="2"/>
  <c r="DD54" i="2"/>
  <c r="DD68" i="2"/>
  <c r="DD66" i="2"/>
  <c r="DD65" i="2"/>
  <c r="DD70" i="2"/>
  <c r="DD71" i="2"/>
  <c r="DD59" i="2"/>
  <c r="DD57" i="2"/>
  <c r="DD39" i="2"/>
  <c r="DE66" i="2"/>
  <c r="DE70" i="2"/>
  <c r="DE67" i="2"/>
  <c r="DE36" i="2"/>
  <c r="DE37" i="2" s="1"/>
  <c r="DE56" i="2"/>
  <c r="DE69" i="2"/>
  <c r="DE33" i="2"/>
  <c r="DE71" i="2"/>
  <c r="DE54" i="2"/>
  <c r="DE39" i="2"/>
  <c r="DE61" i="2"/>
  <c r="DE72" i="2"/>
  <c r="DE55" i="2"/>
  <c r="DE57" i="2"/>
  <c r="DE58" i="2"/>
  <c r="DE59" i="2"/>
  <c r="DE68" i="2"/>
  <c r="DE65" i="2"/>
  <c r="DI56" i="2"/>
  <c r="DG55" i="2"/>
  <c r="DF70" i="2"/>
  <c r="DF33" i="2"/>
  <c r="DF58" i="2"/>
  <c r="DG39" i="2"/>
  <c r="DF61" i="2"/>
  <c r="DF36" i="2"/>
  <c r="DF37" i="2" s="1"/>
  <c r="DF69" i="2"/>
  <c r="DG72" i="2"/>
  <c r="DF66" i="2"/>
  <c r="DF55" i="2"/>
  <c r="DF65" i="2"/>
  <c r="DG57" i="2"/>
  <c r="DF72" i="2"/>
  <c r="DG68" i="2"/>
  <c r="DF54" i="2"/>
  <c r="DF68" i="2"/>
  <c r="DF71" i="2"/>
  <c r="DG70" i="2"/>
  <c r="DF56" i="2"/>
  <c r="DF57" i="2"/>
  <c r="DF59" i="2"/>
  <c r="DF67" i="2"/>
  <c r="DF39" i="2"/>
  <c r="DK57" i="2"/>
  <c r="DG36" i="2"/>
  <c r="DG37" i="2" s="1"/>
  <c r="DG66" i="2"/>
  <c r="DI59" i="2"/>
  <c r="DG56" i="2"/>
  <c r="DH66" i="2"/>
  <c r="DG33" i="2"/>
  <c r="DH72" i="2"/>
  <c r="DH65" i="2"/>
  <c r="DG65" i="2"/>
  <c r="DI54" i="2"/>
  <c r="DG67" i="2"/>
  <c r="DG59" i="2"/>
  <c r="DG61" i="2"/>
  <c r="DG58" i="2"/>
  <c r="DG69" i="2"/>
  <c r="DG71" i="2"/>
  <c r="DG54" i="2"/>
  <c r="DH55" i="2"/>
  <c r="DH70" i="2"/>
  <c r="DH54" i="2"/>
  <c r="DH58" i="2"/>
  <c r="DI68" i="2"/>
  <c r="DH56" i="2"/>
  <c r="DH71" i="2"/>
  <c r="DH57" i="2"/>
  <c r="DI55" i="2"/>
  <c r="DH36" i="2"/>
  <c r="DH37" i="2" s="1"/>
  <c r="DH39" i="2"/>
  <c r="DI33" i="2"/>
  <c r="DH67" i="2"/>
  <c r="DH61" i="2"/>
  <c r="DH59" i="2"/>
  <c r="DH33" i="2"/>
  <c r="DH68" i="2"/>
  <c r="DH69" i="2"/>
  <c r="DK68" i="2"/>
  <c r="DK54" i="2"/>
  <c r="DI71" i="2"/>
  <c r="DI72" i="2"/>
  <c r="DI67" i="2"/>
  <c r="DK72" i="2"/>
  <c r="DK56" i="2"/>
  <c r="DI65" i="2"/>
  <c r="DI61" i="2"/>
  <c r="DK70" i="2"/>
  <c r="DI69" i="2"/>
  <c r="DI36" i="2"/>
  <c r="DI37" i="2" s="1"/>
  <c r="DK33" i="2"/>
  <c r="DK65" i="2"/>
  <c r="DI57" i="2"/>
  <c r="DI58" i="2"/>
  <c r="DI66" i="2"/>
  <c r="DI39" i="2"/>
  <c r="DI70" i="2"/>
  <c r="DK67" i="2"/>
  <c r="DJ59" i="2"/>
  <c r="DJ66" i="2"/>
  <c r="DJ71" i="2"/>
  <c r="DJ57" i="2"/>
  <c r="DJ54" i="2"/>
  <c r="DK58" i="2"/>
  <c r="DK59" i="2"/>
  <c r="DJ61" i="2"/>
  <c r="DJ70" i="2"/>
  <c r="DJ56" i="2"/>
  <c r="DJ36" i="2"/>
  <c r="DJ37" i="2" s="1"/>
  <c r="DJ33" i="2"/>
  <c r="DJ39" i="2"/>
  <c r="DJ58" i="2"/>
  <c r="DJ67" i="2"/>
  <c r="DK36" i="2"/>
  <c r="DK37" i="2" s="1"/>
  <c r="DJ65" i="2"/>
  <c r="DJ68" i="2"/>
  <c r="DJ72" i="2"/>
  <c r="DJ55" i="2"/>
  <c r="DJ69" i="2"/>
  <c r="DL61" i="2"/>
  <c r="DM65" i="2"/>
  <c r="DM55" i="2"/>
  <c r="DK55" i="2"/>
  <c r="DK69" i="2"/>
  <c r="DM36" i="2"/>
  <c r="DM37" i="2" s="1"/>
  <c r="DK61" i="2"/>
  <c r="DM39" i="2"/>
  <c r="DK66" i="2"/>
  <c r="DM33" i="2"/>
  <c r="DM34" i="2" s="1"/>
  <c r="DM72" i="2"/>
  <c r="DM56" i="2"/>
  <c r="DK71" i="2"/>
  <c r="DK39" i="2"/>
  <c r="DL59" i="2"/>
  <c r="DL67" i="2"/>
  <c r="DL72" i="2"/>
  <c r="DL54" i="2"/>
  <c r="DL36" i="2"/>
  <c r="DL37" i="2" s="1"/>
  <c r="DL57" i="2"/>
  <c r="DL33" i="2"/>
  <c r="DL34" i="2" s="1"/>
  <c r="DL66" i="2"/>
  <c r="DL39" i="2"/>
  <c r="DL69" i="2"/>
  <c r="DL56" i="2"/>
  <c r="DL58" i="2"/>
  <c r="DL65" i="2"/>
  <c r="DM66" i="2"/>
  <c r="DL71" i="2"/>
  <c r="DL55" i="2"/>
  <c r="DL70" i="2"/>
  <c r="DL68" i="2"/>
  <c r="DM70" i="2"/>
  <c r="DM59" i="2"/>
  <c r="DM67" i="2"/>
  <c r="DM61" i="2"/>
  <c r="DM57" i="2"/>
  <c r="DM71" i="2"/>
  <c r="DM58" i="2"/>
  <c r="DM68" i="2"/>
  <c r="DM69" i="2"/>
  <c r="DM54" i="2"/>
  <c r="DN36" i="2"/>
  <c r="DN37" i="2" s="1"/>
  <c r="DN39" i="2"/>
  <c r="DN65" i="2"/>
  <c r="DN58" i="2"/>
  <c r="DN68" i="2"/>
  <c r="DN57" i="2"/>
  <c r="DN61" i="2"/>
  <c r="DN66" i="2"/>
  <c r="DN70" i="2"/>
  <c r="DN72" i="2"/>
  <c r="DN54" i="2"/>
  <c r="DN71" i="2"/>
  <c r="DN67" i="2"/>
  <c r="DN56" i="2"/>
  <c r="DN69" i="2"/>
  <c r="DN33" i="2"/>
  <c r="DN34" i="2" s="1"/>
  <c r="DN55" i="2"/>
  <c r="DN59" i="2"/>
  <c r="DO72" i="2"/>
  <c r="DO39" i="2"/>
  <c r="DO36" i="2"/>
  <c r="DO37" i="2" s="1"/>
  <c r="DO56" i="2"/>
  <c r="DO57" i="2"/>
  <c r="DO55" i="2"/>
  <c r="DO67" i="2"/>
  <c r="DO65" i="2"/>
  <c r="DO68" i="2"/>
  <c r="DO61" i="2"/>
  <c r="DO59" i="2"/>
  <c r="DO70" i="2"/>
  <c r="DO33" i="2"/>
  <c r="DO34" i="2" s="1"/>
  <c r="DO69" i="2"/>
  <c r="DO66" i="2"/>
  <c r="DO54" i="2"/>
  <c r="DO71" i="2"/>
  <c r="DO58" i="2"/>
  <c r="DP68" i="2"/>
  <c r="DP57" i="2"/>
  <c r="DP70" i="2"/>
  <c r="DP71" i="2"/>
  <c r="DP67" i="2"/>
  <c r="DP69" i="2"/>
  <c r="DP36" i="2"/>
  <c r="DP37" i="2" s="1"/>
  <c r="DP176" i="2" s="1"/>
  <c r="DP72" i="2"/>
  <c r="DP39" i="2"/>
  <c r="DP66" i="2"/>
  <c r="DP55" i="2"/>
  <c r="DP61" i="2"/>
  <c r="DP56" i="2"/>
  <c r="DP65" i="2"/>
  <c r="DP58" i="2"/>
  <c r="DP33" i="2"/>
  <c r="DP54" i="2"/>
  <c r="DP59" i="2"/>
  <c r="DQ61" i="2"/>
  <c r="DQ71" i="2"/>
  <c r="DQ55" i="2"/>
  <c r="DQ33" i="2"/>
  <c r="DQ34" i="2" s="1"/>
  <c r="DQ57" i="2"/>
  <c r="DQ39" i="2"/>
  <c r="DQ66" i="2"/>
  <c r="DQ72" i="2"/>
  <c r="DQ36" i="2"/>
  <c r="DQ37" i="2" s="1"/>
  <c r="DQ54" i="2"/>
  <c r="DQ69" i="2"/>
  <c r="DQ67" i="2"/>
  <c r="DQ59" i="2"/>
  <c r="DQ58" i="2"/>
  <c r="DQ68" i="2"/>
  <c r="DQ70" i="2"/>
  <c r="DQ56" i="2"/>
  <c r="DR36" i="2"/>
  <c r="DR37" i="2" s="1"/>
  <c r="DR176" i="2" s="1"/>
  <c r="DR69" i="2"/>
  <c r="DR71" i="2"/>
  <c r="DR66" i="2"/>
  <c r="DR33" i="2"/>
  <c r="DR56" i="2"/>
  <c r="DR70" i="2"/>
  <c r="DR65" i="2"/>
  <c r="DR57" i="2"/>
  <c r="DR39" i="2"/>
  <c r="DR61" i="2"/>
  <c r="DR72" i="2"/>
  <c r="DR67" i="2"/>
  <c r="DR54" i="2"/>
  <c r="DR58" i="2"/>
  <c r="DR68" i="2"/>
  <c r="DR55" i="2"/>
  <c r="DR59" i="2"/>
  <c r="DS65" i="2"/>
  <c r="DS67" i="2"/>
  <c r="DS59" i="2"/>
  <c r="DS68" i="2"/>
  <c r="DS58" i="2"/>
  <c r="DS66" i="2"/>
  <c r="DS69" i="2"/>
  <c r="DS56" i="2"/>
  <c r="DS54" i="2"/>
  <c r="DS33" i="2"/>
  <c r="DS34" i="2" s="1"/>
  <c r="DS70" i="2"/>
  <c r="DS71" i="2"/>
  <c r="DS57" i="2"/>
  <c r="DS61" i="2"/>
  <c r="DS39" i="2"/>
  <c r="DS72" i="2"/>
  <c r="DS55" i="2"/>
  <c r="DS36" i="2"/>
  <c r="DS37" i="2" s="1"/>
  <c r="DT36" i="2"/>
  <c r="DT37" i="2" s="1"/>
  <c r="DT33" i="2"/>
  <c r="DT34" i="2" s="1"/>
  <c r="DT66" i="2"/>
  <c r="DT59" i="2"/>
  <c r="DT55" i="2"/>
  <c r="DT69" i="2"/>
  <c r="DT71" i="2"/>
  <c r="DT67" i="2"/>
  <c r="DT57" i="2"/>
  <c r="DT68" i="2"/>
  <c r="DT72" i="2"/>
  <c r="DT65" i="2"/>
  <c r="DT54" i="2"/>
  <c r="DT39" i="2"/>
  <c r="DT61" i="2"/>
  <c r="DT56" i="2"/>
  <c r="DT70" i="2"/>
  <c r="DT58" i="2"/>
  <c r="DU57" i="2"/>
  <c r="DU66" i="2"/>
  <c r="DU55" i="2"/>
  <c r="DU61" i="2"/>
  <c r="DU70" i="2"/>
  <c r="DU56" i="2"/>
  <c r="DU65" i="2"/>
  <c r="DU33" i="2"/>
  <c r="DU34" i="2" s="1"/>
  <c r="DU67" i="2"/>
  <c r="DU58" i="2"/>
  <c r="DU36" i="2"/>
  <c r="DU37" i="2" s="1"/>
  <c r="DU39" i="2"/>
  <c r="DU59" i="2"/>
  <c r="DU54" i="2"/>
  <c r="DU68" i="2"/>
  <c r="DU72" i="2"/>
  <c r="DU71" i="2"/>
  <c r="DU69" i="2"/>
  <c r="DV36" i="2"/>
  <c r="DV37" i="2" s="1"/>
  <c r="DV176" i="2" s="1"/>
  <c r="DV57" i="2"/>
  <c r="DV39" i="2"/>
  <c r="DV71" i="2"/>
  <c r="DV68" i="2"/>
  <c r="DV66" i="2"/>
  <c r="DV33" i="2"/>
  <c r="DV61" i="2"/>
  <c r="DV55" i="2"/>
  <c r="DV70" i="2"/>
  <c r="DV67" i="2"/>
  <c r="DV65" i="2"/>
  <c r="DV69" i="2"/>
  <c r="DV58" i="2"/>
  <c r="DV72" i="2"/>
  <c r="DV54" i="2"/>
  <c r="DV56" i="2"/>
  <c r="DV59" i="2"/>
  <c r="DW55" i="2"/>
  <c r="DW59" i="2"/>
  <c r="DW71" i="2"/>
  <c r="DW36" i="2"/>
  <c r="DW37" i="2" s="1"/>
  <c r="DW56" i="2"/>
  <c r="DW33" i="2"/>
  <c r="DW34" i="2" s="1"/>
  <c r="DW72" i="2"/>
  <c r="DW69" i="2"/>
  <c r="DW65" i="2"/>
  <c r="DW57" i="2"/>
  <c r="DW70" i="2"/>
  <c r="DW68" i="2"/>
  <c r="DW67" i="2"/>
  <c r="DW54" i="2"/>
  <c r="DW58" i="2"/>
  <c r="DW39" i="2"/>
  <c r="DW61" i="2"/>
  <c r="DW66" i="2"/>
  <c r="DX65" i="2"/>
  <c r="DX70" i="2"/>
  <c r="DX66" i="2"/>
  <c r="DX72" i="2"/>
  <c r="DX57" i="2"/>
  <c r="DX36" i="2"/>
  <c r="DX37" i="2" s="1"/>
  <c r="DX59" i="2"/>
  <c r="DX39" i="2"/>
  <c r="DX58" i="2"/>
  <c r="DX69" i="2"/>
  <c r="DX61" i="2"/>
  <c r="DX54" i="2"/>
  <c r="DX68" i="2"/>
  <c r="DX56" i="2"/>
  <c r="DX71" i="2"/>
  <c r="DX67" i="2"/>
  <c r="DX33" i="2"/>
  <c r="DX34" i="2" s="1"/>
  <c r="DX55" i="2"/>
  <c r="DY72" i="2"/>
  <c r="DY67" i="2"/>
  <c r="DY59" i="2"/>
  <c r="DY66" i="2"/>
  <c r="DY70" i="2"/>
  <c r="DY65" i="2"/>
  <c r="DY54" i="2"/>
  <c r="DY56" i="2"/>
  <c r="DY55" i="2"/>
  <c r="DY36" i="2"/>
  <c r="DY37" i="2" s="1"/>
  <c r="DY58" i="2"/>
  <c r="DY39" i="2"/>
  <c r="DY57" i="2"/>
  <c r="DY33" i="2"/>
  <c r="DY34" i="2" s="1"/>
  <c r="DY71" i="2"/>
  <c r="DY68" i="2"/>
  <c r="DY69" i="2"/>
  <c r="DY61" i="2"/>
  <c r="DZ61" i="2"/>
  <c r="DZ54" i="2"/>
  <c r="DZ72" i="2"/>
  <c r="DZ36" i="2"/>
  <c r="DZ37" i="2" s="1"/>
  <c r="DZ176" i="2" s="1"/>
  <c r="DZ68" i="2"/>
  <c r="DZ71" i="2"/>
  <c r="DZ67" i="2"/>
  <c r="DZ39" i="2"/>
  <c r="DZ65" i="2"/>
  <c r="DZ55" i="2"/>
  <c r="DZ59" i="2"/>
  <c r="DZ66" i="2"/>
  <c r="DZ58" i="2"/>
  <c r="DZ69" i="2"/>
  <c r="DZ33" i="2"/>
  <c r="DZ56" i="2"/>
  <c r="DZ57" i="2"/>
  <c r="DZ70" i="2"/>
  <c r="EA56" i="2"/>
  <c r="EA69" i="2"/>
  <c r="EA68" i="2"/>
  <c r="EA65" i="2"/>
  <c r="EA33" i="2"/>
  <c r="EA34" i="2" s="1"/>
  <c r="EA39" i="2"/>
  <c r="EA54" i="2"/>
  <c r="EA55" i="2"/>
  <c r="EA66" i="2"/>
  <c r="EA36" i="2"/>
  <c r="EA37" i="2" s="1"/>
  <c r="EA59" i="2"/>
  <c r="EA58" i="2"/>
  <c r="EA57" i="2"/>
  <c r="EA71" i="2"/>
  <c r="EA70" i="2"/>
  <c r="EA67" i="2"/>
  <c r="EA72" i="2"/>
  <c r="EA61" i="2"/>
  <c r="EB65" i="2"/>
  <c r="EB68" i="2"/>
  <c r="EB57" i="2"/>
  <c r="EB58" i="2"/>
  <c r="EB55" i="2"/>
  <c r="EB59" i="2"/>
  <c r="EB72" i="2"/>
  <c r="EB61" i="2"/>
  <c r="EB56" i="2"/>
  <c r="EB36" i="2"/>
  <c r="EB37" i="2" s="1"/>
  <c r="EB66" i="2"/>
  <c r="EB70" i="2"/>
  <c r="EB67" i="2"/>
  <c r="EB39" i="2"/>
  <c r="EB69" i="2"/>
  <c r="EB54" i="2"/>
  <c r="EB71" i="2"/>
  <c r="EB33" i="2"/>
  <c r="EB34" i="2" s="1"/>
  <c r="EC67" i="2"/>
  <c r="EC59" i="2"/>
  <c r="EC55" i="2"/>
  <c r="EC36" i="2"/>
  <c r="EC37" i="2" s="1"/>
  <c r="EC176" i="2" s="1"/>
  <c r="EC56" i="2"/>
  <c r="EC66" i="2"/>
  <c r="EC72" i="2"/>
  <c r="EC68" i="2"/>
  <c r="EC65" i="2"/>
  <c r="EC54" i="2"/>
  <c r="EC39" i="2"/>
  <c r="EC71" i="2"/>
  <c r="EC33" i="2"/>
  <c r="EC58" i="2"/>
  <c r="EC70" i="2"/>
  <c r="EC69" i="2"/>
  <c r="EC57" i="2"/>
  <c r="EC61" i="2"/>
  <c r="ED72" i="2"/>
  <c r="ED65" i="2"/>
  <c r="ED56" i="2"/>
  <c r="ED54" i="2"/>
  <c r="ED57" i="2"/>
  <c r="ED58" i="2"/>
  <c r="ED36" i="2"/>
  <c r="ED37" i="2" s="1"/>
  <c r="ED176" i="2" s="1"/>
  <c r="ED61" i="2"/>
  <c r="ED66" i="2"/>
  <c r="ED68" i="2"/>
  <c r="ED71" i="2"/>
  <c r="ED69" i="2"/>
  <c r="ED33" i="2"/>
  <c r="ED67" i="2"/>
  <c r="ED39" i="2"/>
  <c r="ED55" i="2"/>
  <c r="ED70" i="2"/>
  <c r="ED59" i="2"/>
  <c r="EE72" i="2"/>
  <c r="EE61" i="2"/>
  <c r="EE56" i="2"/>
  <c r="EE66" i="2"/>
  <c r="EE36" i="2"/>
  <c r="EE37" i="2" s="1"/>
  <c r="EE176" i="2" s="1"/>
  <c r="EE70" i="2"/>
  <c r="EE59" i="2"/>
  <c r="EE55" i="2"/>
  <c r="EE65" i="2"/>
  <c r="EE67" i="2"/>
  <c r="EE71" i="2"/>
  <c r="EE57" i="2"/>
  <c r="EE39" i="2"/>
  <c r="EE54" i="2"/>
  <c r="EE69" i="2"/>
  <c r="EE58" i="2"/>
  <c r="EE33" i="2"/>
  <c r="EE68" i="2"/>
  <c r="EG66" i="2"/>
  <c r="EF67" i="2"/>
  <c r="EF36" i="2"/>
  <c r="EF37" i="2" s="1"/>
  <c r="EF68" i="2"/>
  <c r="EF66" i="2"/>
  <c r="EG54" i="2"/>
  <c r="EF65" i="2"/>
  <c r="EF55" i="2"/>
  <c r="EF56" i="2"/>
  <c r="EF33" i="2"/>
  <c r="EF34" i="2" s="1"/>
  <c r="EG58" i="2"/>
  <c r="EF69" i="2"/>
  <c r="EF54" i="2"/>
  <c r="EF70" i="2"/>
  <c r="EG65" i="2"/>
  <c r="EF59" i="2"/>
  <c r="EF61" i="2"/>
  <c r="EF72" i="2"/>
  <c r="EF39" i="2"/>
  <c r="EF57" i="2"/>
  <c r="EF58" i="2"/>
  <c r="EG55" i="2"/>
  <c r="EG69" i="2"/>
  <c r="EF71" i="2"/>
  <c r="EI72" i="2"/>
  <c r="EG61" i="2"/>
  <c r="EG72" i="2"/>
  <c r="EG70" i="2"/>
  <c r="EI39" i="2"/>
  <c r="EG59" i="2"/>
  <c r="EI58" i="2"/>
  <c r="EI69" i="2"/>
  <c r="EG68" i="2"/>
  <c r="EI33" i="2"/>
  <c r="EG33" i="2"/>
  <c r="EG71" i="2"/>
  <c r="EG39" i="2"/>
  <c r="EG36" i="2"/>
  <c r="EG37" i="2" s="1"/>
  <c r="EG176" i="2" s="1"/>
  <c r="EG57" i="2"/>
  <c r="EI54" i="2"/>
  <c r="EG56" i="2"/>
  <c r="EG67" i="2"/>
  <c r="EH72" i="2"/>
  <c r="EH68" i="2"/>
  <c r="EH36" i="2"/>
  <c r="EH37" i="2" s="1"/>
  <c r="EI61" i="2"/>
  <c r="EH59" i="2"/>
  <c r="EH56" i="2"/>
  <c r="EH33" i="2"/>
  <c r="EH34" i="2" s="1"/>
  <c r="EH57" i="2"/>
  <c r="EH67" i="2"/>
  <c r="EH66" i="2"/>
  <c r="EH54" i="2"/>
  <c r="EH71" i="2"/>
  <c r="EH39" i="2"/>
  <c r="EH61" i="2"/>
  <c r="EH55" i="2"/>
  <c r="EH65" i="2"/>
  <c r="EH58" i="2"/>
  <c r="EH69" i="2"/>
  <c r="EH70" i="2"/>
  <c r="EI36" i="2"/>
  <c r="EI37" i="2" s="1"/>
  <c r="EI176" i="2" s="1"/>
  <c r="EI67" i="2"/>
  <c r="EI71" i="2"/>
  <c r="EI55" i="2"/>
  <c r="EI66" i="2"/>
  <c r="EI57" i="2"/>
  <c r="EI68" i="2"/>
  <c r="EI56" i="2"/>
  <c r="EN56" i="2"/>
  <c r="EI70" i="2"/>
  <c r="EK39" i="2"/>
  <c r="EI65" i="2"/>
  <c r="EI59" i="2"/>
  <c r="EJ56" i="2"/>
  <c r="EJ55" i="2"/>
  <c r="EJ65" i="2"/>
  <c r="EJ66" i="2"/>
  <c r="EJ69" i="2"/>
  <c r="EJ70" i="2"/>
  <c r="EJ67" i="2"/>
  <c r="EJ59" i="2"/>
  <c r="EN66" i="2"/>
  <c r="EJ57" i="2"/>
  <c r="EJ33" i="2"/>
  <c r="EJ58" i="2"/>
  <c r="EJ68" i="2"/>
  <c r="EJ36" i="2"/>
  <c r="EJ37" i="2" s="1"/>
  <c r="EJ176" i="2" s="1"/>
  <c r="EJ61" i="2"/>
  <c r="EJ39" i="2"/>
  <c r="EJ54" i="2"/>
  <c r="EJ72" i="2"/>
  <c r="EJ71" i="2"/>
  <c r="EK72" i="2"/>
  <c r="EK59" i="2"/>
  <c r="EK36" i="2"/>
  <c r="EK37" i="2" s="1"/>
  <c r="EK176" i="2" s="1"/>
  <c r="EK68" i="2"/>
  <c r="EK67" i="2"/>
  <c r="EK58" i="2"/>
  <c r="EK57" i="2"/>
  <c r="EN54" i="2"/>
  <c r="EK66" i="2"/>
  <c r="EK71" i="2"/>
  <c r="EK70" i="2"/>
  <c r="EK55" i="2"/>
  <c r="EN57" i="2"/>
  <c r="EK56" i="2"/>
  <c r="EK65" i="2"/>
  <c r="EK69" i="2"/>
  <c r="EK61" i="2"/>
  <c r="EK33" i="2"/>
  <c r="EK54" i="2"/>
  <c r="EL58" i="2"/>
  <c r="EM56" i="2"/>
  <c r="EM58" i="2"/>
  <c r="EL33" i="2"/>
  <c r="EL67" i="2"/>
  <c r="EL59" i="2"/>
  <c r="EL70" i="2"/>
  <c r="EM66" i="2"/>
  <c r="EL69" i="2"/>
  <c r="EM65" i="2"/>
  <c r="EL39" i="2"/>
  <c r="EL54" i="2"/>
  <c r="EM55" i="2"/>
  <c r="EL61" i="2"/>
  <c r="EM69" i="2"/>
  <c r="EM70" i="2"/>
  <c r="EM72" i="2"/>
  <c r="EL65" i="2"/>
  <c r="EL56" i="2"/>
  <c r="EM36" i="2"/>
  <c r="EM37" i="2" s="1"/>
  <c r="EM67" i="2"/>
  <c r="EL72" i="2"/>
  <c r="EN71" i="2"/>
  <c r="EM59" i="2"/>
  <c r="EM54" i="2"/>
  <c r="EM68" i="2"/>
  <c r="EL36" i="2"/>
  <c r="EL37" i="2" s="1"/>
  <c r="EL176" i="2" s="1"/>
  <c r="EL68" i="2"/>
  <c r="EL71" i="2"/>
  <c r="EL66" i="2"/>
  <c r="EM33" i="2"/>
  <c r="EM34" i="2" s="1"/>
  <c r="EL57" i="2"/>
  <c r="EM71" i="2"/>
  <c r="EL55" i="2"/>
  <c r="EM57" i="2"/>
  <c r="EM39" i="2"/>
  <c r="EM61" i="2"/>
  <c r="EN61" i="2"/>
  <c r="EN68" i="2"/>
  <c r="EN70" i="2"/>
  <c r="EN72" i="2"/>
  <c r="EN36" i="2"/>
  <c r="EN37" i="2" s="1"/>
  <c r="EN39" i="2"/>
  <c r="EN58" i="2"/>
  <c r="EN55" i="2"/>
  <c r="EN59" i="2"/>
  <c r="EN33" i="2"/>
  <c r="EN34" i="2" s="1"/>
  <c r="EN65" i="2"/>
  <c r="EN69" i="2"/>
  <c r="EN67" i="2"/>
  <c r="EO59" i="2"/>
  <c r="EO72" i="2"/>
  <c r="EO71" i="2"/>
  <c r="EO57" i="2"/>
  <c r="EO36" i="2"/>
  <c r="EO70" i="2"/>
  <c r="EO61" i="2"/>
  <c r="EO69" i="2"/>
  <c r="EO39" i="2"/>
  <c r="EO66" i="2"/>
  <c r="EO55" i="2"/>
  <c r="EO54" i="2"/>
  <c r="EO56" i="2"/>
  <c r="EO58" i="2"/>
  <c r="EO33" i="2"/>
  <c r="EO65" i="2"/>
  <c r="EO68" i="2"/>
  <c r="EO67" i="2"/>
  <c r="EP33" i="2"/>
  <c r="EP34" i="2" s="1"/>
  <c r="EP70" i="2"/>
  <c r="EP55" i="2"/>
  <c r="EP71" i="2"/>
  <c r="EP66" i="2"/>
  <c r="EP68" i="2"/>
  <c r="EP56" i="2"/>
  <c r="EP67" i="2"/>
  <c r="EP59" i="2"/>
  <c r="EP36" i="2"/>
  <c r="EP37" i="2" s="1"/>
  <c r="EP39" i="2"/>
  <c r="EP72" i="2"/>
  <c r="EP61" i="2"/>
  <c r="EP65" i="2"/>
  <c r="EP69" i="2"/>
  <c r="EP58" i="2"/>
  <c r="EP57" i="2"/>
  <c r="EP54" i="2"/>
  <c r="EQ71" i="2"/>
  <c r="EQ69" i="2"/>
  <c r="EQ68" i="2"/>
  <c r="EQ65" i="2"/>
  <c r="EQ54" i="2"/>
  <c r="EQ56" i="2"/>
  <c r="EQ70" i="2"/>
  <c r="EQ57" i="2"/>
  <c r="EQ58" i="2"/>
  <c r="EQ36" i="2"/>
  <c r="EQ37" i="2" s="1"/>
  <c r="EQ59" i="2"/>
  <c r="EQ72" i="2"/>
  <c r="EQ33" i="2"/>
  <c r="EQ34" i="2" s="1"/>
  <c r="EQ55" i="2"/>
  <c r="EQ61" i="2"/>
  <c r="EQ67" i="2"/>
  <c r="EQ39" i="2"/>
  <c r="EQ66" i="2"/>
  <c r="ER55" i="2"/>
  <c r="ER56" i="2"/>
  <c r="ER65" i="2"/>
  <c r="ER70" i="2"/>
  <c r="ER58" i="2"/>
  <c r="ER59" i="2"/>
  <c r="ER71" i="2"/>
  <c r="ER66" i="2"/>
  <c r="ER72" i="2"/>
  <c r="ER67" i="2"/>
  <c r="ER39" i="2"/>
  <c r="ER33" i="2"/>
  <c r="ER34" i="2" s="1"/>
  <c r="ER68" i="2"/>
  <c r="ER69" i="2"/>
  <c r="ER54" i="2"/>
  <c r="ER57" i="2"/>
  <c r="ER61" i="2"/>
  <c r="ER36" i="2"/>
  <c r="ER37" i="2" s="1"/>
  <c r="ES66" i="2"/>
  <c r="ES67" i="2"/>
  <c r="ES54" i="2"/>
  <c r="ES70" i="2"/>
  <c r="ES57" i="2"/>
  <c r="ES71" i="2"/>
  <c r="ES69" i="2"/>
  <c r="ES65" i="2"/>
  <c r="ES55" i="2"/>
  <c r="ES58" i="2"/>
  <c r="ES39" i="2"/>
  <c r="ES33" i="2"/>
  <c r="ES34" i="2" s="1"/>
  <c r="ES59" i="2"/>
  <c r="ES72" i="2"/>
  <c r="ES56" i="2"/>
  <c r="ES68" i="2"/>
  <c r="ES36" i="2"/>
  <c r="ES37" i="2" s="1"/>
  <c r="ES61" i="2"/>
  <c r="ET57" i="2"/>
  <c r="ET59" i="2"/>
  <c r="ET33" i="2"/>
  <c r="ET34" i="2" s="1"/>
  <c r="ET66" i="2"/>
  <c r="ET54" i="2"/>
  <c r="ET39" i="2"/>
  <c r="ET55" i="2"/>
  <c r="ET71" i="2"/>
  <c r="ET61" i="2"/>
  <c r="ET65" i="2"/>
  <c r="ET68" i="2"/>
  <c r="ET58" i="2"/>
  <c r="ET69" i="2"/>
  <c r="ET36" i="2"/>
  <c r="ET37" i="2" s="1"/>
  <c r="ET70" i="2"/>
  <c r="ET56" i="2"/>
  <c r="ET67" i="2"/>
  <c r="ET72" i="2"/>
  <c r="EU70" i="2"/>
  <c r="EU56" i="2"/>
  <c r="EU36" i="2"/>
  <c r="EU37" i="2" s="1"/>
  <c r="EU71" i="2"/>
  <c r="EU67" i="2"/>
  <c r="EU55" i="2"/>
  <c r="EU72" i="2"/>
  <c r="EU39" i="2"/>
  <c r="EU69" i="2"/>
  <c r="EU65" i="2"/>
  <c r="EU33" i="2"/>
  <c r="EU34" i="2" s="1"/>
  <c r="EU58" i="2"/>
  <c r="EU68" i="2"/>
  <c r="EU66" i="2"/>
  <c r="EU61" i="2"/>
  <c r="EU54" i="2"/>
  <c r="EU59" i="2"/>
  <c r="EU57" i="2"/>
  <c r="EV36" i="2"/>
  <c r="EV37" i="2" s="1"/>
  <c r="EV66" i="2"/>
  <c r="EV54" i="2"/>
  <c r="EV61" i="2"/>
  <c r="EV58" i="2"/>
  <c r="EV59" i="2"/>
  <c r="EV72" i="2"/>
  <c r="EV71" i="2"/>
  <c r="EV68" i="2"/>
  <c r="EV55" i="2"/>
  <c r="EV70" i="2"/>
  <c r="EV56" i="2"/>
  <c r="EV57" i="2"/>
  <c r="EV39" i="2"/>
  <c r="EV67" i="2"/>
  <c r="EV69" i="2"/>
  <c r="EV65" i="2"/>
  <c r="EV33" i="2"/>
  <c r="EV34" i="2" s="1"/>
  <c r="EW55" i="2"/>
  <c r="EW57" i="2"/>
  <c r="EW54" i="2"/>
  <c r="EW69" i="2"/>
  <c r="EW58" i="2"/>
  <c r="EW72" i="2"/>
  <c r="EW65" i="2"/>
  <c r="EW59" i="2"/>
  <c r="EW66" i="2"/>
  <c r="EW33" i="2"/>
  <c r="EW34" i="2" s="1"/>
  <c r="EW56" i="2"/>
  <c r="EW36" i="2"/>
  <c r="EW37" i="2" s="1"/>
  <c r="EW61" i="2"/>
  <c r="EW70" i="2"/>
  <c r="EW39" i="2"/>
  <c r="EW67" i="2"/>
  <c r="EW71" i="2"/>
  <c r="EW68" i="2"/>
  <c r="EX59" i="2"/>
  <c r="EX67" i="2"/>
  <c r="EX58" i="2"/>
  <c r="EX72" i="2"/>
  <c r="EX56" i="2"/>
  <c r="EX55" i="2"/>
  <c r="EX36" i="2"/>
  <c r="EX37" i="2" s="1"/>
  <c r="EX68" i="2"/>
  <c r="EX54" i="2"/>
  <c r="EX65" i="2"/>
  <c r="EX39" i="2"/>
  <c r="EX71" i="2"/>
  <c r="EX70" i="2"/>
  <c r="EX61" i="2"/>
  <c r="EX33" i="2"/>
  <c r="EX34" i="2" s="1"/>
  <c r="EX66" i="2"/>
  <c r="EX57" i="2"/>
  <c r="EX69" i="2"/>
  <c r="FB54" i="2"/>
  <c r="EY66" i="2"/>
  <c r="EY68" i="2"/>
  <c r="EY33" i="2"/>
  <c r="EY34" i="2" s="1"/>
  <c r="EY69" i="2"/>
  <c r="EY36" i="2"/>
  <c r="EY37" i="2" s="1"/>
  <c r="EY67" i="2"/>
  <c r="EY61" i="2"/>
  <c r="EY55" i="2"/>
  <c r="EY59" i="2"/>
  <c r="EY72" i="2"/>
  <c r="EY56" i="2"/>
  <c r="EY57" i="2"/>
  <c r="EY65" i="2"/>
  <c r="EY70" i="2"/>
  <c r="EY58" i="2"/>
  <c r="EY71" i="2"/>
  <c r="EY39" i="2"/>
  <c r="EY54" i="2"/>
  <c r="EZ67" i="2"/>
  <c r="EZ55" i="2"/>
  <c r="EZ70" i="2"/>
  <c r="EZ36" i="2"/>
  <c r="EZ37" i="2" s="1"/>
  <c r="EZ71" i="2"/>
  <c r="EZ39" i="2"/>
  <c r="EZ66" i="2"/>
  <c r="EZ54" i="2"/>
  <c r="EZ57" i="2"/>
  <c r="EZ58" i="2"/>
  <c r="EZ61" i="2"/>
  <c r="EZ59" i="2"/>
  <c r="EZ69" i="2"/>
  <c r="EZ72" i="2"/>
  <c r="EZ65" i="2"/>
  <c r="EZ56" i="2"/>
  <c r="EZ33" i="2"/>
  <c r="EZ34" i="2" s="1"/>
  <c r="EZ68" i="2"/>
  <c r="FB66" i="2"/>
  <c r="FB72" i="2"/>
  <c r="FA55" i="2"/>
  <c r="FA67" i="2"/>
  <c r="FA65" i="2"/>
  <c r="FA70" i="2"/>
  <c r="FA71" i="2"/>
  <c r="FA58" i="2"/>
  <c r="FA68" i="2"/>
  <c r="FA59" i="2"/>
  <c r="FA33" i="2"/>
  <c r="FA34" i="2" s="1"/>
  <c r="FA61" i="2"/>
  <c r="FA72" i="2"/>
  <c r="FA69" i="2"/>
  <c r="FA57" i="2"/>
  <c r="FA36" i="2"/>
  <c r="FA37" i="2" s="1"/>
  <c r="FA39" i="2"/>
  <c r="FA66" i="2"/>
  <c r="FA56" i="2"/>
  <c r="FA54" i="2"/>
  <c r="FD33" i="2"/>
  <c r="FD34" i="2" s="1"/>
  <c r="FB58" i="2"/>
  <c r="FB36" i="2"/>
  <c r="FB37" i="2" s="1"/>
  <c r="FE65" i="2"/>
  <c r="FB33" i="2"/>
  <c r="FB34" i="2" s="1"/>
  <c r="FB71" i="2"/>
  <c r="FE56" i="2"/>
  <c r="FB69" i="2"/>
  <c r="FB61" i="2"/>
  <c r="FB39" i="2"/>
  <c r="FB55" i="2"/>
  <c r="FB68" i="2"/>
  <c r="FB65" i="2"/>
  <c r="FD39" i="2"/>
  <c r="FB56" i="2"/>
  <c r="FE70" i="2"/>
  <c r="FB70" i="2"/>
  <c r="FB67" i="2"/>
  <c r="FB57" i="2"/>
  <c r="FB59" i="2"/>
  <c r="FC66" i="2"/>
  <c r="FC58" i="2"/>
  <c r="FC56" i="2"/>
  <c r="FC57" i="2"/>
  <c r="FC65" i="2"/>
  <c r="FC36" i="2"/>
  <c r="FC37" i="2" s="1"/>
  <c r="FC72" i="2"/>
  <c r="FC68" i="2"/>
  <c r="FD36" i="2"/>
  <c r="FD37" i="2" s="1"/>
  <c r="FC39" i="2"/>
  <c r="FC33" i="2"/>
  <c r="FC34" i="2" s="1"/>
  <c r="FC55" i="2"/>
  <c r="FC70" i="2"/>
  <c r="FC54" i="2"/>
  <c r="FC61" i="2"/>
  <c r="FC69" i="2"/>
  <c r="FC71" i="2"/>
  <c r="FC59" i="2"/>
  <c r="FC67" i="2"/>
  <c r="FD71" i="2"/>
  <c r="FE55" i="2"/>
  <c r="FD59" i="2"/>
  <c r="FD55" i="2"/>
  <c r="FD61" i="2"/>
  <c r="FE61" i="2"/>
  <c r="FG68" i="2"/>
  <c r="FD69" i="2"/>
  <c r="FE72" i="2"/>
  <c r="FE58" i="2"/>
  <c r="FD57" i="2"/>
  <c r="FD54" i="2"/>
  <c r="FG70" i="2"/>
  <c r="FD66" i="2"/>
  <c r="FE33" i="2"/>
  <c r="FE34" i="2" s="1"/>
  <c r="FE57" i="2"/>
  <c r="FD67" i="2"/>
  <c r="FD58" i="2"/>
  <c r="FE71" i="2"/>
  <c r="FE67" i="2"/>
  <c r="FE69" i="2"/>
  <c r="FE39" i="2"/>
  <c r="FE54" i="2"/>
  <c r="FE68" i="2"/>
  <c r="FE59" i="2"/>
  <c r="FD56" i="2"/>
  <c r="FF54" i="2"/>
  <c r="FE36" i="2"/>
  <c r="FE37" i="2" s="1"/>
  <c r="FD68" i="2"/>
  <c r="FD65" i="2"/>
  <c r="FD70" i="2"/>
  <c r="FG71" i="2"/>
  <c r="FD72" i="2"/>
  <c r="FE66" i="2"/>
  <c r="FF66" i="2"/>
  <c r="FF39" i="2"/>
  <c r="FF67" i="2"/>
  <c r="FF71" i="2"/>
  <c r="FG72" i="2"/>
  <c r="FG56" i="2"/>
  <c r="FF56" i="2"/>
  <c r="FF70" i="2"/>
  <c r="FF57" i="2"/>
  <c r="FF69" i="2"/>
  <c r="FF59" i="2"/>
  <c r="FF72" i="2"/>
  <c r="FF65" i="2"/>
  <c r="FF58" i="2"/>
  <c r="FF68" i="2"/>
  <c r="FF55" i="2"/>
  <c r="FF36" i="2"/>
  <c r="FF37" i="2" s="1"/>
  <c r="FF61" i="2"/>
  <c r="FF33" i="2"/>
  <c r="FF34" i="2" s="1"/>
  <c r="FG59" i="2"/>
  <c r="FN33" i="2"/>
  <c r="FN34" i="2" s="1"/>
  <c r="FJ71" i="2"/>
  <c r="FJ54" i="2"/>
  <c r="FI68" i="2"/>
  <c r="FG57" i="2"/>
  <c r="FI61" i="2"/>
  <c r="FP58" i="2"/>
  <c r="FJ70" i="2"/>
  <c r="FG36" i="2"/>
  <c r="FG37" i="2" s="1"/>
  <c r="FG176" i="2" s="1"/>
  <c r="FG61" i="2"/>
  <c r="FI59" i="2"/>
  <c r="FG54" i="2"/>
  <c r="FP56" i="2"/>
  <c r="FI71" i="2"/>
  <c r="FG55" i="2"/>
  <c r="FN61" i="2"/>
  <c r="FJ61" i="2"/>
  <c r="FN68" i="2"/>
  <c r="FJ65" i="2"/>
  <c r="FG33" i="2"/>
  <c r="FI55" i="2"/>
  <c r="FI70" i="2"/>
  <c r="FI56" i="2"/>
  <c r="FR39" i="2"/>
  <c r="FR101" i="2" s="1"/>
  <c r="FR56" i="2"/>
  <c r="FR70" i="2"/>
  <c r="FR33" i="2"/>
  <c r="FR34" i="2" s="1"/>
  <c r="FL39" i="2"/>
  <c r="FI69" i="2"/>
  <c r="FL65" i="2"/>
  <c r="FL57" i="2"/>
  <c r="FG69" i="2"/>
  <c r="FP66" i="2"/>
  <c r="FG39" i="2"/>
  <c r="FL70" i="2"/>
  <c r="FG58" i="2"/>
  <c r="FL33" i="2"/>
  <c r="FL34" i="2" s="1"/>
  <c r="FI54" i="2"/>
  <c r="FJ69" i="2"/>
  <c r="FP71" i="2"/>
  <c r="FN69" i="2"/>
  <c r="FR57" i="2"/>
  <c r="FR59" i="2"/>
  <c r="FR36" i="2"/>
  <c r="FR37" i="2" s="1"/>
  <c r="FJ72" i="2"/>
  <c r="FI65" i="2"/>
  <c r="FL69" i="2"/>
  <c r="FL66" i="2"/>
  <c r="FN66" i="2"/>
  <c r="FP54" i="2"/>
  <c r="FJ33" i="2"/>
  <c r="FJ34" i="2" s="1"/>
  <c r="FJ55" i="2"/>
  <c r="FG65" i="2"/>
  <c r="FL36" i="2"/>
  <c r="FL37" i="2" s="1"/>
  <c r="FN36" i="2"/>
  <c r="FN37" i="2" s="1"/>
  <c r="FL59" i="2"/>
  <c r="FG67" i="2"/>
  <c r="FR68" i="2"/>
  <c r="FN70" i="2"/>
  <c r="FP65" i="2"/>
  <c r="FL67" i="2"/>
  <c r="FN72" i="2"/>
  <c r="FI57" i="2"/>
  <c r="FI39" i="2"/>
  <c r="FN67" i="2"/>
  <c r="FN59" i="2"/>
  <c r="FI67" i="2"/>
  <c r="FI66" i="2"/>
  <c r="FL61" i="2"/>
  <c r="FN58" i="2"/>
  <c r="FR65" i="2"/>
  <c r="FJ67" i="2"/>
  <c r="FP69" i="2"/>
  <c r="FL54" i="2"/>
  <c r="FN56" i="2"/>
  <c r="FI72" i="2"/>
  <c r="FP67" i="2"/>
  <c r="FJ39" i="2"/>
  <c r="FI58" i="2"/>
  <c r="FN71" i="2"/>
  <c r="FJ66" i="2"/>
  <c r="FI36" i="2"/>
  <c r="FI37" i="2" s="1"/>
  <c r="FI176" i="2" s="1"/>
  <c r="FL58" i="2"/>
  <c r="FI33" i="2"/>
  <c r="FR54" i="2"/>
  <c r="FR55" i="2"/>
  <c r="FR66" i="2"/>
  <c r="FR71" i="2"/>
  <c r="FN57" i="2"/>
  <c r="FP59" i="2"/>
  <c r="FJ58" i="2"/>
  <c r="FP72" i="2"/>
  <c r="FL68" i="2"/>
  <c r="FP55" i="2"/>
  <c r="FN39" i="2"/>
  <c r="FP33" i="2"/>
  <c r="FP34" i="2" s="1"/>
  <c r="FG66" i="2"/>
  <c r="FL71" i="2"/>
  <c r="FJ36" i="2"/>
  <c r="FJ37" i="2" s="1"/>
  <c r="FJ57" i="2"/>
  <c r="FP57" i="2"/>
  <c r="FR61" i="2"/>
  <c r="FR72" i="2"/>
  <c r="FR58" i="2"/>
  <c r="FN54" i="2"/>
  <c r="FL55" i="2"/>
  <c r="FJ56" i="2"/>
  <c r="FP36" i="2"/>
  <c r="FP37" i="2" s="1"/>
  <c r="FJ59" i="2"/>
  <c r="FP61" i="2"/>
  <c r="FL56" i="2"/>
  <c r="FP39" i="2"/>
  <c r="FN65" i="2"/>
  <c r="FP70" i="2"/>
  <c r="FN55" i="2"/>
  <c r="FJ68" i="2"/>
  <c r="FL72" i="2"/>
  <c r="FR69" i="2"/>
  <c r="FR67" i="2"/>
  <c r="FP68" i="2"/>
  <c r="FQ74" i="2"/>
  <c r="FM101" i="2"/>
  <c r="FM175" i="2"/>
  <c r="FO100" i="2"/>
  <c r="FO89" i="2"/>
  <c r="FO177" i="2"/>
  <c r="FO88" i="2"/>
  <c r="FN90" i="2"/>
  <c r="B30" i="32"/>
  <c r="I29" i="32"/>
  <c r="J29" i="32" s="1"/>
  <c r="B76" i="9"/>
  <c r="I75" i="9"/>
  <c r="J75" i="9" s="1"/>
  <c r="L76" i="9"/>
  <c r="S75" i="9"/>
  <c r="T75" i="9" s="1"/>
  <c r="P75" i="9" s="1"/>
  <c r="S75" i="32"/>
  <c r="T75" i="32" s="1"/>
  <c r="P75" i="32" s="1"/>
  <c r="L76" i="32"/>
  <c r="FS49" i="2"/>
  <c r="FS44" i="2"/>
  <c r="FS46" i="2" s="1"/>
  <c r="FS48" i="2"/>
  <c r="FR41" i="2"/>
  <c r="FT39" i="2"/>
  <c r="FT101" i="2" s="1"/>
  <c r="FU15" i="2"/>
  <c r="FT66" i="2"/>
  <c r="FT36" i="2"/>
  <c r="FT55" i="2"/>
  <c r="FT57" i="2"/>
  <c r="FT33" i="2"/>
  <c r="FT56" i="2"/>
  <c r="FT61" i="2"/>
  <c r="FT131" i="2"/>
  <c r="FT72" i="2"/>
  <c r="FT54" i="2"/>
  <c r="FT45" i="2"/>
  <c r="FT71" i="2"/>
  <c r="FT154" i="2"/>
  <c r="FT58" i="2"/>
  <c r="FT67" i="2"/>
  <c r="FT68" i="2"/>
  <c r="FT65" i="2"/>
  <c r="FT59" i="2"/>
  <c r="FT69" i="2"/>
  <c r="FT70" i="2"/>
  <c r="FS74" i="2"/>
  <c r="FQ106" i="2"/>
  <c r="C255" i="9"/>
  <c r="FQ175" i="2" l="1"/>
  <c r="DJ34" i="2"/>
  <c r="DJ163" i="2" s="1"/>
  <c r="DJ164" i="2" s="1"/>
  <c r="DJ181" i="2" s="1"/>
  <c r="DJ41" i="2"/>
  <c r="DK34" i="2"/>
  <c r="DK163" i="2" s="1"/>
  <c r="DK164" i="2" s="1"/>
  <c r="DK181" i="2" s="1"/>
  <c r="DK41" i="2"/>
  <c r="BU163" i="2"/>
  <c r="FR184" i="2"/>
  <c r="BT163" i="2"/>
  <c r="BW163" i="2"/>
  <c r="CD163" i="2"/>
  <c r="FS34" i="2"/>
  <c r="FS161" i="2"/>
  <c r="FS164" i="2" s="1"/>
  <c r="FS181" i="2" s="1"/>
  <c r="BV163" i="2"/>
  <c r="BS163" i="2"/>
  <c r="BZ163" i="2"/>
  <c r="CA163" i="2"/>
  <c r="FU162" i="2"/>
  <c r="FU163" i="2"/>
  <c r="FS37" i="2"/>
  <c r="FS176" i="2" s="1"/>
  <c r="BX163" i="2"/>
  <c r="CC163" i="2"/>
  <c r="BY163" i="2"/>
  <c r="CI163" i="2"/>
  <c r="CJ163" i="2"/>
  <c r="CF163" i="2"/>
  <c r="CB163" i="2"/>
  <c r="CH163" i="2"/>
  <c r="CG163" i="2"/>
  <c r="CE163" i="2"/>
  <c r="FR186" i="2"/>
  <c r="FR26" i="2"/>
  <c r="FR29" i="2"/>
  <c r="FS24" i="2"/>
  <c r="FS23" i="2"/>
  <c r="FS146" i="2"/>
  <c r="FS25" i="2"/>
  <c r="FS14" i="2"/>
  <c r="FS107" i="2"/>
  <c r="FT13" i="2"/>
  <c r="FT196" i="2" s="1"/>
  <c r="FS138" i="2"/>
  <c r="FS170" i="2"/>
  <c r="FS109" i="2"/>
  <c r="FS185" i="2" s="1"/>
  <c r="FS151" i="2"/>
  <c r="FS139" i="2"/>
  <c r="FS28" i="2"/>
  <c r="FS27" i="2"/>
  <c r="FS85" i="2"/>
  <c r="FS174" i="2" s="1"/>
  <c r="FS110" i="2"/>
  <c r="FS140" i="2"/>
  <c r="FS30" i="2"/>
  <c r="FS108" i="2"/>
  <c r="CZ60" i="2"/>
  <c r="CZ62" i="2" s="1"/>
  <c r="FI60" i="2"/>
  <c r="FI62" i="2" s="1"/>
  <c r="EK60" i="2"/>
  <c r="EK62" i="2" s="1"/>
  <c r="ED60" i="2"/>
  <c r="ED62" i="2" s="1"/>
  <c r="EB60" i="2"/>
  <c r="EB62" i="2" s="1"/>
  <c r="DU60" i="2"/>
  <c r="DU62" i="2" s="1"/>
  <c r="DN60" i="2"/>
  <c r="DN62" i="2" s="1"/>
  <c r="CI60" i="2"/>
  <c r="CI62" i="2" s="1"/>
  <c r="DA60" i="2"/>
  <c r="DA62" i="2" s="1"/>
  <c r="EE60" i="2"/>
  <c r="EE62" i="2" s="1"/>
  <c r="DX60" i="2"/>
  <c r="DX62" i="2" s="1"/>
  <c r="FD60" i="2"/>
  <c r="FD62" i="2" s="1"/>
  <c r="DR60" i="2"/>
  <c r="DR62" i="2" s="1"/>
  <c r="DP60" i="2"/>
  <c r="DP62" i="2" s="1"/>
  <c r="DC60" i="2"/>
  <c r="DC62" i="2" s="1"/>
  <c r="CY60" i="2"/>
  <c r="CY62" i="2" s="1"/>
  <c r="CS60" i="2"/>
  <c r="CS62" i="2" s="1"/>
  <c r="CP60" i="2"/>
  <c r="CP62" i="2" s="1"/>
  <c r="FR60" i="2"/>
  <c r="FR62" i="2" s="1"/>
  <c r="FF60" i="2"/>
  <c r="FF62" i="2" s="1"/>
  <c r="FC60" i="2"/>
  <c r="FC62" i="2" s="1"/>
  <c r="EZ60" i="2"/>
  <c r="EZ62" i="2" s="1"/>
  <c r="EY60" i="2"/>
  <c r="EY62" i="2" s="1"/>
  <c r="ET60" i="2"/>
  <c r="ET62" i="2" s="1"/>
  <c r="EM60" i="2"/>
  <c r="EM62" i="2" s="1"/>
  <c r="DY60" i="2"/>
  <c r="DY62" i="2" s="1"/>
  <c r="DE60" i="2"/>
  <c r="DE62" i="2" s="1"/>
  <c r="DB60" i="2"/>
  <c r="DB62" i="2" s="1"/>
  <c r="CU60" i="2"/>
  <c r="CU62" i="2" s="1"/>
  <c r="FG60" i="2"/>
  <c r="FG62" i="2" s="1"/>
  <c r="EI60" i="2"/>
  <c r="EI62" i="2" s="1"/>
  <c r="DI60" i="2"/>
  <c r="DI62" i="2" s="1"/>
  <c r="CQ60" i="2"/>
  <c r="CQ62" i="2" s="1"/>
  <c r="FT60" i="2"/>
  <c r="FT62" i="2" s="1"/>
  <c r="FJ60" i="2"/>
  <c r="FJ62" i="2" s="1"/>
  <c r="FA60" i="2"/>
  <c r="FA62" i="2" s="1"/>
  <c r="FB60" i="2"/>
  <c r="FB62" i="2" s="1"/>
  <c r="ER60" i="2"/>
  <c r="ER62" i="2" s="1"/>
  <c r="DS60" i="2"/>
  <c r="DS62" i="2" s="1"/>
  <c r="DO60" i="2"/>
  <c r="DO62" i="2" s="1"/>
  <c r="DG60" i="2"/>
  <c r="DG62" i="2" s="1"/>
  <c r="DD60" i="2"/>
  <c r="DD62" i="2" s="1"/>
  <c r="CW60" i="2"/>
  <c r="CW62" i="2" s="1"/>
  <c r="CJ60" i="2"/>
  <c r="CJ62" i="2" s="1"/>
  <c r="FL60" i="2"/>
  <c r="FL62" i="2" s="1"/>
  <c r="FP60" i="2"/>
  <c r="FP62" i="2" s="1"/>
  <c r="EU60" i="2"/>
  <c r="EU62" i="2" s="1"/>
  <c r="EP60" i="2"/>
  <c r="EP62" i="2" s="1"/>
  <c r="EO60" i="2"/>
  <c r="EO62" i="2" s="1"/>
  <c r="EG60" i="2"/>
  <c r="EG62" i="2" s="1"/>
  <c r="DZ60" i="2"/>
  <c r="DZ62" i="2" s="1"/>
  <c r="CT60" i="2"/>
  <c r="CT62" i="2" s="1"/>
  <c r="CN60" i="2"/>
  <c r="CN62" i="2" s="1"/>
  <c r="FN60" i="2"/>
  <c r="FN62" i="2" s="1"/>
  <c r="FE60" i="2"/>
  <c r="FE62" i="2" s="1"/>
  <c r="EX60" i="2"/>
  <c r="EX62" i="2" s="1"/>
  <c r="EW60" i="2"/>
  <c r="EW62" i="2" s="1"/>
  <c r="ES60" i="2"/>
  <c r="ES62" i="2" s="1"/>
  <c r="EN60" i="2"/>
  <c r="EN62" i="2" s="1"/>
  <c r="EH60" i="2"/>
  <c r="EH62" i="2" s="1"/>
  <c r="EF60" i="2"/>
  <c r="EF62" i="2" s="1"/>
  <c r="EA60" i="2"/>
  <c r="EA62" i="2" s="1"/>
  <c r="DT60" i="2"/>
  <c r="DT62" i="2" s="1"/>
  <c r="DQ60" i="2"/>
  <c r="DQ62" i="2" s="1"/>
  <c r="DM60" i="2"/>
  <c r="DM62" i="2" s="1"/>
  <c r="DL60" i="2"/>
  <c r="DL62" i="2" s="1"/>
  <c r="CK60" i="2"/>
  <c r="CK62" i="2" s="1"/>
  <c r="EL60" i="2"/>
  <c r="EL62" i="2" s="1"/>
  <c r="EC60" i="2"/>
  <c r="EC62" i="2" s="1"/>
  <c r="DW60" i="2"/>
  <c r="DW62" i="2" s="1"/>
  <c r="DV60" i="2"/>
  <c r="DV62" i="2" s="1"/>
  <c r="DK60" i="2"/>
  <c r="DK62" i="2" s="1"/>
  <c r="DF60" i="2"/>
  <c r="DF62" i="2" s="1"/>
  <c r="CR60" i="2"/>
  <c r="CR62" i="2" s="1"/>
  <c r="CO60" i="2"/>
  <c r="CO62" i="2" s="1"/>
  <c r="EV60" i="2"/>
  <c r="EV62" i="2" s="1"/>
  <c r="EQ60" i="2"/>
  <c r="EQ62" i="2" s="1"/>
  <c r="EJ60" i="2"/>
  <c r="EJ62" i="2" s="1"/>
  <c r="DJ60" i="2"/>
  <c r="DJ62" i="2" s="1"/>
  <c r="DH60" i="2"/>
  <c r="DH62" i="2" s="1"/>
  <c r="CV60" i="2"/>
  <c r="CV62" i="2" s="1"/>
  <c r="CX60" i="2"/>
  <c r="CX62" i="2" s="1"/>
  <c r="CM60" i="2"/>
  <c r="CM62" i="2" s="1"/>
  <c r="CL60" i="2"/>
  <c r="CL62" i="2" s="1"/>
  <c r="CC176" i="2"/>
  <c r="BY101" i="2"/>
  <c r="CF101" i="2"/>
  <c r="CG101" i="2"/>
  <c r="CB101" i="2"/>
  <c r="CD101" i="2"/>
  <c r="BZ101" i="2"/>
  <c r="CC101" i="2"/>
  <c r="CH101" i="2"/>
  <c r="CE101" i="2"/>
  <c r="CA101" i="2"/>
  <c r="FT155" i="2"/>
  <c r="FT157" i="2" s="1"/>
  <c r="FM178" i="2"/>
  <c r="FO76" i="2"/>
  <c r="FO77" i="2" s="1"/>
  <c r="EB176" i="2"/>
  <c r="DN176" i="2"/>
  <c r="EU176" i="2"/>
  <c r="FK178" i="2"/>
  <c r="EX176" i="2"/>
  <c r="EW176" i="2"/>
  <c r="DB34" i="2"/>
  <c r="CZ34" i="2"/>
  <c r="CZ41" i="2" s="1"/>
  <c r="CZ87" i="2" s="1"/>
  <c r="DH34" i="2"/>
  <c r="DH41" i="2" s="1"/>
  <c r="CX34" i="2"/>
  <c r="CX41" i="2" s="1"/>
  <c r="DE34" i="2"/>
  <c r="DC34" i="2"/>
  <c r="DC41" i="2" s="1"/>
  <c r="DC87" i="2" s="1"/>
  <c r="DT176" i="2"/>
  <c r="DF34" i="2"/>
  <c r="DD34" i="2"/>
  <c r="DG34" i="2"/>
  <c r="CY34" i="2"/>
  <c r="DI34" i="2"/>
  <c r="DA34" i="2"/>
  <c r="CS34" i="2"/>
  <c r="CW34" i="2"/>
  <c r="CU34" i="2"/>
  <c r="CL34" i="2"/>
  <c r="CL163" i="2" s="1"/>
  <c r="CV34" i="2"/>
  <c r="CM34" i="2"/>
  <c r="CR34" i="2"/>
  <c r="CO34" i="2"/>
  <c r="CN34" i="2"/>
  <c r="CP34" i="2"/>
  <c r="CQ34" i="2"/>
  <c r="CT34" i="2"/>
  <c r="EZ176" i="2"/>
  <c r="EY176" i="2"/>
  <c r="EV176" i="2"/>
  <c r="FC176" i="2"/>
  <c r="DM176" i="2"/>
  <c r="FF176" i="2"/>
  <c r="DL176" i="2"/>
  <c r="FD176" i="2"/>
  <c r="EH176" i="2"/>
  <c r="DW176" i="2"/>
  <c r="DS176" i="2"/>
  <c r="FH76" i="2"/>
  <c r="FH77" i="2" s="1"/>
  <c r="FO178" i="2"/>
  <c r="EP176" i="2"/>
  <c r="EA176" i="2"/>
  <c r="FK76" i="2"/>
  <c r="FL176" i="2"/>
  <c r="DO176" i="2"/>
  <c r="FJ176" i="2"/>
  <c r="FR176" i="2"/>
  <c r="ET176" i="2"/>
  <c r="EN176" i="2"/>
  <c r="EM176" i="2"/>
  <c r="EF176" i="2"/>
  <c r="DY176" i="2"/>
  <c r="DX176" i="2"/>
  <c r="FA176" i="2"/>
  <c r="ES176" i="2"/>
  <c r="FN176" i="2"/>
  <c r="FE176" i="2"/>
  <c r="DU176" i="2"/>
  <c r="DQ176" i="2"/>
  <c r="FP176" i="2"/>
  <c r="FB176" i="2"/>
  <c r="ER176" i="2"/>
  <c r="EQ176" i="2"/>
  <c r="FH178" i="2"/>
  <c r="BU176" i="2"/>
  <c r="BV49" i="2"/>
  <c r="CA176" i="2"/>
  <c r="DK49" i="2"/>
  <c r="CR49" i="2"/>
  <c r="CA49" i="2"/>
  <c r="CJ49" i="2"/>
  <c r="FM76" i="2"/>
  <c r="FM77" i="2" s="1"/>
  <c r="FN49" i="2"/>
  <c r="DV49" i="2"/>
  <c r="CJ74" i="2"/>
  <c r="FA49" i="2"/>
  <c r="EB49" i="2"/>
  <c r="DZ49" i="2"/>
  <c r="DM49" i="2"/>
  <c r="BZ49" i="2"/>
  <c r="BR49" i="2"/>
  <c r="BN176" i="2"/>
  <c r="EQ49" i="2"/>
  <c r="EG49" i="2"/>
  <c r="DQ49" i="2"/>
  <c r="DO74" i="2"/>
  <c r="DL49" i="2"/>
  <c r="DF49" i="2"/>
  <c r="DA49" i="2"/>
  <c r="CE49" i="2"/>
  <c r="BS49" i="2"/>
  <c r="BT176" i="2"/>
  <c r="BL176" i="2"/>
  <c r="CI176" i="2"/>
  <c r="BQ176" i="2"/>
  <c r="BM176" i="2"/>
  <c r="BO176" i="2"/>
  <c r="FG74" i="2"/>
  <c r="FI49" i="2"/>
  <c r="EW74" i="2"/>
  <c r="EV74" i="2"/>
  <c r="EK49" i="2"/>
  <c r="EI74" i="2"/>
  <c r="EI49" i="2"/>
  <c r="EH74" i="2"/>
  <c r="DL74" i="2"/>
  <c r="CG74" i="2"/>
  <c r="CG49" i="2"/>
  <c r="CC60" i="2"/>
  <c r="CC62" i="2" s="1"/>
  <c r="CD176" i="2"/>
  <c r="BY74" i="2"/>
  <c r="BX60" i="2"/>
  <c r="BX62" i="2" s="1"/>
  <c r="BV176" i="2"/>
  <c r="BT49" i="2"/>
  <c r="FJ49" i="2"/>
  <c r="EH49" i="2"/>
  <c r="ED49" i="2"/>
  <c r="DH49" i="2"/>
  <c r="DB49" i="2"/>
  <c r="CZ49" i="2"/>
  <c r="CS49" i="2"/>
  <c r="BW176" i="2"/>
  <c r="FB101" i="2"/>
  <c r="FB175" i="2"/>
  <c r="EW101" i="2"/>
  <c r="EW175" i="2"/>
  <c r="EF101" i="2"/>
  <c r="EF175" i="2"/>
  <c r="ED74" i="2"/>
  <c r="CH49" i="2"/>
  <c r="P101" i="2"/>
  <c r="P175" i="2"/>
  <c r="P178" i="2" s="1"/>
  <c r="P41" i="2"/>
  <c r="P87" i="2" s="1"/>
  <c r="BN49" i="2"/>
  <c r="BN62" i="2"/>
  <c r="BN76" i="2" s="1"/>
  <c r="FP74" i="2"/>
  <c r="FL101" i="2"/>
  <c r="FL175" i="2"/>
  <c r="FF49" i="2"/>
  <c r="FE49" i="2"/>
  <c r="FC74" i="2"/>
  <c r="FA74" i="2"/>
  <c r="EZ74" i="2"/>
  <c r="EY101" i="2"/>
  <c r="EY175" i="2"/>
  <c r="EU74" i="2"/>
  <c r="EN74" i="2"/>
  <c r="EK101" i="2"/>
  <c r="EK175" i="2"/>
  <c r="EK178" i="2" s="1"/>
  <c r="EE101" i="2"/>
  <c r="EE175" i="2"/>
  <c r="EE178" i="2" s="1"/>
  <c r="EB101" i="2"/>
  <c r="EB175" i="2"/>
  <c r="DX49" i="2"/>
  <c r="DT101" i="2"/>
  <c r="DT175" i="2"/>
  <c r="DP101" i="2"/>
  <c r="DP175" i="2"/>
  <c r="DP178" i="2" s="1"/>
  <c r="DK74" i="2"/>
  <c r="DI49" i="2"/>
  <c r="DE74" i="2"/>
  <c r="DE101" i="2"/>
  <c r="DE175" i="2"/>
  <c r="DD74" i="2"/>
  <c r="DB74" i="2"/>
  <c r="CY101" i="2"/>
  <c r="CY175" i="2"/>
  <c r="CX49" i="2"/>
  <c r="CW74" i="2"/>
  <c r="CT74" i="2"/>
  <c r="CS101" i="2"/>
  <c r="CQ49" i="2"/>
  <c r="CP74" i="2"/>
  <c r="CN74" i="2"/>
  <c r="CN49" i="2"/>
  <c r="CI74" i="2"/>
  <c r="CG176" i="2"/>
  <c r="CE176" i="2"/>
  <c r="CD74" i="2"/>
  <c r="CA60" i="2"/>
  <c r="CA62" i="2" s="1"/>
  <c r="BY49" i="2"/>
  <c r="AT101" i="2"/>
  <c r="AT175" i="2"/>
  <c r="AT178" i="2" s="1"/>
  <c r="AT41" i="2"/>
  <c r="AT87" i="2" s="1"/>
  <c r="BE41" i="2"/>
  <c r="BE87" i="2" s="1"/>
  <c r="BE101" i="2"/>
  <c r="BE175" i="2"/>
  <c r="BE178" i="2" s="1"/>
  <c r="Y41" i="2"/>
  <c r="Y87" i="2" s="1"/>
  <c r="Y101" i="2"/>
  <c r="Y175" i="2"/>
  <c r="Y178" i="2" s="1"/>
  <c r="AD101" i="2"/>
  <c r="AD175" i="2"/>
  <c r="AD178" i="2" s="1"/>
  <c r="AD41" i="2"/>
  <c r="AD87" i="2" s="1"/>
  <c r="AV41" i="2"/>
  <c r="AV87" i="2" s="1"/>
  <c r="AV101" i="2"/>
  <c r="AV175" i="2"/>
  <c r="AV178" i="2" s="1"/>
  <c r="AW101" i="2"/>
  <c r="AW175" i="2"/>
  <c r="AW178" i="2" s="1"/>
  <c r="AW41" i="2"/>
  <c r="AW87" i="2" s="1"/>
  <c r="BU60" i="2"/>
  <c r="BU62" i="2" s="1"/>
  <c r="AU41" i="2"/>
  <c r="AU87" i="2" s="1"/>
  <c r="AU101" i="2"/>
  <c r="AU175" i="2"/>
  <c r="AU178" i="2" s="1"/>
  <c r="BS60" i="2"/>
  <c r="BS62" i="2" s="1"/>
  <c r="BS176" i="2"/>
  <c r="BS74" i="2"/>
  <c r="AQ101" i="2"/>
  <c r="AQ175" i="2"/>
  <c r="AQ178" i="2" s="1"/>
  <c r="AQ41" i="2"/>
  <c r="AQ87" i="2" s="1"/>
  <c r="BM49" i="2"/>
  <c r="BM62" i="2"/>
  <c r="BM76" i="2" s="1"/>
  <c r="CU101" i="2"/>
  <c r="CU175" i="2"/>
  <c r="CK101" i="2"/>
  <c r="V101" i="2"/>
  <c r="V175" i="2"/>
  <c r="V178" i="2" s="1"/>
  <c r="V41" i="2"/>
  <c r="V87" i="2" s="1"/>
  <c r="BK101" i="2"/>
  <c r="FJ74" i="2"/>
  <c r="FC49" i="2"/>
  <c r="EZ101" i="2"/>
  <c r="EZ175" i="2"/>
  <c r="EY49" i="2"/>
  <c r="EX101" i="2"/>
  <c r="EX175" i="2"/>
  <c r="EQ101" i="2"/>
  <c r="EQ175" i="2"/>
  <c r="EP101" i="2"/>
  <c r="EP175" i="2"/>
  <c r="EP49" i="2"/>
  <c r="ED101" i="2"/>
  <c r="ED175" i="2"/>
  <c r="ED178" i="2" s="1"/>
  <c r="EC101" i="2"/>
  <c r="EC175" i="2"/>
  <c r="EC178" i="2" s="1"/>
  <c r="EC49" i="2"/>
  <c r="DY74" i="2"/>
  <c r="DU49" i="2"/>
  <c r="DT49" i="2"/>
  <c r="DS49" i="2"/>
  <c r="DS74" i="2"/>
  <c r="DQ101" i="2"/>
  <c r="DQ175" i="2"/>
  <c r="DJ74" i="2"/>
  <c r="CV49" i="2"/>
  <c r="CR74" i="2"/>
  <c r="CQ74" i="2"/>
  <c r="CQ101" i="2"/>
  <c r="CO101" i="2"/>
  <c r="CF74" i="2"/>
  <c r="CE60" i="2"/>
  <c r="CE62" i="2" s="1"/>
  <c r="CC49" i="2"/>
  <c r="CB74" i="2"/>
  <c r="CB60" i="2"/>
  <c r="CB62" i="2" s="1"/>
  <c r="BZ176" i="2"/>
  <c r="M101" i="2"/>
  <c r="M175" i="2"/>
  <c r="M178" i="2" s="1"/>
  <c r="M41" i="2"/>
  <c r="M87" i="2" s="1"/>
  <c r="AN175" i="2"/>
  <c r="AN178" i="2" s="1"/>
  <c r="AN41" i="2"/>
  <c r="AN87" i="2" s="1"/>
  <c r="AN101" i="2"/>
  <c r="AE175" i="2"/>
  <c r="AE178" i="2" s="1"/>
  <c r="AE41" i="2"/>
  <c r="AE87" i="2" s="1"/>
  <c r="AE101" i="2"/>
  <c r="X41" i="2"/>
  <c r="X87" i="2" s="1"/>
  <c r="X101" i="2"/>
  <c r="X175" i="2"/>
  <c r="X178" i="2" s="1"/>
  <c r="T41" i="2"/>
  <c r="T87" i="2" s="1"/>
  <c r="T101" i="2"/>
  <c r="T175" i="2"/>
  <c r="T178" i="2" s="1"/>
  <c r="AL41" i="2"/>
  <c r="AL87" i="2" s="1"/>
  <c r="AL175" i="2"/>
  <c r="AL178" i="2" s="1"/>
  <c r="AL101" i="2"/>
  <c r="AH175" i="2"/>
  <c r="AH178" i="2" s="1"/>
  <c r="AH41" i="2"/>
  <c r="AH87" i="2" s="1"/>
  <c r="AH101" i="2"/>
  <c r="BH101" i="2"/>
  <c r="BH175" i="2"/>
  <c r="BH178" i="2" s="1"/>
  <c r="BH41" i="2"/>
  <c r="BH87" i="2" s="1"/>
  <c r="BT60" i="2"/>
  <c r="BT62" i="2" s="1"/>
  <c r="BT74" i="2"/>
  <c r="AG101" i="2"/>
  <c r="AG175" i="2"/>
  <c r="AG178" i="2" s="1"/>
  <c r="AG41" i="2"/>
  <c r="AG87" i="2" s="1"/>
  <c r="ET74" i="2"/>
  <c r="EH101" i="2"/>
  <c r="EH175" i="2"/>
  <c r="EA49" i="2"/>
  <c r="DX101" i="2"/>
  <c r="DX175" i="2"/>
  <c r="DX74" i="2"/>
  <c r="DT74" i="2"/>
  <c r="DG101" i="2"/>
  <c r="DG175" i="2"/>
  <c r="DA101" i="2"/>
  <c r="DA175" i="2"/>
  <c r="CZ74" i="2"/>
  <c r="CY74" i="2"/>
  <c r="CR101" i="2"/>
  <c r="CL49" i="2"/>
  <c r="CE74" i="2"/>
  <c r="CD60" i="2"/>
  <c r="CD62" i="2" s="1"/>
  <c r="BY60" i="2"/>
  <c r="BY62" i="2" s="1"/>
  <c r="O175" i="2"/>
  <c r="O178" i="2" s="1"/>
  <c r="O101" i="2"/>
  <c r="O41" i="2"/>
  <c r="O87" i="2" s="1"/>
  <c r="BB101" i="2"/>
  <c r="BB175" i="2"/>
  <c r="BB178" i="2" s="1"/>
  <c r="BB41" i="2"/>
  <c r="BB87" i="2" s="1"/>
  <c r="BD101" i="2"/>
  <c r="BD175" i="2"/>
  <c r="BD178" i="2" s="1"/>
  <c r="BD41" i="2"/>
  <c r="BD87" i="2" s="1"/>
  <c r="AY101" i="2"/>
  <c r="AY175" i="2"/>
  <c r="AY178" i="2" s="1"/>
  <c r="AY41" i="2"/>
  <c r="AY87" i="2" s="1"/>
  <c r="N101" i="2"/>
  <c r="N175" i="2"/>
  <c r="N178" i="2" s="1"/>
  <c r="N41" i="2"/>
  <c r="N87" i="2" s="1"/>
  <c r="BF41" i="2"/>
  <c r="BF87" i="2" s="1"/>
  <c r="BF175" i="2"/>
  <c r="BF178" i="2" s="1"/>
  <c r="BF101" i="2"/>
  <c r="AJ101" i="2"/>
  <c r="AJ175" i="2"/>
  <c r="AJ178" i="2" s="1"/>
  <c r="AJ41" i="2"/>
  <c r="AJ87" i="2" s="1"/>
  <c r="AX101" i="2"/>
  <c r="AX175" i="2"/>
  <c r="AX178" i="2" s="1"/>
  <c r="AX41" i="2"/>
  <c r="AX87" i="2" s="1"/>
  <c r="BU49" i="2"/>
  <c r="BQ49" i="2"/>
  <c r="BQ74" i="2"/>
  <c r="BP49" i="2"/>
  <c r="BP62" i="2"/>
  <c r="BP76" i="2" s="1"/>
  <c r="BL49" i="2"/>
  <c r="BL62" i="2"/>
  <c r="BL76" i="2" s="1"/>
  <c r="FL49" i="2"/>
  <c r="EU101" i="2"/>
  <c r="EU175" i="2"/>
  <c r="FN74" i="2"/>
  <c r="FF74" i="2"/>
  <c r="FC101" i="2"/>
  <c r="FC175" i="2"/>
  <c r="FD101" i="2"/>
  <c r="FD175" i="2"/>
  <c r="ES101" i="2"/>
  <c r="ES175" i="2"/>
  <c r="EO49" i="2"/>
  <c r="EN49" i="2"/>
  <c r="EM49" i="2"/>
  <c r="EJ74" i="2"/>
  <c r="EG74" i="2"/>
  <c r="EF49" i="2"/>
  <c r="EC74" i="2"/>
  <c r="DZ74" i="2"/>
  <c r="DY101" i="2"/>
  <c r="DY175" i="2"/>
  <c r="DS101" i="2"/>
  <c r="DS175" i="2"/>
  <c r="DR49" i="2"/>
  <c r="DR101" i="2"/>
  <c r="DR175" i="2"/>
  <c r="DR178" i="2" s="1"/>
  <c r="DP74" i="2"/>
  <c r="DO101" i="2"/>
  <c r="DO175" i="2"/>
  <c r="DL101" i="2"/>
  <c r="DL175" i="2"/>
  <c r="DM74" i="2"/>
  <c r="DG74" i="2"/>
  <c r="DF74" i="2"/>
  <c r="DD101" i="2"/>
  <c r="DD175" i="2"/>
  <c r="DC49" i="2"/>
  <c r="CX74" i="2"/>
  <c r="CU74" i="2"/>
  <c r="CU49" i="2"/>
  <c r="CV74" i="2"/>
  <c r="CL74" i="2"/>
  <c r="CK49" i="2"/>
  <c r="CL101" i="2"/>
  <c r="CF49" i="2"/>
  <c r="CB176" i="2"/>
  <c r="CA74" i="2"/>
  <c r="BZ74" i="2"/>
  <c r="BY176" i="2"/>
  <c r="BX176" i="2"/>
  <c r="BW74" i="2"/>
  <c r="BV74" i="2"/>
  <c r="BA41" i="2"/>
  <c r="BA87" i="2" s="1"/>
  <c r="BA101" i="2"/>
  <c r="BA175" i="2"/>
  <c r="BA178" i="2" s="1"/>
  <c r="U101" i="2"/>
  <c r="U175" i="2"/>
  <c r="U178" i="2" s="1"/>
  <c r="U41" i="2"/>
  <c r="U87" i="2" s="1"/>
  <c r="W175" i="2"/>
  <c r="W178" i="2" s="1"/>
  <c r="W101" i="2"/>
  <c r="W41" i="2"/>
  <c r="W87" i="2" s="1"/>
  <c r="AZ101" i="2"/>
  <c r="AZ175" i="2"/>
  <c r="AZ178" i="2" s="1"/>
  <c r="AZ41" i="2"/>
  <c r="AZ87" i="2" s="1"/>
  <c r="AB101" i="2"/>
  <c r="AB175" i="2"/>
  <c r="AB178" i="2" s="1"/>
  <c r="AB41" i="2"/>
  <c r="AB87" i="2" s="1"/>
  <c r="BR60" i="2"/>
  <c r="BR62" i="2" s="1"/>
  <c r="BP176" i="2"/>
  <c r="FQ76" i="2"/>
  <c r="FQ77" i="2" s="1"/>
  <c r="DU101" i="2"/>
  <c r="DU175" i="2"/>
  <c r="CZ101" i="2"/>
  <c r="CZ175" i="2"/>
  <c r="BC41" i="2"/>
  <c r="BC87" i="2" s="1"/>
  <c r="BC101" i="2"/>
  <c r="BC175" i="2"/>
  <c r="BC178" i="2" s="1"/>
  <c r="EX74" i="2"/>
  <c r="FD74" i="2"/>
  <c r="FE101" i="2"/>
  <c r="FE175" i="2"/>
  <c r="FB74" i="2"/>
  <c r="FA101" i="2"/>
  <c r="FA175" i="2"/>
  <c r="EY74" i="2"/>
  <c r="EU49" i="2"/>
  <c r="EM101" i="2"/>
  <c r="EM175" i="2"/>
  <c r="EK74" i="2"/>
  <c r="EJ49" i="2"/>
  <c r="EF74" i="2"/>
  <c r="EE74" i="2"/>
  <c r="EA101" i="2"/>
  <c r="EA175" i="2"/>
  <c r="DZ101" i="2"/>
  <c r="DZ175" i="2"/>
  <c r="DZ178" i="2" s="1"/>
  <c r="DV74" i="2"/>
  <c r="DU74" i="2"/>
  <c r="DM101" i="2"/>
  <c r="DM175" i="2"/>
  <c r="DI101" i="2"/>
  <c r="DI175" i="2"/>
  <c r="DH74" i="2"/>
  <c r="DA74" i="2"/>
  <c r="CW101" i="2"/>
  <c r="CW175" i="2"/>
  <c r="CS74" i="2"/>
  <c r="CT101" i="2"/>
  <c r="CT175" i="2"/>
  <c r="CO49" i="2"/>
  <c r="CM49" i="2"/>
  <c r="CM74" i="2"/>
  <c r="CH60" i="2"/>
  <c r="CH62" i="2" s="1"/>
  <c r="CF60" i="2"/>
  <c r="CF62" i="2" s="1"/>
  <c r="CF176" i="2"/>
  <c r="CB49" i="2"/>
  <c r="BX49" i="2"/>
  <c r="BX74" i="2"/>
  <c r="BW60" i="2"/>
  <c r="BW62" i="2" s="1"/>
  <c r="AC41" i="2"/>
  <c r="AC87" i="2" s="1"/>
  <c r="AC101" i="2"/>
  <c r="AC175" i="2"/>
  <c r="AC178" i="2" s="1"/>
  <c r="AA101" i="2"/>
  <c r="AA175" i="2"/>
  <c r="AA178" i="2" s="1"/>
  <c r="AA41" i="2"/>
  <c r="AA87" i="2" s="1"/>
  <c r="AS101" i="2"/>
  <c r="AS175" i="2"/>
  <c r="AS178" i="2" s="1"/>
  <c r="AS41" i="2"/>
  <c r="AS87" i="2" s="1"/>
  <c r="AI41" i="2"/>
  <c r="AI87" i="2" s="1"/>
  <c r="AI175" i="2"/>
  <c r="AI178" i="2" s="1"/>
  <c r="AI101" i="2"/>
  <c r="BR74" i="2"/>
  <c r="DQ74" i="2"/>
  <c r="CP101" i="2"/>
  <c r="AM41" i="2"/>
  <c r="AM87" i="2" s="1"/>
  <c r="AM101" i="2"/>
  <c r="AM175" i="2"/>
  <c r="AM178" i="2" s="1"/>
  <c r="EV101" i="2"/>
  <c r="EV175" i="2"/>
  <c r="FI101" i="2"/>
  <c r="FI175" i="2"/>
  <c r="FI178" i="2" s="1"/>
  <c r="FN101" i="2"/>
  <c r="FN175" i="2"/>
  <c r="FR74" i="2"/>
  <c r="FG49" i="2"/>
  <c r="FE74" i="2"/>
  <c r="EZ49" i="2"/>
  <c r="EW49" i="2"/>
  <c r="ET49" i="2"/>
  <c r="ES49" i="2"/>
  <c r="ER101" i="2"/>
  <c r="ER175" i="2"/>
  <c r="ER74" i="2"/>
  <c r="EO101" i="2"/>
  <c r="EO175" i="2"/>
  <c r="EO178" i="2" s="1"/>
  <c r="EN101" i="2"/>
  <c r="EN175" i="2"/>
  <c r="EL101" i="2"/>
  <c r="EL175" i="2"/>
  <c r="EL178" i="2" s="1"/>
  <c r="EG101" i="2"/>
  <c r="EG175" i="2"/>
  <c r="EG178" i="2" s="1"/>
  <c r="EI101" i="2"/>
  <c r="EI175" i="2"/>
  <c r="EI178" i="2" s="1"/>
  <c r="EE49" i="2"/>
  <c r="DW101" i="2"/>
  <c r="DW175" i="2"/>
  <c r="DW74" i="2"/>
  <c r="DW49" i="2"/>
  <c r="DV101" i="2"/>
  <c r="DV175" i="2"/>
  <c r="DV178" i="2" s="1"/>
  <c r="DR74" i="2"/>
  <c r="DN74" i="2"/>
  <c r="DJ101" i="2"/>
  <c r="DJ175" i="2"/>
  <c r="DF101" i="2"/>
  <c r="DF175" i="2"/>
  <c r="DE49" i="2"/>
  <c r="DD49" i="2"/>
  <c r="DB101" i="2"/>
  <c r="DB175" i="2"/>
  <c r="CY49" i="2"/>
  <c r="CV101" i="2"/>
  <c r="CV175" i="2"/>
  <c r="CT49" i="2"/>
  <c r="CN101" i="2"/>
  <c r="CK34" i="2"/>
  <c r="CK74" i="2"/>
  <c r="CJ176" i="2"/>
  <c r="CG60" i="2"/>
  <c r="CG62" i="2" s="1"/>
  <c r="CD49" i="2"/>
  <c r="BZ60" i="2"/>
  <c r="BZ62" i="2" s="1"/>
  <c r="BW49" i="2"/>
  <c r="AR175" i="2"/>
  <c r="AR178" i="2" s="1"/>
  <c r="AR41" i="2"/>
  <c r="AR87" i="2" s="1"/>
  <c r="AR101" i="2"/>
  <c r="AP41" i="2"/>
  <c r="AP87" i="2" s="1"/>
  <c r="AP101" i="2"/>
  <c r="AP175" i="2"/>
  <c r="AP178" i="2" s="1"/>
  <c r="Q41" i="2"/>
  <c r="Q87" i="2" s="1"/>
  <c r="Q101" i="2"/>
  <c r="Q175" i="2"/>
  <c r="Q178" i="2" s="1"/>
  <c r="BU74" i="2"/>
  <c r="R175" i="2"/>
  <c r="R178" i="2" s="1"/>
  <c r="R41" i="2"/>
  <c r="R87" i="2" s="1"/>
  <c r="R101" i="2"/>
  <c r="BG101" i="2"/>
  <c r="BG175" i="2"/>
  <c r="BG178" i="2" s="1"/>
  <c r="BG41" i="2"/>
  <c r="BV60" i="2"/>
  <c r="BV62" i="2" s="1"/>
  <c r="Z175" i="2"/>
  <c r="Z178" i="2" s="1"/>
  <c r="Z101" i="2"/>
  <c r="Z41" i="2"/>
  <c r="Z87" i="2" s="1"/>
  <c r="BQ60" i="2"/>
  <c r="BQ62" i="2" s="1"/>
  <c r="ER49" i="2"/>
  <c r="DC101" i="2"/>
  <c r="DC175" i="2"/>
  <c r="CM101" i="2"/>
  <c r="AK101" i="2"/>
  <c r="AK175" i="2"/>
  <c r="AK178" i="2" s="1"/>
  <c r="AK41" i="2"/>
  <c r="AK87" i="2" s="1"/>
  <c r="FG101" i="2"/>
  <c r="FG175" i="2"/>
  <c r="FP101" i="2"/>
  <c r="FP175" i="2"/>
  <c r="FP49" i="2"/>
  <c r="FR49" i="2"/>
  <c r="FJ101" i="2"/>
  <c r="FJ175" i="2"/>
  <c r="FI74" i="2"/>
  <c r="FL74" i="2"/>
  <c r="FF101" i="2"/>
  <c r="FF175" i="2"/>
  <c r="FD49" i="2"/>
  <c r="FB49" i="2"/>
  <c r="EX49" i="2"/>
  <c r="EV49" i="2"/>
  <c r="ET101" i="2"/>
  <c r="ET175" i="2"/>
  <c r="ES74" i="2"/>
  <c r="EQ74" i="2"/>
  <c r="EP74" i="2"/>
  <c r="EO74" i="2"/>
  <c r="EL49" i="2"/>
  <c r="EL74" i="2"/>
  <c r="EM74" i="2"/>
  <c r="EJ101" i="2"/>
  <c r="EJ175" i="2"/>
  <c r="EJ178" i="2" s="1"/>
  <c r="EB74" i="2"/>
  <c r="EA74" i="2"/>
  <c r="DY49" i="2"/>
  <c r="DP49" i="2"/>
  <c r="DO49" i="2"/>
  <c r="DN49" i="2"/>
  <c r="DN101" i="2"/>
  <c r="DN175" i="2"/>
  <c r="DK101" i="2"/>
  <c r="DK175" i="2"/>
  <c r="DJ49" i="2"/>
  <c r="DI74" i="2"/>
  <c r="DH101" i="2"/>
  <c r="DH175" i="2"/>
  <c r="DG49" i="2"/>
  <c r="DC74" i="2"/>
  <c r="CX101" i="2"/>
  <c r="CX175" i="2"/>
  <c r="CW49" i="2"/>
  <c r="CP49" i="2"/>
  <c r="CO74" i="2"/>
  <c r="CI49" i="2"/>
  <c r="CH74" i="2"/>
  <c r="CH176" i="2"/>
  <c r="CC74" i="2"/>
  <c r="L175" i="2"/>
  <c r="L178" i="2" s="1"/>
  <c r="L101" i="2"/>
  <c r="L41" i="2"/>
  <c r="L87" i="2" s="1"/>
  <c r="AO101" i="2"/>
  <c r="AO175" i="2"/>
  <c r="AO178" i="2" s="1"/>
  <c r="AO41" i="2"/>
  <c r="AO87" i="2" s="1"/>
  <c r="BI101" i="2"/>
  <c r="AF175" i="2"/>
  <c r="AF178" i="2" s="1"/>
  <c r="AF101" i="2"/>
  <c r="AF41" i="2"/>
  <c r="AF87" i="2" s="1"/>
  <c r="S101" i="2"/>
  <c r="S175" i="2"/>
  <c r="S178" i="2" s="1"/>
  <c r="S41" i="2"/>
  <c r="S87" i="2" s="1"/>
  <c r="BR176" i="2"/>
  <c r="BO49" i="2"/>
  <c r="BO62" i="2"/>
  <c r="BO76" i="2" s="1"/>
  <c r="BJ101" i="2"/>
  <c r="FO111" i="2"/>
  <c r="FO90" i="2"/>
  <c r="FQ80" i="2"/>
  <c r="FQ89" i="2" s="1"/>
  <c r="L77" i="32"/>
  <c r="S76" i="32"/>
  <c r="T76" i="32" s="1"/>
  <c r="P76" i="32" s="1"/>
  <c r="L77" i="9"/>
  <c r="S76" i="9"/>
  <c r="T76" i="9" s="1"/>
  <c r="P76" i="9" s="1"/>
  <c r="I76" i="9"/>
  <c r="J76" i="9" s="1"/>
  <c r="B77" i="9"/>
  <c r="B31" i="32"/>
  <c r="I30" i="32"/>
  <c r="J30" i="32" s="1"/>
  <c r="FS76" i="2"/>
  <c r="FS77" i="2" s="1"/>
  <c r="FS87" i="2"/>
  <c r="FR87" i="2"/>
  <c r="FT44" i="2"/>
  <c r="FT46" i="2" s="1"/>
  <c r="FT48" i="2"/>
  <c r="FT49" i="2"/>
  <c r="FT74" i="2"/>
  <c r="FU45" i="2"/>
  <c r="FU71" i="2"/>
  <c r="FU69" i="2"/>
  <c r="FU154" i="2"/>
  <c r="FU68" i="2"/>
  <c r="FU66" i="2"/>
  <c r="FU56" i="2"/>
  <c r="FU58" i="2"/>
  <c r="FU61" i="2"/>
  <c r="FU33" i="2"/>
  <c r="FU59" i="2"/>
  <c r="FU67" i="2"/>
  <c r="FU36" i="2"/>
  <c r="FU54" i="2"/>
  <c r="FU70" i="2"/>
  <c r="FU65" i="2"/>
  <c r="FU55" i="2"/>
  <c r="FU131" i="2"/>
  <c r="FU39" i="2"/>
  <c r="FU101" i="2" s="1"/>
  <c r="FV15" i="2"/>
  <c r="FU72" i="2"/>
  <c r="FU57" i="2"/>
  <c r="C256" i="9"/>
  <c r="DJ176" i="2" l="1"/>
  <c r="DK87" i="2"/>
  <c r="DJ87" i="2"/>
  <c r="DK176" i="2"/>
  <c r="DA41" i="2"/>
  <c r="DA87" i="2" s="1"/>
  <c r="DA163" i="2"/>
  <c r="DA164" i="2" s="1"/>
  <c r="DA181" i="2" s="1"/>
  <c r="DC176" i="2"/>
  <c r="DC163" i="2"/>
  <c r="DC164" i="2" s="1"/>
  <c r="DC181" i="2" s="1"/>
  <c r="DB41" i="2"/>
  <c r="DB87" i="2" s="1"/>
  <c r="DB163" i="2"/>
  <c r="DB164" i="2" s="1"/>
  <c r="DB181" i="2" s="1"/>
  <c r="DI176" i="2"/>
  <c r="DI163" i="2"/>
  <c r="DI164" i="2" s="1"/>
  <c r="DI181" i="2" s="1"/>
  <c r="DE176" i="2"/>
  <c r="DE163" i="2"/>
  <c r="DE164" i="2" s="1"/>
  <c r="DE181" i="2" s="1"/>
  <c r="CY41" i="2"/>
  <c r="CY87" i="2" s="1"/>
  <c r="CY163" i="2"/>
  <c r="CY164" i="2" s="1"/>
  <c r="CY181" i="2" s="1"/>
  <c r="DG41" i="2"/>
  <c r="DG87" i="2" s="1"/>
  <c r="DG163" i="2"/>
  <c r="DG164" i="2" s="1"/>
  <c r="DG181" i="2" s="1"/>
  <c r="CX176" i="2"/>
  <c r="CX163" i="2"/>
  <c r="CX164" i="2" s="1"/>
  <c r="CX181" i="2" s="1"/>
  <c r="DD41" i="2"/>
  <c r="DD87" i="2" s="1"/>
  <c r="DD163" i="2"/>
  <c r="DD164" i="2" s="1"/>
  <c r="DD181" i="2" s="1"/>
  <c r="CZ176" i="2"/>
  <c r="CZ163" i="2"/>
  <c r="CZ164" i="2" s="1"/>
  <c r="CZ181" i="2" s="1"/>
  <c r="DF176" i="2"/>
  <c r="DF163" i="2"/>
  <c r="DF164" i="2" s="1"/>
  <c r="DF181" i="2" s="1"/>
  <c r="DH176" i="2"/>
  <c r="DH163" i="2"/>
  <c r="DH164" i="2" s="1"/>
  <c r="DH181" i="2" s="1"/>
  <c r="CP163" i="2"/>
  <c r="CW176" i="2"/>
  <c r="CW163" i="2"/>
  <c r="CW164" i="2" s="1"/>
  <c r="CW181" i="2" s="1"/>
  <c r="CN176" i="2"/>
  <c r="CN163" i="2"/>
  <c r="CS176" i="2"/>
  <c r="CS163" i="2"/>
  <c r="CO176" i="2"/>
  <c r="CO163" i="2"/>
  <c r="CU41" i="2"/>
  <c r="CU87" i="2" s="1"/>
  <c r="CU163" i="2"/>
  <c r="CU164" i="2" s="1"/>
  <c r="CU181" i="2" s="1"/>
  <c r="CR176" i="2"/>
  <c r="CR163" i="2"/>
  <c r="CM176" i="2"/>
  <c r="CM163" i="2"/>
  <c r="CV41" i="2"/>
  <c r="CV87" i="2" s="1"/>
  <c r="CV163" i="2"/>
  <c r="CV164" i="2" s="1"/>
  <c r="CV181" i="2" s="1"/>
  <c r="CQ163" i="2"/>
  <c r="CT176" i="2"/>
  <c r="CT163" i="2"/>
  <c r="CT164" i="2" s="1"/>
  <c r="CT181" i="2" s="1"/>
  <c r="FS184" i="2"/>
  <c r="FT37" i="2"/>
  <c r="FT161" i="2"/>
  <c r="FT164" i="2" s="1"/>
  <c r="FT181" i="2" s="1"/>
  <c r="FV163" i="2"/>
  <c r="FV162" i="2"/>
  <c r="CK176" i="2"/>
  <c r="CK163" i="2"/>
  <c r="FS29" i="2"/>
  <c r="FR175" i="2"/>
  <c r="FS186" i="2"/>
  <c r="FT24" i="2"/>
  <c r="FT14" i="2"/>
  <c r="FT107" i="2"/>
  <c r="FT170" i="2"/>
  <c r="FT28" i="2"/>
  <c r="FT25" i="2"/>
  <c r="FT85" i="2"/>
  <c r="FT174" i="2" s="1"/>
  <c r="FT151" i="2"/>
  <c r="FT110" i="2"/>
  <c r="FT109" i="2"/>
  <c r="FT185" i="2" s="1"/>
  <c r="FT108" i="2"/>
  <c r="FT139" i="2"/>
  <c r="FT138" i="2"/>
  <c r="FT30" i="2"/>
  <c r="FT140" i="2"/>
  <c r="FT27" i="2"/>
  <c r="FT146" i="2"/>
  <c r="FU13" i="2"/>
  <c r="FU196" i="2" s="1"/>
  <c r="FT23" i="2"/>
  <c r="FT34" i="2"/>
  <c r="FS26" i="2"/>
  <c r="FK79" i="2"/>
  <c r="FK82" i="2" s="1"/>
  <c r="FK83" i="2" s="1"/>
  <c r="FK77" i="2"/>
  <c r="FU60" i="2"/>
  <c r="FU62" i="2" s="1"/>
  <c r="FO79" i="2"/>
  <c r="FU155" i="2"/>
  <c r="FU157" i="2" s="1"/>
  <c r="DN178" i="2"/>
  <c r="EB178" i="2"/>
  <c r="CW76" i="2"/>
  <c r="DQ178" i="2"/>
  <c r="EU178" i="2"/>
  <c r="EH178" i="2"/>
  <c r="EX178" i="2"/>
  <c r="FJ178" i="2"/>
  <c r="ER178" i="2"/>
  <c r="FC178" i="2"/>
  <c r="EV178" i="2"/>
  <c r="EW178" i="2"/>
  <c r="DT178" i="2"/>
  <c r="EQ178" i="2"/>
  <c r="DM178" i="2"/>
  <c r="DO178" i="2"/>
  <c r="DA176" i="2"/>
  <c r="EA178" i="2"/>
  <c r="EM178" i="2"/>
  <c r="EY178" i="2"/>
  <c r="CY176" i="2"/>
  <c r="EN178" i="2"/>
  <c r="DL178" i="2"/>
  <c r="FN178" i="2"/>
  <c r="DG176" i="2"/>
  <c r="EZ178" i="2"/>
  <c r="FL178" i="2"/>
  <c r="CU176" i="2"/>
  <c r="DY178" i="2"/>
  <c r="CW41" i="2"/>
  <c r="CW87" i="2" s="1"/>
  <c r="CW106" i="2" s="1"/>
  <c r="CQ176" i="2"/>
  <c r="CP176" i="2"/>
  <c r="CV176" i="2"/>
  <c r="DI41" i="2"/>
  <c r="DI87" i="2" s="1"/>
  <c r="DF41" i="2"/>
  <c r="DH87" i="2"/>
  <c r="DD176" i="2"/>
  <c r="DX178" i="2"/>
  <c r="EP178" i="2"/>
  <c r="CL176" i="2"/>
  <c r="DC106" i="2"/>
  <c r="CZ106" i="2"/>
  <c r="CX87" i="2"/>
  <c r="DW178" i="2"/>
  <c r="FA178" i="2"/>
  <c r="DB176" i="2"/>
  <c r="DE41" i="2"/>
  <c r="CT41" i="2"/>
  <c r="CT87" i="2" s="1"/>
  <c r="EF178" i="2"/>
  <c r="FE178" i="2"/>
  <c r="FD178" i="2"/>
  <c r="EY76" i="2"/>
  <c r="ET178" i="2"/>
  <c r="ES178" i="2"/>
  <c r="DS178" i="2"/>
  <c r="FH79" i="2"/>
  <c r="DU178" i="2"/>
  <c r="CM76" i="2"/>
  <c r="CM77" i="2" s="1"/>
  <c r="DO76" i="2"/>
  <c r="CI76" i="2"/>
  <c r="CI77" i="2" s="1"/>
  <c r="DJ76" i="2"/>
  <c r="DJ77" i="2" s="1"/>
  <c r="CJ76" i="2"/>
  <c r="CJ77" i="2" s="1"/>
  <c r="DD76" i="2"/>
  <c r="DD77" i="2" s="1"/>
  <c r="CD76" i="2"/>
  <c r="CD79" i="2" s="1"/>
  <c r="CF76" i="2"/>
  <c r="CN76" i="2"/>
  <c r="EH76" i="2"/>
  <c r="FC76" i="2"/>
  <c r="BZ76" i="2"/>
  <c r="BZ79" i="2" s="1"/>
  <c r="BQ76" i="2"/>
  <c r="CG76" i="2"/>
  <c r="CG79" i="2" s="1"/>
  <c r="EU76" i="2"/>
  <c r="EU77" i="2" s="1"/>
  <c r="ET76" i="2"/>
  <c r="ET77" i="2" s="1"/>
  <c r="DF76" i="2"/>
  <c r="DR76" i="2"/>
  <c r="DR77" i="2" s="1"/>
  <c r="FR76" i="2"/>
  <c r="FM79" i="2"/>
  <c r="FM82" i="2" s="1"/>
  <c r="FM83" i="2" s="1"/>
  <c r="EI76" i="2"/>
  <c r="EI77" i="2" s="1"/>
  <c r="BS76" i="2"/>
  <c r="CC76" i="2"/>
  <c r="EV76" i="2"/>
  <c r="EV77" i="2" s="1"/>
  <c r="DW76" i="2"/>
  <c r="CT76" i="2"/>
  <c r="CT77" i="2" s="1"/>
  <c r="EG76" i="2"/>
  <c r="CZ76" i="2"/>
  <c r="CZ77" i="2" s="1"/>
  <c r="DX76" i="2"/>
  <c r="DX77" i="2" s="1"/>
  <c r="BV76" i="2"/>
  <c r="EN76" i="2"/>
  <c r="DA76" i="2"/>
  <c r="DB76" i="2"/>
  <c r="CV76" i="2"/>
  <c r="CV77" i="2" s="1"/>
  <c r="EM76" i="2"/>
  <c r="FG76" i="2"/>
  <c r="FG77" i="2" s="1"/>
  <c r="FI76" i="2"/>
  <c r="FI77" i="2" s="1"/>
  <c r="DL76" i="2"/>
  <c r="DH76" i="2"/>
  <c r="DH77" i="2" s="1"/>
  <c r="EB76" i="2"/>
  <c r="BW76" i="2"/>
  <c r="DK76" i="2"/>
  <c r="DK77" i="2" s="1"/>
  <c r="EJ76" i="2"/>
  <c r="EJ77" i="2" s="1"/>
  <c r="BX76" i="2"/>
  <c r="BX79" i="2" s="1"/>
  <c r="BY76" i="2"/>
  <c r="BY79" i="2" s="1"/>
  <c r="CL76" i="2"/>
  <c r="CL77" i="2" s="1"/>
  <c r="FD76" i="2"/>
  <c r="EQ76" i="2"/>
  <c r="EE76" i="2"/>
  <c r="EE77" i="2" s="1"/>
  <c r="EF76" i="2"/>
  <c r="EF77" i="2" s="1"/>
  <c r="CQ76" i="2"/>
  <c r="EZ76" i="2"/>
  <c r="EZ77" i="2" s="1"/>
  <c r="FA76" i="2"/>
  <c r="FA77" i="2" s="1"/>
  <c r="FN76" i="2"/>
  <c r="DE76" i="2"/>
  <c r="DE77" i="2" s="1"/>
  <c r="CB76" i="2"/>
  <c r="CB79" i="2" s="1"/>
  <c r="CO76" i="2"/>
  <c r="CO77" i="2" s="1"/>
  <c r="CP76" i="2"/>
  <c r="CP77" i="2" s="1"/>
  <c r="DS76" i="2"/>
  <c r="DS77" i="2" s="1"/>
  <c r="CR76" i="2"/>
  <c r="CR77" i="2" s="1"/>
  <c r="EW76" i="2"/>
  <c r="ED76" i="2"/>
  <c r="ED77" i="2" s="1"/>
  <c r="FP76" i="2"/>
  <c r="FP77" i="2" s="1"/>
  <c r="DU76" i="2"/>
  <c r="DU77" i="2" s="1"/>
  <c r="BO79" i="2"/>
  <c r="BG87" i="2"/>
  <c r="W106" i="2"/>
  <c r="W89" i="2"/>
  <c r="W91" i="2" s="1"/>
  <c r="W92" i="2" s="1"/>
  <c r="BA106" i="2"/>
  <c r="BA89" i="2"/>
  <c r="BA91" i="2" s="1"/>
  <c r="BA92" i="2" s="1"/>
  <c r="FE76" i="2"/>
  <c r="FE77" i="2" s="1"/>
  <c r="DI76" i="2"/>
  <c r="DI77" i="2" s="1"/>
  <c r="EC76" i="2"/>
  <c r="EC77" i="2" s="1"/>
  <c r="AG106" i="2"/>
  <c r="AG89" i="2"/>
  <c r="AG90" i="2" s="1"/>
  <c r="FB76" i="2"/>
  <c r="FB77" i="2" s="1"/>
  <c r="BU76" i="2"/>
  <c r="AT89" i="2"/>
  <c r="AT90" i="2" s="1"/>
  <c r="AT106" i="2"/>
  <c r="DC76" i="2"/>
  <c r="DC77" i="2" s="1"/>
  <c r="AK89" i="2"/>
  <c r="AK91" i="2" s="1"/>
  <c r="AK92" i="2" s="1"/>
  <c r="AK106" i="2"/>
  <c r="Q106" i="2"/>
  <c r="Q89" i="2"/>
  <c r="Q90" i="2" s="1"/>
  <c r="AA89" i="2"/>
  <c r="AA90" i="2" s="1"/>
  <c r="AA106" i="2"/>
  <c r="BR76" i="2"/>
  <c r="BD89" i="2"/>
  <c r="BD90" i="2" s="1"/>
  <c r="BD106" i="2"/>
  <c r="DG76" i="2"/>
  <c r="DG77" i="2" s="1"/>
  <c r="AW106" i="2"/>
  <c r="AW89" i="2"/>
  <c r="AW91" i="2" s="1"/>
  <c r="AW92" i="2" s="1"/>
  <c r="BC89" i="2"/>
  <c r="BC90" i="2" s="1"/>
  <c r="BC106" i="2"/>
  <c r="AB89" i="2"/>
  <c r="AB90" i="2" s="1"/>
  <c r="AB106" i="2"/>
  <c r="AX89" i="2"/>
  <c r="AX90" i="2" s="1"/>
  <c r="AX106" i="2"/>
  <c r="BF106" i="2"/>
  <c r="BF89" i="2"/>
  <c r="BF90" i="2" s="1"/>
  <c r="T106" i="2"/>
  <c r="T89" i="2"/>
  <c r="T91" i="2" s="1"/>
  <c r="T92" i="2" s="1"/>
  <c r="AN89" i="2"/>
  <c r="AN91" i="2" s="1"/>
  <c r="AN92" i="2" s="1"/>
  <c r="AN106" i="2"/>
  <c r="F56" i="1"/>
  <c r="DP76" i="2"/>
  <c r="DP77" i="2" s="1"/>
  <c r="CX76" i="2"/>
  <c r="CX77" i="2" s="1"/>
  <c r="S106" i="2"/>
  <c r="S89" i="2"/>
  <c r="S90" i="2" s="1"/>
  <c r="DQ76" i="2"/>
  <c r="DQ77" i="2" s="1"/>
  <c r="U106" i="2"/>
  <c r="U89" i="2"/>
  <c r="U91" i="2" s="1"/>
  <c r="U92" i="2" s="1"/>
  <c r="EX76" i="2"/>
  <c r="EX77" i="2" s="1"/>
  <c r="BL79" i="2"/>
  <c r="N106" i="2"/>
  <c r="N89" i="2"/>
  <c r="N91" i="2" s="1"/>
  <c r="N92" i="2" s="1"/>
  <c r="EO76" i="2"/>
  <c r="EO77" i="2" s="1"/>
  <c r="AH89" i="2"/>
  <c r="AH90" i="2" s="1"/>
  <c r="AH106" i="2"/>
  <c r="CE76" i="2"/>
  <c r="CU76" i="2"/>
  <c r="CU77" i="2" s="1"/>
  <c r="AO89" i="2"/>
  <c r="AO90" i="2" s="1"/>
  <c r="AO106" i="2"/>
  <c r="Z106" i="2"/>
  <c r="Z89" i="2"/>
  <c r="Z90" i="2" s="1"/>
  <c r="R106" i="2"/>
  <c r="R89" i="2"/>
  <c r="R91" i="2" s="1"/>
  <c r="R92" i="2" s="1"/>
  <c r="AP89" i="2"/>
  <c r="AP91" i="2" s="1"/>
  <c r="AP92" i="2" s="1"/>
  <c r="AP106" i="2"/>
  <c r="EL76" i="2"/>
  <c r="EL77" i="2" s="1"/>
  <c r="BB89" i="2"/>
  <c r="BB90" i="2" s="1"/>
  <c r="BB106" i="2"/>
  <c r="EP76" i="2"/>
  <c r="EP77" i="2" s="1"/>
  <c r="M106" i="2"/>
  <c r="M89" i="2"/>
  <c r="M91" i="2" s="1"/>
  <c r="M92" i="2" s="1"/>
  <c r="Y106" i="2"/>
  <c r="Y89" i="2"/>
  <c r="Y91" i="2" s="1"/>
  <c r="Y92" i="2" s="1"/>
  <c r="CA76" i="2"/>
  <c r="CY76" i="2"/>
  <c r="CY77" i="2" s="1"/>
  <c r="BN79" i="2"/>
  <c r="FF76" i="2"/>
  <c r="FF77" i="2" s="1"/>
  <c r="CK76" i="2"/>
  <c r="CK77" i="2" s="1"/>
  <c r="AI89" i="2"/>
  <c r="AI90" i="2" s="1"/>
  <c r="AI106" i="2"/>
  <c r="CH76" i="2"/>
  <c r="AZ106" i="2"/>
  <c r="AZ89" i="2"/>
  <c r="AZ90" i="2" s="1"/>
  <c r="BP79" i="2"/>
  <c r="AJ106" i="2"/>
  <c r="AJ89" i="2"/>
  <c r="AJ91" i="2" s="1"/>
  <c r="AJ92" i="2" s="1"/>
  <c r="X106" i="2"/>
  <c r="X89" i="2"/>
  <c r="X91" i="2" s="1"/>
  <c r="X92" i="2" s="1"/>
  <c r="ER76" i="2"/>
  <c r="ER77" i="2" s="1"/>
  <c r="V106" i="2"/>
  <c r="V89" i="2"/>
  <c r="V90" i="2" s="1"/>
  <c r="BM79" i="2"/>
  <c r="DV76" i="2"/>
  <c r="DV77" i="2" s="1"/>
  <c r="AF106" i="2"/>
  <c r="AF89" i="2"/>
  <c r="AF91" i="2" s="1"/>
  <c r="AF92" i="2" s="1"/>
  <c r="AR106" i="2"/>
  <c r="AR89" i="2"/>
  <c r="AR90" i="2" s="1"/>
  <c r="AS89" i="2"/>
  <c r="AS91" i="2" s="1"/>
  <c r="AS92" i="2" s="1"/>
  <c r="AS106" i="2"/>
  <c r="AC106" i="2"/>
  <c r="AC89" i="2"/>
  <c r="AC90" i="2" s="1"/>
  <c r="EA76" i="2"/>
  <c r="EA77" i="2" s="1"/>
  <c r="AY106" i="2"/>
  <c r="AY89" i="2"/>
  <c r="AY91" i="2" s="1"/>
  <c r="AY92" i="2" s="1"/>
  <c r="DZ76" i="2"/>
  <c r="DZ77" i="2" s="1"/>
  <c r="BT76" i="2"/>
  <c r="FJ76" i="2"/>
  <c r="FJ77" i="2" s="1"/>
  <c r="AV106" i="2"/>
  <c r="AV89" i="2"/>
  <c r="AV91" i="2" s="1"/>
  <c r="AV92" i="2" s="1"/>
  <c r="CS76" i="2"/>
  <c r="CS77" i="2" s="1"/>
  <c r="EK76" i="2"/>
  <c r="EK77" i="2" s="1"/>
  <c r="P89" i="2"/>
  <c r="P90" i="2" s="1"/>
  <c r="P106" i="2"/>
  <c r="L106" i="2"/>
  <c r="L89" i="2"/>
  <c r="L90" i="2" s="1"/>
  <c r="AM89" i="2"/>
  <c r="AM90" i="2" s="1"/>
  <c r="AM106" i="2"/>
  <c r="DN76" i="2"/>
  <c r="DN77" i="2" s="1"/>
  <c r="FQ79" i="2"/>
  <c r="ES76" i="2"/>
  <c r="ES77" i="2" s="1"/>
  <c r="O106" i="2"/>
  <c r="O89" i="2"/>
  <c r="O90" i="2" s="1"/>
  <c r="FL76" i="2"/>
  <c r="FL77" i="2" s="1"/>
  <c r="BH106" i="2"/>
  <c r="BH89" i="2"/>
  <c r="BH90" i="2" s="1"/>
  <c r="AL89" i="2"/>
  <c r="AL91" i="2" s="1"/>
  <c r="AL92" i="2" s="1"/>
  <c r="AL106" i="2"/>
  <c r="AE106" i="2"/>
  <c r="AE89" i="2"/>
  <c r="AE91" i="2" s="1"/>
  <c r="AE92" i="2" s="1"/>
  <c r="DT76" i="2"/>
  <c r="DT77" i="2" s="1"/>
  <c r="AQ106" i="2"/>
  <c r="AQ89" i="2"/>
  <c r="AQ90" i="2" s="1"/>
  <c r="AU89" i="2"/>
  <c r="AU90" i="2" s="1"/>
  <c r="AU106" i="2"/>
  <c r="AD89" i="2"/>
  <c r="AD90" i="2" s="1"/>
  <c r="AD106" i="2"/>
  <c r="BE106" i="2"/>
  <c r="BE89" i="2"/>
  <c r="BE90" i="2" s="1"/>
  <c r="DM76" i="2"/>
  <c r="DM77" i="2" s="1"/>
  <c r="DY76" i="2"/>
  <c r="DY77" i="2" s="1"/>
  <c r="FQ88" i="2"/>
  <c r="FQ111" i="2" s="1"/>
  <c r="FQ92" i="2"/>
  <c r="FQ177" i="2"/>
  <c r="FQ178" i="2" s="1"/>
  <c r="FQ100" i="2"/>
  <c r="FR80" i="2"/>
  <c r="FR88" i="2" s="1"/>
  <c r="FR111" i="2" s="1"/>
  <c r="FS79" i="2"/>
  <c r="FS82" i="2" s="1"/>
  <c r="FS83" i="2" s="1"/>
  <c r="FT41" i="2"/>
  <c r="FT87" i="2" s="1"/>
  <c r="I77" i="9"/>
  <c r="J77" i="9" s="1"/>
  <c r="B78" i="9"/>
  <c r="L78" i="9"/>
  <c r="S77" i="9"/>
  <c r="T77" i="9" s="1"/>
  <c r="P77" i="9" s="1"/>
  <c r="L78" i="32"/>
  <c r="S77" i="32"/>
  <c r="T77" i="32" s="1"/>
  <c r="P77" i="32" s="1"/>
  <c r="I31" i="32"/>
  <c r="J31" i="32" s="1"/>
  <c r="B32" i="32"/>
  <c r="FT76" i="2"/>
  <c r="FT77" i="2" s="1"/>
  <c r="FS106" i="2"/>
  <c r="FV67" i="2"/>
  <c r="FV58" i="2"/>
  <c r="FW15" i="2"/>
  <c r="FV68" i="2"/>
  <c r="FV72" i="2"/>
  <c r="FV56" i="2"/>
  <c r="FV45" i="2"/>
  <c r="FV39" i="2"/>
  <c r="FV101" i="2" s="1"/>
  <c r="FV57" i="2"/>
  <c r="FV33" i="2"/>
  <c r="FV59" i="2"/>
  <c r="FV61" i="2"/>
  <c r="FV36" i="2"/>
  <c r="FV69" i="2"/>
  <c r="FV71" i="2"/>
  <c r="FV54" i="2"/>
  <c r="FV70" i="2"/>
  <c r="FV131" i="2"/>
  <c r="FV66" i="2"/>
  <c r="FV65" i="2"/>
  <c r="FV154" i="2"/>
  <c r="FV55" i="2"/>
  <c r="FU49" i="2"/>
  <c r="FU44" i="2"/>
  <c r="FU46" i="2" s="1"/>
  <c r="FU48" i="2"/>
  <c r="FU74" i="2"/>
  <c r="FR106" i="2"/>
  <c r="C257" i="9"/>
  <c r="DJ106" i="2" l="1"/>
  <c r="DK106" i="2"/>
  <c r="FT176" i="2"/>
  <c r="FT184" i="2"/>
  <c r="FU34" i="2"/>
  <c r="FU161" i="2"/>
  <c r="FU164" i="2" s="1"/>
  <c r="FU181" i="2" s="1"/>
  <c r="FW162" i="2"/>
  <c r="FW163" i="2"/>
  <c r="FU37" i="2"/>
  <c r="FT29" i="2"/>
  <c r="FT186" i="2"/>
  <c r="FS41" i="2"/>
  <c r="FS175" i="2"/>
  <c r="FU24" i="2"/>
  <c r="FU140" i="2"/>
  <c r="FU23" i="2"/>
  <c r="FU108" i="2"/>
  <c r="FU139" i="2"/>
  <c r="FU25" i="2"/>
  <c r="FU109" i="2"/>
  <c r="FU185" i="2" s="1"/>
  <c r="FU151" i="2"/>
  <c r="FU27" i="2"/>
  <c r="FU146" i="2"/>
  <c r="FV13" i="2"/>
  <c r="FV196" i="2" s="1"/>
  <c r="FU14" i="2"/>
  <c r="FU107" i="2"/>
  <c r="FU170" i="2"/>
  <c r="FU28" i="2"/>
  <c r="FU85" i="2"/>
  <c r="FU174" i="2" s="1"/>
  <c r="FU138" i="2"/>
  <c r="FU110" i="2"/>
  <c r="FU30" i="2"/>
  <c r="FT26" i="2"/>
  <c r="EW79" i="2"/>
  <c r="EW82" i="2" s="1"/>
  <c r="EW83" i="2" s="1"/>
  <c r="EW77" i="2"/>
  <c r="CQ79" i="2"/>
  <c r="CQ80" i="2" s="1"/>
  <c r="CQ77" i="2"/>
  <c r="EM79" i="2"/>
  <c r="EM77" i="2"/>
  <c r="EG79" i="2"/>
  <c r="EG77" i="2"/>
  <c r="FR79" i="2"/>
  <c r="FR82" i="2" s="1"/>
  <c r="FR83" i="2" s="1"/>
  <c r="FR77" i="2"/>
  <c r="FC79" i="2"/>
  <c r="FC82" i="2" s="1"/>
  <c r="FC83" i="2" s="1"/>
  <c r="FC77" i="2"/>
  <c r="EY79" i="2"/>
  <c r="EY77" i="2"/>
  <c r="EH79" i="2"/>
  <c r="EH77" i="2"/>
  <c r="DO79" i="2"/>
  <c r="DO82" i="2" s="1"/>
  <c r="DO83" i="2" s="1"/>
  <c r="DO77" i="2"/>
  <c r="DB79" i="2"/>
  <c r="DB80" i="2" s="1"/>
  <c r="DB77" i="2"/>
  <c r="DW79" i="2"/>
  <c r="DW82" i="2" s="1"/>
  <c r="DW83" i="2" s="1"/>
  <c r="DW77" i="2"/>
  <c r="DF79" i="2"/>
  <c r="DF80" i="2" s="1"/>
  <c r="DF77" i="2"/>
  <c r="CN79" i="2"/>
  <c r="CN80" i="2" s="1"/>
  <c r="CN77" i="2"/>
  <c r="EQ79" i="2"/>
  <c r="EQ82" i="2" s="1"/>
  <c r="EQ83" i="2" s="1"/>
  <c r="EQ77" i="2"/>
  <c r="EB79" i="2"/>
  <c r="EB82" i="2" s="1"/>
  <c r="EB83" i="2" s="1"/>
  <c r="EB77" i="2"/>
  <c r="DA79" i="2"/>
  <c r="DA80" i="2" s="1"/>
  <c r="DA92" i="2" s="1"/>
  <c r="DA77" i="2"/>
  <c r="CW79" i="2"/>
  <c r="CW80" i="2" s="1"/>
  <c r="CW89" i="2" s="1"/>
  <c r="CW77" i="2"/>
  <c r="FD79" i="2"/>
  <c r="FD77" i="2"/>
  <c r="EN79" i="2"/>
  <c r="EN77" i="2"/>
  <c r="FN79" i="2"/>
  <c r="FN77" i="2"/>
  <c r="DL79" i="2"/>
  <c r="DL82" i="2" s="1"/>
  <c r="DL83" i="2" s="1"/>
  <c r="DL77" i="2"/>
  <c r="FV60" i="2"/>
  <c r="FV62" i="2" s="1"/>
  <c r="L21" i="1"/>
  <c r="FO82" i="2"/>
  <c r="FO83" i="2" s="1"/>
  <c r="FV155" i="2"/>
  <c r="FV157" i="2" s="1"/>
  <c r="DA106" i="2"/>
  <c r="DF87" i="2"/>
  <c r="DI106" i="2"/>
  <c r="DB106" i="2"/>
  <c r="DH106" i="2"/>
  <c r="CX106" i="2"/>
  <c r="DD106" i="2"/>
  <c r="DE87" i="2"/>
  <c r="DG106" i="2"/>
  <c r="CY106" i="2"/>
  <c r="CT106" i="2"/>
  <c r="CV106" i="2"/>
  <c r="CU106" i="2"/>
  <c r="FH82" i="2"/>
  <c r="FH83" i="2" s="1"/>
  <c r="DJ79" i="2"/>
  <c r="DJ80" i="2" s="1"/>
  <c r="CI79" i="2"/>
  <c r="CI82" i="2" s="1"/>
  <c r="CI83" i="2" s="1"/>
  <c r="CF79" i="2"/>
  <c r="CF80" i="2" s="1"/>
  <c r="EU79" i="2"/>
  <c r="CM79" i="2"/>
  <c r="DD79" i="2"/>
  <c r="CJ79" i="2"/>
  <c r="CJ80" i="2" s="1"/>
  <c r="BQ79" i="2"/>
  <c r="BQ80" i="2" s="1"/>
  <c r="FI79" i="2"/>
  <c r="ET79" i="2"/>
  <c r="ET82" i="2" s="1"/>
  <c r="ET83" i="2" s="1"/>
  <c r="DE79" i="2"/>
  <c r="BV79" i="2"/>
  <c r="BV80" i="2" s="1"/>
  <c r="EF79" i="2"/>
  <c r="EF82" i="2" s="1"/>
  <c r="EF83" i="2" s="1"/>
  <c r="EV79" i="2"/>
  <c r="DR79" i="2"/>
  <c r="DR82" i="2" s="1"/>
  <c r="DR83" i="2" s="1"/>
  <c r="EI79" i="2"/>
  <c r="DX79" i="2"/>
  <c r="BS79" i="2"/>
  <c r="BS80" i="2" s="1"/>
  <c r="CC79" i="2"/>
  <c r="CC82" i="2" s="1"/>
  <c r="CC83" i="2" s="1"/>
  <c r="CL79" i="2"/>
  <c r="CL82" i="2" s="1"/>
  <c r="CL83" i="2" s="1"/>
  <c r="FG79" i="2"/>
  <c r="FG82" i="2" s="1"/>
  <c r="FG83" i="2" s="1"/>
  <c r="BW79" i="2"/>
  <c r="BW82" i="2" s="1"/>
  <c r="BW83" i="2" s="1"/>
  <c r="CO79" i="2"/>
  <c r="CO82" i="2" s="1"/>
  <c r="CO83" i="2" s="1"/>
  <c r="EE79" i="2"/>
  <c r="EE82" i="2" s="1"/>
  <c r="EE83" i="2" s="1"/>
  <c r="FP79" i="2"/>
  <c r="CZ79" i="2"/>
  <c r="CZ82" i="2" s="1"/>
  <c r="CZ83" i="2" s="1"/>
  <c r="CT79" i="2"/>
  <c r="DH79" i="2"/>
  <c r="DS79" i="2"/>
  <c r="EJ79" i="2"/>
  <c r="EJ82" i="2" s="1"/>
  <c r="EJ83" i="2" s="1"/>
  <c r="CV79" i="2"/>
  <c r="ED79" i="2"/>
  <c r="BD91" i="2"/>
  <c r="BD92" i="2" s="1"/>
  <c r="AA91" i="2"/>
  <c r="AA92" i="2" s="1"/>
  <c r="BB91" i="2"/>
  <c r="BB92" i="2" s="1"/>
  <c r="X90" i="2"/>
  <c r="CP79" i="2"/>
  <c r="AN90" i="2"/>
  <c r="DK79" i="2"/>
  <c r="DK80" i="2" s="1"/>
  <c r="Z91" i="2"/>
  <c r="Z92" i="2" s="1"/>
  <c r="R90" i="2"/>
  <c r="U90" i="2"/>
  <c r="EZ79" i="2"/>
  <c r="CR79" i="2"/>
  <c r="FA79" i="2"/>
  <c r="FA82" i="2" s="1"/>
  <c r="FA83" i="2" s="1"/>
  <c r="AX91" i="2"/>
  <c r="AX92" i="2" s="1"/>
  <c r="AU91" i="2"/>
  <c r="AU92" i="2" s="1"/>
  <c r="AY90" i="2"/>
  <c r="AC91" i="2"/>
  <c r="AC92" i="2" s="1"/>
  <c r="AM91" i="2"/>
  <c r="AM92" i="2" s="1"/>
  <c r="AH91" i="2"/>
  <c r="AH92" i="2" s="1"/>
  <c r="AD91" i="2"/>
  <c r="AD92" i="2" s="1"/>
  <c r="P91" i="2"/>
  <c r="P92" i="2" s="1"/>
  <c r="AJ90" i="2"/>
  <c r="BF91" i="2"/>
  <c r="BF92" i="2" s="1"/>
  <c r="Y90" i="2"/>
  <c r="AO91" i="2"/>
  <c r="AO92" i="2" s="1"/>
  <c r="S91" i="2"/>
  <c r="S92" i="2" s="1"/>
  <c r="DU79" i="2"/>
  <c r="BE91" i="2"/>
  <c r="BE92" i="2" s="1"/>
  <c r="AL90" i="2"/>
  <c r="DM79" i="2"/>
  <c r="AE90" i="2"/>
  <c r="DN79" i="2"/>
  <c r="L91" i="2"/>
  <c r="L92" i="2" s="1"/>
  <c r="AV90" i="2"/>
  <c r="CD80" i="2"/>
  <c r="CD82" i="2"/>
  <c r="CD83" i="2" s="1"/>
  <c r="BU79" i="2"/>
  <c r="AG91" i="2"/>
  <c r="AG92" i="2" s="1"/>
  <c r="BA90" i="2"/>
  <c r="BX82" i="2"/>
  <c r="BX83" i="2" s="1"/>
  <c r="BX80" i="2"/>
  <c r="BO80" i="2"/>
  <c r="BO82" i="2"/>
  <c r="BO83" i="2" s="1"/>
  <c r="DT79" i="2"/>
  <c r="FL79" i="2"/>
  <c r="DZ79" i="2"/>
  <c r="ER79" i="2"/>
  <c r="CH79" i="2"/>
  <c r="CK79" i="2"/>
  <c r="CY79" i="2"/>
  <c r="CY80" i="2" s="1"/>
  <c r="DQ79" i="2"/>
  <c r="DG79" i="2"/>
  <c r="DG80" i="2" s="1"/>
  <c r="DG89" i="2" s="1"/>
  <c r="BR79" i="2"/>
  <c r="BZ80" i="2"/>
  <c r="BZ82" i="2"/>
  <c r="BZ83" i="2" s="1"/>
  <c r="AQ91" i="2"/>
  <c r="AQ92" i="2" s="1"/>
  <c r="O91" i="2"/>
  <c r="O92" i="2" s="1"/>
  <c r="AI91" i="2"/>
  <c r="AI92" i="2" s="1"/>
  <c r="FP80" i="2"/>
  <c r="CU79" i="2"/>
  <c r="CU80" i="2" s="1"/>
  <c r="N90" i="2"/>
  <c r="CG82" i="2"/>
  <c r="CG83" i="2" s="1"/>
  <c r="CG80" i="2"/>
  <c r="AB91" i="2"/>
  <c r="AB92" i="2" s="1"/>
  <c r="FG80" i="2"/>
  <c r="FJ79" i="2"/>
  <c r="AF90" i="2"/>
  <c r="DV79" i="2"/>
  <c r="EP79" i="2"/>
  <c r="CE79" i="2"/>
  <c r="CX79" i="2"/>
  <c r="CX80" i="2" s="1"/>
  <c r="CX89" i="2" s="1"/>
  <c r="T90" i="2"/>
  <c r="Q91" i="2"/>
  <c r="Q92" i="2" s="1"/>
  <c r="FB79" i="2"/>
  <c r="EC79" i="2"/>
  <c r="W90" i="2"/>
  <c r="BM82" i="2"/>
  <c r="BM83" i="2" s="1"/>
  <c r="BM80" i="2"/>
  <c r="BP80" i="2"/>
  <c r="BP82" i="2"/>
  <c r="BP83" i="2" s="1"/>
  <c r="CA79" i="2"/>
  <c r="DP79" i="2"/>
  <c r="DC79" i="2"/>
  <c r="DI79" i="2"/>
  <c r="DI80" i="2" s="1"/>
  <c r="DI89" i="2" s="1"/>
  <c r="ES79" i="2"/>
  <c r="EA79" i="2"/>
  <c r="AS90" i="2"/>
  <c r="BL80" i="2"/>
  <c r="BL82" i="2"/>
  <c r="BC91" i="2"/>
  <c r="BC92" i="2" s="1"/>
  <c r="AT91" i="2"/>
  <c r="AT92" i="2" s="1"/>
  <c r="FE79" i="2"/>
  <c r="BG106" i="2"/>
  <c r="BG89" i="2"/>
  <c r="BG90" i="2" s="1"/>
  <c r="BH91" i="2"/>
  <c r="BH92" i="2" s="1"/>
  <c r="FQ82" i="2"/>
  <c r="FQ83" i="2" s="1"/>
  <c r="EK79" i="2"/>
  <c r="BT79" i="2"/>
  <c r="AR91" i="2"/>
  <c r="AR92" i="2" s="1"/>
  <c r="V91" i="2"/>
  <c r="V92" i="2" s="1"/>
  <c r="AZ91" i="2"/>
  <c r="AZ92" i="2" s="1"/>
  <c r="FF79" i="2"/>
  <c r="M90" i="2"/>
  <c r="AP90" i="2"/>
  <c r="BY82" i="2"/>
  <c r="BY83" i="2" s="1"/>
  <c r="BY80" i="2"/>
  <c r="AW90" i="2"/>
  <c r="AK90" i="2"/>
  <c r="CB80" i="2"/>
  <c r="CB82" i="2"/>
  <c r="CB83" i="2" s="1"/>
  <c r="DY79" i="2"/>
  <c r="CS79" i="2"/>
  <c r="CS80" i="2" s="1"/>
  <c r="BN82" i="2"/>
  <c r="BN83" i="2" s="1"/>
  <c r="BN80" i="2"/>
  <c r="EL79" i="2"/>
  <c r="EO79" i="2"/>
  <c r="EX79" i="2"/>
  <c r="FR89" i="2"/>
  <c r="FR90" i="2" s="1"/>
  <c r="FQ90" i="2"/>
  <c r="FR177" i="2"/>
  <c r="FR178" i="2" s="1"/>
  <c r="FR100" i="2"/>
  <c r="FR92" i="2"/>
  <c r="FS80" i="2"/>
  <c r="FS177" i="2" s="1"/>
  <c r="FT79" i="2"/>
  <c r="FT82" i="2" s="1"/>
  <c r="FT83" i="2" s="1"/>
  <c r="FV49" i="2"/>
  <c r="B33" i="32"/>
  <c r="I32" i="32"/>
  <c r="J32" i="32" s="1"/>
  <c r="S78" i="32"/>
  <c r="T78" i="32" s="1"/>
  <c r="P78" i="32" s="1"/>
  <c r="L79" i="32"/>
  <c r="L79" i="9"/>
  <c r="S78" i="9"/>
  <c r="T78" i="9" s="1"/>
  <c r="P78" i="9" s="1"/>
  <c r="I78" i="9"/>
  <c r="J78" i="9" s="1"/>
  <c r="B79" i="9"/>
  <c r="FU87" i="2"/>
  <c r="FW58" i="2"/>
  <c r="FW39" i="2"/>
  <c r="FW101" i="2" s="1"/>
  <c r="FW61" i="2"/>
  <c r="FW45" i="2"/>
  <c r="FW33" i="2"/>
  <c r="FW59" i="2"/>
  <c r="FW131" i="2"/>
  <c r="FW70" i="2"/>
  <c r="FW36" i="2"/>
  <c r="FW69" i="2"/>
  <c r="FW65" i="2"/>
  <c r="FW54" i="2"/>
  <c r="FW154" i="2"/>
  <c r="FW71" i="2"/>
  <c r="FW66" i="2"/>
  <c r="FW56" i="2"/>
  <c r="FW72" i="2"/>
  <c r="FW55" i="2"/>
  <c r="FW68" i="2"/>
  <c r="FX15" i="2"/>
  <c r="FW67" i="2"/>
  <c r="FW57" i="2"/>
  <c r="FV48" i="2"/>
  <c r="FV44" i="2"/>
  <c r="FV46" i="2" s="1"/>
  <c r="FU76" i="2"/>
  <c r="FU77" i="2" s="1"/>
  <c r="FT106" i="2"/>
  <c r="FV74" i="2"/>
  <c r="C258" i="9"/>
  <c r="DK100" i="2" l="1"/>
  <c r="DK177" i="2"/>
  <c r="DK88" i="2"/>
  <c r="DK89" i="2"/>
  <c r="DJ177" i="2"/>
  <c r="DJ178" i="2" s="1"/>
  <c r="DJ100" i="2"/>
  <c r="DJ88" i="2"/>
  <c r="DJ92" i="2"/>
  <c r="DJ89" i="2"/>
  <c r="CZ80" i="2"/>
  <c r="CZ100" i="2" s="1"/>
  <c r="L23" i="1"/>
  <c r="G56" i="52"/>
  <c r="FU184" i="2"/>
  <c r="FV37" i="2"/>
  <c r="FV161" i="2"/>
  <c r="FV164" i="2" s="1"/>
  <c r="FV181" i="2" s="1"/>
  <c r="FU176" i="2"/>
  <c r="FX162" i="2"/>
  <c r="FX163" i="2"/>
  <c r="CN100" i="2"/>
  <c r="CN88" i="2"/>
  <c r="CN111" i="2" s="1"/>
  <c r="DB177" i="2"/>
  <c r="CQ88" i="2"/>
  <c r="CQ111" i="2" s="1"/>
  <c r="CQ100" i="2"/>
  <c r="CW88" i="2"/>
  <c r="CW90" i="2" s="1"/>
  <c r="CW100" i="2"/>
  <c r="CW177" i="2"/>
  <c r="DB88" i="2"/>
  <c r="DB111" i="2" s="1"/>
  <c r="CN82" i="2"/>
  <c r="CN83" i="2" s="1"/>
  <c r="CN177" i="2"/>
  <c r="CQ177" i="2"/>
  <c r="DB100" i="2"/>
  <c r="FD82" i="2"/>
  <c r="FD83" i="2" s="1"/>
  <c r="DB82" i="2"/>
  <c r="DB83" i="2" s="1"/>
  <c r="FS178" i="2"/>
  <c r="CW82" i="2"/>
  <c r="CW83" i="2" s="1"/>
  <c r="FT175" i="2"/>
  <c r="CQ82" i="2"/>
  <c r="CQ83" i="2" s="1"/>
  <c r="DB89" i="2"/>
  <c r="FU29" i="2"/>
  <c r="FU41" i="2" s="1"/>
  <c r="FV24" i="2"/>
  <c r="FV28" i="2"/>
  <c r="FV14" i="2"/>
  <c r="FV108" i="2"/>
  <c r="FV138" i="2"/>
  <c r="FV30" i="2"/>
  <c r="FV146" i="2"/>
  <c r="FV139" i="2"/>
  <c r="FV110" i="2"/>
  <c r="FV151" i="2"/>
  <c r="FV140" i="2"/>
  <c r="FV27" i="2"/>
  <c r="FV107" i="2"/>
  <c r="FW13" i="2"/>
  <c r="FV23" i="2"/>
  <c r="FV170" i="2"/>
  <c r="FV25" i="2"/>
  <c r="FV85" i="2"/>
  <c r="FV174" i="2" s="1"/>
  <c r="FV109" i="2"/>
  <c r="FV185" i="2" s="1"/>
  <c r="FU26" i="2"/>
  <c r="FU186" i="2"/>
  <c r="FW37" i="2"/>
  <c r="FV34" i="2"/>
  <c r="FN82" i="2"/>
  <c r="FN83" i="2" s="1"/>
  <c r="EH82" i="2"/>
  <c r="EH83" i="2" s="1"/>
  <c r="EY82" i="2"/>
  <c r="EY83" i="2" s="1"/>
  <c r="DA82" i="2"/>
  <c r="DA83" i="2" s="1"/>
  <c r="DA89" i="2"/>
  <c r="DF82" i="2"/>
  <c r="DF83" i="2" s="1"/>
  <c r="EG82" i="2"/>
  <c r="EG83" i="2" s="1"/>
  <c r="EM82" i="2"/>
  <c r="EM83" i="2" s="1"/>
  <c r="EN82" i="2"/>
  <c r="EN83" i="2" s="1"/>
  <c r="DA88" i="2"/>
  <c r="DA100" i="2"/>
  <c r="DA177" i="2"/>
  <c r="DA178" i="2" s="1"/>
  <c r="DF100" i="2"/>
  <c r="DF177" i="2"/>
  <c r="DF88" i="2"/>
  <c r="DF111" i="2" s="1"/>
  <c r="FW60" i="2"/>
  <c r="FW62" i="2" s="1"/>
  <c r="FW155" i="2"/>
  <c r="FW157" i="2" s="1"/>
  <c r="BL83" i="2"/>
  <c r="CL80" i="2"/>
  <c r="CL100" i="2" s="1"/>
  <c r="DI100" i="2"/>
  <c r="DI177" i="2"/>
  <c r="DI88" i="2"/>
  <c r="CY177" i="2"/>
  <c r="CY178" i="2" s="1"/>
  <c r="CY88" i="2"/>
  <c r="CY100" i="2"/>
  <c r="CY92" i="2"/>
  <c r="CX177" i="2"/>
  <c r="CX178" i="2" s="1"/>
  <c r="CX100" i="2"/>
  <c r="CX88" i="2"/>
  <c r="CX92" i="2"/>
  <c r="DG100" i="2"/>
  <c r="DG88" i="2"/>
  <c r="DG177" i="2"/>
  <c r="DG178" i="2" s="1"/>
  <c r="DG92" i="2"/>
  <c r="DH82" i="2"/>
  <c r="DH83" i="2" s="1"/>
  <c r="DH80" i="2"/>
  <c r="DF106" i="2"/>
  <c r="DF89" i="2"/>
  <c r="CY89" i="2"/>
  <c r="DE106" i="2"/>
  <c r="DE82" i="2"/>
  <c r="DE83" i="2" s="1"/>
  <c r="DE80" i="2"/>
  <c r="DD80" i="2"/>
  <c r="CO80" i="2"/>
  <c r="CO100" i="2" s="1"/>
  <c r="CP80" i="2"/>
  <c r="CU100" i="2"/>
  <c r="CU88" i="2"/>
  <c r="CU177" i="2"/>
  <c r="CU178" i="2" s="1"/>
  <c r="CU92" i="2"/>
  <c r="CM82" i="2"/>
  <c r="CM83" i="2" s="1"/>
  <c r="CM80" i="2"/>
  <c r="CS177" i="2"/>
  <c r="CS100" i="2"/>
  <c r="CS88" i="2"/>
  <c r="CU89" i="2"/>
  <c r="CV82" i="2"/>
  <c r="CV83" i="2" s="1"/>
  <c r="CV80" i="2"/>
  <c r="CT82" i="2"/>
  <c r="CT83" i="2" s="1"/>
  <c r="CT80" i="2"/>
  <c r="CR80" i="2"/>
  <c r="CI80" i="2"/>
  <c r="CI177" i="2" s="1"/>
  <c r="DJ82" i="2"/>
  <c r="DJ83" i="2" s="1"/>
  <c r="CF82" i="2"/>
  <c r="CF83" i="2" s="1"/>
  <c r="EU82" i="2"/>
  <c r="EU83" i="2" s="1"/>
  <c r="FI82" i="2"/>
  <c r="FI83" i="2" s="1"/>
  <c r="DD82" i="2"/>
  <c r="DD83" i="2" s="1"/>
  <c r="BQ82" i="2"/>
  <c r="BQ83" i="2" s="1"/>
  <c r="EV82" i="2"/>
  <c r="EV83" i="2" s="1"/>
  <c r="FP92" i="2"/>
  <c r="FP89" i="2"/>
  <c r="FP100" i="2"/>
  <c r="FP177" i="2"/>
  <c r="FP178" i="2" s="1"/>
  <c r="FP88" i="2"/>
  <c r="FG88" i="2"/>
  <c r="FG89" i="2"/>
  <c r="FG92" i="2"/>
  <c r="FG177" i="2"/>
  <c r="FG178" i="2" s="1"/>
  <c r="FG100" i="2"/>
  <c r="CJ82" i="2"/>
  <c r="CJ83" i="2" s="1"/>
  <c r="DX82" i="2"/>
  <c r="DX83" i="2" s="1"/>
  <c r="BV82" i="2"/>
  <c r="BV83" i="2" s="1"/>
  <c r="DK82" i="2"/>
  <c r="DK83" i="2" s="1"/>
  <c r="BW80" i="2"/>
  <c r="BW100" i="2" s="1"/>
  <c r="ED82" i="2"/>
  <c r="ED83" i="2" s="1"/>
  <c r="EI82" i="2"/>
  <c r="EI83" i="2" s="1"/>
  <c r="CC80" i="2"/>
  <c r="CC177" i="2" s="1"/>
  <c r="BS82" i="2"/>
  <c r="BS83" i="2" s="1"/>
  <c r="DS82" i="2"/>
  <c r="DS83" i="2" s="1"/>
  <c r="FP82" i="2"/>
  <c r="FP83" i="2" s="1"/>
  <c r="DU82" i="2"/>
  <c r="DU83" i="2" s="1"/>
  <c r="EZ82" i="2"/>
  <c r="EZ83" i="2" s="1"/>
  <c r="CR82" i="2"/>
  <c r="CR83" i="2" s="1"/>
  <c r="CP82" i="2"/>
  <c r="CP83" i="2" s="1"/>
  <c r="EL82" i="2"/>
  <c r="EL83" i="2" s="1"/>
  <c r="DC80" i="2"/>
  <c r="DC82" i="2"/>
  <c r="DC83" i="2" s="1"/>
  <c r="EC82" i="2"/>
  <c r="EC83" i="2" s="1"/>
  <c r="CX82" i="2"/>
  <c r="CX83" i="2" s="1"/>
  <c r="BV100" i="2"/>
  <c r="BV88" i="2"/>
  <c r="BV177" i="2"/>
  <c r="ER82" i="2"/>
  <c r="ER83" i="2" s="1"/>
  <c r="FL82" i="2"/>
  <c r="FL83" i="2" s="1"/>
  <c r="BO88" i="2"/>
  <c r="BO111" i="2" s="1"/>
  <c r="BO177" i="2"/>
  <c r="BO100" i="2"/>
  <c r="CD177" i="2"/>
  <c r="CD100" i="2"/>
  <c r="CD88" i="2"/>
  <c r="BS88" i="2"/>
  <c r="BS111" i="2" s="1"/>
  <c r="BS177" i="2"/>
  <c r="BS100" i="2"/>
  <c r="DN82" i="2"/>
  <c r="DN83" i="2" s="1"/>
  <c r="BQ100" i="2"/>
  <c r="BQ88" i="2"/>
  <c r="BQ177" i="2"/>
  <c r="CG177" i="2"/>
  <c r="CG100" i="2"/>
  <c r="CG88" i="2"/>
  <c r="FF80" i="2"/>
  <c r="FF82" i="2"/>
  <c r="FF83" i="2" s="1"/>
  <c r="BT80" i="2"/>
  <c r="BT82" i="2"/>
  <c r="BP88" i="2"/>
  <c r="BP177" i="2"/>
  <c r="BP100" i="2"/>
  <c r="FJ82" i="2"/>
  <c r="FJ83" i="2" s="1"/>
  <c r="BZ177" i="2"/>
  <c r="BZ88" i="2"/>
  <c r="BZ100" i="2"/>
  <c r="BX88" i="2"/>
  <c r="BX100" i="2"/>
  <c r="BX177" i="2"/>
  <c r="BY100" i="2"/>
  <c r="BY177" i="2"/>
  <c r="BY88" i="2"/>
  <c r="FB80" i="2"/>
  <c r="FB82" i="2"/>
  <c r="FB83" i="2" s="1"/>
  <c r="CE80" i="2"/>
  <c r="CE82" i="2"/>
  <c r="CE83" i="2" s="1"/>
  <c r="BR80" i="2"/>
  <c r="BR82" i="2"/>
  <c r="CY82" i="2"/>
  <c r="CY83" i="2" s="1"/>
  <c r="DT82" i="2"/>
  <c r="DT83" i="2" s="1"/>
  <c r="BN100" i="2"/>
  <c r="BN177" i="2"/>
  <c r="BN88" i="2"/>
  <c r="BN111" i="2" s="1"/>
  <c r="CS82" i="2"/>
  <c r="CS83" i="2" s="1"/>
  <c r="EK82" i="2"/>
  <c r="EK83" i="2" s="1"/>
  <c r="BG91" i="2"/>
  <c r="BG92" i="2" s="1"/>
  <c r="EA82" i="2"/>
  <c r="EA83" i="2" s="1"/>
  <c r="BM88" i="2"/>
  <c r="BM100" i="2"/>
  <c r="BM177" i="2"/>
  <c r="DM82" i="2"/>
  <c r="DM83" i="2" s="1"/>
  <c r="EX82" i="2"/>
  <c r="EX83" i="2" s="1"/>
  <c r="CB100" i="2"/>
  <c r="CB88" i="2"/>
  <c r="CB177" i="2"/>
  <c r="DI82" i="2"/>
  <c r="DI83" i="2" s="1"/>
  <c r="DP82" i="2"/>
  <c r="DP83" i="2" s="1"/>
  <c r="EP82" i="2"/>
  <c r="EP83" i="2" s="1"/>
  <c r="DG82" i="2"/>
  <c r="DG83" i="2" s="1"/>
  <c r="CK80" i="2"/>
  <c r="CK82" i="2"/>
  <c r="CK83" i="2" s="1"/>
  <c r="DZ82" i="2"/>
  <c r="DZ83" i="2" s="1"/>
  <c r="CF100" i="2"/>
  <c r="CF177" i="2"/>
  <c r="CF88" i="2"/>
  <c r="DY82" i="2"/>
  <c r="DY83" i="2" s="1"/>
  <c r="ES82" i="2"/>
  <c r="ES83" i="2" s="1"/>
  <c r="CA80" i="2"/>
  <c r="CA82" i="2"/>
  <c r="CA83" i="2" s="1"/>
  <c r="CU82" i="2"/>
  <c r="CU83" i="2" s="1"/>
  <c r="CJ100" i="2"/>
  <c r="CJ88" i="2"/>
  <c r="CJ177" i="2"/>
  <c r="EO82" i="2"/>
  <c r="EO83" i="2" s="1"/>
  <c r="FE82" i="2"/>
  <c r="FE83" i="2" s="1"/>
  <c r="BL177" i="2"/>
  <c r="BL100" i="2"/>
  <c r="BL88" i="2"/>
  <c r="DV82" i="2"/>
  <c r="DV83" i="2" s="1"/>
  <c r="DQ82" i="2"/>
  <c r="DQ83" i="2" s="1"/>
  <c r="CH80" i="2"/>
  <c r="CH82" i="2"/>
  <c r="CH83" i="2" s="1"/>
  <c r="BU80" i="2"/>
  <c r="BU82" i="2"/>
  <c r="BU83" i="2" s="1"/>
  <c r="FS89" i="2"/>
  <c r="FS88" i="2"/>
  <c r="FT80" i="2"/>
  <c r="FT177" i="2" s="1"/>
  <c r="FS92" i="2"/>
  <c r="FS100" i="2"/>
  <c r="FU79" i="2"/>
  <c r="FU82" i="2" s="1"/>
  <c r="FU83" i="2" s="1"/>
  <c r="FV41" i="2"/>
  <c r="FV87" i="2" s="1"/>
  <c r="L80" i="32"/>
  <c r="S79" i="32"/>
  <c r="T79" i="32" s="1"/>
  <c r="P79" i="32" s="1"/>
  <c r="B80" i="9"/>
  <c r="I79" i="9"/>
  <c r="J79" i="9" s="1"/>
  <c r="S79" i="9"/>
  <c r="T79" i="9" s="1"/>
  <c r="P79" i="9" s="1"/>
  <c r="L80" i="9"/>
  <c r="FW49" i="2"/>
  <c r="B34" i="32"/>
  <c r="I33" i="32"/>
  <c r="J33" i="32" s="1"/>
  <c r="FV76" i="2"/>
  <c r="FV77" i="2" s="1"/>
  <c r="FX58" i="2"/>
  <c r="FX67" i="2"/>
  <c r="FX39" i="2"/>
  <c r="FX101" i="2" s="1"/>
  <c r="FX45" i="2"/>
  <c r="FX33" i="2"/>
  <c r="FX68" i="2"/>
  <c r="FX131" i="2"/>
  <c r="FX70" i="2"/>
  <c r="FX36" i="2"/>
  <c r="FX61" i="2"/>
  <c r="FX154" i="2"/>
  <c r="FX54" i="2"/>
  <c r="FX71" i="2"/>
  <c r="FX55" i="2"/>
  <c r="FX56" i="2"/>
  <c r="FX72" i="2"/>
  <c r="FX69" i="2"/>
  <c r="FX57" i="2"/>
  <c r="FX65" i="2"/>
  <c r="FY15" i="2"/>
  <c r="FX66" i="2"/>
  <c r="FX59" i="2"/>
  <c r="FW48" i="2"/>
  <c r="FW44" i="2"/>
  <c r="FW46" i="2" s="1"/>
  <c r="FW74" i="2"/>
  <c r="FU106" i="2"/>
  <c r="C259" i="9"/>
  <c r="G54" i="52" l="1"/>
  <c r="L26" i="1"/>
  <c r="FW161" i="2"/>
  <c r="FW164" i="2" s="1"/>
  <c r="FW181" i="2" s="1"/>
  <c r="FW196" i="2"/>
  <c r="CZ89" i="2"/>
  <c r="CZ177" i="2"/>
  <c r="CZ88" i="2"/>
  <c r="CZ111" i="2" s="1"/>
  <c r="FV176" i="2"/>
  <c r="DJ111" i="2"/>
  <c r="DJ90" i="2"/>
  <c r="DK111" i="2"/>
  <c r="DK90" i="2"/>
  <c r="CW111" i="2"/>
  <c r="FV184" i="2"/>
  <c r="FY163" i="2"/>
  <c r="FY162" i="2"/>
  <c r="DB90" i="2"/>
  <c r="DF90" i="2"/>
  <c r="FT178" i="2"/>
  <c r="FU175" i="2"/>
  <c r="FV29" i="2"/>
  <c r="FV26" i="2"/>
  <c r="DA90" i="2"/>
  <c r="FV186" i="2"/>
  <c r="FW24" i="2"/>
  <c r="FX13" i="2"/>
  <c r="FX196" i="2" s="1"/>
  <c r="FW110" i="2"/>
  <c r="FW85" i="2"/>
  <c r="FW174" i="2" s="1"/>
  <c r="FW30" i="2"/>
  <c r="FW108" i="2"/>
  <c r="FW109" i="2"/>
  <c r="FW185" i="2" s="1"/>
  <c r="FW151" i="2"/>
  <c r="FW138" i="2"/>
  <c r="FW140" i="2"/>
  <c r="FW28" i="2"/>
  <c r="FW27" i="2"/>
  <c r="FW146" i="2"/>
  <c r="FW139" i="2"/>
  <c r="FW107" i="2"/>
  <c r="FW25" i="2"/>
  <c r="FW170" i="2"/>
  <c r="FW14" i="2"/>
  <c r="FW23" i="2"/>
  <c r="FW34" i="2"/>
  <c r="FW176" i="2" s="1"/>
  <c r="DA111" i="2"/>
  <c r="FX60" i="2"/>
  <c r="FX62" i="2" s="1"/>
  <c r="FX155" i="2"/>
  <c r="FX157" i="2" s="1"/>
  <c r="BT83" i="2"/>
  <c r="F74" i="1"/>
  <c r="CO88" i="2"/>
  <c r="CO111" i="2" s="1"/>
  <c r="CL88" i="2"/>
  <c r="CL111" i="2" s="1"/>
  <c r="CO177" i="2"/>
  <c r="CL177" i="2"/>
  <c r="DD177" i="2"/>
  <c r="DD178" i="2" s="1"/>
  <c r="DD100" i="2"/>
  <c r="DD88" i="2"/>
  <c r="DD92" i="2"/>
  <c r="DD89" i="2"/>
  <c r="DG111" i="2"/>
  <c r="DG90" i="2"/>
  <c r="CY111" i="2"/>
  <c r="CY90" i="2"/>
  <c r="DE100" i="2"/>
  <c r="DE88" i="2"/>
  <c r="DE177" i="2"/>
  <c r="DE89" i="2"/>
  <c r="DI111" i="2"/>
  <c r="DI90" i="2"/>
  <c r="CX111" i="2"/>
  <c r="CX90" i="2"/>
  <c r="DH88" i="2"/>
  <c r="DH177" i="2"/>
  <c r="DH178" i="2" s="1"/>
  <c r="DH100" i="2"/>
  <c r="DH92" i="2"/>
  <c r="DH89" i="2"/>
  <c r="CP88" i="2"/>
  <c r="CP177" i="2"/>
  <c r="CP100" i="2"/>
  <c r="CT88" i="2"/>
  <c r="CT177" i="2"/>
  <c r="CT178" i="2" s="1"/>
  <c r="CT100" i="2"/>
  <c r="CT92" i="2"/>
  <c r="CT89" i="2"/>
  <c r="CM100" i="2"/>
  <c r="CM177" i="2"/>
  <c r="CM88" i="2"/>
  <c r="CV177" i="2"/>
  <c r="CV178" i="2" s="1"/>
  <c r="CV88" i="2"/>
  <c r="CV100" i="2"/>
  <c r="CV92" i="2"/>
  <c r="CV89" i="2"/>
  <c r="CU111" i="2"/>
  <c r="CU90" i="2"/>
  <c r="CR100" i="2"/>
  <c r="CR177" i="2"/>
  <c r="CR88" i="2"/>
  <c r="CS111" i="2"/>
  <c r="FG90" i="2"/>
  <c r="CI100" i="2"/>
  <c r="CI88" i="2"/>
  <c r="BW177" i="2"/>
  <c r="BW88" i="2"/>
  <c r="FF92" i="2"/>
  <c r="FF89" i="2"/>
  <c r="FF100" i="2"/>
  <c r="FF177" i="2"/>
  <c r="FF178" i="2" s="1"/>
  <c r="FF88" i="2"/>
  <c r="DC100" i="2"/>
  <c r="DC88" i="2"/>
  <c r="DC177" i="2"/>
  <c r="DC89" i="2"/>
  <c r="FP111" i="2"/>
  <c r="FP90" i="2"/>
  <c r="FB92" i="2"/>
  <c r="FB177" i="2"/>
  <c r="FB178" i="2" s="1"/>
  <c r="FB88" i="2"/>
  <c r="FB89" i="2"/>
  <c r="FB100" i="2"/>
  <c r="CC88" i="2"/>
  <c r="FG111" i="2"/>
  <c r="CC100" i="2"/>
  <c r="CH100" i="2"/>
  <c r="CH177" i="2"/>
  <c r="CH88" i="2"/>
  <c r="CE100" i="2"/>
  <c r="CE177" i="2"/>
  <c r="CE88" i="2"/>
  <c r="CF111" i="2"/>
  <c r="BQ111" i="2"/>
  <c r="BX111" i="2"/>
  <c r="BP111" i="2"/>
  <c r="BV111" i="2"/>
  <c r="CA100" i="2"/>
  <c r="CA88" i="2"/>
  <c r="CA177" i="2"/>
  <c r="BR83" i="2"/>
  <c r="CB111" i="2"/>
  <c r="BM111" i="2"/>
  <c r="BZ111" i="2"/>
  <c r="CG111" i="2"/>
  <c r="BU88" i="2"/>
  <c r="BU100" i="2"/>
  <c r="BU177" i="2"/>
  <c r="BL111" i="2"/>
  <c r="CJ111" i="2"/>
  <c r="BY111" i="2"/>
  <c r="BT100" i="2"/>
  <c r="BT177" i="2"/>
  <c r="BT88" i="2"/>
  <c r="CK100" i="2"/>
  <c r="CK88" i="2"/>
  <c r="CK177" i="2"/>
  <c r="BR88" i="2"/>
  <c r="BR177" i="2"/>
  <c r="BR100" i="2"/>
  <c r="CD111" i="2"/>
  <c r="FU80" i="2"/>
  <c r="FU88" i="2" s="1"/>
  <c r="FS90" i="2"/>
  <c r="FT89" i="2"/>
  <c r="FT100" i="2"/>
  <c r="FT88" i="2"/>
  <c r="FT92" i="2"/>
  <c r="FS111" i="2"/>
  <c r="FV79" i="2"/>
  <c r="FV82" i="2" s="1"/>
  <c r="FV83" i="2" s="1"/>
  <c r="S80" i="9"/>
  <c r="T80" i="9" s="1"/>
  <c r="P80" i="9" s="1"/>
  <c r="L81" i="9"/>
  <c r="I34" i="32"/>
  <c r="J34" i="32" s="1"/>
  <c r="B35" i="32"/>
  <c r="I80" i="9"/>
  <c r="J80" i="9" s="1"/>
  <c r="B81" i="9"/>
  <c r="L81" i="32"/>
  <c r="S80" i="32"/>
  <c r="T80" i="32" s="1"/>
  <c r="P80" i="32" s="1"/>
  <c r="FW87" i="2"/>
  <c r="FV106" i="2"/>
  <c r="FW76" i="2"/>
  <c r="FW77" i="2" s="1"/>
  <c r="FX49" i="2"/>
  <c r="FY45" i="2"/>
  <c r="FY67" i="2"/>
  <c r="FY154" i="2"/>
  <c r="FY59" i="2"/>
  <c r="FY69" i="2"/>
  <c r="FY33" i="2"/>
  <c r="FY58" i="2"/>
  <c r="FY61" i="2"/>
  <c r="FY70" i="2"/>
  <c r="FY72" i="2"/>
  <c r="FY39" i="2"/>
  <c r="FY101" i="2" s="1"/>
  <c r="FY71" i="2"/>
  <c r="FY55" i="2"/>
  <c r="FY36" i="2"/>
  <c r="FY56" i="2"/>
  <c r="FY54" i="2"/>
  <c r="FY68" i="2"/>
  <c r="FY57" i="2"/>
  <c r="FY65" i="2"/>
  <c r="FY131" i="2"/>
  <c r="FZ15" i="2"/>
  <c r="FY66" i="2"/>
  <c r="FX48" i="2"/>
  <c r="FX44" i="2"/>
  <c r="FX46" i="2" s="1"/>
  <c r="FX74" i="2"/>
  <c r="C260" i="9"/>
  <c r="CZ90" i="2" l="1"/>
  <c r="FW184" i="2"/>
  <c r="FX34" i="2"/>
  <c r="FX161" i="2"/>
  <c r="FX164" i="2" s="1"/>
  <c r="FX181" i="2" s="1"/>
  <c r="FX37" i="2"/>
  <c r="FZ163" i="2"/>
  <c r="FZ162" i="2"/>
  <c r="CC111" i="2"/>
  <c r="BW111" i="2"/>
  <c r="FX24" i="2"/>
  <c r="FX27" i="2"/>
  <c r="FX146" i="2"/>
  <c r="FX23" i="2"/>
  <c r="FX170" i="2"/>
  <c r="FX138" i="2"/>
  <c r="FX30" i="2"/>
  <c r="FX139" i="2"/>
  <c r="FX107" i="2"/>
  <c r="FX110" i="2"/>
  <c r="FX151" i="2"/>
  <c r="FX140" i="2"/>
  <c r="FX14" i="2"/>
  <c r="FX109" i="2"/>
  <c r="FX185" i="2" s="1"/>
  <c r="FY13" i="2"/>
  <c r="FX25" i="2"/>
  <c r="FX85" i="2"/>
  <c r="FX174" i="2" s="1"/>
  <c r="FX28" i="2"/>
  <c r="FX108" i="2"/>
  <c r="FW186" i="2"/>
  <c r="FW29" i="2"/>
  <c r="FW41" i="2" s="1"/>
  <c r="FV175" i="2"/>
  <c r="FW26" i="2"/>
  <c r="FY60" i="2"/>
  <c r="FY62" i="2" s="1"/>
  <c r="FY155" i="2"/>
  <c r="FY157" i="2" s="1"/>
  <c r="DH111" i="2"/>
  <c r="DH90" i="2"/>
  <c r="DE111" i="2"/>
  <c r="DE90" i="2"/>
  <c r="DD111" i="2"/>
  <c r="DD90" i="2"/>
  <c r="CP111" i="2"/>
  <c r="CV111" i="2"/>
  <c r="CV90" i="2"/>
  <c r="CR111" i="2"/>
  <c r="CM111" i="2"/>
  <c r="CT111" i="2"/>
  <c r="CT90" i="2"/>
  <c r="CI111" i="2"/>
  <c r="FB111" i="2"/>
  <c r="FB90" i="2"/>
  <c r="DC90" i="2"/>
  <c r="DC111" i="2"/>
  <c r="FF111" i="2"/>
  <c r="FF90" i="2"/>
  <c r="CH111" i="2"/>
  <c r="CK111" i="2"/>
  <c r="CE111" i="2"/>
  <c r="BU111" i="2"/>
  <c r="BR111" i="2"/>
  <c r="BT111" i="2"/>
  <c r="CA111" i="2"/>
  <c r="FU100" i="2"/>
  <c r="FU177" i="2"/>
  <c r="FU178" i="2" s="1"/>
  <c r="FU89" i="2"/>
  <c r="FU90" i="2" s="1"/>
  <c r="FU92" i="2"/>
  <c r="FV80" i="2"/>
  <c r="FV177" i="2" s="1"/>
  <c r="FT90" i="2"/>
  <c r="FT111" i="2"/>
  <c r="FW79" i="2"/>
  <c r="FX76" i="2"/>
  <c r="FX77" i="2" s="1"/>
  <c r="L82" i="32"/>
  <c r="S81" i="32"/>
  <c r="T81" i="32" s="1"/>
  <c r="P81" i="32" s="1"/>
  <c r="B82" i="9"/>
  <c r="I81" i="9"/>
  <c r="J81" i="9" s="1"/>
  <c r="I35" i="32"/>
  <c r="J35" i="32" s="1"/>
  <c r="B36" i="32"/>
  <c r="S81" i="9"/>
  <c r="T81" i="9" s="1"/>
  <c r="P81" i="9" s="1"/>
  <c r="L82" i="9"/>
  <c r="FY49" i="2"/>
  <c r="FX87" i="2"/>
  <c r="FY44" i="2"/>
  <c r="FY46" i="2" s="1"/>
  <c r="FY48" i="2"/>
  <c r="FU111" i="2"/>
  <c r="FZ70" i="2"/>
  <c r="FZ69" i="2"/>
  <c r="FZ71" i="2"/>
  <c r="FZ154" i="2"/>
  <c r="FZ54" i="2"/>
  <c r="FZ61" i="2"/>
  <c r="FZ67" i="2"/>
  <c r="FZ39" i="2"/>
  <c r="FZ101" i="2" s="1"/>
  <c r="FZ36" i="2"/>
  <c r="FZ57" i="2"/>
  <c r="FZ55" i="2"/>
  <c r="FZ72" i="2"/>
  <c r="FZ33" i="2"/>
  <c r="FZ131" i="2"/>
  <c r="FZ56" i="2"/>
  <c r="FZ65" i="2"/>
  <c r="FZ68" i="2"/>
  <c r="GA15" i="2"/>
  <c r="FZ45" i="2"/>
  <c r="FZ58" i="2"/>
  <c r="FZ59" i="2"/>
  <c r="FZ66" i="2"/>
  <c r="FW106" i="2"/>
  <c r="FY74" i="2"/>
  <c r="C261" i="9"/>
  <c r="FY161" i="2" l="1"/>
  <c r="FY164" i="2" s="1"/>
  <c r="FY181" i="2" s="1"/>
  <c r="FY196" i="2"/>
  <c r="FX176" i="2"/>
  <c r="FX184" i="2"/>
  <c r="FY34" i="2"/>
  <c r="GA162" i="2"/>
  <c r="GA163" i="2"/>
  <c r="FX26" i="2"/>
  <c r="FX186" i="2"/>
  <c r="FX29" i="2"/>
  <c r="FX41" i="2" s="1"/>
  <c r="FV178" i="2"/>
  <c r="FW175" i="2"/>
  <c r="FY24" i="2"/>
  <c r="FY110" i="2"/>
  <c r="FY109" i="2"/>
  <c r="FY185" i="2" s="1"/>
  <c r="FY27" i="2"/>
  <c r="FY14" i="2"/>
  <c r="FY170" i="2"/>
  <c r="FZ13" i="2"/>
  <c r="FZ196" i="2" s="1"/>
  <c r="FY108" i="2"/>
  <c r="FY28" i="2"/>
  <c r="FY23" i="2"/>
  <c r="FY138" i="2"/>
  <c r="FY85" i="2"/>
  <c r="FY174" i="2" s="1"/>
  <c r="FY140" i="2"/>
  <c r="FY25" i="2"/>
  <c r="FY146" i="2"/>
  <c r="FY107" i="2"/>
  <c r="FY139" i="2"/>
  <c r="FY30" i="2"/>
  <c r="FY151" i="2"/>
  <c r="FY37" i="2"/>
  <c r="FZ60" i="2"/>
  <c r="FZ62" i="2" s="1"/>
  <c r="FZ155" i="2"/>
  <c r="FZ157" i="2" s="1"/>
  <c r="FV100" i="2"/>
  <c r="FV89" i="2"/>
  <c r="FV88" i="2"/>
  <c r="FW80" i="2"/>
  <c r="FW92" i="2" s="1"/>
  <c r="FV92" i="2"/>
  <c r="FW82" i="2"/>
  <c r="FW83" i="2" s="1"/>
  <c r="FX79" i="2"/>
  <c r="FX80" i="2" s="1"/>
  <c r="FY76" i="2"/>
  <c r="FY77" i="2" s="1"/>
  <c r="S82" i="9"/>
  <c r="T82" i="9" s="1"/>
  <c r="P82" i="9" s="1"/>
  <c r="L83" i="9"/>
  <c r="I36" i="32"/>
  <c r="J36" i="32" s="1"/>
  <c r="B37" i="32"/>
  <c r="B83" i="9"/>
  <c r="I82" i="9"/>
  <c r="J82" i="9" s="1"/>
  <c r="S82" i="32"/>
  <c r="T82" i="32" s="1"/>
  <c r="P82" i="32" s="1"/>
  <c r="L83" i="32"/>
  <c r="FZ49" i="2"/>
  <c r="GA36" i="2"/>
  <c r="GA58" i="2"/>
  <c r="GA70" i="2"/>
  <c r="GA57" i="2"/>
  <c r="GA59" i="2"/>
  <c r="GA54" i="2"/>
  <c r="GA45" i="2"/>
  <c r="GA67" i="2"/>
  <c r="GA39" i="2"/>
  <c r="GA101" i="2" s="1"/>
  <c r="GA61" i="2"/>
  <c r="GA66" i="2"/>
  <c r="GA55" i="2"/>
  <c r="GA71" i="2"/>
  <c r="GB15" i="2"/>
  <c r="GA154" i="2"/>
  <c r="GA56" i="2"/>
  <c r="GA72" i="2"/>
  <c r="GA131" i="2"/>
  <c r="GA69" i="2"/>
  <c r="GA68" i="2"/>
  <c r="GA65" i="2"/>
  <c r="GA33" i="2"/>
  <c r="FZ74" i="2"/>
  <c r="FX106" i="2"/>
  <c r="FZ44" i="2"/>
  <c r="FZ46" i="2" s="1"/>
  <c r="FZ48" i="2"/>
  <c r="FY41" i="2"/>
  <c r="C262" i="9"/>
  <c r="FY176" i="2" l="1"/>
  <c r="FY184" i="2"/>
  <c r="FZ34" i="2"/>
  <c r="FZ161" i="2"/>
  <c r="FZ164" i="2" s="1"/>
  <c r="FZ181" i="2" s="1"/>
  <c r="GB162" i="2"/>
  <c r="GB163" i="2"/>
  <c r="FX92" i="2"/>
  <c r="FY26" i="2"/>
  <c r="FX175" i="2"/>
  <c r="FY29" i="2"/>
  <c r="FY186" i="2"/>
  <c r="FZ24" i="2"/>
  <c r="FZ27" i="2"/>
  <c r="GA13" i="2"/>
  <c r="GA196" i="2" s="1"/>
  <c r="FZ109" i="2"/>
  <c r="FZ185" i="2" s="1"/>
  <c r="FZ28" i="2"/>
  <c r="FZ85" i="2"/>
  <c r="FZ174" i="2" s="1"/>
  <c r="FZ138" i="2"/>
  <c r="FZ30" i="2"/>
  <c r="FZ170" i="2"/>
  <c r="FZ140" i="2"/>
  <c r="FZ23" i="2"/>
  <c r="FZ108" i="2"/>
  <c r="FZ139" i="2"/>
  <c r="FZ107" i="2"/>
  <c r="FZ25" i="2"/>
  <c r="FZ146" i="2"/>
  <c r="FZ14" i="2"/>
  <c r="FZ110" i="2"/>
  <c r="FZ151" i="2"/>
  <c r="FZ37" i="2"/>
  <c r="GA60" i="2"/>
  <c r="GA62" i="2" s="1"/>
  <c r="GA155" i="2"/>
  <c r="GA157" i="2" s="1"/>
  <c r="FV90" i="2"/>
  <c r="FV111" i="2"/>
  <c r="FW177" i="2"/>
  <c r="FW178" i="2" s="1"/>
  <c r="FW100" i="2"/>
  <c r="FW89" i="2"/>
  <c r="FW88" i="2"/>
  <c r="FW111" i="2" s="1"/>
  <c r="FX177" i="2"/>
  <c r="FX88" i="2"/>
  <c r="FX111" i="2" s="1"/>
  <c r="FX100" i="2"/>
  <c r="FX89" i="2"/>
  <c r="FY79" i="2"/>
  <c r="FY82" i="2" s="1"/>
  <c r="FY83" i="2" s="1"/>
  <c r="FX82" i="2"/>
  <c r="FX83" i="2" s="1"/>
  <c r="FZ76" i="2"/>
  <c r="FZ77" i="2" s="1"/>
  <c r="GA74" i="2"/>
  <c r="L84" i="32"/>
  <c r="S83" i="32"/>
  <c r="T83" i="32" s="1"/>
  <c r="P83" i="32" s="1"/>
  <c r="B84" i="9"/>
  <c r="I83" i="9"/>
  <c r="J83" i="9" s="1"/>
  <c r="B38" i="32"/>
  <c r="I37" i="32"/>
  <c r="J37" i="32" s="1"/>
  <c r="S83" i="9"/>
  <c r="T83" i="9" s="1"/>
  <c r="P83" i="9" s="1"/>
  <c r="L84" i="9"/>
  <c r="GA49" i="2"/>
  <c r="GA48" i="2"/>
  <c r="GA44" i="2"/>
  <c r="GA46" i="2" s="1"/>
  <c r="GB57" i="2"/>
  <c r="GB71" i="2"/>
  <c r="GB131" i="2"/>
  <c r="GB68" i="2"/>
  <c r="GB72" i="2"/>
  <c r="GB36" i="2"/>
  <c r="GB59" i="2"/>
  <c r="GB67" i="2"/>
  <c r="GB54" i="2"/>
  <c r="GB69" i="2"/>
  <c r="GB65" i="2"/>
  <c r="GB56" i="2"/>
  <c r="GB39" i="2"/>
  <c r="GB101" i="2" s="1"/>
  <c r="GB58" i="2"/>
  <c r="GB66" i="2"/>
  <c r="GB55" i="2"/>
  <c r="GB70" i="2"/>
  <c r="GC15" i="2"/>
  <c r="GB45" i="2"/>
  <c r="GB33" i="2"/>
  <c r="GB61" i="2"/>
  <c r="GB154" i="2"/>
  <c r="FY87" i="2"/>
  <c r="FZ41" i="2"/>
  <c r="C263" i="9"/>
  <c r="FZ176" i="2" l="1"/>
  <c r="FZ184" i="2"/>
  <c r="GA34" i="2"/>
  <c r="GA161" i="2"/>
  <c r="GA164" i="2" s="1"/>
  <c r="GA181" i="2" s="1"/>
  <c r="GC162" i="2"/>
  <c r="GC163" i="2"/>
  <c r="FZ186" i="2"/>
  <c r="FY175" i="2"/>
  <c r="FX178" i="2"/>
  <c r="FZ29" i="2"/>
  <c r="FZ26" i="2"/>
  <c r="GA24" i="2"/>
  <c r="GA138" i="2"/>
  <c r="GA25" i="2"/>
  <c r="GA139" i="2"/>
  <c r="GA107" i="2"/>
  <c r="GA110" i="2"/>
  <c r="GA170" i="2"/>
  <c r="GA27" i="2"/>
  <c r="GA146" i="2"/>
  <c r="GA140" i="2"/>
  <c r="GA28" i="2"/>
  <c r="GA108" i="2"/>
  <c r="GA109" i="2"/>
  <c r="GA185" i="2" s="1"/>
  <c r="GA151" i="2"/>
  <c r="GA23" i="2"/>
  <c r="GA14" i="2"/>
  <c r="GA30" i="2"/>
  <c r="GB13" i="2"/>
  <c r="GA85" i="2"/>
  <c r="GA174" i="2" s="1"/>
  <c r="GA37" i="2"/>
  <c r="GB60" i="2"/>
  <c r="GB62" i="2" s="1"/>
  <c r="GB155" i="2"/>
  <c r="GB157" i="2" s="1"/>
  <c r="GD15" i="2"/>
  <c r="FW90" i="2"/>
  <c r="FX90" i="2"/>
  <c r="FY80" i="2"/>
  <c r="FY100" i="2" s="1"/>
  <c r="FZ79" i="2"/>
  <c r="FZ80" i="2" s="1"/>
  <c r="FZ92" i="2" s="1"/>
  <c r="GA76" i="2"/>
  <c r="GA77" i="2" s="1"/>
  <c r="S84" i="9"/>
  <c r="T84" i="9" s="1"/>
  <c r="P84" i="9" s="1"/>
  <c r="L85" i="9"/>
  <c r="B39" i="32"/>
  <c r="I38" i="32"/>
  <c r="J38" i="32" s="1"/>
  <c r="B85" i="9"/>
  <c r="I84" i="9"/>
  <c r="J84" i="9" s="1"/>
  <c r="L85" i="32"/>
  <c r="S84" i="32"/>
  <c r="T84" i="32" s="1"/>
  <c r="P84" i="32" s="1"/>
  <c r="GA41" i="2"/>
  <c r="GA87" i="2" s="1"/>
  <c r="GB49" i="2"/>
  <c r="FY106" i="2"/>
  <c r="FZ87" i="2"/>
  <c r="GB48" i="2"/>
  <c r="GB44" i="2"/>
  <c r="GB46" i="2" s="1"/>
  <c r="GB74" i="2"/>
  <c r="GC39" i="2"/>
  <c r="GC58" i="2"/>
  <c r="GC72" i="2"/>
  <c r="GC131" i="2"/>
  <c r="GC36" i="2"/>
  <c r="GC55" i="2"/>
  <c r="GC70" i="2"/>
  <c r="GC66" i="2"/>
  <c r="GC67" i="2"/>
  <c r="GC45" i="2"/>
  <c r="GC154" i="2"/>
  <c r="GC68" i="2"/>
  <c r="GC56" i="2"/>
  <c r="GC61" i="2"/>
  <c r="GC59" i="2"/>
  <c r="GC57" i="2"/>
  <c r="GC71" i="2"/>
  <c r="GC33" i="2"/>
  <c r="GC54" i="2"/>
  <c r="GC69" i="2"/>
  <c r="GC65" i="2"/>
  <c r="C264" i="9"/>
  <c r="GB37" i="2" l="1"/>
  <c r="GB196" i="2"/>
  <c r="GA176" i="2"/>
  <c r="GA184" i="2"/>
  <c r="GB34" i="2"/>
  <c r="GB161" i="2"/>
  <c r="GB164" i="2" s="1"/>
  <c r="GB181" i="2" s="1"/>
  <c r="GA29" i="2"/>
  <c r="GD163" i="2"/>
  <c r="GD162" i="2"/>
  <c r="GA186" i="2"/>
  <c r="FZ175" i="2"/>
  <c r="GA26" i="2"/>
  <c r="GB24" i="2"/>
  <c r="GB138" i="2"/>
  <c r="GB30" i="2"/>
  <c r="GC13" i="2"/>
  <c r="GC196" i="2" s="1"/>
  <c r="GB139" i="2"/>
  <c r="GB23" i="2"/>
  <c r="GB28" i="2"/>
  <c r="GB170" i="2"/>
  <c r="GB140" i="2"/>
  <c r="GB107" i="2"/>
  <c r="GB14" i="2"/>
  <c r="GB85" i="2"/>
  <c r="GB174" i="2" s="1"/>
  <c r="GB25" i="2"/>
  <c r="GB109" i="2"/>
  <c r="GB185" i="2" s="1"/>
  <c r="GB108" i="2"/>
  <c r="GB27" i="2"/>
  <c r="GB146" i="2"/>
  <c r="GB110" i="2"/>
  <c r="GB151" i="2"/>
  <c r="GC60" i="2"/>
  <c r="GD59" i="2"/>
  <c r="GC155" i="2"/>
  <c r="GC157" i="2" s="1"/>
  <c r="GD45" i="2"/>
  <c r="GD48" i="2" s="1"/>
  <c r="GD55" i="2"/>
  <c r="GD71" i="2"/>
  <c r="GD72" i="2"/>
  <c r="GD57" i="2"/>
  <c r="GD33" i="2"/>
  <c r="GD70" i="2"/>
  <c r="GD39" i="2"/>
  <c r="GD69" i="2"/>
  <c r="GD65" i="2"/>
  <c r="GD36" i="2"/>
  <c r="GD67" i="2"/>
  <c r="GD54" i="2"/>
  <c r="GD61" i="2"/>
  <c r="GD66" i="2"/>
  <c r="GD56" i="2"/>
  <c r="GD68" i="2"/>
  <c r="GD58" i="2"/>
  <c r="GE15" i="2"/>
  <c r="FY89" i="2"/>
  <c r="FY88" i="2"/>
  <c r="FY111" i="2" s="1"/>
  <c r="FY177" i="2"/>
  <c r="FY178" i="2" s="1"/>
  <c r="FY92" i="2"/>
  <c r="FZ100" i="2"/>
  <c r="GA79" i="2"/>
  <c r="GA80" i="2" s="1"/>
  <c r="GA92" i="2" s="1"/>
  <c r="FZ82" i="2"/>
  <c r="FZ83" i="2" s="1"/>
  <c r="FZ177" i="2"/>
  <c r="FZ88" i="2"/>
  <c r="FZ111" i="2" s="1"/>
  <c r="FZ89" i="2"/>
  <c r="L86" i="32"/>
  <c r="S85" i="32"/>
  <c r="T85" i="32" s="1"/>
  <c r="P85" i="32" s="1"/>
  <c r="I85" i="9"/>
  <c r="J85" i="9" s="1"/>
  <c r="B86" i="9"/>
  <c r="B40" i="32"/>
  <c r="I39" i="32"/>
  <c r="J39" i="32" s="1"/>
  <c r="S85" i="9"/>
  <c r="T85" i="9" s="1"/>
  <c r="P85" i="9" s="1"/>
  <c r="L86" i="9"/>
  <c r="GB41" i="2"/>
  <c r="GB87" i="2" s="1"/>
  <c r="GC74" i="2"/>
  <c r="GC49" i="2"/>
  <c r="GC48" i="2"/>
  <c r="GC44" i="2"/>
  <c r="GC101" i="2"/>
  <c r="GB76" i="2"/>
  <c r="GB77" i="2" s="1"/>
  <c r="GA106" i="2"/>
  <c r="FZ106" i="2"/>
  <c r="C265" i="9"/>
  <c r="GB176" i="2" l="1"/>
  <c r="GB184" i="2"/>
  <c r="GA175" i="2"/>
  <c r="GC34" i="2"/>
  <c r="GC161" i="2"/>
  <c r="GC164" i="2" s="1"/>
  <c r="GC181" i="2" s="1"/>
  <c r="FZ178" i="2"/>
  <c r="GE162" i="2"/>
  <c r="GE163" i="2"/>
  <c r="GB29" i="2"/>
  <c r="GB26" i="2"/>
  <c r="GC24" i="2"/>
  <c r="GC138" i="2"/>
  <c r="GC14" i="2"/>
  <c r="GC108" i="2"/>
  <c r="GC140" i="2"/>
  <c r="GC139" i="2"/>
  <c r="GC30" i="2"/>
  <c r="GC151" i="2"/>
  <c r="GC110" i="2"/>
  <c r="GC146" i="2"/>
  <c r="GC107" i="2"/>
  <c r="GC27" i="2"/>
  <c r="GC25" i="2"/>
  <c r="GC109" i="2"/>
  <c r="GC185" i="2" s="1"/>
  <c r="GD13" i="2"/>
  <c r="GD196" i="2" s="1"/>
  <c r="GC28" i="2"/>
  <c r="GC23" i="2"/>
  <c r="GC37" i="2"/>
  <c r="GC176" i="2" s="1"/>
  <c r="GB186" i="2"/>
  <c r="GD60" i="2"/>
  <c r="GD62" i="2" s="1"/>
  <c r="GD44" i="2"/>
  <c r="GD46" i="2" s="1"/>
  <c r="GE58" i="2"/>
  <c r="GE59" i="2"/>
  <c r="GE72" i="2"/>
  <c r="GE71" i="2"/>
  <c r="GE61" i="2"/>
  <c r="GE33" i="2"/>
  <c r="GE39" i="2"/>
  <c r="GE66" i="2"/>
  <c r="GE67" i="2"/>
  <c r="GE68" i="2"/>
  <c r="GE70" i="2"/>
  <c r="GE57" i="2"/>
  <c r="GE54" i="2"/>
  <c r="GE56" i="2"/>
  <c r="GE69" i="2"/>
  <c r="GE45" i="2"/>
  <c r="GE44" i="2" s="1"/>
  <c r="GE46" i="2" s="1"/>
  <c r="GE36" i="2"/>
  <c r="GE55" i="2"/>
  <c r="GF15" i="2"/>
  <c r="GE65" i="2"/>
  <c r="GD49" i="2"/>
  <c r="GD74" i="2"/>
  <c r="FY90" i="2"/>
  <c r="GA89" i="2"/>
  <c r="GA100" i="2"/>
  <c r="GA177" i="2"/>
  <c r="GA88" i="2"/>
  <c r="FZ90" i="2"/>
  <c r="GB79" i="2"/>
  <c r="GA82" i="2"/>
  <c r="GA83" i="2" s="1"/>
  <c r="L87" i="9"/>
  <c r="S86" i="9"/>
  <c r="T86" i="9" s="1"/>
  <c r="P86" i="9" s="1"/>
  <c r="I40" i="32"/>
  <c r="J40" i="32" s="1"/>
  <c r="B41" i="32"/>
  <c r="B87" i="9"/>
  <c r="I86" i="9"/>
  <c r="J86" i="9" s="1"/>
  <c r="L87" i="32"/>
  <c r="S86" i="32"/>
  <c r="T86" i="32" s="1"/>
  <c r="P86" i="32" s="1"/>
  <c r="GC41" i="2"/>
  <c r="GC87" i="2" s="1"/>
  <c r="GC62" i="2"/>
  <c r="GC46" i="2"/>
  <c r="GB106" i="2"/>
  <c r="C266" i="9"/>
  <c r="GA178" i="2" l="1"/>
  <c r="GC184" i="2"/>
  <c r="GD37" i="2"/>
  <c r="GD161" i="2"/>
  <c r="GD164" i="2" s="1"/>
  <c r="GB175" i="2"/>
  <c r="GF162" i="2"/>
  <c r="GF163" i="2"/>
  <c r="GC29" i="2"/>
  <c r="GD34" i="2"/>
  <c r="GC26" i="2"/>
  <c r="GD14" i="2"/>
  <c r="GD85" i="2"/>
  <c r="GD174" i="2" s="1"/>
  <c r="GD30" i="2"/>
  <c r="GD41" i="2"/>
  <c r="GD87" i="2" s="1"/>
  <c r="GD23" i="2"/>
  <c r="GD25" i="2"/>
  <c r="GD24" i="2"/>
  <c r="GD27" i="2"/>
  <c r="GD28" i="2"/>
  <c r="GE13" i="2"/>
  <c r="GE196" i="2" s="1"/>
  <c r="GE60" i="2"/>
  <c r="GE62" i="2" s="1"/>
  <c r="GF57" i="2"/>
  <c r="GF55" i="2"/>
  <c r="GF56" i="2"/>
  <c r="GF72" i="2"/>
  <c r="GF58" i="2"/>
  <c r="GF33" i="2"/>
  <c r="GF68" i="2"/>
  <c r="GF69" i="2"/>
  <c r="GF66" i="2"/>
  <c r="GF61" i="2"/>
  <c r="GF71" i="2"/>
  <c r="GF36" i="2"/>
  <c r="GF67" i="2"/>
  <c r="GF70" i="2"/>
  <c r="GF65" i="2"/>
  <c r="GF59" i="2"/>
  <c r="GF39" i="2"/>
  <c r="GF54" i="2"/>
  <c r="GF45" i="2"/>
  <c r="GF48" i="2" s="1"/>
  <c r="GE74" i="2"/>
  <c r="GE48" i="2"/>
  <c r="GE49" i="2"/>
  <c r="GG15" i="2"/>
  <c r="GD76" i="2"/>
  <c r="GD77" i="2" s="1"/>
  <c r="GE41" i="2"/>
  <c r="GE87" i="2" s="1"/>
  <c r="GA90" i="2"/>
  <c r="GA111" i="2"/>
  <c r="GB80" i="2"/>
  <c r="GB89" i="2" s="1"/>
  <c r="GB82" i="2"/>
  <c r="GB83" i="2" s="1"/>
  <c r="L88" i="32"/>
  <c r="S87" i="32"/>
  <c r="T87" i="32" s="1"/>
  <c r="P87" i="32" s="1"/>
  <c r="I87" i="9"/>
  <c r="J87" i="9" s="1"/>
  <c r="B88" i="9"/>
  <c r="I41" i="32"/>
  <c r="J41" i="32" s="1"/>
  <c r="B42" i="32"/>
  <c r="S87" i="9"/>
  <c r="T87" i="9" s="1"/>
  <c r="P87" i="9" s="1"/>
  <c r="L88" i="9"/>
  <c r="GC76" i="2"/>
  <c r="GC77" i="2" s="1"/>
  <c r="GC106" i="2"/>
  <c r="C267" i="9"/>
  <c r="GD181" i="2" l="1"/>
  <c r="GD116" i="2"/>
  <c r="GD176" i="2"/>
  <c r="GC175" i="2"/>
  <c r="GE37" i="2"/>
  <c r="GE161" i="2"/>
  <c r="GE164" i="2" s="1"/>
  <c r="GG163" i="2"/>
  <c r="GG162" i="2"/>
  <c r="GD26" i="2"/>
  <c r="GE23" i="2"/>
  <c r="GE34" i="2"/>
  <c r="GE25" i="2"/>
  <c r="GF13" i="2"/>
  <c r="GF196" i="2" s="1"/>
  <c r="GE28" i="2"/>
  <c r="GE27" i="2"/>
  <c r="GE30" i="2"/>
  <c r="GE24" i="2"/>
  <c r="GE14" i="2"/>
  <c r="GE85" i="2"/>
  <c r="GE174" i="2" s="1"/>
  <c r="GD29" i="2"/>
  <c r="GF60" i="2"/>
  <c r="GF62" i="2" s="1"/>
  <c r="GF49" i="2"/>
  <c r="GG33" i="2"/>
  <c r="GG71" i="2"/>
  <c r="GG36" i="2"/>
  <c r="GF44" i="2"/>
  <c r="GF46" i="2" s="1"/>
  <c r="GE76" i="2"/>
  <c r="GE77" i="2" s="1"/>
  <c r="GG68" i="2"/>
  <c r="GF74" i="2"/>
  <c r="GG66" i="2"/>
  <c r="GG55" i="2"/>
  <c r="GG56" i="2"/>
  <c r="GG58" i="2"/>
  <c r="GG45" i="2"/>
  <c r="GG48" i="2" s="1"/>
  <c r="GG72" i="2"/>
  <c r="GG39" i="2"/>
  <c r="GG61" i="2"/>
  <c r="GG54" i="2"/>
  <c r="GG67" i="2"/>
  <c r="GG70" i="2"/>
  <c r="GG65" i="2"/>
  <c r="GG57" i="2"/>
  <c r="GH15" i="2"/>
  <c r="GG59" i="2"/>
  <c r="GG69" i="2"/>
  <c r="GD79" i="2"/>
  <c r="GD82" i="2" s="1"/>
  <c r="GD83" i="2" s="1"/>
  <c r="GD80" i="2"/>
  <c r="GD177" i="2" s="1"/>
  <c r="GB88" i="2"/>
  <c r="GB92" i="2"/>
  <c r="GB177" i="2"/>
  <c r="GB178" i="2" s="1"/>
  <c r="GB100" i="2"/>
  <c r="I42" i="32"/>
  <c r="J42" i="32" s="1"/>
  <c r="B43" i="32"/>
  <c r="I88" i="9"/>
  <c r="J88" i="9" s="1"/>
  <c r="B89" i="9"/>
  <c r="S88" i="9"/>
  <c r="T88" i="9" s="1"/>
  <c r="P88" i="9" s="1"/>
  <c r="L89" i="9"/>
  <c r="S88" i="32"/>
  <c r="T88" i="32" s="1"/>
  <c r="P88" i="32" s="1"/>
  <c r="L89" i="32"/>
  <c r="GC79" i="2"/>
  <c r="C268" i="9"/>
  <c r="GE181" i="2" l="1"/>
  <c r="GE116" i="2"/>
  <c r="GD175" i="2"/>
  <c r="GD178" i="2" s="1"/>
  <c r="GD195" i="2" s="1"/>
  <c r="GE176" i="2"/>
  <c r="GF161" i="2"/>
  <c r="GF164" i="2" s="1"/>
  <c r="GH66" i="2"/>
  <c r="GH163" i="2"/>
  <c r="GH162" i="2"/>
  <c r="GE26" i="2"/>
  <c r="GF28" i="2"/>
  <c r="GF23" i="2"/>
  <c r="GF25" i="2"/>
  <c r="GF24" i="2"/>
  <c r="GF41" i="2"/>
  <c r="GF87" i="2" s="1"/>
  <c r="GF30" i="2"/>
  <c r="GG13" i="2"/>
  <c r="GG196" i="2" s="1"/>
  <c r="GF27" i="2"/>
  <c r="GF14" i="2"/>
  <c r="GF37" i="2"/>
  <c r="GE29" i="2"/>
  <c r="GF34" i="2"/>
  <c r="GG60" i="2"/>
  <c r="GG62" i="2" s="1"/>
  <c r="GH45" i="2"/>
  <c r="GH48" i="2" s="1"/>
  <c r="GI15" i="2"/>
  <c r="GH33" i="2"/>
  <c r="GH57" i="2"/>
  <c r="GH56" i="2"/>
  <c r="GH67" i="2"/>
  <c r="GH36" i="2"/>
  <c r="GH70" i="2"/>
  <c r="GH72" i="2"/>
  <c r="GH65" i="2"/>
  <c r="GH39" i="2"/>
  <c r="GH55" i="2"/>
  <c r="GH68" i="2"/>
  <c r="GH69" i="2"/>
  <c r="GH71" i="2"/>
  <c r="GH58" i="2"/>
  <c r="GH61" i="2"/>
  <c r="GH59" i="2"/>
  <c r="GH54" i="2"/>
  <c r="GE79" i="2"/>
  <c r="GE82" i="2" s="1"/>
  <c r="GE83" i="2" s="1"/>
  <c r="GF76" i="2"/>
  <c r="GF77" i="2" s="1"/>
  <c r="GG49" i="2"/>
  <c r="GG74" i="2"/>
  <c r="GG44" i="2"/>
  <c r="GG46" i="2" s="1"/>
  <c r="GE80" i="2"/>
  <c r="GE177" i="2" s="1"/>
  <c r="GD88" i="2"/>
  <c r="GD92" i="2"/>
  <c r="GD89" i="2"/>
  <c r="GB90" i="2"/>
  <c r="GB111" i="2"/>
  <c r="S89" i="32"/>
  <c r="T89" i="32" s="1"/>
  <c r="P89" i="32" s="1"/>
  <c r="L90" i="32"/>
  <c r="S89" i="9"/>
  <c r="T89" i="9" s="1"/>
  <c r="P89" i="9" s="1"/>
  <c r="L90" i="9"/>
  <c r="B90" i="9"/>
  <c r="I89" i="9"/>
  <c r="J89" i="9" s="1"/>
  <c r="B44" i="32"/>
  <c r="I43" i="32"/>
  <c r="J43" i="32" s="1"/>
  <c r="GC82" i="2"/>
  <c r="GC83" i="2" s="1"/>
  <c r="GC80" i="2"/>
  <c r="C269" i="9"/>
  <c r="GF181" i="2" l="1"/>
  <c r="GF116" i="2"/>
  <c r="GD187" i="2"/>
  <c r="GE175" i="2"/>
  <c r="GE178" i="2" s="1"/>
  <c r="GF176" i="2"/>
  <c r="GG161" i="2"/>
  <c r="GG164" i="2" s="1"/>
  <c r="GI33" i="2"/>
  <c r="GI162" i="2"/>
  <c r="GI163" i="2"/>
  <c r="GI59" i="2"/>
  <c r="GI66" i="2"/>
  <c r="GI36" i="2"/>
  <c r="GI72" i="2"/>
  <c r="GI69" i="2"/>
  <c r="GI67" i="2"/>
  <c r="GI57" i="2"/>
  <c r="GI56" i="2"/>
  <c r="GI58" i="2"/>
  <c r="GF29" i="2"/>
  <c r="GF26" i="2"/>
  <c r="GF175" i="2" s="1"/>
  <c r="GG24" i="2"/>
  <c r="GG28" i="2"/>
  <c r="GG27" i="2"/>
  <c r="GG14" i="2"/>
  <c r="GG30" i="2"/>
  <c r="GG85" i="2"/>
  <c r="GG174" i="2" s="1"/>
  <c r="GG87" i="2"/>
  <c r="GH13" i="2"/>
  <c r="GH196" i="2" s="1"/>
  <c r="GG37" i="2"/>
  <c r="GG25" i="2"/>
  <c r="GG80" i="2"/>
  <c r="GG34" i="2"/>
  <c r="GG41" i="2"/>
  <c r="GG23" i="2"/>
  <c r="GH60" i="2"/>
  <c r="GH62" i="2" s="1"/>
  <c r="GI54" i="2"/>
  <c r="GI61" i="2"/>
  <c r="GI39" i="2"/>
  <c r="GI45" i="2"/>
  <c r="GI48" i="2" s="1"/>
  <c r="GI71" i="2"/>
  <c r="GI55" i="2"/>
  <c r="GJ15" i="2"/>
  <c r="GI70" i="2"/>
  <c r="GI68" i="2"/>
  <c r="GI65" i="2"/>
  <c r="GH44" i="2"/>
  <c r="GH46" i="2" s="1"/>
  <c r="GH74" i="2"/>
  <c r="GH49" i="2"/>
  <c r="GF79" i="2"/>
  <c r="GF82" i="2" s="1"/>
  <c r="GF83" i="2" s="1"/>
  <c r="GG76" i="2"/>
  <c r="GG77" i="2" s="1"/>
  <c r="GD90" i="2"/>
  <c r="GF80" i="2"/>
  <c r="GF177" i="2" s="1"/>
  <c r="GE88" i="2"/>
  <c r="GE89" i="2"/>
  <c r="GE92" i="2"/>
  <c r="B91" i="9"/>
  <c r="I90" i="9"/>
  <c r="J90" i="9" s="1"/>
  <c r="L91" i="9"/>
  <c r="S90" i="9"/>
  <c r="T90" i="9" s="1"/>
  <c r="P90" i="9" s="1"/>
  <c r="L91" i="32"/>
  <c r="S90" i="32"/>
  <c r="T90" i="32" s="1"/>
  <c r="P90" i="32" s="1"/>
  <c r="B45" i="32"/>
  <c r="I44" i="32"/>
  <c r="J44" i="32" s="1"/>
  <c r="GC88" i="2"/>
  <c r="GC100" i="2"/>
  <c r="GC177" i="2"/>
  <c r="GC89" i="2"/>
  <c r="C270" i="9"/>
  <c r="GG181" i="2" l="1"/>
  <c r="GG116" i="2"/>
  <c r="GE195" i="2"/>
  <c r="GE187" i="2"/>
  <c r="GG88" i="2"/>
  <c r="GG177" i="2"/>
  <c r="GG176" i="2"/>
  <c r="GH161" i="2"/>
  <c r="GH164" i="2" s="1"/>
  <c r="GJ45" i="2"/>
  <c r="GJ44" i="2" s="1"/>
  <c r="GJ46" i="2" s="1"/>
  <c r="GJ162" i="2"/>
  <c r="GJ163" i="2"/>
  <c r="GG29" i="2"/>
  <c r="GJ68" i="2"/>
  <c r="GG89" i="2"/>
  <c r="GG92" i="2"/>
  <c r="GK15" i="2"/>
  <c r="GK57" i="2" s="1"/>
  <c r="GJ33" i="2"/>
  <c r="GG26" i="2"/>
  <c r="GH24" i="2"/>
  <c r="GH30" i="2"/>
  <c r="GH23" i="2"/>
  <c r="GH28" i="2"/>
  <c r="GH80" i="2"/>
  <c r="GH87" i="2"/>
  <c r="GH85" i="2"/>
  <c r="GH174" i="2" s="1"/>
  <c r="GI13" i="2"/>
  <c r="GI196" i="2" s="1"/>
  <c r="GH27" i="2"/>
  <c r="GH34" i="2"/>
  <c r="GH14" i="2"/>
  <c r="GH41" i="2"/>
  <c r="GH37" i="2"/>
  <c r="GH25" i="2"/>
  <c r="GJ59" i="2"/>
  <c r="GJ67" i="2"/>
  <c r="GJ61" i="2"/>
  <c r="GJ70" i="2"/>
  <c r="GJ58" i="2"/>
  <c r="GJ72" i="2"/>
  <c r="GJ56" i="2"/>
  <c r="GJ71" i="2"/>
  <c r="GJ69" i="2"/>
  <c r="GJ57" i="2"/>
  <c r="GJ39" i="2"/>
  <c r="GJ36" i="2"/>
  <c r="GJ55" i="2"/>
  <c r="GI60" i="2"/>
  <c r="GI62" i="2" s="1"/>
  <c r="GI44" i="2"/>
  <c r="GI46" i="2" s="1"/>
  <c r="GI49" i="2"/>
  <c r="GI74" i="2"/>
  <c r="GJ66" i="2"/>
  <c r="GJ65" i="2"/>
  <c r="GJ54" i="2"/>
  <c r="GH76" i="2"/>
  <c r="GH77" i="2" s="1"/>
  <c r="GG79" i="2"/>
  <c r="GG82" i="2" s="1"/>
  <c r="GG83" i="2" s="1"/>
  <c r="GE90" i="2"/>
  <c r="GF88" i="2"/>
  <c r="GF89" i="2"/>
  <c r="B46" i="32"/>
  <c r="I45" i="32"/>
  <c r="J45" i="32" s="1"/>
  <c r="L92" i="32"/>
  <c r="S91" i="32"/>
  <c r="T91" i="32" s="1"/>
  <c r="P91" i="32" s="1"/>
  <c r="L92" i="9"/>
  <c r="S91" i="9"/>
  <c r="T91" i="9" s="1"/>
  <c r="P91" i="9" s="1"/>
  <c r="B92" i="9"/>
  <c r="I91" i="9"/>
  <c r="J91" i="9" s="1"/>
  <c r="GC111" i="2"/>
  <c r="GC90" i="2"/>
  <c r="C271" i="9"/>
  <c r="GH181" i="2" l="1"/>
  <c r="GH116" i="2"/>
  <c r="GG90" i="2"/>
  <c r="GG175" i="2"/>
  <c r="GG178" i="2" s="1"/>
  <c r="GG195" i="2" s="1"/>
  <c r="GJ48" i="2"/>
  <c r="GH88" i="2"/>
  <c r="GH177" i="2"/>
  <c r="GH176" i="2"/>
  <c r="GI161" i="2"/>
  <c r="GI164" i="2" s="1"/>
  <c r="GK70" i="2"/>
  <c r="GK59" i="2"/>
  <c r="GK68" i="2"/>
  <c r="GK71" i="2"/>
  <c r="GK67" i="2"/>
  <c r="GK33" i="2"/>
  <c r="GK65" i="2"/>
  <c r="GK69" i="2"/>
  <c r="GK45" i="2"/>
  <c r="GK44" i="2" s="1"/>
  <c r="GK46" i="2" s="1"/>
  <c r="GK61" i="2"/>
  <c r="GL15" i="2"/>
  <c r="GL162" i="2" s="1"/>
  <c r="GK36" i="2"/>
  <c r="GK66" i="2"/>
  <c r="GK56" i="2"/>
  <c r="GK58" i="2"/>
  <c r="GK55" i="2"/>
  <c r="GK54" i="2"/>
  <c r="GK72" i="2"/>
  <c r="GK39" i="2"/>
  <c r="GH89" i="2"/>
  <c r="GK162" i="2"/>
  <c r="GK163" i="2"/>
  <c r="GH92" i="2"/>
  <c r="GH29" i="2"/>
  <c r="GH26" i="2"/>
  <c r="GI14" i="2"/>
  <c r="GI37" i="2"/>
  <c r="GI25" i="2"/>
  <c r="GJ13" i="2"/>
  <c r="GJ196" i="2" s="1"/>
  <c r="GI30" i="2"/>
  <c r="GI41" i="2"/>
  <c r="GI87" i="2"/>
  <c r="GI28" i="2"/>
  <c r="GI34" i="2"/>
  <c r="GI85" i="2"/>
  <c r="GI174" i="2" s="1"/>
  <c r="GI24" i="2"/>
  <c r="GI23" i="2"/>
  <c r="GI80" i="2"/>
  <c r="GI27" i="2"/>
  <c r="D128" i="9"/>
  <c r="GJ49" i="2"/>
  <c r="GJ60" i="2"/>
  <c r="GJ62" i="2" s="1"/>
  <c r="GI76" i="2"/>
  <c r="GI77" i="2" s="1"/>
  <c r="GJ74" i="2"/>
  <c r="GH79" i="2"/>
  <c r="GH82" i="2" s="1"/>
  <c r="GH83" i="2" s="1"/>
  <c r="GF90" i="2"/>
  <c r="GL45" i="2"/>
  <c r="GL36" i="2"/>
  <c r="GL70" i="2"/>
  <c r="GL59" i="2"/>
  <c r="GL61" i="2"/>
  <c r="GL55" i="2"/>
  <c r="I92" i="9"/>
  <c r="J92" i="9" s="1"/>
  <c r="B93" i="9"/>
  <c r="L93" i="9"/>
  <c r="S92" i="9"/>
  <c r="T92" i="9" s="1"/>
  <c r="P92" i="9" s="1"/>
  <c r="L93" i="32"/>
  <c r="S92" i="32"/>
  <c r="T92" i="32" s="1"/>
  <c r="P92" i="32" s="1"/>
  <c r="B47" i="32"/>
  <c r="I46" i="32"/>
  <c r="J46" i="32" s="1"/>
  <c r="C272" i="9"/>
  <c r="GL67" i="2" l="1"/>
  <c r="GL68" i="2"/>
  <c r="GL39" i="2"/>
  <c r="GL33" i="2"/>
  <c r="GL71" i="2"/>
  <c r="GL57" i="2"/>
  <c r="GM15" i="2"/>
  <c r="GM45" i="2" s="1"/>
  <c r="GL58" i="2"/>
  <c r="GL69" i="2"/>
  <c r="GL65" i="2"/>
  <c r="GL56" i="2"/>
  <c r="GL66" i="2"/>
  <c r="GL54" i="2"/>
  <c r="GL72" i="2"/>
  <c r="GH90" i="2"/>
  <c r="GI181" i="2"/>
  <c r="GI116" i="2"/>
  <c r="GH175" i="2"/>
  <c r="GH178" i="2" s="1"/>
  <c r="GH187" i="2" s="1"/>
  <c r="GG187" i="2"/>
  <c r="GI176" i="2"/>
  <c r="GI88" i="2"/>
  <c r="GI177" i="2"/>
  <c r="GL163" i="2"/>
  <c r="GK74" i="2"/>
  <c r="GK60" i="2"/>
  <c r="GK62" i="2" s="1"/>
  <c r="GK48" i="2"/>
  <c r="GK49" i="2"/>
  <c r="D129" i="9"/>
  <c r="GJ161" i="2"/>
  <c r="GJ164" i="2" s="1"/>
  <c r="GI89" i="2"/>
  <c r="GI29" i="2"/>
  <c r="GI26" i="2"/>
  <c r="GJ24" i="2"/>
  <c r="GJ41" i="2"/>
  <c r="GJ14" i="2"/>
  <c r="GJ87" i="2"/>
  <c r="GJ34" i="2"/>
  <c r="GJ37" i="2"/>
  <c r="GJ80" i="2"/>
  <c r="GJ28" i="2"/>
  <c r="GJ85" i="2"/>
  <c r="GJ174" i="2" s="1"/>
  <c r="GJ30" i="2"/>
  <c r="GK13" i="2"/>
  <c r="GK196" i="2" s="1"/>
  <c r="GJ23" i="2"/>
  <c r="GJ25" i="2"/>
  <c r="GJ27" i="2"/>
  <c r="GI92" i="2"/>
  <c r="GI79" i="2"/>
  <c r="GI82" i="2" s="1"/>
  <c r="GI83" i="2" s="1"/>
  <c r="GJ76" i="2"/>
  <c r="GJ77" i="2" s="1"/>
  <c r="GL44" i="2"/>
  <c r="GL46" i="2" s="1"/>
  <c r="GL48" i="2"/>
  <c r="GM72" i="2"/>
  <c r="GM70" i="2"/>
  <c r="GM68" i="2"/>
  <c r="GM39" i="2"/>
  <c r="B48" i="32"/>
  <c r="I47" i="32"/>
  <c r="J47" i="32" s="1"/>
  <c r="L94" i="32"/>
  <c r="S93" i="32"/>
  <c r="T93" i="32" s="1"/>
  <c r="P93" i="32" s="1"/>
  <c r="L94" i="9"/>
  <c r="S93" i="9"/>
  <c r="T93" i="9" s="1"/>
  <c r="P93" i="9" s="1"/>
  <c r="I93" i="9"/>
  <c r="J93" i="9" s="1"/>
  <c r="B94" i="9"/>
  <c r="C273" i="9"/>
  <c r="GM66" i="2" l="1"/>
  <c r="GM67" i="2"/>
  <c r="GM69" i="2"/>
  <c r="GM56" i="2"/>
  <c r="GM163" i="2"/>
  <c r="GM61" i="2"/>
  <c r="GM36" i="2"/>
  <c r="GN15" i="2"/>
  <c r="GN163" i="2" s="1"/>
  <c r="GM58" i="2"/>
  <c r="GL60" i="2"/>
  <c r="GL62" i="2" s="1"/>
  <c r="GL49" i="2"/>
  <c r="GL74" i="2"/>
  <c r="GM59" i="2"/>
  <c r="GM33" i="2"/>
  <c r="GM162" i="2"/>
  <c r="GM65" i="2"/>
  <c r="GM55" i="2"/>
  <c r="GM57" i="2"/>
  <c r="GM71" i="2"/>
  <c r="GM54" i="2"/>
  <c r="GJ181" i="2"/>
  <c r="GJ116" i="2"/>
  <c r="GH195" i="2"/>
  <c r="GI175" i="2"/>
  <c r="GI178" i="2" s="1"/>
  <c r="GJ88" i="2"/>
  <c r="GJ177" i="2"/>
  <c r="GI90" i="2"/>
  <c r="GJ176" i="2"/>
  <c r="GK76" i="2"/>
  <c r="GK77" i="2" s="1"/>
  <c r="D130" i="9"/>
  <c r="GK161" i="2"/>
  <c r="GK164" i="2" s="1"/>
  <c r="GN162" i="2"/>
  <c r="GJ89" i="2"/>
  <c r="GJ29" i="2"/>
  <c r="GK24" i="2"/>
  <c r="GK23" i="2"/>
  <c r="GK85" i="2"/>
  <c r="GK174" i="2" s="1"/>
  <c r="GK41" i="2"/>
  <c r="GK27" i="2"/>
  <c r="GK34" i="2"/>
  <c r="GK14" i="2"/>
  <c r="GK28" i="2"/>
  <c r="GK25" i="2"/>
  <c r="GK30" i="2"/>
  <c r="GK87" i="2"/>
  <c r="GL13" i="2"/>
  <c r="GL196" i="2" s="1"/>
  <c r="GK80" i="2"/>
  <c r="GK37" i="2"/>
  <c r="GJ26" i="2"/>
  <c r="GJ92" i="2"/>
  <c r="GJ79" i="2"/>
  <c r="GJ82" i="2" s="1"/>
  <c r="GJ83" i="2" s="1"/>
  <c r="GM44" i="2"/>
  <c r="GM46" i="2" s="1"/>
  <c r="GM48" i="2"/>
  <c r="GN45" i="2"/>
  <c r="GN71" i="2"/>
  <c r="GN68" i="2"/>
  <c r="S94" i="9"/>
  <c r="T94" i="9" s="1"/>
  <c r="P94" i="9" s="1"/>
  <c r="L95" i="9"/>
  <c r="L95" i="32"/>
  <c r="S94" i="32"/>
  <c r="T94" i="32" s="1"/>
  <c r="P94" i="32" s="1"/>
  <c r="B95" i="9"/>
  <c r="I94" i="9"/>
  <c r="J94" i="9" s="1"/>
  <c r="I48" i="32"/>
  <c r="J48" i="32" s="1"/>
  <c r="B49" i="32"/>
  <c r="C274" i="9"/>
  <c r="GN39" i="2" l="1"/>
  <c r="GN55" i="2"/>
  <c r="GN72" i="2"/>
  <c r="GN59" i="2"/>
  <c r="GN70" i="2"/>
  <c r="GN36" i="2"/>
  <c r="GO15" i="2"/>
  <c r="GO58" i="2" s="1"/>
  <c r="GN33" i="2"/>
  <c r="GN65" i="2"/>
  <c r="GN54" i="2"/>
  <c r="GN57" i="2"/>
  <c r="GN66" i="2"/>
  <c r="GN67" i="2"/>
  <c r="GN69" i="2"/>
  <c r="GN61" i="2"/>
  <c r="GN56" i="2"/>
  <c r="GN58" i="2"/>
  <c r="GL76" i="2"/>
  <c r="GL77" i="2" s="1"/>
  <c r="GM49" i="2"/>
  <c r="GM74" i="2"/>
  <c r="GM60" i="2"/>
  <c r="GM62" i="2" s="1"/>
  <c r="GK181" i="2"/>
  <c r="GK116" i="2"/>
  <c r="GI187" i="2"/>
  <c r="GI195" i="2"/>
  <c r="GJ175" i="2"/>
  <c r="GJ178" i="2" s="1"/>
  <c r="GK176" i="2"/>
  <c r="GK88" i="2"/>
  <c r="GK177" i="2"/>
  <c r="GJ90" i="2"/>
  <c r="GK79" i="2"/>
  <c r="GK82" i="2" s="1"/>
  <c r="GK83" i="2" s="1"/>
  <c r="D131" i="9"/>
  <c r="GL161" i="2"/>
  <c r="GL164" i="2" s="1"/>
  <c r="GK29" i="2"/>
  <c r="GK89" i="2"/>
  <c r="GK26" i="2"/>
  <c r="GL24" i="2"/>
  <c r="GM13" i="2"/>
  <c r="GM196" i="2" s="1"/>
  <c r="GL85" i="2"/>
  <c r="GL174" i="2" s="1"/>
  <c r="GL14" i="2"/>
  <c r="GL27" i="2"/>
  <c r="GL80" i="2"/>
  <c r="GL23" i="2"/>
  <c r="GL25" i="2"/>
  <c r="GL37" i="2"/>
  <c r="GL30" i="2"/>
  <c r="GL87" i="2"/>
  <c r="GL34" i="2"/>
  <c r="GL41" i="2"/>
  <c r="GL28" i="2"/>
  <c r="GK92" i="2"/>
  <c r="GN48" i="2"/>
  <c r="GN44" i="2"/>
  <c r="GN46" i="2" s="1"/>
  <c r="GO39" i="2"/>
  <c r="GO56" i="2"/>
  <c r="GO57" i="2"/>
  <c r="GO68" i="2"/>
  <c r="I95" i="9"/>
  <c r="J95" i="9" s="1"/>
  <c r="B96" i="9"/>
  <c r="S95" i="32"/>
  <c r="T95" i="32" s="1"/>
  <c r="P95" i="32" s="1"/>
  <c r="L96" i="32"/>
  <c r="S95" i="9"/>
  <c r="T95" i="9" s="1"/>
  <c r="P95" i="9" s="1"/>
  <c r="L96" i="9"/>
  <c r="B50" i="32"/>
  <c r="I49" i="32"/>
  <c r="J49" i="32" s="1"/>
  <c r="C275" i="9"/>
  <c r="GN49" i="2" l="1"/>
  <c r="GN74" i="2"/>
  <c r="GN60" i="2"/>
  <c r="GN62" i="2" s="1"/>
  <c r="GL79" i="2"/>
  <c r="GL82" i="2" s="1"/>
  <c r="GL83" i="2" s="1"/>
  <c r="GO54" i="2"/>
  <c r="GO65" i="2"/>
  <c r="GO72" i="2"/>
  <c r="GO33" i="2"/>
  <c r="GO71" i="2"/>
  <c r="GO59" i="2"/>
  <c r="GP15" i="2"/>
  <c r="GP45" i="2" s="1"/>
  <c r="GO162" i="2"/>
  <c r="GO70" i="2"/>
  <c r="GO61" i="2"/>
  <c r="GO55" i="2"/>
  <c r="GO69" i="2"/>
  <c r="GO36" i="2"/>
  <c r="GO163" i="2"/>
  <c r="GO67" i="2"/>
  <c r="GO45" i="2"/>
  <c r="GO48" i="2" s="1"/>
  <c r="GO66" i="2"/>
  <c r="GM76" i="2"/>
  <c r="GM77" i="2" s="1"/>
  <c r="GL181" i="2"/>
  <c r="GL116" i="2"/>
  <c r="GK175" i="2"/>
  <c r="GK178" i="2" s="1"/>
  <c r="GK195" i="2" s="1"/>
  <c r="GL176" i="2"/>
  <c r="GJ195" i="2"/>
  <c r="GJ187" i="2"/>
  <c r="GK90" i="2"/>
  <c r="GL88" i="2"/>
  <c r="GL177" i="2"/>
  <c r="GM161" i="2"/>
  <c r="GM164" i="2" s="1"/>
  <c r="D132" i="9"/>
  <c r="GL26" i="2"/>
  <c r="GP163" i="2"/>
  <c r="GP162" i="2"/>
  <c r="GL92" i="2"/>
  <c r="GL29" i="2"/>
  <c r="GL89" i="2"/>
  <c r="GN13" i="2"/>
  <c r="GN196" i="2" s="1"/>
  <c r="GM30" i="2"/>
  <c r="GM80" i="2"/>
  <c r="GM34" i="2"/>
  <c r="GM23" i="2"/>
  <c r="GM25" i="2"/>
  <c r="GM14" i="2"/>
  <c r="GM85" i="2"/>
  <c r="GM174" i="2" s="1"/>
  <c r="GM24" i="2"/>
  <c r="GM37" i="2"/>
  <c r="GM27" i="2"/>
  <c r="GM28" i="2"/>
  <c r="GM87" i="2"/>
  <c r="GM41" i="2"/>
  <c r="GQ15" i="2"/>
  <c r="GP72" i="2"/>
  <c r="GP66" i="2"/>
  <c r="GP58" i="2"/>
  <c r="GP67" i="2"/>
  <c r="L97" i="9"/>
  <c r="S96" i="9"/>
  <c r="T96" i="9" s="1"/>
  <c r="P96" i="9" s="1"/>
  <c r="B51" i="32"/>
  <c r="I50" i="32"/>
  <c r="J50" i="32" s="1"/>
  <c r="S96" i="32"/>
  <c r="T96" i="32" s="1"/>
  <c r="P96" i="32" s="1"/>
  <c r="L97" i="32"/>
  <c r="B97" i="9"/>
  <c r="I96" i="9"/>
  <c r="J96" i="9" s="1"/>
  <c r="C276" i="9"/>
  <c r="GN76" i="2" l="1"/>
  <c r="GN77" i="2" s="1"/>
  <c r="GO74" i="2"/>
  <c r="GO49" i="2"/>
  <c r="GO60" i="2"/>
  <c r="GO62" i="2" s="1"/>
  <c r="GO44" i="2"/>
  <c r="GO46" i="2" s="1"/>
  <c r="GP33" i="2"/>
  <c r="GP39" i="2"/>
  <c r="GP101" i="2" s="1"/>
  <c r="GP56" i="2"/>
  <c r="GP36" i="2"/>
  <c r="GP54" i="2"/>
  <c r="GP55" i="2"/>
  <c r="GP70" i="2"/>
  <c r="GP131" i="2"/>
  <c r="GP61" i="2"/>
  <c r="GP65" i="2"/>
  <c r="GP71" i="2"/>
  <c r="GP68" i="2"/>
  <c r="GP154" i="2"/>
  <c r="GP155" i="2" s="1"/>
  <c r="GP157" i="2" s="1"/>
  <c r="GP57" i="2"/>
  <c r="GP69" i="2"/>
  <c r="GP59" i="2"/>
  <c r="GM79" i="2"/>
  <c r="GM82" i="2" s="1"/>
  <c r="GM83" i="2" s="1"/>
  <c r="GM181" i="2"/>
  <c r="GM116" i="2"/>
  <c r="GK187" i="2"/>
  <c r="GL175" i="2"/>
  <c r="GL178" i="2" s="1"/>
  <c r="GM176" i="2"/>
  <c r="GM88" i="2"/>
  <c r="GM177" i="2"/>
  <c r="GL90" i="2"/>
  <c r="D133" i="9"/>
  <c r="GN161" i="2"/>
  <c r="GN164" i="2" s="1"/>
  <c r="GQ162" i="2"/>
  <c r="GQ163" i="2"/>
  <c r="GM89" i="2"/>
  <c r="GM29" i="2"/>
  <c r="GM26" i="2"/>
  <c r="GN24" i="2"/>
  <c r="GN14" i="2"/>
  <c r="GN30" i="2"/>
  <c r="GN41" i="2"/>
  <c r="GN34" i="2"/>
  <c r="GN37" i="2"/>
  <c r="GN87" i="2"/>
  <c r="GN85" i="2"/>
  <c r="GN174" i="2" s="1"/>
  <c r="GN25" i="2"/>
  <c r="GN23" i="2"/>
  <c r="GN28" i="2"/>
  <c r="GO13" i="2"/>
  <c r="GO196" i="2" s="1"/>
  <c r="GN80" i="2"/>
  <c r="GN27" i="2"/>
  <c r="GM92" i="2"/>
  <c r="GP48" i="2"/>
  <c r="GP44" i="2"/>
  <c r="GP46" i="2" s="1"/>
  <c r="GR15" i="2"/>
  <c r="GQ45" i="2"/>
  <c r="GQ33" i="2"/>
  <c r="GQ59" i="2"/>
  <c r="GQ56" i="2"/>
  <c r="GQ69" i="2"/>
  <c r="GQ61" i="2"/>
  <c r="GQ68" i="2"/>
  <c r="GQ55" i="2"/>
  <c r="GQ66" i="2"/>
  <c r="GQ58" i="2"/>
  <c r="GQ72" i="2"/>
  <c r="GQ67" i="2"/>
  <c r="GQ70" i="2"/>
  <c r="GQ65" i="2"/>
  <c r="GQ36" i="2"/>
  <c r="GQ54" i="2"/>
  <c r="GQ57" i="2"/>
  <c r="GQ39" i="2"/>
  <c r="GQ101" i="2" s="1"/>
  <c r="GQ71" i="2"/>
  <c r="GQ131" i="2"/>
  <c r="GQ154" i="2"/>
  <c r="GQ155" i="2" s="1"/>
  <c r="GQ157" i="2" s="1"/>
  <c r="S97" i="32"/>
  <c r="T97" i="32" s="1"/>
  <c r="P97" i="32" s="1"/>
  <c r="L98" i="32"/>
  <c r="I51" i="32"/>
  <c r="J51" i="32" s="1"/>
  <c r="B52" i="32"/>
  <c r="I97" i="9"/>
  <c r="J97" i="9" s="1"/>
  <c r="B98" i="9"/>
  <c r="L98" i="9"/>
  <c r="S97" i="9"/>
  <c r="T97" i="9" s="1"/>
  <c r="P97" i="9" s="1"/>
  <c r="C277" i="9"/>
  <c r="GO76" i="2" l="1"/>
  <c r="GO77" i="2" s="1"/>
  <c r="GN79" i="2"/>
  <c r="GN82" i="2" s="1"/>
  <c r="GN83" i="2" s="1"/>
  <c r="GP49" i="2"/>
  <c r="GP60" i="2"/>
  <c r="GP62" i="2" s="1"/>
  <c r="GP74" i="2"/>
  <c r="GM90" i="2"/>
  <c r="GN181" i="2"/>
  <c r="GN116" i="2"/>
  <c r="GL195" i="2"/>
  <c r="GL187" i="2"/>
  <c r="GM175" i="2"/>
  <c r="GM178" i="2" s="1"/>
  <c r="GM187" i="2" s="1"/>
  <c r="GN88" i="2"/>
  <c r="GN177" i="2"/>
  <c r="GN176" i="2"/>
  <c r="D134" i="9"/>
  <c r="GO161" i="2"/>
  <c r="GO164" i="2" s="1"/>
  <c r="GR162" i="2"/>
  <c r="GR163" i="2"/>
  <c r="GN29" i="2"/>
  <c r="GO14" i="2"/>
  <c r="GO85" i="2"/>
  <c r="GO174" i="2" s="1"/>
  <c r="GO23" i="2"/>
  <c r="GO41" i="2"/>
  <c r="GO37" i="2"/>
  <c r="GO25" i="2"/>
  <c r="GO24" i="2"/>
  <c r="GO87" i="2"/>
  <c r="GP13" i="2"/>
  <c r="GP196" i="2" s="1"/>
  <c r="GO28" i="2"/>
  <c r="GO34" i="2"/>
  <c r="GO30" i="2"/>
  <c r="GO27" i="2"/>
  <c r="GO80" i="2"/>
  <c r="GN92" i="2"/>
  <c r="GN26" i="2"/>
  <c r="GN175" i="2" s="1"/>
  <c r="GN89" i="2"/>
  <c r="GQ60" i="2"/>
  <c r="GQ62" i="2" s="1"/>
  <c r="GQ49" i="2"/>
  <c r="GS15" i="2"/>
  <c r="GR45" i="2"/>
  <c r="GR68" i="2"/>
  <c r="GR71" i="2"/>
  <c r="GR57" i="2"/>
  <c r="GR36" i="2"/>
  <c r="GR33" i="2"/>
  <c r="GR61" i="2"/>
  <c r="GR56" i="2"/>
  <c r="GR66" i="2"/>
  <c r="GR67" i="2"/>
  <c r="GR72" i="2"/>
  <c r="GR59" i="2"/>
  <c r="GR65" i="2"/>
  <c r="GR70" i="2"/>
  <c r="GR58" i="2"/>
  <c r="GR54" i="2"/>
  <c r="GR69" i="2"/>
  <c r="GR39" i="2"/>
  <c r="GR101" i="2" s="1"/>
  <c r="GR55" i="2"/>
  <c r="GR131" i="2"/>
  <c r="GR154" i="2"/>
  <c r="GR155" i="2" s="1"/>
  <c r="GR157" i="2" s="1"/>
  <c r="GQ44" i="2"/>
  <c r="GQ46" i="2" s="1"/>
  <c r="GQ48" i="2"/>
  <c r="GQ74" i="2"/>
  <c r="S98" i="9"/>
  <c r="T98" i="9" s="1"/>
  <c r="P98" i="9" s="1"/>
  <c r="L99" i="9"/>
  <c r="I98" i="9"/>
  <c r="J98" i="9" s="1"/>
  <c r="B99" i="9"/>
  <c r="I52" i="32"/>
  <c r="J52" i="32" s="1"/>
  <c r="B53" i="32"/>
  <c r="S98" i="32"/>
  <c r="T98" i="32" s="1"/>
  <c r="P98" i="32" s="1"/>
  <c r="L99" i="32"/>
  <c r="C278" i="9"/>
  <c r="GO79" i="2" l="1"/>
  <c r="GO82" i="2" s="1"/>
  <c r="GO83" i="2" s="1"/>
  <c r="GP76" i="2"/>
  <c r="GP77" i="2" s="1"/>
  <c r="GO181" i="2"/>
  <c r="GO116" i="2"/>
  <c r="GN90" i="2"/>
  <c r="GN178" i="2"/>
  <c r="GN195" i="2" s="1"/>
  <c r="GM195" i="2"/>
  <c r="GO176" i="2"/>
  <c r="GO88" i="2"/>
  <c r="GO177" i="2"/>
  <c r="GP161" i="2"/>
  <c r="GP164" i="2" s="1"/>
  <c r="GP181" i="2" s="1"/>
  <c r="GS162" i="2"/>
  <c r="GS163" i="2"/>
  <c r="GO29" i="2"/>
  <c r="GO89" i="2"/>
  <c r="GO92" i="2"/>
  <c r="GP24" i="2"/>
  <c r="GP41" i="2"/>
  <c r="GP139" i="2"/>
  <c r="GP23" i="2"/>
  <c r="GP80" i="2"/>
  <c r="GP146" i="2"/>
  <c r="GP140" i="2"/>
  <c r="GP28" i="2"/>
  <c r="GP14" i="2"/>
  <c r="GP110" i="2"/>
  <c r="GP108" i="2"/>
  <c r="GP34" i="2"/>
  <c r="GP151" i="2"/>
  <c r="GP87" i="2"/>
  <c r="GP37" i="2"/>
  <c r="GP107" i="2"/>
  <c r="GP25" i="2"/>
  <c r="GP30" i="2"/>
  <c r="GP138" i="2"/>
  <c r="GQ13" i="2"/>
  <c r="GQ196" i="2" s="1"/>
  <c r="GP85" i="2"/>
  <c r="GP174" i="2" s="1"/>
  <c r="GP27" i="2"/>
  <c r="GP109" i="2"/>
  <c r="GP185" i="2" s="1"/>
  <c r="GO26" i="2"/>
  <c r="GR60" i="2"/>
  <c r="GR62" i="2" s="1"/>
  <c r="GP79" i="2"/>
  <c r="GP82" i="2" s="1"/>
  <c r="GP83" i="2" s="1"/>
  <c r="GQ76" i="2"/>
  <c r="GQ77" i="2" s="1"/>
  <c r="GR49" i="2"/>
  <c r="GR74" i="2"/>
  <c r="GR44" i="2"/>
  <c r="GR46" i="2" s="1"/>
  <c r="GR48" i="2"/>
  <c r="GT15" i="2"/>
  <c r="GS45" i="2"/>
  <c r="GS61" i="2"/>
  <c r="GS55" i="2"/>
  <c r="GS71" i="2"/>
  <c r="GS65" i="2"/>
  <c r="GS33" i="2"/>
  <c r="GS67" i="2"/>
  <c r="GS39" i="2"/>
  <c r="GS101" i="2" s="1"/>
  <c r="GS59" i="2"/>
  <c r="GS54" i="2"/>
  <c r="GS68" i="2"/>
  <c r="GS70" i="2"/>
  <c r="GS57" i="2"/>
  <c r="GS66" i="2"/>
  <c r="GS72" i="2"/>
  <c r="GS56" i="2"/>
  <c r="GS36" i="2"/>
  <c r="GS58" i="2"/>
  <c r="GS69" i="2"/>
  <c r="GS131" i="2"/>
  <c r="GS154" i="2"/>
  <c r="GS155" i="2" s="1"/>
  <c r="GS157" i="2" s="1"/>
  <c r="B100" i="9"/>
  <c r="I99" i="9"/>
  <c r="J99" i="9" s="1"/>
  <c r="L100" i="32"/>
  <c r="S99" i="32"/>
  <c r="T99" i="32" s="1"/>
  <c r="P99" i="32" s="1"/>
  <c r="L100" i="9"/>
  <c r="S99" i="9"/>
  <c r="T99" i="9" s="1"/>
  <c r="P99" i="9" s="1"/>
  <c r="B54" i="32"/>
  <c r="I53" i="32"/>
  <c r="J53" i="32" s="1"/>
  <c r="C279" i="9"/>
  <c r="GN187" i="2" l="1"/>
  <c r="GO175" i="2"/>
  <c r="GO178" i="2" s="1"/>
  <c r="GO90" i="2"/>
  <c r="GQ161" i="2"/>
  <c r="GQ164" i="2" s="1"/>
  <c r="GQ181" i="2" s="1"/>
  <c r="GP184" i="2"/>
  <c r="GU15" i="2"/>
  <c r="GT163" i="2"/>
  <c r="GT162" i="2"/>
  <c r="GP29" i="2"/>
  <c r="GP176" i="2"/>
  <c r="GP26" i="2"/>
  <c r="GP100" i="2"/>
  <c r="GP88" i="2"/>
  <c r="GP177" i="2"/>
  <c r="GQ24" i="2"/>
  <c r="GQ30" i="2"/>
  <c r="GQ41" i="2"/>
  <c r="GQ109" i="2"/>
  <c r="GQ185" i="2" s="1"/>
  <c r="GQ85" i="2"/>
  <c r="GQ174" i="2" s="1"/>
  <c r="GQ147" i="2"/>
  <c r="GQ34" i="2"/>
  <c r="GQ110" i="2"/>
  <c r="GQ108" i="2"/>
  <c r="GQ170" i="2"/>
  <c r="GQ87" i="2"/>
  <c r="GQ107" i="2"/>
  <c r="GQ23" i="2"/>
  <c r="GQ80" i="2"/>
  <c r="GQ165" i="2"/>
  <c r="GQ138" i="2"/>
  <c r="GR13" i="2"/>
  <c r="GR196" i="2" s="1"/>
  <c r="GQ166" i="2"/>
  <c r="GQ14" i="2"/>
  <c r="GQ28" i="2"/>
  <c r="GQ140" i="2"/>
  <c r="GQ27" i="2"/>
  <c r="GQ37" i="2"/>
  <c r="GQ151" i="2"/>
  <c r="GQ139" i="2"/>
  <c r="GQ25" i="2"/>
  <c r="GQ146" i="2"/>
  <c r="GP92" i="2"/>
  <c r="GP89" i="2"/>
  <c r="GP106" i="2"/>
  <c r="GS60" i="2"/>
  <c r="GS62" i="2" s="1"/>
  <c r="GQ79" i="2"/>
  <c r="GQ82" i="2" s="1"/>
  <c r="GQ83" i="2" s="1"/>
  <c r="GS49" i="2"/>
  <c r="GS74" i="2"/>
  <c r="GR76" i="2"/>
  <c r="GR77" i="2" s="1"/>
  <c r="GS48" i="2"/>
  <c r="GS44" i="2"/>
  <c r="GS46" i="2" s="1"/>
  <c r="GT45" i="2"/>
  <c r="GT59" i="2"/>
  <c r="GT39" i="2"/>
  <c r="GT101" i="2" s="1"/>
  <c r="GT54" i="2"/>
  <c r="GT72" i="2"/>
  <c r="GT68" i="2"/>
  <c r="GT65" i="2"/>
  <c r="GT57" i="2"/>
  <c r="GT69" i="2"/>
  <c r="GT66" i="2"/>
  <c r="GT67" i="2"/>
  <c r="GT71" i="2"/>
  <c r="GT58" i="2"/>
  <c r="GT70" i="2"/>
  <c r="GT56" i="2"/>
  <c r="GT61" i="2"/>
  <c r="GT55" i="2"/>
  <c r="GT33" i="2"/>
  <c r="GT36" i="2"/>
  <c r="GT154" i="2"/>
  <c r="GT155" i="2" s="1"/>
  <c r="GT157" i="2" s="1"/>
  <c r="GS7" i="2"/>
  <c r="GS132" i="2" s="1"/>
  <c r="GS134" i="2" s="1"/>
  <c r="GT131" i="2"/>
  <c r="B55" i="32"/>
  <c r="I54" i="32"/>
  <c r="J54" i="32" s="1"/>
  <c r="L101" i="9"/>
  <c r="S100" i="9"/>
  <c r="T100" i="9" s="1"/>
  <c r="P100" i="9" s="1"/>
  <c r="L101" i="32"/>
  <c r="S100" i="32"/>
  <c r="T100" i="32" s="1"/>
  <c r="P100" i="32" s="1"/>
  <c r="I100" i="9"/>
  <c r="J100" i="9" s="1"/>
  <c r="B101" i="9"/>
  <c r="C280" i="9"/>
  <c r="GO195" i="2" l="1"/>
  <c r="GO187" i="2"/>
  <c r="GQ184" i="2"/>
  <c r="GR161" i="2"/>
  <c r="GR164" i="2" s="1"/>
  <c r="GR181" i="2" s="1"/>
  <c r="GP175" i="2"/>
  <c r="GP178" i="2" s="1"/>
  <c r="GQ29" i="2"/>
  <c r="GV15" i="2"/>
  <c r="GU162" i="2"/>
  <c r="GU163" i="2"/>
  <c r="GQ186" i="2"/>
  <c r="GP90" i="2"/>
  <c r="GQ167" i="2"/>
  <c r="GQ183" i="2" s="1"/>
  <c r="GQ148" i="2"/>
  <c r="GQ182" i="2" s="1"/>
  <c r="GQ177" i="2"/>
  <c r="GQ100" i="2"/>
  <c r="GQ88" i="2"/>
  <c r="GQ92" i="2"/>
  <c r="GQ176" i="2"/>
  <c r="GP111" i="2"/>
  <c r="GR24" i="2"/>
  <c r="GR37" i="2"/>
  <c r="GR85" i="2"/>
  <c r="GR174" i="2" s="1"/>
  <c r="GR110" i="2"/>
  <c r="GR23" i="2"/>
  <c r="GR140" i="2"/>
  <c r="GR107" i="2"/>
  <c r="GR28" i="2"/>
  <c r="GR165" i="2"/>
  <c r="GR34" i="2"/>
  <c r="GR170" i="2"/>
  <c r="GR25" i="2"/>
  <c r="GR139" i="2"/>
  <c r="GR146" i="2"/>
  <c r="GR147" i="2"/>
  <c r="GR138" i="2"/>
  <c r="GR87" i="2"/>
  <c r="GR14" i="2"/>
  <c r="GR41" i="2"/>
  <c r="GS13" i="2"/>
  <c r="GS196" i="2" s="1"/>
  <c r="GR27" i="2"/>
  <c r="GR30" i="2"/>
  <c r="GR109" i="2"/>
  <c r="GR185" i="2" s="1"/>
  <c r="GR166" i="2"/>
  <c r="GR108" i="2"/>
  <c r="GR80" i="2"/>
  <c r="GR151" i="2"/>
  <c r="GQ106" i="2"/>
  <c r="GQ89" i="2"/>
  <c r="GQ26" i="2"/>
  <c r="GT60" i="2"/>
  <c r="GT62" i="2" s="1"/>
  <c r="GR79" i="2"/>
  <c r="GR82" i="2" s="1"/>
  <c r="GR83" i="2" s="1"/>
  <c r="GS76" i="2"/>
  <c r="GS77" i="2" s="1"/>
  <c r="GT74" i="2"/>
  <c r="GT49" i="2"/>
  <c r="GT44" i="2"/>
  <c r="GT46" i="2" s="1"/>
  <c r="GT48" i="2"/>
  <c r="L60" i="1"/>
  <c r="S101" i="32"/>
  <c r="T101" i="32" s="1"/>
  <c r="P101" i="32" s="1"/>
  <c r="L102" i="32"/>
  <c r="B102" i="9"/>
  <c r="I101" i="9"/>
  <c r="J101" i="9" s="1"/>
  <c r="S101" i="9"/>
  <c r="T101" i="9" s="1"/>
  <c r="P101" i="9" s="1"/>
  <c r="L102" i="9"/>
  <c r="I55" i="32"/>
  <c r="J55" i="32" s="1"/>
  <c r="B56" i="32"/>
  <c r="C281" i="9"/>
  <c r="GQ90" i="2" l="1"/>
  <c r="GS161" i="2"/>
  <c r="GS164" i="2" s="1"/>
  <c r="GS181" i="2" s="1"/>
  <c r="GR184" i="2"/>
  <c r="GQ175" i="2"/>
  <c r="GQ178" i="2" s="1"/>
  <c r="GQ168" i="2"/>
  <c r="GQ169" i="2" s="1"/>
  <c r="GW15" i="2"/>
  <c r="GV162" i="2"/>
  <c r="GV163" i="2"/>
  <c r="GQ102" i="2"/>
  <c r="GQ103" i="2" s="1"/>
  <c r="GR29" i="2"/>
  <c r="GR176" i="2"/>
  <c r="GQ149" i="2"/>
  <c r="GQ150" i="2" s="1"/>
  <c r="GQ112" i="2" s="1"/>
  <c r="GR148" i="2"/>
  <c r="GR182" i="2" s="1"/>
  <c r="GR88" i="2"/>
  <c r="GR100" i="2"/>
  <c r="GR177" i="2"/>
  <c r="GR92" i="2"/>
  <c r="GR89" i="2"/>
  <c r="GR106" i="2"/>
  <c r="GR167" i="2"/>
  <c r="GR183" i="2" s="1"/>
  <c r="GQ111" i="2"/>
  <c r="GR186" i="2"/>
  <c r="GS24" i="2"/>
  <c r="GS138" i="2"/>
  <c r="GS108" i="2"/>
  <c r="GS166" i="2"/>
  <c r="GS80" i="2"/>
  <c r="GS107" i="2"/>
  <c r="GS170" i="2"/>
  <c r="GT13" i="2"/>
  <c r="GT196" i="2" s="1"/>
  <c r="GS87" i="2"/>
  <c r="GS30" i="2"/>
  <c r="GS165" i="2"/>
  <c r="GS14" i="2"/>
  <c r="GS146" i="2"/>
  <c r="GS28" i="2"/>
  <c r="GS27" i="2"/>
  <c r="GS140" i="2"/>
  <c r="GS41" i="2"/>
  <c r="GS34" i="2"/>
  <c r="GS151" i="2"/>
  <c r="GS37" i="2"/>
  <c r="GS23" i="2"/>
  <c r="GS147" i="2"/>
  <c r="GS109" i="2"/>
  <c r="GS185" i="2" s="1"/>
  <c r="GS25" i="2"/>
  <c r="GS85" i="2"/>
  <c r="GS174" i="2" s="1"/>
  <c r="GS139" i="2"/>
  <c r="GS110" i="2"/>
  <c r="I44" i="2"/>
  <c r="I45" i="2" s="1"/>
  <c r="GR26" i="2"/>
  <c r="GT76" i="2"/>
  <c r="GT77" i="2" s="1"/>
  <c r="GS79" i="2"/>
  <c r="GS82" i="2" s="1"/>
  <c r="GS83" i="2" s="1"/>
  <c r="BL29" i="2"/>
  <c r="B57" i="32"/>
  <c r="I56" i="32"/>
  <c r="J56" i="32" s="1"/>
  <c r="L103" i="32"/>
  <c r="S102" i="32"/>
  <c r="T102" i="32" s="1"/>
  <c r="P102" i="32" s="1"/>
  <c r="S102" i="9"/>
  <c r="T102" i="9" s="1"/>
  <c r="P102" i="9" s="1"/>
  <c r="L103" i="9"/>
  <c r="I102" i="9"/>
  <c r="J102" i="9" s="1"/>
  <c r="B103" i="9"/>
  <c r="C282" i="9"/>
  <c r="I24" i="2" l="1"/>
  <c r="I61" i="2"/>
  <c r="I71" i="2"/>
  <c r="GQ115" i="2"/>
  <c r="GQ113" i="2"/>
  <c r="GQ116" i="2" s="1"/>
  <c r="D179" i="32"/>
  <c r="D225" i="9"/>
  <c r="D151" i="9"/>
  <c r="D231" i="9"/>
  <c r="I62" i="2"/>
  <c r="D174" i="9"/>
  <c r="D325" i="32"/>
  <c r="GR175" i="2"/>
  <c r="GR178" i="2" s="1"/>
  <c r="GS184" i="2"/>
  <c r="D186" i="9"/>
  <c r="GT161" i="2"/>
  <c r="GT164" i="2" s="1"/>
  <c r="GT181" i="2" s="1"/>
  <c r="GR168" i="2"/>
  <c r="GR169" i="2" s="1"/>
  <c r="D132" i="32"/>
  <c r="D184" i="32"/>
  <c r="D169" i="32"/>
  <c r="D149" i="9"/>
  <c r="D145" i="32"/>
  <c r="D285" i="32"/>
  <c r="D356" i="32"/>
  <c r="D239" i="32"/>
  <c r="D221" i="32"/>
  <c r="D251" i="32"/>
  <c r="D317" i="32"/>
  <c r="D216" i="9"/>
  <c r="D281" i="32"/>
  <c r="D185" i="32"/>
  <c r="D199" i="9"/>
  <c r="D288" i="32"/>
  <c r="D193" i="9"/>
  <c r="D287" i="32"/>
  <c r="D222" i="32"/>
  <c r="D121" i="32"/>
  <c r="D203" i="32"/>
  <c r="D320" i="32"/>
  <c r="D152" i="9"/>
  <c r="D235" i="9"/>
  <c r="D256" i="32"/>
  <c r="D146" i="32"/>
  <c r="D203" i="9"/>
  <c r="D156" i="9"/>
  <c r="D149" i="32"/>
  <c r="D359" i="32"/>
  <c r="D338" i="32"/>
  <c r="D233" i="32"/>
  <c r="D150" i="32"/>
  <c r="D354" i="32"/>
  <c r="D269" i="32"/>
  <c r="D181" i="32"/>
  <c r="D200" i="9"/>
  <c r="D350" i="32"/>
  <c r="D293" i="32"/>
  <c r="GX15" i="2"/>
  <c r="GW163" i="2"/>
  <c r="GW162" i="2"/>
  <c r="D207" i="9"/>
  <c r="D348" i="32"/>
  <c r="D194" i="9"/>
  <c r="GR102" i="2"/>
  <c r="GR103" i="2" s="1"/>
  <c r="D108" i="32"/>
  <c r="D202" i="9"/>
  <c r="D209" i="9"/>
  <c r="D228" i="32"/>
  <c r="D275" i="9"/>
  <c r="D166" i="32"/>
  <c r="D222" i="9"/>
  <c r="D147" i="32"/>
  <c r="D217" i="9"/>
  <c r="D262" i="32"/>
  <c r="D343" i="32"/>
  <c r="D269" i="9"/>
  <c r="D327" i="32"/>
  <c r="D184" i="9"/>
  <c r="D272" i="32"/>
  <c r="D232" i="32"/>
  <c r="D171" i="32"/>
  <c r="D234" i="32"/>
  <c r="D315" i="32"/>
  <c r="D142" i="9"/>
  <c r="D170" i="32"/>
  <c r="D268" i="9"/>
  <c r="D131" i="32"/>
  <c r="D198" i="9"/>
  <c r="D257" i="32"/>
  <c r="D291" i="32"/>
  <c r="I30" i="2"/>
  <c r="J40" i="1" s="1"/>
  <c r="J59" i="1" s="1"/>
  <c r="D259" i="9"/>
  <c r="D241" i="9"/>
  <c r="D345" i="32"/>
  <c r="D133" i="32"/>
  <c r="D119" i="32"/>
  <c r="D230" i="9"/>
  <c r="D143" i="9"/>
  <c r="D122" i="32"/>
  <c r="D294" i="32"/>
  <c r="D324" i="32"/>
  <c r="D165" i="9"/>
  <c r="D284" i="32"/>
  <c r="D210" i="32"/>
  <c r="D323" i="32"/>
  <c r="I33" i="2"/>
  <c r="D249" i="9"/>
  <c r="D362" i="32"/>
  <c r="D215" i="32"/>
  <c r="D181" i="9"/>
  <c r="D297" i="32"/>
  <c r="I185" i="2"/>
  <c r="I80" i="2"/>
  <c r="D263" i="9"/>
  <c r="D336" i="32"/>
  <c r="D238" i="9"/>
  <c r="D197" i="9"/>
  <c r="D355" i="32"/>
  <c r="D309" i="32"/>
  <c r="D235" i="32"/>
  <c r="D331" i="32"/>
  <c r="D154" i="32"/>
  <c r="D278" i="32"/>
  <c r="I66" i="2"/>
  <c r="I111" i="2"/>
  <c r="E16" i="1" s="1"/>
  <c r="F16" i="1" s="1"/>
  <c r="D177" i="9"/>
  <c r="D366" i="32"/>
  <c r="D182" i="32"/>
  <c r="D361" i="32"/>
  <c r="D364" i="32"/>
  <c r="D229" i="9"/>
  <c r="D155" i="32"/>
  <c r="D226" i="9"/>
  <c r="D168" i="32"/>
  <c r="D145" i="9"/>
  <c r="D339" i="32"/>
  <c r="D135" i="32"/>
  <c r="D270" i="9"/>
  <c r="D154" i="9"/>
  <c r="D247" i="32"/>
  <c r="D221" i="9"/>
  <c r="D258" i="9"/>
  <c r="D357" i="32"/>
  <c r="D141" i="32"/>
  <c r="D272" i="9"/>
  <c r="D118" i="32"/>
  <c r="D180" i="9"/>
  <c r="D271" i="32"/>
  <c r="D167" i="32"/>
  <c r="D236" i="32"/>
  <c r="D206" i="9"/>
  <c r="D169" i="9"/>
  <c r="D319" i="32"/>
  <c r="D337" i="32"/>
  <c r="D243" i="9"/>
  <c r="D175" i="9"/>
  <c r="D174" i="32"/>
  <c r="D286" i="32"/>
  <c r="D360" i="32"/>
  <c r="D220" i="9"/>
  <c r="D245" i="9"/>
  <c r="D255" i="32"/>
  <c r="I109" i="2"/>
  <c r="D310" i="32"/>
  <c r="D229" i="32"/>
  <c r="D265" i="9"/>
  <c r="I74" i="2"/>
  <c r="I101" i="2"/>
  <c r="D271" i="9"/>
  <c r="D177" i="32"/>
  <c r="D282" i="32"/>
  <c r="D232" i="9"/>
  <c r="D218" i="32"/>
  <c r="D245" i="32"/>
  <c r="D189" i="9"/>
  <c r="D334" i="32"/>
  <c r="D321" i="32"/>
  <c r="D333" i="32"/>
  <c r="D258" i="32"/>
  <c r="D206" i="32"/>
  <c r="D153" i="9"/>
  <c r="D224" i="9"/>
  <c r="D301" i="32"/>
  <c r="D328" i="32"/>
  <c r="D213" i="32"/>
  <c r="D250" i="32"/>
  <c r="D365" i="32"/>
  <c r="I39" i="2"/>
  <c r="J41" i="1" s="1"/>
  <c r="L41" i="1" s="1"/>
  <c r="D180" i="32"/>
  <c r="D276" i="32"/>
  <c r="I54" i="2"/>
  <c r="D228" i="9"/>
  <c r="D279" i="9"/>
  <c r="D275" i="32"/>
  <c r="D223" i="9"/>
  <c r="D204" i="32"/>
  <c r="D130" i="32"/>
  <c r="D243" i="32"/>
  <c r="D127" i="32"/>
  <c r="D307" i="32"/>
  <c r="D254" i="9"/>
  <c r="D190" i="32"/>
  <c r="D248" i="9"/>
  <c r="D308" i="32"/>
  <c r="D330" i="32"/>
  <c r="D147" i="9"/>
  <c r="D268" i="32"/>
  <c r="D305" i="32"/>
  <c r="D230" i="32"/>
  <c r="D165" i="32"/>
  <c r="D182" i="9"/>
  <c r="D260" i="9"/>
  <c r="D277" i="32"/>
  <c r="I59" i="2"/>
  <c r="I176" i="2"/>
  <c r="D142" i="32"/>
  <c r="D170" i="9"/>
  <c r="D205" i="32"/>
  <c r="D214" i="32"/>
  <c r="D111" i="32"/>
  <c r="D178" i="32"/>
  <c r="D316" i="32"/>
  <c r="D190" i="9"/>
  <c r="D201" i="32"/>
  <c r="D205" i="9"/>
  <c r="D197" i="32"/>
  <c r="D289" i="32"/>
  <c r="D249" i="32"/>
  <c r="D244" i="32"/>
  <c r="D126" i="32"/>
  <c r="D274" i="9"/>
  <c r="D192" i="9"/>
  <c r="D105" i="32"/>
  <c r="D209" i="32"/>
  <c r="D220" i="32"/>
  <c r="I34" i="2"/>
  <c r="J42" i="1" s="1"/>
  <c r="L42" i="1" s="1"/>
  <c r="D306" i="32"/>
  <c r="D183" i="32"/>
  <c r="D115" i="32"/>
  <c r="D168" i="9"/>
  <c r="D185" i="9"/>
  <c r="D241" i="32"/>
  <c r="D208" i="32"/>
  <c r="D137" i="32"/>
  <c r="D358" i="32"/>
  <c r="D218" i="9"/>
  <c r="D188" i="32"/>
  <c r="D188" i="9"/>
  <c r="D311" i="32"/>
  <c r="I56" i="2"/>
  <c r="D266" i="32"/>
  <c r="D276" i="9"/>
  <c r="D148" i="9"/>
  <c r="D210" i="9"/>
  <c r="D187" i="9"/>
  <c r="D173" i="32"/>
  <c r="D263" i="32"/>
  <c r="D148" i="32"/>
  <c r="D213" i="9"/>
  <c r="D262" i="9"/>
  <c r="D341" i="32"/>
  <c r="D196" i="32"/>
  <c r="D261" i="32"/>
  <c r="D200" i="32"/>
  <c r="I68" i="2"/>
  <c r="F30" i="2"/>
  <c r="D176" i="32"/>
  <c r="D257" i="9"/>
  <c r="D194" i="32"/>
  <c r="D332" i="32"/>
  <c r="D349" i="32"/>
  <c r="D217" i="32"/>
  <c r="D156" i="32"/>
  <c r="D246" i="9"/>
  <c r="D298" i="32"/>
  <c r="F24" i="2"/>
  <c r="I67" i="2"/>
  <c r="D166" i="9"/>
  <c r="D196" i="9"/>
  <c r="D160" i="32"/>
  <c r="D270" i="32"/>
  <c r="D158" i="9"/>
  <c r="D162" i="32"/>
  <c r="D163" i="9"/>
  <c r="D204" i="9"/>
  <c r="D214" i="9"/>
  <c r="D106" i="32"/>
  <c r="D208" i="9"/>
  <c r="D256" i="9"/>
  <c r="D140" i="32"/>
  <c r="D124" i="32"/>
  <c r="I28" i="2"/>
  <c r="D178" i="9"/>
  <c r="D234" i="9"/>
  <c r="I72" i="2"/>
  <c r="D199" i="32"/>
  <c r="I76" i="2"/>
  <c r="D201" i="9"/>
  <c r="D163" i="32"/>
  <c r="D225" i="32"/>
  <c r="D236" i="9"/>
  <c r="D253" i="32"/>
  <c r="D295" i="32"/>
  <c r="I69" i="2"/>
  <c r="D277" i="9"/>
  <c r="D363" i="32"/>
  <c r="I36" i="2"/>
  <c r="D212" i="32"/>
  <c r="D265" i="32"/>
  <c r="D280" i="32"/>
  <c r="F28" i="2"/>
  <c r="D247" i="9"/>
  <c r="D233" i="9"/>
  <c r="D281" i="9"/>
  <c r="D175" i="32"/>
  <c r="D273" i="32"/>
  <c r="D139" i="32"/>
  <c r="D227" i="9"/>
  <c r="D267" i="32"/>
  <c r="D123" i="32"/>
  <c r="D120" i="32"/>
  <c r="D114" i="32"/>
  <c r="D313" i="32"/>
  <c r="D340" i="32"/>
  <c r="D344" i="32"/>
  <c r="D117" i="32"/>
  <c r="I70" i="2"/>
  <c r="D329" i="32"/>
  <c r="D264" i="32"/>
  <c r="D353" i="32"/>
  <c r="D242" i="32"/>
  <c r="D116" i="32"/>
  <c r="D314" i="32"/>
  <c r="D152" i="32"/>
  <c r="D318" i="32"/>
  <c r="D303" i="32"/>
  <c r="D125" i="32"/>
  <c r="D107" i="32"/>
  <c r="D191" i="32"/>
  <c r="D109" i="32"/>
  <c r="D255" i="9"/>
  <c r="D129" i="32"/>
  <c r="D259" i="32"/>
  <c r="D242" i="9"/>
  <c r="D143" i="32"/>
  <c r="D146" i="9"/>
  <c r="D141" i="9"/>
  <c r="D192" i="32"/>
  <c r="D155" i="9"/>
  <c r="D273" i="9"/>
  <c r="D157" i="32"/>
  <c r="D238" i="32"/>
  <c r="D227" i="32"/>
  <c r="D161" i="32"/>
  <c r="D290" i="32"/>
  <c r="I37" i="2"/>
  <c r="J43" i="1" s="1"/>
  <c r="L43" i="1" s="1"/>
  <c r="D211" i="9"/>
  <c r="D216" i="32"/>
  <c r="D179" i="9"/>
  <c r="D215" i="9"/>
  <c r="D326" i="32"/>
  <c r="I65" i="2"/>
  <c r="D237" i="32"/>
  <c r="D226" i="32"/>
  <c r="D352" i="32"/>
  <c r="D159" i="9"/>
  <c r="D144" i="9"/>
  <c r="D219" i="32"/>
  <c r="I60" i="2"/>
  <c r="D162" i="9"/>
  <c r="D158" i="32"/>
  <c r="D266" i="9"/>
  <c r="D186" i="32"/>
  <c r="I55" i="2"/>
  <c r="D202" i="32"/>
  <c r="D239" i="9"/>
  <c r="I46" i="2"/>
  <c r="D299" i="32"/>
  <c r="D335" i="32"/>
  <c r="D198" i="32"/>
  <c r="D164" i="9"/>
  <c r="D248" i="32"/>
  <c r="D183" i="9"/>
  <c r="D292" i="32"/>
  <c r="D140" i="9"/>
  <c r="I79" i="2"/>
  <c r="D252" i="9"/>
  <c r="D150" i="9"/>
  <c r="D312" i="32"/>
  <c r="D346" i="32"/>
  <c r="D161" i="9"/>
  <c r="D167" i="9"/>
  <c r="D172" i="32"/>
  <c r="D171" i="9"/>
  <c r="D157" i="9"/>
  <c r="D283" i="32"/>
  <c r="D207" i="32"/>
  <c r="D164" i="32"/>
  <c r="D173" i="9"/>
  <c r="I58" i="2"/>
  <c r="D187" i="32"/>
  <c r="I180" i="2"/>
  <c r="D212" i="9"/>
  <c r="D110" i="32"/>
  <c r="D264" i="9"/>
  <c r="D267" i="9"/>
  <c r="D279" i="32"/>
  <c r="GS167" i="2"/>
  <c r="GS183" i="2" s="1"/>
  <c r="GR90" i="2"/>
  <c r="GR149" i="2"/>
  <c r="GR150" i="2" s="1"/>
  <c r="GR112" i="2" s="1"/>
  <c r="GS186" i="2"/>
  <c r="D195" i="9"/>
  <c r="D189" i="32"/>
  <c r="D160" i="9"/>
  <c r="D237" i="9"/>
  <c r="D244" i="9"/>
  <c r="GS148" i="2"/>
  <c r="GS182" i="2" s="1"/>
  <c r="D191" i="9"/>
  <c r="D250" i="9"/>
  <c r="D347" i="32"/>
  <c r="D274" i="32"/>
  <c r="D240" i="9"/>
  <c r="D153" i="32"/>
  <c r="D231" i="32"/>
  <c r="D113" i="32"/>
  <c r="D261" i="9"/>
  <c r="D252" i="32"/>
  <c r="D151" i="32"/>
  <c r="D224" i="32"/>
  <c r="GU13" i="2"/>
  <c r="GU196" i="2" s="1"/>
  <c r="GT23" i="2"/>
  <c r="I23" i="2" s="1"/>
  <c r="GT151" i="2"/>
  <c r="GT108" i="2"/>
  <c r="GT87" i="2"/>
  <c r="GS6" i="2"/>
  <c r="GT166" i="2"/>
  <c r="GT34" i="2"/>
  <c r="GT109" i="2"/>
  <c r="GT185" i="2" s="1"/>
  <c r="GT107" i="2"/>
  <c r="GT170" i="2"/>
  <c r="GT25" i="2"/>
  <c r="GT80" i="2"/>
  <c r="GT140" i="2"/>
  <c r="GT146" i="2"/>
  <c r="GT14" i="2"/>
  <c r="HT37" i="2" s="1"/>
  <c r="GT41" i="2"/>
  <c r="GT165" i="2"/>
  <c r="GT28" i="2"/>
  <c r="GT27" i="2"/>
  <c r="GT138" i="2"/>
  <c r="GT110" i="2"/>
  <c r="GT30" i="2"/>
  <c r="GT139" i="2"/>
  <c r="GT37" i="2"/>
  <c r="GT85" i="2"/>
  <c r="GT174" i="2" s="1"/>
  <c r="GT147" i="2"/>
  <c r="D280" i="9"/>
  <c r="I100" i="2"/>
  <c r="I88" i="2"/>
  <c r="J37" i="1" s="1"/>
  <c r="D278" i="9"/>
  <c r="I57" i="2"/>
  <c r="I177" i="2"/>
  <c r="D136" i="32"/>
  <c r="D223" i="32"/>
  <c r="D260" i="32"/>
  <c r="GS26" i="2"/>
  <c r="D300" i="32"/>
  <c r="D302" i="32"/>
  <c r="GS176" i="2"/>
  <c r="D342" i="32"/>
  <c r="D254" i="32"/>
  <c r="D134" i="32"/>
  <c r="D253" i="9"/>
  <c r="D251" i="9"/>
  <c r="D351" i="32"/>
  <c r="GS92" i="2"/>
  <c r="HP76" i="2"/>
  <c r="GS100" i="2"/>
  <c r="GS88" i="2"/>
  <c r="GS177" i="2"/>
  <c r="D144" i="32"/>
  <c r="D172" i="9"/>
  <c r="D159" i="32"/>
  <c r="D246" i="32"/>
  <c r="D240" i="32"/>
  <c r="D138" i="32"/>
  <c r="D211" i="32"/>
  <c r="D128" i="32"/>
  <c r="D195" i="32"/>
  <c r="D176" i="9"/>
  <c r="D112" i="32"/>
  <c r="D322" i="32"/>
  <c r="D304" i="32"/>
  <c r="D296" i="32"/>
  <c r="D193" i="32"/>
  <c r="D219" i="9"/>
  <c r="GS29" i="2"/>
  <c r="GS89" i="2"/>
  <c r="GS106" i="2"/>
  <c r="GR111" i="2"/>
  <c r="T43" i="1"/>
  <c r="K23" i="1"/>
  <c r="G55" i="52" s="1"/>
  <c r="GT79" i="2"/>
  <c r="GT82" i="2" s="1"/>
  <c r="GT83" i="2" s="1"/>
  <c r="BM29" i="2"/>
  <c r="B104" i="9"/>
  <c r="I103" i="9"/>
  <c r="J103" i="9" s="1"/>
  <c r="L104" i="9"/>
  <c r="S103" i="9"/>
  <c r="T103" i="9" s="1"/>
  <c r="P103" i="9" s="1"/>
  <c r="S103" i="32"/>
  <c r="T103" i="32" s="1"/>
  <c r="P103" i="32" s="1"/>
  <c r="L104" i="32"/>
  <c r="B58" i="32"/>
  <c r="I57" i="32"/>
  <c r="J57" i="32" s="1"/>
  <c r="C283" i="9"/>
  <c r="D282" i="9"/>
  <c r="GR115" i="2" l="1"/>
  <c r="GU161" i="2"/>
  <c r="GU164" i="2" s="1"/>
  <c r="GU116" i="2" s="1"/>
  <c r="HR36" i="2"/>
  <c r="HV20" i="2"/>
  <c r="GS168" i="2"/>
  <c r="GS169" i="2" s="1"/>
  <c r="HV68" i="2"/>
  <c r="HO30" i="2"/>
  <c r="L40" i="1"/>
  <c r="GT184" i="2"/>
  <c r="GR113" i="2"/>
  <c r="GR116" i="2" s="1"/>
  <c r="HV66" i="2"/>
  <c r="HP185" i="2"/>
  <c r="HQ66" i="2"/>
  <c r="HU30" i="2"/>
  <c r="HU176" i="2"/>
  <c r="HS88" i="2"/>
  <c r="HP72" i="2"/>
  <c r="HT185" i="2"/>
  <c r="HN39" i="2"/>
  <c r="HN30" i="2"/>
  <c r="HS65" i="2"/>
  <c r="HP92" i="2"/>
  <c r="HP90" i="2"/>
  <c r="HT39" i="2"/>
  <c r="HN36" i="2"/>
  <c r="HU68" i="2"/>
  <c r="HQ36" i="2"/>
  <c r="HP58" i="2"/>
  <c r="HS46" i="2"/>
  <c r="HV79" i="2"/>
  <c r="HO39" i="2"/>
  <c r="HO57" i="2"/>
  <c r="HS111" i="2"/>
  <c r="HP56" i="2"/>
  <c r="H34" i="7" s="1"/>
  <c r="HS33" i="2"/>
  <c r="HR59" i="2"/>
  <c r="HQ100" i="2"/>
  <c r="HQ74" i="2"/>
  <c r="I35" i="7" s="1"/>
  <c r="HR30" i="2"/>
  <c r="HU70" i="2"/>
  <c r="HO33" i="2"/>
  <c r="HO80" i="2"/>
  <c r="HV70" i="2"/>
  <c r="GS102" i="2"/>
  <c r="GS103" i="2" s="1"/>
  <c r="GY15" i="2"/>
  <c r="GX163" i="2"/>
  <c r="GX162" i="2"/>
  <c r="GS149" i="2"/>
  <c r="GS150" i="2" s="1"/>
  <c r="GS112" i="2" s="1"/>
  <c r="J62" i="1"/>
  <c r="L62" i="1" s="1"/>
  <c r="E22" i="1"/>
  <c r="F22" i="1" s="1"/>
  <c r="E20" i="1"/>
  <c r="F20" i="1" s="1"/>
  <c r="E21" i="1"/>
  <c r="F21" i="1" s="1"/>
  <c r="J61" i="1"/>
  <c r="L61" i="1" s="1"/>
  <c r="HR89" i="2"/>
  <c r="HP175" i="2"/>
  <c r="HO81" i="2"/>
  <c r="HO60" i="2"/>
  <c r="HN74" i="2"/>
  <c r="HO92" i="2"/>
  <c r="HN167" i="2"/>
  <c r="HT74" i="2"/>
  <c r="L35" i="7" s="1"/>
  <c r="HN165" i="2"/>
  <c r="HN149" i="2"/>
  <c r="HN146" i="2"/>
  <c r="HQ29" i="2"/>
  <c r="HT33" i="2"/>
  <c r="HN59" i="2"/>
  <c r="HU37" i="2"/>
  <c r="HN72" i="2"/>
  <c r="HU69" i="2"/>
  <c r="HQ26" i="2"/>
  <c r="I37" i="7" s="1"/>
  <c r="GT29" i="2"/>
  <c r="HO178" i="2"/>
  <c r="H61" i="2"/>
  <c r="HQ174" i="2"/>
  <c r="I41" i="7" s="1"/>
  <c r="HS71" i="2"/>
  <c r="HU33" i="2"/>
  <c r="HR72" i="2"/>
  <c r="HV55" i="2"/>
  <c r="HP67" i="2"/>
  <c r="HP46" i="2"/>
  <c r="HV56" i="2"/>
  <c r="N34" i="7" s="1"/>
  <c r="HR180" i="2"/>
  <c r="HO185" i="2"/>
  <c r="HQ185" i="2"/>
  <c r="HN33" i="2"/>
  <c r="HO79" i="2"/>
  <c r="HP36" i="2"/>
  <c r="HS57" i="2"/>
  <c r="HT30" i="2"/>
  <c r="HO176" i="2"/>
  <c r="HS60" i="2"/>
  <c r="HO34" i="2"/>
  <c r="HS76" i="2"/>
  <c r="HO59" i="2"/>
  <c r="HS72" i="2"/>
  <c r="HV69" i="2"/>
  <c r="HP88" i="2"/>
  <c r="HO74" i="2"/>
  <c r="G35" i="7" s="1"/>
  <c r="HQ111" i="2"/>
  <c r="HU76" i="2"/>
  <c r="HO19" i="2"/>
  <c r="HU36" i="2"/>
  <c r="HT54" i="2"/>
  <c r="HP18" i="2"/>
  <c r="HQ80" i="2"/>
  <c r="HQ109" i="2"/>
  <c r="HS66" i="2"/>
  <c r="HR71" i="2"/>
  <c r="HV109" i="2"/>
  <c r="HQ69" i="2"/>
  <c r="HU61" i="2"/>
  <c r="HO69" i="2"/>
  <c r="HQ67" i="2"/>
  <c r="HQ70" i="2"/>
  <c r="HT59" i="2"/>
  <c r="HN57" i="2"/>
  <c r="HU79" i="2"/>
  <c r="HR44" i="2"/>
  <c r="HR45" i="2" s="1"/>
  <c r="HN182" i="2"/>
  <c r="HR20" i="2"/>
  <c r="HR37" i="2"/>
  <c r="HP170" i="2"/>
  <c r="HP60" i="2"/>
  <c r="HN109" i="2"/>
  <c r="HQ165" i="2"/>
  <c r="HQ34" i="2"/>
  <c r="HN66" i="2"/>
  <c r="HU57" i="2"/>
  <c r="HT55" i="2"/>
  <c r="HP111" i="2"/>
  <c r="HQ39" i="2"/>
  <c r="HR70" i="2"/>
  <c r="HV185" i="2"/>
  <c r="HT70" i="2"/>
  <c r="HP33" i="2"/>
  <c r="HV67" i="2"/>
  <c r="HU18" i="2"/>
  <c r="HN177" i="2"/>
  <c r="HN67" i="2"/>
  <c r="HT46" i="2"/>
  <c r="HQ180" i="2"/>
  <c r="HO100" i="2"/>
  <c r="HN170" i="2"/>
  <c r="HN85" i="2"/>
  <c r="HT180" i="2"/>
  <c r="HR46" i="2"/>
  <c r="HU62" i="2"/>
  <c r="HP165" i="2"/>
  <c r="HR55" i="2"/>
  <c r="HQ138" i="2"/>
  <c r="HR91" i="2"/>
  <c r="HV36" i="2"/>
  <c r="HT80" i="2"/>
  <c r="HU20" i="2"/>
  <c r="HS30" i="2"/>
  <c r="HS44" i="2"/>
  <c r="HS45" i="2" s="1"/>
  <c r="HN68" i="2"/>
  <c r="HR74" i="2"/>
  <c r="J35" i="7" s="1"/>
  <c r="HU74" i="2"/>
  <c r="M35" i="7" s="1"/>
  <c r="HT65" i="2"/>
  <c r="HT19" i="2"/>
  <c r="HO138" i="2"/>
  <c r="HU185" i="2"/>
  <c r="HV76" i="2"/>
  <c r="HS20" i="2"/>
  <c r="HQ85" i="2"/>
  <c r="HO66" i="2"/>
  <c r="HT68" i="2"/>
  <c r="HS74" i="2"/>
  <c r="K35" i="7" s="1"/>
  <c r="HN183" i="2"/>
  <c r="HS34" i="2"/>
  <c r="HS54" i="2"/>
  <c r="HV46" i="2"/>
  <c r="HR34" i="2"/>
  <c r="HU56" i="2"/>
  <c r="M34" i="7" s="1"/>
  <c r="HU58" i="2"/>
  <c r="HS55" i="2"/>
  <c r="HU19" i="2"/>
  <c r="HR65" i="2"/>
  <c r="HN80" i="2"/>
  <c r="HS19" i="2"/>
  <c r="HN148" i="2"/>
  <c r="HN112" i="2"/>
  <c r="HN186" i="2"/>
  <c r="F44" i="7" s="1"/>
  <c r="HP110" i="2"/>
  <c r="HQ90" i="2"/>
  <c r="HQ72" i="2"/>
  <c r="HP80" i="2"/>
  <c r="HN44" i="2"/>
  <c r="HV177" i="2"/>
  <c r="HN150" i="2"/>
  <c r="HN88" i="2"/>
  <c r="HQ87" i="2"/>
  <c r="HO85" i="2"/>
  <c r="HT34" i="2"/>
  <c r="HP68" i="2"/>
  <c r="HR174" i="2"/>
  <c r="J41" i="7" s="1"/>
  <c r="HV176" i="2"/>
  <c r="HT79" i="2"/>
  <c r="HO72" i="2"/>
  <c r="HN37" i="2"/>
  <c r="HO87" i="2"/>
  <c r="HP79" i="2"/>
  <c r="HP29" i="2"/>
  <c r="HT138" i="2"/>
  <c r="HU60" i="2"/>
  <c r="HU59" i="2"/>
  <c r="HT111" i="2"/>
  <c r="HO20" i="2"/>
  <c r="HR92" i="2"/>
  <c r="HR87" i="2"/>
  <c r="HR61" i="2"/>
  <c r="HN29" i="2"/>
  <c r="HO111" i="2"/>
  <c r="HT88" i="2"/>
  <c r="HS100" i="2"/>
  <c r="HQ175" i="2"/>
  <c r="HS80" i="2"/>
  <c r="HN91" i="2"/>
  <c r="HN180" i="2"/>
  <c r="HU46" i="2"/>
  <c r="HO109" i="2"/>
  <c r="HR138" i="2"/>
  <c r="HP57" i="2"/>
  <c r="HP109" i="2"/>
  <c r="HS109" i="2"/>
  <c r="HP66" i="2"/>
  <c r="HQ59" i="2"/>
  <c r="HQ44" i="2"/>
  <c r="HQ45" i="2" s="1"/>
  <c r="HQ79" i="2"/>
  <c r="HQ88" i="2"/>
  <c r="HU180" i="2"/>
  <c r="HQ46" i="2"/>
  <c r="HV80" i="2"/>
  <c r="HR41" i="2"/>
  <c r="HN26" i="2"/>
  <c r="F37" i="7" s="1"/>
  <c r="HP41" i="2"/>
  <c r="HN62" i="2"/>
  <c r="F33" i="7" s="1"/>
  <c r="HT61" i="2"/>
  <c r="HP19" i="2"/>
  <c r="HO71" i="2"/>
  <c r="HV138" i="2"/>
  <c r="HQ55" i="2"/>
  <c r="HO46" i="2"/>
  <c r="HS70" i="2"/>
  <c r="HR57" i="2"/>
  <c r="HS58" i="2"/>
  <c r="HT62" i="2"/>
  <c r="HR178" i="2"/>
  <c r="HS174" i="2"/>
  <c r="K41" i="7" s="1"/>
  <c r="HO67" i="2"/>
  <c r="HV19" i="2"/>
  <c r="HS138" i="2"/>
  <c r="HN55" i="2"/>
  <c r="HU138" i="2"/>
  <c r="HU44" i="2"/>
  <c r="HU45" i="2" s="1"/>
  <c r="HP59" i="2"/>
  <c r="HT176" i="2"/>
  <c r="HN141" i="2"/>
  <c r="HQ178" i="2"/>
  <c r="HR33" i="2"/>
  <c r="HN58" i="2"/>
  <c r="HN147" i="2"/>
  <c r="HN18" i="2"/>
  <c r="HP186" i="2"/>
  <c r="H44" i="7" s="1"/>
  <c r="HN166" i="2"/>
  <c r="HN160" i="2"/>
  <c r="HN70" i="2"/>
  <c r="HN56" i="2"/>
  <c r="F34" i="7" s="1"/>
  <c r="HS56" i="2"/>
  <c r="K34" i="7" s="1"/>
  <c r="HV88" i="2"/>
  <c r="HU72" i="2"/>
  <c r="HP34" i="2"/>
  <c r="HN54" i="2"/>
  <c r="HO70" i="2"/>
  <c r="HV60" i="2"/>
  <c r="HP74" i="2"/>
  <c r="H35" i="7" s="1"/>
  <c r="HP70" i="2"/>
  <c r="HN121" i="2"/>
  <c r="HU177" i="2"/>
  <c r="HP91" i="2"/>
  <c r="HO175" i="2"/>
  <c r="HO90" i="2"/>
  <c r="HT57" i="2"/>
  <c r="HS180" i="2"/>
  <c r="HS37" i="2"/>
  <c r="HV139" i="2"/>
  <c r="HV34" i="2"/>
  <c r="HS59" i="2"/>
  <c r="HR106" i="2"/>
  <c r="HR60" i="2"/>
  <c r="HQ176" i="2"/>
  <c r="HS85" i="2"/>
  <c r="HO68" i="2"/>
  <c r="HV57" i="2"/>
  <c r="HT60" i="2"/>
  <c r="HV44" i="2"/>
  <c r="HV45" i="2" s="1"/>
  <c r="HS18" i="2"/>
  <c r="HU111" i="2"/>
  <c r="HN102" i="2"/>
  <c r="HR80" i="2"/>
  <c r="HR177" i="2"/>
  <c r="HO110" i="2"/>
  <c r="HR176" i="2"/>
  <c r="HR66" i="2"/>
  <c r="HO65" i="2"/>
  <c r="HU66" i="2"/>
  <c r="HN110" i="2"/>
  <c r="HV91" i="2"/>
  <c r="HT76" i="2"/>
  <c r="HP54" i="2"/>
  <c r="HT67" i="2"/>
  <c r="HP178" i="2"/>
  <c r="HN65" i="2"/>
  <c r="HU34" i="2"/>
  <c r="HU109" i="2"/>
  <c r="HR111" i="2"/>
  <c r="HN140" i="2"/>
  <c r="HP37" i="2"/>
  <c r="HQ170" i="2"/>
  <c r="HQ62" i="2"/>
  <c r="HR58" i="2"/>
  <c r="HQ68" i="2"/>
  <c r="HU91" i="2"/>
  <c r="HQ108" i="2"/>
  <c r="HT69" i="2"/>
  <c r="HQ60" i="2"/>
  <c r="HO26" i="2"/>
  <c r="G37" i="7" s="1"/>
  <c r="HQ61" i="2"/>
  <c r="HO44" i="2"/>
  <c r="HO45" i="2" s="1"/>
  <c r="HQ18" i="2"/>
  <c r="HQ71" i="2"/>
  <c r="HV37" i="2"/>
  <c r="HN185" i="2"/>
  <c r="HP89" i="2"/>
  <c r="HQ19" i="2"/>
  <c r="HT91" i="2"/>
  <c r="HV18" i="2"/>
  <c r="HN46" i="2"/>
  <c r="HN169" i="2"/>
  <c r="HS39" i="2"/>
  <c r="HR90" i="2"/>
  <c r="HO174" i="2"/>
  <c r="G41" i="7" s="1"/>
  <c r="HU100" i="2"/>
  <c r="HO36" i="2"/>
  <c r="HO180" i="2"/>
  <c r="HO61" i="2"/>
  <c r="HO54" i="2"/>
  <c r="HP85" i="2"/>
  <c r="HR88" i="2"/>
  <c r="HQ37" i="2"/>
  <c r="HQ76" i="2"/>
  <c r="HS68" i="2"/>
  <c r="HP174" i="2"/>
  <c r="H41" i="7" s="1"/>
  <c r="HR185" i="2"/>
  <c r="HO186" i="2"/>
  <c r="G44" i="7" s="1"/>
  <c r="HO88" i="2"/>
  <c r="HS177" i="2"/>
  <c r="HS69" i="2"/>
  <c r="HN79" i="2"/>
  <c r="HP176" i="2"/>
  <c r="HT71" i="2"/>
  <c r="HQ41" i="2"/>
  <c r="HQ92" i="2"/>
  <c r="HP26" i="2"/>
  <c r="H37" i="7" s="1"/>
  <c r="HQ56" i="2"/>
  <c r="I34" i="7" s="1"/>
  <c r="HU88" i="2"/>
  <c r="HV72" i="2"/>
  <c r="HR26" i="2"/>
  <c r="J37" i="7" s="1"/>
  <c r="HQ33" i="2"/>
  <c r="HU80" i="2"/>
  <c r="HP39" i="2"/>
  <c r="HV71" i="2"/>
  <c r="HT44" i="2"/>
  <c r="HT45" i="2" s="1"/>
  <c r="HR69" i="2"/>
  <c r="HR18" i="2"/>
  <c r="HN115" i="2"/>
  <c r="HR29" i="2"/>
  <c r="HV180" i="2"/>
  <c r="HN45" i="2"/>
  <c r="HP151" i="2"/>
  <c r="HV62" i="2"/>
  <c r="HR19" i="2"/>
  <c r="HP65" i="2"/>
  <c r="HP106" i="2"/>
  <c r="HQ177" i="2"/>
  <c r="HP180" i="2"/>
  <c r="HU39" i="2"/>
  <c r="HR54" i="2"/>
  <c r="HN168" i="2"/>
  <c r="HO76" i="2"/>
  <c r="HO18" i="2"/>
  <c r="HR100" i="2"/>
  <c r="HP138" i="2"/>
  <c r="HV61" i="2"/>
  <c r="HN71" i="2"/>
  <c r="HV30" i="2"/>
  <c r="HQ91" i="2"/>
  <c r="HQ30" i="2"/>
  <c r="HV59" i="2"/>
  <c r="HV39" i="2"/>
  <c r="HO55" i="2"/>
  <c r="HV33" i="2"/>
  <c r="HS176" i="2"/>
  <c r="HU54" i="2"/>
  <c r="HU65" i="2"/>
  <c r="HP177" i="2"/>
  <c r="HO56" i="2"/>
  <c r="G34" i="7" s="1"/>
  <c r="HV100" i="2"/>
  <c r="HN175" i="2"/>
  <c r="HS61" i="2"/>
  <c r="HV54" i="2"/>
  <c r="HR68" i="2"/>
  <c r="HQ106" i="2"/>
  <c r="HT56" i="2"/>
  <c r="L34" i="7" s="1"/>
  <c r="HS36" i="2"/>
  <c r="HO151" i="2"/>
  <c r="HN111" i="2"/>
  <c r="HP62" i="2"/>
  <c r="H33" i="7" s="1"/>
  <c r="HO41" i="2"/>
  <c r="HQ58" i="2"/>
  <c r="HP61" i="2"/>
  <c r="HO89" i="2"/>
  <c r="HO108" i="2"/>
  <c r="HP100" i="2"/>
  <c r="HP108" i="2"/>
  <c r="HN69" i="2"/>
  <c r="HU55" i="2"/>
  <c r="HP69" i="2"/>
  <c r="HQ89" i="2"/>
  <c r="HR56" i="2"/>
  <c r="J34" i="7" s="1"/>
  <c r="HO62" i="2"/>
  <c r="G33" i="7" s="1"/>
  <c r="HT100" i="2"/>
  <c r="HT18" i="2"/>
  <c r="HN100" i="2"/>
  <c r="HO177" i="2"/>
  <c r="HQ110" i="2"/>
  <c r="HS185" i="2"/>
  <c r="HP87" i="2"/>
  <c r="HO106" i="2"/>
  <c r="HR109" i="2"/>
  <c r="HP71" i="2"/>
  <c r="HP30" i="2"/>
  <c r="HQ20" i="2"/>
  <c r="HR76" i="2"/>
  <c r="HO170" i="2"/>
  <c r="HR39" i="2"/>
  <c r="HT109" i="2"/>
  <c r="HO58" i="2"/>
  <c r="HV74" i="2"/>
  <c r="N35" i="7" s="1"/>
  <c r="HV111" i="2"/>
  <c r="HN60" i="2"/>
  <c r="HV65" i="2"/>
  <c r="HU151" i="2"/>
  <c r="HR85" i="2"/>
  <c r="HU67" i="2"/>
  <c r="HR67" i="2"/>
  <c r="HO29" i="2"/>
  <c r="HS79" i="2"/>
  <c r="HT36" i="2"/>
  <c r="HV108" i="2"/>
  <c r="HV58" i="2"/>
  <c r="HR62" i="2"/>
  <c r="HN61" i="2"/>
  <c r="HP20" i="2"/>
  <c r="HO37" i="2"/>
  <c r="HN81" i="2"/>
  <c r="HP44" i="2"/>
  <c r="HP45" i="2" s="1"/>
  <c r="HO91" i="2"/>
  <c r="HS62" i="2"/>
  <c r="HN76" i="2"/>
  <c r="HR175" i="2"/>
  <c r="HR79" i="2"/>
  <c r="HT58" i="2"/>
  <c r="HP55" i="2"/>
  <c r="HQ57" i="2"/>
  <c r="HT20" i="2"/>
  <c r="HN139" i="2"/>
  <c r="HT66" i="2"/>
  <c r="HU71" i="2"/>
  <c r="HN34" i="2"/>
  <c r="HV140" i="2"/>
  <c r="HN176" i="2"/>
  <c r="HT177" i="2"/>
  <c r="HQ65" i="2"/>
  <c r="HT72" i="2"/>
  <c r="HS67" i="2"/>
  <c r="HN151" i="2"/>
  <c r="HN103" i="2"/>
  <c r="HQ54" i="2"/>
  <c r="GT167" i="2"/>
  <c r="GT183" i="2" s="1"/>
  <c r="GS90" i="2"/>
  <c r="GT100" i="2"/>
  <c r="GT88" i="2"/>
  <c r="GT177" i="2"/>
  <c r="GT89" i="2"/>
  <c r="GT106" i="2"/>
  <c r="GS175" i="2"/>
  <c r="GS178" i="2" s="1"/>
  <c r="J56" i="1"/>
  <c r="L37" i="1"/>
  <c r="L59" i="1"/>
  <c r="H25" i="7"/>
  <c r="I25" i="7" s="1"/>
  <c r="J25" i="7" s="1"/>
  <c r="GT92" i="2"/>
  <c r="GT186" i="2"/>
  <c r="GT26" i="2"/>
  <c r="GT176" i="2"/>
  <c r="GS111" i="2"/>
  <c r="F35" i="7"/>
  <c r="GT148" i="2"/>
  <c r="GT182" i="2" s="1"/>
  <c r="GU14" i="2"/>
  <c r="GV13" i="2"/>
  <c r="GV196" i="2" s="1"/>
  <c r="BP26" i="2"/>
  <c r="BN29" i="2"/>
  <c r="B59" i="32"/>
  <c r="I58" i="32"/>
  <c r="J58" i="32" s="1"/>
  <c r="L105" i="32"/>
  <c r="S104" i="32"/>
  <c r="T104" i="32" s="1"/>
  <c r="P104" i="32" s="1"/>
  <c r="S104" i="9"/>
  <c r="T104" i="9" s="1"/>
  <c r="P104" i="9" s="1"/>
  <c r="L105" i="9"/>
  <c r="B105" i="9"/>
  <c r="I104" i="9"/>
  <c r="J104" i="9" s="1"/>
  <c r="C284" i="9"/>
  <c r="D283" i="9"/>
  <c r="GS113" i="2" l="1"/>
  <c r="GS116" i="2" s="1"/>
  <c r="GU181" i="2"/>
  <c r="GU195" i="2" s="1"/>
  <c r="GU171" i="2"/>
  <c r="GS115" i="2"/>
  <c r="GV161" i="2"/>
  <c r="GV164" i="2" s="1"/>
  <c r="H36" i="7"/>
  <c r="GT175" i="2"/>
  <c r="GT178" i="2" s="1"/>
  <c r="F38" i="7"/>
  <c r="G36" i="7"/>
  <c r="GT168" i="2"/>
  <c r="GT169" i="2" s="1"/>
  <c r="H27" i="7"/>
  <c r="I27" i="7" s="1"/>
  <c r="J27" i="7" s="1"/>
  <c r="H26" i="7"/>
  <c r="I26" i="7" s="1"/>
  <c r="J26" i="7" s="1"/>
  <c r="GZ15" i="2"/>
  <c r="GY162" i="2"/>
  <c r="GY163" i="2"/>
  <c r="I38" i="7"/>
  <c r="HL176" i="2"/>
  <c r="HL177" i="2"/>
  <c r="HL33" i="2"/>
  <c r="L25" i="1" s="1"/>
  <c r="HL180" i="2"/>
  <c r="HL57" i="2"/>
  <c r="HL70" i="2"/>
  <c r="HL34" i="2"/>
  <c r="HL66" i="2"/>
  <c r="HL58" i="2"/>
  <c r="O35" i="7"/>
  <c r="HL74" i="2"/>
  <c r="HL59" i="2"/>
  <c r="HL37" i="2"/>
  <c r="HL71" i="2"/>
  <c r="HL111" i="2"/>
  <c r="HL46" i="2"/>
  <c r="HL54" i="2"/>
  <c r="HL100" i="2"/>
  <c r="N33" i="7"/>
  <c r="N36" i="7" s="1"/>
  <c r="HL76" i="2"/>
  <c r="HL39" i="2"/>
  <c r="H38" i="7"/>
  <c r="GT102" i="2"/>
  <c r="GT103" i="2" s="1"/>
  <c r="HL61" i="2"/>
  <c r="HL67" i="2"/>
  <c r="HL72" i="2"/>
  <c r="HL55" i="2"/>
  <c r="HL79" i="2"/>
  <c r="HL68" i="2"/>
  <c r="HL36" i="2"/>
  <c r="HL18" i="2"/>
  <c r="HL60" i="2"/>
  <c r="K33" i="7"/>
  <c r="K36" i="7" s="1"/>
  <c r="HL62" i="2"/>
  <c r="HL109" i="2"/>
  <c r="HL80" i="2"/>
  <c r="HL185" i="2"/>
  <c r="F39" i="7"/>
  <c r="HL69" i="2"/>
  <c r="HL30" i="2"/>
  <c r="GT90" i="2"/>
  <c r="HL65" i="2"/>
  <c r="J38" i="7"/>
  <c r="J33" i="7"/>
  <c r="J36" i="7" s="1"/>
  <c r="L33" i="7"/>
  <c r="L36" i="7" s="1"/>
  <c r="HL44" i="2"/>
  <c r="HL45" i="2" s="1"/>
  <c r="HL56" i="2"/>
  <c r="L24" i="1" s="1"/>
  <c r="O34" i="7"/>
  <c r="G38" i="7"/>
  <c r="I33" i="7"/>
  <c r="I36" i="7" s="1"/>
  <c r="M33" i="7"/>
  <c r="M36" i="7" s="1"/>
  <c r="GT149" i="2"/>
  <c r="GT150" i="2" s="1"/>
  <c r="GT112" i="2" s="1"/>
  <c r="GV14" i="2"/>
  <c r="GW13" i="2"/>
  <c r="GW196" i="2" s="1"/>
  <c r="D56" i="1"/>
  <c r="L56" i="1"/>
  <c r="H22" i="7"/>
  <c r="I22" i="7" s="1"/>
  <c r="J22" i="7" s="1"/>
  <c r="GT111" i="2"/>
  <c r="CI25" i="2"/>
  <c r="BO29" i="2"/>
  <c r="B106" i="9"/>
  <c r="I105" i="9"/>
  <c r="J105" i="9" s="1"/>
  <c r="L106" i="9"/>
  <c r="S105" i="9"/>
  <c r="T105" i="9" s="1"/>
  <c r="P105" i="9" s="1"/>
  <c r="S105" i="32"/>
  <c r="T105" i="32" s="1"/>
  <c r="P105" i="32" s="1"/>
  <c r="L106" i="32"/>
  <c r="B60" i="32"/>
  <c r="I59" i="32"/>
  <c r="J59" i="32" s="1"/>
  <c r="C285" i="9"/>
  <c r="D284" i="9"/>
  <c r="L27" i="1" l="1"/>
  <c r="L29" i="1" s="1"/>
  <c r="F40" i="7"/>
  <c r="GU187" i="2"/>
  <c r="GV171" i="2"/>
  <c r="GV116" i="2"/>
  <c r="GT115" i="2"/>
  <c r="GV181" i="2"/>
  <c r="GV195" i="2" s="1"/>
  <c r="GW161" i="2"/>
  <c r="GW164" i="2" s="1"/>
  <c r="HA15" i="2"/>
  <c r="GZ162" i="2"/>
  <c r="GZ163" i="2"/>
  <c r="O33" i="7"/>
  <c r="GT113" i="2"/>
  <c r="GT116" i="2" s="1"/>
  <c r="O36" i="7"/>
  <c r="GW14" i="2"/>
  <c r="GX13" i="2"/>
  <c r="GX196" i="2" s="1"/>
  <c r="CE85" i="2"/>
  <c r="CE174" i="2" s="1"/>
  <c r="HT174" i="2" s="1"/>
  <c r="L41" i="7" s="1"/>
  <c r="CJ25" i="2"/>
  <c r="CK25" i="2" s="1"/>
  <c r="CI85" i="2"/>
  <c r="CI174" i="2" s="1"/>
  <c r="CH85" i="2"/>
  <c r="CH174" i="2" s="1"/>
  <c r="GF85" i="2"/>
  <c r="GC85" i="2"/>
  <c r="GC174" i="2" s="1"/>
  <c r="GC178" i="2" s="1"/>
  <c r="BP29" i="2"/>
  <c r="BP175" i="2" s="1"/>
  <c r="B61" i="32"/>
  <c r="I60" i="32"/>
  <c r="J60" i="32" s="1"/>
  <c r="L107" i="32"/>
  <c r="S106" i="32"/>
  <c r="T106" i="32" s="1"/>
  <c r="P106" i="32" s="1"/>
  <c r="S106" i="9"/>
  <c r="T106" i="9" s="1"/>
  <c r="P106" i="9" s="1"/>
  <c r="L107" i="9"/>
  <c r="B107" i="9"/>
  <c r="I106" i="9"/>
  <c r="J106" i="9" s="1"/>
  <c r="C286" i="9"/>
  <c r="D285" i="9"/>
  <c r="GV187" i="2" l="1"/>
  <c r="GW171" i="2"/>
  <c r="GW116" i="2"/>
  <c r="GW181" i="2"/>
  <c r="GW195" i="2" s="1"/>
  <c r="GF92" i="2"/>
  <c r="GF174" i="2"/>
  <c r="GF178" i="2" s="1"/>
  <c r="GX161" i="2"/>
  <c r="GX164" i="2" s="1"/>
  <c r="H12" i="25"/>
  <c r="H13" i="25" s="1"/>
  <c r="K27" i="1"/>
  <c r="HA162" i="2"/>
  <c r="HA163" i="2"/>
  <c r="GY13" i="2"/>
  <c r="GY196" i="2" s="1"/>
  <c r="GX14" i="2"/>
  <c r="K29" i="1"/>
  <c r="B58" i="7" s="1"/>
  <c r="I57" i="30"/>
  <c r="K57" i="30" s="1"/>
  <c r="K58" i="30" s="1"/>
  <c r="L30" i="1"/>
  <c r="L31" i="1" s="1"/>
  <c r="CZ85" i="2" s="1"/>
  <c r="HT85" i="2"/>
  <c r="GC92" i="2"/>
  <c r="BP41" i="2"/>
  <c r="BP92" i="2" s="1"/>
  <c r="BQ29" i="2"/>
  <c r="BP178" i="2"/>
  <c r="L108" i="9"/>
  <c r="S107" i="9"/>
  <c r="T107" i="9" s="1"/>
  <c r="P107" i="9" s="1"/>
  <c r="L108" i="32"/>
  <c r="S107" i="32"/>
  <c r="T107" i="32" s="1"/>
  <c r="P107" i="32" s="1"/>
  <c r="B108" i="9"/>
  <c r="I107" i="9"/>
  <c r="J107" i="9" s="1"/>
  <c r="B62" i="32"/>
  <c r="I61" i="32"/>
  <c r="J61" i="32" s="1"/>
  <c r="C287" i="9"/>
  <c r="D286" i="9"/>
  <c r="GW187" i="2" l="1"/>
  <c r="CZ174" i="2"/>
  <c r="CZ178" i="2" s="1"/>
  <c r="CZ92" i="2"/>
  <c r="DF85" i="2"/>
  <c r="DF174" i="2" s="1"/>
  <c r="DF178" i="2" s="1"/>
  <c r="DB85" i="2"/>
  <c r="DE85" i="2"/>
  <c r="DE174" i="2" s="1"/>
  <c r="DE178" i="2" s="1"/>
  <c r="DK85" i="2"/>
  <c r="GX181" i="2"/>
  <c r="GX195" i="2" s="1"/>
  <c r="GX116" i="2"/>
  <c r="DI85" i="2"/>
  <c r="DI92" i="2" s="1"/>
  <c r="DC85" i="2"/>
  <c r="GX171" i="2"/>
  <c r="GF195" i="2"/>
  <c r="GF187" i="2"/>
  <c r="GY161" i="2"/>
  <c r="GY164" i="2" s="1"/>
  <c r="CK85" i="2"/>
  <c r="CW85" i="2"/>
  <c r="K31" i="1"/>
  <c r="GY14" i="2"/>
  <c r="GZ13" i="2"/>
  <c r="GZ196" i="2" s="1"/>
  <c r="BP87" i="2"/>
  <c r="BP89" i="2" s="1"/>
  <c r="BP90" i="2" s="1"/>
  <c r="I62" i="32"/>
  <c r="J62" i="32" s="1"/>
  <c r="B63" i="32"/>
  <c r="I108" i="9"/>
  <c r="J108" i="9" s="1"/>
  <c r="B109" i="9"/>
  <c r="S108" i="32"/>
  <c r="T108" i="32" s="1"/>
  <c r="P108" i="32" s="1"/>
  <c r="L109" i="32"/>
  <c r="L109" i="9"/>
  <c r="S108" i="9"/>
  <c r="T108" i="9" s="1"/>
  <c r="P108" i="9" s="1"/>
  <c r="C288" i="9"/>
  <c r="D287" i="9"/>
  <c r="DF92" i="2" l="1"/>
  <c r="DB174" i="2"/>
  <c r="DB178" i="2" s="1"/>
  <c r="DB92" i="2"/>
  <c r="DE92" i="2"/>
  <c r="DK174" i="2"/>
  <c r="DK178" i="2" s="1"/>
  <c r="DK92" i="2"/>
  <c r="GX187" i="2"/>
  <c r="GY181" i="2"/>
  <c r="GY187" i="2" s="1"/>
  <c r="GY116" i="2"/>
  <c r="DI174" i="2"/>
  <c r="DI178" i="2" s="1"/>
  <c r="DC174" i="2"/>
  <c r="DC178" i="2" s="1"/>
  <c r="DC92" i="2"/>
  <c r="GY171" i="2"/>
  <c r="GZ161" i="2"/>
  <c r="GZ164" i="2" s="1"/>
  <c r="GZ181" i="2" s="1"/>
  <c r="GZ14" i="2"/>
  <c r="HA13" i="2"/>
  <c r="HA196" i="2" s="1"/>
  <c r="CW174" i="2"/>
  <c r="CW92" i="2"/>
  <c r="HV85" i="2"/>
  <c r="CK174" i="2"/>
  <c r="HU174" i="2" s="1"/>
  <c r="M41" i="7" s="1"/>
  <c r="I85" i="2"/>
  <c r="HU85" i="2"/>
  <c r="BP106" i="2"/>
  <c r="S109" i="32"/>
  <c r="T109" i="32" s="1"/>
  <c r="P109" i="32" s="1"/>
  <c r="L110" i="32"/>
  <c r="I109" i="9"/>
  <c r="J109" i="9" s="1"/>
  <c r="B110" i="9"/>
  <c r="S109" i="9"/>
  <c r="T109" i="9" s="1"/>
  <c r="P109" i="9" s="1"/>
  <c r="L110" i="9"/>
  <c r="I63" i="32"/>
  <c r="J63" i="32" s="1"/>
  <c r="B64" i="32"/>
  <c r="C289" i="9"/>
  <c r="D288" i="9"/>
  <c r="GY195" i="2" l="1"/>
  <c r="GZ171" i="2"/>
  <c r="GZ116" i="2"/>
  <c r="GZ195" i="2"/>
  <c r="GZ187" i="2"/>
  <c r="HA14" i="2"/>
  <c r="HA161" i="2"/>
  <c r="HA164" i="2" s="1"/>
  <c r="HA116" i="2" s="1"/>
  <c r="HL85" i="2"/>
  <c r="CW178" i="2"/>
  <c r="HV174" i="2"/>
  <c r="N41" i="7" s="1"/>
  <c r="S110" i="9"/>
  <c r="T110" i="9" s="1"/>
  <c r="P110" i="9" s="1"/>
  <c r="L111" i="9"/>
  <c r="I110" i="9"/>
  <c r="J110" i="9" s="1"/>
  <c r="B111" i="9"/>
  <c r="I64" i="32"/>
  <c r="J64" i="32" s="1"/>
  <c r="B65" i="32"/>
  <c r="L111" i="32"/>
  <c r="S110" i="32"/>
  <c r="T110" i="32" s="1"/>
  <c r="P110" i="32" s="1"/>
  <c r="C290" i="9"/>
  <c r="D289" i="9"/>
  <c r="HA171" i="2" l="1"/>
  <c r="HA181" i="2"/>
  <c r="B66" i="32"/>
  <c r="I65" i="32"/>
  <c r="J65" i="32" s="1"/>
  <c r="S111" i="32"/>
  <c r="T111" i="32" s="1"/>
  <c r="P111" i="32" s="1"/>
  <c r="L112" i="32"/>
  <c r="B112" i="9"/>
  <c r="I111" i="9"/>
  <c r="J111" i="9" s="1"/>
  <c r="S111" i="9"/>
  <c r="T111" i="9" s="1"/>
  <c r="P111" i="9" s="1"/>
  <c r="L112" i="9"/>
  <c r="C291" i="9"/>
  <c r="D290" i="9"/>
  <c r="HA195" i="2" l="1"/>
  <c r="HA187" i="2"/>
  <c r="L113" i="9"/>
  <c r="S112" i="9"/>
  <c r="T112" i="9" s="1"/>
  <c r="P112" i="9" s="1"/>
  <c r="B113" i="9"/>
  <c r="I112" i="9"/>
  <c r="J112" i="9" s="1"/>
  <c r="S112" i="32"/>
  <c r="T112" i="32" s="1"/>
  <c r="P112" i="32" s="1"/>
  <c r="L113" i="32"/>
  <c r="B67" i="32"/>
  <c r="I66" i="32"/>
  <c r="J66" i="32" s="1"/>
  <c r="C292" i="9"/>
  <c r="D291" i="9"/>
  <c r="S113" i="32" l="1"/>
  <c r="T113" i="32" s="1"/>
  <c r="P113" i="32" s="1"/>
  <c r="L114" i="32"/>
  <c r="B114" i="9"/>
  <c r="I113" i="9"/>
  <c r="J113" i="9" s="1"/>
  <c r="B68" i="32"/>
  <c r="I67" i="32"/>
  <c r="J67" i="32" s="1"/>
  <c r="L114" i="9"/>
  <c r="S113" i="9"/>
  <c r="T113" i="9" s="1"/>
  <c r="P113" i="9" s="1"/>
  <c r="C293" i="9"/>
  <c r="D292" i="9"/>
  <c r="L115" i="9" l="1"/>
  <c r="S114" i="9"/>
  <c r="T114" i="9" s="1"/>
  <c r="P114" i="9" s="1"/>
  <c r="I68" i="32"/>
  <c r="J68" i="32" s="1"/>
  <c r="B69" i="32"/>
  <c r="L115" i="32"/>
  <c r="S114" i="32"/>
  <c r="T114" i="32" s="1"/>
  <c r="P114" i="32" s="1"/>
  <c r="I114" i="9"/>
  <c r="J114" i="9" s="1"/>
  <c r="B115" i="9"/>
  <c r="C294" i="9"/>
  <c r="D293" i="9"/>
  <c r="I115" i="9" l="1"/>
  <c r="J115" i="9" s="1"/>
  <c r="B116" i="9"/>
  <c r="L116" i="32"/>
  <c r="S115" i="32"/>
  <c r="T115" i="32" s="1"/>
  <c r="P115" i="32" s="1"/>
  <c r="I69" i="32"/>
  <c r="J69" i="32" s="1"/>
  <c r="B70" i="32"/>
  <c r="L116" i="9"/>
  <c r="S115" i="9"/>
  <c r="T115" i="9" s="1"/>
  <c r="P115" i="9" s="1"/>
  <c r="C295" i="9"/>
  <c r="D294" i="9"/>
  <c r="B71" i="32" l="1"/>
  <c r="I70" i="32"/>
  <c r="J70" i="32" s="1"/>
  <c r="S116" i="32"/>
  <c r="T116" i="32" s="1"/>
  <c r="P116" i="32" s="1"/>
  <c r="L117" i="32"/>
  <c r="I116" i="9"/>
  <c r="J116" i="9" s="1"/>
  <c r="B117" i="9"/>
  <c r="L117" i="9"/>
  <c r="S116" i="9"/>
  <c r="T116" i="9" s="1"/>
  <c r="P116" i="9" s="1"/>
  <c r="C296" i="9"/>
  <c r="D295" i="9"/>
  <c r="I117" i="9" l="1"/>
  <c r="J117" i="9" s="1"/>
  <c r="B118" i="9"/>
  <c r="L118" i="32"/>
  <c r="S117" i="32"/>
  <c r="T117" i="32" s="1"/>
  <c r="P117" i="32" s="1"/>
  <c r="S117" i="9"/>
  <c r="T117" i="9" s="1"/>
  <c r="P117" i="9" s="1"/>
  <c r="L118" i="9"/>
  <c r="B72" i="32"/>
  <c r="I71" i="32"/>
  <c r="J71" i="32" s="1"/>
  <c r="C297" i="9"/>
  <c r="D296" i="9"/>
  <c r="S118" i="9" l="1"/>
  <c r="T118" i="9" s="1"/>
  <c r="P118" i="9" s="1"/>
  <c r="L119" i="9"/>
  <c r="B73" i="32"/>
  <c r="I72" i="32"/>
  <c r="J72" i="32" s="1"/>
  <c r="L119" i="32"/>
  <c r="S118" i="32"/>
  <c r="T118" i="32" s="1"/>
  <c r="P118" i="32" s="1"/>
  <c r="I118" i="9"/>
  <c r="J118" i="9" s="1"/>
  <c r="B119" i="9"/>
  <c r="C298" i="9"/>
  <c r="D297" i="9"/>
  <c r="L120" i="32" l="1"/>
  <c r="S119" i="32"/>
  <c r="T119" i="32" s="1"/>
  <c r="P119" i="32" s="1"/>
  <c r="I119" i="9"/>
  <c r="J119" i="9" s="1"/>
  <c r="B120" i="9"/>
  <c r="I73" i="32"/>
  <c r="J73" i="32" s="1"/>
  <c r="B74" i="32"/>
  <c r="S119" i="9"/>
  <c r="T119" i="9" s="1"/>
  <c r="P119" i="9" s="1"/>
  <c r="L120" i="9"/>
  <c r="C299" i="9"/>
  <c r="D298" i="9"/>
  <c r="B75" i="32" l="1"/>
  <c r="I74" i="32"/>
  <c r="J74" i="32" s="1"/>
  <c r="I120" i="9"/>
  <c r="J120" i="9" s="1"/>
  <c r="B121" i="9"/>
  <c r="L121" i="9"/>
  <c r="S120" i="9"/>
  <c r="T120" i="9" s="1"/>
  <c r="P120" i="9" s="1"/>
  <c r="S120" i="32"/>
  <c r="T120" i="32" s="1"/>
  <c r="P120" i="32" s="1"/>
  <c r="L121" i="32"/>
  <c r="C300" i="9"/>
  <c r="D299" i="9"/>
  <c r="L122" i="32" l="1"/>
  <c r="S121" i="32"/>
  <c r="T121" i="32" s="1"/>
  <c r="P121" i="32" s="1"/>
  <c r="L122" i="9"/>
  <c r="S121" i="9"/>
  <c r="T121" i="9" s="1"/>
  <c r="P121" i="9" s="1"/>
  <c r="B122" i="9"/>
  <c r="I121" i="9"/>
  <c r="J121" i="9" s="1"/>
  <c r="I75" i="32"/>
  <c r="J75" i="32" s="1"/>
  <c r="B76" i="32"/>
  <c r="C301" i="9"/>
  <c r="D300" i="9"/>
  <c r="I76" i="32" l="1"/>
  <c r="J76" i="32" s="1"/>
  <c r="B77" i="32"/>
  <c r="I122" i="9"/>
  <c r="J122" i="9" s="1"/>
  <c r="B123" i="9"/>
  <c r="S122" i="9"/>
  <c r="T122" i="9" s="1"/>
  <c r="P122" i="9" s="1"/>
  <c r="L123" i="9"/>
  <c r="S122" i="32"/>
  <c r="T122" i="32" s="1"/>
  <c r="P122" i="32" s="1"/>
  <c r="L123" i="32"/>
  <c r="C302" i="9"/>
  <c r="D301" i="9"/>
  <c r="L124" i="9" l="1"/>
  <c r="S123" i="9"/>
  <c r="T123" i="9" s="1"/>
  <c r="P123" i="9" s="1"/>
  <c r="B124" i="9"/>
  <c r="I123" i="9"/>
  <c r="J123" i="9" s="1"/>
  <c r="I77" i="32"/>
  <c r="J77" i="32" s="1"/>
  <c r="B78" i="32"/>
  <c r="L124" i="32"/>
  <c r="S123" i="32"/>
  <c r="T123" i="32" s="1"/>
  <c r="P123" i="32" s="1"/>
  <c r="C303" i="9"/>
  <c r="D302" i="9"/>
  <c r="S124" i="32" l="1"/>
  <c r="T124" i="32" s="1"/>
  <c r="P124" i="32" s="1"/>
  <c r="L125" i="32"/>
  <c r="B79" i="32"/>
  <c r="I78" i="32"/>
  <c r="J78" i="32" s="1"/>
  <c r="B125" i="9"/>
  <c r="I124" i="9"/>
  <c r="J124" i="9" s="1"/>
  <c r="L125" i="9"/>
  <c r="S124" i="9"/>
  <c r="T124" i="9" s="1"/>
  <c r="P124" i="9" s="1"/>
  <c r="C304" i="9"/>
  <c r="D303" i="9"/>
  <c r="L126" i="9" l="1"/>
  <c r="S125" i="9"/>
  <c r="T125" i="9" s="1"/>
  <c r="P125" i="9" s="1"/>
  <c r="B126" i="9"/>
  <c r="I125" i="9"/>
  <c r="J125" i="9" s="1"/>
  <c r="B80" i="32"/>
  <c r="I79" i="32"/>
  <c r="J79" i="32" s="1"/>
  <c r="S125" i="32"/>
  <c r="T125" i="32" s="1"/>
  <c r="P125" i="32" s="1"/>
  <c r="L126" i="32"/>
  <c r="C305" i="9"/>
  <c r="D304" i="9"/>
  <c r="B81" i="32" l="1"/>
  <c r="I80" i="32"/>
  <c r="J80" i="32" s="1"/>
  <c r="S126" i="32"/>
  <c r="T126" i="32" s="1"/>
  <c r="P126" i="32" s="1"/>
  <c r="L127" i="32"/>
  <c r="B127" i="9"/>
  <c r="I126" i="9"/>
  <c r="J126" i="9" s="1"/>
  <c r="L127" i="9"/>
  <c r="S126" i="9"/>
  <c r="T126" i="9" s="1"/>
  <c r="P126" i="9" s="1"/>
  <c r="C306" i="9"/>
  <c r="D305" i="9"/>
  <c r="L128" i="9" l="1"/>
  <c r="S127" i="9"/>
  <c r="T127" i="9" s="1"/>
  <c r="P127" i="9" s="1"/>
  <c r="B128" i="9"/>
  <c r="I127" i="9"/>
  <c r="J127" i="9" s="1"/>
  <c r="L128" i="32"/>
  <c r="S127" i="32"/>
  <c r="T127" i="32" s="1"/>
  <c r="P127" i="32" s="1"/>
  <c r="I81" i="32"/>
  <c r="J81" i="32" s="1"/>
  <c r="B82" i="32"/>
  <c r="C307" i="9"/>
  <c r="D306" i="9"/>
  <c r="I82" i="32" l="1"/>
  <c r="J82" i="32" s="1"/>
  <c r="B83" i="32"/>
  <c r="S128" i="32"/>
  <c r="T128" i="32" s="1"/>
  <c r="P128" i="32" s="1"/>
  <c r="L129" i="32"/>
  <c r="B129" i="9"/>
  <c r="I128" i="9"/>
  <c r="J128" i="9" s="1"/>
  <c r="S128" i="9"/>
  <c r="T128" i="9" s="1"/>
  <c r="P128" i="9" s="1"/>
  <c r="L129" i="9"/>
  <c r="C308" i="9"/>
  <c r="D307" i="9"/>
  <c r="L130" i="9" l="1"/>
  <c r="S129" i="9"/>
  <c r="T129" i="9" s="1"/>
  <c r="P129" i="9" s="1"/>
  <c r="B130" i="9"/>
  <c r="I129" i="9"/>
  <c r="J129" i="9" s="1"/>
  <c r="L130" i="32"/>
  <c r="S129" i="32"/>
  <c r="T129" i="32" s="1"/>
  <c r="P129" i="32" s="1"/>
  <c r="I83" i="32"/>
  <c r="J83" i="32" s="1"/>
  <c r="B84" i="32"/>
  <c r="C309" i="9"/>
  <c r="D308" i="9"/>
  <c r="B85" i="32" l="1"/>
  <c r="I84" i="32"/>
  <c r="J84" i="32" s="1"/>
  <c r="S130" i="32"/>
  <c r="T130" i="32" s="1"/>
  <c r="P130" i="32" s="1"/>
  <c r="L131" i="32"/>
  <c r="I130" i="9"/>
  <c r="J130" i="9" s="1"/>
  <c r="B131" i="9"/>
  <c r="L131" i="9"/>
  <c r="S130" i="9"/>
  <c r="T130" i="9" s="1"/>
  <c r="P130" i="9" s="1"/>
  <c r="C310" i="9"/>
  <c r="D309" i="9"/>
  <c r="L132" i="9" l="1"/>
  <c r="S131" i="9"/>
  <c r="T131" i="9" s="1"/>
  <c r="P131" i="9" s="1"/>
  <c r="B132" i="9"/>
  <c r="I131" i="9"/>
  <c r="J131" i="9" s="1"/>
  <c r="S131" i="32"/>
  <c r="T131" i="32" s="1"/>
  <c r="P131" i="32" s="1"/>
  <c r="L132" i="32"/>
  <c r="B86" i="32"/>
  <c r="I85" i="32"/>
  <c r="J85" i="32" s="1"/>
  <c r="C311" i="9"/>
  <c r="D310" i="9"/>
  <c r="S132" i="32" l="1"/>
  <c r="T132" i="32" s="1"/>
  <c r="P132" i="32" s="1"/>
  <c r="L133" i="32"/>
  <c r="B133" i="9"/>
  <c r="I132" i="9"/>
  <c r="J132" i="9" s="1"/>
  <c r="I86" i="32"/>
  <c r="J86" i="32" s="1"/>
  <c r="B87" i="32"/>
  <c r="L133" i="9"/>
  <c r="S132" i="9"/>
  <c r="T132" i="9" s="1"/>
  <c r="P132" i="9" s="1"/>
  <c r="C312" i="9"/>
  <c r="D311" i="9"/>
  <c r="L134" i="9" l="1"/>
  <c r="S133" i="9"/>
  <c r="T133" i="9" s="1"/>
  <c r="P133" i="9" s="1"/>
  <c r="I87" i="32"/>
  <c r="J87" i="32" s="1"/>
  <c r="B88" i="32"/>
  <c r="B134" i="9"/>
  <c r="I133" i="9"/>
  <c r="J133" i="9" s="1"/>
  <c r="S133" i="32"/>
  <c r="T133" i="32" s="1"/>
  <c r="P133" i="32" s="1"/>
  <c r="L134" i="32"/>
  <c r="C313" i="9"/>
  <c r="D312" i="9"/>
  <c r="L135" i="32" l="1"/>
  <c r="S134" i="32"/>
  <c r="T134" i="32" s="1"/>
  <c r="P134" i="32" s="1"/>
  <c r="I88" i="32"/>
  <c r="J88" i="32" s="1"/>
  <c r="B89" i="32"/>
  <c r="B135" i="9"/>
  <c r="I134" i="9"/>
  <c r="J134" i="9" s="1"/>
  <c r="L135" i="9"/>
  <c r="S134" i="9"/>
  <c r="T134" i="9" s="1"/>
  <c r="P134" i="9" s="1"/>
  <c r="C314" i="9"/>
  <c r="D313" i="9"/>
  <c r="S135" i="9" l="1"/>
  <c r="T135" i="9" s="1"/>
  <c r="P135" i="9" s="1"/>
  <c r="L136" i="9"/>
  <c r="B136" i="9"/>
  <c r="I135" i="9"/>
  <c r="J135" i="9" s="1"/>
  <c r="I89" i="32"/>
  <c r="J89" i="32" s="1"/>
  <c r="B90" i="32"/>
  <c r="L136" i="32"/>
  <c r="S135" i="32"/>
  <c r="T135" i="32" s="1"/>
  <c r="P135" i="32" s="1"/>
  <c r="C315" i="9"/>
  <c r="D314" i="9"/>
  <c r="L137" i="32" l="1"/>
  <c r="S136" i="32"/>
  <c r="T136" i="32" s="1"/>
  <c r="P136" i="32" s="1"/>
  <c r="I136" i="9"/>
  <c r="J136" i="9" s="1"/>
  <c r="B137" i="9"/>
  <c r="L137" i="9"/>
  <c r="S136" i="9"/>
  <c r="T136" i="9" s="1"/>
  <c r="P136" i="9" s="1"/>
  <c r="B91" i="32"/>
  <c r="I90" i="32"/>
  <c r="J90" i="32" s="1"/>
  <c r="C316" i="9"/>
  <c r="D315" i="9"/>
  <c r="I91" i="32" l="1"/>
  <c r="J91" i="32" s="1"/>
  <c r="B92" i="32"/>
  <c r="S137" i="9"/>
  <c r="T137" i="9" s="1"/>
  <c r="P137" i="9" s="1"/>
  <c r="L138" i="9"/>
  <c r="B138" i="9"/>
  <c r="I137" i="9"/>
  <c r="J137" i="9" s="1"/>
  <c r="L138" i="32"/>
  <c r="S137" i="32"/>
  <c r="T137" i="32" s="1"/>
  <c r="P137" i="32" s="1"/>
  <c r="C317" i="9"/>
  <c r="D316" i="9"/>
  <c r="S138" i="32" l="1"/>
  <c r="T138" i="32" s="1"/>
  <c r="P138" i="32" s="1"/>
  <c r="L139" i="32"/>
  <c r="B139" i="9"/>
  <c r="I138" i="9"/>
  <c r="J138" i="9" s="1"/>
  <c r="S138" i="9"/>
  <c r="T138" i="9" s="1"/>
  <c r="P138" i="9" s="1"/>
  <c r="L139" i="9"/>
  <c r="B93" i="32"/>
  <c r="I92" i="32"/>
  <c r="J92" i="32" s="1"/>
  <c r="C318" i="9"/>
  <c r="D317" i="9"/>
  <c r="B94" i="32" l="1"/>
  <c r="I93" i="32"/>
  <c r="J93" i="32" s="1"/>
  <c r="S139" i="9"/>
  <c r="T139" i="9" s="1"/>
  <c r="P139" i="9" s="1"/>
  <c r="L140" i="9"/>
  <c r="B140" i="9"/>
  <c r="I139" i="9"/>
  <c r="J139" i="9" s="1"/>
  <c r="S139" i="32"/>
  <c r="T139" i="32" s="1"/>
  <c r="P139" i="32" s="1"/>
  <c r="L140" i="32"/>
  <c r="C319" i="9"/>
  <c r="D318" i="9"/>
  <c r="S140" i="32" l="1"/>
  <c r="T140" i="32" s="1"/>
  <c r="P140" i="32" s="1"/>
  <c r="L141" i="32"/>
  <c r="I140" i="9"/>
  <c r="J140" i="9" s="1"/>
  <c r="B141" i="9"/>
  <c r="L141" i="9"/>
  <c r="S140" i="9"/>
  <c r="T140" i="9" s="1"/>
  <c r="P140" i="9" s="1"/>
  <c r="I94" i="32"/>
  <c r="J94" i="32" s="1"/>
  <c r="B95" i="32"/>
  <c r="C320" i="9"/>
  <c r="D319" i="9"/>
  <c r="B96" i="32" l="1"/>
  <c r="I95" i="32"/>
  <c r="J95" i="32" s="1"/>
  <c r="S141" i="9"/>
  <c r="T141" i="9" s="1"/>
  <c r="P141" i="9" s="1"/>
  <c r="L142" i="9"/>
  <c r="B142" i="9"/>
  <c r="I141" i="9"/>
  <c r="J141" i="9" s="1"/>
  <c r="L142" i="32"/>
  <c r="S141" i="32"/>
  <c r="T141" i="32" s="1"/>
  <c r="P141" i="32" s="1"/>
  <c r="C321" i="9"/>
  <c r="D320" i="9"/>
  <c r="B143" i="9" l="1"/>
  <c r="I142" i="9"/>
  <c r="J142" i="9" s="1"/>
  <c r="L143" i="9"/>
  <c r="S142" i="9"/>
  <c r="T142" i="9" s="1"/>
  <c r="P142" i="9" s="1"/>
  <c r="S142" i="32"/>
  <c r="T142" i="32" s="1"/>
  <c r="P142" i="32" s="1"/>
  <c r="L143" i="32"/>
  <c r="B97" i="32"/>
  <c r="I96" i="32"/>
  <c r="J96" i="32" s="1"/>
  <c r="C322" i="9"/>
  <c r="D321" i="9"/>
  <c r="B98" i="32" l="1"/>
  <c r="I97" i="32"/>
  <c r="J97" i="32" s="1"/>
  <c r="L144" i="32"/>
  <c r="S143" i="32"/>
  <c r="T143" i="32" s="1"/>
  <c r="P143" i="32" s="1"/>
  <c r="L144" i="9"/>
  <c r="S143" i="9"/>
  <c r="T143" i="9" s="1"/>
  <c r="P143" i="9" s="1"/>
  <c r="I143" i="9"/>
  <c r="J143" i="9" s="1"/>
  <c r="B144" i="9"/>
  <c r="C323" i="9"/>
  <c r="D322" i="9"/>
  <c r="I144" i="9" l="1"/>
  <c r="J144" i="9" s="1"/>
  <c r="B145" i="9"/>
  <c r="S144" i="9"/>
  <c r="T144" i="9" s="1"/>
  <c r="P144" i="9" s="1"/>
  <c r="L145" i="9"/>
  <c r="S144" i="32"/>
  <c r="T144" i="32" s="1"/>
  <c r="P144" i="32" s="1"/>
  <c r="L145" i="32"/>
  <c r="B99" i="32"/>
  <c r="I98" i="32"/>
  <c r="J98" i="32" s="1"/>
  <c r="C324" i="9"/>
  <c r="D323" i="9"/>
  <c r="B100" i="32" l="1"/>
  <c r="I99" i="32"/>
  <c r="J99" i="32" s="1"/>
  <c r="L146" i="32"/>
  <c r="S145" i="32"/>
  <c r="T145" i="32" s="1"/>
  <c r="P145" i="32" s="1"/>
  <c r="S145" i="9"/>
  <c r="T145" i="9" s="1"/>
  <c r="P145" i="9" s="1"/>
  <c r="L146" i="9"/>
  <c r="B146" i="9"/>
  <c r="I145" i="9"/>
  <c r="J145" i="9" s="1"/>
  <c r="C325" i="9"/>
  <c r="D324" i="9"/>
  <c r="B147" i="9" l="1"/>
  <c r="I146" i="9"/>
  <c r="J146" i="9" s="1"/>
  <c r="S146" i="9"/>
  <c r="T146" i="9" s="1"/>
  <c r="P146" i="9" s="1"/>
  <c r="L147" i="9"/>
  <c r="L147" i="32"/>
  <c r="S146" i="32"/>
  <c r="T146" i="32" s="1"/>
  <c r="P146" i="32" s="1"/>
  <c r="I100" i="32"/>
  <c r="J100" i="32" s="1"/>
  <c r="B101" i="32"/>
  <c r="C326" i="9"/>
  <c r="D325" i="9"/>
  <c r="B102" i="32" l="1"/>
  <c r="I101" i="32"/>
  <c r="J101" i="32" s="1"/>
  <c r="S147" i="32"/>
  <c r="T147" i="32" s="1"/>
  <c r="P147" i="32" s="1"/>
  <c r="L148" i="32"/>
  <c r="L148" i="9"/>
  <c r="S147" i="9"/>
  <c r="T147" i="9" s="1"/>
  <c r="P147" i="9" s="1"/>
  <c r="B148" i="9"/>
  <c r="I147" i="9"/>
  <c r="J147" i="9" s="1"/>
  <c r="C327" i="9"/>
  <c r="D326" i="9"/>
  <c r="B149" i="9" l="1"/>
  <c r="I148" i="9"/>
  <c r="J148" i="9" s="1"/>
  <c r="L149" i="9"/>
  <c r="S148" i="9"/>
  <c r="T148" i="9" s="1"/>
  <c r="P148" i="9" s="1"/>
  <c r="L149" i="32"/>
  <c r="S148" i="32"/>
  <c r="T148" i="32" s="1"/>
  <c r="P148" i="32" s="1"/>
  <c r="B103" i="32"/>
  <c r="I102" i="32"/>
  <c r="J102" i="32" s="1"/>
  <c r="C328" i="9"/>
  <c r="D327" i="9"/>
  <c r="I103" i="32" l="1"/>
  <c r="J103" i="32" s="1"/>
  <c r="B104" i="32"/>
  <c r="S149" i="32"/>
  <c r="T149" i="32" s="1"/>
  <c r="P149" i="32" s="1"/>
  <c r="L150" i="32"/>
  <c r="L150" i="9"/>
  <c r="S149" i="9"/>
  <c r="T149" i="9" s="1"/>
  <c r="P149" i="9" s="1"/>
  <c r="I149" i="9"/>
  <c r="J149" i="9" s="1"/>
  <c r="B150" i="9"/>
  <c r="C329" i="9"/>
  <c r="D328" i="9"/>
  <c r="B151" i="9" l="1"/>
  <c r="I150" i="9"/>
  <c r="J150" i="9" s="1"/>
  <c r="S150" i="9"/>
  <c r="T150" i="9" s="1"/>
  <c r="P150" i="9" s="1"/>
  <c r="L151" i="9"/>
  <c r="S150" i="32"/>
  <c r="T150" i="32" s="1"/>
  <c r="P150" i="32" s="1"/>
  <c r="L151" i="32"/>
  <c r="B105" i="32"/>
  <c r="I104" i="32"/>
  <c r="J104" i="32" s="1"/>
  <c r="C330" i="9"/>
  <c r="D329" i="9"/>
  <c r="I105" i="32" l="1"/>
  <c r="J105" i="32" s="1"/>
  <c r="B106" i="32"/>
  <c r="S151" i="32"/>
  <c r="T151" i="32" s="1"/>
  <c r="P151" i="32" s="1"/>
  <c r="L152" i="32"/>
  <c r="L152" i="9"/>
  <c r="S151" i="9"/>
  <c r="T151" i="9" s="1"/>
  <c r="P151" i="9" s="1"/>
  <c r="B152" i="9"/>
  <c r="I151" i="9"/>
  <c r="J151" i="9" s="1"/>
  <c r="C331" i="9"/>
  <c r="D330" i="9"/>
  <c r="L153" i="9" l="1"/>
  <c r="S152" i="9"/>
  <c r="T152" i="9" s="1"/>
  <c r="P152" i="9" s="1"/>
  <c r="L153" i="32"/>
  <c r="S152" i="32"/>
  <c r="T152" i="32" s="1"/>
  <c r="P152" i="32" s="1"/>
  <c r="B107" i="32"/>
  <c r="I106" i="32"/>
  <c r="J106" i="32" s="1"/>
  <c r="B153" i="9"/>
  <c r="I152" i="9"/>
  <c r="J152" i="9" s="1"/>
  <c r="C332" i="9"/>
  <c r="D331" i="9"/>
  <c r="I153" i="9" l="1"/>
  <c r="J153" i="9" s="1"/>
  <c r="B154" i="9"/>
  <c r="I107" i="32"/>
  <c r="J107" i="32" s="1"/>
  <c r="B108" i="32"/>
  <c r="S153" i="32"/>
  <c r="T153" i="32" s="1"/>
  <c r="P153" i="32" s="1"/>
  <c r="L154" i="32"/>
  <c r="S153" i="9"/>
  <c r="T153" i="9" s="1"/>
  <c r="P153" i="9" s="1"/>
  <c r="L154" i="9"/>
  <c r="C333" i="9"/>
  <c r="D332" i="9"/>
  <c r="S154" i="32" l="1"/>
  <c r="T154" i="32" s="1"/>
  <c r="P154" i="32" s="1"/>
  <c r="L155" i="32"/>
  <c r="B109" i="32"/>
  <c r="I108" i="32"/>
  <c r="J108" i="32" s="1"/>
  <c r="I154" i="9"/>
  <c r="J154" i="9" s="1"/>
  <c r="B155" i="9"/>
  <c r="L155" i="9"/>
  <c r="S154" i="9"/>
  <c r="T154" i="9" s="1"/>
  <c r="P154" i="9" s="1"/>
  <c r="C334" i="9"/>
  <c r="D333" i="9"/>
  <c r="S155" i="9" l="1"/>
  <c r="T155" i="9" s="1"/>
  <c r="P155" i="9" s="1"/>
  <c r="L156" i="9"/>
  <c r="B156" i="9"/>
  <c r="I155" i="9"/>
  <c r="J155" i="9" s="1"/>
  <c r="I109" i="32"/>
  <c r="J109" i="32" s="1"/>
  <c r="B110" i="32"/>
  <c r="S155" i="32"/>
  <c r="T155" i="32" s="1"/>
  <c r="P155" i="32" s="1"/>
  <c r="L156" i="32"/>
  <c r="C335" i="9"/>
  <c r="D334" i="9"/>
  <c r="L157" i="32" l="1"/>
  <c r="S156" i="32"/>
  <c r="T156" i="32" s="1"/>
  <c r="P156" i="32" s="1"/>
  <c r="I110" i="32"/>
  <c r="J110" i="32" s="1"/>
  <c r="B111" i="32"/>
  <c r="B157" i="9"/>
  <c r="I156" i="9"/>
  <c r="J156" i="9" s="1"/>
  <c r="S156" i="9"/>
  <c r="T156" i="9" s="1"/>
  <c r="P156" i="9" s="1"/>
  <c r="L157" i="9"/>
  <c r="C336" i="9"/>
  <c r="D335" i="9"/>
  <c r="B158" i="9" l="1"/>
  <c r="I157" i="9"/>
  <c r="J157" i="9" s="1"/>
  <c r="I111" i="32"/>
  <c r="J111" i="32" s="1"/>
  <c r="B112" i="32"/>
  <c r="S157" i="9"/>
  <c r="T157" i="9" s="1"/>
  <c r="P157" i="9" s="1"/>
  <c r="L158" i="9"/>
  <c r="S157" i="32"/>
  <c r="T157" i="32" s="1"/>
  <c r="P157" i="32" s="1"/>
  <c r="L158" i="32"/>
  <c r="C337" i="9"/>
  <c r="D336" i="9"/>
  <c r="L159" i="32" l="1"/>
  <c r="S158" i="32"/>
  <c r="T158" i="32" s="1"/>
  <c r="P158" i="32" s="1"/>
  <c r="S158" i="9"/>
  <c r="T158" i="9" s="1"/>
  <c r="P158" i="9" s="1"/>
  <c r="L159" i="9"/>
  <c r="B113" i="32"/>
  <c r="I112" i="32"/>
  <c r="J112" i="32" s="1"/>
  <c r="B159" i="9"/>
  <c r="I158" i="9"/>
  <c r="J158" i="9" s="1"/>
  <c r="C338" i="9"/>
  <c r="D337" i="9"/>
  <c r="I159" i="9" l="1"/>
  <c r="J159" i="9" s="1"/>
  <c r="B160" i="9"/>
  <c r="B114" i="32"/>
  <c r="I113" i="32"/>
  <c r="J113" i="32" s="1"/>
  <c r="S159" i="9"/>
  <c r="T159" i="9" s="1"/>
  <c r="P159" i="9" s="1"/>
  <c r="L160" i="9"/>
  <c r="L160" i="32"/>
  <c r="S159" i="32"/>
  <c r="T159" i="32" s="1"/>
  <c r="P159" i="32" s="1"/>
  <c r="C339" i="9"/>
  <c r="D338" i="9"/>
  <c r="S160" i="9" l="1"/>
  <c r="T160" i="9" s="1"/>
  <c r="P160" i="9" s="1"/>
  <c r="L161" i="9"/>
  <c r="B115" i="32"/>
  <c r="I114" i="32"/>
  <c r="J114" i="32" s="1"/>
  <c r="I160" i="9"/>
  <c r="J160" i="9" s="1"/>
  <c r="B161" i="9"/>
  <c r="S160" i="32"/>
  <c r="T160" i="32" s="1"/>
  <c r="P160" i="32" s="1"/>
  <c r="L161" i="32"/>
  <c r="C340" i="9"/>
  <c r="D339" i="9"/>
  <c r="L162" i="32" l="1"/>
  <c r="S161" i="32"/>
  <c r="T161" i="32" s="1"/>
  <c r="P161" i="32" s="1"/>
  <c r="B162" i="9"/>
  <c r="I161" i="9"/>
  <c r="J161" i="9" s="1"/>
  <c r="I115" i="32"/>
  <c r="J115" i="32" s="1"/>
  <c r="B116" i="32"/>
  <c r="S161" i="9"/>
  <c r="T161" i="9" s="1"/>
  <c r="P161" i="9" s="1"/>
  <c r="L162" i="9"/>
  <c r="C341" i="9"/>
  <c r="D340" i="9"/>
  <c r="I162" i="9" l="1"/>
  <c r="J162" i="9" s="1"/>
  <c r="B163" i="9"/>
  <c r="S162" i="9"/>
  <c r="T162" i="9" s="1"/>
  <c r="P162" i="9" s="1"/>
  <c r="L163" i="9"/>
  <c r="B117" i="32"/>
  <c r="I116" i="32"/>
  <c r="J116" i="32" s="1"/>
  <c r="L163" i="32"/>
  <c r="S162" i="32"/>
  <c r="T162" i="32" s="1"/>
  <c r="P162" i="32" s="1"/>
  <c r="C342" i="9"/>
  <c r="D341" i="9"/>
  <c r="L164" i="32" l="1"/>
  <c r="S163" i="32"/>
  <c r="T163" i="32" s="1"/>
  <c r="P163" i="32" s="1"/>
  <c r="B118" i="32"/>
  <c r="I117" i="32"/>
  <c r="J117" i="32" s="1"/>
  <c r="S163" i="9"/>
  <c r="T163" i="9" s="1"/>
  <c r="P163" i="9" s="1"/>
  <c r="L164" i="9"/>
  <c r="I163" i="9"/>
  <c r="J163" i="9" s="1"/>
  <c r="B164" i="9"/>
  <c r="C343" i="9"/>
  <c r="D342" i="9"/>
  <c r="B165" i="9" l="1"/>
  <c r="I164" i="9"/>
  <c r="J164" i="9" s="1"/>
  <c r="S164" i="9"/>
  <c r="T164" i="9" s="1"/>
  <c r="P164" i="9" s="1"/>
  <c r="L165" i="9"/>
  <c r="B119" i="32"/>
  <c r="I118" i="32"/>
  <c r="J118" i="32" s="1"/>
  <c r="L165" i="32"/>
  <c r="S164" i="32"/>
  <c r="T164" i="32" s="1"/>
  <c r="P164" i="32" s="1"/>
  <c r="C344" i="9"/>
  <c r="D343" i="9"/>
  <c r="L166" i="32" l="1"/>
  <c r="S165" i="32"/>
  <c r="T165" i="32" s="1"/>
  <c r="P165" i="32" s="1"/>
  <c r="B120" i="32"/>
  <c r="I119" i="32"/>
  <c r="J119" i="32" s="1"/>
  <c r="L166" i="9"/>
  <c r="S165" i="9"/>
  <c r="T165" i="9" s="1"/>
  <c r="P165" i="9" s="1"/>
  <c r="I165" i="9"/>
  <c r="J165" i="9" s="1"/>
  <c r="B166" i="9"/>
  <c r="C345" i="9"/>
  <c r="D344" i="9"/>
  <c r="S166" i="9" l="1"/>
  <c r="T166" i="9" s="1"/>
  <c r="P166" i="9" s="1"/>
  <c r="L167" i="9"/>
  <c r="B167" i="9"/>
  <c r="I166" i="9"/>
  <c r="J166" i="9" s="1"/>
  <c r="B121" i="32"/>
  <c r="I120" i="32"/>
  <c r="J120" i="32" s="1"/>
  <c r="L167" i="32"/>
  <c r="S166" i="32"/>
  <c r="T166" i="32" s="1"/>
  <c r="P166" i="32" s="1"/>
  <c r="C346" i="9"/>
  <c r="D345" i="9"/>
  <c r="B122" i="32" l="1"/>
  <c r="I121" i="32"/>
  <c r="J121" i="32" s="1"/>
  <c r="B168" i="9"/>
  <c r="I167" i="9"/>
  <c r="J167" i="9" s="1"/>
  <c r="S167" i="9"/>
  <c r="T167" i="9" s="1"/>
  <c r="P167" i="9" s="1"/>
  <c r="L168" i="9"/>
  <c r="S167" i="32"/>
  <c r="T167" i="32" s="1"/>
  <c r="P167" i="32" s="1"/>
  <c r="L168" i="32"/>
  <c r="C347" i="9"/>
  <c r="D346" i="9"/>
  <c r="S168" i="9" l="1"/>
  <c r="T168" i="9" s="1"/>
  <c r="P168" i="9" s="1"/>
  <c r="L169" i="9"/>
  <c r="I168" i="9"/>
  <c r="J168" i="9" s="1"/>
  <c r="B169" i="9"/>
  <c r="L169" i="32"/>
  <c r="S168" i="32"/>
  <c r="T168" i="32" s="1"/>
  <c r="P168" i="32" s="1"/>
  <c r="I122" i="32"/>
  <c r="J122" i="32" s="1"/>
  <c r="B123" i="32"/>
  <c r="C348" i="9"/>
  <c r="D347" i="9"/>
  <c r="S169" i="32" l="1"/>
  <c r="T169" i="32" s="1"/>
  <c r="P169" i="32" s="1"/>
  <c r="L170" i="32"/>
  <c r="B170" i="9"/>
  <c r="I169" i="9"/>
  <c r="J169" i="9" s="1"/>
  <c r="L170" i="9"/>
  <c r="S169" i="9"/>
  <c r="T169" i="9" s="1"/>
  <c r="P169" i="9" s="1"/>
  <c r="B124" i="32"/>
  <c r="I123" i="32"/>
  <c r="J123" i="32" s="1"/>
  <c r="C349" i="9"/>
  <c r="D348" i="9"/>
  <c r="L171" i="9" l="1"/>
  <c r="S170" i="9"/>
  <c r="T170" i="9" s="1"/>
  <c r="P170" i="9" s="1"/>
  <c r="B125" i="32"/>
  <c r="I124" i="32"/>
  <c r="J124" i="32" s="1"/>
  <c r="B171" i="9"/>
  <c r="I170" i="9"/>
  <c r="J170" i="9" s="1"/>
  <c r="S170" i="32"/>
  <c r="T170" i="32" s="1"/>
  <c r="P170" i="32" s="1"/>
  <c r="L171" i="32"/>
  <c r="C350" i="9"/>
  <c r="D349" i="9"/>
  <c r="L172" i="32" l="1"/>
  <c r="S171" i="32"/>
  <c r="T171" i="32" s="1"/>
  <c r="P171" i="32" s="1"/>
  <c r="I171" i="9"/>
  <c r="J171" i="9" s="1"/>
  <c r="B172" i="9"/>
  <c r="B126" i="32"/>
  <c r="I125" i="32"/>
  <c r="J125" i="32" s="1"/>
  <c r="L172" i="9"/>
  <c r="S171" i="9"/>
  <c r="T171" i="9" s="1"/>
  <c r="P171" i="9" s="1"/>
  <c r="C351" i="9"/>
  <c r="D350" i="9"/>
  <c r="I126" i="32" l="1"/>
  <c r="J126" i="32" s="1"/>
  <c r="B127" i="32"/>
  <c r="I172" i="9"/>
  <c r="J172" i="9" s="1"/>
  <c r="B173" i="9"/>
  <c r="S172" i="9"/>
  <c r="T172" i="9" s="1"/>
  <c r="P172" i="9" s="1"/>
  <c r="L173" i="9"/>
  <c r="S172" i="32"/>
  <c r="T172" i="32" s="1"/>
  <c r="P172" i="32" s="1"/>
  <c r="L173" i="32"/>
  <c r="C352" i="9"/>
  <c r="D351" i="9"/>
  <c r="S173" i="32" l="1"/>
  <c r="T173" i="32" s="1"/>
  <c r="P173" i="32" s="1"/>
  <c r="L174" i="32"/>
  <c r="S173" i="9"/>
  <c r="T173" i="9" s="1"/>
  <c r="P173" i="9" s="1"/>
  <c r="L174" i="9"/>
  <c r="B174" i="9"/>
  <c r="I173" i="9"/>
  <c r="J173" i="9" s="1"/>
  <c r="B128" i="32"/>
  <c r="I127" i="32"/>
  <c r="J127" i="32" s="1"/>
  <c r="C353" i="9"/>
  <c r="D352" i="9"/>
  <c r="I128" i="32" l="1"/>
  <c r="J128" i="32" s="1"/>
  <c r="B129" i="32"/>
  <c r="B175" i="9"/>
  <c r="I174" i="9"/>
  <c r="J174" i="9" s="1"/>
  <c r="S174" i="9"/>
  <c r="T174" i="9" s="1"/>
  <c r="P174" i="9" s="1"/>
  <c r="L175" i="9"/>
  <c r="S174" i="32"/>
  <c r="T174" i="32" s="1"/>
  <c r="P174" i="32" s="1"/>
  <c r="L175" i="32"/>
  <c r="C354" i="9"/>
  <c r="D353" i="9"/>
  <c r="L176" i="32" l="1"/>
  <c r="S175" i="32"/>
  <c r="T175" i="32" s="1"/>
  <c r="P175" i="32" s="1"/>
  <c r="S175" i="9"/>
  <c r="T175" i="9" s="1"/>
  <c r="P175" i="9" s="1"/>
  <c r="L176" i="9"/>
  <c r="I175" i="9"/>
  <c r="J175" i="9" s="1"/>
  <c r="B176" i="9"/>
  <c r="I129" i="32"/>
  <c r="J129" i="32" s="1"/>
  <c r="B130" i="32"/>
  <c r="C355" i="9"/>
  <c r="D354" i="9"/>
  <c r="B177" i="9" l="1"/>
  <c r="I176" i="9"/>
  <c r="J176" i="9" s="1"/>
  <c r="L177" i="9"/>
  <c r="S176" i="9"/>
  <c r="T176" i="9" s="1"/>
  <c r="P176" i="9" s="1"/>
  <c r="B131" i="32"/>
  <c r="I130" i="32"/>
  <c r="J130" i="32" s="1"/>
  <c r="L177" i="32"/>
  <c r="S176" i="32"/>
  <c r="T176" i="32" s="1"/>
  <c r="P176" i="32" s="1"/>
  <c r="C356" i="9"/>
  <c r="D355" i="9"/>
  <c r="L178" i="32" l="1"/>
  <c r="S177" i="32"/>
  <c r="T177" i="32" s="1"/>
  <c r="P177" i="32" s="1"/>
  <c r="I131" i="32"/>
  <c r="J131" i="32" s="1"/>
  <c r="B132" i="32"/>
  <c r="S177" i="9"/>
  <c r="T177" i="9" s="1"/>
  <c r="P177" i="9" s="1"/>
  <c r="L178" i="9"/>
  <c r="B178" i="9"/>
  <c r="I177" i="9"/>
  <c r="J177" i="9" s="1"/>
  <c r="C357" i="9"/>
  <c r="D356" i="9"/>
  <c r="I178" i="9" l="1"/>
  <c r="J178" i="9" s="1"/>
  <c r="B179" i="9"/>
  <c r="B133" i="32"/>
  <c r="I132" i="32"/>
  <c r="J132" i="32" s="1"/>
  <c r="S178" i="9"/>
  <c r="T178" i="9" s="1"/>
  <c r="P178" i="9" s="1"/>
  <c r="L179" i="9"/>
  <c r="L179" i="32"/>
  <c r="S178" i="32"/>
  <c r="T178" i="32" s="1"/>
  <c r="P178" i="32" s="1"/>
  <c r="C358" i="9"/>
  <c r="D357" i="9"/>
  <c r="L180" i="9" l="1"/>
  <c r="S179" i="9"/>
  <c r="T179" i="9" s="1"/>
  <c r="P179" i="9" s="1"/>
  <c r="B134" i="32"/>
  <c r="I133" i="32"/>
  <c r="J133" i="32" s="1"/>
  <c r="B180" i="9"/>
  <c r="I179" i="9"/>
  <c r="J179" i="9" s="1"/>
  <c r="L180" i="32"/>
  <c r="S179" i="32"/>
  <c r="T179" i="32" s="1"/>
  <c r="P179" i="32" s="1"/>
  <c r="C359" i="9"/>
  <c r="D358" i="9"/>
  <c r="I180" i="9" l="1"/>
  <c r="J180" i="9" s="1"/>
  <c r="B181" i="9"/>
  <c r="L181" i="32"/>
  <c r="S180" i="32"/>
  <c r="T180" i="32" s="1"/>
  <c r="P180" i="32" s="1"/>
  <c r="I134" i="32"/>
  <c r="J134" i="32" s="1"/>
  <c r="B135" i="32"/>
  <c r="S180" i="9"/>
  <c r="T180" i="9" s="1"/>
  <c r="P180" i="9" s="1"/>
  <c r="L181" i="9"/>
  <c r="C360" i="9"/>
  <c r="D359" i="9"/>
  <c r="L182" i="9" l="1"/>
  <c r="S181" i="9"/>
  <c r="T181" i="9" s="1"/>
  <c r="P181" i="9" s="1"/>
  <c r="I135" i="32"/>
  <c r="J135" i="32" s="1"/>
  <c r="B136" i="32"/>
  <c r="L182" i="32"/>
  <c r="S181" i="32"/>
  <c r="T181" i="32" s="1"/>
  <c r="P181" i="32" s="1"/>
  <c r="B182" i="9"/>
  <c r="I181" i="9"/>
  <c r="J181" i="9" s="1"/>
  <c r="C361" i="9"/>
  <c r="D360" i="9"/>
  <c r="I182" i="9" l="1"/>
  <c r="J182" i="9" s="1"/>
  <c r="B183" i="9"/>
  <c r="S182" i="32"/>
  <c r="T182" i="32" s="1"/>
  <c r="P182" i="32" s="1"/>
  <c r="L183" i="32"/>
  <c r="I136" i="32"/>
  <c r="J136" i="32" s="1"/>
  <c r="B137" i="32"/>
  <c r="L183" i="9"/>
  <c r="S182" i="9"/>
  <c r="T182" i="9" s="1"/>
  <c r="P182" i="9" s="1"/>
  <c r="C362" i="9"/>
  <c r="D361" i="9"/>
  <c r="I137" i="32" l="1"/>
  <c r="J137" i="32" s="1"/>
  <c r="B138" i="32"/>
  <c r="S183" i="32"/>
  <c r="T183" i="32" s="1"/>
  <c r="P183" i="32" s="1"/>
  <c r="L184" i="32"/>
  <c r="I183" i="9"/>
  <c r="J183" i="9" s="1"/>
  <c r="B184" i="9"/>
  <c r="S183" i="9"/>
  <c r="T183" i="9" s="1"/>
  <c r="P183" i="9" s="1"/>
  <c r="L184" i="9"/>
  <c r="C363" i="9"/>
  <c r="D362" i="9"/>
  <c r="L185" i="9" l="1"/>
  <c r="S184" i="9"/>
  <c r="T184" i="9" s="1"/>
  <c r="P184" i="9" s="1"/>
  <c r="L185" i="32"/>
  <c r="S184" i="32"/>
  <c r="T184" i="32" s="1"/>
  <c r="P184" i="32" s="1"/>
  <c r="I138" i="32"/>
  <c r="J138" i="32" s="1"/>
  <c r="B139" i="32"/>
  <c r="B185" i="9"/>
  <c r="I184" i="9"/>
  <c r="J184" i="9" s="1"/>
  <c r="C364" i="9"/>
  <c r="D363" i="9"/>
  <c r="B186" i="9" l="1"/>
  <c r="I185" i="9"/>
  <c r="J185" i="9" s="1"/>
  <c r="I139" i="32"/>
  <c r="J139" i="32" s="1"/>
  <c r="B140" i="32"/>
  <c r="S185" i="32"/>
  <c r="T185" i="32" s="1"/>
  <c r="P185" i="32" s="1"/>
  <c r="L186" i="32"/>
  <c r="L186" i="9"/>
  <c r="S185" i="9"/>
  <c r="T185" i="9" s="1"/>
  <c r="P185" i="9" s="1"/>
  <c r="C365" i="9"/>
  <c r="D364" i="9"/>
  <c r="L187" i="9" l="1"/>
  <c r="S186" i="9"/>
  <c r="T186" i="9" s="1"/>
  <c r="P186" i="9" s="1"/>
  <c r="S186" i="32"/>
  <c r="T186" i="32" s="1"/>
  <c r="P186" i="32" s="1"/>
  <c r="L187" i="32"/>
  <c r="B141" i="32"/>
  <c r="I140" i="32"/>
  <c r="J140" i="32" s="1"/>
  <c r="I186" i="9"/>
  <c r="J186" i="9" s="1"/>
  <c r="B187" i="9"/>
  <c r="C366" i="9"/>
  <c r="D366" i="9" s="1"/>
  <c r="D365" i="9"/>
  <c r="B188" i="9" l="1"/>
  <c r="I187" i="9"/>
  <c r="J187" i="9" s="1"/>
  <c r="B142" i="32"/>
  <c r="I141" i="32"/>
  <c r="J141" i="32" s="1"/>
  <c r="S187" i="32"/>
  <c r="T187" i="32" s="1"/>
  <c r="P187" i="32" s="1"/>
  <c r="L188" i="32"/>
  <c r="S187" i="9"/>
  <c r="T187" i="9" s="1"/>
  <c r="P187" i="9" s="1"/>
  <c r="L188" i="9"/>
  <c r="L189" i="32" l="1"/>
  <c r="S188" i="32"/>
  <c r="T188" i="32" s="1"/>
  <c r="P188" i="32" s="1"/>
  <c r="I142" i="32"/>
  <c r="J142" i="32" s="1"/>
  <c r="B143" i="32"/>
  <c r="L189" i="9"/>
  <c r="S188" i="9"/>
  <c r="T188" i="9" s="1"/>
  <c r="P188" i="9" s="1"/>
  <c r="I188" i="9"/>
  <c r="J188" i="9" s="1"/>
  <c r="B189" i="9"/>
  <c r="B190" i="9" l="1"/>
  <c r="I189" i="9"/>
  <c r="J189" i="9" s="1"/>
  <c r="S189" i="9"/>
  <c r="T189" i="9" s="1"/>
  <c r="P189" i="9" s="1"/>
  <c r="L190" i="9"/>
  <c r="B144" i="32"/>
  <c r="I143" i="32"/>
  <c r="J143" i="32" s="1"/>
  <c r="S189" i="32"/>
  <c r="T189" i="32" s="1"/>
  <c r="P189" i="32" s="1"/>
  <c r="L190" i="32"/>
  <c r="B145" i="32" l="1"/>
  <c r="I144" i="32"/>
  <c r="J144" i="32" s="1"/>
  <c r="L191" i="9"/>
  <c r="S190" i="9"/>
  <c r="T190" i="9" s="1"/>
  <c r="P190" i="9" s="1"/>
  <c r="S190" i="32"/>
  <c r="T190" i="32" s="1"/>
  <c r="P190" i="32" s="1"/>
  <c r="L191" i="32"/>
  <c r="I190" i="9"/>
  <c r="J190" i="9" s="1"/>
  <c r="B191" i="9"/>
  <c r="S191" i="9" l="1"/>
  <c r="T191" i="9" s="1"/>
  <c r="P191" i="9" s="1"/>
  <c r="L192" i="9"/>
  <c r="B192" i="9"/>
  <c r="I191" i="9"/>
  <c r="J191" i="9" s="1"/>
  <c r="S191" i="32"/>
  <c r="T191" i="32" s="1"/>
  <c r="P191" i="32" s="1"/>
  <c r="L192" i="32"/>
  <c r="B146" i="32"/>
  <c r="I145" i="32"/>
  <c r="J145" i="32" s="1"/>
  <c r="L193" i="32" l="1"/>
  <c r="S192" i="32"/>
  <c r="T192" i="32" s="1"/>
  <c r="P192" i="32" s="1"/>
  <c r="B193" i="9"/>
  <c r="I192" i="9"/>
  <c r="J192" i="9" s="1"/>
  <c r="S192" i="9"/>
  <c r="T192" i="9" s="1"/>
  <c r="P192" i="9" s="1"/>
  <c r="L193" i="9"/>
  <c r="B147" i="32"/>
  <c r="I146" i="32"/>
  <c r="J146" i="32" s="1"/>
  <c r="B148" i="32" l="1"/>
  <c r="I147" i="32"/>
  <c r="J147" i="32" s="1"/>
  <c r="B194" i="9"/>
  <c r="I193" i="9"/>
  <c r="J193" i="9" s="1"/>
  <c r="S193" i="9"/>
  <c r="T193" i="9" s="1"/>
  <c r="P193" i="9" s="1"/>
  <c r="L194" i="9"/>
  <c r="L194" i="32"/>
  <c r="S193" i="32"/>
  <c r="T193" i="32" s="1"/>
  <c r="P193" i="32" s="1"/>
  <c r="S194" i="9" l="1"/>
  <c r="T194" i="9" s="1"/>
  <c r="P194" i="9" s="1"/>
  <c r="L195" i="9"/>
  <c r="I194" i="9"/>
  <c r="J194" i="9" s="1"/>
  <c r="B195" i="9"/>
  <c r="L195" i="32"/>
  <c r="S194" i="32"/>
  <c r="T194" i="32" s="1"/>
  <c r="P194" i="32" s="1"/>
  <c r="B149" i="32"/>
  <c r="I148" i="32"/>
  <c r="J148" i="32" s="1"/>
  <c r="S195" i="32" l="1"/>
  <c r="T195" i="32" s="1"/>
  <c r="P195" i="32" s="1"/>
  <c r="L196" i="32"/>
  <c r="I149" i="32"/>
  <c r="J149" i="32" s="1"/>
  <c r="B150" i="32"/>
  <c r="B196" i="9"/>
  <c r="I195" i="9"/>
  <c r="J195" i="9" s="1"/>
  <c r="L196" i="9"/>
  <c r="S195" i="9"/>
  <c r="T195" i="9" s="1"/>
  <c r="P195" i="9" s="1"/>
  <c r="I196" i="9" l="1"/>
  <c r="J196" i="9" s="1"/>
  <c r="B197" i="9"/>
  <c r="B151" i="32"/>
  <c r="I150" i="32"/>
  <c r="J150" i="32" s="1"/>
  <c r="L197" i="9"/>
  <c r="S196" i="9"/>
  <c r="T196" i="9" s="1"/>
  <c r="P196" i="9" s="1"/>
  <c r="S196" i="32"/>
  <c r="T196" i="32" s="1"/>
  <c r="P196" i="32" s="1"/>
  <c r="L197" i="32"/>
  <c r="L198" i="32" l="1"/>
  <c r="S197" i="32"/>
  <c r="T197" i="32" s="1"/>
  <c r="P197" i="32" s="1"/>
  <c r="B152" i="32"/>
  <c r="I151" i="32"/>
  <c r="J151" i="32" s="1"/>
  <c r="S197" i="9"/>
  <c r="T197" i="9" s="1"/>
  <c r="P197" i="9" s="1"/>
  <c r="L198" i="9"/>
  <c r="B198" i="9"/>
  <c r="I197" i="9"/>
  <c r="J197" i="9" s="1"/>
  <c r="B199" i="9" l="1"/>
  <c r="I198" i="9"/>
  <c r="J198" i="9" s="1"/>
  <c r="S198" i="9"/>
  <c r="T198" i="9" s="1"/>
  <c r="P198" i="9" s="1"/>
  <c r="L199" i="9"/>
  <c r="B153" i="32"/>
  <c r="I152" i="32"/>
  <c r="J152" i="32" s="1"/>
  <c r="S198" i="32"/>
  <c r="T198" i="32" s="1"/>
  <c r="P198" i="32" s="1"/>
  <c r="L199" i="32"/>
  <c r="B154" i="32" l="1"/>
  <c r="I153" i="32"/>
  <c r="J153" i="32" s="1"/>
  <c r="L200" i="9"/>
  <c r="S199" i="9"/>
  <c r="T199" i="9" s="1"/>
  <c r="P199" i="9" s="1"/>
  <c r="S199" i="32"/>
  <c r="T199" i="32" s="1"/>
  <c r="P199" i="32" s="1"/>
  <c r="L200" i="32"/>
  <c r="B200" i="9"/>
  <c r="I199" i="9"/>
  <c r="J199" i="9" s="1"/>
  <c r="L201" i="9" l="1"/>
  <c r="S200" i="9"/>
  <c r="T200" i="9" s="1"/>
  <c r="P200" i="9" s="1"/>
  <c r="I200" i="9"/>
  <c r="J200" i="9" s="1"/>
  <c r="B201" i="9"/>
  <c r="L201" i="32"/>
  <c r="S200" i="32"/>
  <c r="T200" i="32" s="1"/>
  <c r="P200" i="32" s="1"/>
  <c r="I154" i="32"/>
  <c r="J154" i="32" s="1"/>
  <c r="B155" i="32"/>
  <c r="L202" i="32" l="1"/>
  <c r="S201" i="32"/>
  <c r="T201" i="32" s="1"/>
  <c r="P201" i="32" s="1"/>
  <c r="B202" i="9"/>
  <c r="I201" i="9"/>
  <c r="J201" i="9" s="1"/>
  <c r="B156" i="32"/>
  <c r="I155" i="32"/>
  <c r="J155" i="32" s="1"/>
  <c r="S201" i="9"/>
  <c r="T201" i="9" s="1"/>
  <c r="P201" i="9" s="1"/>
  <c r="L202" i="9"/>
  <c r="S202" i="9" l="1"/>
  <c r="T202" i="9" s="1"/>
  <c r="P202" i="9" s="1"/>
  <c r="L203" i="9"/>
  <c r="I156" i="32"/>
  <c r="J156" i="32" s="1"/>
  <c r="B157" i="32"/>
  <c r="B203" i="9"/>
  <c r="I202" i="9"/>
  <c r="J202" i="9" s="1"/>
  <c r="S202" i="32"/>
  <c r="T202" i="32" s="1"/>
  <c r="P202" i="32" s="1"/>
  <c r="L203" i="32"/>
  <c r="L204" i="32" l="1"/>
  <c r="S203" i="32"/>
  <c r="T203" i="32" s="1"/>
  <c r="P203" i="32" s="1"/>
  <c r="I203" i="9"/>
  <c r="J203" i="9" s="1"/>
  <c r="B204" i="9"/>
  <c r="B158" i="32"/>
  <c r="I157" i="32"/>
  <c r="J157" i="32" s="1"/>
  <c r="L204" i="9"/>
  <c r="S203" i="9"/>
  <c r="T203" i="9" s="1"/>
  <c r="P203" i="9" s="1"/>
  <c r="B159" i="32" l="1"/>
  <c r="I158" i="32"/>
  <c r="J158" i="32" s="1"/>
  <c r="B205" i="9"/>
  <c r="I204" i="9"/>
  <c r="J204" i="9" s="1"/>
  <c r="S204" i="9"/>
  <c r="T204" i="9" s="1"/>
  <c r="P204" i="9" s="1"/>
  <c r="L205" i="9"/>
  <c r="S204" i="32"/>
  <c r="T204" i="32" s="1"/>
  <c r="P204" i="32" s="1"/>
  <c r="L205" i="32"/>
  <c r="L206" i="9" l="1"/>
  <c r="S205" i="9"/>
  <c r="T205" i="9" s="1"/>
  <c r="P205" i="9" s="1"/>
  <c r="L206" i="32"/>
  <c r="S205" i="32"/>
  <c r="T205" i="32" s="1"/>
  <c r="P205" i="32" s="1"/>
  <c r="B206" i="9"/>
  <c r="I205" i="9"/>
  <c r="J205" i="9" s="1"/>
  <c r="B160" i="32"/>
  <c r="I159" i="32"/>
  <c r="J159" i="32" s="1"/>
  <c r="I160" i="32" l="1"/>
  <c r="J160" i="32" s="1"/>
  <c r="B161" i="32"/>
  <c r="I206" i="9"/>
  <c r="J206" i="9" s="1"/>
  <c r="B207" i="9"/>
  <c r="L207" i="32"/>
  <c r="S206" i="32"/>
  <c r="T206" i="32" s="1"/>
  <c r="P206" i="32" s="1"/>
  <c r="L207" i="9"/>
  <c r="S206" i="9"/>
  <c r="T206" i="9" s="1"/>
  <c r="P206" i="9" s="1"/>
  <c r="L208" i="9" l="1"/>
  <c r="S207" i="9"/>
  <c r="T207" i="9" s="1"/>
  <c r="P207" i="9" s="1"/>
  <c r="L208" i="32"/>
  <c r="S207" i="32"/>
  <c r="T207" i="32" s="1"/>
  <c r="P207" i="32" s="1"/>
  <c r="I207" i="9"/>
  <c r="J207" i="9" s="1"/>
  <c r="B208" i="9"/>
  <c r="B162" i="32"/>
  <c r="I161" i="32"/>
  <c r="J161" i="32" s="1"/>
  <c r="I162" i="32" l="1"/>
  <c r="J162" i="32" s="1"/>
  <c r="B163" i="32"/>
  <c r="L209" i="32"/>
  <c r="S208" i="32"/>
  <c r="T208" i="32" s="1"/>
  <c r="P208" i="32" s="1"/>
  <c r="B209" i="9"/>
  <c r="I208" i="9"/>
  <c r="J208" i="9" s="1"/>
  <c r="S208" i="9"/>
  <c r="T208" i="9" s="1"/>
  <c r="P208" i="9" s="1"/>
  <c r="L209" i="9"/>
  <c r="B210" i="9" l="1"/>
  <c r="I209" i="9"/>
  <c r="J209" i="9" s="1"/>
  <c r="L210" i="9"/>
  <c r="S209" i="9"/>
  <c r="T209" i="9" s="1"/>
  <c r="P209" i="9" s="1"/>
  <c r="L210" i="32"/>
  <c r="S209" i="32"/>
  <c r="T209" i="32" s="1"/>
  <c r="P209" i="32" s="1"/>
  <c r="I163" i="32"/>
  <c r="J163" i="32" s="1"/>
  <c r="B164" i="32"/>
  <c r="L211" i="32" l="1"/>
  <c r="S210" i="32"/>
  <c r="T210" i="32" s="1"/>
  <c r="P210" i="32" s="1"/>
  <c r="S210" i="9"/>
  <c r="T210" i="9" s="1"/>
  <c r="P210" i="9" s="1"/>
  <c r="L211" i="9"/>
  <c r="B165" i="32"/>
  <c r="I164" i="32"/>
  <c r="J164" i="32" s="1"/>
  <c r="B211" i="9"/>
  <c r="I210" i="9"/>
  <c r="J210" i="9" s="1"/>
  <c r="I211" i="9" l="1"/>
  <c r="J211" i="9" s="1"/>
  <c r="B212" i="9"/>
  <c r="I165" i="32"/>
  <c r="J165" i="32" s="1"/>
  <c r="B166" i="32"/>
  <c r="S211" i="9"/>
  <c r="T211" i="9" s="1"/>
  <c r="P211" i="9" s="1"/>
  <c r="L212" i="9"/>
  <c r="S211" i="32"/>
  <c r="T211" i="32" s="1"/>
  <c r="P211" i="32" s="1"/>
  <c r="L212" i="32"/>
  <c r="S212" i="32" l="1"/>
  <c r="T212" i="32" s="1"/>
  <c r="P212" i="32" s="1"/>
  <c r="L213" i="32"/>
  <c r="B167" i="32"/>
  <c r="I166" i="32"/>
  <c r="J166" i="32" s="1"/>
  <c r="I212" i="9"/>
  <c r="J212" i="9" s="1"/>
  <c r="B213" i="9"/>
  <c r="S212" i="9"/>
  <c r="T212" i="9" s="1"/>
  <c r="P212" i="9" s="1"/>
  <c r="L213" i="9"/>
  <c r="L214" i="9" l="1"/>
  <c r="S213" i="9"/>
  <c r="T213" i="9" s="1"/>
  <c r="P213" i="9" s="1"/>
  <c r="I213" i="9"/>
  <c r="J213" i="9" s="1"/>
  <c r="B214" i="9"/>
  <c r="B168" i="32"/>
  <c r="I167" i="32"/>
  <c r="J167" i="32" s="1"/>
  <c r="S213" i="32"/>
  <c r="T213" i="32" s="1"/>
  <c r="P213" i="32" s="1"/>
  <c r="L214" i="32"/>
  <c r="L215" i="32" l="1"/>
  <c r="S214" i="32"/>
  <c r="T214" i="32" s="1"/>
  <c r="P214" i="32" s="1"/>
  <c r="B169" i="32"/>
  <c r="I168" i="32"/>
  <c r="J168" i="32" s="1"/>
  <c r="I214" i="9"/>
  <c r="J214" i="9" s="1"/>
  <c r="B215" i="9"/>
  <c r="S214" i="9"/>
  <c r="T214" i="9" s="1"/>
  <c r="P214" i="9" s="1"/>
  <c r="L215" i="9"/>
  <c r="I215" i="9" l="1"/>
  <c r="J215" i="9" s="1"/>
  <c r="B216" i="9"/>
  <c r="S215" i="9"/>
  <c r="T215" i="9" s="1"/>
  <c r="P215" i="9" s="1"/>
  <c r="L216" i="9"/>
  <c r="B170" i="32"/>
  <c r="I169" i="32"/>
  <c r="J169" i="32" s="1"/>
  <c r="L216" i="32"/>
  <c r="S215" i="32"/>
  <c r="T215" i="32" s="1"/>
  <c r="P215" i="32" s="1"/>
  <c r="L217" i="32" l="1"/>
  <c r="S216" i="32"/>
  <c r="T216" i="32" s="1"/>
  <c r="P216" i="32" s="1"/>
  <c r="S216" i="9"/>
  <c r="T216" i="9" s="1"/>
  <c r="P216" i="9" s="1"/>
  <c r="L217" i="9"/>
  <c r="I170" i="32"/>
  <c r="J170" i="32" s="1"/>
  <c r="B171" i="32"/>
  <c r="I216" i="9"/>
  <c r="J216" i="9" s="1"/>
  <c r="B217" i="9"/>
  <c r="S217" i="9" l="1"/>
  <c r="T217" i="9" s="1"/>
  <c r="P217" i="9" s="1"/>
  <c r="L218" i="9"/>
  <c r="I171" i="32"/>
  <c r="J171" i="32" s="1"/>
  <c r="B172" i="32"/>
  <c r="B218" i="9"/>
  <c r="I217" i="9"/>
  <c r="J217" i="9" s="1"/>
  <c r="S217" i="32"/>
  <c r="T217" i="32" s="1"/>
  <c r="P217" i="32" s="1"/>
  <c r="L218" i="32"/>
  <c r="L219" i="32" l="1"/>
  <c r="S218" i="32"/>
  <c r="T218" i="32" s="1"/>
  <c r="P218" i="32" s="1"/>
  <c r="I218" i="9"/>
  <c r="J218" i="9" s="1"/>
  <c r="B219" i="9"/>
  <c r="I172" i="32"/>
  <c r="J172" i="32" s="1"/>
  <c r="B173" i="32"/>
  <c r="S218" i="9"/>
  <c r="T218" i="9" s="1"/>
  <c r="P218" i="9" s="1"/>
  <c r="L219" i="9"/>
  <c r="B174" i="32" l="1"/>
  <c r="I173" i="32"/>
  <c r="J173" i="32" s="1"/>
  <c r="B220" i="9"/>
  <c r="I219" i="9"/>
  <c r="J219" i="9" s="1"/>
  <c r="L220" i="9"/>
  <c r="S219" i="9"/>
  <c r="T219" i="9" s="1"/>
  <c r="P219" i="9" s="1"/>
  <c r="S219" i="32"/>
  <c r="T219" i="32" s="1"/>
  <c r="P219" i="32" s="1"/>
  <c r="L220" i="32"/>
  <c r="S220" i="9" l="1"/>
  <c r="T220" i="9" s="1"/>
  <c r="P220" i="9" s="1"/>
  <c r="L221" i="9"/>
  <c r="I220" i="9"/>
  <c r="J220" i="9" s="1"/>
  <c r="B221" i="9"/>
  <c r="S220" i="32"/>
  <c r="T220" i="32" s="1"/>
  <c r="P220" i="32" s="1"/>
  <c r="L221" i="32"/>
  <c r="I174" i="32"/>
  <c r="J174" i="32" s="1"/>
  <c r="B175" i="32"/>
  <c r="L222" i="32" l="1"/>
  <c r="S221" i="32"/>
  <c r="T221" i="32" s="1"/>
  <c r="P221" i="32" s="1"/>
  <c r="I221" i="9"/>
  <c r="J221" i="9" s="1"/>
  <c r="B222" i="9"/>
  <c r="L222" i="9"/>
  <c r="S221" i="9"/>
  <c r="T221" i="9" s="1"/>
  <c r="P221" i="9" s="1"/>
  <c r="I175" i="32"/>
  <c r="J175" i="32" s="1"/>
  <c r="B176" i="32"/>
  <c r="L223" i="9" l="1"/>
  <c r="S222" i="9"/>
  <c r="T222" i="9" s="1"/>
  <c r="P222" i="9" s="1"/>
  <c r="B177" i="32"/>
  <c r="I176" i="32"/>
  <c r="J176" i="32" s="1"/>
  <c r="B223" i="9"/>
  <c r="I222" i="9"/>
  <c r="J222" i="9" s="1"/>
  <c r="L223" i="32"/>
  <c r="S222" i="32"/>
  <c r="T222" i="32" s="1"/>
  <c r="P222" i="32" s="1"/>
  <c r="I223" i="9" l="1"/>
  <c r="J223" i="9" s="1"/>
  <c r="B224" i="9"/>
  <c r="I177" i="32"/>
  <c r="J177" i="32" s="1"/>
  <c r="B178" i="32"/>
  <c r="S223" i="32"/>
  <c r="T223" i="32" s="1"/>
  <c r="P223" i="32" s="1"/>
  <c r="L224" i="32"/>
  <c r="S223" i="9"/>
  <c r="T223" i="9" s="1"/>
  <c r="P223" i="9" s="1"/>
  <c r="L224" i="9"/>
  <c r="L225" i="32" l="1"/>
  <c r="S224" i="32"/>
  <c r="T224" i="32" s="1"/>
  <c r="P224" i="32" s="1"/>
  <c r="I178" i="32"/>
  <c r="J178" i="32" s="1"/>
  <c r="B179" i="32"/>
  <c r="I224" i="9"/>
  <c r="J224" i="9" s="1"/>
  <c r="B225" i="9"/>
  <c r="L225" i="9"/>
  <c r="S224" i="9"/>
  <c r="T224" i="9" s="1"/>
  <c r="P224" i="9" s="1"/>
  <c r="B226" i="9" l="1"/>
  <c r="I225" i="9"/>
  <c r="J225" i="9" s="1"/>
  <c r="I179" i="32"/>
  <c r="J179" i="32" s="1"/>
  <c r="B180" i="32"/>
  <c r="L226" i="9"/>
  <c r="S225" i="9"/>
  <c r="T225" i="9" s="1"/>
  <c r="P225" i="9" s="1"/>
  <c r="L226" i="32"/>
  <c r="S225" i="32"/>
  <c r="T225" i="32" s="1"/>
  <c r="P225" i="32" s="1"/>
  <c r="L227" i="9" l="1"/>
  <c r="S226" i="9"/>
  <c r="T226" i="9" s="1"/>
  <c r="P226" i="9" s="1"/>
  <c r="S226" i="32"/>
  <c r="T226" i="32" s="1"/>
  <c r="P226" i="32" s="1"/>
  <c r="L227" i="32"/>
  <c r="I180" i="32"/>
  <c r="J180" i="32" s="1"/>
  <c r="B181" i="32"/>
  <c r="I226" i="9"/>
  <c r="J226" i="9" s="1"/>
  <c r="B227" i="9"/>
  <c r="B228" i="9" l="1"/>
  <c r="I227" i="9"/>
  <c r="J227" i="9" s="1"/>
  <c r="B182" i="32"/>
  <c r="I181" i="32"/>
  <c r="J181" i="32" s="1"/>
  <c r="L228" i="32"/>
  <c r="S227" i="32"/>
  <c r="T227" i="32" s="1"/>
  <c r="P227" i="32" s="1"/>
  <c r="S227" i="9"/>
  <c r="T227" i="9" s="1"/>
  <c r="P227" i="9" s="1"/>
  <c r="L228" i="9"/>
  <c r="S228" i="32" l="1"/>
  <c r="T228" i="32" s="1"/>
  <c r="P228" i="32" s="1"/>
  <c r="L229" i="32"/>
  <c r="S228" i="9"/>
  <c r="T228" i="9" s="1"/>
  <c r="P228" i="9" s="1"/>
  <c r="L229" i="9"/>
  <c r="I182" i="32"/>
  <c r="J182" i="32" s="1"/>
  <c r="B183" i="32"/>
  <c r="B229" i="9"/>
  <c r="I228" i="9"/>
  <c r="J228" i="9" s="1"/>
  <c r="I183" i="32" l="1"/>
  <c r="J183" i="32" s="1"/>
  <c r="B184" i="32"/>
  <c r="L230" i="9"/>
  <c r="S229" i="9"/>
  <c r="T229" i="9" s="1"/>
  <c r="P229" i="9" s="1"/>
  <c r="B230" i="9"/>
  <c r="I229" i="9"/>
  <c r="J229" i="9" s="1"/>
  <c r="S229" i="32"/>
  <c r="T229" i="32" s="1"/>
  <c r="P229" i="32" s="1"/>
  <c r="L230" i="32"/>
  <c r="B231" i="9" l="1"/>
  <c r="I230" i="9"/>
  <c r="J230" i="9" s="1"/>
  <c r="L231" i="32"/>
  <c r="S230" i="32"/>
  <c r="T230" i="32" s="1"/>
  <c r="P230" i="32" s="1"/>
  <c r="S230" i="9"/>
  <c r="T230" i="9" s="1"/>
  <c r="P230" i="9" s="1"/>
  <c r="L231" i="9"/>
  <c r="B185" i="32"/>
  <c r="I184" i="32"/>
  <c r="J184" i="32" s="1"/>
  <c r="S231" i="9" l="1"/>
  <c r="T231" i="9" s="1"/>
  <c r="P231" i="9" s="1"/>
  <c r="L232" i="9"/>
  <c r="B186" i="32"/>
  <c r="I185" i="32"/>
  <c r="J185" i="32" s="1"/>
  <c r="S231" i="32"/>
  <c r="T231" i="32" s="1"/>
  <c r="P231" i="32" s="1"/>
  <c r="L232" i="32"/>
  <c r="B232" i="9"/>
  <c r="I231" i="9"/>
  <c r="J231" i="9" s="1"/>
  <c r="B233" i="9" l="1"/>
  <c r="I232" i="9"/>
  <c r="J232" i="9" s="1"/>
  <c r="I186" i="32"/>
  <c r="J186" i="32" s="1"/>
  <c r="B187" i="32"/>
  <c r="L233" i="9"/>
  <c r="S232" i="9"/>
  <c r="T232" i="9" s="1"/>
  <c r="P232" i="9" s="1"/>
  <c r="L233" i="32"/>
  <c r="S232" i="32"/>
  <c r="T232" i="32" s="1"/>
  <c r="P232" i="32" s="1"/>
  <c r="S233" i="9" l="1"/>
  <c r="T233" i="9" s="1"/>
  <c r="P233" i="9" s="1"/>
  <c r="L234" i="9"/>
  <c r="I187" i="32"/>
  <c r="J187" i="32" s="1"/>
  <c r="B188" i="32"/>
  <c r="L234" i="32"/>
  <c r="S233" i="32"/>
  <c r="T233" i="32" s="1"/>
  <c r="P233" i="32" s="1"/>
  <c r="B234" i="9"/>
  <c r="I233" i="9"/>
  <c r="J233" i="9" s="1"/>
  <c r="S234" i="32" l="1"/>
  <c r="T234" i="32" s="1"/>
  <c r="P234" i="32" s="1"/>
  <c r="L235" i="32"/>
  <c r="I188" i="32"/>
  <c r="J188" i="32" s="1"/>
  <c r="B189" i="32"/>
  <c r="S234" i="9"/>
  <c r="T234" i="9" s="1"/>
  <c r="P234" i="9" s="1"/>
  <c r="L235" i="9"/>
  <c r="I234" i="9"/>
  <c r="J234" i="9" s="1"/>
  <c r="B235" i="9"/>
  <c r="L236" i="9" l="1"/>
  <c r="S235" i="9"/>
  <c r="T235" i="9" s="1"/>
  <c r="P235" i="9" s="1"/>
  <c r="B190" i="32"/>
  <c r="I189" i="32"/>
  <c r="J189" i="32" s="1"/>
  <c r="I235" i="9"/>
  <c r="J235" i="9" s="1"/>
  <c r="B236" i="9"/>
  <c r="L236" i="32"/>
  <c r="S235" i="32"/>
  <c r="T235" i="32" s="1"/>
  <c r="P235" i="32" s="1"/>
  <c r="I236" i="9" l="1"/>
  <c r="J236" i="9" s="1"/>
  <c r="B237" i="9"/>
  <c r="I190" i="32"/>
  <c r="J190" i="32" s="1"/>
  <c r="B191" i="32"/>
  <c r="S236" i="32"/>
  <c r="T236" i="32" s="1"/>
  <c r="P236" i="32" s="1"/>
  <c r="L237" i="32"/>
  <c r="L237" i="9"/>
  <c r="S236" i="9"/>
  <c r="T236" i="9" s="1"/>
  <c r="P236" i="9" s="1"/>
  <c r="L238" i="32" l="1"/>
  <c r="S237" i="32"/>
  <c r="T237" i="32" s="1"/>
  <c r="P237" i="32" s="1"/>
  <c r="I191" i="32"/>
  <c r="J191" i="32" s="1"/>
  <c r="B192" i="32"/>
  <c r="S237" i="9"/>
  <c r="T237" i="9" s="1"/>
  <c r="P237" i="9" s="1"/>
  <c r="L238" i="9"/>
  <c r="I237" i="9"/>
  <c r="J237" i="9" s="1"/>
  <c r="B238" i="9"/>
  <c r="S238" i="9" l="1"/>
  <c r="T238" i="9" s="1"/>
  <c r="P238" i="9" s="1"/>
  <c r="L239" i="9"/>
  <c r="B193" i="32"/>
  <c r="I192" i="32"/>
  <c r="J192" i="32" s="1"/>
  <c r="I238" i="9"/>
  <c r="J238" i="9" s="1"/>
  <c r="B239" i="9"/>
  <c r="S238" i="32"/>
  <c r="T238" i="32" s="1"/>
  <c r="P238" i="32" s="1"/>
  <c r="L239" i="32"/>
  <c r="S239" i="32" l="1"/>
  <c r="T239" i="32" s="1"/>
  <c r="P239" i="32" s="1"/>
  <c r="L240" i="32"/>
  <c r="B194" i="32"/>
  <c r="I193" i="32"/>
  <c r="J193" i="32" s="1"/>
  <c r="B240" i="9"/>
  <c r="I239" i="9"/>
  <c r="J239" i="9" s="1"/>
  <c r="S239" i="9"/>
  <c r="T239" i="9" s="1"/>
  <c r="P239" i="9" s="1"/>
  <c r="L240" i="9"/>
  <c r="L241" i="9" l="1"/>
  <c r="S240" i="9"/>
  <c r="T240" i="9" s="1"/>
  <c r="P240" i="9" s="1"/>
  <c r="I240" i="9"/>
  <c r="J240" i="9" s="1"/>
  <c r="B241" i="9"/>
  <c r="B195" i="32"/>
  <c r="I194" i="32"/>
  <c r="J194" i="32" s="1"/>
  <c r="S240" i="32"/>
  <c r="T240" i="32" s="1"/>
  <c r="P240" i="32" s="1"/>
  <c r="L241" i="32"/>
  <c r="L242" i="32" l="1"/>
  <c r="S241" i="32"/>
  <c r="T241" i="32" s="1"/>
  <c r="P241" i="32" s="1"/>
  <c r="I195" i="32"/>
  <c r="J195" i="32" s="1"/>
  <c r="B196" i="32"/>
  <c r="I241" i="9"/>
  <c r="J241" i="9" s="1"/>
  <c r="B242" i="9"/>
  <c r="S241" i="9"/>
  <c r="T241" i="9" s="1"/>
  <c r="P241" i="9" s="1"/>
  <c r="L242" i="9"/>
  <c r="I196" i="32" l="1"/>
  <c r="J196" i="32" s="1"/>
  <c r="B197" i="32"/>
  <c r="L243" i="9"/>
  <c r="S242" i="9"/>
  <c r="T242" i="9" s="1"/>
  <c r="P242" i="9" s="1"/>
  <c r="I242" i="9"/>
  <c r="J242" i="9" s="1"/>
  <c r="B243" i="9"/>
  <c r="L243" i="32"/>
  <c r="S242" i="32"/>
  <c r="T242" i="32" s="1"/>
  <c r="P242" i="32" s="1"/>
  <c r="I243" i="9" l="1"/>
  <c r="J243" i="9" s="1"/>
  <c r="B244" i="9"/>
  <c r="L244" i="9"/>
  <c r="S243" i="9"/>
  <c r="T243" i="9" s="1"/>
  <c r="P243" i="9" s="1"/>
  <c r="I197" i="32"/>
  <c r="J197" i="32" s="1"/>
  <c r="B198" i="32"/>
  <c r="S243" i="32"/>
  <c r="T243" i="32" s="1"/>
  <c r="P243" i="32" s="1"/>
  <c r="L244" i="32"/>
  <c r="L245" i="32" l="1"/>
  <c r="S244" i="32"/>
  <c r="T244" i="32" s="1"/>
  <c r="P244" i="32" s="1"/>
  <c r="I198" i="32"/>
  <c r="J198" i="32" s="1"/>
  <c r="B199" i="32"/>
  <c r="L245" i="9"/>
  <c r="S244" i="9"/>
  <c r="T244" i="9" s="1"/>
  <c r="P244" i="9" s="1"/>
  <c r="B245" i="9"/>
  <c r="I244" i="9"/>
  <c r="J244" i="9" s="1"/>
  <c r="S245" i="9" l="1"/>
  <c r="T245" i="9" s="1"/>
  <c r="P245" i="9" s="1"/>
  <c r="L246" i="9"/>
  <c r="I199" i="32"/>
  <c r="J199" i="32" s="1"/>
  <c r="B200" i="32"/>
  <c r="I245" i="9"/>
  <c r="J245" i="9" s="1"/>
  <c r="B246" i="9"/>
  <c r="S245" i="32"/>
  <c r="T245" i="32" s="1"/>
  <c r="P245" i="32" s="1"/>
  <c r="L246" i="32"/>
  <c r="I246" i="9" l="1"/>
  <c r="J246" i="9" s="1"/>
  <c r="B247" i="9"/>
  <c r="I200" i="32"/>
  <c r="J200" i="32" s="1"/>
  <c r="B201" i="32"/>
  <c r="S246" i="9"/>
  <c r="T246" i="9" s="1"/>
  <c r="P246" i="9" s="1"/>
  <c r="L247" i="9"/>
  <c r="S246" i="32"/>
  <c r="T246" i="32" s="1"/>
  <c r="P246" i="32" s="1"/>
  <c r="L247" i="32"/>
  <c r="L248" i="9" l="1"/>
  <c r="S247" i="9"/>
  <c r="T247" i="9" s="1"/>
  <c r="P247" i="9" s="1"/>
  <c r="I201" i="32"/>
  <c r="J201" i="32" s="1"/>
  <c r="B202" i="32"/>
  <c r="S247" i="32"/>
  <c r="T247" i="32" s="1"/>
  <c r="P247" i="32" s="1"/>
  <c r="L248" i="32"/>
  <c r="B248" i="9"/>
  <c r="I247" i="9"/>
  <c r="J247" i="9" s="1"/>
  <c r="S248" i="32" l="1"/>
  <c r="T248" i="32" s="1"/>
  <c r="P248" i="32" s="1"/>
  <c r="L249" i="32"/>
  <c r="I248" i="9"/>
  <c r="J248" i="9" s="1"/>
  <c r="B249" i="9"/>
  <c r="B203" i="32"/>
  <c r="I202" i="32"/>
  <c r="J202" i="32" s="1"/>
  <c r="S248" i="9"/>
  <c r="T248" i="9" s="1"/>
  <c r="P248" i="9" s="1"/>
  <c r="L249" i="9"/>
  <c r="B204" i="32" l="1"/>
  <c r="I203" i="32"/>
  <c r="J203" i="32" s="1"/>
  <c r="I249" i="9"/>
  <c r="J249" i="9" s="1"/>
  <c r="B250" i="9"/>
  <c r="S249" i="9"/>
  <c r="T249" i="9" s="1"/>
  <c r="P249" i="9" s="1"/>
  <c r="L250" i="9"/>
  <c r="L250" i="32"/>
  <c r="S249" i="32"/>
  <c r="T249" i="32" s="1"/>
  <c r="P249" i="32" s="1"/>
  <c r="L251" i="9" l="1"/>
  <c r="S250" i="9"/>
  <c r="T250" i="9" s="1"/>
  <c r="P250" i="9" s="1"/>
  <c r="I250" i="9"/>
  <c r="J250" i="9" s="1"/>
  <c r="B251" i="9"/>
  <c r="L251" i="32"/>
  <c r="S250" i="32"/>
  <c r="T250" i="32" s="1"/>
  <c r="P250" i="32" s="1"/>
  <c r="I204" i="32"/>
  <c r="J204" i="32" s="1"/>
  <c r="B205" i="32"/>
  <c r="S251" i="32" l="1"/>
  <c r="T251" i="32" s="1"/>
  <c r="P251" i="32" s="1"/>
  <c r="L252" i="32"/>
  <c r="I251" i="9"/>
  <c r="J251" i="9" s="1"/>
  <c r="B252" i="9"/>
  <c r="I205" i="32"/>
  <c r="J205" i="32" s="1"/>
  <c r="B206" i="32"/>
  <c r="L252" i="9"/>
  <c r="S251" i="9"/>
  <c r="T251" i="9" s="1"/>
  <c r="P251" i="9" s="1"/>
  <c r="B207" i="32" l="1"/>
  <c r="I206" i="32"/>
  <c r="J206" i="32" s="1"/>
  <c r="B253" i="9"/>
  <c r="I252" i="9"/>
  <c r="J252" i="9" s="1"/>
  <c r="L253" i="9"/>
  <c r="S252" i="9"/>
  <c r="T252" i="9" s="1"/>
  <c r="P252" i="9" s="1"/>
  <c r="L253" i="32"/>
  <c r="S252" i="32"/>
  <c r="T252" i="32" s="1"/>
  <c r="P252" i="32" s="1"/>
  <c r="S253" i="9" l="1"/>
  <c r="T253" i="9" s="1"/>
  <c r="P253" i="9" s="1"/>
  <c r="L254" i="9"/>
  <c r="I253" i="9"/>
  <c r="J253" i="9" s="1"/>
  <c r="B254" i="9"/>
  <c r="S253" i="32"/>
  <c r="T253" i="32" s="1"/>
  <c r="P253" i="32" s="1"/>
  <c r="L254" i="32"/>
  <c r="B208" i="32"/>
  <c r="I207" i="32"/>
  <c r="J207" i="32" s="1"/>
  <c r="L255" i="32" l="1"/>
  <c r="S254" i="32"/>
  <c r="T254" i="32" s="1"/>
  <c r="P254" i="32" s="1"/>
  <c r="B255" i="9"/>
  <c r="I254" i="9"/>
  <c r="J254" i="9" s="1"/>
  <c r="B209" i="32"/>
  <c r="I208" i="32"/>
  <c r="J208" i="32" s="1"/>
  <c r="L255" i="9"/>
  <c r="S254" i="9"/>
  <c r="T254" i="9" s="1"/>
  <c r="P254" i="9" s="1"/>
  <c r="I255" i="9" l="1"/>
  <c r="J255" i="9" s="1"/>
  <c r="B256" i="9"/>
  <c r="L256" i="9"/>
  <c r="S255" i="9"/>
  <c r="T255" i="9" s="1"/>
  <c r="P255" i="9" s="1"/>
  <c r="I209" i="32"/>
  <c r="J209" i="32" s="1"/>
  <c r="B210" i="32"/>
  <c r="L256" i="32"/>
  <c r="S255" i="32"/>
  <c r="T255" i="32" s="1"/>
  <c r="P255" i="32" s="1"/>
  <c r="S256" i="9" l="1"/>
  <c r="T256" i="9" s="1"/>
  <c r="P256" i="9" s="1"/>
  <c r="L257" i="9"/>
  <c r="L257" i="32"/>
  <c r="S256" i="32"/>
  <c r="T256" i="32" s="1"/>
  <c r="P256" i="32" s="1"/>
  <c r="B257" i="9"/>
  <c r="I256" i="9"/>
  <c r="J256" i="9" s="1"/>
  <c r="B211" i="32"/>
  <c r="I210" i="32"/>
  <c r="J210" i="32" s="1"/>
  <c r="I211" i="32" l="1"/>
  <c r="J211" i="32" s="1"/>
  <c r="B212" i="32"/>
  <c r="I257" i="9"/>
  <c r="J257" i="9" s="1"/>
  <c r="B258" i="9"/>
  <c r="S257" i="32"/>
  <c r="T257" i="32" s="1"/>
  <c r="P257" i="32" s="1"/>
  <c r="L258" i="32"/>
  <c r="S257" i="9"/>
  <c r="T257" i="9" s="1"/>
  <c r="P257" i="9" s="1"/>
  <c r="L258" i="9"/>
  <c r="L259" i="9" l="1"/>
  <c r="S258" i="9"/>
  <c r="T258" i="9" s="1"/>
  <c r="P258" i="9" s="1"/>
  <c r="B259" i="9"/>
  <c r="I258" i="9"/>
  <c r="J258" i="9" s="1"/>
  <c r="S258" i="32"/>
  <c r="T258" i="32" s="1"/>
  <c r="P258" i="32" s="1"/>
  <c r="L259" i="32"/>
  <c r="I212" i="32"/>
  <c r="J212" i="32" s="1"/>
  <c r="B213" i="32"/>
  <c r="B214" i="32" l="1"/>
  <c r="I213" i="32"/>
  <c r="J213" i="32" s="1"/>
  <c r="I259" i="9"/>
  <c r="J259" i="9" s="1"/>
  <c r="B260" i="9"/>
  <c r="S259" i="32"/>
  <c r="T259" i="32" s="1"/>
  <c r="P259" i="32" s="1"/>
  <c r="L260" i="32"/>
  <c r="L260" i="9"/>
  <c r="S259" i="9"/>
  <c r="T259" i="9" s="1"/>
  <c r="P259" i="9" s="1"/>
  <c r="S260" i="9" l="1"/>
  <c r="T260" i="9" s="1"/>
  <c r="P260" i="9" s="1"/>
  <c r="L261" i="9"/>
  <c r="S260" i="32"/>
  <c r="T260" i="32" s="1"/>
  <c r="P260" i="32" s="1"/>
  <c r="L261" i="32"/>
  <c r="B261" i="9"/>
  <c r="I260" i="9"/>
  <c r="J260" i="9" s="1"/>
  <c r="B215" i="32"/>
  <c r="I214" i="32"/>
  <c r="J214" i="32" s="1"/>
  <c r="B262" i="9" l="1"/>
  <c r="I261" i="9"/>
  <c r="J261" i="9" s="1"/>
  <c r="B216" i="32"/>
  <c r="I215" i="32"/>
  <c r="J215" i="32" s="1"/>
  <c r="S261" i="32"/>
  <c r="T261" i="32" s="1"/>
  <c r="P261" i="32" s="1"/>
  <c r="L262" i="32"/>
  <c r="L262" i="9"/>
  <c r="S261" i="9"/>
  <c r="T261" i="9" s="1"/>
  <c r="P261" i="9" s="1"/>
  <c r="S262" i="9" l="1"/>
  <c r="T262" i="9" s="1"/>
  <c r="P262" i="9" s="1"/>
  <c r="L263" i="9"/>
  <c r="L263" i="32"/>
  <c r="S262" i="32"/>
  <c r="T262" i="32" s="1"/>
  <c r="P262" i="32" s="1"/>
  <c r="I216" i="32"/>
  <c r="J216" i="32" s="1"/>
  <c r="B217" i="32"/>
  <c r="I262" i="9"/>
  <c r="J262" i="9" s="1"/>
  <c r="B263" i="9"/>
  <c r="B264" i="9" l="1"/>
  <c r="I263" i="9"/>
  <c r="J263" i="9" s="1"/>
  <c r="I217" i="32"/>
  <c r="J217" i="32" s="1"/>
  <c r="B218" i="32"/>
  <c r="S263" i="32"/>
  <c r="T263" i="32" s="1"/>
  <c r="P263" i="32" s="1"/>
  <c r="L264" i="32"/>
  <c r="S263" i="9"/>
  <c r="T263" i="9" s="1"/>
  <c r="P263" i="9" s="1"/>
  <c r="L264" i="9"/>
  <c r="S264" i="32" l="1"/>
  <c r="T264" i="32" s="1"/>
  <c r="P264" i="32" s="1"/>
  <c r="L265" i="32"/>
  <c r="B219" i="32"/>
  <c r="I218" i="32"/>
  <c r="J218" i="32" s="1"/>
  <c r="L265" i="9"/>
  <c r="S264" i="9"/>
  <c r="T264" i="9" s="1"/>
  <c r="P264" i="9" s="1"/>
  <c r="I264" i="9"/>
  <c r="J264" i="9" s="1"/>
  <c r="B265" i="9"/>
  <c r="I219" i="32" l="1"/>
  <c r="J219" i="32" s="1"/>
  <c r="B220" i="32"/>
  <c r="I265" i="9"/>
  <c r="J265" i="9" s="1"/>
  <c r="B266" i="9"/>
  <c r="S265" i="9"/>
  <c r="T265" i="9" s="1"/>
  <c r="P265" i="9" s="1"/>
  <c r="L266" i="9"/>
  <c r="L266" i="32"/>
  <c r="S265" i="32"/>
  <c r="T265" i="32" s="1"/>
  <c r="P265" i="32" s="1"/>
  <c r="L267" i="32" l="1"/>
  <c r="S266" i="32"/>
  <c r="T266" i="32" s="1"/>
  <c r="P266" i="32" s="1"/>
  <c r="S266" i="9"/>
  <c r="T266" i="9" s="1"/>
  <c r="P266" i="9" s="1"/>
  <c r="L267" i="9"/>
  <c r="I266" i="9"/>
  <c r="J266" i="9" s="1"/>
  <c r="B267" i="9"/>
  <c r="I220" i="32"/>
  <c r="J220" i="32" s="1"/>
  <c r="B221" i="32"/>
  <c r="B222" i="32" l="1"/>
  <c r="I221" i="32"/>
  <c r="J221" i="32" s="1"/>
  <c r="B268" i="9"/>
  <c r="I267" i="9"/>
  <c r="J267" i="9" s="1"/>
  <c r="L268" i="9"/>
  <c r="S267" i="9"/>
  <c r="T267" i="9" s="1"/>
  <c r="P267" i="9" s="1"/>
  <c r="S267" i="32"/>
  <c r="T267" i="32" s="1"/>
  <c r="P267" i="32" s="1"/>
  <c r="L268" i="32"/>
  <c r="S268" i="9" l="1"/>
  <c r="T268" i="9" s="1"/>
  <c r="P268" i="9" s="1"/>
  <c r="L269" i="9"/>
  <c r="I268" i="9"/>
  <c r="J268" i="9" s="1"/>
  <c r="B269" i="9"/>
  <c r="L269" i="32"/>
  <c r="S268" i="32"/>
  <c r="T268" i="32" s="1"/>
  <c r="P268" i="32" s="1"/>
  <c r="I222" i="32"/>
  <c r="J222" i="32" s="1"/>
  <c r="B223" i="32"/>
  <c r="S269" i="32" l="1"/>
  <c r="T269" i="32" s="1"/>
  <c r="P269" i="32" s="1"/>
  <c r="L270" i="32"/>
  <c r="I269" i="9"/>
  <c r="J269" i="9" s="1"/>
  <c r="B270" i="9"/>
  <c r="I223" i="32"/>
  <c r="J223" i="32" s="1"/>
  <c r="B224" i="32"/>
  <c r="S269" i="9"/>
  <c r="T269" i="9" s="1"/>
  <c r="P269" i="9" s="1"/>
  <c r="L270" i="9"/>
  <c r="B225" i="32" l="1"/>
  <c r="I224" i="32"/>
  <c r="J224" i="32" s="1"/>
  <c r="B271" i="9"/>
  <c r="I270" i="9"/>
  <c r="J270" i="9" s="1"/>
  <c r="S270" i="32"/>
  <c r="T270" i="32" s="1"/>
  <c r="P270" i="32" s="1"/>
  <c r="L271" i="32"/>
  <c r="S270" i="9"/>
  <c r="T270" i="9" s="1"/>
  <c r="P270" i="9" s="1"/>
  <c r="L271" i="9"/>
  <c r="S271" i="32" l="1"/>
  <c r="T271" i="32" s="1"/>
  <c r="P271" i="32" s="1"/>
  <c r="L272" i="32"/>
  <c r="I271" i="9"/>
  <c r="J271" i="9" s="1"/>
  <c r="B272" i="9"/>
  <c r="L272" i="9"/>
  <c r="S271" i="9"/>
  <c r="T271" i="9" s="1"/>
  <c r="P271" i="9" s="1"/>
  <c r="B226" i="32"/>
  <c r="I225" i="32"/>
  <c r="J225" i="32" s="1"/>
  <c r="L273" i="9" l="1"/>
  <c r="S272" i="9"/>
  <c r="T272" i="9" s="1"/>
  <c r="P272" i="9" s="1"/>
  <c r="B227" i="32"/>
  <c r="I226" i="32"/>
  <c r="J226" i="32" s="1"/>
  <c r="B273" i="9"/>
  <c r="I272" i="9"/>
  <c r="J272" i="9" s="1"/>
  <c r="L273" i="32"/>
  <c r="S272" i="32"/>
  <c r="T272" i="32" s="1"/>
  <c r="P272" i="32" s="1"/>
  <c r="B274" i="9" l="1"/>
  <c r="I273" i="9"/>
  <c r="J273" i="9" s="1"/>
  <c r="I227" i="32"/>
  <c r="J227" i="32" s="1"/>
  <c r="B228" i="32"/>
  <c r="L274" i="32"/>
  <c r="S273" i="32"/>
  <c r="T273" i="32" s="1"/>
  <c r="P273" i="32" s="1"/>
  <c r="S273" i="9"/>
  <c r="T273" i="9" s="1"/>
  <c r="P273" i="9" s="1"/>
  <c r="L274" i="9"/>
  <c r="L275" i="9" l="1"/>
  <c r="S274" i="9"/>
  <c r="T274" i="9" s="1"/>
  <c r="P274" i="9" s="1"/>
  <c r="L275" i="32"/>
  <c r="S274" i="32"/>
  <c r="T274" i="32" s="1"/>
  <c r="P274" i="32" s="1"/>
  <c r="I228" i="32"/>
  <c r="J228" i="32" s="1"/>
  <c r="B229" i="32"/>
  <c r="I274" i="9"/>
  <c r="J274" i="9" s="1"/>
  <c r="B275" i="9"/>
  <c r="I229" i="32" l="1"/>
  <c r="J229" i="32" s="1"/>
  <c r="B230" i="32"/>
  <c r="S275" i="32"/>
  <c r="T275" i="32" s="1"/>
  <c r="P275" i="32" s="1"/>
  <c r="L276" i="32"/>
  <c r="I275" i="9"/>
  <c r="J275" i="9" s="1"/>
  <c r="B276" i="9"/>
  <c r="L276" i="9"/>
  <c r="S275" i="9"/>
  <c r="T275" i="9" s="1"/>
  <c r="P275" i="9" s="1"/>
  <c r="B277" i="9" l="1"/>
  <c r="I276" i="9"/>
  <c r="J276" i="9" s="1"/>
  <c r="S276" i="9"/>
  <c r="T276" i="9" s="1"/>
  <c r="P276" i="9" s="1"/>
  <c r="L277" i="9"/>
  <c r="L277" i="32"/>
  <c r="S276" i="32"/>
  <c r="T276" i="32" s="1"/>
  <c r="P276" i="32" s="1"/>
  <c r="B231" i="32"/>
  <c r="I230" i="32"/>
  <c r="J230" i="32" s="1"/>
  <c r="L278" i="32" l="1"/>
  <c r="S277" i="32"/>
  <c r="T277" i="32" s="1"/>
  <c r="P277" i="32" s="1"/>
  <c r="S277" i="9"/>
  <c r="T277" i="9" s="1"/>
  <c r="P277" i="9" s="1"/>
  <c r="L278" i="9"/>
  <c r="I231" i="32"/>
  <c r="J231" i="32" s="1"/>
  <c r="B232" i="32"/>
  <c r="I277" i="9"/>
  <c r="J277" i="9" s="1"/>
  <c r="B278" i="9"/>
  <c r="B233" i="32" l="1"/>
  <c r="I232" i="32"/>
  <c r="J232" i="32" s="1"/>
  <c r="L279" i="9"/>
  <c r="S278" i="9"/>
  <c r="T278" i="9" s="1"/>
  <c r="P278" i="9" s="1"/>
  <c r="B279" i="9"/>
  <c r="I278" i="9"/>
  <c r="J278" i="9" s="1"/>
  <c r="L279" i="32"/>
  <c r="S278" i="32"/>
  <c r="T278" i="32" s="1"/>
  <c r="P278" i="32" s="1"/>
  <c r="B280" i="9" l="1"/>
  <c r="I279" i="9"/>
  <c r="J279" i="9" s="1"/>
  <c r="S279" i="32"/>
  <c r="T279" i="32" s="1"/>
  <c r="P279" i="32" s="1"/>
  <c r="L280" i="32"/>
  <c r="L280" i="9"/>
  <c r="S279" i="9"/>
  <c r="T279" i="9" s="1"/>
  <c r="P279" i="9" s="1"/>
  <c r="I233" i="32"/>
  <c r="J233" i="32" s="1"/>
  <c r="B234" i="32"/>
  <c r="L281" i="9" l="1"/>
  <c r="S280" i="9"/>
  <c r="T280" i="9" s="1"/>
  <c r="P280" i="9" s="1"/>
  <c r="S280" i="32"/>
  <c r="T280" i="32" s="1"/>
  <c r="P280" i="32" s="1"/>
  <c r="L281" i="32"/>
  <c r="I234" i="32"/>
  <c r="J234" i="32" s="1"/>
  <c r="B235" i="32"/>
  <c r="B281" i="9"/>
  <c r="I280" i="9"/>
  <c r="J280" i="9" s="1"/>
  <c r="B236" i="32" l="1"/>
  <c r="I235" i="32"/>
  <c r="J235" i="32" s="1"/>
  <c r="L282" i="32"/>
  <c r="S281" i="32"/>
  <c r="T281" i="32" s="1"/>
  <c r="P281" i="32" s="1"/>
  <c r="I281" i="9"/>
  <c r="J281" i="9" s="1"/>
  <c r="B282" i="9"/>
  <c r="S281" i="9"/>
  <c r="T281" i="9" s="1"/>
  <c r="P281" i="9" s="1"/>
  <c r="L282" i="9"/>
  <c r="I282" i="9" l="1"/>
  <c r="J282" i="9" s="1"/>
  <c r="B283" i="9"/>
  <c r="S282" i="32"/>
  <c r="T282" i="32" s="1"/>
  <c r="P282" i="32" s="1"/>
  <c r="L283" i="32"/>
  <c r="S282" i="9"/>
  <c r="T282" i="9" s="1"/>
  <c r="P282" i="9" s="1"/>
  <c r="L283" i="9"/>
  <c r="I236" i="32"/>
  <c r="J236" i="32" s="1"/>
  <c r="B237" i="32"/>
  <c r="S283" i="9" l="1"/>
  <c r="T283" i="9" s="1"/>
  <c r="P283" i="9" s="1"/>
  <c r="L284" i="9"/>
  <c r="S283" i="32"/>
  <c r="T283" i="32" s="1"/>
  <c r="P283" i="32" s="1"/>
  <c r="L284" i="32"/>
  <c r="B238" i="32"/>
  <c r="I237" i="32"/>
  <c r="J237" i="32" s="1"/>
  <c r="B284" i="9"/>
  <c r="I283" i="9"/>
  <c r="J283" i="9" s="1"/>
  <c r="I238" i="32" l="1"/>
  <c r="J238" i="32" s="1"/>
  <c r="B239" i="32"/>
  <c r="S284" i="32"/>
  <c r="T284" i="32" s="1"/>
  <c r="P284" i="32" s="1"/>
  <c r="L285" i="32"/>
  <c r="L285" i="9"/>
  <c r="S284" i="9"/>
  <c r="T284" i="9" s="1"/>
  <c r="P284" i="9" s="1"/>
  <c r="I284" i="9"/>
  <c r="J284" i="9" s="1"/>
  <c r="B285" i="9"/>
  <c r="L286" i="9" l="1"/>
  <c r="S285" i="9"/>
  <c r="T285" i="9" s="1"/>
  <c r="P285" i="9" s="1"/>
  <c r="B286" i="9"/>
  <c r="I285" i="9"/>
  <c r="J285" i="9" s="1"/>
  <c r="S285" i="32"/>
  <c r="T285" i="32" s="1"/>
  <c r="P285" i="32" s="1"/>
  <c r="L286" i="32"/>
  <c r="B240" i="32"/>
  <c r="I239" i="32"/>
  <c r="J239" i="32" s="1"/>
  <c r="L287" i="32" l="1"/>
  <c r="S286" i="32"/>
  <c r="T286" i="32" s="1"/>
  <c r="P286" i="32" s="1"/>
  <c r="B287" i="9"/>
  <c r="I286" i="9"/>
  <c r="J286" i="9" s="1"/>
  <c r="B241" i="32"/>
  <c r="I240" i="32"/>
  <c r="J240" i="32" s="1"/>
  <c r="L287" i="9"/>
  <c r="S286" i="9"/>
  <c r="T286" i="9" s="1"/>
  <c r="P286" i="9" s="1"/>
  <c r="I241" i="32" l="1"/>
  <c r="J241" i="32" s="1"/>
  <c r="B242" i="32"/>
  <c r="B288" i="9"/>
  <c r="I287" i="9"/>
  <c r="J287" i="9" s="1"/>
  <c r="L288" i="9"/>
  <c r="S287" i="9"/>
  <c r="T287" i="9" s="1"/>
  <c r="P287" i="9" s="1"/>
  <c r="L288" i="32"/>
  <c r="S287" i="32"/>
  <c r="T287" i="32" s="1"/>
  <c r="P287" i="32" s="1"/>
  <c r="S288" i="32" l="1"/>
  <c r="T288" i="32" s="1"/>
  <c r="P288" i="32" s="1"/>
  <c r="L289" i="32"/>
  <c r="L289" i="9"/>
  <c r="S288" i="9"/>
  <c r="T288" i="9" s="1"/>
  <c r="P288" i="9" s="1"/>
  <c r="B289" i="9"/>
  <c r="I288" i="9"/>
  <c r="J288" i="9" s="1"/>
  <c r="I242" i="32"/>
  <c r="J242" i="32" s="1"/>
  <c r="B243" i="32"/>
  <c r="I243" i="32" l="1"/>
  <c r="J243" i="32" s="1"/>
  <c r="B244" i="32"/>
  <c r="I289" i="9"/>
  <c r="J289" i="9" s="1"/>
  <c r="B290" i="9"/>
  <c r="L290" i="9"/>
  <c r="S289" i="9"/>
  <c r="T289" i="9" s="1"/>
  <c r="P289" i="9" s="1"/>
  <c r="S289" i="32"/>
  <c r="T289" i="32" s="1"/>
  <c r="P289" i="32" s="1"/>
  <c r="L290" i="32"/>
  <c r="L291" i="9" l="1"/>
  <c r="S290" i="9"/>
  <c r="T290" i="9" s="1"/>
  <c r="P290" i="9" s="1"/>
  <c r="I290" i="9"/>
  <c r="J290" i="9" s="1"/>
  <c r="B291" i="9"/>
  <c r="B245" i="32"/>
  <c r="I244" i="32"/>
  <c r="J244" i="32" s="1"/>
  <c r="L291" i="32"/>
  <c r="S290" i="32"/>
  <c r="T290" i="32" s="1"/>
  <c r="P290" i="32" s="1"/>
  <c r="I245" i="32" l="1"/>
  <c r="J245" i="32" s="1"/>
  <c r="B246" i="32"/>
  <c r="B292" i="9"/>
  <c r="I291" i="9"/>
  <c r="J291" i="9" s="1"/>
  <c r="S291" i="32"/>
  <c r="T291" i="32" s="1"/>
  <c r="P291" i="32" s="1"/>
  <c r="L292" i="32"/>
  <c r="L292" i="9"/>
  <c r="S291" i="9"/>
  <c r="T291" i="9" s="1"/>
  <c r="P291" i="9" s="1"/>
  <c r="L293" i="32" l="1"/>
  <c r="S292" i="32"/>
  <c r="T292" i="32" s="1"/>
  <c r="P292" i="32" s="1"/>
  <c r="B293" i="9"/>
  <c r="I292" i="9"/>
  <c r="J292" i="9" s="1"/>
  <c r="S292" i="9"/>
  <c r="T292" i="9" s="1"/>
  <c r="P292" i="9" s="1"/>
  <c r="L293" i="9"/>
  <c r="I246" i="32"/>
  <c r="J246" i="32" s="1"/>
  <c r="B247" i="32"/>
  <c r="L294" i="9" l="1"/>
  <c r="S293" i="9"/>
  <c r="T293" i="9" s="1"/>
  <c r="P293" i="9" s="1"/>
  <c r="B248" i="32"/>
  <c r="I247" i="32"/>
  <c r="J247" i="32" s="1"/>
  <c r="I293" i="9"/>
  <c r="J293" i="9" s="1"/>
  <c r="B294" i="9"/>
  <c r="S293" i="32"/>
  <c r="T293" i="32" s="1"/>
  <c r="P293" i="32" s="1"/>
  <c r="L294" i="32"/>
  <c r="B295" i="9" l="1"/>
  <c r="I294" i="9"/>
  <c r="J294" i="9" s="1"/>
  <c r="B249" i="32"/>
  <c r="I248" i="32"/>
  <c r="J248" i="32" s="1"/>
  <c r="S294" i="32"/>
  <c r="T294" i="32" s="1"/>
  <c r="P294" i="32" s="1"/>
  <c r="L295" i="32"/>
  <c r="S294" i="9"/>
  <c r="T294" i="9" s="1"/>
  <c r="P294" i="9" s="1"/>
  <c r="L295" i="9"/>
  <c r="L296" i="32" l="1"/>
  <c r="S295" i="32"/>
  <c r="T295" i="32" s="1"/>
  <c r="P295" i="32" s="1"/>
  <c r="I249" i="32"/>
  <c r="J249" i="32" s="1"/>
  <c r="B250" i="32"/>
  <c r="L296" i="9"/>
  <c r="S295" i="9"/>
  <c r="T295" i="9" s="1"/>
  <c r="P295" i="9" s="1"/>
  <c r="I295" i="9"/>
  <c r="J295" i="9" s="1"/>
  <c r="B296" i="9"/>
  <c r="L297" i="9" l="1"/>
  <c r="S296" i="9"/>
  <c r="T296" i="9" s="1"/>
  <c r="P296" i="9" s="1"/>
  <c r="B251" i="32"/>
  <c r="I250" i="32"/>
  <c r="J250" i="32" s="1"/>
  <c r="B297" i="9"/>
  <c r="I296" i="9"/>
  <c r="J296" i="9" s="1"/>
  <c r="L297" i="32"/>
  <c r="S296" i="32"/>
  <c r="T296" i="32" s="1"/>
  <c r="P296" i="32" s="1"/>
  <c r="S297" i="32" l="1"/>
  <c r="T297" i="32" s="1"/>
  <c r="P297" i="32" s="1"/>
  <c r="L298" i="32"/>
  <c r="B298" i="9"/>
  <c r="I297" i="9"/>
  <c r="J297" i="9" s="1"/>
  <c r="B252" i="32"/>
  <c r="I251" i="32"/>
  <c r="J251" i="32" s="1"/>
  <c r="S297" i="9"/>
  <c r="T297" i="9" s="1"/>
  <c r="P297" i="9" s="1"/>
  <c r="L298" i="9"/>
  <c r="B253" i="32" l="1"/>
  <c r="I252" i="32"/>
  <c r="J252" i="32" s="1"/>
  <c r="I298" i="9"/>
  <c r="J298" i="9" s="1"/>
  <c r="B299" i="9"/>
  <c r="S298" i="32"/>
  <c r="T298" i="32" s="1"/>
  <c r="P298" i="32" s="1"/>
  <c r="L299" i="32"/>
  <c r="S298" i="9"/>
  <c r="T298" i="9" s="1"/>
  <c r="P298" i="9" s="1"/>
  <c r="L299" i="9"/>
  <c r="L300" i="32" l="1"/>
  <c r="S299" i="32"/>
  <c r="T299" i="32" s="1"/>
  <c r="P299" i="32" s="1"/>
  <c r="I299" i="9"/>
  <c r="J299" i="9" s="1"/>
  <c r="B300" i="9"/>
  <c r="L300" i="9"/>
  <c r="S299" i="9"/>
  <c r="T299" i="9" s="1"/>
  <c r="P299" i="9" s="1"/>
  <c r="B254" i="32"/>
  <c r="I253" i="32"/>
  <c r="J253" i="32" s="1"/>
  <c r="S300" i="9" l="1"/>
  <c r="T300" i="9" s="1"/>
  <c r="P300" i="9" s="1"/>
  <c r="L301" i="9"/>
  <c r="I300" i="9"/>
  <c r="J300" i="9" s="1"/>
  <c r="B301" i="9"/>
  <c r="I254" i="32"/>
  <c r="J254" i="32" s="1"/>
  <c r="B255" i="32"/>
  <c r="L301" i="32"/>
  <c r="S300" i="32"/>
  <c r="T300" i="32" s="1"/>
  <c r="P300" i="32" s="1"/>
  <c r="I255" i="32" l="1"/>
  <c r="J255" i="32" s="1"/>
  <c r="B256" i="32"/>
  <c r="B302" i="9"/>
  <c r="I301" i="9"/>
  <c r="J301" i="9" s="1"/>
  <c r="L302" i="9"/>
  <c r="S301" i="9"/>
  <c r="T301" i="9" s="1"/>
  <c r="P301" i="9" s="1"/>
  <c r="L302" i="32"/>
  <c r="S301" i="32"/>
  <c r="T301" i="32" s="1"/>
  <c r="P301" i="32" s="1"/>
  <c r="L303" i="9" l="1"/>
  <c r="S302" i="9"/>
  <c r="T302" i="9" s="1"/>
  <c r="P302" i="9" s="1"/>
  <c r="I302" i="9"/>
  <c r="J302" i="9" s="1"/>
  <c r="B303" i="9"/>
  <c r="S302" i="32"/>
  <c r="T302" i="32" s="1"/>
  <c r="P302" i="32" s="1"/>
  <c r="L303" i="32"/>
  <c r="I256" i="32"/>
  <c r="J256" i="32" s="1"/>
  <c r="B257" i="32"/>
  <c r="S303" i="32" l="1"/>
  <c r="T303" i="32" s="1"/>
  <c r="P303" i="32" s="1"/>
  <c r="L304" i="32"/>
  <c r="B258" i="32"/>
  <c r="I257" i="32"/>
  <c r="J257" i="32" s="1"/>
  <c r="I303" i="9"/>
  <c r="J303" i="9" s="1"/>
  <c r="B304" i="9"/>
  <c r="L304" i="9"/>
  <c r="S303" i="9"/>
  <c r="T303" i="9" s="1"/>
  <c r="P303" i="9" s="1"/>
  <c r="B305" i="9" l="1"/>
  <c r="I304" i="9"/>
  <c r="J304" i="9" s="1"/>
  <c r="L305" i="9"/>
  <c r="S304" i="9"/>
  <c r="T304" i="9" s="1"/>
  <c r="P304" i="9" s="1"/>
  <c r="I258" i="32"/>
  <c r="J258" i="32" s="1"/>
  <c r="B259" i="32"/>
  <c r="L305" i="32"/>
  <c r="S304" i="32"/>
  <c r="T304" i="32" s="1"/>
  <c r="P304" i="32" s="1"/>
  <c r="I259" i="32" l="1"/>
  <c r="J259" i="32" s="1"/>
  <c r="B260" i="32"/>
  <c r="L306" i="9"/>
  <c r="S305" i="9"/>
  <c r="T305" i="9" s="1"/>
  <c r="P305" i="9" s="1"/>
  <c r="L306" i="32"/>
  <c r="S305" i="32"/>
  <c r="T305" i="32" s="1"/>
  <c r="P305" i="32" s="1"/>
  <c r="I305" i="9"/>
  <c r="J305" i="9" s="1"/>
  <c r="B306" i="9"/>
  <c r="L307" i="32" l="1"/>
  <c r="S306" i="32"/>
  <c r="T306" i="32" s="1"/>
  <c r="P306" i="32" s="1"/>
  <c r="L307" i="9"/>
  <c r="S306" i="9"/>
  <c r="T306" i="9" s="1"/>
  <c r="P306" i="9" s="1"/>
  <c r="I306" i="9"/>
  <c r="J306" i="9" s="1"/>
  <c r="B307" i="9"/>
  <c r="I260" i="32"/>
  <c r="J260" i="32" s="1"/>
  <c r="B261" i="32"/>
  <c r="I307" i="9" l="1"/>
  <c r="J307" i="9" s="1"/>
  <c r="B308" i="9"/>
  <c r="S307" i="9"/>
  <c r="T307" i="9" s="1"/>
  <c r="P307" i="9" s="1"/>
  <c r="L308" i="9"/>
  <c r="I261" i="32"/>
  <c r="J261" i="32" s="1"/>
  <c r="B262" i="32"/>
  <c r="L308" i="32"/>
  <c r="S307" i="32"/>
  <c r="T307" i="32" s="1"/>
  <c r="P307" i="32" s="1"/>
  <c r="I262" i="32" l="1"/>
  <c r="J262" i="32" s="1"/>
  <c r="B263" i="32"/>
  <c r="S308" i="32"/>
  <c r="T308" i="32" s="1"/>
  <c r="P308" i="32" s="1"/>
  <c r="L309" i="32"/>
  <c r="S308" i="9"/>
  <c r="T308" i="9" s="1"/>
  <c r="P308" i="9" s="1"/>
  <c r="L309" i="9"/>
  <c r="I308" i="9"/>
  <c r="J308" i="9" s="1"/>
  <c r="B309" i="9"/>
  <c r="L310" i="9" l="1"/>
  <c r="S309" i="9"/>
  <c r="T309" i="9" s="1"/>
  <c r="P309" i="9" s="1"/>
  <c r="S309" i="32"/>
  <c r="T309" i="32" s="1"/>
  <c r="P309" i="32" s="1"/>
  <c r="L310" i="32"/>
  <c r="I263" i="32"/>
  <c r="J263" i="32" s="1"/>
  <c r="B264" i="32"/>
  <c r="I309" i="9"/>
  <c r="J309" i="9" s="1"/>
  <c r="B310" i="9"/>
  <c r="B265" i="32" l="1"/>
  <c r="I264" i="32"/>
  <c r="J264" i="32" s="1"/>
  <c r="I310" i="9"/>
  <c r="J310" i="9" s="1"/>
  <c r="B311" i="9"/>
  <c r="L311" i="32"/>
  <c r="S310" i="32"/>
  <c r="T310" i="32" s="1"/>
  <c r="P310" i="32" s="1"/>
  <c r="S310" i="9"/>
  <c r="T310" i="9" s="1"/>
  <c r="P310" i="9" s="1"/>
  <c r="L311" i="9"/>
  <c r="S311" i="32" l="1"/>
  <c r="T311" i="32" s="1"/>
  <c r="P311" i="32" s="1"/>
  <c r="L312" i="32"/>
  <c r="B312" i="9"/>
  <c r="I311" i="9"/>
  <c r="J311" i="9" s="1"/>
  <c r="S311" i="9"/>
  <c r="T311" i="9" s="1"/>
  <c r="P311" i="9" s="1"/>
  <c r="L312" i="9"/>
  <c r="I265" i="32"/>
  <c r="J265" i="32" s="1"/>
  <c r="B266" i="32"/>
  <c r="S312" i="9" l="1"/>
  <c r="T312" i="9" s="1"/>
  <c r="P312" i="9" s="1"/>
  <c r="L313" i="9"/>
  <c r="I312" i="9"/>
  <c r="J312" i="9" s="1"/>
  <c r="B313" i="9"/>
  <c r="I266" i="32"/>
  <c r="J266" i="32" s="1"/>
  <c r="B267" i="32"/>
  <c r="S312" i="32"/>
  <c r="T312" i="32" s="1"/>
  <c r="P312" i="32" s="1"/>
  <c r="L313" i="32"/>
  <c r="I267" i="32" l="1"/>
  <c r="J267" i="32" s="1"/>
  <c r="B268" i="32"/>
  <c r="L314" i="32"/>
  <c r="S313" i="32"/>
  <c r="T313" i="32" s="1"/>
  <c r="P313" i="32" s="1"/>
  <c r="I313" i="9"/>
  <c r="J313" i="9" s="1"/>
  <c r="B314" i="9"/>
  <c r="S313" i="9"/>
  <c r="T313" i="9" s="1"/>
  <c r="P313" i="9" s="1"/>
  <c r="L314" i="9"/>
  <c r="B315" i="9" l="1"/>
  <c r="I314" i="9"/>
  <c r="J314" i="9" s="1"/>
  <c r="L315" i="32"/>
  <c r="S314" i="32"/>
  <c r="T314" i="32" s="1"/>
  <c r="P314" i="32" s="1"/>
  <c r="L315" i="9"/>
  <c r="S314" i="9"/>
  <c r="T314" i="9" s="1"/>
  <c r="P314" i="9" s="1"/>
  <c r="B269" i="32"/>
  <c r="I268" i="32"/>
  <c r="J268" i="32" s="1"/>
  <c r="L316" i="9" l="1"/>
  <c r="S315" i="9"/>
  <c r="T315" i="9" s="1"/>
  <c r="P315" i="9" s="1"/>
  <c r="S315" i="32"/>
  <c r="T315" i="32" s="1"/>
  <c r="P315" i="32" s="1"/>
  <c r="L316" i="32"/>
  <c r="I269" i="32"/>
  <c r="J269" i="32" s="1"/>
  <c r="B270" i="32"/>
  <c r="B316" i="9"/>
  <c r="I315" i="9"/>
  <c r="J315" i="9" s="1"/>
  <c r="I270" i="32" l="1"/>
  <c r="J270" i="32" s="1"/>
  <c r="B271" i="32"/>
  <c r="L317" i="32"/>
  <c r="S316" i="32"/>
  <c r="T316" i="32" s="1"/>
  <c r="P316" i="32" s="1"/>
  <c r="I316" i="9"/>
  <c r="J316" i="9" s="1"/>
  <c r="B317" i="9"/>
  <c r="L317" i="9"/>
  <c r="S316" i="9"/>
  <c r="T316" i="9" s="1"/>
  <c r="P316" i="9" s="1"/>
  <c r="I317" i="9" l="1"/>
  <c r="J317" i="9" s="1"/>
  <c r="B318" i="9"/>
  <c r="S317" i="32"/>
  <c r="T317" i="32" s="1"/>
  <c r="P317" i="32" s="1"/>
  <c r="L318" i="32"/>
  <c r="B272" i="32"/>
  <c r="I271" i="32"/>
  <c r="J271" i="32" s="1"/>
  <c r="L318" i="9"/>
  <c r="S317" i="9"/>
  <c r="T317" i="9" s="1"/>
  <c r="P317" i="9" s="1"/>
  <c r="I272" i="32" l="1"/>
  <c r="J272" i="32" s="1"/>
  <c r="B273" i="32"/>
  <c r="L319" i="32"/>
  <c r="S318" i="32"/>
  <c r="T318" i="32" s="1"/>
  <c r="P318" i="32" s="1"/>
  <c r="L319" i="9"/>
  <c r="S318" i="9"/>
  <c r="T318" i="9" s="1"/>
  <c r="P318" i="9" s="1"/>
  <c r="B319" i="9"/>
  <c r="I318" i="9"/>
  <c r="J318" i="9" s="1"/>
  <c r="I319" i="9" l="1"/>
  <c r="J319" i="9" s="1"/>
  <c r="B320" i="9"/>
  <c r="S319" i="9"/>
  <c r="T319" i="9" s="1"/>
  <c r="P319" i="9" s="1"/>
  <c r="L320" i="9"/>
  <c r="S319" i="32"/>
  <c r="T319" i="32" s="1"/>
  <c r="P319" i="32" s="1"/>
  <c r="L320" i="32"/>
  <c r="I273" i="32"/>
  <c r="J273" i="32" s="1"/>
  <c r="B274" i="32"/>
  <c r="L321" i="32" l="1"/>
  <c r="S320" i="32"/>
  <c r="T320" i="32" s="1"/>
  <c r="P320" i="32" s="1"/>
  <c r="S320" i="9"/>
  <c r="T320" i="9" s="1"/>
  <c r="P320" i="9" s="1"/>
  <c r="L321" i="9"/>
  <c r="I274" i="32"/>
  <c r="J274" i="32" s="1"/>
  <c r="B275" i="32"/>
  <c r="I320" i="9"/>
  <c r="J320" i="9" s="1"/>
  <c r="B321" i="9"/>
  <c r="B276" i="32" l="1"/>
  <c r="I275" i="32"/>
  <c r="J275" i="32" s="1"/>
  <c r="L322" i="9"/>
  <c r="S321" i="9"/>
  <c r="T321" i="9" s="1"/>
  <c r="P321" i="9" s="1"/>
  <c r="B322" i="9"/>
  <c r="I321" i="9"/>
  <c r="J321" i="9" s="1"/>
  <c r="L322" i="32"/>
  <c r="S321" i="32"/>
  <c r="T321" i="32" s="1"/>
  <c r="P321" i="32" s="1"/>
  <c r="B323" i="9" l="1"/>
  <c r="I322" i="9"/>
  <c r="J322" i="9" s="1"/>
  <c r="L323" i="9"/>
  <c r="S322" i="9"/>
  <c r="T322" i="9" s="1"/>
  <c r="P322" i="9" s="1"/>
  <c r="S322" i="32"/>
  <c r="T322" i="32" s="1"/>
  <c r="P322" i="32" s="1"/>
  <c r="L323" i="32"/>
  <c r="B277" i="32"/>
  <c r="I276" i="32"/>
  <c r="J276" i="32" s="1"/>
  <c r="L324" i="32" l="1"/>
  <c r="S323" i="32"/>
  <c r="T323" i="32" s="1"/>
  <c r="P323" i="32" s="1"/>
  <c r="B278" i="32"/>
  <c r="I277" i="32"/>
  <c r="J277" i="32" s="1"/>
  <c r="S323" i="9"/>
  <c r="T323" i="9" s="1"/>
  <c r="P323" i="9" s="1"/>
  <c r="L324" i="9"/>
  <c r="B324" i="9"/>
  <c r="I323" i="9"/>
  <c r="J323" i="9" s="1"/>
  <c r="S324" i="9" l="1"/>
  <c r="T324" i="9" s="1"/>
  <c r="P324" i="9" s="1"/>
  <c r="L325" i="9"/>
  <c r="I278" i="32"/>
  <c r="J278" i="32" s="1"/>
  <c r="B279" i="32"/>
  <c r="B325" i="9"/>
  <c r="I324" i="9"/>
  <c r="J324" i="9" s="1"/>
  <c r="S324" i="32"/>
  <c r="T324" i="32" s="1"/>
  <c r="P324" i="32" s="1"/>
  <c r="L325" i="32"/>
  <c r="I325" i="9" l="1"/>
  <c r="J325" i="9" s="1"/>
  <c r="B326" i="9"/>
  <c r="B280" i="32"/>
  <c r="I279" i="32"/>
  <c r="J279" i="32" s="1"/>
  <c r="L326" i="32"/>
  <c r="S325" i="32"/>
  <c r="T325" i="32" s="1"/>
  <c r="P325" i="32" s="1"/>
  <c r="L326" i="9"/>
  <c r="S325" i="9"/>
  <c r="T325" i="9" s="1"/>
  <c r="P325" i="9" s="1"/>
  <c r="S326" i="9" l="1"/>
  <c r="T326" i="9" s="1"/>
  <c r="P326" i="9" s="1"/>
  <c r="L327" i="9"/>
  <c r="L327" i="32"/>
  <c r="S326" i="32"/>
  <c r="T326" i="32" s="1"/>
  <c r="P326" i="32" s="1"/>
  <c r="I280" i="32"/>
  <c r="J280" i="32" s="1"/>
  <c r="B281" i="32"/>
  <c r="I326" i="9"/>
  <c r="J326" i="9" s="1"/>
  <c r="B327" i="9"/>
  <c r="I281" i="32" l="1"/>
  <c r="J281" i="32" s="1"/>
  <c r="B282" i="32"/>
  <c r="S327" i="32"/>
  <c r="T327" i="32" s="1"/>
  <c r="P327" i="32" s="1"/>
  <c r="L328" i="32"/>
  <c r="L328" i="9"/>
  <c r="S327" i="9"/>
  <c r="T327" i="9" s="1"/>
  <c r="P327" i="9" s="1"/>
  <c r="B328" i="9"/>
  <c r="I327" i="9"/>
  <c r="J327" i="9" s="1"/>
  <c r="I328" i="9" l="1"/>
  <c r="J328" i="9" s="1"/>
  <c r="B329" i="9"/>
  <c r="S328" i="9"/>
  <c r="T328" i="9" s="1"/>
  <c r="P328" i="9" s="1"/>
  <c r="L329" i="9"/>
  <c r="S328" i="32"/>
  <c r="T328" i="32" s="1"/>
  <c r="P328" i="32" s="1"/>
  <c r="L329" i="32"/>
  <c r="B283" i="32"/>
  <c r="I282" i="32"/>
  <c r="J282" i="32" s="1"/>
  <c r="B284" i="32" l="1"/>
  <c r="I283" i="32"/>
  <c r="J283" i="32" s="1"/>
  <c r="L330" i="32"/>
  <c r="S329" i="32"/>
  <c r="T329" i="32" s="1"/>
  <c r="P329" i="32" s="1"/>
  <c r="S329" i="9"/>
  <c r="T329" i="9" s="1"/>
  <c r="P329" i="9" s="1"/>
  <c r="L330" i="9"/>
  <c r="I329" i="9"/>
  <c r="J329" i="9" s="1"/>
  <c r="B330" i="9"/>
  <c r="L331" i="9" l="1"/>
  <c r="S330" i="9"/>
  <c r="T330" i="9" s="1"/>
  <c r="P330" i="9" s="1"/>
  <c r="S330" i="32"/>
  <c r="T330" i="32" s="1"/>
  <c r="P330" i="32" s="1"/>
  <c r="L331" i="32"/>
  <c r="I330" i="9"/>
  <c r="J330" i="9" s="1"/>
  <c r="B331" i="9"/>
  <c r="B285" i="32"/>
  <c r="I284" i="32"/>
  <c r="J284" i="32" s="1"/>
  <c r="I331" i="9" l="1"/>
  <c r="J331" i="9" s="1"/>
  <c r="B332" i="9"/>
  <c r="I285" i="32"/>
  <c r="J285" i="32" s="1"/>
  <c r="B286" i="32"/>
  <c r="S331" i="32"/>
  <c r="T331" i="32" s="1"/>
  <c r="P331" i="32" s="1"/>
  <c r="L332" i="32"/>
  <c r="L332" i="9"/>
  <c r="S331" i="9"/>
  <c r="T331" i="9" s="1"/>
  <c r="P331" i="9" s="1"/>
  <c r="L333" i="9" l="1"/>
  <c r="S332" i="9"/>
  <c r="T332" i="9" s="1"/>
  <c r="P332" i="9" s="1"/>
  <c r="S332" i="32"/>
  <c r="T332" i="32" s="1"/>
  <c r="P332" i="32" s="1"/>
  <c r="L333" i="32"/>
  <c r="B287" i="32"/>
  <c r="I286" i="32"/>
  <c r="J286" i="32" s="1"/>
  <c r="I332" i="9"/>
  <c r="J332" i="9" s="1"/>
  <c r="B333" i="9"/>
  <c r="B288" i="32" l="1"/>
  <c r="I287" i="32"/>
  <c r="J287" i="32" s="1"/>
  <c r="I333" i="9"/>
  <c r="J333" i="9" s="1"/>
  <c r="B334" i="9"/>
  <c r="L334" i="32"/>
  <c r="S333" i="32"/>
  <c r="T333" i="32" s="1"/>
  <c r="P333" i="32" s="1"/>
  <c r="S333" i="9"/>
  <c r="T333" i="9" s="1"/>
  <c r="P333" i="9" s="1"/>
  <c r="L334" i="9"/>
  <c r="L335" i="32" l="1"/>
  <c r="S334" i="32"/>
  <c r="T334" i="32" s="1"/>
  <c r="P334" i="32" s="1"/>
  <c r="L335" i="9"/>
  <c r="S334" i="9"/>
  <c r="T334" i="9" s="1"/>
  <c r="P334" i="9" s="1"/>
  <c r="I334" i="9"/>
  <c r="J334" i="9" s="1"/>
  <c r="B335" i="9"/>
  <c r="B289" i="32"/>
  <c r="I288" i="32"/>
  <c r="J288" i="32" s="1"/>
  <c r="B336" i="9" l="1"/>
  <c r="I335" i="9"/>
  <c r="J335" i="9" s="1"/>
  <c r="S335" i="9"/>
  <c r="T335" i="9" s="1"/>
  <c r="P335" i="9" s="1"/>
  <c r="L336" i="9"/>
  <c r="I289" i="32"/>
  <c r="J289" i="32" s="1"/>
  <c r="B290" i="32"/>
  <c r="L336" i="32"/>
  <c r="S335" i="32"/>
  <c r="T335" i="32" s="1"/>
  <c r="P335" i="32" s="1"/>
  <c r="I290" i="32" l="1"/>
  <c r="J290" i="32" s="1"/>
  <c r="B291" i="32"/>
  <c r="L337" i="32"/>
  <c r="S336" i="32"/>
  <c r="T336" i="32" s="1"/>
  <c r="P336" i="32" s="1"/>
  <c r="L337" i="9"/>
  <c r="S336" i="9"/>
  <c r="T336" i="9" s="1"/>
  <c r="P336" i="9" s="1"/>
  <c r="I336" i="9"/>
  <c r="J336" i="9" s="1"/>
  <c r="B337" i="9"/>
  <c r="L338" i="9" l="1"/>
  <c r="S337" i="9"/>
  <c r="T337" i="9" s="1"/>
  <c r="P337" i="9" s="1"/>
  <c r="L338" i="32"/>
  <c r="S337" i="32"/>
  <c r="T337" i="32" s="1"/>
  <c r="P337" i="32" s="1"/>
  <c r="I337" i="9"/>
  <c r="J337" i="9" s="1"/>
  <c r="B338" i="9"/>
  <c r="B292" i="32"/>
  <c r="I291" i="32"/>
  <c r="J291" i="32" s="1"/>
  <c r="B339" i="9" l="1"/>
  <c r="I338" i="9"/>
  <c r="J338" i="9" s="1"/>
  <c r="I292" i="32"/>
  <c r="J292" i="32" s="1"/>
  <c r="B293" i="32"/>
  <c r="L339" i="32"/>
  <c r="S338" i="32"/>
  <c r="T338" i="32" s="1"/>
  <c r="P338" i="32" s="1"/>
  <c r="S338" i="9"/>
  <c r="T338" i="9" s="1"/>
  <c r="P338" i="9" s="1"/>
  <c r="L339" i="9"/>
  <c r="B13" i="1"/>
  <c r="B19" i="2" s="1"/>
  <c r="HH19" i="2" s="1"/>
  <c r="G21" i="7"/>
  <c r="K19" i="2"/>
  <c r="L340" i="32" l="1"/>
  <c r="S339" i="32"/>
  <c r="T339" i="32" s="1"/>
  <c r="P339" i="32" s="1"/>
  <c r="I293" i="32"/>
  <c r="J293" i="32" s="1"/>
  <c r="B294" i="32"/>
  <c r="S339" i="9"/>
  <c r="T339" i="9" s="1"/>
  <c r="P339" i="9" s="1"/>
  <c r="L340" i="9"/>
  <c r="B340" i="9"/>
  <c r="I339" i="9"/>
  <c r="J339" i="9" s="1"/>
  <c r="I19" i="2"/>
  <c r="J36" i="1" s="1"/>
  <c r="J54" i="1" s="1"/>
  <c r="HN19" i="2"/>
  <c r="HL19" i="2" s="1"/>
  <c r="K20" i="2"/>
  <c r="K41" i="2" s="1"/>
  <c r="C23" i="1"/>
  <c r="I21" i="7"/>
  <c r="I340" i="9" l="1"/>
  <c r="J340" i="9" s="1"/>
  <c r="B341" i="9"/>
  <c r="S340" i="9"/>
  <c r="T340" i="9" s="1"/>
  <c r="P340" i="9" s="1"/>
  <c r="L341" i="9"/>
  <c r="I294" i="32"/>
  <c r="J294" i="32" s="1"/>
  <c r="B295" i="32"/>
  <c r="L341" i="32"/>
  <c r="S340" i="32"/>
  <c r="T340" i="32" s="1"/>
  <c r="P340" i="32" s="1"/>
  <c r="D23" i="1"/>
  <c r="K87" i="2"/>
  <c r="K92" i="2"/>
  <c r="HN41" i="2"/>
  <c r="L36" i="1"/>
  <c r="F138" i="2"/>
  <c r="K174" i="2"/>
  <c r="HN174" i="2" s="1"/>
  <c r="F41" i="7" s="1"/>
  <c r="HN20" i="2"/>
  <c r="HL20" i="2" s="1"/>
  <c r="I20" i="2"/>
  <c r="J21" i="7"/>
  <c r="L342" i="32" l="1"/>
  <c r="S341" i="32"/>
  <c r="T341" i="32" s="1"/>
  <c r="P341" i="32" s="1"/>
  <c r="I295" i="32"/>
  <c r="J295" i="32" s="1"/>
  <c r="B296" i="32"/>
  <c r="S341" i="9"/>
  <c r="T341" i="9" s="1"/>
  <c r="P341" i="9" s="1"/>
  <c r="L342" i="9"/>
  <c r="B342" i="9"/>
  <c r="I341" i="9"/>
  <c r="J341" i="9" s="1"/>
  <c r="K89" i="2"/>
  <c r="K90" i="2" s="1"/>
  <c r="L54" i="1"/>
  <c r="HN92" i="2"/>
  <c r="K106" i="2"/>
  <c r="HN87" i="2"/>
  <c r="Y81" i="2"/>
  <c r="X81" i="2"/>
  <c r="AX81" i="2"/>
  <c r="AW81" i="2"/>
  <c r="AI81" i="2"/>
  <c r="BB81" i="2"/>
  <c r="AY81" i="2"/>
  <c r="AH81" i="2"/>
  <c r="BA81" i="2"/>
  <c r="AC81" i="2"/>
  <c r="BE81" i="2"/>
  <c r="AB81" i="2"/>
  <c r="BG81" i="2"/>
  <c r="BF81" i="2"/>
  <c r="AA81" i="2"/>
  <c r="AZ81" i="2"/>
  <c r="Z81" i="2"/>
  <c r="BC81" i="2"/>
  <c r="AF81" i="2"/>
  <c r="AE81" i="2"/>
  <c r="BD81" i="2"/>
  <c r="AD81" i="2"/>
  <c r="AG81" i="2"/>
  <c r="AV81" i="2"/>
  <c r="BH81" i="2"/>
  <c r="AO81" i="2"/>
  <c r="AS81" i="2"/>
  <c r="AJ81" i="2"/>
  <c r="AR81" i="2"/>
  <c r="AK81" i="2"/>
  <c r="AN81" i="2"/>
  <c r="AL81" i="2"/>
  <c r="AQ81" i="2"/>
  <c r="AM81" i="2"/>
  <c r="AP81" i="2"/>
  <c r="AT81" i="2"/>
  <c r="AU81" i="2"/>
  <c r="K178" i="2"/>
  <c r="I174" i="2"/>
  <c r="I342" i="9" l="1"/>
  <c r="J342" i="9" s="1"/>
  <c r="B343" i="9"/>
  <c r="L343" i="9"/>
  <c r="S342" i="9"/>
  <c r="T342" i="9" s="1"/>
  <c r="P342" i="9" s="1"/>
  <c r="I296" i="32"/>
  <c r="J296" i="32" s="1"/>
  <c r="B297" i="32"/>
  <c r="S342" i="32"/>
  <c r="T342" i="32" s="1"/>
  <c r="P342" i="32" s="1"/>
  <c r="L343" i="32"/>
  <c r="HR81" i="2"/>
  <c r="HP81" i="2"/>
  <c r="HN90" i="2"/>
  <c r="HL174" i="2"/>
  <c r="HN178" i="2"/>
  <c r="HN89" i="2"/>
  <c r="HN106" i="2"/>
  <c r="HQ81" i="2"/>
  <c r="L344" i="32" l="1"/>
  <c r="S343" i="32"/>
  <c r="T343" i="32" s="1"/>
  <c r="P343" i="32" s="1"/>
  <c r="I297" i="32"/>
  <c r="J297" i="32" s="1"/>
  <c r="B298" i="32"/>
  <c r="L344" i="9"/>
  <c r="S343" i="9"/>
  <c r="T343" i="9" s="1"/>
  <c r="P343" i="9" s="1"/>
  <c r="I343" i="9"/>
  <c r="J343" i="9" s="1"/>
  <c r="B344" i="9"/>
  <c r="O41" i="7"/>
  <c r="I344" i="9" l="1"/>
  <c r="J344" i="9" s="1"/>
  <c r="B345" i="9"/>
  <c r="S344" i="9"/>
  <c r="T344" i="9" s="1"/>
  <c r="P344" i="9" s="1"/>
  <c r="L345" i="9"/>
  <c r="B299" i="32"/>
  <c r="I298" i="32"/>
  <c r="J298" i="32" s="1"/>
  <c r="L345" i="32"/>
  <c r="S344" i="32"/>
  <c r="T344" i="32" s="1"/>
  <c r="P344" i="32" s="1"/>
  <c r="L346" i="32" l="1"/>
  <c r="S345" i="32"/>
  <c r="T345" i="32" s="1"/>
  <c r="P345" i="32" s="1"/>
  <c r="B300" i="32"/>
  <c r="I299" i="32"/>
  <c r="J299" i="32" s="1"/>
  <c r="S345" i="9"/>
  <c r="T345" i="9" s="1"/>
  <c r="P345" i="9" s="1"/>
  <c r="L346" i="9"/>
  <c r="B346" i="9"/>
  <c r="I345" i="9"/>
  <c r="J345" i="9" s="1"/>
  <c r="L347" i="9" l="1"/>
  <c r="S346" i="9"/>
  <c r="T346" i="9" s="1"/>
  <c r="P346" i="9" s="1"/>
  <c r="I346" i="9"/>
  <c r="J346" i="9" s="1"/>
  <c r="B347" i="9"/>
  <c r="I300" i="32"/>
  <c r="J300" i="32" s="1"/>
  <c r="B301" i="32"/>
  <c r="S346" i="32"/>
  <c r="T346" i="32" s="1"/>
  <c r="P346" i="32" s="1"/>
  <c r="L347" i="32"/>
  <c r="I301" i="32" l="1"/>
  <c r="J301" i="32" s="1"/>
  <c r="B302" i="32"/>
  <c r="L348" i="32"/>
  <c r="S347" i="32"/>
  <c r="T347" i="32" s="1"/>
  <c r="P347" i="32" s="1"/>
  <c r="B348" i="9"/>
  <c r="I347" i="9"/>
  <c r="J347" i="9" s="1"/>
  <c r="L348" i="9"/>
  <c r="S347" i="9"/>
  <c r="T347" i="9" s="1"/>
  <c r="P347" i="9" s="1"/>
  <c r="I348" i="9" l="1"/>
  <c r="J348" i="9" s="1"/>
  <c r="B349" i="9"/>
  <c r="L349" i="32"/>
  <c r="S348" i="32"/>
  <c r="T348" i="32" s="1"/>
  <c r="P348" i="32" s="1"/>
  <c r="L349" i="9"/>
  <c r="S348" i="9"/>
  <c r="T348" i="9" s="1"/>
  <c r="P348" i="9" s="1"/>
  <c r="B303" i="32"/>
  <c r="I302" i="32"/>
  <c r="J302" i="32" s="1"/>
  <c r="S349" i="9" l="1"/>
  <c r="T349" i="9" s="1"/>
  <c r="P349" i="9" s="1"/>
  <c r="L350" i="9"/>
  <c r="B304" i="32"/>
  <c r="I303" i="32"/>
  <c r="J303" i="32" s="1"/>
  <c r="L350" i="32"/>
  <c r="S349" i="32"/>
  <c r="T349" i="32" s="1"/>
  <c r="P349" i="32" s="1"/>
  <c r="B350" i="9"/>
  <c r="I349" i="9"/>
  <c r="J349" i="9" s="1"/>
  <c r="S350" i="32" l="1"/>
  <c r="T350" i="32" s="1"/>
  <c r="P350" i="32" s="1"/>
  <c r="L351" i="32"/>
  <c r="I304" i="32"/>
  <c r="J304" i="32" s="1"/>
  <c r="B305" i="32"/>
  <c r="S350" i="9"/>
  <c r="T350" i="9" s="1"/>
  <c r="P350" i="9" s="1"/>
  <c r="L351" i="9"/>
  <c r="I350" i="9"/>
  <c r="J350" i="9" s="1"/>
  <c r="B351" i="9"/>
  <c r="S351" i="9" l="1"/>
  <c r="T351" i="9" s="1"/>
  <c r="P351" i="9" s="1"/>
  <c r="L352" i="9"/>
  <c r="I305" i="32"/>
  <c r="J305" i="32" s="1"/>
  <c r="B306" i="32"/>
  <c r="L352" i="32"/>
  <c r="S351" i="32"/>
  <c r="T351" i="32" s="1"/>
  <c r="P351" i="32" s="1"/>
  <c r="B352" i="9"/>
  <c r="I351" i="9"/>
  <c r="J351" i="9" s="1"/>
  <c r="HO146" i="2"/>
  <c r="HP146" i="2"/>
  <c r="I352" i="9" l="1"/>
  <c r="J352" i="9" s="1"/>
  <c r="B353" i="9"/>
  <c r="S352" i="32"/>
  <c r="T352" i="32" s="1"/>
  <c r="P352" i="32" s="1"/>
  <c r="L353" i="32"/>
  <c r="B307" i="32"/>
  <c r="I306" i="32"/>
  <c r="J306" i="32" s="1"/>
  <c r="L353" i="9"/>
  <c r="S352" i="9"/>
  <c r="T352" i="9" s="1"/>
  <c r="P352" i="9" s="1"/>
  <c r="L354" i="9" l="1"/>
  <c r="S353" i="9"/>
  <c r="T353" i="9" s="1"/>
  <c r="P353" i="9" s="1"/>
  <c r="I307" i="32"/>
  <c r="J307" i="32" s="1"/>
  <c r="B308" i="32"/>
  <c r="S353" i="32"/>
  <c r="T353" i="32" s="1"/>
  <c r="P353" i="32" s="1"/>
  <c r="L354" i="32"/>
  <c r="I353" i="9"/>
  <c r="J353" i="9" s="1"/>
  <c r="B354" i="9"/>
  <c r="HU110" i="2"/>
  <c r="I354" i="9" l="1"/>
  <c r="J354" i="9" s="1"/>
  <c r="B355" i="9"/>
  <c r="L355" i="32"/>
  <c r="S354" i="32"/>
  <c r="T354" i="32" s="1"/>
  <c r="P354" i="32" s="1"/>
  <c r="I308" i="32"/>
  <c r="J308" i="32" s="1"/>
  <c r="B309" i="32"/>
  <c r="L355" i="9"/>
  <c r="S354" i="9"/>
  <c r="T354" i="9" s="1"/>
  <c r="P354" i="9" s="1"/>
  <c r="B310" i="32" l="1"/>
  <c r="I309" i="32"/>
  <c r="J309" i="32" s="1"/>
  <c r="S355" i="32"/>
  <c r="T355" i="32" s="1"/>
  <c r="P355" i="32" s="1"/>
  <c r="L356" i="32"/>
  <c r="B356" i="9"/>
  <c r="I355" i="9"/>
  <c r="J355" i="9" s="1"/>
  <c r="L356" i="9"/>
  <c r="S355" i="9"/>
  <c r="T355" i="9" s="1"/>
  <c r="P355" i="9" s="1"/>
  <c r="HQ146" i="2"/>
  <c r="HV110" i="2"/>
  <c r="S356" i="9" l="1"/>
  <c r="T356" i="9" s="1"/>
  <c r="P356" i="9" s="1"/>
  <c r="L357" i="9"/>
  <c r="B357" i="9"/>
  <c r="I356" i="9"/>
  <c r="J356" i="9" s="1"/>
  <c r="S356" i="32"/>
  <c r="T356" i="32" s="1"/>
  <c r="P356" i="32" s="1"/>
  <c r="L357" i="32"/>
  <c r="B311" i="32"/>
  <c r="I310" i="32"/>
  <c r="J310" i="32" s="1"/>
  <c r="L358" i="32" l="1"/>
  <c r="S357" i="32"/>
  <c r="T357" i="32" s="1"/>
  <c r="P357" i="32" s="1"/>
  <c r="B358" i="9"/>
  <c r="I357" i="9"/>
  <c r="J357" i="9" s="1"/>
  <c r="B312" i="32"/>
  <c r="I311" i="32"/>
  <c r="J311" i="32" s="1"/>
  <c r="L358" i="9"/>
  <c r="S357" i="9"/>
  <c r="T357" i="9" s="1"/>
  <c r="P357" i="9" s="1"/>
  <c r="B313" i="32" l="1"/>
  <c r="I312" i="32"/>
  <c r="J312" i="32" s="1"/>
  <c r="L359" i="9"/>
  <c r="S358" i="9"/>
  <c r="T358" i="9" s="1"/>
  <c r="P358" i="9" s="1"/>
  <c r="I358" i="9"/>
  <c r="J358" i="9" s="1"/>
  <c r="B359" i="9"/>
  <c r="S358" i="32"/>
  <c r="T358" i="32" s="1"/>
  <c r="P358" i="32" s="1"/>
  <c r="L359" i="32"/>
  <c r="HR146" i="2"/>
  <c r="S359" i="32" l="1"/>
  <c r="T359" i="32" s="1"/>
  <c r="P359" i="32" s="1"/>
  <c r="L360" i="32"/>
  <c r="I359" i="9"/>
  <c r="J359" i="9" s="1"/>
  <c r="B360" i="9"/>
  <c r="S359" i="9"/>
  <c r="T359" i="9" s="1"/>
  <c r="P359" i="9" s="1"/>
  <c r="L360" i="9"/>
  <c r="I313" i="32"/>
  <c r="J313" i="32" s="1"/>
  <c r="B314" i="32"/>
  <c r="S360" i="9" l="1"/>
  <c r="T360" i="9" s="1"/>
  <c r="P360" i="9" s="1"/>
  <c r="L361" i="9"/>
  <c r="I360" i="9"/>
  <c r="J360" i="9" s="1"/>
  <c r="B361" i="9"/>
  <c r="L361" i="32"/>
  <c r="S360" i="32"/>
  <c r="T360" i="32" s="1"/>
  <c r="P360" i="32" s="1"/>
  <c r="B315" i="32"/>
  <c r="I314" i="32"/>
  <c r="J314" i="32" s="1"/>
  <c r="HN108" i="2"/>
  <c r="B316" i="32" l="1"/>
  <c r="I315" i="32"/>
  <c r="J315" i="32" s="1"/>
  <c r="S361" i="32"/>
  <c r="T361" i="32" s="1"/>
  <c r="P361" i="32" s="1"/>
  <c r="L362" i="32"/>
  <c r="B362" i="9"/>
  <c r="I361" i="9"/>
  <c r="J361" i="9" s="1"/>
  <c r="L362" i="9"/>
  <c r="S361" i="9"/>
  <c r="T361" i="9" s="1"/>
  <c r="P361" i="9" s="1"/>
  <c r="HO165" i="2"/>
  <c r="L363" i="9" l="1"/>
  <c r="S362" i="9"/>
  <c r="T362" i="9" s="1"/>
  <c r="P362" i="9" s="1"/>
  <c r="B363" i="9"/>
  <c r="I362" i="9"/>
  <c r="J362" i="9" s="1"/>
  <c r="L363" i="32"/>
  <c r="S362" i="32"/>
  <c r="T362" i="32" s="1"/>
  <c r="P362" i="32" s="1"/>
  <c r="I316" i="32"/>
  <c r="J316" i="32" s="1"/>
  <c r="F316" i="32" s="1"/>
  <c r="B317" i="32"/>
  <c r="F105" i="32"/>
  <c r="F106" i="32"/>
  <c r="F107" i="32"/>
  <c r="F108" i="32"/>
  <c r="F109" i="32"/>
  <c r="F110" i="32"/>
  <c r="F111" i="32"/>
  <c r="F112" i="32"/>
  <c r="F113" i="32"/>
  <c r="F114" i="32"/>
  <c r="F115" i="32"/>
  <c r="F116" i="32"/>
  <c r="F117" i="32"/>
  <c r="F118" i="32"/>
  <c r="F119" i="32"/>
  <c r="F120" i="32"/>
  <c r="F121" i="32"/>
  <c r="F122" i="32"/>
  <c r="F123" i="32"/>
  <c r="F124" i="32"/>
  <c r="F125" i="32"/>
  <c r="F126" i="32"/>
  <c r="F127" i="32"/>
  <c r="F128" i="32"/>
  <c r="F129" i="32"/>
  <c r="F130" i="32"/>
  <c r="F131" i="32"/>
  <c r="F132" i="32"/>
  <c r="F133" i="32"/>
  <c r="F134" i="32"/>
  <c r="F135" i="32"/>
  <c r="F136" i="32"/>
  <c r="F137" i="32"/>
  <c r="F138" i="32"/>
  <c r="F139" i="32"/>
  <c r="F140" i="32"/>
  <c r="F141" i="32"/>
  <c r="F142" i="32"/>
  <c r="F143" i="32"/>
  <c r="F144" i="32"/>
  <c r="F145" i="32"/>
  <c r="F146" i="32"/>
  <c r="F147" i="32"/>
  <c r="F148" i="32"/>
  <c r="F149" i="32"/>
  <c r="F150" i="32"/>
  <c r="F151" i="32"/>
  <c r="F152" i="32"/>
  <c r="F153" i="32"/>
  <c r="F154" i="32"/>
  <c r="F155" i="32"/>
  <c r="F156" i="32"/>
  <c r="F157" i="32"/>
  <c r="F158" i="32"/>
  <c r="F159" i="32"/>
  <c r="F160" i="32"/>
  <c r="F161" i="32"/>
  <c r="F162" i="32"/>
  <c r="F163" i="32"/>
  <c r="F164" i="32"/>
  <c r="F165" i="32"/>
  <c r="F166" i="32"/>
  <c r="F167" i="32"/>
  <c r="F168" i="32"/>
  <c r="F169" i="32"/>
  <c r="F170" i="32"/>
  <c r="F171" i="32"/>
  <c r="F172" i="32"/>
  <c r="F173" i="32"/>
  <c r="F174" i="32"/>
  <c r="F175" i="32"/>
  <c r="F176" i="32"/>
  <c r="F177" i="32"/>
  <c r="F178" i="32"/>
  <c r="F179" i="32"/>
  <c r="F180" i="32"/>
  <c r="F181" i="32"/>
  <c r="F182" i="32"/>
  <c r="F183" i="32"/>
  <c r="F184" i="32"/>
  <c r="F185" i="32"/>
  <c r="F186" i="32"/>
  <c r="F187" i="32"/>
  <c r="F188" i="32"/>
  <c r="F189" i="32"/>
  <c r="F190" i="32"/>
  <c r="F191" i="32"/>
  <c r="F192" i="32"/>
  <c r="F193" i="32"/>
  <c r="F194" i="32"/>
  <c r="F195" i="32"/>
  <c r="F196" i="32"/>
  <c r="F197" i="32"/>
  <c r="F198" i="32"/>
  <c r="F199" i="32"/>
  <c r="F200" i="32"/>
  <c r="F201" i="32"/>
  <c r="F202" i="32"/>
  <c r="F203" i="32"/>
  <c r="F204" i="32"/>
  <c r="F205" i="32"/>
  <c r="F206" i="32"/>
  <c r="F207" i="32"/>
  <c r="F208" i="32"/>
  <c r="F209" i="32"/>
  <c r="F210" i="32"/>
  <c r="F211" i="32"/>
  <c r="F212" i="32"/>
  <c r="F213" i="32"/>
  <c r="F214" i="32"/>
  <c r="F215" i="32"/>
  <c r="F216" i="32"/>
  <c r="F217" i="32"/>
  <c r="F218" i="32"/>
  <c r="F219" i="32"/>
  <c r="F220" i="32"/>
  <c r="F221" i="32"/>
  <c r="F222" i="32"/>
  <c r="F223" i="32"/>
  <c r="F224" i="32"/>
  <c r="F225" i="32"/>
  <c r="F226" i="32"/>
  <c r="F227" i="32"/>
  <c r="F228" i="32"/>
  <c r="F229" i="32"/>
  <c r="F230" i="32"/>
  <c r="F231" i="32"/>
  <c r="F232" i="32"/>
  <c r="F233" i="32"/>
  <c r="F234" i="32"/>
  <c r="F235" i="32"/>
  <c r="F236" i="32"/>
  <c r="F237" i="32"/>
  <c r="F238" i="32"/>
  <c r="F239" i="32"/>
  <c r="F240" i="32"/>
  <c r="F241" i="32"/>
  <c r="F242" i="32"/>
  <c r="F243" i="32"/>
  <c r="F244" i="32"/>
  <c r="F245" i="32"/>
  <c r="F246" i="32"/>
  <c r="F247" i="32"/>
  <c r="F248" i="32"/>
  <c r="F249" i="32"/>
  <c r="F250" i="32"/>
  <c r="F251" i="32"/>
  <c r="F252" i="32"/>
  <c r="F253" i="32"/>
  <c r="F254" i="32"/>
  <c r="F255" i="32"/>
  <c r="F256" i="32"/>
  <c r="F257" i="32"/>
  <c r="F258" i="32"/>
  <c r="F259" i="32"/>
  <c r="F260" i="32"/>
  <c r="F261" i="32"/>
  <c r="F262" i="32"/>
  <c r="F263" i="32"/>
  <c r="F264" i="32"/>
  <c r="F265" i="32"/>
  <c r="F266" i="32"/>
  <c r="F267" i="32"/>
  <c r="F268" i="32"/>
  <c r="F269" i="32"/>
  <c r="F270" i="32"/>
  <c r="F271" i="32"/>
  <c r="F272" i="32"/>
  <c r="F273" i="32"/>
  <c r="F274" i="32"/>
  <c r="F275" i="32"/>
  <c r="F276" i="32"/>
  <c r="F277" i="32"/>
  <c r="F278" i="32"/>
  <c r="F279" i="32"/>
  <c r="F280" i="32"/>
  <c r="F281" i="32"/>
  <c r="F282" i="32"/>
  <c r="F283" i="32"/>
  <c r="F284" i="32"/>
  <c r="F285" i="32"/>
  <c r="F286" i="32"/>
  <c r="F287" i="32"/>
  <c r="F288" i="32"/>
  <c r="F289" i="32"/>
  <c r="F290" i="32"/>
  <c r="F291" i="32"/>
  <c r="F292" i="32"/>
  <c r="F293" i="32"/>
  <c r="F294" i="32"/>
  <c r="F295" i="32"/>
  <c r="F296" i="32"/>
  <c r="F297" i="32"/>
  <c r="F298" i="32"/>
  <c r="F299" i="32"/>
  <c r="F300" i="32"/>
  <c r="F301" i="32"/>
  <c r="F302" i="32"/>
  <c r="F303" i="32"/>
  <c r="F304" i="32"/>
  <c r="F305" i="32"/>
  <c r="F306" i="32"/>
  <c r="F307" i="32"/>
  <c r="F308" i="32"/>
  <c r="F309" i="32"/>
  <c r="F310" i="32"/>
  <c r="F311" i="32"/>
  <c r="F312" i="32"/>
  <c r="F313" i="32"/>
  <c r="F314" i="32"/>
  <c r="F315" i="32"/>
  <c r="F128" i="9"/>
  <c r="F129" i="9"/>
  <c r="F130" i="9"/>
  <c r="F131" i="9"/>
  <c r="F132" i="9"/>
  <c r="F133" i="9"/>
  <c r="F134"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CL165" i="2"/>
  <c r="CM165" i="2"/>
  <c r="CN165" i="2"/>
  <c r="CO165" i="2"/>
  <c r="CP165" i="2"/>
  <c r="CQ165" i="2"/>
  <c r="CQ170" i="2"/>
  <c r="I317" i="32" l="1"/>
  <c r="J317" i="32" s="1"/>
  <c r="F317" i="32" s="1"/>
  <c r="B318" i="32"/>
  <c r="L364" i="32"/>
  <c r="S363" i="32"/>
  <c r="T363" i="32" s="1"/>
  <c r="P363" i="32" s="1"/>
  <c r="I363" i="9"/>
  <c r="J363" i="9" s="1"/>
  <c r="F363" i="9" s="1"/>
  <c r="B364" i="9"/>
  <c r="L364" i="9"/>
  <c r="S363" i="9"/>
  <c r="T363" i="9" s="1"/>
  <c r="P363" i="9" s="1"/>
  <c r="CQ186" i="2"/>
  <c r="B365" i="9" l="1"/>
  <c r="I364" i="9"/>
  <c r="J364" i="9" s="1"/>
  <c r="F364" i="9" s="1"/>
  <c r="S364" i="9"/>
  <c r="T364" i="9" s="1"/>
  <c r="P364" i="9" s="1"/>
  <c r="L365" i="9"/>
  <c r="L365" i="32"/>
  <c r="S364" i="32"/>
  <c r="T364" i="32" s="1"/>
  <c r="P364" i="32" s="1"/>
  <c r="B319" i="32"/>
  <c r="I318" i="32"/>
  <c r="J318" i="32" s="1"/>
  <c r="F318" i="32" s="1"/>
  <c r="B320" i="32" l="1"/>
  <c r="I319" i="32"/>
  <c r="J319" i="32" s="1"/>
  <c r="F319" i="32" s="1"/>
  <c r="L366" i="32"/>
  <c r="S366" i="32" s="1"/>
  <c r="T366" i="32" s="1"/>
  <c r="P366" i="32" s="1"/>
  <c r="S365" i="32"/>
  <c r="T365" i="32" s="1"/>
  <c r="P365" i="32" s="1"/>
  <c r="L366" i="9"/>
  <c r="S366" i="9" s="1"/>
  <c r="T366" i="9" s="1"/>
  <c r="P366" i="9" s="1"/>
  <c r="S365" i="9"/>
  <c r="T365" i="9" s="1"/>
  <c r="P365" i="9" s="1"/>
  <c r="B366" i="9"/>
  <c r="I366" i="9" s="1"/>
  <c r="J366" i="9" s="1"/>
  <c r="F366" i="9" s="1"/>
  <c r="I365" i="9"/>
  <c r="J365" i="9" s="1"/>
  <c r="F365" i="9" s="1"/>
  <c r="I320" i="32" l="1"/>
  <c r="J320" i="32" s="1"/>
  <c r="F320" i="32" s="1"/>
  <c r="B321" i="32"/>
  <c r="I321" i="32" l="1"/>
  <c r="J321" i="32" s="1"/>
  <c r="F321" i="32" s="1"/>
  <c r="B322" i="32"/>
  <c r="I322" i="32" l="1"/>
  <c r="J322" i="32" s="1"/>
  <c r="F322" i="32" s="1"/>
  <c r="B323" i="32"/>
  <c r="I323" i="32" l="1"/>
  <c r="J323" i="32" s="1"/>
  <c r="F323" i="32" s="1"/>
  <c r="B324" i="32"/>
  <c r="B325" i="32" l="1"/>
  <c r="I324" i="32"/>
  <c r="J324" i="32" s="1"/>
  <c r="F324" i="32" s="1"/>
  <c r="BS165" i="2"/>
  <c r="BS170" i="2"/>
  <c r="I325" i="32" l="1"/>
  <c r="J325" i="32" s="1"/>
  <c r="F325" i="32" s="1"/>
  <c r="B326" i="32"/>
  <c r="HS170" i="2"/>
  <c r="HS165" i="2"/>
  <c r="B327" i="32" l="1"/>
  <c r="I326" i="32"/>
  <c r="J326" i="32" s="1"/>
  <c r="F326" i="32" s="1"/>
  <c r="D81" i="32"/>
  <c r="F81" i="32" s="1"/>
  <c r="D82" i="32"/>
  <c r="D83" i="32"/>
  <c r="D84" i="32"/>
  <c r="D85" i="32"/>
  <c r="D86" i="32"/>
  <c r="D87" i="32"/>
  <c r="D88" i="32"/>
  <c r="D89" i="32"/>
  <c r="D90" i="32"/>
  <c r="D91" i="32"/>
  <c r="D92" i="32"/>
  <c r="D93" i="32"/>
  <c r="D94" i="32"/>
  <c r="D95" i="32"/>
  <c r="D96" i="32"/>
  <c r="D97" i="32"/>
  <c r="D98" i="32"/>
  <c r="D99" i="32"/>
  <c r="D100" i="32"/>
  <c r="D101" i="32"/>
  <c r="D102" i="32"/>
  <c r="D103" i="32"/>
  <c r="D104" i="32"/>
  <c r="B328" i="32" l="1"/>
  <c r="I327" i="32"/>
  <c r="J327" i="32" s="1"/>
  <c r="F327" i="32" s="1"/>
  <c r="HR165" i="2"/>
  <c r="F83" i="32"/>
  <c r="F103" i="32"/>
  <c r="F101" i="32"/>
  <c r="F99" i="32"/>
  <c r="F97" i="32"/>
  <c r="F95" i="32"/>
  <c r="F93" i="32"/>
  <c r="F91" i="32"/>
  <c r="F89" i="32"/>
  <c r="F87" i="32"/>
  <c r="F85" i="32"/>
  <c r="F82" i="32"/>
  <c r="F104" i="32"/>
  <c r="F102" i="32"/>
  <c r="F100" i="32"/>
  <c r="F98" i="32"/>
  <c r="F96" i="32"/>
  <c r="F94" i="32"/>
  <c r="F92" i="32"/>
  <c r="F90" i="32"/>
  <c r="F88" i="32"/>
  <c r="F86" i="32"/>
  <c r="F84" i="32"/>
  <c r="B329" i="32" l="1"/>
  <c r="I328" i="32"/>
  <c r="J328" i="32" s="1"/>
  <c r="F328" i="32" s="1"/>
  <c r="AV151" i="2"/>
  <c r="AV186" i="2" s="1"/>
  <c r="B330" i="32" l="1"/>
  <c r="I329" i="32"/>
  <c r="J329" i="32" s="1"/>
  <c r="F329" i="32" s="1"/>
  <c r="B331" i="32" l="1"/>
  <c r="I330" i="32"/>
  <c r="J330" i="32" s="1"/>
  <c r="F330" i="32" s="1"/>
  <c r="I331" i="32" l="1"/>
  <c r="J331" i="32" s="1"/>
  <c r="F331" i="32" s="1"/>
  <c r="B332" i="32"/>
  <c r="I332" i="32" l="1"/>
  <c r="J332" i="32" s="1"/>
  <c r="F332" i="32" s="1"/>
  <c r="B333" i="32"/>
  <c r="B334" i="32" l="1"/>
  <c r="I333" i="32"/>
  <c r="J333" i="32" s="1"/>
  <c r="F333" i="32" s="1"/>
  <c r="HT108" i="2"/>
  <c r="BH110" i="2"/>
  <c r="HS110" i="2" s="1"/>
  <c r="BT110" i="2"/>
  <c r="CE151" i="2"/>
  <c r="I334" i="32" l="1"/>
  <c r="J334" i="32" s="1"/>
  <c r="F334" i="32" s="1"/>
  <c r="B335" i="32"/>
  <c r="HT110" i="2"/>
  <c r="B336" i="32" l="1"/>
  <c r="I335" i="32"/>
  <c r="J335" i="32" s="1"/>
  <c r="F335" i="32" s="1"/>
  <c r="CG170" i="2"/>
  <c r="CG186" i="2" s="1"/>
  <c r="B337" i="32" l="1"/>
  <c r="I336" i="32"/>
  <c r="J336" i="32" s="1"/>
  <c r="F336" i="32" s="1"/>
  <c r="HU108" i="2"/>
  <c r="B338" i="32" l="1"/>
  <c r="I337" i="32"/>
  <c r="J337" i="32" s="1"/>
  <c r="F337" i="32" s="1"/>
  <c r="AJ151" i="2"/>
  <c r="AJ186" i="2" s="1"/>
  <c r="HQ186" i="2" s="1"/>
  <c r="I44" i="7" s="1"/>
  <c r="I338" i="32" l="1"/>
  <c r="J338" i="32" s="1"/>
  <c r="F338" i="32" s="1"/>
  <c r="B339" i="32"/>
  <c r="HQ151" i="2"/>
  <c r="B340" i="32" l="1"/>
  <c r="I339" i="32"/>
  <c r="J339" i="32" s="1"/>
  <c r="F339" i="32" s="1"/>
  <c r="BG170" i="2"/>
  <c r="B341" i="32" l="1"/>
  <c r="I340" i="32"/>
  <c r="J340" i="32" s="1"/>
  <c r="F340" i="32" s="1"/>
  <c r="HR170" i="2"/>
  <c r="I341" i="32" l="1"/>
  <c r="J341" i="32" s="1"/>
  <c r="F341" i="32" s="1"/>
  <c r="B342" i="32"/>
  <c r="B343" i="32" l="1"/>
  <c r="I342" i="32"/>
  <c r="J342" i="32" s="1"/>
  <c r="F342" i="32" s="1"/>
  <c r="B344" i="32" l="1"/>
  <c r="I343" i="32"/>
  <c r="J343" i="32" s="1"/>
  <c r="F343" i="32" s="1"/>
  <c r="I344" i="32" l="1"/>
  <c r="J344" i="32" s="1"/>
  <c r="F344" i="32" s="1"/>
  <c r="B345" i="32"/>
  <c r="D59" i="1"/>
  <c r="G14" i="7"/>
  <c r="I138" i="2"/>
  <c r="K138" i="2"/>
  <c r="K142" i="2" s="1"/>
  <c r="B346" i="32" l="1"/>
  <c r="I345" i="32"/>
  <c r="J345" i="32" s="1"/>
  <c r="F345" i="32" s="1"/>
  <c r="HN142" i="2"/>
  <c r="HN152" i="2" s="1"/>
  <c r="HO137" i="2" s="1"/>
  <c r="K152" i="2"/>
  <c r="K179" i="2"/>
  <c r="HN138" i="2"/>
  <c r="HL138" i="2" s="1"/>
  <c r="HN179" i="2" l="1"/>
  <c r="K187" i="2"/>
  <c r="B347" i="32"/>
  <c r="I346" i="32"/>
  <c r="J346" i="32" s="1"/>
  <c r="F346" i="32" s="1"/>
  <c r="L137" i="2"/>
  <c r="L144" i="2" s="1"/>
  <c r="L148" i="2"/>
  <c r="B348" i="32" l="1"/>
  <c r="I347" i="32"/>
  <c r="J347" i="32" s="1"/>
  <c r="F347" i="32" s="1"/>
  <c r="L107" i="2"/>
  <c r="L184" i="2" s="1"/>
  <c r="L149" i="2"/>
  <c r="L150" i="2" s="1"/>
  <c r="L182" i="2"/>
  <c r="I348" i="32" l="1"/>
  <c r="J348" i="32" s="1"/>
  <c r="F348" i="32" s="1"/>
  <c r="B349" i="32"/>
  <c r="L112" i="2"/>
  <c r="B350" i="32" l="1"/>
  <c r="I349" i="32"/>
  <c r="J349" i="32" s="1"/>
  <c r="F349" i="32" s="1"/>
  <c r="L113" i="2"/>
  <c r="I350" i="32" l="1"/>
  <c r="J350" i="32" s="1"/>
  <c r="F350" i="32" s="1"/>
  <c r="B351" i="32"/>
  <c r="M148" i="2"/>
  <c r="B352" i="32" l="1"/>
  <c r="I351" i="32"/>
  <c r="J351" i="32" s="1"/>
  <c r="F351" i="32" s="1"/>
  <c r="M149" i="2"/>
  <c r="M150" i="2" s="1"/>
  <c r="M182" i="2"/>
  <c r="I352" i="32" l="1"/>
  <c r="J352" i="32" s="1"/>
  <c r="F352" i="32" s="1"/>
  <c r="B353" i="32"/>
  <c r="M112" i="2"/>
  <c r="I353" i="32" l="1"/>
  <c r="J353" i="32" s="1"/>
  <c r="F353" i="32" s="1"/>
  <c r="B354" i="32"/>
  <c r="N148" i="2"/>
  <c r="I354" i="32" l="1"/>
  <c r="J354" i="32" s="1"/>
  <c r="F354" i="32" s="1"/>
  <c r="B355" i="32"/>
  <c r="N149" i="2"/>
  <c r="N150" i="2" s="1"/>
  <c r="N182" i="2"/>
  <c r="B356" i="32" l="1"/>
  <c r="I355" i="32"/>
  <c r="J355" i="32" s="1"/>
  <c r="F355" i="32" s="1"/>
  <c r="N112" i="2"/>
  <c r="B357" i="32" l="1"/>
  <c r="I356" i="32"/>
  <c r="J356" i="32" s="1"/>
  <c r="F356" i="32" s="1"/>
  <c r="O148" i="2"/>
  <c r="B358" i="32" l="1"/>
  <c r="I357" i="32"/>
  <c r="J357" i="32" s="1"/>
  <c r="F357" i="32" s="1"/>
  <c r="O149" i="2"/>
  <c r="O150" i="2" s="1"/>
  <c r="O182" i="2"/>
  <c r="I358" i="32" l="1"/>
  <c r="J358" i="32" s="1"/>
  <c r="F358" i="32" s="1"/>
  <c r="B359" i="32"/>
  <c r="O112" i="2"/>
  <c r="I359" i="32" l="1"/>
  <c r="J359" i="32" s="1"/>
  <c r="F359" i="32" s="1"/>
  <c r="B360" i="32"/>
  <c r="P148" i="2"/>
  <c r="P149" i="2" s="1"/>
  <c r="P150" i="2" s="1"/>
  <c r="B361" i="32" l="1"/>
  <c r="I360" i="32"/>
  <c r="J360" i="32" s="1"/>
  <c r="F360" i="32" s="1"/>
  <c r="P182" i="2"/>
  <c r="I361" i="32" l="1"/>
  <c r="J361" i="32" s="1"/>
  <c r="F361" i="32" s="1"/>
  <c r="B362" i="32"/>
  <c r="P112" i="2"/>
  <c r="B363" i="32" l="1"/>
  <c r="I362" i="32"/>
  <c r="J362" i="32" s="1"/>
  <c r="F362" i="32" s="1"/>
  <c r="X148" i="2"/>
  <c r="B364" i="32" l="1"/>
  <c r="I363" i="32"/>
  <c r="J363" i="32" s="1"/>
  <c r="F363" i="32" s="1"/>
  <c r="X149" i="2"/>
  <c r="X182" i="2"/>
  <c r="B365" i="32" l="1"/>
  <c r="I364" i="32"/>
  <c r="J364" i="32" s="1"/>
  <c r="F364" i="32" s="1"/>
  <c r="X150" i="2"/>
  <c r="I365" i="32" l="1"/>
  <c r="J365" i="32" s="1"/>
  <c r="F365" i="32" s="1"/>
  <c r="B366" i="32"/>
  <c r="I366" i="32" s="1"/>
  <c r="J366" i="32" s="1"/>
  <c r="F366" i="32" s="1"/>
  <c r="X112" i="2"/>
  <c r="Y148" i="2" l="1"/>
  <c r="Y149" i="2" l="1"/>
  <c r="Y182" i="2"/>
  <c r="Y150" i="2" l="1"/>
  <c r="Y112" i="2" l="1"/>
  <c r="Z148" i="2" l="1"/>
  <c r="Z149" i="2" l="1"/>
  <c r="Z182" i="2"/>
  <c r="Z150" i="2" l="1"/>
  <c r="Z112" i="2" l="1"/>
  <c r="AA148" i="2" l="1"/>
  <c r="AA149" i="2" l="1"/>
  <c r="AA150" i="2" s="1"/>
  <c r="AA182" i="2"/>
  <c r="AA112" i="2" l="1"/>
  <c r="AB148" i="2" l="1"/>
  <c r="AB149" i="2" l="1"/>
  <c r="AB150" i="2" s="1"/>
  <c r="AB182" i="2"/>
  <c r="AB112" i="2" l="1"/>
  <c r="AG148" i="2" l="1"/>
  <c r="AG182" i="2" s="1"/>
  <c r="AG149" i="2" l="1"/>
  <c r="AG150" i="2" s="1"/>
  <c r="AG112" i="2" s="1"/>
  <c r="AH148" i="2"/>
  <c r="AH149" i="2" s="1"/>
  <c r="AH150" i="2" s="1"/>
  <c r="AH112" i="2" s="1"/>
  <c r="AH182" i="2" l="1"/>
  <c r="AJ148" i="2"/>
  <c r="AJ149" i="2" l="1"/>
  <c r="AJ182" i="2"/>
  <c r="AJ150" i="2" l="1"/>
  <c r="AJ112" i="2" l="1"/>
  <c r="AK148" i="2" l="1"/>
  <c r="AK149" i="2" l="1"/>
  <c r="AK150" i="2" s="1"/>
  <c r="AK182" i="2"/>
  <c r="AM148" i="2" l="1"/>
  <c r="AK112" i="2"/>
  <c r="AM149" i="2" l="1"/>
  <c r="AM150" i="2" s="1"/>
  <c r="AM182" i="2"/>
  <c r="AM112" i="2" l="1"/>
  <c r="AV148" i="2" l="1"/>
  <c r="AV149" i="2" l="1"/>
  <c r="AV182" i="2"/>
  <c r="AX148" i="2" l="1"/>
  <c r="AV150" i="2"/>
  <c r="AV112" i="2" l="1"/>
  <c r="AX149" i="2"/>
  <c r="AX182" i="2"/>
  <c r="AX150" i="2" l="1"/>
  <c r="BA148" i="2" l="1"/>
  <c r="AX112" i="2"/>
  <c r="BA149" i="2" l="1"/>
  <c r="BA182" i="2"/>
  <c r="BA150" i="2" l="1"/>
  <c r="BA112" i="2" l="1"/>
  <c r="BG151" i="2" l="1"/>
  <c r="HR151" i="2" l="1"/>
  <c r="BG186" i="2"/>
  <c r="BG148" i="2"/>
  <c r="HO147" i="2"/>
  <c r="HP147" i="2"/>
  <c r="HQ147" i="2"/>
  <c r="HR147" i="2"/>
  <c r="BG149" i="2" l="1"/>
  <c r="BG182" i="2"/>
  <c r="BG214" i="2" s="1"/>
  <c r="HR186" i="2"/>
  <c r="J44" i="7" l="1"/>
  <c r="BG150" i="2"/>
  <c r="BH146" i="2" l="1"/>
  <c r="BG112" i="2"/>
  <c r="BH148" i="2" l="1"/>
  <c r="BH182" i="2" l="1"/>
  <c r="BH214" i="2" s="1"/>
  <c r="BH149" i="2"/>
  <c r="BH150" i="2" s="1"/>
  <c r="BI146" i="2" l="1"/>
  <c r="BH112" i="2"/>
  <c r="BI148" i="2" l="1"/>
  <c r="BI149" i="2" l="1"/>
  <c r="BI182" i="2"/>
  <c r="BI214" i="2" s="1"/>
  <c r="BI150" i="2" l="1"/>
  <c r="BJ146" i="2"/>
  <c r="HR108" i="2"/>
  <c r="HN107" i="2"/>
  <c r="K113" i="2"/>
  <c r="D24" i="1"/>
  <c r="C26" i="1"/>
  <c r="D26" i="1" s="1"/>
  <c r="G28" i="7"/>
  <c r="BI112" i="2" l="1"/>
  <c r="BJ148" i="2"/>
  <c r="HN184" i="2"/>
  <c r="K116" i="2"/>
  <c r="K118" i="2" s="1"/>
  <c r="K123" i="2" s="1"/>
  <c r="HN113" i="2"/>
  <c r="G29" i="7"/>
  <c r="G15" i="7" s="1"/>
  <c r="BJ149" i="2" l="1"/>
  <c r="BJ182" i="2"/>
  <c r="BJ214" i="2" s="1"/>
  <c r="G17" i="7"/>
  <c r="F43" i="7"/>
  <c r="F44" i="1"/>
  <c r="F45" i="1" s="1"/>
  <c r="HN118" i="2"/>
  <c r="K122" i="2"/>
  <c r="HN116" i="2"/>
  <c r="BK146" i="2" l="1"/>
  <c r="BK148" i="2" s="1"/>
  <c r="BJ150" i="2"/>
  <c r="G138" i="2"/>
  <c r="HN122" i="2"/>
  <c r="HN123" i="2"/>
  <c r="BK149" i="2" l="1"/>
  <c r="BK150" i="2" s="1"/>
  <c r="BK182" i="2"/>
  <c r="BK214" i="2" s="1"/>
  <c r="BJ112" i="2"/>
  <c r="I124" i="2"/>
  <c r="K207" i="2"/>
  <c r="K129" i="2"/>
  <c r="L121" i="2" s="1"/>
  <c r="HN129" i="2"/>
  <c r="HO121" i="2" s="1"/>
  <c r="BK112" i="2" l="1"/>
  <c r="I207" i="2"/>
  <c r="BL146" i="2" l="1"/>
  <c r="BM146" i="2" l="1"/>
  <c r="BN146" i="2" l="1"/>
  <c r="BO146" i="2" l="1"/>
  <c r="BP146" i="2" l="1"/>
  <c r="BQ146" i="2" l="1"/>
  <c r="BR146" i="2" l="1"/>
  <c r="BS146" i="2" l="1"/>
  <c r="BU107" i="2" l="1"/>
  <c r="BU184" i="2" s="1"/>
  <c r="BU146" i="2" l="1"/>
  <c r="BV107" i="2" l="1"/>
  <c r="BV184" i="2" s="1"/>
  <c r="BV146" i="2" l="1"/>
  <c r="BW107" i="2" l="1"/>
  <c r="BW184" i="2" s="1"/>
  <c r="BW146" i="2" l="1"/>
  <c r="BX107" i="2" l="1"/>
  <c r="BX184" i="2" s="1"/>
  <c r="BX146" i="2" l="1"/>
  <c r="BY107" i="2" l="1"/>
  <c r="BY184" i="2" s="1"/>
  <c r="BY146" i="2" l="1"/>
  <c r="BZ107" i="2" l="1"/>
  <c r="BZ184" i="2" s="1"/>
  <c r="BZ146" i="2" l="1"/>
  <c r="CA107" i="2" l="1"/>
  <c r="CA184" i="2" s="1"/>
  <c r="CA146" i="2" l="1"/>
  <c r="CB107" i="2" l="1"/>
  <c r="CB184" i="2" s="1"/>
  <c r="CB146" i="2" l="1"/>
  <c r="CC107" i="2" l="1"/>
  <c r="CC184" i="2" s="1"/>
  <c r="CC146" i="2" l="1"/>
  <c r="CD107" i="2" l="1"/>
  <c r="CD184" i="2" s="1"/>
  <c r="CD146" i="2" l="1"/>
  <c r="CE107" i="2" l="1"/>
  <c r="CE184" i="2" s="1"/>
  <c r="CE146" i="2" l="1"/>
  <c r="CF107" i="2" l="1"/>
  <c r="CF184" i="2" s="1"/>
  <c r="CF146" i="2" l="1"/>
  <c r="CG107" i="2" l="1"/>
  <c r="CG184" i="2" s="1"/>
  <c r="CG146" i="2" l="1"/>
  <c r="CH107" i="2" l="1"/>
  <c r="CH184" i="2" s="1"/>
  <c r="CH146" i="2" l="1"/>
  <c r="CI107" i="2" l="1"/>
  <c r="CI184" i="2" s="1"/>
  <c r="CI146" i="2" l="1"/>
  <c r="CJ107" i="2" l="1"/>
  <c r="CJ184" i="2" s="1"/>
  <c r="CJ146" i="2" l="1"/>
  <c r="CK107" i="2" l="1"/>
  <c r="CK184" i="2" s="1"/>
  <c r="CK146" i="2" l="1"/>
  <c r="CL107" i="2" l="1"/>
  <c r="CL184" i="2" s="1"/>
  <c r="CL146" i="2" l="1"/>
  <c r="CM107" i="2" l="1"/>
  <c r="CM184" i="2" s="1"/>
  <c r="CM146" i="2" l="1"/>
  <c r="CN107" i="2" l="1"/>
  <c r="CN184" i="2" s="1"/>
  <c r="CN146" i="2" l="1"/>
  <c r="CO107" i="2" l="1"/>
  <c r="CO184" i="2" s="1"/>
  <c r="CO146" i="2" l="1"/>
  <c r="CP107" i="2" l="1"/>
  <c r="CP184" i="2" s="1"/>
  <c r="CP146" i="2" l="1"/>
  <c r="CQ107" i="2" l="1"/>
  <c r="CQ184" i="2" s="1"/>
  <c r="CQ146" i="2" l="1"/>
  <c r="CR107" i="2" l="1"/>
  <c r="CR184" i="2" s="1"/>
  <c r="CR146" i="2" l="1"/>
  <c r="CS107" i="2" l="1"/>
  <c r="CS184" i="2" s="1"/>
  <c r="CS146" i="2" l="1"/>
  <c r="CT107" i="2" l="1"/>
  <c r="CT184" i="2" s="1"/>
  <c r="CT146" i="2" l="1"/>
  <c r="CU107" i="2" l="1"/>
  <c r="CU184" i="2" s="1"/>
  <c r="CU146" i="2" l="1"/>
  <c r="CV107" i="2" l="1"/>
  <c r="CV184" i="2" s="1"/>
  <c r="CV146" i="2" l="1"/>
  <c r="CW107" i="2" l="1"/>
  <c r="CW184" i="2" s="1"/>
  <c r="CW146" i="2" l="1"/>
  <c r="HU107" i="2"/>
  <c r="HV107" i="2"/>
  <c r="HS146" i="2" l="1"/>
  <c r="HU146" i="2"/>
  <c r="HV146" i="2"/>
  <c r="F6" i="1" l="1"/>
  <c r="F8" i="1" s="1"/>
  <c r="CS165" i="2" l="1"/>
  <c r="CT165" i="2"/>
  <c r="CU165" i="2"/>
  <c r="CV165" i="2"/>
  <c r="CW165" i="2"/>
  <c r="HV165" i="2" l="1"/>
  <c r="HO122" i="2" l="1"/>
  <c r="HP122" i="2"/>
  <c r="HQ122" i="2"/>
  <c r="HR122" i="2"/>
  <c r="HO123" i="2"/>
  <c r="HO129" i="2" s="1"/>
  <c r="HP121" i="2" s="1"/>
  <c r="HP123" i="2"/>
  <c r="HQ123" i="2"/>
  <c r="HR123" i="2"/>
  <c r="L129" i="2"/>
  <c r="M121" i="2" s="1"/>
  <c r="M129" i="2" s="1"/>
  <c r="N121" i="2" s="1"/>
  <c r="N129" i="2" s="1"/>
  <c r="O121" i="2" s="1"/>
  <c r="O129" i="2" s="1"/>
  <c r="P121" i="2" s="1"/>
  <c r="P129" i="2" s="1"/>
  <c r="Q121" i="2" s="1"/>
  <c r="Q129" i="2" s="1"/>
  <c r="R121" i="2" s="1"/>
  <c r="R129" i="2" s="1"/>
  <c r="S121" i="2" s="1"/>
  <c r="S129" i="2" s="1"/>
  <c r="T121" i="2" s="1"/>
  <c r="T129" i="2" s="1"/>
  <c r="U121" i="2" s="1"/>
  <c r="U129" i="2" s="1"/>
  <c r="V121" i="2" s="1"/>
  <c r="V129" i="2" s="1"/>
  <c r="W121" i="2" s="1"/>
  <c r="W129" i="2" s="1"/>
  <c r="X121" i="2" s="1"/>
  <c r="X129" i="2" s="1"/>
  <c r="Y121" i="2" s="1"/>
  <c r="Y129" i="2" s="1"/>
  <c r="Z121" i="2" s="1"/>
  <c r="Z129" i="2" s="1"/>
  <c r="AA121" i="2" s="1"/>
  <c r="AA129" i="2" s="1"/>
  <c r="AB121" i="2" s="1"/>
  <c r="AB129" i="2" s="1"/>
  <c r="AC121" i="2" s="1"/>
  <c r="AC129" i="2" s="1"/>
  <c r="AD121" i="2" s="1"/>
  <c r="AD129" i="2" s="1"/>
  <c r="AE121" i="2" s="1"/>
  <c r="AE129" i="2" s="1"/>
  <c r="AF121" i="2" s="1"/>
  <c r="AF129" i="2" s="1"/>
  <c r="AG121" i="2" s="1"/>
  <c r="AG129" i="2" s="1"/>
  <c r="AH121" i="2" s="1"/>
  <c r="AH129" i="2" s="1"/>
  <c r="AI121" i="2" s="1"/>
  <c r="AI129" i="2" s="1"/>
  <c r="AJ121" i="2" s="1"/>
  <c r="AJ129" i="2" s="1"/>
  <c r="AK121" i="2" s="1"/>
  <c r="AK129" i="2" s="1"/>
  <c r="AL121" i="2" s="1"/>
  <c r="AL129" i="2" s="1"/>
  <c r="AM121" i="2" s="1"/>
  <c r="AM129" i="2" s="1"/>
  <c r="AN121" i="2" s="1"/>
  <c r="AN129" i="2" s="1"/>
  <c r="AO121" i="2" s="1"/>
  <c r="AO129" i="2" s="1"/>
  <c r="AP121" i="2" s="1"/>
  <c r="AP129" i="2" s="1"/>
  <c r="AQ121" i="2" s="1"/>
  <c r="AQ129" i="2" s="1"/>
  <c r="AR121" i="2" s="1"/>
  <c r="AR129" i="2" s="1"/>
  <c r="AS121" i="2" s="1"/>
  <c r="AS129" i="2" s="1"/>
  <c r="AT121" i="2" s="1"/>
  <c r="AT129" i="2" s="1"/>
  <c r="AU121" i="2" s="1"/>
  <c r="AU129" i="2" s="1"/>
  <c r="AV121" i="2" s="1"/>
  <c r="AV129" i="2" s="1"/>
  <c r="AW121" i="2" s="1"/>
  <c r="AW129" i="2" s="1"/>
  <c r="AX121" i="2" s="1"/>
  <c r="AX129" i="2" s="1"/>
  <c r="AY121" i="2" s="1"/>
  <c r="AY129" i="2" s="1"/>
  <c r="AZ121" i="2" s="1"/>
  <c r="AZ129" i="2" s="1"/>
  <c r="BA121" i="2" s="1"/>
  <c r="BA129" i="2" s="1"/>
  <c r="BB121" i="2" s="1"/>
  <c r="BB129" i="2" s="1"/>
  <c r="BC121" i="2" s="1"/>
  <c r="BC129" i="2" s="1"/>
  <c r="BD121" i="2" s="1"/>
  <c r="BD129" i="2" s="1"/>
  <c r="BE121" i="2" s="1"/>
  <c r="BE129" i="2" s="1"/>
  <c r="BF121" i="2" s="1"/>
  <c r="BF129" i="2" s="1"/>
  <c r="BG121" i="2" s="1"/>
  <c r="BG129" i="2" s="1"/>
  <c r="BH121" i="2" s="1"/>
  <c r="BH129" i="2" s="1"/>
  <c r="BI121" i="2" s="1"/>
  <c r="BI129" i="2" s="1"/>
  <c r="BJ121" i="2" s="1"/>
  <c r="BJ129" i="2" s="1"/>
  <c r="BK121" i="2" s="1"/>
  <c r="BK129" i="2" s="1"/>
  <c r="BL121" i="2" s="1"/>
  <c r="AY148" i="2"/>
  <c r="AY182" i="2" s="1"/>
  <c r="AQ148" i="2"/>
  <c r="AQ182" i="2" s="1"/>
  <c r="AI148" i="2"/>
  <c r="AI182" i="2" s="1"/>
  <c r="BC148" i="2"/>
  <c r="BC149" i="2" s="1"/>
  <c r="BC150" i="2" s="1"/>
  <c r="BC112" i="2" s="1"/>
  <c r="AU148" i="2"/>
  <c r="AU182" i="2" s="1"/>
  <c r="BB148" i="2"/>
  <c r="BB182" i="2" s="1"/>
  <c r="AT148" i="2"/>
  <c r="AT182" i="2" s="1"/>
  <c r="AL148" i="2"/>
  <c r="AL149" i="2" s="1"/>
  <c r="AL150" i="2" s="1"/>
  <c r="BF148" i="2"/>
  <c r="BF182" i="2" s="1"/>
  <c r="BF214" i="2" s="1"/>
  <c r="AP148" i="2"/>
  <c r="AP182" i="2" s="1"/>
  <c r="AS148" i="2"/>
  <c r="AS182" i="2" s="1"/>
  <c r="BE148" i="2"/>
  <c r="BE182" i="2" s="1"/>
  <c r="BE214" i="2" s="1"/>
  <c r="AO148" i="2"/>
  <c r="AO182" i="2" s="1"/>
  <c r="AZ148" i="2"/>
  <c r="AZ182" i="2" s="1"/>
  <c r="AR148" i="2"/>
  <c r="AR182" i="2" s="1"/>
  <c r="BD148" i="2"/>
  <c r="BD182" i="2" s="1"/>
  <c r="BD214" i="2" s="1"/>
  <c r="AN148" i="2"/>
  <c r="AN182" i="2" s="1"/>
  <c r="AW148" i="2"/>
  <c r="AW182" i="2" s="1"/>
  <c r="F49" i="1"/>
  <c r="AI149" i="2" l="1"/>
  <c r="AI150" i="2" s="1"/>
  <c r="AI112" i="2" s="1"/>
  <c r="AS149" i="2"/>
  <c r="AS150" i="2" s="1"/>
  <c r="AS112" i="2" s="1"/>
  <c r="AQ149" i="2"/>
  <c r="AQ150" i="2" s="1"/>
  <c r="AQ112" i="2" s="1"/>
  <c r="AT149" i="2"/>
  <c r="AT150" i="2" s="1"/>
  <c r="AT112" i="2" s="1"/>
  <c r="AP149" i="2"/>
  <c r="AP150" i="2" s="1"/>
  <c r="AP112" i="2" s="1"/>
  <c r="AW149" i="2"/>
  <c r="AW150" i="2" s="1"/>
  <c r="AW112" i="2" s="1"/>
  <c r="AU149" i="2"/>
  <c r="AU150" i="2" s="1"/>
  <c r="AU112" i="2" s="1"/>
  <c r="HR148" i="2"/>
  <c r="BE149" i="2"/>
  <c r="BE150" i="2" s="1"/>
  <c r="BE112" i="2" s="1"/>
  <c r="HP129" i="2"/>
  <c r="HQ121" i="2" s="1"/>
  <c r="HQ129" i="2" s="1"/>
  <c r="HR121" i="2" s="1"/>
  <c r="HR129" i="2" s="1"/>
  <c r="HS121" i="2" s="1"/>
  <c r="BF149" i="2"/>
  <c r="BF150" i="2" s="1"/>
  <c r="BF112" i="2" s="1"/>
  <c r="AY149" i="2"/>
  <c r="AY150" i="2" s="1"/>
  <c r="AY112" i="2" s="1"/>
  <c r="BB149" i="2"/>
  <c r="BB150" i="2" s="1"/>
  <c r="BB112" i="2" s="1"/>
  <c r="AN149" i="2"/>
  <c r="AN150" i="2" s="1"/>
  <c r="AN112" i="2" s="1"/>
  <c r="AZ149" i="2"/>
  <c r="AZ150" i="2" s="1"/>
  <c r="AZ112" i="2" s="1"/>
  <c r="BD149" i="2"/>
  <c r="BD150" i="2" s="1"/>
  <c r="BD112" i="2" s="1"/>
  <c r="AR149" i="2"/>
  <c r="AR150" i="2" s="1"/>
  <c r="AR112" i="2" s="1"/>
  <c r="F50" i="1"/>
  <c r="F29" i="1" s="1"/>
  <c r="F141" i="2"/>
  <c r="H14" i="7"/>
  <c r="I14" i="7" s="1"/>
  <c r="AO149" i="2"/>
  <c r="AO150" i="2" s="1"/>
  <c r="AO112" i="2" s="1"/>
  <c r="AL182" i="2"/>
  <c r="HQ182" i="2" s="1"/>
  <c r="BC182" i="2"/>
  <c r="HR182" i="2" s="1"/>
  <c r="HQ148" i="2"/>
  <c r="AL112" i="2"/>
  <c r="HR149" i="2" l="1"/>
  <c r="F55" i="1"/>
  <c r="F58" i="1" s="1"/>
  <c r="J14" i="7"/>
  <c r="D4" i="25"/>
  <c r="E4" i="25" s="1"/>
  <c r="L140" i="2"/>
  <c r="L139" i="2"/>
  <c r="F36" i="1"/>
  <c r="BS108" i="2" s="1"/>
  <c r="E37" i="1"/>
  <c r="F59" i="1"/>
  <c r="F38" i="1"/>
  <c r="G110" i="2" s="1"/>
  <c r="BG110" i="2" s="1"/>
  <c r="HQ149" i="2"/>
  <c r="HR112" i="2"/>
  <c r="HQ112" i="2"/>
  <c r="HQ150" i="2"/>
  <c r="HR150" i="2"/>
  <c r="HS108" i="2" l="1"/>
  <c r="HL108" i="2" s="1"/>
  <c r="I108" i="2"/>
  <c r="HR110" i="2"/>
  <c r="HL110" i="2" s="1"/>
  <c r="I110" i="2"/>
  <c r="L141" i="2"/>
  <c r="L142" i="2" s="1"/>
  <c r="L152" i="2" l="1"/>
  <c r="L179" i="2"/>
  <c r="G179" i="2" l="1"/>
  <c r="M137" i="2"/>
  <c r="M140" i="2"/>
  <c r="M139" i="2"/>
  <c r="M144" i="2" l="1"/>
  <c r="M107" i="2"/>
  <c r="M184" i="2" s="1"/>
  <c r="M141" i="2"/>
  <c r="M142" i="2" s="1"/>
  <c r="M179" i="2" l="1"/>
  <c r="M152" i="2"/>
  <c r="M113" i="2"/>
  <c r="N137" i="2" l="1"/>
  <c r="N139" i="2"/>
  <c r="N140" i="2"/>
  <c r="N107" i="2" l="1"/>
  <c r="N184" i="2" s="1"/>
  <c r="N144" i="2"/>
  <c r="N141" i="2"/>
  <c r="N142" i="2" s="1"/>
  <c r="N179" i="2" l="1"/>
  <c r="N152" i="2"/>
  <c r="N113" i="2"/>
  <c r="O137" i="2" l="1"/>
  <c r="O139" i="2"/>
  <c r="O140" i="2"/>
  <c r="O107" i="2" l="1"/>
  <c r="O184" i="2" s="1"/>
  <c r="O144" i="2"/>
  <c r="O141" i="2"/>
  <c r="O142" i="2" s="1"/>
  <c r="O179" i="2" l="1"/>
  <c r="O152" i="2"/>
  <c r="O113" i="2"/>
  <c r="P137" i="2" l="1"/>
  <c r="P139" i="2"/>
  <c r="P140" i="2"/>
  <c r="P144" i="2" l="1"/>
  <c r="P107" i="2"/>
  <c r="P184" i="2" s="1"/>
  <c r="P141" i="2"/>
  <c r="P142" i="2" s="1"/>
  <c r="P179" i="2" l="1"/>
  <c r="P152" i="2"/>
  <c r="P113" i="2"/>
  <c r="Q137" i="2" l="1"/>
  <c r="Q140" i="2"/>
  <c r="Q139" i="2"/>
  <c r="Q144" i="2" l="1"/>
  <c r="Q148" i="2" s="1"/>
  <c r="Q107" i="2"/>
  <c r="Q184" i="2" s="1"/>
  <c r="Q141" i="2"/>
  <c r="Q142" i="2" s="1"/>
  <c r="Q179" i="2" l="1"/>
  <c r="Q152" i="2"/>
  <c r="Q182" i="2"/>
  <c r="Q149" i="2"/>
  <c r="Q150" i="2" l="1"/>
  <c r="R137" i="2"/>
  <c r="R140" i="2"/>
  <c r="R139" i="2"/>
  <c r="R144" i="2" l="1"/>
  <c r="R148" i="2" s="1"/>
  <c r="R107" i="2"/>
  <c r="R184" i="2" s="1"/>
  <c r="R141" i="2"/>
  <c r="R142" i="2" s="1"/>
  <c r="Q112" i="2"/>
  <c r="R179" i="2" l="1"/>
  <c r="R152" i="2"/>
  <c r="Q113" i="2"/>
  <c r="R149" i="2"/>
  <c r="R150" i="2" s="1"/>
  <c r="R182" i="2"/>
  <c r="R112" i="2" l="1"/>
  <c r="S137" i="2"/>
  <c r="S140" i="2"/>
  <c r="S139" i="2"/>
  <c r="S107" i="2" l="1"/>
  <c r="S184" i="2" s="1"/>
  <c r="S144" i="2"/>
  <c r="S148" i="2" s="1"/>
  <c r="S141" i="2"/>
  <c r="S142" i="2" s="1"/>
  <c r="R113" i="2"/>
  <c r="S179" i="2" l="1"/>
  <c r="S152" i="2"/>
  <c r="S149" i="2"/>
  <c r="S150" i="2" s="1"/>
  <c r="S182" i="2"/>
  <c r="S112" i="2" l="1"/>
  <c r="T137" i="2"/>
  <c r="T140" i="2"/>
  <c r="T139" i="2"/>
  <c r="T107" i="2" l="1"/>
  <c r="T184" i="2" s="1"/>
  <c r="T144" i="2"/>
  <c r="T148" i="2" s="1"/>
  <c r="T141" i="2"/>
  <c r="T142" i="2" s="1"/>
  <c r="T179" i="2" s="1"/>
  <c r="S113" i="2"/>
  <c r="T152" i="2" l="1"/>
  <c r="T149" i="2"/>
  <c r="T150" i="2" s="1"/>
  <c r="T182" i="2"/>
  <c r="T112" i="2" l="1"/>
  <c r="U137" i="2"/>
  <c r="U140" i="2"/>
  <c r="U139" i="2"/>
  <c r="U107" i="2" l="1"/>
  <c r="U184" i="2" s="1"/>
  <c r="U144" i="2"/>
  <c r="U148" i="2" s="1"/>
  <c r="U141" i="2"/>
  <c r="U142" i="2" s="1"/>
  <c r="U179" i="2" s="1"/>
  <c r="T113" i="2"/>
  <c r="U152" i="2" l="1"/>
  <c r="U149" i="2"/>
  <c r="U150" i="2" s="1"/>
  <c r="U182" i="2"/>
  <c r="U112" i="2" l="1"/>
  <c r="V137" i="2"/>
  <c r="V140" i="2"/>
  <c r="V139" i="2"/>
  <c r="V107" i="2" l="1"/>
  <c r="V184" i="2" s="1"/>
  <c r="V144" i="2"/>
  <c r="V148" i="2" s="1"/>
  <c r="V141" i="2"/>
  <c r="V142" i="2" s="1"/>
  <c r="U113" i="2"/>
  <c r="V179" i="2" l="1"/>
  <c r="V152" i="2"/>
  <c r="V149" i="2"/>
  <c r="V150" i="2" s="1"/>
  <c r="V112" i="2" s="1"/>
  <c r="V113" i="2" s="1"/>
  <c r="V182" i="2"/>
  <c r="W137" i="2" l="1"/>
  <c r="W139" i="2"/>
  <c r="W140" i="2"/>
  <c r="W144" i="2" l="1"/>
  <c r="W148" i="2" s="1"/>
  <c r="W107" i="2"/>
  <c r="W184" i="2" s="1"/>
  <c r="W141" i="2"/>
  <c r="W142" i="2" s="1"/>
  <c r="W179" i="2" s="1"/>
  <c r="W152" i="2" l="1"/>
  <c r="W149" i="2"/>
  <c r="W150" i="2" s="1"/>
  <c r="W112" i="2" s="1"/>
  <c r="W113" i="2" s="1"/>
  <c r="W182" i="2"/>
  <c r="F54" i="1" s="1"/>
  <c r="F57" i="1" s="1"/>
  <c r="X137" i="2" l="1"/>
  <c r="X139" i="2"/>
  <c r="X140" i="2"/>
  <c r="X107" i="2" l="1"/>
  <c r="X184" i="2" s="1"/>
  <c r="X144" i="2"/>
  <c r="X141" i="2"/>
  <c r="X113" i="2" l="1"/>
  <c r="X142" i="2"/>
  <c r="X179" i="2" l="1"/>
  <c r="X152" i="2"/>
  <c r="Y137" i="2" l="1"/>
  <c r="Y140" i="2"/>
  <c r="Y139" i="2"/>
  <c r="Y107" i="2" l="1"/>
  <c r="Y184" i="2" s="1"/>
  <c r="Y144" i="2"/>
  <c r="Y141" i="2"/>
  <c r="Y113" i="2" l="1"/>
  <c r="Y142" i="2"/>
  <c r="Y179" i="2" l="1"/>
  <c r="Y152" i="2"/>
  <c r="Z137" i="2" l="1"/>
  <c r="Z140" i="2"/>
  <c r="Z139" i="2"/>
  <c r="Z144" i="2" l="1"/>
  <c r="Z107" i="2"/>
  <c r="Z184" i="2" s="1"/>
  <c r="Z141" i="2"/>
  <c r="Z113" i="2" l="1"/>
  <c r="Z142" i="2"/>
  <c r="Z179" i="2" l="1"/>
  <c r="Z152" i="2"/>
  <c r="AA137" i="2" l="1"/>
  <c r="AA140" i="2"/>
  <c r="AA139" i="2"/>
  <c r="AA107" i="2" l="1"/>
  <c r="AA184" i="2" s="1"/>
  <c r="AA144" i="2"/>
  <c r="AA141" i="2"/>
  <c r="AA142" i="2" s="1"/>
  <c r="AA179" i="2" l="1"/>
  <c r="AA152" i="2"/>
  <c r="AA113" i="2"/>
  <c r="AB137" i="2" l="1"/>
  <c r="AB140" i="2"/>
  <c r="AB139" i="2"/>
  <c r="AB107" i="2" l="1"/>
  <c r="AB184" i="2" s="1"/>
  <c r="AB144" i="2"/>
  <c r="AB141" i="2"/>
  <c r="AB142" i="2" s="1"/>
  <c r="AB179" i="2" l="1"/>
  <c r="AB152" i="2"/>
  <c r="AB113" i="2"/>
  <c r="AC137" i="2" l="1"/>
  <c r="AC140" i="2"/>
  <c r="AC139" i="2"/>
  <c r="AC107" i="2" l="1"/>
  <c r="AC184" i="2" s="1"/>
  <c r="AC144" i="2"/>
  <c r="AC148" i="2" s="1"/>
  <c r="AC141" i="2"/>
  <c r="AC142" i="2" s="1"/>
  <c r="AC179" i="2" l="1"/>
  <c r="AC152" i="2"/>
  <c r="AC149" i="2"/>
  <c r="AC182" i="2"/>
  <c r="AC150" i="2" l="1"/>
  <c r="AD137" i="2"/>
  <c r="AD140" i="2"/>
  <c r="AD139" i="2"/>
  <c r="AD107" i="2" l="1"/>
  <c r="AD184" i="2" s="1"/>
  <c r="AD144" i="2"/>
  <c r="AD148" i="2" s="1"/>
  <c r="AD141" i="2"/>
  <c r="AC112" i="2"/>
  <c r="AC113" i="2" l="1"/>
  <c r="AD149" i="2"/>
  <c r="AD182" i="2"/>
  <c r="AD150" i="2" l="1"/>
  <c r="AD112" i="2" l="1"/>
  <c r="AD142" i="2" l="1"/>
  <c r="AD113" i="2"/>
  <c r="AD179" i="2" l="1"/>
  <c r="AD152" i="2"/>
  <c r="AE137" i="2" l="1"/>
  <c r="AE139" i="2"/>
  <c r="AE140" i="2"/>
  <c r="AE107" i="2" l="1"/>
  <c r="AE184" i="2" s="1"/>
  <c r="AE144" i="2"/>
  <c r="AE148" i="2" s="1"/>
  <c r="AE141" i="2"/>
  <c r="AE142" i="2" s="1"/>
  <c r="AE152" i="2" l="1"/>
  <c r="AE179" i="2"/>
  <c r="AE149" i="2"/>
  <c r="AE182" i="2"/>
  <c r="AE150" i="2" l="1"/>
  <c r="AF137" i="2"/>
  <c r="AF140" i="2"/>
  <c r="AF139" i="2"/>
  <c r="AF144" i="2" l="1"/>
  <c r="AF148" i="2" s="1"/>
  <c r="AF141" i="2"/>
  <c r="AF142" i="2" s="1"/>
  <c r="AF107" i="2"/>
  <c r="AF184" i="2" s="1"/>
  <c r="AE112" i="2"/>
  <c r="AF179" i="2" l="1"/>
  <c r="AF152" i="2"/>
  <c r="AE113" i="2"/>
  <c r="AF149" i="2"/>
  <c r="AF182" i="2"/>
  <c r="HP148" i="2"/>
  <c r="AF150" i="2" l="1"/>
  <c r="HP149" i="2"/>
  <c r="AG137" i="2"/>
  <c r="AG140" i="2"/>
  <c r="AG139" i="2"/>
  <c r="AG107" i="2" l="1"/>
  <c r="AG184" i="2" s="1"/>
  <c r="AG144" i="2"/>
  <c r="AG141" i="2"/>
  <c r="AG142" i="2" s="1"/>
  <c r="AF112" i="2"/>
  <c r="HP150" i="2"/>
  <c r="AG179" i="2" l="1"/>
  <c r="AG152" i="2"/>
  <c r="HP112" i="2"/>
  <c r="AF113" i="2"/>
  <c r="AG113" i="2"/>
  <c r="AH140" i="2" l="1"/>
  <c r="AH139" i="2"/>
  <c r="AH137" i="2"/>
  <c r="AH144" i="2" l="1"/>
  <c r="AH107" i="2"/>
  <c r="AH184" i="2" s="1"/>
  <c r="AH141" i="2"/>
  <c r="AH142" i="2" s="1"/>
  <c r="AH179" i="2" s="1"/>
  <c r="AH152" i="2" l="1"/>
  <c r="AH113" i="2"/>
  <c r="AI139" i="2" l="1"/>
  <c r="AI140" i="2"/>
  <c r="AI137" i="2"/>
  <c r="AI107" i="2" l="1"/>
  <c r="AI184" i="2" s="1"/>
  <c r="AI141" i="2"/>
  <c r="AI142" i="2" s="1"/>
  <c r="AI152" i="2" l="1"/>
  <c r="AI179" i="2"/>
  <c r="AI113" i="2"/>
  <c r="HP179" i="2" l="1"/>
  <c r="AJ137" i="2"/>
  <c r="AJ139" i="2"/>
  <c r="AJ140" i="2"/>
  <c r="AJ141" i="2" l="1"/>
  <c r="AJ142" i="2" s="1"/>
  <c r="AJ107" i="2"/>
  <c r="AJ184" i="2" s="1"/>
  <c r="AJ179" i="2" l="1"/>
  <c r="AJ152" i="2"/>
  <c r="AJ113" i="2"/>
  <c r="AK139" i="2" l="1"/>
  <c r="AK137" i="2"/>
  <c r="AK140" i="2"/>
  <c r="AK141" i="2" l="1"/>
  <c r="AK142" i="2" s="1"/>
  <c r="AK152" i="2" s="1"/>
  <c r="AK107" i="2"/>
  <c r="AK184" i="2" s="1"/>
  <c r="AL137" i="2" l="1"/>
  <c r="AL140" i="2"/>
  <c r="AL139" i="2"/>
  <c r="AK113" i="2"/>
  <c r="AK179" i="2"/>
  <c r="AL141" i="2" l="1"/>
  <c r="AL142" i="2" s="1"/>
  <c r="AL107" i="2"/>
  <c r="AL184" i="2" s="1"/>
  <c r="AL179" i="2" l="1"/>
  <c r="AL152" i="2"/>
  <c r="AL113" i="2"/>
  <c r="AM139" i="2" l="1"/>
  <c r="AM140" i="2"/>
  <c r="AM137" i="2"/>
  <c r="AM107" i="2" l="1"/>
  <c r="AM184" i="2" s="1"/>
  <c r="AM141" i="2"/>
  <c r="AM142" i="2" s="1"/>
  <c r="AM152" i="2" l="1"/>
  <c r="AM179" i="2"/>
  <c r="AM113" i="2"/>
  <c r="AN139" i="2" l="1"/>
  <c r="AN137" i="2"/>
  <c r="AN140" i="2"/>
  <c r="AN141" i="2" l="1"/>
  <c r="AN142" i="2" s="1"/>
  <c r="AN107" i="2"/>
  <c r="AN184" i="2" s="1"/>
  <c r="AN113" i="2" l="1"/>
  <c r="AN152" i="2"/>
  <c r="AN179" i="2"/>
  <c r="AO137" i="2" l="1"/>
  <c r="AO139" i="2"/>
  <c r="AO140" i="2"/>
  <c r="AO107" i="2" l="1"/>
  <c r="AO184" i="2" s="1"/>
  <c r="AO141" i="2"/>
  <c r="AO142" i="2" s="1"/>
  <c r="AO152" i="2" l="1"/>
  <c r="AO179" i="2"/>
  <c r="AO113" i="2"/>
  <c r="AP140" i="2" l="1"/>
  <c r="AP137" i="2"/>
  <c r="AP139" i="2"/>
  <c r="AP107" i="2" l="1"/>
  <c r="AP184" i="2" s="1"/>
  <c r="AP141" i="2"/>
  <c r="AP142" i="2" s="1"/>
  <c r="AP179" i="2" s="1"/>
  <c r="AP113" i="2" l="1"/>
  <c r="AP152" i="2"/>
  <c r="AQ139" i="2" l="1"/>
  <c r="AQ140" i="2"/>
  <c r="AQ137" i="2"/>
  <c r="AQ141" i="2" l="1"/>
  <c r="AQ142" i="2" s="1"/>
  <c r="AQ179" i="2" s="1"/>
  <c r="AQ107" i="2"/>
  <c r="AQ184" i="2" s="1"/>
  <c r="AQ152" i="2" l="1"/>
  <c r="AR137" i="2" s="1"/>
  <c r="AQ113" i="2"/>
  <c r="AR139" i="2" l="1"/>
  <c r="AR140" i="2"/>
  <c r="AR107" i="2"/>
  <c r="AR184" i="2" s="1"/>
  <c r="AR141" i="2" l="1"/>
  <c r="AR142" i="2" s="1"/>
  <c r="AR179" i="2" s="1"/>
  <c r="AR113" i="2"/>
  <c r="AR152" i="2" l="1"/>
  <c r="AS139" i="2" s="1"/>
  <c r="AS137" i="2" l="1"/>
  <c r="AS107" i="2" s="1"/>
  <c r="AS184" i="2" s="1"/>
  <c r="AS140" i="2"/>
  <c r="AS141" i="2" l="1"/>
  <c r="AS142" i="2" s="1"/>
  <c r="AS179" i="2" s="1"/>
  <c r="AS113" i="2"/>
  <c r="AS152" i="2" l="1"/>
  <c r="AT140" i="2" s="1"/>
  <c r="AT139" i="2" l="1"/>
  <c r="AT137" i="2"/>
  <c r="AT107" i="2" s="1"/>
  <c r="AT184" i="2" s="1"/>
  <c r="AT141" i="2" l="1"/>
  <c r="AT142" i="2" s="1"/>
  <c r="AT179" i="2" s="1"/>
  <c r="AT113" i="2"/>
  <c r="AT152" i="2" l="1"/>
  <c r="AU137" i="2" s="1"/>
  <c r="AU140" i="2" l="1"/>
  <c r="AU139" i="2"/>
  <c r="AU107" i="2"/>
  <c r="AU184" i="2" s="1"/>
  <c r="AU141" i="2" l="1"/>
  <c r="AU142" i="2" s="1"/>
  <c r="AU179" i="2" s="1"/>
  <c r="AU113" i="2"/>
  <c r="AU152" i="2" l="1"/>
  <c r="AV137" i="2" s="1"/>
  <c r="AV107" i="2" s="1"/>
  <c r="AV184" i="2" s="1"/>
  <c r="AV140" i="2" l="1"/>
  <c r="AV139" i="2"/>
  <c r="AV113" i="2"/>
  <c r="AV141" i="2" l="1"/>
  <c r="AV142" i="2" s="1"/>
  <c r="AV179" i="2" s="1"/>
  <c r="AV152" i="2" l="1"/>
  <c r="AW137" i="2" s="1"/>
  <c r="AW107" i="2" s="1"/>
  <c r="AW184" i="2" s="1"/>
  <c r="AW140" i="2" l="1"/>
  <c r="AW139" i="2"/>
  <c r="AW113" i="2"/>
  <c r="AW141" i="2" l="1"/>
  <c r="AW142" i="2" s="1"/>
  <c r="AW152" i="2" s="1"/>
  <c r="AX137" i="2" s="1"/>
  <c r="AX139" i="2" l="1"/>
  <c r="AX140" i="2"/>
  <c r="AW179" i="2"/>
  <c r="AX107" i="2"/>
  <c r="AX184" i="2" s="1"/>
  <c r="AX141" i="2" l="1"/>
  <c r="AX142" i="2" s="1"/>
  <c r="AX152" i="2" s="1"/>
  <c r="AX113" i="2"/>
  <c r="HQ113" i="2"/>
  <c r="AX179" i="2" l="1"/>
  <c r="AY137" i="2"/>
  <c r="AY139" i="2"/>
  <c r="AY140" i="2"/>
  <c r="AY141" i="2" l="1"/>
  <c r="AY142" i="2" s="1"/>
  <c r="AY107" i="2"/>
  <c r="AY184" i="2" s="1"/>
  <c r="AY152" i="2" l="1"/>
  <c r="AY179" i="2"/>
  <c r="AY113" i="2"/>
  <c r="AZ139" i="2" l="1"/>
  <c r="AZ140" i="2"/>
  <c r="AZ137" i="2"/>
  <c r="HQ184" i="2"/>
  <c r="AZ141" i="2" l="1"/>
  <c r="AZ142" i="2" s="1"/>
  <c r="AZ107" i="2"/>
  <c r="AZ184" i="2" s="1"/>
  <c r="I43" i="7"/>
  <c r="AZ152" i="2" l="1"/>
  <c r="AZ179" i="2"/>
  <c r="AZ113" i="2"/>
  <c r="BA140" i="2" l="1"/>
  <c r="BA139" i="2"/>
  <c r="BA137" i="2"/>
  <c r="BA141" i="2" l="1"/>
  <c r="BA142" i="2" s="1"/>
  <c r="BA179" i="2" s="1"/>
  <c r="BA107" i="2"/>
  <c r="BA184" i="2" s="1"/>
  <c r="BA152" i="2" l="1"/>
  <c r="BB137" i="2" s="1"/>
  <c r="BA113" i="2"/>
  <c r="BB139" i="2" l="1"/>
  <c r="BB140" i="2"/>
  <c r="BB107" i="2"/>
  <c r="BB184" i="2" s="1"/>
  <c r="BB141" i="2" l="1"/>
  <c r="BB142" i="2" s="1"/>
  <c r="BB179" i="2" s="1"/>
  <c r="BB113" i="2"/>
  <c r="BB152" i="2" l="1"/>
  <c r="BC137" i="2" s="1"/>
  <c r="BC139" i="2" l="1"/>
  <c r="BC140" i="2"/>
  <c r="BC107" i="2"/>
  <c r="BC184" i="2" s="1"/>
  <c r="BC141" i="2" l="1"/>
  <c r="BC142" i="2" s="1"/>
  <c r="BC179" i="2" s="1"/>
  <c r="BC113" i="2"/>
  <c r="BC152" i="2" l="1"/>
  <c r="BD137" i="2" s="1"/>
  <c r="BD140" i="2" l="1"/>
  <c r="BD139" i="2"/>
  <c r="BD107" i="2"/>
  <c r="BD184" i="2" s="1"/>
  <c r="BD141" i="2" l="1"/>
  <c r="BD142" i="2" s="1"/>
  <c r="BD179" i="2" s="1"/>
  <c r="BD113" i="2"/>
  <c r="BD152" i="2" l="1"/>
  <c r="BE137" i="2" s="1"/>
  <c r="BE140" i="2" l="1"/>
  <c r="BE139" i="2"/>
  <c r="BE107" i="2"/>
  <c r="BE184" i="2" s="1"/>
  <c r="BE141" i="2" l="1"/>
  <c r="BE142" i="2" s="1"/>
  <c r="BE179" i="2" s="1"/>
  <c r="BE113" i="2"/>
  <c r="BE152" i="2" l="1"/>
  <c r="BF137" i="2" s="1"/>
  <c r="BF107" i="2" s="1"/>
  <c r="BF184" i="2" s="1"/>
  <c r="BF140" i="2" l="1"/>
  <c r="BF139" i="2"/>
  <c r="BF113" i="2"/>
  <c r="BF141" i="2" l="1"/>
  <c r="BF142" i="2" s="1"/>
  <c r="BF152" i="2" s="1"/>
  <c r="BG137" i="2" s="1"/>
  <c r="BG140" i="2" l="1"/>
  <c r="BG139" i="2"/>
  <c r="BF179" i="2"/>
  <c r="BG107" i="2"/>
  <c r="BG184" i="2" s="1"/>
  <c r="BG141" i="2" l="1"/>
  <c r="BG142" i="2" s="1"/>
  <c r="BG179" i="2" s="1"/>
  <c r="BG113" i="2"/>
  <c r="BG152" i="2" l="1"/>
  <c r="BH137" i="2" s="1"/>
  <c r="BH139" i="2" l="1"/>
  <c r="BH140" i="2"/>
  <c r="BH107" i="2"/>
  <c r="BH184" i="2" s="1"/>
  <c r="BH141" i="2" l="1"/>
  <c r="BH142" i="2" s="1"/>
  <c r="BH179" i="2" s="1"/>
  <c r="BH113" i="2"/>
  <c r="BH152" i="2" l="1"/>
  <c r="BI137" i="2" s="1"/>
  <c r="BI140" i="2" l="1"/>
  <c r="BI107" i="2"/>
  <c r="BI184" i="2" s="1"/>
  <c r="HO141" i="2" l="1"/>
  <c r="HQ141" i="2"/>
  <c r="HR141" i="2"/>
  <c r="HO140" i="2" l="1"/>
  <c r="HP140" i="2"/>
  <c r="HQ140" i="2"/>
  <c r="HR140" i="2"/>
  <c r="HO139" i="2"/>
  <c r="HP139" i="2"/>
  <c r="HQ139" i="2"/>
  <c r="HR139" i="2"/>
  <c r="HO107" i="2" l="1"/>
  <c r="HP107" i="2"/>
  <c r="HQ107" i="2"/>
  <c r="HR107" i="2"/>
  <c r="HO148" i="2" l="1"/>
  <c r="HO150" i="2" l="1"/>
  <c r="HO149" i="2"/>
  <c r="HO182" i="2"/>
  <c r="HP182" i="2"/>
  <c r="HO112" i="2" l="1"/>
  <c r="HO113" i="2" l="1"/>
  <c r="HP113" i="2"/>
  <c r="HR113" i="2"/>
  <c r="HO184" i="2" l="1"/>
  <c r="HP184" i="2"/>
  <c r="H43" i="7" s="1"/>
  <c r="HR184" i="2"/>
  <c r="J43" i="7" s="1"/>
  <c r="G43" i="7" l="1"/>
  <c r="HP141" i="2" l="1"/>
  <c r="HO142" i="2" l="1"/>
  <c r="HP142" i="2"/>
  <c r="HQ142" i="2"/>
  <c r="HR142" i="2"/>
  <c r="HO152" i="2" l="1"/>
  <c r="HO179" i="2"/>
  <c r="HQ179" i="2"/>
  <c r="HR179" i="2"/>
  <c r="HP137" i="2" l="1"/>
  <c r="HP152" i="2" s="1"/>
  <c r="HQ137" i="2" s="1"/>
  <c r="HQ152" i="2" s="1"/>
  <c r="HR137" i="2" s="1"/>
  <c r="HR152" i="2" s="1"/>
  <c r="HS137" i="2" s="1"/>
  <c r="EA170" i="2" l="1"/>
  <c r="EA186" i="2" s="1"/>
  <c r="CC170" i="2" l="1"/>
  <c r="CC186" i="2" s="1"/>
  <c r="BY170" i="2" l="1"/>
  <c r="BY186" i="2" s="1"/>
  <c r="D123" i="9" l="1"/>
  <c r="F123" i="9" s="1"/>
  <c r="D124" i="9" l="1"/>
  <c r="F124" i="9" s="1"/>
  <c r="D125" i="9" l="1"/>
  <c r="F125" i="9" s="1"/>
  <c r="D126" i="9" l="1"/>
  <c r="F126" i="9" s="1"/>
  <c r="D127" i="9" l="1"/>
  <c r="F127" i="9" s="1"/>
  <c r="GP165" i="2" l="1"/>
  <c r="GP166" i="2"/>
  <c r="GP170" i="2"/>
  <c r="GP186" i="2" s="1"/>
  <c r="GP167" i="2" l="1"/>
  <c r="GP168" i="2" l="1"/>
  <c r="GP169" i="2" s="1"/>
  <c r="GP183" i="2"/>
  <c r="GC170" i="2" l="1"/>
  <c r="GC186" i="2" s="1"/>
  <c r="EB165" i="2" l="1"/>
  <c r="EC165" i="2"/>
  <c r="ED165" i="2"/>
  <c r="EE165" i="2"/>
  <c r="EF165" i="2"/>
  <c r="EG165" i="2"/>
  <c r="EH165" i="2"/>
  <c r="EI165" i="2"/>
  <c r="EJ165" i="2"/>
  <c r="EK165" i="2"/>
  <c r="EL165" i="2"/>
  <c r="EM165" i="2"/>
  <c r="EN165" i="2"/>
  <c r="EO165" i="2"/>
  <c r="EP165" i="2"/>
  <c r="EQ165" i="2"/>
  <c r="ER165" i="2"/>
  <c r="ES165" i="2"/>
  <c r="ET165" i="2"/>
  <c r="EU165" i="2"/>
  <c r="EV165" i="2"/>
  <c r="EW165" i="2"/>
  <c r="EX165" i="2"/>
  <c r="EY165" i="2"/>
  <c r="EZ165" i="2"/>
  <c r="FA165" i="2"/>
  <c r="FB165" i="2"/>
  <c r="FC165" i="2"/>
  <c r="FD165" i="2"/>
  <c r="FE165" i="2"/>
  <c r="FF165" i="2"/>
  <c r="FG165" i="2"/>
  <c r="FH165" i="2"/>
  <c r="FI165" i="2"/>
  <c r="FJ165" i="2"/>
  <c r="FK165" i="2"/>
  <c r="FL165" i="2"/>
  <c r="FM165" i="2"/>
  <c r="FN165" i="2"/>
  <c r="FO165" i="2"/>
  <c r="FP165" i="2"/>
  <c r="FQ165" i="2"/>
  <c r="FR165" i="2"/>
  <c r="FS165" i="2"/>
  <c r="FT165" i="2"/>
  <c r="FU165" i="2"/>
  <c r="FV165" i="2"/>
  <c r="FW165" i="2"/>
  <c r="FX165" i="2"/>
  <c r="FY165" i="2"/>
  <c r="FZ165" i="2"/>
  <c r="GA165" i="2"/>
  <c r="GB165" i="2"/>
  <c r="GC165" i="2"/>
  <c r="DL166" i="2"/>
  <c r="DL167" i="2" s="1"/>
  <c r="DL168" i="2" s="1"/>
  <c r="DM166" i="2"/>
  <c r="DM167" i="2" s="1"/>
  <c r="DN166" i="2"/>
  <c r="DN167" i="2" s="1"/>
  <c r="DN168" i="2" s="1"/>
  <c r="DO166" i="2"/>
  <c r="DO167" i="2" s="1"/>
  <c r="DO168" i="2" s="1"/>
  <c r="DP166" i="2"/>
  <c r="DP167" i="2" s="1"/>
  <c r="DQ166" i="2"/>
  <c r="DQ167" i="2" s="1"/>
  <c r="DQ168" i="2" s="1"/>
  <c r="DR166" i="2"/>
  <c r="DR167" i="2" s="1"/>
  <c r="DR168" i="2" s="1"/>
  <c r="DS166" i="2"/>
  <c r="DS167" i="2" s="1"/>
  <c r="DS168" i="2" s="1"/>
  <c r="DT166" i="2"/>
  <c r="DT167" i="2" s="1"/>
  <c r="DT168" i="2" s="1"/>
  <c r="DU166" i="2"/>
  <c r="DU167" i="2" s="1"/>
  <c r="DV166" i="2"/>
  <c r="DV167" i="2" s="1"/>
  <c r="DV168" i="2" s="1"/>
  <c r="DW166" i="2"/>
  <c r="DW167" i="2" s="1"/>
  <c r="DW168" i="2" s="1"/>
  <c r="DX166" i="2"/>
  <c r="DX167" i="2" s="1"/>
  <c r="DY166" i="2"/>
  <c r="DY167" i="2" s="1"/>
  <c r="DY168" i="2" s="1"/>
  <c r="DZ166" i="2"/>
  <c r="DZ167" i="2" s="1"/>
  <c r="DZ168" i="2" s="1"/>
  <c r="EA166" i="2"/>
  <c r="EA167" i="2" s="1"/>
  <c r="EA168" i="2" s="1"/>
  <c r="EB166" i="2"/>
  <c r="EC166" i="2"/>
  <c r="ED166" i="2"/>
  <c r="EE166" i="2"/>
  <c r="EF166" i="2"/>
  <c r="EG166" i="2"/>
  <c r="EH166" i="2"/>
  <c r="EI166" i="2"/>
  <c r="EJ166" i="2"/>
  <c r="EK166" i="2"/>
  <c r="EL166" i="2"/>
  <c r="EM166" i="2"/>
  <c r="EN166" i="2"/>
  <c r="EO166" i="2"/>
  <c r="EP166" i="2"/>
  <c r="EQ166" i="2"/>
  <c r="ER166" i="2"/>
  <c r="ES166" i="2"/>
  <c r="ET166" i="2"/>
  <c r="EU166" i="2"/>
  <c r="EV166" i="2"/>
  <c r="EW166" i="2"/>
  <c r="EX166" i="2"/>
  <c r="EY166" i="2"/>
  <c r="EZ166" i="2"/>
  <c r="FA166" i="2"/>
  <c r="FB166" i="2"/>
  <c r="FC166" i="2"/>
  <c r="FD166" i="2"/>
  <c r="FE166" i="2"/>
  <c r="FF166" i="2"/>
  <c r="FG166" i="2"/>
  <c r="FH166" i="2"/>
  <c r="FI166" i="2"/>
  <c r="FJ166" i="2"/>
  <c r="FK166" i="2"/>
  <c r="FL166" i="2"/>
  <c r="FM166" i="2"/>
  <c r="FN166" i="2"/>
  <c r="FO166" i="2"/>
  <c r="FP166" i="2"/>
  <c r="FQ166" i="2"/>
  <c r="FR166" i="2"/>
  <c r="FS166" i="2"/>
  <c r="FT166" i="2"/>
  <c r="FU166" i="2"/>
  <c r="FV166" i="2"/>
  <c r="FW166" i="2"/>
  <c r="FX166" i="2"/>
  <c r="FY166" i="2"/>
  <c r="FZ166" i="2"/>
  <c r="GA166" i="2"/>
  <c r="GB166" i="2"/>
  <c r="GC166" i="2"/>
  <c r="DJ26" i="5"/>
  <c r="DJ36" i="5" s="1"/>
  <c r="DK26" i="5"/>
  <c r="DK36" i="5" s="1"/>
  <c r="DL28" i="5"/>
  <c r="DM26" i="5"/>
  <c r="DM36" i="5" s="1"/>
  <c r="DN26" i="5"/>
  <c r="DO28" i="5"/>
  <c r="DP26" i="5"/>
  <c r="DQ26" i="5"/>
  <c r="DR26" i="5"/>
  <c r="DS26" i="5"/>
  <c r="DS36" i="5" s="1"/>
  <c r="DT26" i="5"/>
  <c r="DT36" i="5" s="1"/>
  <c r="DU28" i="5"/>
  <c r="DV26" i="5"/>
  <c r="DW26" i="5"/>
  <c r="DX26" i="5"/>
  <c r="DY26" i="5"/>
  <c r="DZ28" i="5"/>
  <c r="EA28" i="5"/>
  <c r="EB26" i="5"/>
  <c r="EC26" i="5"/>
  <c r="EC36" i="5" s="1"/>
  <c r="ED28" i="5"/>
  <c r="EE26" i="5"/>
  <c r="DK34" i="5"/>
  <c r="DL34" i="5"/>
  <c r="DM34" i="5"/>
  <c r="DN34" i="5"/>
  <c r="DO34" i="5"/>
  <c r="DP34" i="5"/>
  <c r="DQ34" i="5"/>
  <c r="DR34" i="5"/>
  <c r="DS34" i="5"/>
  <c r="DT34" i="5"/>
  <c r="DU34" i="5"/>
  <c r="DV34" i="5"/>
  <c r="DW34" i="5"/>
  <c r="DX34" i="5"/>
  <c r="DY34" i="5"/>
  <c r="DZ34" i="5"/>
  <c r="EA34" i="5"/>
  <c r="EB34" i="5"/>
  <c r="EC34" i="5"/>
  <c r="ED34" i="5"/>
  <c r="EE34" i="5"/>
  <c r="DK43" i="5"/>
  <c r="DL43" i="5"/>
  <c r="DM43" i="5"/>
  <c r="DN43" i="5"/>
  <c r="DO43" i="5"/>
  <c r="DP43" i="5"/>
  <c r="DQ43" i="5"/>
  <c r="DR43" i="5"/>
  <c r="DS43" i="5"/>
  <c r="DT43" i="5"/>
  <c r="DU43" i="5"/>
  <c r="DV43" i="5"/>
  <c r="DW43" i="5"/>
  <c r="DX43" i="5"/>
  <c r="DY43" i="5"/>
  <c r="DZ43" i="5"/>
  <c r="EA43" i="5"/>
  <c r="EB43" i="5"/>
  <c r="EC43" i="5"/>
  <c r="ED43" i="5"/>
  <c r="EE43" i="5"/>
  <c r="DK53" i="5"/>
  <c r="DK65" i="5" s="1"/>
  <c r="DL53" i="5"/>
  <c r="DL65" i="5" s="1"/>
  <c r="DM53" i="5"/>
  <c r="DM65" i="5" s="1"/>
  <c r="DN53" i="5"/>
  <c r="DN65" i="5" s="1"/>
  <c r="DO53" i="5"/>
  <c r="DO65" i="5" s="1"/>
  <c r="DP53" i="5"/>
  <c r="DP65" i="5" s="1"/>
  <c r="DQ53" i="5"/>
  <c r="DQ65" i="5" s="1"/>
  <c r="DR53" i="5"/>
  <c r="DR65" i="5" s="1"/>
  <c r="DS53" i="5"/>
  <c r="DS65" i="5" s="1"/>
  <c r="DT53" i="5"/>
  <c r="DT65" i="5" s="1"/>
  <c r="DU53" i="5"/>
  <c r="DU65" i="5" s="1"/>
  <c r="DV53" i="5"/>
  <c r="DV65" i="5" s="1"/>
  <c r="DW53" i="5"/>
  <c r="DW65" i="5" s="1"/>
  <c r="DX53" i="5"/>
  <c r="DX65" i="5" s="1"/>
  <c r="DY53" i="5"/>
  <c r="DY65" i="5" s="1"/>
  <c r="DZ53" i="5"/>
  <c r="DZ65" i="5" s="1"/>
  <c r="EA53" i="5"/>
  <c r="EA65" i="5" s="1"/>
  <c r="EB53" i="5"/>
  <c r="EB65" i="5" s="1"/>
  <c r="EC53" i="5"/>
  <c r="EC65" i="5" s="1"/>
  <c r="ED53" i="5"/>
  <c r="ED65" i="5" s="1"/>
  <c r="EE53" i="5"/>
  <c r="EE65" i="5" s="1"/>
  <c r="DK80" i="5"/>
  <c r="DL80" i="5"/>
  <c r="DM80" i="5"/>
  <c r="DN80" i="5"/>
  <c r="DO80" i="5"/>
  <c r="DP80" i="5"/>
  <c r="DQ80" i="5"/>
  <c r="DR80" i="5"/>
  <c r="DS80" i="5"/>
  <c r="DT80" i="5"/>
  <c r="DU80" i="5"/>
  <c r="DV80" i="5"/>
  <c r="DW80" i="5"/>
  <c r="DX80" i="5"/>
  <c r="DY80" i="5"/>
  <c r="DZ80" i="5"/>
  <c r="EA80" i="5"/>
  <c r="EB80" i="5"/>
  <c r="EC80" i="5"/>
  <c r="ED80" i="5"/>
  <c r="EE80" i="5"/>
  <c r="DK98" i="5"/>
  <c r="DL98" i="5"/>
  <c r="DM98" i="5"/>
  <c r="DN98" i="5"/>
  <c r="DO98" i="5"/>
  <c r="DP98" i="5"/>
  <c r="DQ98" i="5"/>
  <c r="DR98" i="5"/>
  <c r="DS98" i="5"/>
  <c r="DT98" i="5"/>
  <c r="DU98" i="5"/>
  <c r="DV98" i="5"/>
  <c r="DW98" i="5"/>
  <c r="DX98" i="5"/>
  <c r="DY98" i="5"/>
  <c r="DZ98" i="5"/>
  <c r="EA98" i="5"/>
  <c r="EB98" i="5"/>
  <c r="EC98" i="5"/>
  <c r="ED98" i="5"/>
  <c r="EE98" i="5"/>
  <c r="FY167" i="2" l="1"/>
  <c r="FY183" i="2" s="1"/>
  <c r="FQ167" i="2"/>
  <c r="FQ183" i="2" s="1"/>
  <c r="FI167" i="2"/>
  <c r="FI183" i="2" s="1"/>
  <c r="ES167" i="2"/>
  <c r="ES168" i="2" s="1"/>
  <c r="ES169" i="2" s="1"/>
  <c r="EK167" i="2"/>
  <c r="EK168" i="2" s="1"/>
  <c r="EK169" i="2" s="1"/>
  <c r="FZ167" i="2"/>
  <c r="FZ168" i="2" s="1"/>
  <c r="FR167" i="2"/>
  <c r="FR168" i="2" s="1"/>
  <c r="FR169" i="2" s="1"/>
  <c r="FJ167" i="2"/>
  <c r="FJ168" i="2" s="1"/>
  <c r="FJ169" i="2" s="1"/>
  <c r="FB167" i="2"/>
  <c r="FB168" i="2" s="1"/>
  <c r="FB169" i="2" s="1"/>
  <c r="EL167" i="2"/>
  <c r="EL168" i="2" s="1"/>
  <c r="EL169" i="2" s="1"/>
  <c r="ED167" i="2"/>
  <c r="ED168" i="2" s="1"/>
  <c r="ED169" i="2" s="1"/>
  <c r="FH167" i="2"/>
  <c r="FH168" i="2" s="1"/>
  <c r="GA167" i="2"/>
  <c r="GA168" i="2" s="1"/>
  <c r="GA169" i="2" s="1"/>
  <c r="FS167" i="2"/>
  <c r="FS168" i="2" s="1"/>
  <c r="FS169" i="2" s="1"/>
  <c r="EN167" i="2"/>
  <c r="EN168" i="2" s="1"/>
  <c r="EN169" i="2" s="1"/>
  <c r="FK167" i="2"/>
  <c r="FK168" i="2" s="1"/>
  <c r="FC167" i="2"/>
  <c r="FC168" i="2" s="1"/>
  <c r="EU167" i="2"/>
  <c r="EU168" i="2" s="1"/>
  <c r="EE167" i="2"/>
  <c r="EE168" i="2" s="1"/>
  <c r="DX168" i="2"/>
  <c r="DX169" i="2" s="1"/>
  <c r="DP168" i="2"/>
  <c r="DP169" i="2" s="1"/>
  <c r="DU168" i="2"/>
  <c r="DU169" i="2" s="1"/>
  <c r="DM168" i="2"/>
  <c r="DM169" i="2" s="1"/>
  <c r="EA169" i="2"/>
  <c r="DS169" i="2"/>
  <c r="DR169" i="2"/>
  <c r="DY169" i="2"/>
  <c r="DQ169" i="2"/>
  <c r="DZ169" i="2"/>
  <c r="DW169" i="2"/>
  <c r="DO169" i="2"/>
  <c r="DV169" i="2"/>
  <c r="DN169" i="2"/>
  <c r="DT169" i="2"/>
  <c r="DL169" i="2"/>
  <c r="EO167" i="2"/>
  <c r="EO168" i="2" s="1"/>
  <c r="EM167" i="2"/>
  <c r="EM168" i="2" s="1"/>
  <c r="EC167" i="2"/>
  <c r="FA167" i="2"/>
  <c r="EB167" i="2"/>
  <c r="EB168" i="2" s="1"/>
  <c r="FX167" i="2"/>
  <c r="FX168" i="2" s="1"/>
  <c r="FP167" i="2"/>
  <c r="FP168" i="2" s="1"/>
  <c r="EZ167" i="2"/>
  <c r="EZ168" i="2" s="1"/>
  <c r="ER167" i="2"/>
  <c r="ER168" i="2" s="1"/>
  <c r="EJ167" i="2"/>
  <c r="EJ168" i="2" s="1"/>
  <c r="FT167" i="2"/>
  <c r="FV167" i="2"/>
  <c r="FV168" i="2" s="1"/>
  <c r="ET167" i="2"/>
  <c r="ET168" i="2" s="1"/>
  <c r="FN167" i="2"/>
  <c r="FN168" i="2" s="1"/>
  <c r="FF167" i="2"/>
  <c r="FF168" i="2" s="1"/>
  <c r="EX167" i="2"/>
  <c r="EX168" i="2" s="1"/>
  <c r="EP167" i="2"/>
  <c r="EP168" i="2" s="1"/>
  <c r="EH167" i="2"/>
  <c r="EH168" i="2" s="1"/>
  <c r="DO183" i="2"/>
  <c r="DN183" i="2"/>
  <c r="GB167" i="2"/>
  <c r="FL167" i="2"/>
  <c r="FD167" i="2"/>
  <c r="EV167" i="2"/>
  <c r="EF167" i="2"/>
  <c r="EF168" i="2" s="1"/>
  <c r="FM167" i="2"/>
  <c r="FM168" i="2" s="1"/>
  <c r="DX183" i="2"/>
  <c r="DP183" i="2"/>
  <c r="DM183" i="2"/>
  <c r="DZ183" i="2"/>
  <c r="DS28" i="5"/>
  <c r="DS29" i="5" s="1"/>
  <c r="GC167" i="2"/>
  <c r="GC168" i="2" s="1"/>
  <c r="FU167" i="2"/>
  <c r="FU168" i="2" s="1"/>
  <c r="DW28" i="5"/>
  <c r="DW29" i="5" s="1"/>
  <c r="DO26" i="5"/>
  <c r="DO29" i="5" s="1"/>
  <c r="EG167" i="2"/>
  <c r="EG168" i="2" s="1"/>
  <c r="DM28" i="5"/>
  <c r="DM29" i="5" s="1"/>
  <c r="DL183" i="2"/>
  <c r="DU26" i="5"/>
  <c r="DU36" i="5" s="1"/>
  <c r="DU138" i="5" s="1"/>
  <c r="DW183" i="2"/>
  <c r="EW167" i="2"/>
  <c r="EW168" i="2" s="1"/>
  <c r="DT183" i="2"/>
  <c r="EE28" i="5"/>
  <c r="EE29" i="5" s="1"/>
  <c r="DV183" i="2"/>
  <c r="FE167" i="2"/>
  <c r="FE168" i="2" s="1"/>
  <c r="DV28" i="5"/>
  <c r="DV29" i="5" s="1"/>
  <c r="DU183" i="2"/>
  <c r="DR183" i="2"/>
  <c r="DN28" i="5"/>
  <c r="DN29" i="5" s="1"/>
  <c r="EA26" i="5"/>
  <c r="EA36" i="5" s="1"/>
  <c r="EA46" i="5" s="1"/>
  <c r="EA57" i="5" s="1"/>
  <c r="EA69" i="5" s="1"/>
  <c r="EA85" i="5" s="1"/>
  <c r="EA104" i="5" s="1"/>
  <c r="DR28" i="5"/>
  <c r="DR29" i="5" s="1"/>
  <c r="DZ26" i="5"/>
  <c r="DZ36" i="5" s="1"/>
  <c r="ED26" i="5"/>
  <c r="ED36" i="5" s="1"/>
  <c r="ED46" i="5" s="1"/>
  <c r="ED57" i="5" s="1"/>
  <c r="ED69" i="5" s="1"/>
  <c r="ED85" i="5" s="1"/>
  <c r="ED104" i="5" s="1"/>
  <c r="DW36" i="5"/>
  <c r="DR36" i="5"/>
  <c r="DY183" i="2"/>
  <c r="EB36" i="5"/>
  <c r="DQ183" i="2"/>
  <c r="EB28" i="5"/>
  <c r="EB29" i="5" s="1"/>
  <c r="DJ28" i="5"/>
  <c r="DJ29" i="5" s="1"/>
  <c r="DL26" i="5"/>
  <c r="DL36" i="5" s="1"/>
  <c r="DL138" i="5" s="1"/>
  <c r="FW167" i="2"/>
  <c r="FW168" i="2" s="1"/>
  <c r="FO167" i="2"/>
  <c r="FO168" i="2" s="1"/>
  <c r="FG167" i="2"/>
  <c r="FG168" i="2" s="1"/>
  <c r="EY167" i="2"/>
  <c r="EY168" i="2" s="1"/>
  <c r="EQ167" i="2"/>
  <c r="EQ168" i="2" s="1"/>
  <c r="EI167" i="2"/>
  <c r="EI168" i="2" s="1"/>
  <c r="DN36" i="5"/>
  <c r="DJ123" i="5"/>
  <c r="DJ138" i="5"/>
  <c r="EC46" i="5"/>
  <c r="EC57" i="5" s="1"/>
  <c r="EC69" i="5" s="1"/>
  <c r="EC85" i="5" s="1"/>
  <c r="EC104" i="5" s="1"/>
  <c r="EC123" i="5"/>
  <c r="EC138" i="5"/>
  <c r="DT138" i="5"/>
  <c r="DT123" i="5"/>
  <c r="DT46" i="5"/>
  <c r="DT57" i="5" s="1"/>
  <c r="DT69" i="5" s="1"/>
  <c r="DT85" i="5" s="1"/>
  <c r="DT104" i="5" s="1"/>
  <c r="DX36" i="5"/>
  <c r="DX123" i="5" s="1"/>
  <c r="DK138" i="5"/>
  <c r="DK46" i="5"/>
  <c r="DK57" i="5" s="1"/>
  <c r="DK69" i="5" s="1"/>
  <c r="DK85" i="5" s="1"/>
  <c r="DK104" i="5" s="1"/>
  <c r="DK123" i="5"/>
  <c r="DP36" i="5"/>
  <c r="DP123" i="5" s="1"/>
  <c r="EA183" i="2"/>
  <c r="DS183" i="2"/>
  <c r="DS123" i="5"/>
  <c r="DS46" i="5"/>
  <c r="DS57" i="5" s="1"/>
  <c r="DS69" i="5" s="1"/>
  <c r="DS85" i="5" s="1"/>
  <c r="DS104" i="5" s="1"/>
  <c r="DS138" i="5"/>
  <c r="DP28" i="5"/>
  <c r="DP29" i="5" s="1"/>
  <c r="DX28" i="5"/>
  <c r="DX29" i="5" s="1"/>
  <c r="EC28" i="5"/>
  <c r="EC29" i="5" s="1"/>
  <c r="DT28" i="5"/>
  <c r="DT29" i="5" s="1"/>
  <c r="DK28" i="5"/>
  <c r="DK29" i="5" s="1"/>
  <c r="DJ46" i="5"/>
  <c r="DJ57" i="5" s="1"/>
  <c r="DJ69" i="5" s="1"/>
  <c r="DJ85" i="5" s="1"/>
  <c r="DJ104" i="5" s="1"/>
  <c r="DV36" i="5"/>
  <c r="DV123" i="5" s="1"/>
  <c r="DM46" i="5"/>
  <c r="DM57" i="5" s="1"/>
  <c r="DM69" i="5" s="1"/>
  <c r="DM85" i="5" s="1"/>
  <c r="DM104" i="5" s="1"/>
  <c r="DM138" i="5"/>
  <c r="DM123" i="5"/>
  <c r="EE36" i="5"/>
  <c r="DY36" i="5"/>
  <c r="DQ36" i="5"/>
  <c r="DY28" i="5"/>
  <c r="DY29" i="5" s="1"/>
  <c r="DQ28" i="5"/>
  <c r="DQ29" i="5" s="1"/>
  <c r="FI168" i="2" l="1"/>
  <c r="FI169" i="2" s="1"/>
  <c r="FB183" i="2"/>
  <c r="FY168" i="2"/>
  <c r="FY169" i="2" s="1"/>
  <c r="FQ168" i="2"/>
  <c r="FQ169" i="2" s="1"/>
  <c r="ES183" i="2"/>
  <c r="FZ183" i="2"/>
  <c r="FZ169" i="2"/>
  <c r="EK183" i="2"/>
  <c r="FJ183" i="2"/>
  <c r="FR183" i="2"/>
  <c r="GA183" i="2"/>
  <c r="ED183" i="2"/>
  <c r="EL183" i="2"/>
  <c r="EN183" i="2"/>
  <c r="FH183" i="2"/>
  <c r="FH169" i="2"/>
  <c r="FS183" i="2"/>
  <c r="FK183" i="2"/>
  <c r="FC183" i="2"/>
  <c r="EU183" i="2"/>
  <c r="EE183" i="2"/>
  <c r="FK169" i="2"/>
  <c r="FC169" i="2"/>
  <c r="EE169" i="2"/>
  <c r="EU169" i="2"/>
  <c r="GB168" i="2"/>
  <c r="GB169" i="2" s="1"/>
  <c r="EV168" i="2"/>
  <c r="EV169" i="2" s="1"/>
  <c r="FA168" i="2"/>
  <c r="FA169" i="2" s="1"/>
  <c r="FD168" i="2"/>
  <c r="FD169" i="2" s="1"/>
  <c r="FT168" i="2"/>
  <c r="FT169" i="2" s="1"/>
  <c r="EC168" i="2"/>
  <c r="EC169" i="2" s="1"/>
  <c r="FL168" i="2"/>
  <c r="FL169" i="2" s="1"/>
  <c r="FO169" i="2"/>
  <c r="FU169" i="2"/>
  <c r="EP169" i="2"/>
  <c r="EJ169" i="2"/>
  <c r="EM169" i="2"/>
  <c r="EX169" i="2"/>
  <c r="EO169" i="2"/>
  <c r="FF169" i="2"/>
  <c r="EZ169" i="2"/>
  <c r="FE169" i="2"/>
  <c r="FN169" i="2"/>
  <c r="FP169" i="2"/>
  <c r="EI183" i="2"/>
  <c r="EI169" i="2"/>
  <c r="EG169" i="2"/>
  <c r="FM169" i="2"/>
  <c r="FX169" i="2"/>
  <c r="FW169" i="2"/>
  <c r="ER169" i="2"/>
  <c r="EQ169" i="2"/>
  <c r="EF183" i="2"/>
  <c r="EF169" i="2"/>
  <c r="ET169" i="2"/>
  <c r="EB169" i="2"/>
  <c r="GC169" i="2"/>
  <c r="EY183" i="2"/>
  <c r="EY169" i="2"/>
  <c r="FV169" i="2"/>
  <c r="FG183" i="2"/>
  <c r="FG169" i="2"/>
  <c r="EW183" i="2"/>
  <c r="EW169" i="2"/>
  <c r="EH169" i="2"/>
  <c r="EO183" i="2"/>
  <c r="FA183" i="2"/>
  <c r="EM183" i="2"/>
  <c r="EC183" i="2"/>
  <c r="FP183" i="2"/>
  <c r="EZ183" i="2"/>
  <c r="FN183" i="2"/>
  <c r="ER183" i="2"/>
  <c r="EB183" i="2"/>
  <c r="FX183" i="2"/>
  <c r="FT183" i="2"/>
  <c r="EJ183" i="2"/>
  <c r="ET183" i="2"/>
  <c r="FV183" i="2"/>
  <c r="FF183" i="2"/>
  <c r="EX183" i="2"/>
  <c r="EP183" i="2"/>
  <c r="DX138" i="5"/>
  <c r="DU123" i="5"/>
  <c r="FL183" i="2"/>
  <c r="DZ29" i="5"/>
  <c r="GB183" i="2"/>
  <c r="EH183" i="2"/>
  <c r="EV183" i="2"/>
  <c r="FD183" i="2"/>
  <c r="FM183" i="2"/>
  <c r="EQ183" i="2"/>
  <c r="DL29" i="5"/>
  <c r="DL123" i="5"/>
  <c r="DO36" i="5"/>
  <c r="DO138" i="5" s="1"/>
  <c r="GC183" i="2"/>
  <c r="DX46" i="5"/>
  <c r="DX57" i="5" s="1"/>
  <c r="DX69" i="5" s="1"/>
  <c r="DX85" i="5" s="1"/>
  <c r="DX104" i="5" s="1"/>
  <c r="DU46" i="5"/>
  <c r="DU57" i="5" s="1"/>
  <c r="DU69" i="5" s="1"/>
  <c r="DU85" i="5" s="1"/>
  <c r="DU104" i="5" s="1"/>
  <c r="FU183" i="2"/>
  <c r="DU29" i="5"/>
  <c r="DL46" i="5"/>
  <c r="DL57" i="5" s="1"/>
  <c r="DL69" i="5" s="1"/>
  <c r="DL85" i="5" s="1"/>
  <c r="DL104" i="5" s="1"/>
  <c r="EA29" i="5"/>
  <c r="ED29" i="5"/>
  <c r="FO183" i="2"/>
  <c r="ED138" i="5"/>
  <c r="ED123" i="5"/>
  <c r="FE183" i="2"/>
  <c r="EG183" i="2"/>
  <c r="EA138" i="5"/>
  <c r="DP46" i="5"/>
  <c r="DP57" i="5" s="1"/>
  <c r="DP69" i="5" s="1"/>
  <c r="DP85" i="5" s="1"/>
  <c r="DP104" i="5" s="1"/>
  <c r="DP138" i="5"/>
  <c r="EA123" i="5"/>
  <c r="FW183" i="2"/>
  <c r="DZ46" i="5"/>
  <c r="DZ57" i="5" s="1"/>
  <c r="DZ69" i="5" s="1"/>
  <c r="DZ85" i="5" s="1"/>
  <c r="DZ104" i="5" s="1"/>
  <c r="DZ138" i="5"/>
  <c r="DZ123" i="5"/>
  <c r="DW138" i="5"/>
  <c r="DW123" i="5"/>
  <c r="DW46" i="5"/>
  <c r="DW57" i="5" s="1"/>
  <c r="DW69" i="5" s="1"/>
  <c r="DW85" i="5" s="1"/>
  <c r="DW104" i="5" s="1"/>
  <c r="DR138" i="5"/>
  <c r="DR46" i="5"/>
  <c r="DR57" i="5" s="1"/>
  <c r="DR69" i="5" s="1"/>
  <c r="DR85" i="5" s="1"/>
  <c r="DR104" i="5" s="1"/>
  <c r="DR123" i="5"/>
  <c r="EB46" i="5"/>
  <c r="EB57" i="5" s="1"/>
  <c r="EB69" i="5" s="1"/>
  <c r="EB85" i="5" s="1"/>
  <c r="EB104" i="5" s="1"/>
  <c r="EB123" i="5"/>
  <c r="EB138" i="5"/>
  <c r="DN46" i="5"/>
  <c r="DN57" i="5" s="1"/>
  <c r="DN69" i="5" s="1"/>
  <c r="DN85" i="5" s="1"/>
  <c r="DN104" i="5" s="1"/>
  <c r="DN138" i="5"/>
  <c r="DN123" i="5"/>
  <c r="DV46" i="5"/>
  <c r="DV57" i="5" s="1"/>
  <c r="DV69" i="5" s="1"/>
  <c r="DV85" i="5" s="1"/>
  <c r="DV104" i="5" s="1"/>
  <c r="DV138" i="5"/>
  <c r="EE46" i="5"/>
  <c r="EE57" i="5" s="1"/>
  <c r="EE69" i="5" s="1"/>
  <c r="EE85" i="5" s="1"/>
  <c r="EE104" i="5" s="1"/>
  <c r="EE138" i="5"/>
  <c r="EE123" i="5"/>
  <c r="DQ123" i="5"/>
  <c r="DQ138" i="5"/>
  <c r="DQ46" i="5"/>
  <c r="DQ57" i="5" s="1"/>
  <c r="DQ69" i="5" s="1"/>
  <c r="DQ85" i="5" s="1"/>
  <c r="DQ104" i="5" s="1"/>
  <c r="DY123" i="5"/>
  <c r="DY138" i="5"/>
  <c r="DY46" i="5"/>
  <c r="DY57" i="5" s="1"/>
  <c r="DY69" i="5" s="1"/>
  <c r="DY85" i="5" s="1"/>
  <c r="DY104" i="5" s="1"/>
  <c r="DO123" i="5" l="1"/>
  <c r="DO46" i="5"/>
  <c r="DO57" i="5" s="1"/>
  <c r="DO69" i="5" s="1"/>
  <c r="DO85" i="5" s="1"/>
  <c r="DO104" i="5" s="1"/>
  <c r="GP147" i="2" l="1"/>
  <c r="GP148" i="2" s="1"/>
  <c r="GP182" i="2" s="1"/>
  <c r="GC147" i="2"/>
  <c r="GC148" i="2" s="1"/>
  <c r="GB147" i="2"/>
  <c r="GB148" i="2" s="1"/>
  <c r="GA147" i="2"/>
  <c r="GA148" i="2" s="1"/>
  <c r="FZ147" i="2"/>
  <c r="FZ148" i="2" s="1"/>
  <c r="FY147" i="2"/>
  <c r="FY148" i="2" s="1"/>
  <c r="FX147" i="2"/>
  <c r="FX148" i="2" s="1"/>
  <c r="FW147" i="2"/>
  <c r="FW148" i="2" s="1"/>
  <c r="FV147" i="2"/>
  <c r="FV148" i="2" s="1"/>
  <c r="FU147" i="2"/>
  <c r="FU148" i="2" s="1"/>
  <c r="FT147" i="2"/>
  <c r="FT148" i="2" s="1"/>
  <c r="FS147" i="2"/>
  <c r="FS148" i="2" s="1"/>
  <c r="FR147" i="2"/>
  <c r="FR148" i="2" s="1"/>
  <c r="FQ147" i="2"/>
  <c r="FQ148" i="2" s="1"/>
  <c r="FP147" i="2"/>
  <c r="FP148" i="2" s="1"/>
  <c r="FO147" i="2"/>
  <c r="FO148" i="2" s="1"/>
  <c r="FN147" i="2"/>
  <c r="FN148" i="2" s="1"/>
  <c r="FM147" i="2"/>
  <c r="FM148" i="2" s="1"/>
  <c r="FL147" i="2"/>
  <c r="FL148" i="2" s="1"/>
  <c r="FL149" i="2" s="1"/>
  <c r="FL150" i="2" s="1"/>
  <c r="FL112" i="2" s="1"/>
  <c r="FL113" i="2" s="1"/>
  <c r="FK147" i="2"/>
  <c r="FK148" i="2" s="1"/>
  <c r="FJ147" i="2"/>
  <c r="FJ148" i="2" s="1"/>
  <c r="FI147" i="2"/>
  <c r="FI148" i="2" s="1"/>
  <c r="FH147" i="2"/>
  <c r="FH148" i="2" s="1"/>
  <c r="FG147" i="2"/>
  <c r="FG148" i="2" s="1"/>
  <c r="FF147" i="2"/>
  <c r="FF148" i="2" s="1"/>
  <c r="FF149" i="2" s="1"/>
  <c r="FF150" i="2" s="1"/>
  <c r="FF112" i="2" s="1"/>
  <c r="FF113" i="2" s="1"/>
  <c r="FE147" i="2"/>
  <c r="FE148" i="2" s="1"/>
  <c r="FD147" i="2"/>
  <c r="FD148" i="2" s="1"/>
  <c r="FD149" i="2" s="1"/>
  <c r="FD150" i="2" s="1"/>
  <c r="FD112" i="2" s="1"/>
  <c r="FD113" i="2" s="1"/>
  <c r="FC147" i="2"/>
  <c r="FC148" i="2" s="1"/>
  <c r="FC149" i="2" s="1"/>
  <c r="FC150" i="2" s="1"/>
  <c r="FC112" i="2" s="1"/>
  <c r="FC113" i="2" s="1"/>
  <c r="FB147" i="2"/>
  <c r="FB148" i="2" s="1"/>
  <c r="FB149" i="2" s="1"/>
  <c r="FB150" i="2" s="1"/>
  <c r="FB112" i="2" s="1"/>
  <c r="FB113" i="2" s="1"/>
  <c r="FA147" i="2"/>
  <c r="FA148" i="2" s="1"/>
  <c r="EZ147" i="2"/>
  <c r="EZ148" i="2" s="1"/>
  <c r="EY147" i="2"/>
  <c r="EY148" i="2" s="1"/>
  <c r="EX147" i="2"/>
  <c r="EX148" i="2" s="1"/>
  <c r="EW147" i="2"/>
  <c r="EW148" i="2" s="1"/>
  <c r="EV147" i="2"/>
  <c r="EV148" i="2" s="1"/>
  <c r="EU147" i="2"/>
  <c r="EU148" i="2" s="1"/>
  <c r="ET147" i="2"/>
  <c r="ET148" i="2" s="1"/>
  <c r="ES147" i="2"/>
  <c r="ES148" i="2" s="1"/>
  <c r="ER147" i="2"/>
  <c r="ER148" i="2" s="1"/>
  <c r="EQ147" i="2"/>
  <c r="EQ148" i="2" s="1"/>
  <c r="EP147" i="2"/>
  <c r="EP148" i="2" s="1"/>
  <c r="EO147" i="2"/>
  <c r="EO148" i="2" s="1"/>
  <c r="EN147" i="2"/>
  <c r="EN148" i="2" s="1"/>
  <c r="EN149" i="2" s="1"/>
  <c r="EN150" i="2" s="1"/>
  <c r="EN112" i="2" s="1"/>
  <c r="EN113" i="2" s="1"/>
  <c r="EM147" i="2"/>
  <c r="EM148" i="2" s="1"/>
  <c r="EL147" i="2"/>
  <c r="EL148" i="2" s="1"/>
  <c r="EK147" i="2"/>
  <c r="EK148" i="2" s="1"/>
  <c r="EJ147" i="2"/>
  <c r="EJ148" i="2" s="1"/>
  <c r="EI147" i="2"/>
  <c r="EI148" i="2" s="1"/>
  <c r="EH147" i="2"/>
  <c r="EH148" i="2" s="1"/>
  <c r="EG147" i="2"/>
  <c r="EG148" i="2" s="1"/>
  <c r="EF147" i="2"/>
  <c r="EF148" i="2" s="1"/>
  <c r="EE147" i="2"/>
  <c r="EE148" i="2" s="1"/>
  <c r="ED147" i="2"/>
  <c r="ED148" i="2" s="1"/>
  <c r="EC147" i="2"/>
  <c r="EC148" i="2" s="1"/>
  <c r="EB147" i="2"/>
  <c r="EB148" i="2" s="1"/>
  <c r="EA147" i="2"/>
  <c r="EA148" i="2" s="1"/>
  <c r="DZ147" i="2"/>
  <c r="DZ148" i="2" s="1"/>
  <c r="DY147" i="2"/>
  <c r="DY148" i="2" s="1"/>
  <c r="DX147" i="2"/>
  <c r="DX148" i="2" s="1"/>
  <c r="DW147" i="2"/>
  <c r="DW148" i="2" s="1"/>
  <c r="DV147" i="2"/>
  <c r="DV148" i="2" s="1"/>
  <c r="DU147" i="2"/>
  <c r="DU148" i="2" s="1"/>
  <c r="DT147" i="2"/>
  <c r="DT148" i="2" s="1"/>
  <c r="DS147" i="2"/>
  <c r="DS148" i="2" s="1"/>
  <c r="DR147" i="2"/>
  <c r="DR148" i="2" s="1"/>
  <c r="DQ147" i="2"/>
  <c r="DQ148" i="2" s="1"/>
  <c r="DP147" i="2"/>
  <c r="DP148" i="2" s="1"/>
  <c r="DO147" i="2"/>
  <c r="DO148" i="2" s="1"/>
  <c r="DN147" i="2"/>
  <c r="DN148" i="2" s="1"/>
  <c r="DM147" i="2"/>
  <c r="DM148" i="2" s="1"/>
  <c r="DL147" i="2"/>
  <c r="DL148" i="2" s="1"/>
  <c r="FW149" i="2" l="1"/>
  <c r="FW150" i="2" s="1"/>
  <c r="FW112" i="2" s="1"/>
  <c r="FW113" i="2" s="1"/>
  <c r="FW182" i="2"/>
  <c r="FW102" i="2" s="1"/>
  <c r="FW103" i="2" s="1"/>
  <c r="DR149" i="2"/>
  <c r="DR150" i="2" s="1"/>
  <c r="DR112" i="2" s="1"/>
  <c r="DR113" i="2" s="1"/>
  <c r="DR182" i="2"/>
  <c r="DR102" i="2" s="1"/>
  <c r="DR103" i="2" s="1"/>
  <c r="FJ182" i="2"/>
  <c r="FJ102" i="2" s="1"/>
  <c r="FJ103" i="2" s="1"/>
  <c r="FJ149" i="2"/>
  <c r="FJ150" i="2" s="1"/>
  <c r="FJ112" i="2" s="1"/>
  <c r="FJ113" i="2" s="1"/>
  <c r="FO182" i="2"/>
  <c r="FO102" i="2" s="1"/>
  <c r="FO103" i="2" s="1"/>
  <c r="FO149" i="2"/>
  <c r="FO150" i="2" s="1"/>
  <c r="FO112" i="2" s="1"/>
  <c r="FO113" i="2" s="1"/>
  <c r="DS149" i="2"/>
  <c r="DS150" i="2" s="1"/>
  <c r="DS112" i="2" s="1"/>
  <c r="DS113" i="2" s="1"/>
  <c r="DS182" i="2"/>
  <c r="DS102" i="2" s="1"/>
  <c r="DS103" i="2" s="1"/>
  <c r="DY149" i="2"/>
  <c r="DY150" i="2" s="1"/>
  <c r="DY112" i="2" s="1"/>
  <c r="DY113" i="2" s="1"/>
  <c r="DY182" i="2"/>
  <c r="DY102" i="2" s="1"/>
  <c r="DY103" i="2" s="1"/>
  <c r="EG149" i="2"/>
  <c r="EG150" i="2" s="1"/>
  <c r="EG112" i="2" s="1"/>
  <c r="EG113" i="2" s="1"/>
  <c r="EG182" i="2"/>
  <c r="EG102" i="2" s="1"/>
  <c r="EG103" i="2" s="1"/>
  <c r="ET182" i="2"/>
  <c r="ET102" i="2" s="1"/>
  <c r="ET103" i="2" s="1"/>
  <c r="ET149" i="2"/>
  <c r="ET150" i="2" s="1"/>
  <c r="ET112" i="2" s="1"/>
  <c r="ET113" i="2" s="1"/>
  <c r="FP182" i="2"/>
  <c r="FP102" i="2" s="1"/>
  <c r="FP103" i="2" s="1"/>
  <c r="FP149" i="2"/>
  <c r="FP150" i="2" s="1"/>
  <c r="FP112" i="2" s="1"/>
  <c r="FP113" i="2" s="1"/>
  <c r="DM149" i="2"/>
  <c r="DM150" i="2" s="1"/>
  <c r="DM112" i="2" s="1"/>
  <c r="DM113" i="2" s="1"/>
  <c r="DM182" i="2"/>
  <c r="DM102" i="2" s="1"/>
  <c r="DM103" i="2" s="1"/>
  <c r="DZ182" i="2"/>
  <c r="DZ102" i="2" s="1"/>
  <c r="DZ103" i="2" s="1"/>
  <c r="DZ149" i="2"/>
  <c r="DZ150" i="2" s="1"/>
  <c r="DZ112" i="2" s="1"/>
  <c r="DZ113" i="2" s="1"/>
  <c r="EH149" i="2"/>
  <c r="EH150" i="2" s="1"/>
  <c r="EH112" i="2" s="1"/>
  <c r="EH113" i="2" s="1"/>
  <c r="EH182" i="2"/>
  <c r="EH102" i="2" s="1"/>
  <c r="EH103" i="2" s="1"/>
  <c r="EU182" i="2"/>
  <c r="EU102" i="2" s="1"/>
  <c r="EU103" i="2" s="1"/>
  <c r="EU149" i="2"/>
  <c r="EU150" i="2" s="1"/>
  <c r="EU112" i="2" s="1"/>
  <c r="EU113" i="2" s="1"/>
  <c r="FA182" i="2"/>
  <c r="FA102" i="2" s="1"/>
  <c r="FA103" i="2" s="1"/>
  <c r="FA149" i="2"/>
  <c r="FA150" i="2" s="1"/>
  <c r="FA112" i="2" s="1"/>
  <c r="FA113" i="2" s="1"/>
  <c r="FQ182" i="2"/>
  <c r="FQ102" i="2" s="1"/>
  <c r="FQ103" i="2" s="1"/>
  <c r="FQ149" i="2"/>
  <c r="FQ150" i="2" s="1"/>
  <c r="FQ112" i="2" s="1"/>
  <c r="FQ113" i="2" s="1"/>
  <c r="DN149" i="2"/>
  <c r="DN150" i="2" s="1"/>
  <c r="DN112" i="2" s="1"/>
  <c r="DN113" i="2" s="1"/>
  <c r="DN182" i="2"/>
  <c r="DN102" i="2" s="1"/>
  <c r="DN103" i="2" s="1"/>
  <c r="EV149" i="2"/>
  <c r="EV150" i="2" s="1"/>
  <c r="EV112" i="2" s="1"/>
  <c r="EV113" i="2" s="1"/>
  <c r="EV182" i="2"/>
  <c r="EV102" i="2" s="1"/>
  <c r="EV103" i="2" s="1"/>
  <c r="DO182" i="2"/>
  <c r="DO102" i="2" s="1"/>
  <c r="DO103" i="2" s="1"/>
  <c r="DO149" i="2"/>
  <c r="DO150" i="2" s="1"/>
  <c r="DO112" i="2" s="1"/>
  <c r="DO113" i="2" s="1"/>
  <c r="DU182" i="2"/>
  <c r="DU102" i="2" s="1"/>
  <c r="DU103" i="2" s="1"/>
  <c r="DU149" i="2"/>
  <c r="DU150" i="2" s="1"/>
  <c r="DU112" i="2" s="1"/>
  <c r="DU113" i="2" s="1"/>
  <c r="GB182" i="2"/>
  <c r="GB102" i="2" s="1"/>
  <c r="GB103" i="2" s="1"/>
  <c r="GB149" i="2"/>
  <c r="GB150" i="2" s="1"/>
  <c r="GB112" i="2" s="1"/>
  <c r="GB113" i="2" s="1"/>
  <c r="DV149" i="2"/>
  <c r="DV150" i="2" s="1"/>
  <c r="DV112" i="2" s="1"/>
  <c r="DV113" i="2" s="1"/>
  <c r="DV182" i="2"/>
  <c r="DV102" i="2" s="1"/>
  <c r="DV103" i="2" s="1"/>
  <c r="EJ149" i="2"/>
  <c r="EJ150" i="2" s="1"/>
  <c r="EJ112" i="2" s="1"/>
  <c r="EJ113" i="2" s="1"/>
  <c r="EJ182" i="2"/>
  <c r="EJ102" i="2" s="1"/>
  <c r="EJ103" i="2" s="1"/>
  <c r="FG182" i="2"/>
  <c r="FG102" i="2" s="1"/>
  <c r="FG103" i="2" s="1"/>
  <c r="FG149" i="2"/>
  <c r="FG150" i="2" s="1"/>
  <c r="FG112" i="2" s="1"/>
  <c r="FG113" i="2" s="1"/>
  <c r="FM149" i="2"/>
  <c r="FM150" i="2" s="1"/>
  <c r="FM112" i="2" s="1"/>
  <c r="FM113" i="2" s="1"/>
  <c r="FM182" i="2"/>
  <c r="FM102" i="2" s="1"/>
  <c r="FM103" i="2" s="1"/>
  <c r="FS182" i="2"/>
  <c r="FS102" i="2" s="1"/>
  <c r="FS103" i="2" s="1"/>
  <c r="FS149" i="2"/>
  <c r="FS150" i="2" s="1"/>
  <c r="FS112" i="2" s="1"/>
  <c r="FS113" i="2" s="1"/>
  <c r="FX149" i="2"/>
  <c r="FX150" i="2" s="1"/>
  <c r="FX112" i="2" s="1"/>
  <c r="FX113" i="2" s="1"/>
  <c r="FX182" i="2"/>
  <c r="FX102" i="2" s="1"/>
  <c r="FX103" i="2" s="1"/>
  <c r="DW182" i="2"/>
  <c r="DW102" i="2" s="1"/>
  <c r="DW103" i="2" s="1"/>
  <c r="DW149" i="2"/>
  <c r="DW150" i="2" s="1"/>
  <c r="DW112" i="2" s="1"/>
  <c r="DW113" i="2" s="1"/>
  <c r="EK149" i="2"/>
  <c r="EK150" i="2" s="1"/>
  <c r="EK112" i="2" s="1"/>
  <c r="EK113" i="2" s="1"/>
  <c r="EK182" i="2"/>
  <c r="EK102" i="2" s="1"/>
  <c r="EK103" i="2" s="1"/>
  <c r="EX149" i="2"/>
  <c r="EX150" i="2" s="1"/>
  <c r="EX112" i="2" s="1"/>
  <c r="EX113" i="2" s="1"/>
  <c r="EX182" i="2"/>
  <c r="EX102" i="2" s="1"/>
  <c r="EX103" i="2" s="1"/>
  <c r="FT182" i="2"/>
  <c r="FT102" i="2" s="1"/>
  <c r="FT103" i="2" s="1"/>
  <c r="FT149" i="2"/>
  <c r="FT150" i="2" s="1"/>
  <c r="FT112" i="2" s="1"/>
  <c r="FT113" i="2" s="1"/>
  <c r="DQ182" i="2"/>
  <c r="DQ102" i="2" s="1"/>
  <c r="DQ103" i="2" s="1"/>
  <c r="DQ149" i="2"/>
  <c r="DQ150" i="2" s="1"/>
  <c r="DQ112" i="2" s="1"/>
  <c r="DQ113" i="2" s="1"/>
  <c r="EL149" i="2"/>
  <c r="EL150" i="2" s="1"/>
  <c r="EL112" i="2" s="1"/>
  <c r="EL113" i="2" s="1"/>
  <c r="EL182" i="2"/>
  <c r="EL102" i="2" s="1"/>
  <c r="EL103" i="2" s="1"/>
  <c r="EY182" i="2"/>
  <c r="EY102" i="2" s="1"/>
  <c r="EY103" i="2" s="1"/>
  <c r="EY149" i="2"/>
  <c r="EY150" i="2" s="1"/>
  <c r="EY112" i="2" s="1"/>
  <c r="EY113" i="2" s="1"/>
  <c r="FU182" i="2"/>
  <c r="FU102" i="2" s="1"/>
  <c r="FU103" i="2" s="1"/>
  <c r="FU149" i="2"/>
  <c r="FU150" i="2" s="1"/>
  <c r="FU112" i="2" s="1"/>
  <c r="FU113" i="2" s="1"/>
  <c r="EB149" i="2"/>
  <c r="EB150" i="2" s="1"/>
  <c r="EB112" i="2" s="1"/>
  <c r="EB113" i="2" s="1"/>
  <c r="EB182" i="2"/>
  <c r="EB102" i="2" s="1"/>
  <c r="EB103" i="2" s="1"/>
  <c r="EQ182" i="2"/>
  <c r="EQ102" i="2" s="1"/>
  <c r="EQ103" i="2" s="1"/>
  <c r="EQ149" i="2"/>
  <c r="EQ150" i="2" s="1"/>
  <c r="EQ112" i="2" s="1"/>
  <c r="EQ113" i="2" s="1"/>
  <c r="FC182" i="2"/>
  <c r="FC102" i="2" s="1"/>
  <c r="FC103" i="2" s="1"/>
  <c r="FC116" i="2" s="1"/>
  <c r="FF182" i="2"/>
  <c r="FF102" i="2" s="1"/>
  <c r="FF103" i="2" s="1"/>
  <c r="FF116" i="2" s="1"/>
  <c r="DL149" i="2"/>
  <c r="DL150" i="2" s="1"/>
  <c r="DL112" i="2" s="1"/>
  <c r="DL113" i="2" s="1"/>
  <c r="DL182" i="2"/>
  <c r="DL102" i="2" s="1"/>
  <c r="DL103" i="2" s="1"/>
  <c r="DP182" i="2"/>
  <c r="DP102" i="2" s="1"/>
  <c r="DP103" i="2" s="1"/>
  <c r="DP149" i="2"/>
  <c r="DP150" i="2" s="1"/>
  <c r="DP112" i="2" s="1"/>
  <c r="DP113" i="2" s="1"/>
  <c r="DT182" i="2"/>
  <c r="DT102" i="2" s="1"/>
  <c r="DT103" i="2" s="1"/>
  <c r="DT149" i="2"/>
  <c r="DT150" i="2" s="1"/>
  <c r="DT112" i="2" s="1"/>
  <c r="DT113" i="2" s="1"/>
  <c r="DX182" i="2"/>
  <c r="DX102" i="2" s="1"/>
  <c r="DX103" i="2" s="1"/>
  <c r="DX149" i="2"/>
  <c r="DX150" i="2" s="1"/>
  <c r="DX112" i="2" s="1"/>
  <c r="DX113" i="2" s="1"/>
  <c r="EC149" i="2"/>
  <c r="EC150" i="2" s="1"/>
  <c r="EC112" i="2" s="1"/>
  <c r="EC113" i="2" s="1"/>
  <c r="EC182" i="2"/>
  <c r="EC102" i="2" s="1"/>
  <c r="EC103" i="2" s="1"/>
  <c r="EI149" i="2"/>
  <c r="EI150" i="2" s="1"/>
  <c r="EI112" i="2" s="1"/>
  <c r="EI113" i="2" s="1"/>
  <c r="EI182" i="2"/>
  <c r="EI102" i="2" s="1"/>
  <c r="EI103" i="2" s="1"/>
  <c r="EM182" i="2"/>
  <c r="EM102" i="2" s="1"/>
  <c r="EM103" i="2" s="1"/>
  <c r="EM149" i="2"/>
  <c r="EM150" i="2" s="1"/>
  <c r="EM112" i="2" s="1"/>
  <c r="EM113" i="2" s="1"/>
  <c r="ER182" i="2"/>
  <c r="ER102" i="2" s="1"/>
  <c r="ER103" i="2" s="1"/>
  <c r="ER149" i="2"/>
  <c r="ER150" i="2" s="1"/>
  <c r="ER112" i="2" s="1"/>
  <c r="ER113" i="2" s="1"/>
  <c r="EZ182" i="2"/>
  <c r="EZ102" i="2" s="1"/>
  <c r="EZ103" i="2" s="1"/>
  <c r="EZ149" i="2"/>
  <c r="EZ150" i="2" s="1"/>
  <c r="EZ112" i="2" s="1"/>
  <c r="EZ113" i="2" s="1"/>
  <c r="FK182" i="2"/>
  <c r="FK102" i="2" s="1"/>
  <c r="FK103" i="2" s="1"/>
  <c r="FK149" i="2"/>
  <c r="FK150" i="2" s="1"/>
  <c r="FK112" i="2" s="1"/>
  <c r="FK113" i="2" s="1"/>
  <c r="FN182" i="2"/>
  <c r="FN102" i="2" s="1"/>
  <c r="FN103" i="2" s="1"/>
  <c r="FN149" i="2"/>
  <c r="FN150" i="2" s="1"/>
  <c r="FN112" i="2" s="1"/>
  <c r="FN113" i="2" s="1"/>
  <c r="FR182" i="2"/>
  <c r="FR102" i="2" s="1"/>
  <c r="FR103" i="2" s="1"/>
  <c r="FR149" i="2"/>
  <c r="FR150" i="2" s="1"/>
  <c r="FR112" i="2" s="1"/>
  <c r="FR113" i="2" s="1"/>
  <c r="FV182" i="2"/>
  <c r="FV102" i="2" s="1"/>
  <c r="FV103" i="2" s="1"/>
  <c r="FV149" i="2"/>
  <c r="FV150" i="2" s="1"/>
  <c r="FV112" i="2" s="1"/>
  <c r="FV113" i="2" s="1"/>
  <c r="FY182" i="2"/>
  <c r="FY102" i="2" s="1"/>
  <c r="FY103" i="2" s="1"/>
  <c r="FY149" i="2"/>
  <c r="FY150" i="2" s="1"/>
  <c r="FY112" i="2" s="1"/>
  <c r="FY113" i="2" s="1"/>
  <c r="GC182" i="2"/>
  <c r="GC102" i="2" s="1"/>
  <c r="GC103" i="2" s="1"/>
  <c r="GC149" i="2"/>
  <c r="GC150" i="2" s="1"/>
  <c r="GC112" i="2" s="1"/>
  <c r="GC113" i="2" s="1"/>
  <c r="ED149" i="2"/>
  <c r="ED150" i="2" s="1"/>
  <c r="ED112" i="2" s="1"/>
  <c r="ED113" i="2" s="1"/>
  <c r="ED182" i="2"/>
  <c r="ED102" i="2" s="1"/>
  <c r="ED103" i="2" s="1"/>
  <c r="ES182" i="2"/>
  <c r="ES102" i="2" s="1"/>
  <c r="ES103" i="2" s="1"/>
  <c r="ES149" i="2"/>
  <c r="ES150" i="2" s="1"/>
  <c r="ES112" i="2" s="1"/>
  <c r="ES113" i="2" s="1"/>
  <c r="EW182" i="2"/>
  <c r="EW102" i="2" s="1"/>
  <c r="EW103" i="2" s="1"/>
  <c r="EW149" i="2"/>
  <c r="EW150" i="2" s="1"/>
  <c r="EW112" i="2" s="1"/>
  <c r="EW113" i="2" s="1"/>
  <c r="GP102" i="2"/>
  <c r="GP103" i="2" s="1"/>
  <c r="GP149" i="2"/>
  <c r="GP150" i="2" s="1"/>
  <c r="GP112" i="2" s="1"/>
  <c r="GP113" i="2" s="1"/>
  <c r="EE182" i="2"/>
  <c r="EE102" i="2" s="1"/>
  <c r="EE103" i="2" s="1"/>
  <c r="EE149" i="2"/>
  <c r="EE150" i="2" s="1"/>
  <c r="EE112" i="2" s="1"/>
  <c r="EE113" i="2" s="1"/>
  <c r="EN182" i="2"/>
  <c r="EN102" i="2" s="1"/>
  <c r="EN103" i="2" s="1"/>
  <c r="EN116" i="2" s="1"/>
  <c r="FD182" i="2"/>
  <c r="FD102" i="2" s="1"/>
  <c r="FD103" i="2" s="1"/>
  <c r="FD116" i="2" s="1"/>
  <c r="FL182" i="2"/>
  <c r="FL102" i="2" s="1"/>
  <c r="FL103" i="2" s="1"/>
  <c r="FL116" i="2" s="1"/>
  <c r="FZ182" i="2"/>
  <c r="FZ102" i="2" s="1"/>
  <c r="FZ103" i="2" s="1"/>
  <c r="FZ149" i="2"/>
  <c r="FZ150" i="2" s="1"/>
  <c r="FZ112" i="2" s="1"/>
  <c r="FZ113" i="2" s="1"/>
  <c r="EF182" i="2"/>
  <c r="EF102" i="2" s="1"/>
  <c r="EF103" i="2" s="1"/>
  <c r="EF149" i="2"/>
  <c r="EF150" i="2" s="1"/>
  <c r="EF112" i="2" s="1"/>
  <c r="EF113" i="2" s="1"/>
  <c r="FB182" i="2"/>
  <c r="FB102" i="2" s="1"/>
  <c r="FB103" i="2" s="1"/>
  <c r="FB116" i="2" s="1"/>
  <c r="FH182" i="2"/>
  <c r="FH102" i="2" s="1"/>
  <c r="FH103" i="2" s="1"/>
  <c r="FH149" i="2"/>
  <c r="FH150" i="2" s="1"/>
  <c r="FH112" i="2" s="1"/>
  <c r="FH113" i="2" s="1"/>
  <c r="GA182" i="2"/>
  <c r="GA102" i="2" s="1"/>
  <c r="GA103" i="2" s="1"/>
  <c r="GA149" i="2"/>
  <c r="GA150" i="2" s="1"/>
  <c r="GA112" i="2" s="1"/>
  <c r="GA113" i="2" s="1"/>
  <c r="EO182" i="2"/>
  <c r="EO102" i="2" s="1"/>
  <c r="EO103" i="2" s="1"/>
  <c r="EO149" i="2"/>
  <c r="EO150" i="2" s="1"/>
  <c r="EO112" i="2" s="1"/>
  <c r="EO113" i="2" s="1"/>
  <c r="FE182" i="2"/>
  <c r="FE102" i="2" s="1"/>
  <c r="FE103" i="2" s="1"/>
  <c r="FE149" i="2"/>
  <c r="FE150" i="2" s="1"/>
  <c r="FE112" i="2" s="1"/>
  <c r="FE113" i="2" s="1"/>
  <c r="FI182" i="2"/>
  <c r="FI102" i="2" s="1"/>
  <c r="FI103" i="2" s="1"/>
  <c r="FI149" i="2"/>
  <c r="FI150" i="2" s="1"/>
  <c r="FI112" i="2" s="1"/>
  <c r="FI113" i="2" s="1"/>
  <c r="EA149" i="2"/>
  <c r="EA150" i="2" s="1"/>
  <c r="EA112" i="2" s="1"/>
  <c r="EA113" i="2" s="1"/>
  <c r="EA182" i="2"/>
  <c r="EA102" i="2" s="1"/>
  <c r="EA103" i="2" s="1"/>
  <c r="EP182" i="2"/>
  <c r="EP102" i="2" s="1"/>
  <c r="EP103" i="2" s="1"/>
  <c r="EP149" i="2"/>
  <c r="EP150" i="2" s="1"/>
  <c r="EP112" i="2" s="1"/>
  <c r="EP113" i="2" s="1"/>
  <c r="EF116" i="2" l="1"/>
  <c r="ED116" i="2"/>
  <c r="EG116" i="2"/>
  <c r="DR116" i="2"/>
  <c r="ES116" i="2"/>
  <c r="FV116" i="2"/>
  <c r="EZ116" i="2"/>
  <c r="FU116" i="2"/>
  <c r="DW116" i="2"/>
  <c r="FN116" i="2"/>
  <c r="EM116" i="2"/>
  <c r="DT116" i="2"/>
  <c r="EQ116" i="2"/>
  <c r="FA116" i="2"/>
  <c r="EA116" i="2"/>
  <c r="EI116" i="2"/>
  <c r="EB116" i="2"/>
  <c r="EV116" i="2"/>
  <c r="GB116" i="2"/>
  <c r="FH116" i="2"/>
  <c r="EC116" i="2"/>
  <c r="DL116" i="2"/>
  <c r="FM116" i="2"/>
  <c r="DN116" i="2"/>
  <c r="EH116" i="2"/>
  <c r="FI116" i="2"/>
  <c r="ET116" i="2"/>
  <c r="FO116" i="2"/>
  <c r="FE116" i="2"/>
  <c r="EE116" i="2"/>
  <c r="FR116" i="2"/>
  <c r="ER116" i="2"/>
  <c r="DX116" i="2"/>
  <c r="EY116" i="2"/>
  <c r="FT116" i="2"/>
  <c r="FG116" i="2"/>
  <c r="DU116" i="2"/>
  <c r="FQ116" i="2"/>
  <c r="DZ116" i="2"/>
  <c r="FJ116" i="2"/>
  <c r="EL116" i="2"/>
  <c r="EX116" i="2"/>
  <c r="FX116" i="2"/>
  <c r="EJ116" i="2"/>
  <c r="DM116" i="2"/>
  <c r="DY116" i="2"/>
  <c r="EO116" i="2"/>
  <c r="GP116" i="2"/>
  <c r="GC116" i="2"/>
  <c r="DO116" i="2"/>
  <c r="FZ116" i="2"/>
  <c r="EK116" i="2"/>
  <c r="DV116" i="2"/>
  <c r="DS116" i="2"/>
  <c r="EP116" i="2"/>
  <c r="GA116" i="2"/>
  <c r="EW116" i="2"/>
  <c r="FY116" i="2"/>
  <c r="FK116" i="2"/>
  <c r="DP116" i="2"/>
  <c r="DQ116" i="2"/>
  <c r="FS116" i="2"/>
  <c r="EU116" i="2"/>
  <c r="FP116" i="2"/>
  <c r="FW115" i="2"/>
  <c r="FW116" i="2"/>
  <c r="GA115" i="2"/>
  <c r="GP115" i="2"/>
  <c r="FD115" i="2"/>
  <c r="DX115" i="2"/>
  <c r="EB115" i="2"/>
  <c r="EY115" i="2"/>
  <c r="FT115" i="2"/>
  <c r="DN115" i="2"/>
  <c r="EH115" i="2"/>
  <c r="EG115" i="2"/>
  <c r="EA115" i="2"/>
  <c r="FE115" i="2"/>
  <c r="FL115" i="2"/>
  <c r="EF115" i="2"/>
  <c r="EN115" i="2"/>
  <c r="EW115" i="2"/>
  <c r="GC115" i="2"/>
  <c r="FN115" i="2"/>
  <c r="EM115" i="2"/>
  <c r="EL115" i="2"/>
  <c r="EX115" i="2"/>
  <c r="FX115" i="2"/>
  <c r="FG115" i="2"/>
  <c r="GB115" i="2"/>
  <c r="FO115" i="2"/>
  <c r="EO115" i="2"/>
  <c r="FH115" i="2"/>
  <c r="EI115" i="2"/>
  <c r="DT115" i="2"/>
  <c r="EJ115" i="2"/>
  <c r="DY115" i="2"/>
  <c r="FB115" i="2"/>
  <c r="ES115" i="2"/>
  <c r="FY115" i="2"/>
  <c r="FK115" i="2"/>
  <c r="FF115" i="2"/>
  <c r="EK115" i="2"/>
  <c r="DU115" i="2"/>
  <c r="FQ115" i="2"/>
  <c r="DZ115" i="2"/>
  <c r="FJ115" i="2"/>
  <c r="EP115" i="2"/>
  <c r="EE115" i="2"/>
  <c r="DP115" i="2"/>
  <c r="FC115" i="2"/>
  <c r="DQ115" i="2"/>
  <c r="FS115" i="2"/>
  <c r="DV115" i="2"/>
  <c r="DM115" i="2"/>
  <c r="DS115" i="2"/>
  <c r="DR115" i="2"/>
  <c r="FI115" i="2"/>
  <c r="ED115" i="2"/>
  <c r="FV115" i="2"/>
  <c r="EZ115" i="2"/>
  <c r="EC115" i="2"/>
  <c r="DL115" i="2"/>
  <c r="FM115" i="2"/>
  <c r="DO115" i="2"/>
  <c r="FA115" i="2"/>
  <c r="FP115" i="2"/>
  <c r="FZ115" i="2"/>
  <c r="EQ115" i="2"/>
  <c r="FU115" i="2"/>
  <c r="DW115" i="2"/>
  <c r="EV115" i="2"/>
  <c r="FR115" i="2"/>
  <c r="ER115" i="2"/>
  <c r="EU115" i="2"/>
  <c r="ET115" i="2"/>
  <c r="BS29" i="2"/>
  <c r="BT29" i="2"/>
  <c r="BU29" i="2"/>
  <c r="BR29" i="2" l="1"/>
  <c r="HS29" i="2" l="1"/>
  <c r="K38" i="7" l="1"/>
  <c r="CE29" i="2" l="1"/>
  <c r="HS147" i="2" l="1"/>
  <c r="CH26" i="2"/>
  <c r="CF29" i="2"/>
  <c r="CG27" i="2"/>
  <c r="CG29" i="2" l="1"/>
  <c r="BT107" i="2" l="1"/>
  <c r="BT184" i="2" s="1"/>
  <c r="CI26" i="2"/>
  <c r="CH29" i="2"/>
  <c r="CI27" i="2"/>
  <c r="CH175" i="2" l="1"/>
  <c r="CH178" i="2" s="1"/>
  <c r="CH162" i="2"/>
  <c r="CH164" i="2" s="1"/>
  <c r="CH181" i="2" s="1"/>
  <c r="HT107" i="2"/>
  <c r="CH41" i="2"/>
  <c r="CJ26" i="2"/>
  <c r="CI29" i="2"/>
  <c r="CI41" i="2" s="1"/>
  <c r="CJ27" i="2"/>
  <c r="CI162" i="2" l="1"/>
  <c r="CI164" i="2" s="1"/>
  <c r="CI181" i="2" s="1"/>
  <c r="CI175" i="2"/>
  <c r="CI178" i="2" s="1"/>
  <c r="CI92" i="2"/>
  <c r="CI87" i="2"/>
  <c r="CJ29" i="2"/>
  <c r="CJ41" i="2" s="1"/>
  <c r="CK27" i="2"/>
  <c r="CK26" i="2"/>
  <c r="CH92" i="2"/>
  <c r="CH87" i="2"/>
  <c r="CJ162" i="2" l="1"/>
  <c r="CJ164" i="2" s="1"/>
  <c r="CJ181" i="2" s="1"/>
  <c r="CM26" i="2"/>
  <c r="BT146" i="2"/>
  <c r="CJ175" i="2"/>
  <c r="CJ178" i="2" s="1"/>
  <c r="CH106" i="2"/>
  <c r="CH89" i="2"/>
  <c r="CH90" i="2" s="1"/>
  <c r="CL26" i="2"/>
  <c r="CK29" i="2"/>
  <c r="CK175" i="2" s="1"/>
  <c r="CL27" i="2"/>
  <c r="CM27" i="2" s="1"/>
  <c r="CJ92" i="2"/>
  <c r="CJ87" i="2"/>
  <c r="CI89" i="2"/>
  <c r="CI90" i="2" s="1"/>
  <c r="CI106" i="2"/>
  <c r="CK162" i="2" l="1"/>
  <c r="CK164" i="2" s="1"/>
  <c r="CK181" i="2" s="1"/>
  <c r="CM29" i="2"/>
  <c r="CM175" i="2" s="1"/>
  <c r="CM178" i="2" s="1"/>
  <c r="CN27" i="2"/>
  <c r="CN26" i="2"/>
  <c r="I146" i="2"/>
  <c r="HT146" i="2"/>
  <c r="HL146" i="2" s="1"/>
  <c r="BT148" i="2"/>
  <c r="BT151" i="2"/>
  <c r="CK178" i="2"/>
  <c r="CJ106" i="2"/>
  <c r="CJ89" i="2"/>
  <c r="CL29" i="2"/>
  <c r="CL162" i="2" s="1"/>
  <c r="CL164" i="2" s="1"/>
  <c r="CL181" i="2" s="1"/>
  <c r="CK41" i="2"/>
  <c r="CK92" i="2" s="1"/>
  <c r="CM41" i="2" l="1"/>
  <c r="CM162" i="2"/>
  <c r="CM164" i="2" s="1"/>
  <c r="CM181" i="2" s="1"/>
  <c r="CN29" i="2"/>
  <c r="CN175" i="2" s="1"/>
  <c r="CN178" i="2" s="1"/>
  <c r="CO27" i="2"/>
  <c r="CO26" i="2"/>
  <c r="BT186" i="2"/>
  <c r="HT151" i="2"/>
  <c r="BT149" i="2"/>
  <c r="BT150" i="2" s="1"/>
  <c r="BT112" i="2" s="1"/>
  <c r="CK87" i="2"/>
  <c r="CJ90" i="2"/>
  <c r="CL175" i="2"/>
  <c r="CL41" i="2"/>
  <c r="CM87" i="2" l="1"/>
  <c r="CM92" i="2"/>
  <c r="CN41" i="2"/>
  <c r="CN162" i="2"/>
  <c r="CN164" i="2" s="1"/>
  <c r="CN181" i="2" s="1"/>
  <c r="CO29" i="2"/>
  <c r="CO175" i="2" s="1"/>
  <c r="CO178" i="2" s="1"/>
  <c r="CP27" i="2"/>
  <c r="CP26" i="2"/>
  <c r="CL178" i="2"/>
  <c r="CL87" i="2"/>
  <c r="CL92" i="2"/>
  <c r="CK106" i="2"/>
  <c r="CK89" i="2"/>
  <c r="CK90" i="2" s="1"/>
  <c r="CN87" i="2" l="1"/>
  <c r="CN92" i="2"/>
  <c r="CO162" i="2"/>
  <c r="CO164" i="2" s="1"/>
  <c r="CO181" i="2" s="1"/>
  <c r="CO41" i="2"/>
  <c r="CP162" i="2"/>
  <c r="CP164" i="2" s="1"/>
  <c r="CP181" i="2" s="1"/>
  <c r="CP41" i="2"/>
  <c r="CM106" i="2"/>
  <c r="CM89" i="2"/>
  <c r="CM90" i="2" s="1"/>
  <c r="CP29" i="2"/>
  <c r="CP175" i="2" s="1"/>
  <c r="CQ27" i="2"/>
  <c r="CQ26" i="2"/>
  <c r="CL106" i="2"/>
  <c r="CL89" i="2"/>
  <c r="CP87" i="2" l="1"/>
  <c r="CP92" i="2"/>
  <c r="CO87" i="2"/>
  <c r="CO92" i="2"/>
  <c r="CN106" i="2"/>
  <c r="CN89" i="2"/>
  <c r="CN90" i="2" s="1"/>
  <c r="CQ29" i="2"/>
  <c r="CQ175" i="2" s="1"/>
  <c r="CR27" i="2"/>
  <c r="CP178" i="2"/>
  <c r="CR26" i="2"/>
  <c r="CS26" i="2"/>
  <c r="CL90" i="2"/>
  <c r="HU29" i="2" l="1"/>
  <c r="M38" i="7" s="1"/>
  <c r="CQ41" i="2"/>
  <c r="CQ92" i="2" s="1"/>
  <c r="CP106" i="2"/>
  <c r="CP89" i="2"/>
  <c r="CP90" i="2" s="1"/>
  <c r="CO106" i="2"/>
  <c r="CO89" i="2"/>
  <c r="CO90" i="2" s="1"/>
  <c r="CQ162" i="2"/>
  <c r="CQ164" i="2" s="1"/>
  <c r="CQ181" i="2" s="1"/>
  <c r="CQ178" i="2"/>
  <c r="CR29" i="2"/>
  <c r="CR41" i="2" s="1"/>
  <c r="CS27" i="2"/>
  <c r="CS29" i="2" s="1"/>
  <c r="CS175" i="2" s="1"/>
  <c r="CS178" i="2" s="1"/>
  <c r="HV26" i="2"/>
  <c r="CR162" i="2" l="1"/>
  <c r="CR164" i="2" s="1"/>
  <c r="CR181" i="2" s="1"/>
  <c r="CQ87" i="2"/>
  <c r="CQ106" i="2" s="1"/>
  <c r="CR87" i="2"/>
  <c r="CR92" i="2"/>
  <c r="CS41" i="2"/>
  <c r="CS162" i="2"/>
  <c r="CS164" i="2" s="1"/>
  <c r="CS181" i="2" s="1"/>
  <c r="HV29" i="2"/>
  <c r="N38" i="7" s="1"/>
  <c r="CR175" i="2"/>
  <c r="CR178" i="2" s="1"/>
  <c r="N37" i="7"/>
  <c r="CQ89" i="2" l="1"/>
  <c r="CQ90" i="2" s="1"/>
  <c r="CS87" i="2"/>
  <c r="HV87" i="2" s="1"/>
  <c r="CS92" i="2"/>
  <c r="HV41" i="2"/>
  <c r="HV92" i="2"/>
  <c r="CR106" i="2"/>
  <c r="CR89" i="2"/>
  <c r="CR90" i="2" s="1"/>
  <c r="HV178" i="2"/>
  <c r="HV175" i="2"/>
  <c r="CS106" i="2" l="1"/>
  <c r="HV106" i="2" s="1"/>
  <c r="CS89" i="2"/>
  <c r="CS90" i="2" s="1"/>
  <c r="HV90" i="2" s="1"/>
  <c r="HT147" i="2"/>
  <c r="HV89" i="2" l="1"/>
  <c r="HT182" i="2"/>
  <c r="N9" i="32" l="1"/>
  <c r="N9" i="9"/>
  <c r="E70" i="1" l="1"/>
  <c r="F69" i="1"/>
  <c r="O158" i="9"/>
  <c r="Q158" i="9" s="1"/>
  <c r="R158" i="9" s="1"/>
  <c r="O133" i="9"/>
  <c r="Q133" i="9" s="1"/>
  <c r="R133" i="9" s="1"/>
  <c r="O304" i="9"/>
  <c r="Q304" i="9" s="1"/>
  <c r="R304" i="9" s="1"/>
  <c r="O20" i="9"/>
  <c r="Q20" i="9" s="1"/>
  <c r="R20" i="9" s="1"/>
  <c r="O196" i="9"/>
  <c r="Q196" i="9" s="1"/>
  <c r="R196" i="9" s="1"/>
  <c r="O195" i="9"/>
  <c r="Q195" i="9" s="1"/>
  <c r="R195" i="9" s="1"/>
  <c r="O358" i="9"/>
  <c r="Q358" i="9" s="1"/>
  <c r="R358" i="9" s="1"/>
  <c r="O247" i="9"/>
  <c r="Q247" i="9" s="1"/>
  <c r="R247" i="9" s="1"/>
  <c r="O138" i="9"/>
  <c r="Q138" i="9" s="1"/>
  <c r="R138" i="9" s="1"/>
  <c r="O173" i="9"/>
  <c r="Q173" i="9" s="1"/>
  <c r="R173" i="9" s="1"/>
  <c r="O43" i="9"/>
  <c r="Q43" i="9" s="1"/>
  <c r="R43" i="9" s="1"/>
  <c r="O86" i="9"/>
  <c r="Q86" i="9" s="1"/>
  <c r="R86" i="9" s="1"/>
  <c r="O165" i="9"/>
  <c r="Q165" i="9" s="1"/>
  <c r="R165" i="9" s="1"/>
  <c r="O184" i="9"/>
  <c r="Q184" i="9" s="1"/>
  <c r="R184" i="9" s="1"/>
  <c r="O226" i="9"/>
  <c r="Q226" i="9" s="1"/>
  <c r="R226" i="9" s="1"/>
  <c r="O129" i="9"/>
  <c r="Q129" i="9" s="1"/>
  <c r="R129" i="9" s="1"/>
  <c r="O338" i="9"/>
  <c r="Q338" i="9" s="1"/>
  <c r="R338" i="9" s="1"/>
  <c r="O326" i="9"/>
  <c r="Q326" i="9" s="1"/>
  <c r="R326" i="9" s="1"/>
  <c r="O280" i="9"/>
  <c r="Q280" i="9" s="1"/>
  <c r="R280" i="9" s="1"/>
  <c r="O328" i="9"/>
  <c r="Q328" i="9" s="1"/>
  <c r="R328" i="9" s="1"/>
  <c r="O286" i="9"/>
  <c r="Q286" i="9" s="1"/>
  <c r="R286" i="9" s="1"/>
  <c r="O197" i="9"/>
  <c r="Q197" i="9" s="1"/>
  <c r="R197" i="9" s="1"/>
  <c r="O210" i="9"/>
  <c r="Q210" i="9" s="1"/>
  <c r="R210" i="9" s="1"/>
  <c r="O265" i="9"/>
  <c r="Q265" i="9" s="1"/>
  <c r="R265" i="9" s="1"/>
  <c r="O330" i="9"/>
  <c r="Q330" i="9" s="1"/>
  <c r="R330" i="9" s="1"/>
  <c r="O322" i="9"/>
  <c r="Q322" i="9" s="1"/>
  <c r="R322" i="9" s="1"/>
  <c r="O147" i="9"/>
  <c r="Q147" i="9" s="1"/>
  <c r="R147" i="9" s="1"/>
  <c r="O365" i="9"/>
  <c r="Q365" i="9" s="1"/>
  <c r="R365" i="9" s="1"/>
  <c r="O296" i="9"/>
  <c r="Q296" i="9" s="1"/>
  <c r="R296" i="9" s="1"/>
  <c r="O36" i="9"/>
  <c r="Q36" i="9" s="1"/>
  <c r="R36" i="9" s="1"/>
  <c r="O251" i="9"/>
  <c r="Q251" i="9" s="1"/>
  <c r="R251" i="9" s="1"/>
  <c r="O227" i="9"/>
  <c r="Q227" i="9" s="1"/>
  <c r="R227" i="9" s="1"/>
  <c r="O141" i="9"/>
  <c r="Q141" i="9" s="1"/>
  <c r="R141" i="9" s="1"/>
  <c r="O132" i="9"/>
  <c r="Q132" i="9" s="1"/>
  <c r="R132" i="9" s="1"/>
  <c r="O252" i="9"/>
  <c r="Q252" i="9" s="1"/>
  <c r="R252" i="9" s="1"/>
  <c r="O198" i="9"/>
  <c r="Q198" i="9" s="1"/>
  <c r="R198" i="9" s="1"/>
  <c r="O243" i="9"/>
  <c r="Q243" i="9" s="1"/>
  <c r="R243" i="9" s="1"/>
  <c r="O208" i="9"/>
  <c r="Q208" i="9" s="1"/>
  <c r="R208" i="9" s="1"/>
  <c r="O56" i="9"/>
  <c r="Q56" i="9" s="1"/>
  <c r="R56" i="9" s="1"/>
  <c r="O37" i="9"/>
  <c r="Q37" i="9" s="1"/>
  <c r="R37" i="9" s="1"/>
  <c r="O88" i="9"/>
  <c r="Q88" i="9" s="1"/>
  <c r="R88" i="9" s="1"/>
  <c r="O186" i="9"/>
  <c r="Q186" i="9" s="1"/>
  <c r="R186" i="9" s="1"/>
  <c r="O140" i="9"/>
  <c r="Q140" i="9" s="1"/>
  <c r="R140" i="9" s="1"/>
  <c r="O297" i="9"/>
  <c r="Q297" i="9" s="1"/>
  <c r="R297" i="9" s="1"/>
  <c r="O120" i="9"/>
  <c r="Q120" i="9" s="1"/>
  <c r="R120" i="9" s="1"/>
  <c r="O284" i="9"/>
  <c r="Q284" i="9" s="1"/>
  <c r="R284" i="9" s="1"/>
  <c r="O249" i="9"/>
  <c r="Q249" i="9" s="1"/>
  <c r="R249" i="9" s="1"/>
  <c r="O241" i="9"/>
  <c r="Q241" i="9" s="1"/>
  <c r="R241" i="9" s="1"/>
  <c r="O202" i="9"/>
  <c r="Q202" i="9" s="1"/>
  <c r="R202" i="9" s="1"/>
  <c r="O112" i="9"/>
  <c r="Q112" i="9" s="1"/>
  <c r="R112" i="9" s="1"/>
  <c r="O346" i="9"/>
  <c r="Q346" i="9" s="1"/>
  <c r="R346" i="9" s="1"/>
  <c r="O290" i="9"/>
  <c r="Q290" i="9" s="1"/>
  <c r="R290" i="9" s="1"/>
  <c r="O97" i="9"/>
  <c r="Q97" i="9" s="1"/>
  <c r="R97" i="9" s="1"/>
  <c r="O268" i="9"/>
  <c r="Q268" i="9" s="1"/>
  <c r="R268" i="9" s="1"/>
  <c r="O75" i="9"/>
  <c r="Q75" i="9" s="1"/>
  <c r="R75" i="9" s="1"/>
  <c r="O135" i="9"/>
  <c r="Q135" i="9" s="1"/>
  <c r="R135" i="9" s="1"/>
  <c r="O303" i="9"/>
  <c r="Q303" i="9" s="1"/>
  <c r="R303" i="9" s="1"/>
  <c r="O80" i="9"/>
  <c r="Q80" i="9" s="1"/>
  <c r="R80" i="9" s="1"/>
  <c r="O270" i="9"/>
  <c r="Q270" i="9" s="1"/>
  <c r="R270" i="9" s="1"/>
  <c r="O207" i="9"/>
  <c r="Q207" i="9" s="1"/>
  <c r="R207" i="9" s="1"/>
  <c r="O310" i="9"/>
  <c r="Q310" i="9" s="1"/>
  <c r="R310" i="9" s="1"/>
  <c r="O41" i="9"/>
  <c r="Q41" i="9" s="1"/>
  <c r="R41" i="9" s="1"/>
  <c r="O293" i="9"/>
  <c r="Q293" i="9" s="1"/>
  <c r="R293" i="9" s="1"/>
  <c r="O359" i="9"/>
  <c r="Q359" i="9" s="1"/>
  <c r="R359" i="9" s="1"/>
  <c r="O291" i="9"/>
  <c r="Q291" i="9" s="1"/>
  <c r="R291" i="9" s="1"/>
  <c r="O267" i="9"/>
  <c r="Q267" i="9" s="1"/>
  <c r="R267" i="9" s="1"/>
  <c r="O237" i="9"/>
  <c r="Q237" i="9" s="1"/>
  <c r="R237" i="9" s="1"/>
  <c r="O142" i="9"/>
  <c r="Q142" i="9" s="1"/>
  <c r="R142" i="9" s="1"/>
  <c r="O93" i="9"/>
  <c r="Q93" i="9" s="1"/>
  <c r="R93" i="9" s="1"/>
  <c r="O30" i="9"/>
  <c r="Q30" i="9" s="1"/>
  <c r="R30" i="9" s="1"/>
  <c r="O21" i="9"/>
  <c r="Q21" i="9" s="1"/>
  <c r="R21" i="9" s="1"/>
  <c r="O240" i="9"/>
  <c r="Q240" i="9" s="1"/>
  <c r="R240" i="9" s="1"/>
  <c r="O301" i="9"/>
  <c r="Q301" i="9" s="1"/>
  <c r="R301" i="9" s="1"/>
  <c r="O74" i="9"/>
  <c r="Q74" i="9" s="1"/>
  <c r="R74" i="9" s="1"/>
  <c r="O264" i="9"/>
  <c r="Q264" i="9" s="1"/>
  <c r="R264" i="9" s="1"/>
  <c r="O262" i="9"/>
  <c r="Q262" i="9" s="1"/>
  <c r="R262" i="9" s="1"/>
  <c r="O64" i="9"/>
  <c r="Q64" i="9" s="1"/>
  <c r="R64" i="9" s="1"/>
  <c r="O318" i="9"/>
  <c r="Q318" i="9" s="1"/>
  <c r="R318" i="9" s="1"/>
  <c r="O348" i="9"/>
  <c r="Q348" i="9" s="1"/>
  <c r="R348" i="9" s="1"/>
  <c r="O349" i="9"/>
  <c r="Q349" i="9" s="1"/>
  <c r="R349" i="9" s="1"/>
  <c r="O164" i="9"/>
  <c r="Q164" i="9" s="1"/>
  <c r="R164" i="9" s="1"/>
  <c r="O256" i="9"/>
  <c r="Q256" i="9" s="1"/>
  <c r="R256" i="9" s="1"/>
  <c r="O136" i="9"/>
  <c r="Q136" i="9" s="1"/>
  <c r="R136" i="9" s="1"/>
  <c r="O67" i="9"/>
  <c r="Q67" i="9" s="1"/>
  <c r="R67" i="9" s="1"/>
  <c r="O82" i="9"/>
  <c r="Q82" i="9" s="1"/>
  <c r="R82" i="9" s="1"/>
  <c r="O222" i="9"/>
  <c r="Q222" i="9" s="1"/>
  <c r="R222" i="9" s="1"/>
  <c r="O163" i="9"/>
  <c r="Q163" i="9" s="1"/>
  <c r="R163" i="9" s="1"/>
  <c r="O336" i="9"/>
  <c r="Q336" i="9" s="1"/>
  <c r="R336" i="9" s="1"/>
  <c r="O235" i="9"/>
  <c r="Q235" i="9" s="1"/>
  <c r="R235" i="9" s="1"/>
  <c r="O99" i="9"/>
  <c r="Q99" i="9" s="1"/>
  <c r="R99" i="9" s="1"/>
  <c r="O25" i="9"/>
  <c r="Q25" i="9" s="1"/>
  <c r="R25" i="9" s="1"/>
  <c r="O182" i="9"/>
  <c r="Q182" i="9" s="1"/>
  <c r="R182" i="9" s="1"/>
  <c r="O49" i="9"/>
  <c r="Q49" i="9" s="1"/>
  <c r="R49" i="9" s="1"/>
  <c r="O53" i="9"/>
  <c r="Q53" i="9" s="1"/>
  <c r="R53" i="9" s="1"/>
  <c r="O342" i="9"/>
  <c r="Q342" i="9" s="1"/>
  <c r="R342" i="9" s="1"/>
  <c r="O316" i="9"/>
  <c r="Q316" i="9" s="1"/>
  <c r="R316" i="9" s="1"/>
  <c r="O329" i="9"/>
  <c r="Q329" i="9" s="1"/>
  <c r="R329" i="9" s="1"/>
  <c r="O45" i="9"/>
  <c r="Q45" i="9" s="1"/>
  <c r="R45" i="9" s="1"/>
  <c r="O312" i="9"/>
  <c r="Q312" i="9" s="1"/>
  <c r="R312" i="9" s="1"/>
  <c r="O114" i="9"/>
  <c r="Q114" i="9" s="1"/>
  <c r="R114" i="9" s="1"/>
  <c r="O254" i="9"/>
  <c r="Q254" i="9" s="1"/>
  <c r="R254" i="9" s="1"/>
  <c r="O294" i="9"/>
  <c r="Q294" i="9" s="1"/>
  <c r="R294" i="9" s="1"/>
  <c r="O292" i="9"/>
  <c r="Q292" i="9" s="1"/>
  <c r="R292" i="9" s="1"/>
  <c r="O278" i="9"/>
  <c r="Q278" i="9" s="1"/>
  <c r="R278" i="9" s="1"/>
  <c r="O12" i="9"/>
  <c r="Q12" i="9" s="1"/>
  <c r="R12" i="9" s="1"/>
  <c r="O154" i="9"/>
  <c r="Q154" i="9" s="1"/>
  <c r="R154" i="9" s="1"/>
  <c r="O13" i="9"/>
  <c r="Q13" i="9" s="1"/>
  <c r="R13" i="9" s="1"/>
  <c r="O124" i="9"/>
  <c r="Q124" i="9" s="1"/>
  <c r="R124" i="9" s="1"/>
  <c r="O203" i="9"/>
  <c r="Q203" i="9" s="1"/>
  <c r="R203" i="9" s="1"/>
  <c r="O231" i="9"/>
  <c r="Q231" i="9" s="1"/>
  <c r="R231" i="9" s="1"/>
  <c r="O98" i="9"/>
  <c r="Q98" i="9" s="1"/>
  <c r="R98" i="9" s="1"/>
  <c r="O334" i="9"/>
  <c r="Q334" i="9" s="1"/>
  <c r="R334" i="9" s="1"/>
  <c r="O366" i="9"/>
  <c r="Q366" i="9" s="1"/>
  <c r="R366" i="9" s="1"/>
  <c r="O209" i="9"/>
  <c r="Q209" i="9" s="1"/>
  <c r="R209" i="9" s="1"/>
  <c r="O107" i="9"/>
  <c r="Q107" i="9" s="1"/>
  <c r="R107" i="9" s="1"/>
  <c r="O273" i="9"/>
  <c r="Q273" i="9" s="1"/>
  <c r="R273" i="9" s="1"/>
  <c r="O18" i="9"/>
  <c r="Q18" i="9" s="1"/>
  <c r="R18" i="9" s="1"/>
  <c r="O317" i="9"/>
  <c r="Q317" i="9" s="1"/>
  <c r="R317" i="9" s="1"/>
  <c r="O299" i="9"/>
  <c r="Q299" i="9" s="1"/>
  <c r="R299" i="9" s="1"/>
  <c r="O179" i="9"/>
  <c r="Q179" i="9" s="1"/>
  <c r="R179" i="9" s="1"/>
  <c r="O204" i="9"/>
  <c r="Q204" i="9" s="1"/>
  <c r="R204" i="9" s="1"/>
  <c r="O127" i="9"/>
  <c r="Q127" i="9" s="1"/>
  <c r="R127" i="9" s="1"/>
  <c r="O263" i="9"/>
  <c r="Q263" i="9" s="1"/>
  <c r="R263" i="9" s="1"/>
  <c r="O144" i="9"/>
  <c r="Q144" i="9" s="1"/>
  <c r="R144" i="9" s="1"/>
  <c r="O58" i="9"/>
  <c r="Q58" i="9" s="1"/>
  <c r="R58" i="9" s="1"/>
  <c r="O60" i="9"/>
  <c r="Q60" i="9" s="1"/>
  <c r="R60" i="9" s="1"/>
  <c r="O307" i="9"/>
  <c r="Q307" i="9" s="1"/>
  <c r="R307" i="9" s="1"/>
  <c r="O314" i="9"/>
  <c r="Q314" i="9" s="1"/>
  <c r="R314" i="9" s="1"/>
  <c r="O150" i="9"/>
  <c r="Q150" i="9" s="1"/>
  <c r="R150" i="9" s="1"/>
  <c r="O102" i="9"/>
  <c r="Q102" i="9" s="1"/>
  <c r="R102" i="9" s="1"/>
  <c r="O95" i="9"/>
  <c r="Q95" i="9" s="1"/>
  <c r="R95" i="9" s="1"/>
  <c r="O139" i="9"/>
  <c r="Q139" i="9" s="1"/>
  <c r="R139" i="9" s="1"/>
  <c r="O362" i="9"/>
  <c r="Q362" i="9" s="1"/>
  <c r="R362" i="9" s="1"/>
  <c r="O239" i="9"/>
  <c r="Q239" i="9" s="1"/>
  <c r="R239" i="9" s="1"/>
  <c r="O212" i="9"/>
  <c r="Q212" i="9" s="1"/>
  <c r="R212" i="9" s="1"/>
  <c r="O347" i="9"/>
  <c r="Q347" i="9" s="1"/>
  <c r="R347" i="9" s="1"/>
  <c r="O300" i="9"/>
  <c r="Q300" i="9" s="1"/>
  <c r="R300" i="9" s="1"/>
  <c r="O220" i="9"/>
  <c r="Q220" i="9" s="1"/>
  <c r="R220" i="9" s="1"/>
  <c r="O156" i="9"/>
  <c r="Q156" i="9" s="1"/>
  <c r="R156" i="9" s="1"/>
  <c r="O205" i="9"/>
  <c r="Q205" i="9" s="1"/>
  <c r="R205" i="9" s="1"/>
  <c r="O295" i="9"/>
  <c r="Q295" i="9" s="1"/>
  <c r="R295" i="9" s="1"/>
  <c r="O200" i="9"/>
  <c r="Q200" i="9" s="1"/>
  <c r="R200" i="9" s="1"/>
  <c r="O72" i="9"/>
  <c r="Q72" i="9" s="1"/>
  <c r="R72" i="9" s="1"/>
  <c r="O52" i="9"/>
  <c r="Q52" i="9" s="1"/>
  <c r="R52" i="9" s="1"/>
  <c r="O191" i="9"/>
  <c r="Q191" i="9" s="1"/>
  <c r="R191" i="9" s="1"/>
  <c r="O217" i="9"/>
  <c r="Q217" i="9" s="1"/>
  <c r="R217" i="9" s="1"/>
  <c r="O32" i="9"/>
  <c r="Q32" i="9" s="1"/>
  <c r="R32" i="9" s="1"/>
  <c r="O11" i="9"/>
  <c r="Q11" i="9" s="1"/>
  <c r="R11" i="9" s="1"/>
  <c r="O236" i="9"/>
  <c r="Q236" i="9" s="1"/>
  <c r="R236" i="9" s="1"/>
  <c r="O361" i="9"/>
  <c r="Q361" i="9" s="1"/>
  <c r="R361" i="9" s="1"/>
  <c r="O211" i="9"/>
  <c r="Q211" i="9" s="1"/>
  <c r="R211" i="9" s="1"/>
  <c r="O275" i="9"/>
  <c r="Q275" i="9" s="1"/>
  <c r="R275" i="9" s="1"/>
  <c r="O258" i="9"/>
  <c r="Q258" i="9" s="1"/>
  <c r="R258" i="9" s="1"/>
  <c r="O282" i="9"/>
  <c r="Q282" i="9" s="1"/>
  <c r="R282" i="9" s="1"/>
  <c r="O238" i="9"/>
  <c r="Q238" i="9" s="1"/>
  <c r="R238" i="9" s="1"/>
  <c r="O234" i="9"/>
  <c r="Q234" i="9" s="1"/>
  <c r="R234" i="9" s="1"/>
  <c r="O244" i="9"/>
  <c r="Q244" i="9" s="1"/>
  <c r="R244" i="9" s="1"/>
  <c r="O14" i="9"/>
  <c r="Q14" i="9" s="1"/>
  <c r="R14" i="9" s="1"/>
  <c r="O279" i="9"/>
  <c r="Q279" i="9" s="1"/>
  <c r="R279" i="9" s="1"/>
  <c r="O171" i="9"/>
  <c r="Q171" i="9" s="1"/>
  <c r="R171" i="9" s="1"/>
  <c r="O266" i="9"/>
  <c r="Q266" i="9" s="1"/>
  <c r="R266" i="9" s="1"/>
  <c r="O306" i="9"/>
  <c r="Q306" i="9" s="1"/>
  <c r="R306" i="9" s="1"/>
  <c r="O48" i="9"/>
  <c r="Q48" i="9" s="1"/>
  <c r="R48" i="9" s="1"/>
  <c r="O221" i="9"/>
  <c r="Q221" i="9" s="1"/>
  <c r="R221" i="9" s="1"/>
  <c r="O170" i="9"/>
  <c r="Q170" i="9" s="1"/>
  <c r="R170" i="9" s="1"/>
  <c r="O123" i="9"/>
  <c r="Q123" i="9" s="1"/>
  <c r="R123" i="9" s="1"/>
  <c r="O92" i="9"/>
  <c r="Q92" i="9" s="1"/>
  <c r="R92" i="9" s="1"/>
  <c r="O117" i="9"/>
  <c r="Q117" i="9" s="1"/>
  <c r="R117" i="9" s="1"/>
  <c r="O96" i="9"/>
  <c r="Q96" i="9" s="1"/>
  <c r="R96" i="9" s="1"/>
  <c r="O71" i="9"/>
  <c r="Q71" i="9" s="1"/>
  <c r="R71" i="9" s="1"/>
  <c r="O350" i="9"/>
  <c r="Q350" i="9" s="1"/>
  <c r="R350" i="9" s="1"/>
  <c r="O44" i="9"/>
  <c r="Q44" i="9" s="1"/>
  <c r="R44" i="9" s="1"/>
  <c r="O277" i="9"/>
  <c r="Q277" i="9" s="1"/>
  <c r="R277" i="9" s="1"/>
  <c r="O333" i="9"/>
  <c r="Q333" i="9" s="1"/>
  <c r="R333" i="9" s="1"/>
  <c r="O111" i="9"/>
  <c r="Q111" i="9" s="1"/>
  <c r="R111" i="9" s="1"/>
  <c r="O73" i="9"/>
  <c r="Q73" i="9" s="1"/>
  <c r="R73" i="9" s="1"/>
  <c r="O59" i="9"/>
  <c r="Q59" i="9" s="1"/>
  <c r="R59" i="9" s="1"/>
  <c r="O109" i="9"/>
  <c r="Q109" i="9" s="1"/>
  <c r="R109" i="9" s="1"/>
  <c r="O344" i="9"/>
  <c r="Q344" i="9" s="1"/>
  <c r="R344" i="9" s="1"/>
  <c r="O339" i="9"/>
  <c r="Q339" i="9" s="1"/>
  <c r="R339" i="9" s="1"/>
  <c r="O146" i="9"/>
  <c r="Q146" i="9" s="1"/>
  <c r="R146" i="9" s="1"/>
  <c r="O363" i="9"/>
  <c r="Q363" i="9" s="1"/>
  <c r="R363" i="9" s="1"/>
  <c r="O47" i="9"/>
  <c r="Q47" i="9" s="1"/>
  <c r="R47" i="9" s="1"/>
  <c r="O355" i="9"/>
  <c r="Q355" i="9" s="1"/>
  <c r="R355" i="9" s="1"/>
  <c r="O108" i="9"/>
  <c r="Q108" i="9" s="1"/>
  <c r="R108" i="9" s="1"/>
  <c r="O68" i="9"/>
  <c r="Q68" i="9" s="1"/>
  <c r="R68" i="9" s="1"/>
  <c r="O94" i="9"/>
  <c r="Q94" i="9" s="1"/>
  <c r="R94" i="9" s="1"/>
  <c r="O332" i="9"/>
  <c r="Q332" i="9" s="1"/>
  <c r="R332" i="9" s="1"/>
  <c r="O255" i="9"/>
  <c r="Q255" i="9" s="1"/>
  <c r="R255" i="9" s="1"/>
  <c r="O189" i="9"/>
  <c r="Q189" i="9" s="1"/>
  <c r="R189" i="9" s="1"/>
  <c r="O289" i="9"/>
  <c r="Q289" i="9" s="1"/>
  <c r="R289" i="9" s="1"/>
  <c r="O153" i="9"/>
  <c r="Q153" i="9" s="1"/>
  <c r="R153" i="9" s="1"/>
  <c r="O228" i="9"/>
  <c r="Q228" i="9" s="1"/>
  <c r="R228" i="9" s="1"/>
  <c r="O152" i="9"/>
  <c r="Q152" i="9" s="1"/>
  <c r="R152" i="9" s="1"/>
  <c r="O343" i="9"/>
  <c r="Q343" i="9" s="1"/>
  <c r="R343" i="9" s="1"/>
  <c r="O199" i="9"/>
  <c r="Q199" i="9" s="1"/>
  <c r="R199" i="9" s="1"/>
  <c r="O246" i="9"/>
  <c r="Q246" i="9" s="1"/>
  <c r="R246" i="9" s="1"/>
  <c r="O76" i="9"/>
  <c r="Q76" i="9" s="1"/>
  <c r="R76" i="9" s="1"/>
  <c r="O15" i="9"/>
  <c r="Q15" i="9" s="1"/>
  <c r="R15" i="9" s="1"/>
  <c r="O24" i="9"/>
  <c r="Q24" i="9" s="1"/>
  <c r="R24" i="9" s="1"/>
  <c r="O10" i="9"/>
  <c r="Q10" i="9" s="1"/>
  <c r="R10" i="9" s="1"/>
  <c r="O161" i="9"/>
  <c r="Q161" i="9" s="1"/>
  <c r="R161" i="9" s="1"/>
  <c r="O28" i="9"/>
  <c r="Q28" i="9" s="1"/>
  <c r="R28" i="9" s="1"/>
  <c r="O104" i="9"/>
  <c r="Q104" i="9" s="1"/>
  <c r="R104" i="9" s="1"/>
  <c r="O345" i="9"/>
  <c r="Q345" i="9" s="1"/>
  <c r="R345" i="9" s="1"/>
  <c r="O313" i="9"/>
  <c r="Q313" i="9" s="1"/>
  <c r="R313" i="9" s="1"/>
  <c r="O106" i="9"/>
  <c r="Q106" i="9" s="1"/>
  <c r="R106" i="9" s="1"/>
  <c r="O223" i="9"/>
  <c r="Q223" i="9" s="1"/>
  <c r="R223" i="9" s="1"/>
  <c r="O190" i="9"/>
  <c r="Q190" i="9" s="1"/>
  <c r="R190" i="9" s="1"/>
  <c r="O91" i="9"/>
  <c r="Q91" i="9" s="1"/>
  <c r="R91" i="9" s="1"/>
  <c r="O214" i="9"/>
  <c r="Q214" i="9" s="1"/>
  <c r="R214" i="9" s="1"/>
  <c r="O40" i="9"/>
  <c r="Q40" i="9" s="1"/>
  <c r="R40" i="9" s="1"/>
  <c r="O218" i="9"/>
  <c r="Q218" i="9" s="1"/>
  <c r="R218" i="9" s="1"/>
  <c r="O325" i="9"/>
  <c r="Q325" i="9" s="1"/>
  <c r="R325" i="9" s="1"/>
  <c r="O233" i="9"/>
  <c r="Q233" i="9" s="1"/>
  <c r="R233" i="9" s="1"/>
  <c r="O309" i="9"/>
  <c r="Q309" i="9" s="1"/>
  <c r="R309" i="9" s="1"/>
  <c r="O134" i="9"/>
  <c r="Q134" i="9" s="1"/>
  <c r="R134" i="9" s="1"/>
  <c r="O115" i="9"/>
  <c r="Q115" i="9" s="1"/>
  <c r="R115" i="9" s="1"/>
  <c r="O69" i="9"/>
  <c r="Q69" i="9" s="1"/>
  <c r="R69" i="9" s="1"/>
  <c r="O364" i="9"/>
  <c r="Q364" i="9" s="1"/>
  <c r="R364" i="9" s="1"/>
  <c r="O145" i="9"/>
  <c r="Q145" i="9" s="1"/>
  <c r="R145" i="9" s="1"/>
  <c r="O298" i="9"/>
  <c r="Q298" i="9" s="1"/>
  <c r="R298" i="9" s="1"/>
  <c r="O225" i="9"/>
  <c r="Q225" i="9" s="1"/>
  <c r="R225" i="9" s="1"/>
  <c r="O323" i="9"/>
  <c r="Q323" i="9" s="1"/>
  <c r="R323" i="9" s="1"/>
  <c r="O193" i="9"/>
  <c r="Q193" i="9" s="1"/>
  <c r="R193" i="9" s="1"/>
  <c r="O9" i="9"/>
  <c r="O331" i="9"/>
  <c r="Q331" i="9" s="1"/>
  <c r="R331" i="9" s="1"/>
  <c r="O55" i="9"/>
  <c r="Q55" i="9" s="1"/>
  <c r="R55" i="9" s="1"/>
  <c r="O285" i="9"/>
  <c r="Q285" i="9" s="1"/>
  <c r="R285" i="9" s="1"/>
  <c r="O259" i="9"/>
  <c r="Q259" i="9" s="1"/>
  <c r="R259" i="9" s="1"/>
  <c r="O17" i="9"/>
  <c r="Q17" i="9" s="1"/>
  <c r="R17" i="9" s="1"/>
  <c r="O65" i="9"/>
  <c r="Q65" i="9" s="1"/>
  <c r="R65" i="9" s="1"/>
  <c r="O230" i="9"/>
  <c r="Q230" i="9" s="1"/>
  <c r="R230" i="9" s="1"/>
  <c r="O46" i="9"/>
  <c r="Q46" i="9" s="1"/>
  <c r="R46" i="9" s="1"/>
  <c r="O83" i="9"/>
  <c r="Q83" i="9" s="1"/>
  <c r="R83" i="9" s="1"/>
  <c r="O229" i="9"/>
  <c r="Q229" i="9" s="1"/>
  <c r="R229" i="9" s="1"/>
  <c r="O113" i="9"/>
  <c r="Q113" i="9" s="1"/>
  <c r="R113" i="9" s="1"/>
  <c r="O85" i="9"/>
  <c r="Q85" i="9" s="1"/>
  <c r="R85" i="9" s="1"/>
  <c r="O151" i="9"/>
  <c r="Q151" i="9" s="1"/>
  <c r="R151" i="9" s="1"/>
  <c r="O160" i="9"/>
  <c r="Q160" i="9" s="1"/>
  <c r="R160" i="9" s="1"/>
  <c r="O116" i="9"/>
  <c r="Q116" i="9" s="1"/>
  <c r="R116" i="9" s="1"/>
  <c r="O302" i="9"/>
  <c r="Q302" i="9" s="1"/>
  <c r="R302" i="9" s="1"/>
  <c r="O281" i="9"/>
  <c r="Q281" i="9" s="1"/>
  <c r="R281" i="9" s="1"/>
  <c r="O321" i="9"/>
  <c r="Q321" i="9" s="1"/>
  <c r="R321" i="9" s="1"/>
  <c r="O276" i="9"/>
  <c r="Q276" i="9" s="1"/>
  <c r="R276" i="9" s="1"/>
  <c r="O185" i="9"/>
  <c r="Q185" i="9" s="1"/>
  <c r="R185" i="9" s="1"/>
  <c r="O19" i="9"/>
  <c r="Q19" i="9" s="1"/>
  <c r="R19" i="9" s="1"/>
  <c r="O360" i="9"/>
  <c r="Q360" i="9" s="1"/>
  <c r="R360" i="9" s="1"/>
  <c r="O224" i="9"/>
  <c r="Q224" i="9" s="1"/>
  <c r="R224" i="9" s="1"/>
  <c r="O178" i="9"/>
  <c r="Q178" i="9" s="1"/>
  <c r="R178" i="9" s="1"/>
  <c r="O22" i="9"/>
  <c r="Q22" i="9" s="1"/>
  <c r="R22" i="9" s="1"/>
  <c r="O341" i="9"/>
  <c r="Q341" i="9" s="1"/>
  <c r="R341" i="9" s="1"/>
  <c r="O311" i="9"/>
  <c r="Q311" i="9" s="1"/>
  <c r="R311" i="9" s="1"/>
  <c r="O287" i="9"/>
  <c r="Q287" i="9" s="1"/>
  <c r="R287" i="9" s="1"/>
  <c r="O143" i="9"/>
  <c r="Q143" i="9" s="1"/>
  <c r="R143" i="9" s="1"/>
  <c r="O176" i="9"/>
  <c r="Q176" i="9" s="1"/>
  <c r="R176" i="9" s="1"/>
  <c r="O84" i="9"/>
  <c r="Q84" i="9" s="1"/>
  <c r="R84" i="9" s="1"/>
  <c r="O90" i="9"/>
  <c r="Q90" i="9" s="1"/>
  <c r="R90" i="9" s="1"/>
  <c r="O183" i="9"/>
  <c r="Q183" i="9" s="1"/>
  <c r="R183" i="9" s="1"/>
  <c r="O35" i="9"/>
  <c r="Q35" i="9" s="1"/>
  <c r="R35" i="9" s="1"/>
  <c r="O87" i="9"/>
  <c r="Q87" i="9" s="1"/>
  <c r="R87" i="9" s="1"/>
  <c r="O42" i="9"/>
  <c r="Q42" i="9" s="1"/>
  <c r="R42" i="9" s="1"/>
  <c r="O26" i="9"/>
  <c r="Q26" i="9" s="1"/>
  <c r="R26" i="9" s="1"/>
  <c r="O105" i="9"/>
  <c r="Q105" i="9" s="1"/>
  <c r="R105" i="9" s="1"/>
  <c r="O219" i="9"/>
  <c r="Q219" i="9" s="1"/>
  <c r="R219" i="9" s="1"/>
  <c r="O272" i="9"/>
  <c r="Q272" i="9" s="1"/>
  <c r="R272" i="9" s="1"/>
  <c r="O162" i="9"/>
  <c r="Q162" i="9" s="1"/>
  <c r="R162" i="9" s="1"/>
  <c r="O242" i="9"/>
  <c r="Q242" i="9" s="1"/>
  <c r="R242" i="9" s="1"/>
  <c r="O51" i="9"/>
  <c r="Q51" i="9" s="1"/>
  <c r="R51" i="9" s="1"/>
  <c r="O187" i="9"/>
  <c r="Q187" i="9" s="1"/>
  <c r="R187" i="9" s="1"/>
  <c r="O354" i="9"/>
  <c r="Q354" i="9" s="1"/>
  <c r="R354" i="9" s="1"/>
  <c r="O175" i="9"/>
  <c r="Q175" i="9" s="1"/>
  <c r="R175" i="9" s="1"/>
  <c r="O110" i="9"/>
  <c r="Q110" i="9" s="1"/>
  <c r="R110" i="9" s="1"/>
  <c r="O232" i="9"/>
  <c r="Q232" i="9" s="1"/>
  <c r="R232" i="9" s="1"/>
  <c r="O119" i="9"/>
  <c r="Q119" i="9" s="1"/>
  <c r="R119" i="9" s="1"/>
  <c r="O192" i="9"/>
  <c r="Q192" i="9" s="1"/>
  <c r="R192" i="9" s="1"/>
  <c r="O257" i="9"/>
  <c r="Q257" i="9" s="1"/>
  <c r="R257" i="9" s="1"/>
  <c r="O149" i="9"/>
  <c r="Q149" i="9" s="1"/>
  <c r="R149" i="9" s="1"/>
  <c r="O253" i="9"/>
  <c r="Q253" i="9" s="1"/>
  <c r="R253" i="9" s="1"/>
  <c r="O23" i="9"/>
  <c r="Q23" i="9" s="1"/>
  <c r="R23" i="9" s="1"/>
  <c r="O125" i="9"/>
  <c r="Q125" i="9" s="1"/>
  <c r="R125" i="9" s="1"/>
  <c r="O103" i="9"/>
  <c r="Q103" i="9" s="1"/>
  <c r="R103" i="9" s="1"/>
  <c r="O38" i="9"/>
  <c r="Q38" i="9" s="1"/>
  <c r="R38" i="9" s="1"/>
  <c r="O172" i="9"/>
  <c r="Q172" i="9" s="1"/>
  <c r="R172" i="9" s="1"/>
  <c r="O62" i="9"/>
  <c r="Q62" i="9" s="1"/>
  <c r="R62" i="9" s="1"/>
  <c r="O27" i="9"/>
  <c r="Q27" i="9" s="1"/>
  <c r="R27" i="9" s="1"/>
  <c r="O63" i="9"/>
  <c r="Q63" i="9" s="1"/>
  <c r="R63" i="9" s="1"/>
  <c r="O324" i="9"/>
  <c r="Q324" i="9" s="1"/>
  <c r="R324" i="9" s="1"/>
  <c r="O250" i="9"/>
  <c r="Q250" i="9" s="1"/>
  <c r="R250" i="9" s="1"/>
  <c r="O337" i="9"/>
  <c r="Q337" i="9" s="1"/>
  <c r="R337" i="9" s="1"/>
  <c r="O174" i="9"/>
  <c r="Q174" i="9" s="1"/>
  <c r="R174" i="9" s="1"/>
  <c r="O357" i="9"/>
  <c r="Q357" i="9" s="1"/>
  <c r="R357" i="9" s="1"/>
  <c r="O89" i="9"/>
  <c r="Q89" i="9" s="1"/>
  <c r="R89" i="9" s="1"/>
  <c r="O274" i="9"/>
  <c r="Q274" i="9" s="1"/>
  <c r="R274" i="9" s="1"/>
  <c r="O34" i="9"/>
  <c r="Q34" i="9" s="1"/>
  <c r="R34" i="9" s="1"/>
  <c r="O327" i="9"/>
  <c r="Q327" i="9" s="1"/>
  <c r="R327" i="9" s="1"/>
  <c r="O29" i="9"/>
  <c r="Q29" i="9" s="1"/>
  <c r="R29" i="9" s="1"/>
  <c r="O131" i="9"/>
  <c r="Q131" i="9" s="1"/>
  <c r="R131" i="9" s="1"/>
  <c r="O180" i="9"/>
  <c r="Q180" i="9" s="1"/>
  <c r="R180" i="9" s="1"/>
  <c r="O320" i="9"/>
  <c r="Q320" i="9" s="1"/>
  <c r="R320" i="9" s="1"/>
  <c r="O39" i="9"/>
  <c r="Q39" i="9" s="1"/>
  <c r="R39" i="9" s="1"/>
  <c r="O121" i="9"/>
  <c r="Q121" i="9" s="1"/>
  <c r="R121" i="9" s="1"/>
  <c r="O166" i="9"/>
  <c r="Q166" i="9" s="1"/>
  <c r="R166" i="9" s="1"/>
  <c r="O308" i="9"/>
  <c r="Q308" i="9" s="1"/>
  <c r="R308" i="9" s="1"/>
  <c r="O159" i="9"/>
  <c r="Q159" i="9" s="1"/>
  <c r="R159" i="9" s="1"/>
  <c r="O148" i="9"/>
  <c r="Q148" i="9" s="1"/>
  <c r="R148" i="9" s="1"/>
  <c r="O61" i="9"/>
  <c r="Q61" i="9" s="1"/>
  <c r="R61" i="9" s="1"/>
  <c r="O261" i="9"/>
  <c r="Q261" i="9" s="1"/>
  <c r="R261" i="9" s="1"/>
  <c r="O57" i="9"/>
  <c r="Q57" i="9" s="1"/>
  <c r="R57" i="9" s="1"/>
  <c r="O352" i="9"/>
  <c r="Q352" i="9" s="1"/>
  <c r="R352" i="9" s="1"/>
  <c r="O79" i="9"/>
  <c r="Q79" i="9" s="1"/>
  <c r="R79" i="9" s="1"/>
  <c r="O188" i="9"/>
  <c r="Q188" i="9" s="1"/>
  <c r="R188" i="9" s="1"/>
  <c r="O100" i="9"/>
  <c r="Q100" i="9" s="1"/>
  <c r="R100" i="9" s="1"/>
  <c r="O177" i="9"/>
  <c r="Q177" i="9" s="1"/>
  <c r="R177" i="9" s="1"/>
  <c r="O167" i="9"/>
  <c r="Q167" i="9" s="1"/>
  <c r="R167" i="9" s="1"/>
  <c r="O77" i="9"/>
  <c r="Q77" i="9" s="1"/>
  <c r="R77" i="9" s="1"/>
  <c r="O213" i="9"/>
  <c r="Q213" i="9" s="1"/>
  <c r="R213" i="9" s="1"/>
  <c r="O70" i="9"/>
  <c r="Q70" i="9" s="1"/>
  <c r="R70" i="9" s="1"/>
  <c r="O271" i="9"/>
  <c r="Q271" i="9" s="1"/>
  <c r="R271" i="9" s="1"/>
  <c r="O319" i="9"/>
  <c r="Q319" i="9" s="1"/>
  <c r="R319" i="9" s="1"/>
  <c r="O155" i="9"/>
  <c r="Q155" i="9" s="1"/>
  <c r="R155" i="9" s="1"/>
  <c r="O168" i="9"/>
  <c r="Q168" i="9" s="1"/>
  <c r="R168" i="9" s="1"/>
  <c r="O66" i="9"/>
  <c r="Q66" i="9" s="1"/>
  <c r="R66" i="9" s="1"/>
  <c r="O128" i="9"/>
  <c r="Q128" i="9" s="1"/>
  <c r="R128" i="9" s="1"/>
  <c r="O215" i="9"/>
  <c r="Q215" i="9" s="1"/>
  <c r="R215" i="9" s="1"/>
  <c r="O31" i="9"/>
  <c r="Q31" i="9" s="1"/>
  <c r="R31" i="9" s="1"/>
  <c r="O283" i="9"/>
  <c r="Q283" i="9" s="1"/>
  <c r="R283" i="9" s="1"/>
  <c r="O305" i="9"/>
  <c r="Q305" i="9" s="1"/>
  <c r="R305" i="9" s="1"/>
  <c r="O122" i="9"/>
  <c r="Q122" i="9" s="1"/>
  <c r="R122" i="9" s="1"/>
  <c r="O315" i="9"/>
  <c r="Q315" i="9" s="1"/>
  <c r="R315" i="9" s="1"/>
  <c r="O351" i="9"/>
  <c r="Q351" i="9" s="1"/>
  <c r="R351" i="9" s="1"/>
  <c r="O137" i="9"/>
  <c r="Q137" i="9" s="1"/>
  <c r="R137" i="9" s="1"/>
  <c r="O130" i="9"/>
  <c r="Q130" i="9" s="1"/>
  <c r="R130" i="9" s="1"/>
  <c r="O157" i="9"/>
  <c r="Q157" i="9" s="1"/>
  <c r="R157" i="9" s="1"/>
  <c r="O245" i="9"/>
  <c r="Q245" i="9" s="1"/>
  <c r="R245" i="9" s="1"/>
  <c r="O181" i="9"/>
  <c r="Q181" i="9" s="1"/>
  <c r="R181" i="9" s="1"/>
  <c r="O54" i="9"/>
  <c r="Q54" i="9" s="1"/>
  <c r="R54" i="9" s="1"/>
  <c r="O340" i="9"/>
  <c r="Q340" i="9" s="1"/>
  <c r="R340" i="9" s="1"/>
  <c r="O33" i="9"/>
  <c r="Q33" i="9" s="1"/>
  <c r="R33" i="9" s="1"/>
  <c r="O78" i="9"/>
  <c r="Q78" i="9" s="1"/>
  <c r="R78" i="9" s="1"/>
  <c r="O288" i="9"/>
  <c r="Q288" i="9" s="1"/>
  <c r="R288" i="9" s="1"/>
  <c r="O194" i="9"/>
  <c r="Q194" i="9" s="1"/>
  <c r="R194" i="9" s="1"/>
  <c r="O335" i="9"/>
  <c r="Q335" i="9" s="1"/>
  <c r="R335" i="9" s="1"/>
  <c r="O353" i="9"/>
  <c r="Q353" i="9" s="1"/>
  <c r="R353" i="9" s="1"/>
  <c r="O50" i="9"/>
  <c r="Q50" i="9" s="1"/>
  <c r="R50" i="9" s="1"/>
  <c r="O126" i="9"/>
  <c r="Q126" i="9" s="1"/>
  <c r="R126" i="9" s="1"/>
  <c r="O248" i="9"/>
  <c r="Q248" i="9" s="1"/>
  <c r="R248" i="9" s="1"/>
  <c r="O206" i="9"/>
  <c r="Q206" i="9" s="1"/>
  <c r="R206" i="9" s="1"/>
  <c r="O216" i="9"/>
  <c r="Q216" i="9" s="1"/>
  <c r="R216" i="9" s="1"/>
  <c r="O16" i="9"/>
  <c r="Q16" i="9" s="1"/>
  <c r="R16" i="9" s="1"/>
  <c r="O201" i="9"/>
  <c r="Q201" i="9" s="1"/>
  <c r="R201" i="9" s="1"/>
  <c r="P9" i="9"/>
  <c r="O269" i="9"/>
  <c r="Q269" i="9" s="1"/>
  <c r="R269" i="9" s="1"/>
  <c r="O101" i="9"/>
  <c r="Q101" i="9" s="1"/>
  <c r="R101" i="9" s="1"/>
  <c r="O356" i="9"/>
  <c r="Q356" i="9" s="1"/>
  <c r="R356" i="9" s="1"/>
  <c r="O118" i="9"/>
  <c r="Q118" i="9" s="1"/>
  <c r="R118" i="9" s="1"/>
  <c r="O169" i="9"/>
  <c r="Q169" i="9" s="1"/>
  <c r="R169" i="9" s="1"/>
  <c r="O81" i="9"/>
  <c r="Q81" i="9" s="1"/>
  <c r="R81" i="9" s="1"/>
  <c r="O260" i="9"/>
  <c r="Q260" i="9" s="1"/>
  <c r="R260" i="9" s="1"/>
  <c r="O305" i="32"/>
  <c r="Q305" i="32" s="1"/>
  <c r="R305" i="32" s="1"/>
  <c r="O296" i="32"/>
  <c r="Q296" i="32" s="1"/>
  <c r="R296" i="32" s="1"/>
  <c r="O166" i="32"/>
  <c r="Q166" i="32" s="1"/>
  <c r="R166" i="32" s="1"/>
  <c r="O88" i="32"/>
  <c r="Q88" i="32" s="1"/>
  <c r="R88" i="32" s="1"/>
  <c r="O29" i="32"/>
  <c r="Q29" i="32" s="1"/>
  <c r="R29" i="32" s="1"/>
  <c r="O164" i="32"/>
  <c r="Q164" i="32" s="1"/>
  <c r="R164" i="32" s="1"/>
  <c r="O189" i="32"/>
  <c r="Q189" i="32" s="1"/>
  <c r="R189" i="32" s="1"/>
  <c r="O267" i="32"/>
  <c r="Q267" i="32" s="1"/>
  <c r="R267" i="32" s="1"/>
  <c r="O87" i="32"/>
  <c r="Q87" i="32" s="1"/>
  <c r="R87" i="32" s="1"/>
  <c r="O232" i="32"/>
  <c r="Q232" i="32" s="1"/>
  <c r="R232" i="32" s="1"/>
  <c r="O352" i="32"/>
  <c r="Q352" i="32" s="1"/>
  <c r="R352" i="32" s="1"/>
  <c r="O349" i="32"/>
  <c r="Q349" i="32" s="1"/>
  <c r="R349" i="32" s="1"/>
  <c r="O201" i="32"/>
  <c r="Q201" i="32" s="1"/>
  <c r="R201" i="32" s="1"/>
  <c r="O207" i="32"/>
  <c r="Q207" i="32" s="1"/>
  <c r="R207" i="32" s="1"/>
  <c r="O335" i="32"/>
  <c r="Q335" i="32" s="1"/>
  <c r="R335" i="32" s="1"/>
  <c r="O256" i="32"/>
  <c r="Q256" i="32" s="1"/>
  <c r="R256" i="32" s="1"/>
  <c r="O209" i="32"/>
  <c r="Q209" i="32" s="1"/>
  <c r="R209" i="32" s="1"/>
  <c r="O30" i="32"/>
  <c r="Q30" i="32" s="1"/>
  <c r="R30" i="32" s="1"/>
  <c r="O70" i="32"/>
  <c r="Q70" i="32" s="1"/>
  <c r="R70" i="32" s="1"/>
  <c r="O252" i="32"/>
  <c r="Q252" i="32" s="1"/>
  <c r="R252" i="32" s="1"/>
  <c r="O185" i="32"/>
  <c r="Q185" i="32" s="1"/>
  <c r="R185" i="32" s="1"/>
  <c r="O68" i="32"/>
  <c r="Q68" i="32" s="1"/>
  <c r="R68" i="32" s="1"/>
  <c r="O74" i="32"/>
  <c r="Q74" i="32" s="1"/>
  <c r="R74" i="32" s="1"/>
  <c r="O134" i="32"/>
  <c r="Q134" i="32" s="1"/>
  <c r="R134" i="32" s="1"/>
  <c r="O206" i="32"/>
  <c r="Q206" i="32" s="1"/>
  <c r="R206" i="32" s="1"/>
  <c r="O168" i="32"/>
  <c r="Q168" i="32" s="1"/>
  <c r="R168" i="32" s="1"/>
  <c r="O155" i="32"/>
  <c r="Q155" i="32" s="1"/>
  <c r="R155" i="32" s="1"/>
  <c r="O86" i="32"/>
  <c r="Q86" i="32" s="1"/>
  <c r="R86" i="32" s="1"/>
  <c r="O127" i="32"/>
  <c r="Q127" i="32" s="1"/>
  <c r="R127" i="32" s="1"/>
  <c r="O316" i="32"/>
  <c r="Q316" i="32" s="1"/>
  <c r="R316" i="32" s="1"/>
  <c r="O237" i="32"/>
  <c r="Q237" i="32" s="1"/>
  <c r="R237" i="32" s="1"/>
  <c r="O124" i="32"/>
  <c r="Q124" i="32" s="1"/>
  <c r="R124" i="32" s="1"/>
  <c r="O301" i="32"/>
  <c r="Q301" i="32" s="1"/>
  <c r="R301" i="32" s="1"/>
  <c r="O271" i="32"/>
  <c r="Q271" i="32" s="1"/>
  <c r="R271" i="32" s="1"/>
  <c r="O156" i="32"/>
  <c r="Q156" i="32" s="1"/>
  <c r="R156" i="32" s="1"/>
  <c r="O108" i="32"/>
  <c r="Q108" i="32" s="1"/>
  <c r="R108" i="32" s="1"/>
  <c r="O107" i="32"/>
  <c r="Q107" i="32" s="1"/>
  <c r="R107" i="32" s="1"/>
  <c r="O254" i="32"/>
  <c r="Q254" i="32" s="1"/>
  <c r="R254" i="32" s="1"/>
  <c r="O106" i="32"/>
  <c r="Q106" i="32" s="1"/>
  <c r="R106" i="32" s="1"/>
  <c r="O119" i="32"/>
  <c r="Q119" i="32" s="1"/>
  <c r="R119" i="32" s="1"/>
  <c r="O357" i="32"/>
  <c r="Q357" i="32" s="1"/>
  <c r="R357" i="32" s="1"/>
  <c r="O355" i="32"/>
  <c r="Q355" i="32" s="1"/>
  <c r="R355" i="32" s="1"/>
  <c r="O140" i="32"/>
  <c r="Q140" i="32" s="1"/>
  <c r="R140" i="32" s="1"/>
  <c r="O247" i="32"/>
  <c r="Q247" i="32" s="1"/>
  <c r="R247" i="32" s="1"/>
  <c r="O43" i="32"/>
  <c r="Q43" i="32" s="1"/>
  <c r="R43" i="32" s="1"/>
  <c r="O16" i="32"/>
  <c r="Q16" i="32" s="1"/>
  <c r="R16" i="32" s="1"/>
  <c r="O83" i="32"/>
  <c r="Q83" i="32" s="1"/>
  <c r="R83" i="32" s="1"/>
  <c r="O130" i="32"/>
  <c r="Q130" i="32" s="1"/>
  <c r="R130" i="32" s="1"/>
  <c r="O358" i="32"/>
  <c r="Q358" i="32" s="1"/>
  <c r="R358" i="32" s="1"/>
  <c r="O259" i="32"/>
  <c r="Q259" i="32" s="1"/>
  <c r="R259" i="32" s="1"/>
  <c r="O191" i="32"/>
  <c r="Q191" i="32" s="1"/>
  <c r="R191" i="32" s="1"/>
  <c r="O262" i="32"/>
  <c r="Q262" i="32" s="1"/>
  <c r="R262" i="32" s="1"/>
  <c r="O187" i="32"/>
  <c r="Q187" i="32" s="1"/>
  <c r="R187" i="32" s="1"/>
  <c r="O12" i="32"/>
  <c r="Q12" i="32" s="1"/>
  <c r="R12" i="32" s="1"/>
  <c r="O348" i="32"/>
  <c r="Q348" i="32" s="1"/>
  <c r="R348" i="32" s="1"/>
  <c r="O145" i="32"/>
  <c r="Q145" i="32" s="1"/>
  <c r="R145" i="32" s="1"/>
  <c r="O73" i="32"/>
  <c r="Q73" i="32" s="1"/>
  <c r="R73" i="32" s="1"/>
  <c r="O341" i="32"/>
  <c r="Q341" i="32" s="1"/>
  <c r="R341" i="32" s="1"/>
  <c r="O150" i="32"/>
  <c r="Q150" i="32" s="1"/>
  <c r="R150" i="32" s="1"/>
  <c r="O80" i="32"/>
  <c r="Q80" i="32" s="1"/>
  <c r="R80" i="32" s="1"/>
  <c r="O133" i="32"/>
  <c r="Q133" i="32" s="1"/>
  <c r="R133" i="32" s="1"/>
  <c r="O325" i="32"/>
  <c r="Q325" i="32" s="1"/>
  <c r="R325" i="32" s="1"/>
  <c r="O217" i="32"/>
  <c r="Q217" i="32" s="1"/>
  <c r="R217" i="32" s="1"/>
  <c r="O121" i="32"/>
  <c r="Q121" i="32" s="1"/>
  <c r="R121" i="32" s="1"/>
  <c r="O312" i="32"/>
  <c r="Q312" i="32" s="1"/>
  <c r="R312" i="32" s="1"/>
  <c r="O186" i="32"/>
  <c r="Q186" i="32" s="1"/>
  <c r="R186" i="32" s="1"/>
  <c r="O326" i="32"/>
  <c r="Q326" i="32" s="1"/>
  <c r="R326" i="32" s="1"/>
  <c r="O54" i="32"/>
  <c r="Q54" i="32" s="1"/>
  <c r="R54" i="32" s="1"/>
  <c r="O309" i="32"/>
  <c r="Q309" i="32" s="1"/>
  <c r="R309" i="32" s="1"/>
  <c r="O144" i="32"/>
  <c r="Q144" i="32" s="1"/>
  <c r="R144" i="32" s="1"/>
  <c r="O242" i="32"/>
  <c r="Q242" i="32" s="1"/>
  <c r="R242" i="32" s="1"/>
  <c r="O291" i="32"/>
  <c r="Q291" i="32" s="1"/>
  <c r="R291" i="32" s="1"/>
  <c r="O93" i="32"/>
  <c r="Q93" i="32" s="1"/>
  <c r="R93" i="32" s="1"/>
  <c r="O328" i="32"/>
  <c r="Q328" i="32" s="1"/>
  <c r="R328" i="32" s="1"/>
  <c r="O313" i="32"/>
  <c r="Q313" i="32" s="1"/>
  <c r="R313" i="32" s="1"/>
  <c r="O310" i="32"/>
  <c r="Q310" i="32" s="1"/>
  <c r="R310" i="32" s="1"/>
  <c r="O228" i="32"/>
  <c r="Q228" i="32" s="1"/>
  <c r="R228" i="32" s="1"/>
  <c r="O257" i="32"/>
  <c r="Q257" i="32" s="1"/>
  <c r="R257" i="32" s="1"/>
  <c r="O177" i="32"/>
  <c r="Q177" i="32" s="1"/>
  <c r="R177" i="32" s="1"/>
  <c r="O132" i="32"/>
  <c r="Q132" i="32" s="1"/>
  <c r="R132" i="32" s="1"/>
  <c r="O33" i="32"/>
  <c r="Q33" i="32" s="1"/>
  <c r="R33" i="32" s="1"/>
  <c r="O306" i="32"/>
  <c r="Q306" i="32" s="1"/>
  <c r="R306" i="32" s="1"/>
  <c r="O340" i="32"/>
  <c r="Q340" i="32" s="1"/>
  <c r="R340" i="32" s="1"/>
  <c r="O64" i="32"/>
  <c r="Q64" i="32" s="1"/>
  <c r="R64" i="32" s="1"/>
  <c r="O40" i="32"/>
  <c r="Q40" i="32" s="1"/>
  <c r="R40" i="32" s="1"/>
  <c r="O22" i="32"/>
  <c r="Q22" i="32" s="1"/>
  <c r="R22" i="32" s="1"/>
  <c r="O82" i="32"/>
  <c r="Q82" i="32" s="1"/>
  <c r="R82" i="32" s="1"/>
  <c r="O44" i="32"/>
  <c r="Q44" i="32" s="1"/>
  <c r="R44" i="32" s="1"/>
  <c r="O321" i="32"/>
  <c r="Q321" i="32" s="1"/>
  <c r="R321" i="32" s="1"/>
  <c r="O79" i="32"/>
  <c r="Q79" i="32" s="1"/>
  <c r="R79" i="32" s="1"/>
  <c r="O158" i="32"/>
  <c r="Q158" i="32" s="1"/>
  <c r="R158" i="32" s="1"/>
  <c r="O203" i="32"/>
  <c r="Q203" i="32" s="1"/>
  <c r="R203" i="32" s="1"/>
  <c r="O227" i="32"/>
  <c r="Q227" i="32" s="1"/>
  <c r="R227" i="32" s="1"/>
  <c r="O60" i="32"/>
  <c r="Q60" i="32" s="1"/>
  <c r="R60" i="32" s="1"/>
  <c r="O146" i="32"/>
  <c r="Q146" i="32" s="1"/>
  <c r="R146" i="32" s="1"/>
  <c r="O324" i="32"/>
  <c r="Q324" i="32" s="1"/>
  <c r="R324" i="32" s="1"/>
  <c r="O129" i="32"/>
  <c r="Q129" i="32" s="1"/>
  <c r="R129" i="32" s="1"/>
  <c r="O63" i="32"/>
  <c r="Q63" i="32" s="1"/>
  <c r="R63" i="32" s="1"/>
  <c r="O345" i="32"/>
  <c r="Q345" i="32" s="1"/>
  <c r="R345" i="32" s="1"/>
  <c r="O332" i="32"/>
  <c r="Q332" i="32" s="1"/>
  <c r="R332" i="32" s="1"/>
  <c r="O36" i="32"/>
  <c r="Q36" i="32" s="1"/>
  <c r="R36" i="32" s="1"/>
  <c r="O264" i="32"/>
  <c r="Q264" i="32" s="1"/>
  <c r="R264" i="32" s="1"/>
  <c r="O100" i="32"/>
  <c r="Q100" i="32" s="1"/>
  <c r="R100" i="32" s="1"/>
  <c r="O49" i="32"/>
  <c r="Q49" i="32" s="1"/>
  <c r="R49" i="32" s="1"/>
  <c r="O98" i="32"/>
  <c r="Q98" i="32" s="1"/>
  <c r="R98" i="32" s="1"/>
  <c r="O34" i="32"/>
  <c r="Q34" i="32" s="1"/>
  <c r="R34" i="32" s="1"/>
  <c r="O77" i="32"/>
  <c r="Q77" i="32" s="1"/>
  <c r="R77" i="32" s="1"/>
  <c r="O241" i="32"/>
  <c r="Q241" i="32" s="1"/>
  <c r="R241" i="32" s="1"/>
  <c r="O141" i="32"/>
  <c r="Q141" i="32" s="1"/>
  <c r="R141" i="32" s="1"/>
  <c r="O211" i="32"/>
  <c r="Q211" i="32" s="1"/>
  <c r="R211" i="32" s="1"/>
  <c r="O105" i="32"/>
  <c r="Q105" i="32" s="1"/>
  <c r="R105" i="32" s="1"/>
  <c r="O110" i="32"/>
  <c r="Q110" i="32" s="1"/>
  <c r="R110" i="32" s="1"/>
  <c r="O78" i="32"/>
  <c r="Q78" i="32" s="1"/>
  <c r="R78" i="32" s="1"/>
  <c r="O23" i="32"/>
  <c r="Q23" i="32" s="1"/>
  <c r="R23" i="32" s="1"/>
  <c r="O269" i="32"/>
  <c r="Q269" i="32" s="1"/>
  <c r="R269" i="32" s="1"/>
  <c r="O360" i="32"/>
  <c r="Q360" i="32" s="1"/>
  <c r="R360" i="32" s="1"/>
  <c r="O41" i="32"/>
  <c r="Q41" i="32" s="1"/>
  <c r="R41" i="32" s="1"/>
  <c r="O308" i="32"/>
  <c r="Q308" i="32" s="1"/>
  <c r="R308" i="32" s="1"/>
  <c r="O268" i="32"/>
  <c r="Q268" i="32" s="1"/>
  <c r="R268" i="32" s="1"/>
  <c r="O76" i="32"/>
  <c r="Q76" i="32" s="1"/>
  <c r="R76" i="32" s="1"/>
  <c r="O138" i="32"/>
  <c r="Q138" i="32" s="1"/>
  <c r="R138" i="32" s="1"/>
  <c r="O234" i="32"/>
  <c r="Q234" i="32" s="1"/>
  <c r="R234" i="32" s="1"/>
  <c r="O359" i="32"/>
  <c r="Q359" i="32" s="1"/>
  <c r="R359" i="32" s="1"/>
  <c r="O366" i="32"/>
  <c r="Q366" i="32" s="1"/>
  <c r="R366" i="32" s="1"/>
  <c r="O111" i="32"/>
  <c r="Q111" i="32" s="1"/>
  <c r="R111" i="32" s="1"/>
  <c r="O287" i="32"/>
  <c r="Q287" i="32" s="1"/>
  <c r="R287" i="32" s="1"/>
  <c r="O336" i="32"/>
  <c r="Q336" i="32" s="1"/>
  <c r="R336" i="32" s="1"/>
  <c r="O197" i="32"/>
  <c r="Q197" i="32" s="1"/>
  <c r="R197" i="32" s="1"/>
  <c r="O171" i="32"/>
  <c r="Q171" i="32" s="1"/>
  <c r="R171" i="32" s="1"/>
  <c r="O114" i="32"/>
  <c r="Q114" i="32" s="1"/>
  <c r="R114" i="32" s="1"/>
  <c r="O224" i="32"/>
  <c r="Q224" i="32" s="1"/>
  <c r="R224" i="32" s="1"/>
  <c r="O47" i="32"/>
  <c r="Q47" i="32" s="1"/>
  <c r="R47" i="32" s="1"/>
  <c r="O128" i="32"/>
  <c r="Q128" i="32" s="1"/>
  <c r="R128" i="32" s="1"/>
  <c r="O260" i="32"/>
  <c r="Q260" i="32" s="1"/>
  <c r="R260" i="32" s="1"/>
  <c r="O42" i="32"/>
  <c r="Q42" i="32" s="1"/>
  <c r="R42" i="32" s="1"/>
  <c r="O147" i="32"/>
  <c r="Q147" i="32" s="1"/>
  <c r="R147" i="32" s="1"/>
  <c r="O219" i="32"/>
  <c r="Q219" i="32" s="1"/>
  <c r="R219" i="32" s="1"/>
  <c r="O99" i="32"/>
  <c r="Q99" i="32" s="1"/>
  <c r="R99" i="32" s="1"/>
  <c r="O317" i="32"/>
  <c r="Q317" i="32" s="1"/>
  <c r="R317" i="32" s="1"/>
  <c r="O221" i="32"/>
  <c r="Q221" i="32" s="1"/>
  <c r="R221" i="32" s="1"/>
  <c r="O58" i="32"/>
  <c r="Q58" i="32" s="1"/>
  <c r="R58" i="32" s="1"/>
  <c r="O363" i="32"/>
  <c r="Q363" i="32" s="1"/>
  <c r="R363" i="32" s="1"/>
  <c r="O258" i="32"/>
  <c r="Q258" i="32" s="1"/>
  <c r="R258" i="32" s="1"/>
  <c r="O350" i="32"/>
  <c r="Q350" i="32" s="1"/>
  <c r="R350" i="32" s="1"/>
  <c r="O94" i="32"/>
  <c r="Q94" i="32" s="1"/>
  <c r="R94" i="32" s="1"/>
  <c r="O53" i="32"/>
  <c r="Q53" i="32" s="1"/>
  <c r="R53" i="32" s="1"/>
  <c r="O286" i="32"/>
  <c r="Q286" i="32" s="1"/>
  <c r="R286" i="32" s="1"/>
  <c r="O361" i="32"/>
  <c r="Q361" i="32" s="1"/>
  <c r="R361" i="32" s="1"/>
  <c r="O263" i="32"/>
  <c r="Q263" i="32" s="1"/>
  <c r="R263" i="32" s="1"/>
  <c r="O149" i="32"/>
  <c r="Q149" i="32" s="1"/>
  <c r="R149" i="32" s="1"/>
  <c r="O118" i="32"/>
  <c r="Q118" i="32" s="1"/>
  <c r="R118" i="32" s="1"/>
  <c r="O278" i="32"/>
  <c r="Q278" i="32" s="1"/>
  <c r="R278" i="32" s="1"/>
  <c r="O270" i="32"/>
  <c r="Q270" i="32" s="1"/>
  <c r="R270" i="32" s="1"/>
  <c r="O300" i="32"/>
  <c r="Q300" i="32" s="1"/>
  <c r="R300" i="32" s="1"/>
  <c r="O104" i="32"/>
  <c r="Q104" i="32" s="1"/>
  <c r="R104" i="32" s="1"/>
  <c r="O179" i="32"/>
  <c r="Q179" i="32" s="1"/>
  <c r="R179" i="32" s="1"/>
  <c r="O288" i="32"/>
  <c r="Q288" i="32" s="1"/>
  <c r="R288" i="32" s="1"/>
  <c r="O21" i="32"/>
  <c r="Q21" i="32" s="1"/>
  <c r="R21" i="32" s="1"/>
  <c r="O202" i="32"/>
  <c r="Q202" i="32" s="1"/>
  <c r="R202" i="32" s="1"/>
  <c r="O175" i="32"/>
  <c r="Q175" i="32" s="1"/>
  <c r="R175" i="32" s="1"/>
  <c r="O307" i="32"/>
  <c r="Q307" i="32" s="1"/>
  <c r="R307" i="32" s="1"/>
  <c r="O32" i="32"/>
  <c r="Q32" i="32" s="1"/>
  <c r="R32" i="32" s="1"/>
  <c r="O342" i="32"/>
  <c r="Q342" i="32" s="1"/>
  <c r="R342" i="32" s="1"/>
  <c r="O319" i="32"/>
  <c r="Q319" i="32" s="1"/>
  <c r="R319" i="32" s="1"/>
  <c r="O303" i="32"/>
  <c r="Q303" i="32" s="1"/>
  <c r="R303" i="32" s="1"/>
  <c r="O84" i="32"/>
  <c r="Q84" i="32" s="1"/>
  <c r="R84" i="32" s="1"/>
  <c r="O233" i="32"/>
  <c r="Q233" i="32" s="1"/>
  <c r="R233" i="32" s="1"/>
  <c r="O204" i="32"/>
  <c r="Q204" i="32" s="1"/>
  <c r="R204" i="32" s="1"/>
  <c r="O346" i="32"/>
  <c r="Q346" i="32" s="1"/>
  <c r="R346" i="32" s="1"/>
  <c r="O338" i="32"/>
  <c r="Q338" i="32" s="1"/>
  <c r="R338" i="32" s="1"/>
  <c r="O38" i="32"/>
  <c r="Q38" i="32" s="1"/>
  <c r="R38" i="32" s="1"/>
  <c r="O235" i="32"/>
  <c r="Q235" i="32" s="1"/>
  <c r="R235" i="32" s="1"/>
  <c r="O356" i="32"/>
  <c r="Q356" i="32" s="1"/>
  <c r="R356" i="32" s="1"/>
  <c r="O154" i="32"/>
  <c r="Q154" i="32" s="1"/>
  <c r="R154" i="32" s="1"/>
  <c r="O285" i="32"/>
  <c r="Q285" i="32" s="1"/>
  <c r="R285" i="32" s="1"/>
  <c r="O50" i="32"/>
  <c r="Q50" i="32" s="1"/>
  <c r="R50" i="32" s="1"/>
  <c r="O90" i="32"/>
  <c r="Q90" i="32" s="1"/>
  <c r="R90" i="32" s="1"/>
  <c r="O331" i="32"/>
  <c r="Q331" i="32" s="1"/>
  <c r="R331" i="32" s="1"/>
  <c r="O57" i="32"/>
  <c r="Q57" i="32" s="1"/>
  <c r="R57" i="32" s="1"/>
  <c r="O37" i="32"/>
  <c r="Q37" i="32" s="1"/>
  <c r="R37" i="32" s="1"/>
  <c r="O294" i="32"/>
  <c r="Q294" i="32" s="1"/>
  <c r="R294" i="32" s="1"/>
  <c r="O122" i="32"/>
  <c r="Q122" i="32" s="1"/>
  <c r="R122" i="32" s="1"/>
  <c r="O240" i="32"/>
  <c r="Q240" i="32" s="1"/>
  <c r="R240" i="32" s="1"/>
  <c r="O143" i="32"/>
  <c r="Q143" i="32" s="1"/>
  <c r="R143" i="32" s="1"/>
  <c r="O364" i="32"/>
  <c r="Q364" i="32" s="1"/>
  <c r="R364" i="32" s="1"/>
  <c r="O199" i="32"/>
  <c r="Q199" i="32" s="1"/>
  <c r="R199" i="32" s="1"/>
  <c r="O298" i="32"/>
  <c r="Q298" i="32" s="1"/>
  <c r="R298" i="32" s="1"/>
  <c r="O275" i="32"/>
  <c r="Q275" i="32" s="1"/>
  <c r="R275" i="32" s="1"/>
  <c r="O24" i="32"/>
  <c r="Q24" i="32" s="1"/>
  <c r="R24" i="32" s="1"/>
  <c r="O14" i="32"/>
  <c r="Q14" i="32" s="1"/>
  <c r="R14" i="32" s="1"/>
  <c r="O18" i="32"/>
  <c r="Q18" i="32" s="1"/>
  <c r="R18" i="32" s="1"/>
  <c r="O92" i="32"/>
  <c r="Q92" i="32" s="1"/>
  <c r="R92" i="32" s="1"/>
  <c r="O327" i="32"/>
  <c r="Q327" i="32" s="1"/>
  <c r="R327" i="32" s="1"/>
  <c r="O183" i="32"/>
  <c r="Q183" i="32" s="1"/>
  <c r="R183" i="32" s="1"/>
  <c r="O162" i="32"/>
  <c r="Q162" i="32" s="1"/>
  <c r="R162" i="32" s="1"/>
  <c r="O11" i="32"/>
  <c r="Q11" i="32" s="1"/>
  <c r="R11" i="32" s="1"/>
  <c r="O72" i="32"/>
  <c r="Q72" i="32" s="1"/>
  <c r="R72" i="32" s="1"/>
  <c r="O165" i="32"/>
  <c r="Q165" i="32" s="1"/>
  <c r="R165" i="32" s="1"/>
  <c r="O160" i="32"/>
  <c r="Q160" i="32" s="1"/>
  <c r="R160" i="32" s="1"/>
  <c r="O182" i="32"/>
  <c r="Q182" i="32" s="1"/>
  <c r="R182" i="32" s="1"/>
  <c r="O153" i="32"/>
  <c r="Q153" i="32" s="1"/>
  <c r="R153" i="32" s="1"/>
  <c r="O295" i="32"/>
  <c r="Q295" i="32" s="1"/>
  <c r="R295" i="32" s="1"/>
  <c r="O251" i="32"/>
  <c r="Q251" i="32" s="1"/>
  <c r="R251" i="32" s="1"/>
  <c r="O229" i="32"/>
  <c r="Q229" i="32" s="1"/>
  <c r="R229" i="32" s="1"/>
  <c r="O195" i="32"/>
  <c r="Q195" i="32" s="1"/>
  <c r="R195" i="32" s="1"/>
  <c r="O120" i="32"/>
  <c r="Q120" i="32" s="1"/>
  <c r="R120" i="32" s="1"/>
  <c r="O102" i="32"/>
  <c r="Q102" i="32" s="1"/>
  <c r="R102" i="32" s="1"/>
  <c r="O9" i="32"/>
  <c r="O212" i="32"/>
  <c r="Q212" i="32" s="1"/>
  <c r="R212" i="32" s="1"/>
  <c r="O20" i="32"/>
  <c r="Q20" i="32" s="1"/>
  <c r="R20" i="32" s="1"/>
  <c r="O152" i="32"/>
  <c r="Q152" i="32" s="1"/>
  <c r="R152" i="32" s="1"/>
  <c r="O244" i="32"/>
  <c r="Q244" i="32" s="1"/>
  <c r="R244" i="32" s="1"/>
  <c r="O181" i="32"/>
  <c r="Q181" i="32" s="1"/>
  <c r="R181" i="32" s="1"/>
  <c r="O15" i="32"/>
  <c r="Q15" i="32" s="1"/>
  <c r="R15" i="32" s="1"/>
  <c r="O115" i="32"/>
  <c r="Q115" i="32" s="1"/>
  <c r="R115" i="32" s="1"/>
  <c r="O347" i="32"/>
  <c r="Q347" i="32" s="1"/>
  <c r="R347" i="32" s="1"/>
  <c r="O281" i="32"/>
  <c r="Q281" i="32" s="1"/>
  <c r="R281" i="32" s="1"/>
  <c r="O238" i="32"/>
  <c r="Q238" i="32" s="1"/>
  <c r="R238" i="32" s="1"/>
  <c r="O17" i="32"/>
  <c r="Q17" i="32" s="1"/>
  <c r="R17" i="32" s="1"/>
  <c r="O46" i="32"/>
  <c r="Q46" i="32" s="1"/>
  <c r="R46" i="32" s="1"/>
  <c r="O216" i="32"/>
  <c r="Q216" i="32" s="1"/>
  <c r="R216" i="32" s="1"/>
  <c r="O10" i="32"/>
  <c r="Q10" i="32" s="1"/>
  <c r="R10" i="32" s="1"/>
  <c r="O250" i="32"/>
  <c r="Q250" i="32" s="1"/>
  <c r="R250" i="32" s="1"/>
  <c r="O89" i="32"/>
  <c r="Q89" i="32" s="1"/>
  <c r="R89" i="32" s="1"/>
  <c r="O139" i="32"/>
  <c r="Q139" i="32" s="1"/>
  <c r="R139" i="32" s="1"/>
  <c r="O304" i="32"/>
  <c r="Q304" i="32" s="1"/>
  <c r="R304" i="32" s="1"/>
  <c r="O279" i="32"/>
  <c r="Q279" i="32" s="1"/>
  <c r="R279" i="32" s="1"/>
  <c r="O75" i="32"/>
  <c r="Q75" i="32" s="1"/>
  <c r="R75" i="32" s="1"/>
  <c r="O174" i="32"/>
  <c r="Q174" i="32" s="1"/>
  <c r="R174" i="32" s="1"/>
  <c r="O96" i="32"/>
  <c r="Q96" i="32" s="1"/>
  <c r="R96" i="32" s="1"/>
  <c r="O91" i="32"/>
  <c r="Q91" i="32" s="1"/>
  <c r="R91" i="32" s="1"/>
  <c r="O245" i="32"/>
  <c r="Q245" i="32" s="1"/>
  <c r="R245" i="32" s="1"/>
  <c r="O69" i="32"/>
  <c r="Q69" i="32" s="1"/>
  <c r="R69" i="32" s="1"/>
  <c r="O274" i="32"/>
  <c r="Q274" i="32" s="1"/>
  <c r="R274" i="32" s="1"/>
  <c r="O284" i="32"/>
  <c r="Q284" i="32" s="1"/>
  <c r="R284" i="32" s="1"/>
  <c r="O27" i="32"/>
  <c r="Q27" i="32" s="1"/>
  <c r="R27" i="32" s="1"/>
  <c r="O85" i="32"/>
  <c r="Q85" i="32" s="1"/>
  <c r="R85" i="32" s="1"/>
  <c r="O97" i="32"/>
  <c r="Q97" i="32" s="1"/>
  <c r="R97" i="32" s="1"/>
  <c r="O330" i="32"/>
  <c r="Q330" i="32" s="1"/>
  <c r="R330" i="32" s="1"/>
  <c r="O314" i="32"/>
  <c r="Q314" i="32" s="1"/>
  <c r="R314" i="32" s="1"/>
  <c r="O255" i="32"/>
  <c r="Q255" i="32" s="1"/>
  <c r="R255" i="32" s="1"/>
  <c r="O248" i="32"/>
  <c r="Q248" i="32" s="1"/>
  <c r="R248" i="32" s="1"/>
  <c r="O231" i="32"/>
  <c r="Q231" i="32" s="1"/>
  <c r="R231" i="32" s="1"/>
  <c r="O243" i="32"/>
  <c r="Q243" i="32" s="1"/>
  <c r="R243" i="32" s="1"/>
  <c r="O67" i="32"/>
  <c r="Q67" i="32" s="1"/>
  <c r="R67" i="32" s="1"/>
  <c r="O25" i="32"/>
  <c r="Q25" i="32" s="1"/>
  <c r="R25" i="32" s="1"/>
  <c r="O112" i="32"/>
  <c r="Q112" i="32" s="1"/>
  <c r="R112" i="32" s="1"/>
  <c r="O28" i="32"/>
  <c r="Q28" i="32" s="1"/>
  <c r="R28" i="32" s="1"/>
  <c r="O208" i="32"/>
  <c r="Q208" i="32" s="1"/>
  <c r="R208" i="32" s="1"/>
  <c r="O253" i="32"/>
  <c r="Q253" i="32" s="1"/>
  <c r="R253" i="32" s="1"/>
  <c r="O163" i="32"/>
  <c r="Q163" i="32" s="1"/>
  <c r="R163" i="32" s="1"/>
  <c r="O337" i="32"/>
  <c r="Q337" i="32" s="1"/>
  <c r="R337" i="32" s="1"/>
  <c r="O239" i="32"/>
  <c r="Q239" i="32" s="1"/>
  <c r="R239" i="32" s="1"/>
  <c r="O266" i="32"/>
  <c r="Q266" i="32" s="1"/>
  <c r="R266" i="32" s="1"/>
  <c r="O188" i="32"/>
  <c r="Q188" i="32" s="1"/>
  <c r="R188" i="32" s="1"/>
  <c r="O339" i="32"/>
  <c r="Q339" i="32" s="1"/>
  <c r="R339" i="32" s="1"/>
  <c r="O246" i="32"/>
  <c r="Q246" i="32" s="1"/>
  <c r="R246" i="32" s="1"/>
  <c r="O184" i="32"/>
  <c r="Q184" i="32" s="1"/>
  <c r="R184" i="32" s="1"/>
  <c r="O292" i="32"/>
  <c r="Q292" i="32" s="1"/>
  <c r="R292" i="32" s="1"/>
  <c r="O167" i="32"/>
  <c r="Q167" i="32" s="1"/>
  <c r="R167" i="32" s="1"/>
  <c r="O103" i="32"/>
  <c r="Q103" i="32" s="1"/>
  <c r="R103" i="32" s="1"/>
  <c r="O31" i="32"/>
  <c r="Q31" i="32" s="1"/>
  <c r="R31" i="32" s="1"/>
  <c r="O178" i="32"/>
  <c r="Q178" i="32" s="1"/>
  <c r="R178" i="32" s="1"/>
  <c r="O249" i="32"/>
  <c r="Q249" i="32" s="1"/>
  <c r="R249" i="32" s="1"/>
  <c r="O362" i="32"/>
  <c r="Q362" i="32" s="1"/>
  <c r="R362" i="32" s="1"/>
  <c r="O220" i="32"/>
  <c r="Q220" i="32" s="1"/>
  <c r="R220" i="32" s="1"/>
  <c r="O131" i="32"/>
  <c r="Q131" i="32" s="1"/>
  <c r="R131" i="32" s="1"/>
  <c r="O159" i="32"/>
  <c r="Q159" i="32" s="1"/>
  <c r="R159" i="32" s="1"/>
  <c r="O272" i="32"/>
  <c r="Q272" i="32" s="1"/>
  <c r="R272" i="32" s="1"/>
  <c r="O170" i="32"/>
  <c r="Q170" i="32" s="1"/>
  <c r="R170" i="32" s="1"/>
  <c r="O215" i="32"/>
  <c r="Q215" i="32" s="1"/>
  <c r="R215" i="32" s="1"/>
  <c r="O157" i="32"/>
  <c r="Q157" i="32" s="1"/>
  <c r="R157" i="32" s="1"/>
  <c r="O35" i="32"/>
  <c r="Q35" i="32" s="1"/>
  <c r="R35" i="32" s="1"/>
  <c r="O318" i="32"/>
  <c r="Q318" i="32" s="1"/>
  <c r="R318" i="32" s="1"/>
  <c r="O213" i="32"/>
  <c r="Q213" i="32" s="1"/>
  <c r="R213" i="32" s="1"/>
  <c r="O273" i="32"/>
  <c r="Q273" i="32" s="1"/>
  <c r="R273" i="32" s="1"/>
  <c r="O218" i="32"/>
  <c r="Q218" i="32" s="1"/>
  <c r="R218" i="32" s="1"/>
  <c r="O282" i="32"/>
  <c r="Q282" i="32" s="1"/>
  <c r="R282" i="32" s="1"/>
  <c r="O126" i="32"/>
  <c r="Q126" i="32" s="1"/>
  <c r="R126" i="32" s="1"/>
  <c r="O61" i="32"/>
  <c r="Q61" i="32" s="1"/>
  <c r="R61" i="32" s="1"/>
  <c r="O293" i="32"/>
  <c r="Q293" i="32" s="1"/>
  <c r="R293" i="32" s="1"/>
  <c r="O190" i="32"/>
  <c r="Q190" i="32" s="1"/>
  <c r="R190" i="32" s="1"/>
  <c r="O276" i="32"/>
  <c r="Q276" i="32" s="1"/>
  <c r="R276" i="32" s="1"/>
  <c r="O51" i="32"/>
  <c r="Q51" i="32" s="1"/>
  <c r="R51" i="32" s="1"/>
  <c r="O289" i="32"/>
  <c r="Q289" i="32" s="1"/>
  <c r="R289" i="32" s="1"/>
  <c r="O225" i="32"/>
  <c r="Q225" i="32" s="1"/>
  <c r="R225" i="32" s="1"/>
  <c r="O19" i="32"/>
  <c r="Q19" i="32" s="1"/>
  <c r="R19" i="32" s="1"/>
  <c r="O55" i="32"/>
  <c r="Q55" i="32" s="1"/>
  <c r="R55" i="32" s="1"/>
  <c r="O45" i="32"/>
  <c r="Q45" i="32" s="1"/>
  <c r="R45" i="32" s="1"/>
  <c r="O353" i="32"/>
  <c r="Q353" i="32" s="1"/>
  <c r="R353" i="32" s="1"/>
  <c r="O226" i="32"/>
  <c r="Q226" i="32" s="1"/>
  <c r="R226" i="32" s="1"/>
  <c r="O230" i="32"/>
  <c r="Q230" i="32" s="1"/>
  <c r="R230" i="32" s="1"/>
  <c r="O277" i="32"/>
  <c r="Q277" i="32" s="1"/>
  <c r="R277" i="32" s="1"/>
  <c r="O137" i="32"/>
  <c r="Q137" i="32" s="1"/>
  <c r="R137" i="32" s="1"/>
  <c r="O81" i="32"/>
  <c r="Q81" i="32" s="1"/>
  <c r="R81" i="32" s="1"/>
  <c r="O173" i="32"/>
  <c r="Q173" i="32" s="1"/>
  <c r="R173" i="32" s="1"/>
  <c r="O200" i="32"/>
  <c r="Q200" i="32" s="1"/>
  <c r="R200" i="32" s="1"/>
  <c r="O136" i="32"/>
  <c r="Q136" i="32" s="1"/>
  <c r="R136" i="32" s="1"/>
  <c r="O365" i="32"/>
  <c r="Q365" i="32" s="1"/>
  <c r="R365" i="32" s="1"/>
  <c r="O71" i="32"/>
  <c r="Q71" i="32" s="1"/>
  <c r="R71" i="32" s="1"/>
  <c r="O265" i="32"/>
  <c r="Q265" i="32" s="1"/>
  <c r="R265" i="32" s="1"/>
  <c r="O210" i="32"/>
  <c r="Q210" i="32" s="1"/>
  <c r="R210" i="32" s="1"/>
  <c r="O13" i="32"/>
  <c r="Q13" i="32" s="1"/>
  <c r="R13" i="32" s="1"/>
  <c r="O192" i="32"/>
  <c r="Q192" i="32" s="1"/>
  <c r="R192" i="32" s="1"/>
  <c r="O62" i="32"/>
  <c r="Q62" i="32" s="1"/>
  <c r="R62" i="32" s="1"/>
  <c r="O283" i="32"/>
  <c r="Q283" i="32" s="1"/>
  <c r="R283" i="32" s="1"/>
  <c r="O333" i="32"/>
  <c r="Q333" i="32" s="1"/>
  <c r="R333" i="32" s="1"/>
  <c r="O222" i="32"/>
  <c r="Q222" i="32" s="1"/>
  <c r="R222" i="32" s="1"/>
  <c r="O148" i="32"/>
  <c r="Q148" i="32" s="1"/>
  <c r="R148" i="32" s="1"/>
  <c r="O109" i="32"/>
  <c r="Q109" i="32" s="1"/>
  <c r="R109" i="32" s="1"/>
  <c r="O180" i="32"/>
  <c r="Q180" i="32" s="1"/>
  <c r="R180" i="32" s="1"/>
  <c r="O343" i="32"/>
  <c r="Q343" i="32" s="1"/>
  <c r="R343" i="32" s="1"/>
  <c r="O290" i="32"/>
  <c r="Q290" i="32" s="1"/>
  <c r="R290" i="32" s="1"/>
  <c r="O223" i="32"/>
  <c r="Q223" i="32" s="1"/>
  <c r="R223" i="32" s="1"/>
  <c r="O48" i="32"/>
  <c r="Q48" i="32" s="1"/>
  <c r="R48" i="32" s="1"/>
  <c r="O311" i="32"/>
  <c r="Q311" i="32" s="1"/>
  <c r="R311" i="32" s="1"/>
  <c r="O320" i="32"/>
  <c r="Q320" i="32" s="1"/>
  <c r="R320" i="32" s="1"/>
  <c r="O59" i="32"/>
  <c r="Q59" i="32" s="1"/>
  <c r="R59" i="32" s="1"/>
  <c r="O351" i="32"/>
  <c r="Q351" i="32" s="1"/>
  <c r="R351" i="32" s="1"/>
  <c r="O205" i="32"/>
  <c r="Q205" i="32" s="1"/>
  <c r="R205" i="32" s="1"/>
  <c r="O95" i="32"/>
  <c r="Q95" i="32" s="1"/>
  <c r="R95" i="32" s="1"/>
  <c r="O194" i="32"/>
  <c r="Q194" i="32" s="1"/>
  <c r="R194" i="32" s="1"/>
  <c r="O101" i="32"/>
  <c r="Q101" i="32" s="1"/>
  <c r="R101" i="32" s="1"/>
  <c r="O261" i="32"/>
  <c r="Q261" i="32" s="1"/>
  <c r="R261" i="32" s="1"/>
  <c r="O56" i="32"/>
  <c r="Q56" i="32" s="1"/>
  <c r="R56" i="32" s="1"/>
  <c r="O142" i="32"/>
  <c r="Q142" i="32" s="1"/>
  <c r="R142" i="32" s="1"/>
  <c r="O66" i="32"/>
  <c r="Q66" i="32" s="1"/>
  <c r="R66" i="32" s="1"/>
  <c r="O329" i="32"/>
  <c r="Q329" i="32" s="1"/>
  <c r="R329" i="32" s="1"/>
  <c r="O123" i="32"/>
  <c r="Q123" i="32" s="1"/>
  <c r="R123" i="32" s="1"/>
  <c r="O65" i="32"/>
  <c r="Q65" i="32" s="1"/>
  <c r="R65" i="32" s="1"/>
  <c r="O161" i="32"/>
  <c r="Q161" i="32" s="1"/>
  <c r="R161" i="32" s="1"/>
  <c r="O39" i="32"/>
  <c r="Q39" i="32" s="1"/>
  <c r="R39" i="32" s="1"/>
  <c r="O116" i="32"/>
  <c r="Q116" i="32" s="1"/>
  <c r="R116" i="32" s="1"/>
  <c r="O135" i="32"/>
  <c r="Q135" i="32" s="1"/>
  <c r="R135" i="32" s="1"/>
  <c r="O315" i="32"/>
  <c r="Q315" i="32" s="1"/>
  <c r="R315" i="32" s="1"/>
  <c r="O26" i="32"/>
  <c r="Q26" i="32" s="1"/>
  <c r="R26" i="32" s="1"/>
  <c r="O52" i="32"/>
  <c r="Q52" i="32" s="1"/>
  <c r="R52" i="32" s="1"/>
  <c r="O125" i="32"/>
  <c r="Q125" i="32" s="1"/>
  <c r="R125" i="32" s="1"/>
  <c r="O169" i="32"/>
  <c r="Q169" i="32" s="1"/>
  <c r="R169" i="32" s="1"/>
  <c r="O176" i="32"/>
  <c r="Q176" i="32" s="1"/>
  <c r="R176" i="32" s="1"/>
  <c r="O236" i="32"/>
  <c r="Q236" i="32" s="1"/>
  <c r="R236" i="32" s="1"/>
  <c r="O323" i="32"/>
  <c r="Q323" i="32" s="1"/>
  <c r="R323" i="32" s="1"/>
  <c r="O196" i="32"/>
  <c r="Q196" i="32" s="1"/>
  <c r="R196" i="32" s="1"/>
  <c r="O113" i="32"/>
  <c r="Q113" i="32" s="1"/>
  <c r="R113" i="32" s="1"/>
  <c r="O198" i="32"/>
  <c r="Q198" i="32" s="1"/>
  <c r="R198" i="32" s="1"/>
  <c r="O299" i="32"/>
  <c r="Q299" i="32" s="1"/>
  <c r="R299" i="32" s="1"/>
  <c r="O354" i="32"/>
  <c r="Q354" i="32" s="1"/>
  <c r="R354" i="32" s="1"/>
  <c r="O193" i="32"/>
  <c r="Q193" i="32" s="1"/>
  <c r="R193" i="32" s="1"/>
  <c r="O172" i="32"/>
  <c r="Q172" i="32" s="1"/>
  <c r="R172" i="32" s="1"/>
  <c r="O334" i="32"/>
  <c r="Q334" i="32" s="1"/>
  <c r="R334" i="32" s="1"/>
  <c r="O322" i="32"/>
  <c r="Q322" i="32" s="1"/>
  <c r="R322" i="32" s="1"/>
  <c r="O302" i="32"/>
  <c r="Q302" i="32" s="1"/>
  <c r="R302" i="32" s="1"/>
  <c r="O151" i="32"/>
  <c r="Q151" i="32" s="1"/>
  <c r="R151" i="32" s="1"/>
  <c r="O214" i="32"/>
  <c r="Q214" i="32" s="1"/>
  <c r="R214" i="32" s="1"/>
  <c r="O117" i="32"/>
  <c r="Q117" i="32" s="1"/>
  <c r="R117" i="32" s="1"/>
  <c r="O297" i="32"/>
  <c r="Q297" i="32" s="1"/>
  <c r="R297" i="32" s="1"/>
  <c r="O344" i="32"/>
  <c r="Q344" i="32" s="1"/>
  <c r="R344" i="32" s="1"/>
  <c r="P9" i="32"/>
  <c r="O280" i="32"/>
  <c r="Q280" i="32" s="1"/>
  <c r="R280" i="32" s="1"/>
  <c r="HV184" i="2" l="1"/>
  <c r="N43" i="7" s="1"/>
  <c r="Q9" i="9"/>
  <c r="R9" i="9" s="1"/>
  <c r="Q9" i="32"/>
  <c r="R9" i="32" s="1"/>
  <c r="HT184" i="2" l="1"/>
  <c r="L43" i="7" s="1"/>
  <c r="HU184" i="2"/>
  <c r="M43" i="7" s="1"/>
  <c r="CI170" i="2" l="1"/>
  <c r="CI186" i="2" l="1"/>
  <c r="CH170" i="2" l="1"/>
  <c r="CH186" i="2" l="1"/>
  <c r="HN161" i="2" l="1"/>
  <c r="K171" i="2"/>
  <c r="HN171" i="2" l="1"/>
  <c r="L160" i="2"/>
  <c r="K196" i="2"/>
  <c r="HN181" i="2"/>
  <c r="K208" i="2" l="1"/>
  <c r="HN196" i="2"/>
  <c r="I26" i="5"/>
  <c r="I28" i="5"/>
  <c r="F42" i="7"/>
  <c r="I29" i="5" l="1"/>
  <c r="I36" i="5"/>
  <c r="L167" i="2"/>
  <c r="L168" i="2" s="1"/>
  <c r="F45" i="7"/>
  <c r="I61" i="5"/>
  <c r="L169" i="2" l="1"/>
  <c r="L183" i="2"/>
  <c r="I138" i="5"/>
  <c r="I46" i="5"/>
  <c r="I123" i="5"/>
  <c r="I37" i="5"/>
  <c r="J33" i="5" s="1"/>
  <c r="I76" i="5"/>
  <c r="L195" i="2" l="1"/>
  <c r="L196" i="2" s="1"/>
  <c r="L187" i="2"/>
  <c r="I94" i="5"/>
  <c r="L102" i="2"/>
  <c r="J34" i="5"/>
  <c r="I57" i="5"/>
  <c r="I47" i="5"/>
  <c r="J42" i="5" s="1"/>
  <c r="J35" i="5" l="1"/>
  <c r="I113" i="5"/>
  <c r="L103" i="2"/>
  <c r="J43" i="5"/>
  <c r="I69" i="5"/>
  <c r="I59" i="5"/>
  <c r="J52" i="5" s="1"/>
  <c r="I116" i="5" l="1"/>
  <c r="I117" i="5"/>
  <c r="J139" i="5"/>
  <c r="J124" i="5"/>
  <c r="J44" i="5"/>
  <c r="J39" i="5"/>
  <c r="J53" i="5"/>
  <c r="L115" i="2"/>
  <c r="L116" i="2"/>
  <c r="I73" i="5"/>
  <c r="I71" i="5"/>
  <c r="J64" i="5" s="1"/>
  <c r="I85" i="5"/>
  <c r="J65" i="5" l="1"/>
  <c r="J45" i="5"/>
  <c r="J54" i="5"/>
  <c r="L118" i="2"/>
  <c r="I155" i="5"/>
  <c r="I89" i="5"/>
  <c r="I104" i="5"/>
  <c r="I87" i="5"/>
  <c r="J79" i="5" s="1"/>
  <c r="I145" i="5"/>
  <c r="I130" i="5"/>
  <c r="I118" i="5"/>
  <c r="I131" i="5" l="1"/>
  <c r="I156" i="5"/>
  <c r="I146" i="5"/>
  <c r="J66" i="5"/>
  <c r="J80" i="5"/>
  <c r="I108" i="5"/>
  <c r="I106" i="5"/>
  <c r="J97" i="5" s="1"/>
  <c r="J125" i="5"/>
  <c r="J140" i="5"/>
  <c r="J55" i="5"/>
  <c r="J49" i="5"/>
  <c r="I167" i="5" l="1"/>
  <c r="J67" i="5"/>
  <c r="J81" i="5"/>
  <c r="J98" i="5"/>
  <c r="J152" i="5"/>
  <c r="I161" i="5"/>
  <c r="I157" i="5"/>
  <c r="L171" i="2" l="1"/>
  <c r="J99" i="5"/>
  <c r="L206" i="2"/>
  <c r="L205" i="2"/>
  <c r="J82" i="5"/>
  <c r="M160" i="2" l="1"/>
  <c r="L127" i="2"/>
  <c r="L128" i="2" s="1"/>
  <c r="M126" i="2" s="1"/>
  <c r="J100" i="5"/>
  <c r="J26" i="5"/>
  <c r="J28" i="5"/>
  <c r="L208" i="2"/>
  <c r="L130" i="2" l="1"/>
  <c r="J36" i="5"/>
  <c r="J29" i="5"/>
  <c r="J56" i="5"/>
  <c r="M167" i="2"/>
  <c r="M168" i="2" s="1"/>
  <c r="M169" i="2" l="1"/>
  <c r="M183" i="2"/>
  <c r="J126" i="5"/>
  <c r="J141" i="5"/>
  <c r="J68" i="5"/>
  <c r="J61" i="5"/>
  <c r="J123" i="5"/>
  <c r="J138" i="5"/>
  <c r="J46" i="5"/>
  <c r="J37" i="5"/>
  <c r="K33" i="5" s="1"/>
  <c r="M195" i="2" l="1"/>
  <c r="M196" i="2" s="1"/>
  <c r="M187" i="2"/>
  <c r="J57" i="5"/>
  <c r="J47" i="5"/>
  <c r="K42" i="5" s="1"/>
  <c r="K34" i="5"/>
  <c r="J83" i="5"/>
  <c r="M102" i="2"/>
  <c r="K43" i="5" l="1"/>
  <c r="M103" i="2"/>
  <c r="J69" i="5"/>
  <c r="K35" i="5"/>
  <c r="J101" i="5"/>
  <c r="K139" i="5" l="1"/>
  <c r="K124" i="5"/>
  <c r="K39" i="5"/>
  <c r="K44" i="5"/>
  <c r="M115" i="2"/>
  <c r="M116" i="2"/>
  <c r="J85" i="5"/>
  <c r="J70" i="5"/>
  <c r="J73" i="5" s="1"/>
  <c r="J71" i="5" l="1"/>
  <c r="K64" i="5" s="1"/>
  <c r="J104" i="5"/>
  <c r="M118" i="2"/>
  <c r="J142" i="5"/>
  <c r="J127" i="5"/>
  <c r="J58" i="5"/>
  <c r="J86" i="5"/>
  <c r="J76" i="5"/>
  <c r="K54" i="5"/>
  <c r="K45" i="5"/>
  <c r="K66" i="5" l="1"/>
  <c r="J105" i="5"/>
  <c r="J59" i="5"/>
  <c r="K52" i="5" s="1"/>
  <c r="M171" i="2"/>
  <c r="K49" i="5"/>
  <c r="K140" i="5"/>
  <c r="K55" i="5"/>
  <c r="K125" i="5"/>
  <c r="K152" i="5" l="1"/>
  <c r="N160" i="2"/>
  <c r="K53" i="5"/>
  <c r="M205" i="2"/>
  <c r="M206" i="2"/>
  <c r="K67" i="5"/>
  <c r="K81" i="5"/>
  <c r="K65" i="5" l="1"/>
  <c r="K99" i="5"/>
  <c r="K28" i="5"/>
  <c r="K26" i="5"/>
  <c r="M208" i="2"/>
  <c r="M127" i="2"/>
  <c r="M128" i="2" s="1"/>
  <c r="N126" i="2" s="1"/>
  <c r="K82" i="5"/>
  <c r="N167" i="2" l="1"/>
  <c r="N168" i="2" s="1"/>
  <c r="M130" i="2"/>
  <c r="K100" i="5"/>
  <c r="K29" i="5"/>
  <c r="K36" i="5"/>
  <c r="K56" i="5"/>
  <c r="K141" i="5" l="1"/>
  <c r="K68" i="5"/>
  <c r="K126" i="5"/>
  <c r="K61" i="5"/>
  <c r="K138" i="5"/>
  <c r="K123" i="5"/>
  <c r="K46" i="5"/>
  <c r="K37" i="5"/>
  <c r="L33" i="5" s="1"/>
  <c r="N183" i="2"/>
  <c r="N169" i="2"/>
  <c r="N195" i="2" l="1"/>
  <c r="N196" i="2" s="1"/>
  <c r="N187" i="2"/>
  <c r="L34" i="5"/>
  <c r="K83" i="5"/>
  <c r="K57" i="5"/>
  <c r="K47" i="5"/>
  <c r="L42" i="5" s="1"/>
  <c r="N102" i="2"/>
  <c r="N103" i="2" l="1"/>
  <c r="L35" i="5"/>
  <c r="K101" i="5"/>
  <c r="K69" i="5"/>
  <c r="L43" i="5"/>
  <c r="K85" i="5" l="1"/>
  <c r="K70" i="5"/>
  <c r="K71" i="5" s="1"/>
  <c r="L64" i="5" s="1"/>
  <c r="L139" i="5"/>
  <c r="L39" i="5"/>
  <c r="L124" i="5"/>
  <c r="L44" i="5"/>
  <c r="N116" i="2"/>
  <c r="N115" i="2"/>
  <c r="L54" i="5" l="1"/>
  <c r="L45" i="5"/>
  <c r="N118" i="2"/>
  <c r="K86" i="5"/>
  <c r="K142" i="5"/>
  <c r="K127" i="5"/>
  <c r="K58" i="5"/>
  <c r="K76" i="5"/>
  <c r="K73" i="5"/>
  <c r="K104" i="5"/>
  <c r="K59" i="5" l="1"/>
  <c r="L52" i="5" s="1"/>
  <c r="L66" i="5"/>
  <c r="K105" i="5"/>
  <c r="L49" i="5"/>
  <c r="L140" i="5"/>
  <c r="L55" i="5"/>
  <c r="L125" i="5"/>
  <c r="L81" i="5" l="1"/>
  <c r="L53" i="5"/>
  <c r="L67" i="5"/>
  <c r="L152" i="5"/>
  <c r="L82" i="5" l="1"/>
  <c r="L65" i="5"/>
  <c r="N171" i="2"/>
  <c r="L99" i="5"/>
  <c r="O160" i="2" l="1"/>
  <c r="N205" i="2"/>
  <c r="N206" i="2"/>
  <c r="L100" i="5"/>
  <c r="N127" i="2" l="1"/>
  <c r="N128" i="2" s="1"/>
  <c r="O126" i="2" s="1"/>
  <c r="O167" i="2" l="1"/>
  <c r="O168" i="2" s="1"/>
  <c r="N208" i="2"/>
  <c r="L28" i="5"/>
  <c r="L26" i="5"/>
  <c r="L29" i="5" l="1"/>
  <c r="L36" i="5"/>
  <c r="L56" i="5"/>
  <c r="N130" i="2"/>
  <c r="O169" i="2"/>
  <c r="O183" i="2"/>
  <c r="O195" i="2" l="1"/>
  <c r="O196" i="2" s="1"/>
  <c r="O187" i="2"/>
  <c r="L126" i="5"/>
  <c r="L68" i="5"/>
  <c r="L141" i="5"/>
  <c r="O102" i="2"/>
  <c r="L61" i="5"/>
  <c r="L123" i="5"/>
  <c r="L138" i="5"/>
  <c r="L46" i="5"/>
  <c r="L37" i="5"/>
  <c r="M33" i="5" s="1"/>
  <c r="L83" i="5" l="1"/>
  <c r="M34" i="5"/>
  <c r="L57" i="5"/>
  <c r="L47" i="5"/>
  <c r="M42" i="5" s="1"/>
  <c r="O103" i="2"/>
  <c r="M35" i="5" l="1"/>
  <c r="L69" i="5"/>
  <c r="L101" i="5"/>
  <c r="M43" i="5"/>
  <c r="O115" i="2"/>
  <c r="O116" i="2"/>
  <c r="M39" i="5" l="1"/>
  <c r="M139" i="5"/>
  <c r="M44" i="5"/>
  <c r="M124" i="5"/>
  <c r="O118" i="2"/>
  <c r="L85" i="5"/>
  <c r="L70" i="5"/>
  <c r="L127" i="5" l="1"/>
  <c r="L142" i="5"/>
  <c r="L86" i="5"/>
  <c r="L58" i="5"/>
  <c r="L76" i="5"/>
  <c r="L104" i="5"/>
  <c r="M54" i="5"/>
  <c r="L73" i="5"/>
  <c r="L71" i="5"/>
  <c r="M64" i="5" s="1"/>
  <c r="M45" i="5"/>
  <c r="M49" i="5" l="1"/>
  <c r="M140" i="5"/>
  <c r="M55" i="5"/>
  <c r="M125" i="5"/>
  <c r="L59" i="5"/>
  <c r="M52" i="5" s="1"/>
  <c r="L105" i="5"/>
  <c r="M66" i="5"/>
  <c r="O171" i="2" l="1"/>
  <c r="M81" i="5"/>
  <c r="M67" i="5"/>
  <c r="M53" i="5"/>
  <c r="M152" i="5"/>
  <c r="M99" i="5" l="1"/>
  <c r="M65" i="5"/>
  <c r="P160" i="2"/>
  <c r="M82" i="5"/>
  <c r="O206" i="2"/>
  <c r="O205" i="2"/>
  <c r="M26" i="5" l="1"/>
  <c r="M28" i="5"/>
  <c r="O208" i="2"/>
  <c r="M100" i="5"/>
  <c r="O127" i="2"/>
  <c r="O128" i="2" s="1"/>
  <c r="P126" i="2" s="1"/>
  <c r="O130" i="2" l="1"/>
  <c r="P167" i="2"/>
  <c r="P168" i="2" s="1"/>
  <c r="M56" i="5"/>
  <c r="M29" i="5"/>
  <c r="M36" i="5"/>
  <c r="M123" i="5" l="1"/>
  <c r="M138" i="5"/>
  <c r="M46" i="5"/>
  <c r="M37" i="5"/>
  <c r="N33" i="5" s="1"/>
  <c r="P183" i="2"/>
  <c r="M68" i="5"/>
  <c r="M141" i="5"/>
  <c r="M126" i="5"/>
  <c r="M61" i="5"/>
  <c r="P195" i="2" l="1"/>
  <c r="P196" i="2" s="1"/>
  <c r="P187" i="2"/>
  <c r="P169" i="2"/>
  <c r="N34" i="5"/>
  <c r="M83" i="5"/>
  <c r="M57" i="5"/>
  <c r="M47" i="5"/>
  <c r="N42" i="5" s="1"/>
  <c r="P102" i="2"/>
  <c r="N35" i="5" l="1"/>
  <c r="M69" i="5"/>
  <c r="P103" i="2"/>
  <c r="N43" i="5"/>
  <c r="M101" i="5"/>
  <c r="P116" i="2" l="1"/>
  <c r="P115" i="2"/>
  <c r="M85" i="5"/>
  <c r="M70" i="5"/>
  <c r="M71" i="5" s="1"/>
  <c r="N64" i="5" s="1"/>
  <c r="N39" i="5"/>
  <c r="N124" i="5"/>
  <c r="N44" i="5"/>
  <c r="N139" i="5"/>
  <c r="M73" i="5" l="1"/>
  <c r="N54" i="5"/>
  <c r="N45" i="5"/>
  <c r="P118" i="2"/>
  <c r="M86" i="5"/>
  <c r="M127" i="5"/>
  <c r="M142" i="5"/>
  <c r="M58" i="5"/>
  <c r="M76" i="5"/>
  <c r="M104" i="5"/>
  <c r="N49" i="5" l="1"/>
  <c r="N55" i="5"/>
  <c r="N125" i="5"/>
  <c r="N140" i="5"/>
  <c r="M105" i="5"/>
  <c r="M59" i="5"/>
  <c r="N52" i="5" s="1"/>
  <c r="N66" i="5"/>
  <c r="N53" i="5" l="1"/>
  <c r="N67" i="5"/>
  <c r="N152" i="5"/>
  <c r="N81" i="5"/>
  <c r="N82" i="5" l="1"/>
  <c r="N65" i="5"/>
  <c r="N99" i="5"/>
  <c r="P171" i="2" l="1"/>
  <c r="N100" i="5"/>
  <c r="P206" i="2" l="1"/>
  <c r="P205" i="2"/>
  <c r="Q160" i="2"/>
  <c r="P127" i="2" l="1"/>
  <c r="P128" i="2" s="1"/>
  <c r="Q126" i="2" s="1"/>
  <c r="Q167" i="2"/>
  <c r="Q168" i="2" s="1"/>
  <c r="P208" i="2"/>
  <c r="P130" i="2" s="1"/>
  <c r="N28" i="5"/>
  <c r="N26" i="5"/>
  <c r="N56" i="5" l="1"/>
  <c r="N29" i="5"/>
  <c r="N36" i="5"/>
  <c r="Q183" i="2"/>
  <c r="Q169" i="2"/>
  <c r="Q195" i="2" l="1"/>
  <c r="Q196" i="2" s="1"/>
  <c r="Q187" i="2"/>
  <c r="Q102" i="2"/>
  <c r="Q103" i="2" s="1"/>
  <c r="Q115" i="2" s="1"/>
  <c r="N126" i="5"/>
  <c r="N141" i="5"/>
  <c r="N68" i="5"/>
  <c r="N138" i="5"/>
  <c r="N123" i="5"/>
  <c r="N46" i="5"/>
  <c r="N37" i="5"/>
  <c r="O33" i="5" s="1"/>
  <c r="N61" i="5"/>
  <c r="Q116" i="2" l="1"/>
  <c r="Q118" i="2" s="1"/>
  <c r="O34" i="5"/>
  <c r="O35" i="5" s="1"/>
  <c r="N83" i="5"/>
  <c r="N57" i="5"/>
  <c r="N47" i="5"/>
  <c r="O42" i="5" s="1"/>
  <c r="O43" i="5" l="1"/>
  <c r="N69" i="5"/>
  <c r="O39" i="5"/>
  <c r="O44" i="5"/>
  <c r="O54" i="5" s="1"/>
  <c r="O66" i="5" s="1"/>
  <c r="O124" i="5"/>
  <c r="O139" i="5"/>
  <c r="N101" i="5"/>
  <c r="O45" i="5" l="1"/>
  <c r="O140" i="5" s="1"/>
  <c r="Q171" i="2"/>
  <c r="O81" i="5"/>
  <c r="N85" i="5"/>
  <c r="N104" i="5" s="1"/>
  <c r="N70" i="5"/>
  <c r="N73" i="5" s="1"/>
  <c r="R160" i="2" l="1"/>
  <c r="O55" i="5"/>
  <c r="O67" i="5" s="1"/>
  <c r="O82" i="5" s="1"/>
  <c r="O100" i="5" s="1"/>
  <c r="O125" i="5"/>
  <c r="O49" i="5"/>
  <c r="O152" i="5" s="1"/>
  <c r="N127" i="5"/>
  <c r="N86" i="5"/>
  <c r="N142" i="5"/>
  <c r="N58" i="5"/>
  <c r="N71" i="5"/>
  <c r="O64" i="5" s="1"/>
  <c r="N76" i="5"/>
  <c r="O99" i="5"/>
  <c r="Q206" i="2"/>
  <c r="Q205" i="2"/>
  <c r="Q127" i="2" s="1"/>
  <c r="Q128" i="2" s="1"/>
  <c r="R126" i="2" s="1"/>
  <c r="R167" i="2"/>
  <c r="R168" i="2" s="1"/>
  <c r="Q208" i="2" l="1"/>
  <c r="Q130" i="2" s="1"/>
  <c r="O28" i="5"/>
  <c r="O26" i="5"/>
  <c r="N59" i="5"/>
  <c r="O52" i="5" s="1"/>
  <c r="N105" i="5"/>
  <c r="R183" i="2"/>
  <c r="R169" i="2"/>
  <c r="R195" i="2" l="1"/>
  <c r="R196" i="2" s="1"/>
  <c r="R187" i="2"/>
  <c r="R102" i="2"/>
  <c r="R103" i="2" s="1"/>
  <c r="R115" i="2" s="1"/>
  <c r="O53" i="5"/>
  <c r="O65" i="5" s="1"/>
  <c r="O36" i="5"/>
  <c r="O29" i="5"/>
  <c r="R116" i="2" l="1"/>
  <c r="R118" i="2" s="1"/>
  <c r="O56" i="5"/>
  <c r="O126" i="5" s="1"/>
  <c r="O138" i="5"/>
  <c r="O123" i="5"/>
  <c r="O46" i="5"/>
  <c r="O37" i="5"/>
  <c r="P33" i="5" s="1"/>
  <c r="O141" i="5" l="1"/>
  <c r="O68" i="5"/>
  <c r="O83" i="5" s="1"/>
  <c r="O61" i="5"/>
  <c r="P34" i="5"/>
  <c r="P35" i="5" s="1"/>
  <c r="O57" i="5"/>
  <c r="O47" i="5"/>
  <c r="P42" i="5" s="1"/>
  <c r="P43" i="5" l="1"/>
  <c r="P139" i="5"/>
  <c r="P44" i="5"/>
  <c r="P54" i="5" s="1"/>
  <c r="P66" i="5" s="1"/>
  <c r="P39" i="5"/>
  <c r="P124" i="5"/>
  <c r="R171" i="2"/>
  <c r="O69" i="5"/>
  <c r="O101" i="5"/>
  <c r="S160" i="2" l="1"/>
  <c r="P45" i="5"/>
  <c r="P49" i="5" s="1"/>
  <c r="P152" i="5" s="1"/>
  <c r="R205" i="2"/>
  <c r="R127" i="2" s="1"/>
  <c r="R128" i="2" s="1"/>
  <c r="S126" i="2" s="1"/>
  <c r="R206" i="2"/>
  <c r="P81" i="5"/>
  <c r="O85" i="5"/>
  <c r="O104" i="5" s="1"/>
  <c r="O70" i="5"/>
  <c r="O71" i="5" s="1"/>
  <c r="P64" i="5" s="1"/>
  <c r="S167" i="2"/>
  <c r="S168" i="2" s="1"/>
  <c r="P125" i="5" l="1"/>
  <c r="P140" i="5"/>
  <c r="P55" i="5"/>
  <c r="P67" i="5" s="1"/>
  <c r="P82" i="5" s="1"/>
  <c r="P100" i="5" s="1"/>
  <c r="P99" i="5"/>
  <c r="O73" i="5"/>
  <c r="R208" i="2"/>
  <c r="R130" i="2" s="1"/>
  <c r="P28" i="5"/>
  <c r="P26" i="5"/>
  <c r="O86" i="5"/>
  <c r="O105" i="5" s="1"/>
  <c r="O142" i="5"/>
  <c r="O127" i="5"/>
  <c r="O58" i="5"/>
  <c r="O59" i="5" s="1"/>
  <c r="P52" i="5" s="1"/>
  <c r="O76" i="5"/>
  <c r="S169" i="2"/>
  <c r="S183" i="2"/>
  <c r="S195" i="2" l="1"/>
  <c r="S196" i="2" s="1"/>
  <c r="S187" i="2"/>
  <c r="S102" i="2"/>
  <c r="S103" i="2" s="1"/>
  <c r="S115" i="2" s="1"/>
  <c r="P36" i="5"/>
  <c r="P29" i="5"/>
  <c r="P53" i="5"/>
  <c r="P65" i="5" s="1"/>
  <c r="S116" i="2" l="1"/>
  <c r="S118" i="2" s="1"/>
  <c r="P138" i="5"/>
  <c r="P123" i="5"/>
  <c r="P46" i="5"/>
  <c r="P37" i="5"/>
  <c r="Q33" i="5" s="1"/>
  <c r="P56" i="5"/>
  <c r="Q34" i="5" l="1"/>
  <c r="Q35" i="5" s="1"/>
  <c r="P57" i="5"/>
  <c r="P69" i="5" s="1"/>
  <c r="P47" i="5"/>
  <c r="Q42" i="5" s="1"/>
  <c r="P141" i="5"/>
  <c r="P126" i="5"/>
  <c r="P68" i="5"/>
  <c r="P61" i="5"/>
  <c r="Q39" i="5" l="1"/>
  <c r="Q139" i="5"/>
  <c r="Q44" i="5"/>
  <c r="Q54" i="5" s="1"/>
  <c r="Q66" i="5" s="1"/>
  <c r="Q124" i="5"/>
  <c r="P85" i="5"/>
  <c r="P104" i="5" s="1"/>
  <c r="P70" i="5"/>
  <c r="P76" i="5" s="1"/>
  <c r="Q43" i="5"/>
  <c r="P83" i="5"/>
  <c r="S171" i="2"/>
  <c r="T160" i="2" l="1"/>
  <c r="T167" i="2"/>
  <c r="T168" i="2" s="1"/>
  <c r="S206" i="2"/>
  <c r="S205" i="2"/>
  <c r="S127" i="2" s="1"/>
  <c r="S128" i="2" s="1"/>
  <c r="T126" i="2" s="1"/>
  <c r="P58" i="5"/>
  <c r="P59" i="5" s="1"/>
  <c r="Q52" i="5" s="1"/>
  <c r="P142" i="5"/>
  <c r="P86" i="5"/>
  <c r="P105" i="5" s="1"/>
  <c r="P127" i="5"/>
  <c r="Q81" i="5"/>
  <c r="P71" i="5"/>
  <c r="Q64" i="5" s="1"/>
  <c r="P73" i="5"/>
  <c r="P101" i="5"/>
  <c r="Q45" i="5"/>
  <c r="S208" i="2" l="1"/>
  <c r="S130" i="2" s="1"/>
  <c r="Q26" i="5"/>
  <c r="Q28" i="5"/>
  <c r="Q99" i="5"/>
  <c r="T169" i="2"/>
  <c r="T183" i="2"/>
  <c r="Q49" i="5"/>
  <c r="Q152" i="5" s="1"/>
  <c r="Q140" i="5"/>
  <c r="Q125" i="5"/>
  <c r="Q55" i="5"/>
  <c r="Q67" i="5" s="1"/>
  <c r="Q53" i="5"/>
  <c r="Q65" i="5" s="1"/>
  <c r="T195" i="2" l="1"/>
  <c r="T196" i="2" s="1"/>
  <c r="T187" i="2"/>
  <c r="T102" i="2"/>
  <c r="T103" i="2" s="1"/>
  <c r="T115" i="2" s="1"/>
  <c r="Q82" i="5"/>
  <c r="Q56" i="5"/>
  <c r="Q61" i="5" s="1"/>
  <c r="Q36" i="5"/>
  <c r="Q29" i="5"/>
  <c r="T116" i="2"/>
  <c r="T118" i="2" s="1"/>
  <c r="Q138" i="5" l="1"/>
  <c r="Q123" i="5"/>
  <c r="Q46" i="5"/>
  <c r="Q37" i="5"/>
  <c r="R33" i="5" s="1"/>
  <c r="Q68" i="5"/>
  <c r="Q141" i="5"/>
  <c r="Q126" i="5"/>
  <c r="Q100" i="5"/>
  <c r="R34" i="5" l="1"/>
  <c r="R35" i="5" s="1"/>
  <c r="Q57" i="5"/>
  <c r="Q47" i="5"/>
  <c r="R42" i="5" s="1"/>
  <c r="Q83" i="5"/>
  <c r="R39" i="5" l="1"/>
  <c r="R124" i="5"/>
  <c r="R44" i="5"/>
  <c r="R54" i="5" s="1"/>
  <c r="R66" i="5" s="1"/>
  <c r="R139" i="5"/>
  <c r="R43" i="5"/>
  <c r="Q69" i="5"/>
  <c r="T171" i="2"/>
  <c r="Q101" i="5"/>
  <c r="U160" i="2" l="1"/>
  <c r="Q85" i="5"/>
  <c r="Q104" i="5" s="1"/>
  <c r="Q70" i="5"/>
  <c r="Q73" i="5" s="1"/>
  <c r="U167" i="2"/>
  <c r="U168" i="2" s="1"/>
  <c r="R81" i="5"/>
  <c r="T206" i="2"/>
  <c r="T205" i="2"/>
  <c r="T127" i="2" s="1"/>
  <c r="T128" i="2" s="1"/>
  <c r="U126" i="2" s="1"/>
  <c r="R45" i="5"/>
  <c r="R26" i="5" l="1"/>
  <c r="T208" i="2"/>
  <c r="T130" i="2" s="1"/>
  <c r="R28" i="5"/>
  <c r="R49" i="5"/>
  <c r="R152" i="5" s="1"/>
  <c r="R140" i="5"/>
  <c r="R55" i="5"/>
  <c r="R67" i="5" s="1"/>
  <c r="R125" i="5"/>
  <c r="R99" i="5"/>
  <c r="Q127" i="5"/>
  <c r="Q58" i="5"/>
  <c r="Q59" i="5" s="1"/>
  <c r="R52" i="5" s="1"/>
  <c r="Q142" i="5"/>
  <c r="Q86" i="5"/>
  <c r="Q105" i="5" s="1"/>
  <c r="Q76" i="5"/>
  <c r="Q71" i="5"/>
  <c r="R64" i="5" s="1"/>
  <c r="U183" i="2"/>
  <c r="U169" i="2"/>
  <c r="U195" i="2" l="1"/>
  <c r="U196" i="2" s="1"/>
  <c r="U187" i="2"/>
  <c r="U102" i="2"/>
  <c r="U103" i="2" s="1"/>
  <c r="U115" i="2" s="1"/>
  <c r="R82" i="5"/>
  <c r="R53" i="5"/>
  <c r="R65" i="5" s="1"/>
  <c r="U116" i="2"/>
  <c r="U118" i="2" s="1"/>
  <c r="R29" i="5"/>
  <c r="R36" i="5"/>
  <c r="R56" i="5" l="1"/>
  <c r="R68" i="5" s="1"/>
  <c r="R123" i="5"/>
  <c r="R138" i="5"/>
  <c r="R46" i="5"/>
  <c r="R37" i="5"/>
  <c r="S33" i="5" s="1"/>
  <c r="R100" i="5"/>
  <c r="R61" i="5" l="1"/>
  <c r="R126" i="5"/>
  <c r="R141" i="5"/>
  <c r="R83" i="5"/>
  <c r="S34" i="5"/>
  <c r="S35" i="5" s="1"/>
  <c r="R57" i="5"/>
  <c r="R47" i="5"/>
  <c r="S42" i="5" s="1"/>
  <c r="S43" i="5" l="1"/>
  <c r="R69" i="5"/>
  <c r="R101" i="5"/>
  <c r="U171" i="2"/>
  <c r="S124" i="5"/>
  <c r="S39" i="5"/>
  <c r="S139" i="5"/>
  <c r="S44" i="5"/>
  <c r="S54" i="5" s="1"/>
  <c r="S66" i="5" s="1"/>
  <c r="V160" i="2" l="1"/>
  <c r="V167" i="2"/>
  <c r="V168" i="2" s="1"/>
  <c r="R85" i="5"/>
  <c r="R104" i="5" s="1"/>
  <c r="R70" i="5"/>
  <c r="S81" i="5"/>
  <c r="U206" i="2"/>
  <c r="U205" i="2"/>
  <c r="U127" i="2" s="1"/>
  <c r="U128" i="2" s="1"/>
  <c r="V126" i="2" s="1"/>
  <c r="S45" i="5"/>
  <c r="S99" i="5" l="1"/>
  <c r="S49" i="5"/>
  <c r="S152" i="5" s="1"/>
  <c r="S55" i="5"/>
  <c r="S67" i="5" s="1"/>
  <c r="S125" i="5"/>
  <c r="S140" i="5"/>
  <c r="S26" i="5"/>
  <c r="S28" i="5"/>
  <c r="U208" i="2"/>
  <c r="U130" i="2" s="1"/>
  <c r="R127" i="5"/>
  <c r="R86" i="5"/>
  <c r="R105" i="5" s="1"/>
  <c r="R142" i="5"/>
  <c r="R58" i="5"/>
  <c r="R59" i="5" s="1"/>
  <c r="S52" i="5" s="1"/>
  <c r="R71" i="5"/>
  <c r="S64" i="5" s="1"/>
  <c r="R76" i="5"/>
  <c r="R73" i="5"/>
  <c r="V169" i="2"/>
  <c r="V183" i="2"/>
  <c r="V195" i="2" l="1"/>
  <c r="V196" i="2" s="1"/>
  <c r="V187" i="2"/>
  <c r="V102" i="2"/>
  <c r="V103" i="2" s="1"/>
  <c r="V115" i="2" s="1"/>
  <c r="S53" i="5"/>
  <c r="S65" i="5" s="1"/>
  <c r="S82" i="5"/>
  <c r="S36" i="5"/>
  <c r="S29" i="5"/>
  <c r="V116" i="2" l="1"/>
  <c r="V118" i="2" s="1"/>
  <c r="S123" i="5"/>
  <c r="S138" i="5"/>
  <c r="S46" i="5"/>
  <c r="S37" i="5"/>
  <c r="T33" i="5" s="1"/>
  <c r="S56" i="5"/>
  <c r="S100" i="5"/>
  <c r="S57" i="5" l="1"/>
  <c r="S69" i="5" s="1"/>
  <c r="S47" i="5"/>
  <c r="T42" i="5" s="1"/>
  <c r="T34" i="5"/>
  <c r="T35" i="5" s="1"/>
  <c r="S141" i="5"/>
  <c r="S68" i="5"/>
  <c r="S126" i="5"/>
  <c r="S61" i="5"/>
  <c r="S83" i="5" l="1"/>
  <c r="T39" i="5"/>
  <c r="T124" i="5"/>
  <c r="T44" i="5"/>
  <c r="T54" i="5" s="1"/>
  <c r="T66" i="5" s="1"/>
  <c r="T139" i="5"/>
  <c r="T43" i="5"/>
  <c r="V171" i="2"/>
  <c r="S85" i="5"/>
  <c r="S104" i="5" s="1"/>
  <c r="S70" i="5"/>
  <c r="W160" i="2" l="1"/>
  <c r="T45" i="5"/>
  <c r="T49" i="5" s="1"/>
  <c r="T152" i="5" s="1"/>
  <c r="S58" i="5"/>
  <c r="S59" i="5" s="1"/>
  <c r="T52" i="5" s="1"/>
  <c r="S142" i="5"/>
  <c r="S86" i="5"/>
  <c r="S105" i="5" s="1"/>
  <c r="S127" i="5"/>
  <c r="T81" i="5"/>
  <c r="V205" i="2"/>
  <c r="V127" i="2" s="1"/>
  <c r="V128" i="2" s="1"/>
  <c r="W126" i="2" s="1"/>
  <c r="V206" i="2"/>
  <c r="S71" i="5"/>
  <c r="T64" i="5" s="1"/>
  <c r="S73" i="5"/>
  <c r="S101" i="5"/>
  <c r="S76" i="5"/>
  <c r="W167" i="2"/>
  <c r="W168" i="2" s="1"/>
  <c r="T140" i="5" l="1"/>
  <c r="T125" i="5"/>
  <c r="T55" i="5"/>
  <c r="T67" i="5" s="1"/>
  <c r="T82" i="5" s="1"/>
  <c r="T100" i="5" s="1"/>
  <c r="T28" i="5"/>
  <c r="T26" i="5"/>
  <c r="V208" i="2"/>
  <c r="V130" i="2" s="1"/>
  <c r="T53" i="5"/>
  <c r="T65" i="5" s="1"/>
  <c r="W169" i="2"/>
  <c r="W183" i="2"/>
  <c r="T99" i="5"/>
  <c r="W195" i="2" l="1"/>
  <c r="W196" i="2" s="1"/>
  <c r="W187" i="2"/>
  <c r="W102" i="2"/>
  <c r="W103" i="2" s="1"/>
  <c r="W115" i="2" s="1"/>
  <c r="T36" i="5"/>
  <c r="T29" i="5"/>
  <c r="T56" i="5"/>
  <c r="W116" i="2" l="1"/>
  <c r="W118" i="2" s="1"/>
  <c r="T123" i="5"/>
  <c r="T138" i="5"/>
  <c r="T46" i="5"/>
  <c r="T37" i="5"/>
  <c r="U33" i="5" s="1"/>
  <c r="T126" i="5"/>
  <c r="T68" i="5"/>
  <c r="T141" i="5"/>
  <c r="T61" i="5"/>
  <c r="U34" i="5" l="1"/>
  <c r="U35" i="5" s="1"/>
  <c r="T57" i="5"/>
  <c r="T47" i="5"/>
  <c r="U42" i="5" s="1"/>
  <c r="T83" i="5"/>
  <c r="U43" i="5" l="1"/>
  <c r="T69" i="5"/>
  <c r="W171" i="2"/>
  <c r="U139" i="5"/>
  <c r="U124" i="5"/>
  <c r="U39" i="5"/>
  <c r="U44" i="5"/>
  <c r="U54" i="5" s="1"/>
  <c r="U66" i="5" s="1"/>
  <c r="T101" i="5"/>
  <c r="X160" i="2" l="1"/>
  <c r="U45" i="5"/>
  <c r="U125" i="5" s="1"/>
  <c r="W206" i="2"/>
  <c r="W205" i="2"/>
  <c r="W127" i="2" s="1"/>
  <c r="W128" i="2" s="1"/>
  <c r="X126" i="2" s="1"/>
  <c r="T85" i="5"/>
  <c r="T104" i="5" s="1"/>
  <c r="T70" i="5"/>
  <c r="T73" i="5" s="1"/>
  <c r="U81" i="5"/>
  <c r="U49" i="5" l="1"/>
  <c r="U152" i="5" s="1"/>
  <c r="U140" i="5"/>
  <c r="U55" i="5"/>
  <c r="U67" i="5" s="1"/>
  <c r="U82" i="5" s="1"/>
  <c r="U100" i="5" s="1"/>
  <c r="T71" i="5"/>
  <c r="U64" i="5" s="1"/>
  <c r="U99" i="5"/>
  <c r="X167" i="2"/>
  <c r="X168" i="2" s="1"/>
  <c r="T127" i="5"/>
  <c r="T58" i="5"/>
  <c r="T59" i="5" s="1"/>
  <c r="U52" i="5" s="1"/>
  <c r="T142" i="5"/>
  <c r="T86" i="5"/>
  <c r="T105" i="5" s="1"/>
  <c r="T76" i="5"/>
  <c r="U26" i="5"/>
  <c r="W208" i="2"/>
  <c r="W130" i="2" s="1"/>
  <c r="U28" i="5"/>
  <c r="U53" i="5" l="1"/>
  <c r="U65" i="5" s="1"/>
  <c r="X183" i="2"/>
  <c r="U36" i="5"/>
  <c r="U29" i="5"/>
  <c r="X195" i="2" l="1"/>
  <c r="X196" i="2" s="1"/>
  <c r="X187" i="2"/>
  <c r="U56" i="5"/>
  <c r="U68" i="5" s="1"/>
  <c r="X102" i="2"/>
  <c r="U138" i="5"/>
  <c r="U123" i="5"/>
  <c r="U46" i="5"/>
  <c r="U37" i="5"/>
  <c r="V33" i="5" s="1"/>
  <c r="X169" i="2"/>
  <c r="U141" i="5" l="1"/>
  <c r="U126" i="5"/>
  <c r="U61" i="5"/>
  <c r="U83" i="5"/>
  <c r="V34" i="5"/>
  <c r="V35" i="5" s="1"/>
  <c r="X103" i="2"/>
  <c r="U57" i="5"/>
  <c r="U47" i="5"/>
  <c r="V42" i="5" s="1"/>
  <c r="V43" i="5" l="1"/>
  <c r="U69" i="5"/>
  <c r="U101" i="5"/>
  <c r="X115" i="2"/>
  <c r="X116" i="2"/>
  <c r="V39" i="5"/>
  <c r="V44" i="5"/>
  <c r="V54" i="5" s="1"/>
  <c r="V66" i="5" s="1"/>
  <c r="V139" i="5"/>
  <c r="V124" i="5"/>
  <c r="V81" i="5" l="1"/>
  <c r="V45" i="5"/>
  <c r="U85" i="5"/>
  <c r="U104" i="5" s="1"/>
  <c r="U70" i="5"/>
  <c r="U73" i="5" s="1"/>
  <c r="X118" i="2"/>
  <c r="U71" i="5" l="1"/>
  <c r="V64" i="5" s="1"/>
  <c r="V49" i="5"/>
  <c r="V152" i="5" s="1"/>
  <c r="V55" i="5"/>
  <c r="V67" i="5" s="1"/>
  <c r="V125" i="5"/>
  <c r="V140" i="5"/>
  <c r="V99" i="5"/>
  <c r="U58" i="5"/>
  <c r="U59" i="5" s="1"/>
  <c r="V52" i="5" s="1"/>
  <c r="U142" i="5"/>
  <c r="U127" i="5"/>
  <c r="U86" i="5"/>
  <c r="U105" i="5" s="1"/>
  <c r="U76" i="5"/>
  <c r="V53" i="5" l="1"/>
  <c r="V65" i="5" s="1"/>
  <c r="V82" i="5"/>
  <c r="V100" i="5" l="1"/>
  <c r="X171" i="2" l="1"/>
  <c r="X205" i="2"/>
  <c r="X127" i="2" s="1"/>
  <c r="X128" i="2" s="1"/>
  <c r="Y126" i="2" s="1"/>
  <c r="X206" i="2"/>
  <c r="Y160" i="2" l="1"/>
  <c r="X208" i="2"/>
  <c r="X130" i="2" s="1"/>
  <c r="V26" i="5"/>
  <c r="V28" i="5"/>
  <c r="V29" i="5" l="1"/>
  <c r="V36" i="5"/>
  <c r="Y167" i="2"/>
  <c r="Y168" i="2" s="1"/>
  <c r="V56" i="5"/>
  <c r="V141" i="5" l="1"/>
  <c r="V126" i="5"/>
  <c r="V68" i="5"/>
  <c r="V61" i="5"/>
  <c r="Y183" i="2"/>
  <c r="V138" i="5"/>
  <c r="V123" i="5"/>
  <c r="V46" i="5"/>
  <c r="V37" i="5"/>
  <c r="W33" i="5" s="1"/>
  <c r="Y195" i="2" l="1"/>
  <c r="Y196" i="2" s="1"/>
  <c r="Y187" i="2"/>
  <c r="Y102" i="2"/>
  <c r="W34" i="5"/>
  <c r="W35" i="5" s="1"/>
  <c r="V57" i="5"/>
  <c r="V47" i="5"/>
  <c r="W42" i="5" s="1"/>
  <c r="V83" i="5"/>
  <c r="Y169" i="2"/>
  <c r="W139" i="5" l="1"/>
  <c r="W44" i="5"/>
  <c r="W54" i="5" s="1"/>
  <c r="W66" i="5" s="1"/>
  <c r="W39" i="5"/>
  <c r="W124" i="5"/>
  <c r="W43" i="5"/>
  <c r="V69" i="5"/>
  <c r="V101" i="5"/>
  <c r="Y103" i="2"/>
  <c r="W45" i="5" l="1"/>
  <c r="W49" i="5" s="1"/>
  <c r="W152" i="5" s="1"/>
  <c r="Y116" i="2"/>
  <c r="Y115" i="2"/>
  <c r="V85" i="5"/>
  <c r="V104" i="5" s="1"/>
  <c r="V70" i="5"/>
  <c r="W81" i="5"/>
  <c r="W55" i="5" l="1"/>
  <c r="W67" i="5" s="1"/>
  <c r="W82" i="5" s="1"/>
  <c r="W100" i="5" s="1"/>
  <c r="W140" i="5"/>
  <c r="W125" i="5"/>
  <c r="V58" i="5"/>
  <c r="V59" i="5" s="1"/>
  <c r="W52" i="5" s="1"/>
  <c r="V86" i="5"/>
  <c r="V105" i="5" s="1"/>
  <c r="V142" i="5"/>
  <c r="V127" i="5"/>
  <c r="V76" i="5"/>
  <c r="V71" i="5"/>
  <c r="W64" i="5" s="1"/>
  <c r="V73" i="5"/>
  <c r="W99" i="5"/>
  <c r="Y118" i="2"/>
  <c r="W53" i="5" l="1"/>
  <c r="W65" i="5" s="1"/>
  <c r="Y171" i="2" l="1"/>
  <c r="Z160" i="2" l="1"/>
  <c r="Y206" i="2"/>
  <c r="Y205" i="2"/>
  <c r="Y127" i="2" s="1"/>
  <c r="Y128" i="2" s="1"/>
  <c r="Z126" i="2" s="1"/>
  <c r="Y208" i="2" l="1"/>
  <c r="Y130" i="2" s="1"/>
  <c r="W28" i="5"/>
  <c r="W26" i="5"/>
  <c r="Z167" i="2" l="1"/>
  <c r="Z168" i="2" s="1"/>
  <c r="W56" i="5"/>
  <c r="W36" i="5"/>
  <c r="W29" i="5"/>
  <c r="W123" i="5" l="1"/>
  <c r="W138" i="5"/>
  <c r="W46" i="5"/>
  <c r="W37" i="5"/>
  <c r="X33" i="5" s="1"/>
  <c r="W68" i="5"/>
  <c r="W141" i="5"/>
  <c r="W126" i="5"/>
  <c r="W61" i="5"/>
  <c r="Z169" i="2"/>
  <c r="Z183" i="2"/>
  <c r="Z195" i="2" l="1"/>
  <c r="Z196" i="2" s="1"/>
  <c r="Z187" i="2"/>
  <c r="W83" i="5"/>
  <c r="Z102" i="2"/>
  <c r="W57" i="5"/>
  <c r="W47" i="5"/>
  <c r="X42" i="5" s="1"/>
  <c r="X34" i="5"/>
  <c r="X35" i="5" s="1"/>
  <c r="W69" i="5" l="1"/>
  <c r="X124" i="5"/>
  <c r="X139" i="5"/>
  <c r="X39" i="5"/>
  <c r="X44" i="5"/>
  <c r="X54" i="5" s="1"/>
  <c r="X66" i="5" s="1"/>
  <c r="Z103" i="2"/>
  <c r="X43" i="5"/>
  <c r="W101" i="5"/>
  <c r="X45" i="5" l="1"/>
  <c r="X49" i="5" s="1"/>
  <c r="X152" i="5" s="1"/>
  <c r="W85" i="5"/>
  <c r="W104" i="5" s="1"/>
  <c r="W70" i="5"/>
  <c r="Z116" i="2"/>
  <c r="Z115" i="2"/>
  <c r="X81" i="5"/>
  <c r="X140" i="5" l="1"/>
  <c r="X55" i="5"/>
  <c r="X67" i="5" s="1"/>
  <c r="X82" i="5" s="1"/>
  <c r="X100" i="5" s="1"/>
  <c r="X125" i="5"/>
  <c r="W86" i="5"/>
  <c r="W105" i="5" s="1"/>
  <c r="W58" i="5"/>
  <c r="W59" i="5" s="1"/>
  <c r="X52" i="5" s="1"/>
  <c r="W127" i="5"/>
  <c r="W142" i="5"/>
  <c r="W71" i="5"/>
  <c r="X64" i="5" s="1"/>
  <c r="W76" i="5"/>
  <c r="Z118" i="2"/>
  <c r="W73" i="5"/>
  <c r="X99" i="5"/>
  <c r="X53" i="5" l="1"/>
  <c r="X65" i="5" s="1"/>
  <c r="Z171" i="2" l="1"/>
  <c r="AA160" i="2" l="1"/>
  <c r="Z206" i="2"/>
  <c r="Z205" i="2"/>
  <c r="Z127" i="2" s="1"/>
  <c r="Z128" i="2" s="1"/>
  <c r="AA126" i="2" s="1"/>
  <c r="Z208" i="2" l="1"/>
  <c r="Z130" i="2" s="1"/>
  <c r="X28" i="5"/>
  <c r="X26" i="5"/>
  <c r="AA167" i="2" l="1"/>
  <c r="AA168" i="2" s="1"/>
  <c r="X56" i="5"/>
  <c r="X36" i="5"/>
  <c r="X29" i="5"/>
  <c r="X138" i="5" l="1"/>
  <c r="X123" i="5"/>
  <c r="X46" i="5"/>
  <c r="X37" i="5"/>
  <c r="Y33" i="5" s="1"/>
  <c r="X141" i="5"/>
  <c r="X68" i="5"/>
  <c r="X126" i="5"/>
  <c r="X61" i="5"/>
  <c r="AA169" i="2"/>
  <c r="AA183" i="2"/>
  <c r="AA195" i="2" l="1"/>
  <c r="AA196" i="2" s="1"/>
  <c r="AA187" i="2"/>
  <c r="AA102" i="2"/>
  <c r="X83" i="5"/>
  <c r="X57" i="5"/>
  <c r="X47" i="5"/>
  <c r="Y42" i="5" s="1"/>
  <c r="Y34" i="5"/>
  <c r="Y35" i="5" s="1"/>
  <c r="Y44" i="5" l="1"/>
  <c r="Y54" i="5" s="1"/>
  <c r="Y66" i="5" s="1"/>
  <c r="Y39" i="5"/>
  <c r="Y124" i="5"/>
  <c r="Y139" i="5"/>
  <c r="X69" i="5"/>
  <c r="X101" i="5"/>
  <c r="AA103" i="2"/>
  <c r="Y43" i="5"/>
  <c r="Y45" i="5" l="1"/>
  <c r="AA115" i="2"/>
  <c r="AA116" i="2"/>
  <c r="Y81" i="5"/>
  <c r="X85" i="5"/>
  <c r="X104" i="5" s="1"/>
  <c r="X70" i="5"/>
  <c r="AA118" i="2" l="1"/>
  <c r="Y49" i="5"/>
  <c r="Y152" i="5" s="1"/>
  <c r="Y125" i="5"/>
  <c r="Y55" i="5"/>
  <c r="Y67" i="5" s="1"/>
  <c r="Y140" i="5"/>
  <c r="X127" i="5"/>
  <c r="X86" i="5"/>
  <c r="X105" i="5" s="1"/>
  <c r="X58" i="5"/>
  <c r="X59" i="5" s="1"/>
  <c r="Y52" i="5" s="1"/>
  <c r="X142" i="5"/>
  <c r="X71" i="5"/>
  <c r="Y64" i="5" s="1"/>
  <c r="X76" i="5"/>
  <c r="X73" i="5"/>
  <c r="Y99" i="5"/>
  <c r="Y82" i="5" l="1"/>
  <c r="Y53" i="5"/>
  <c r="Y65" i="5" s="1"/>
  <c r="AA171" i="2" l="1"/>
  <c r="Y100" i="5"/>
  <c r="AB160" i="2" l="1"/>
  <c r="AA206" i="2"/>
  <c r="AA205" i="2"/>
  <c r="AA127" i="2" s="1"/>
  <c r="AA128" i="2" s="1"/>
  <c r="AB126" i="2" s="1"/>
  <c r="AA208" i="2" l="1"/>
  <c r="AA130" i="2" s="1"/>
  <c r="Y28" i="5"/>
  <c r="Y26" i="5"/>
  <c r="AB167" i="2" l="1"/>
  <c r="AB168" i="2" s="1"/>
  <c r="Y56" i="5"/>
  <c r="Y36" i="5"/>
  <c r="Y29" i="5"/>
  <c r="Y138" i="5" l="1"/>
  <c r="Y123" i="5"/>
  <c r="Y46" i="5"/>
  <c r="Y37" i="5"/>
  <c r="Z33" i="5" s="1"/>
  <c r="Y126" i="5"/>
  <c r="Y68" i="5"/>
  <c r="Y141" i="5"/>
  <c r="Y61" i="5"/>
  <c r="AB183" i="2"/>
  <c r="AB169" i="2"/>
  <c r="AB195" i="2" l="1"/>
  <c r="AB196" i="2" s="1"/>
  <c r="AB187" i="2"/>
  <c r="Y83" i="5"/>
  <c r="Y57" i="5"/>
  <c r="Y47" i="5"/>
  <c r="Z42" i="5" s="1"/>
  <c r="Z34" i="5"/>
  <c r="Z35" i="5" s="1"/>
  <c r="AB102" i="2"/>
  <c r="Y101" i="5" l="1"/>
  <c r="Y69" i="5"/>
  <c r="AB103" i="2"/>
  <c r="Z39" i="5"/>
  <c r="Z139" i="5"/>
  <c r="Z124" i="5"/>
  <c r="Z44" i="5"/>
  <c r="Z54" i="5" s="1"/>
  <c r="Z66" i="5" s="1"/>
  <c r="Z43" i="5"/>
  <c r="Z81" i="5" l="1"/>
  <c r="Y85" i="5"/>
  <c r="Y104" i="5" s="1"/>
  <c r="Y70" i="5"/>
  <c r="Y73" i="5" s="1"/>
  <c r="AB116" i="2"/>
  <c r="AB115" i="2"/>
  <c r="Z45" i="5"/>
  <c r="Z49" i="5" l="1"/>
  <c r="Z152" i="5" s="1"/>
  <c r="Z125" i="5"/>
  <c r="Z55" i="5"/>
  <c r="Z67" i="5" s="1"/>
  <c r="Z140" i="5"/>
  <c r="Z99" i="5"/>
  <c r="AB118" i="2"/>
  <c r="Y86" i="5"/>
  <c r="Y105" i="5" s="1"/>
  <c r="Y58" i="5"/>
  <c r="Y59" i="5" s="1"/>
  <c r="Z52" i="5" s="1"/>
  <c r="Y142" i="5"/>
  <c r="Y127" i="5"/>
  <c r="Y71" i="5"/>
  <c r="Z64" i="5" s="1"/>
  <c r="Y76" i="5"/>
  <c r="Z82" i="5" l="1"/>
  <c r="Z53" i="5"/>
  <c r="Z65" i="5" s="1"/>
  <c r="AB171" i="2" l="1"/>
  <c r="Z100" i="5"/>
  <c r="AC160" i="2" l="1"/>
  <c r="AB206" i="2"/>
  <c r="AB205" i="2"/>
  <c r="AB127" i="2" s="1"/>
  <c r="AB128" i="2" s="1"/>
  <c r="AC126" i="2" s="1"/>
  <c r="Z26" i="5" l="1"/>
  <c r="AB208" i="2"/>
  <c r="AB130" i="2" s="1"/>
  <c r="Z28" i="5"/>
  <c r="AC167" i="2"/>
  <c r="AC168" i="2" s="1"/>
  <c r="AC169" i="2" l="1"/>
  <c r="AC183" i="2"/>
  <c r="Z56" i="5"/>
  <c r="Z36" i="5"/>
  <c r="Z29" i="5"/>
  <c r="AC195" i="2" l="1"/>
  <c r="AC196" i="2" s="1"/>
  <c r="AC187" i="2"/>
  <c r="AC102" i="2"/>
  <c r="AC103" i="2" s="1"/>
  <c r="AC115" i="2" s="1"/>
  <c r="Z68" i="5"/>
  <c r="Z141" i="5"/>
  <c r="Z126" i="5"/>
  <c r="Z123" i="5"/>
  <c r="Z138" i="5"/>
  <c r="Z46" i="5"/>
  <c r="Z37" i="5"/>
  <c r="AA33" i="5" s="1"/>
  <c r="Z61" i="5"/>
  <c r="AC116" i="2" l="1"/>
  <c r="AC118" i="2" s="1"/>
  <c r="Z57" i="5"/>
  <c r="Z47" i="5"/>
  <c r="AA42" i="5" s="1"/>
  <c r="AA34" i="5"/>
  <c r="AA35" i="5" s="1"/>
  <c r="Z83" i="5"/>
  <c r="AA39" i="5" l="1"/>
  <c r="AA44" i="5"/>
  <c r="AA54" i="5" s="1"/>
  <c r="AA66" i="5" s="1"/>
  <c r="AA124" i="5"/>
  <c r="AA139" i="5"/>
  <c r="Z101" i="5"/>
  <c r="Z69" i="5"/>
  <c r="AA43" i="5"/>
  <c r="AA45" i="5" l="1"/>
  <c r="AA49" i="5" s="1"/>
  <c r="AA152" i="5" s="1"/>
  <c r="AC171" i="2"/>
  <c r="AA81" i="5"/>
  <c r="Z85" i="5"/>
  <c r="Z104" i="5" s="1"/>
  <c r="Z70" i="5"/>
  <c r="Z73" i="5" s="1"/>
  <c r="AD160" i="2" l="1"/>
  <c r="AA140" i="5"/>
  <c r="AA125" i="5"/>
  <c r="AA55" i="5"/>
  <c r="AA67" i="5" s="1"/>
  <c r="AA82" i="5" s="1"/>
  <c r="AA100" i="5" s="1"/>
  <c r="AD167" i="2"/>
  <c r="AD168" i="2" s="1"/>
  <c r="Z58" i="5"/>
  <c r="Z59" i="5" s="1"/>
  <c r="AA52" i="5" s="1"/>
  <c r="Z142" i="5"/>
  <c r="Z127" i="5"/>
  <c r="Z86" i="5"/>
  <c r="Z105" i="5" s="1"/>
  <c r="Z71" i="5"/>
  <c r="AA64" i="5" s="1"/>
  <c r="Z76" i="5"/>
  <c r="AC206" i="2"/>
  <c r="AC205" i="2"/>
  <c r="AC127" i="2" s="1"/>
  <c r="AC128" i="2" s="1"/>
  <c r="AD126" i="2" s="1"/>
  <c r="AA99" i="5"/>
  <c r="AC208" i="2" l="1"/>
  <c r="AC130" i="2" s="1"/>
  <c r="AA26" i="5"/>
  <c r="AA28" i="5"/>
  <c r="AA53" i="5"/>
  <c r="AA65" i="5" s="1"/>
  <c r="AD183" i="2"/>
  <c r="AD169" i="2"/>
  <c r="AD195" i="2" l="1"/>
  <c r="AD196" i="2" s="1"/>
  <c r="AD187" i="2"/>
  <c r="AD102" i="2"/>
  <c r="AD103" i="2" s="1"/>
  <c r="AD116" i="2" s="1"/>
  <c r="AD118" i="2" s="1"/>
  <c r="AA56" i="5"/>
  <c r="AA36" i="5"/>
  <c r="AA29" i="5"/>
  <c r="AD115" i="2" l="1"/>
  <c r="AA126" i="5"/>
  <c r="AA141" i="5"/>
  <c r="AA68" i="5"/>
  <c r="AA61" i="5"/>
  <c r="AA138" i="5"/>
  <c r="AA123" i="5"/>
  <c r="AA46" i="5"/>
  <c r="AA37" i="5"/>
  <c r="AB33" i="5" s="1"/>
  <c r="AB34" i="5" l="1"/>
  <c r="AB35" i="5" s="1"/>
  <c r="AA57" i="5"/>
  <c r="AA47" i="5"/>
  <c r="AB42" i="5" s="1"/>
  <c r="AA83" i="5"/>
  <c r="AA69" i="5" l="1"/>
  <c r="AD171" i="2"/>
  <c r="AB39" i="5"/>
  <c r="AB139" i="5"/>
  <c r="AB44" i="5"/>
  <c r="AB54" i="5" s="1"/>
  <c r="AB66" i="5" s="1"/>
  <c r="AB124" i="5"/>
  <c r="AA101" i="5"/>
  <c r="AB43" i="5"/>
  <c r="AE160" i="2" l="1"/>
  <c r="AB45" i="5"/>
  <c r="AB140" i="5" s="1"/>
  <c r="AB81" i="5"/>
  <c r="AD206" i="2"/>
  <c r="AD205" i="2"/>
  <c r="AD127" i="2" s="1"/>
  <c r="AD128" i="2" s="1"/>
  <c r="AE126" i="2" s="1"/>
  <c r="AE167" i="2"/>
  <c r="AE168" i="2" s="1"/>
  <c r="AA85" i="5"/>
  <c r="AA104" i="5" s="1"/>
  <c r="AA70" i="5"/>
  <c r="AB125" i="5" l="1"/>
  <c r="AB49" i="5"/>
  <c r="AB152" i="5" s="1"/>
  <c r="AB55" i="5"/>
  <c r="AB67" i="5" s="1"/>
  <c r="AB82" i="5" s="1"/>
  <c r="AB100" i="5" s="1"/>
  <c r="AE169" i="2"/>
  <c r="AE183" i="2"/>
  <c r="AD208" i="2"/>
  <c r="AD130" i="2" s="1"/>
  <c r="AB26" i="5"/>
  <c r="AB28" i="5"/>
  <c r="AA142" i="5"/>
  <c r="AA86" i="5"/>
  <c r="AA105" i="5" s="1"/>
  <c r="AA127" i="5"/>
  <c r="AA58" i="5"/>
  <c r="AA59" i="5" s="1"/>
  <c r="AB52" i="5" s="1"/>
  <c r="AA71" i="5"/>
  <c r="AB64" i="5" s="1"/>
  <c r="AA76" i="5"/>
  <c r="AB99" i="5"/>
  <c r="AA73" i="5"/>
  <c r="AE195" i="2" l="1"/>
  <c r="AE196" i="2" s="1"/>
  <c r="AE187" i="2"/>
  <c r="AE102" i="2"/>
  <c r="AE103" i="2" s="1"/>
  <c r="AE116" i="2" s="1"/>
  <c r="AE118" i="2" s="1"/>
  <c r="AB53" i="5"/>
  <c r="AB65" i="5" s="1"/>
  <c r="AB36" i="5"/>
  <c r="AB29" i="5"/>
  <c r="AE115" i="2" l="1"/>
  <c r="AB56" i="5"/>
  <c r="AB141" i="5" s="1"/>
  <c r="AB123" i="5"/>
  <c r="AB138" i="5"/>
  <c r="AB46" i="5"/>
  <c r="AB37" i="5"/>
  <c r="AC33" i="5" s="1"/>
  <c r="AB61" i="5" l="1"/>
  <c r="AB126" i="5"/>
  <c r="AB68" i="5"/>
  <c r="AB83" i="5" s="1"/>
  <c r="AC34" i="5"/>
  <c r="AC35" i="5" s="1"/>
  <c r="AB57" i="5"/>
  <c r="AB47" i="5"/>
  <c r="AC42" i="5" s="1"/>
  <c r="AB69" i="5" l="1"/>
  <c r="AB101" i="5"/>
  <c r="AE171" i="2"/>
  <c r="AC44" i="5"/>
  <c r="AC54" i="5" s="1"/>
  <c r="AC66" i="5" s="1"/>
  <c r="AC139" i="5"/>
  <c r="AC39" i="5"/>
  <c r="AC124" i="5"/>
  <c r="AC43" i="5"/>
  <c r="AF160" i="2" l="1"/>
  <c r="AF167" i="2"/>
  <c r="AF168" i="2" s="1"/>
  <c r="AC81" i="5"/>
  <c r="AE205" i="2"/>
  <c r="AE127" i="2" s="1"/>
  <c r="AE128" i="2" s="1"/>
  <c r="AF126" i="2" s="1"/>
  <c r="AE206" i="2"/>
  <c r="AC45" i="5"/>
  <c r="AB85" i="5"/>
  <c r="AB104" i="5" s="1"/>
  <c r="AB70" i="5"/>
  <c r="AB71" i="5" s="1"/>
  <c r="AC64" i="5" s="1"/>
  <c r="AC28" i="5" l="1"/>
  <c r="AC26" i="5"/>
  <c r="AE208" i="2"/>
  <c r="AE130" i="2" s="1"/>
  <c r="AB73" i="5"/>
  <c r="AF183" i="2"/>
  <c r="AF169" i="2"/>
  <c r="AB86" i="5"/>
  <c r="AB105" i="5" s="1"/>
  <c r="AB58" i="5"/>
  <c r="AB59" i="5" s="1"/>
  <c r="AC52" i="5" s="1"/>
  <c r="AB127" i="5"/>
  <c r="AB142" i="5"/>
  <c r="AB76" i="5"/>
  <c r="AC99" i="5"/>
  <c r="AC49" i="5"/>
  <c r="AC152" i="5" s="1"/>
  <c r="AC125" i="5"/>
  <c r="AC140" i="5"/>
  <c r="AC55" i="5"/>
  <c r="AC67" i="5" s="1"/>
  <c r="AF195" i="2" l="1"/>
  <c r="AF196" i="2" s="1"/>
  <c r="AF187" i="2"/>
  <c r="AF102" i="2"/>
  <c r="AF103" i="2" s="1"/>
  <c r="AF115" i="2" s="1"/>
  <c r="AC53" i="5"/>
  <c r="AC65" i="5" s="1"/>
  <c r="AC36" i="5"/>
  <c r="AC29" i="5"/>
  <c r="AC82" i="5"/>
  <c r="AF116" i="2" l="1"/>
  <c r="AF118" i="2" s="1"/>
  <c r="AC56" i="5"/>
  <c r="AC123" i="5"/>
  <c r="AC138" i="5"/>
  <c r="AC46" i="5"/>
  <c r="AC37" i="5"/>
  <c r="AD33" i="5" s="1"/>
  <c r="AC100" i="5"/>
  <c r="AC126" i="5" l="1"/>
  <c r="AC68" i="5"/>
  <c r="AC141" i="5"/>
  <c r="AC61" i="5"/>
  <c r="AD34" i="5"/>
  <c r="AD35" i="5" s="1"/>
  <c r="AC57" i="5"/>
  <c r="AC69" i="5" s="1"/>
  <c r="AC47" i="5"/>
  <c r="AD42" i="5" s="1"/>
  <c r="AC85" i="5" l="1"/>
  <c r="AC104" i="5" s="1"/>
  <c r="AC70" i="5"/>
  <c r="AD43" i="5"/>
  <c r="AD44" i="5"/>
  <c r="AD54" i="5" s="1"/>
  <c r="AD66" i="5" s="1"/>
  <c r="AD39" i="5"/>
  <c r="AD124" i="5"/>
  <c r="AD139" i="5"/>
  <c r="AC83" i="5"/>
  <c r="AF171" i="2"/>
  <c r="AG160" i="2" l="1"/>
  <c r="AF206" i="2"/>
  <c r="AF205" i="2"/>
  <c r="AF127" i="2" s="1"/>
  <c r="AF128" i="2" s="1"/>
  <c r="AG126" i="2" s="1"/>
  <c r="AC142" i="5"/>
  <c r="AC127" i="5"/>
  <c r="AC86" i="5"/>
  <c r="AC105" i="5" s="1"/>
  <c r="AC58" i="5"/>
  <c r="AC59" i="5" s="1"/>
  <c r="AD52" i="5" s="1"/>
  <c r="AC71" i="5"/>
  <c r="AD64" i="5" s="1"/>
  <c r="AC101" i="5"/>
  <c r="AC76" i="5"/>
  <c r="AD81" i="5"/>
  <c r="AC73" i="5"/>
  <c r="AG167" i="2"/>
  <c r="AG168" i="2" s="1"/>
  <c r="AD45" i="5"/>
  <c r="AD28" i="5" l="1"/>
  <c r="AF208" i="2"/>
  <c r="AF130" i="2" s="1"/>
  <c r="AD26" i="5"/>
  <c r="AD99" i="5"/>
  <c r="AD49" i="5"/>
  <c r="AD152" i="5" s="1"/>
  <c r="AD125" i="5"/>
  <c r="AD55" i="5"/>
  <c r="AD67" i="5" s="1"/>
  <c r="AD140" i="5"/>
  <c r="AG183" i="2"/>
  <c r="AG169" i="2"/>
  <c r="AD53" i="5"/>
  <c r="AD65" i="5" s="1"/>
  <c r="AG195" i="2" l="1"/>
  <c r="AG196" i="2" s="1"/>
  <c r="AG187" i="2"/>
  <c r="AG102" i="2"/>
  <c r="AG103" i="2" s="1"/>
  <c r="AG115" i="2" s="1"/>
  <c r="AD36" i="5"/>
  <c r="AD29" i="5"/>
  <c r="AD82" i="5"/>
  <c r="AD56" i="5"/>
  <c r="AD61" i="5" s="1"/>
  <c r="AG116" i="2" l="1"/>
  <c r="AG118" i="2" s="1"/>
  <c r="AD138" i="5"/>
  <c r="AD123" i="5"/>
  <c r="AD46" i="5"/>
  <c r="AD37" i="5"/>
  <c r="AE33" i="5" s="1"/>
  <c r="AD126" i="5"/>
  <c r="AD68" i="5"/>
  <c r="AD141" i="5"/>
  <c r="AD100" i="5"/>
  <c r="AD57" i="5" l="1"/>
  <c r="AD47" i="5"/>
  <c r="AE42" i="5" s="1"/>
  <c r="AD83" i="5"/>
  <c r="AE34" i="5"/>
  <c r="AE35" i="5" s="1"/>
  <c r="AD101" i="5" l="1"/>
  <c r="AD69" i="5"/>
  <c r="AE43" i="5"/>
  <c r="AE139" i="5"/>
  <c r="AE39" i="5"/>
  <c r="AE44" i="5"/>
  <c r="AE54" i="5" s="1"/>
  <c r="AE66" i="5" s="1"/>
  <c r="AE124" i="5"/>
  <c r="AG171" i="2"/>
  <c r="AH160" i="2" l="1"/>
  <c r="AE45" i="5"/>
  <c r="AE49" i="5" s="1"/>
  <c r="AE152" i="5" s="1"/>
  <c r="AH167" i="2"/>
  <c r="AH168" i="2" s="1"/>
  <c r="AG206" i="2"/>
  <c r="AG205" i="2"/>
  <c r="AG127" i="2" s="1"/>
  <c r="AG128" i="2" s="1"/>
  <c r="AH126" i="2" s="1"/>
  <c r="AD85" i="5"/>
  <c r="AD104" i="5" s="1"/>
  <c r="AD70" i="5"/>
  <c r="AD73" i="5" s="1"/>
  <c r="AE81" i="5"/>
  <c r="AE125" i="5" l="1"/>
  <c r="AE140" i="5"/>
  <c r="AE55" i="5"/>
  <c r="AE67" i="5" s="1"/>
  <c r="AE82" i="5" s="1"/>
  <c r="AE100" i="5" s="1"/>
  <c r="AE99" i="5"/>
  <c r="AG208" i="2"/>
  <c r="AG130" i="2" s="1"/>
  <c r="AE26" i="5"/>
  <c r="AE28" i="5"/>
  <c r="AD127" i="5"/>
  <c r="AD142" i="5"/>
  <c r="AD86" i="5"/>
  <c r="AD105" i="5" s="1"/>
  <c r="AD58" i="5"/>
  <c r="AD59" i="5" s="1"/>
  <c r="AE52" i="5" s="1"/>
  <c r="AD76" i="5"/>
  <c r="AD71" i="5"/>
  <c r="AE64" i="5" s="1"/>
  <c r="AH183" i="2"/>
  <c r="AH169" i="2"/>
  <c r="AH195" i="2" l="1"/>
  <c r="AH196" i="2" s="1"/>
  <c r="AH187" i="2"/>
  <c r="AH102" i="2"/>
  <c r="AH103" i="2" s="1"/>
  <c r="AH115" i="2" s="1"/>
  <c r="AE53" i="5"/>
  <c r="AE65" i="5" s="1"/>
  <c r="AE36" i="5"/>
  <c r="AE29" i="5"/>
  <c r="AH116" i="2" l="1"/>
  <c r="AH118" i="2" s="1"/>
  <c r="AE56" i="5"/>
  <c r="AE126" i="5" s="1"/>
  <c r="AE123" i="5"/>
  <c r="AE138" i="5"/>
  <c r="AE46" i="5"/>
  <c r="AE37" i="5"/>
  <c r="AF33" i="5" s="1"/>
  <c r="AE61" i="5" l="1"/>
  <c r="AE141" i="5"/>
  <c r="AE68" i="5"/>
  <c r="AE83" i="5" s="1"/>
  <c r="AF34" i="5"/>
  <c r="AF35" i="5" s="1"/>
  <c r="AE57" i="5"/>
  <c r="AE47" i="5"/>
  <c r="AF42" i="5" s="1"/>
  <c r="AE101" i="5" l="1"/>
  <c r="AE69" i="5"/>
  <c r="AF43" i="5"/>
  <c r="AH171" i="2"/>
  <c r="AF39" i="5"/>
  <c r="AF124" i="5"/>
  <c r="AF44" i="5"/>
  <c r="AF54" i="5" s="1"/>
  <c r="AF66" i="5" s="1"/>
  <c r="AF139" i="5"/>
  <c r="AI160" i="2" l="1"/>
  <c r="AF81" i="5"/>
  <c r="AE85" i="5"/>
  <c r="AE104" i="5" s="1"/>
  <c r="AE70" i="5"/>
  <c r="AF45" i="5"/>
  <c r="AH205" i="2"/>
  <c r="AH127" i="2" s="1"/>
  <c r="AH128" i="2" s="1"/>
  <c r="AI126" i="2" s="1"/>
  <c r="AH206" i="2"/>
  <c r="AI167" i="2"/>
  <c r="AI168" i="2" s="1"/>
  <c r="AF28" i="5" l="1"/>
  <c r="AH208" i="2"/>
  <c r="AH130" i="2" s="1"/>
  <c r="AF26" i="5"/>
  <c r="AF49" i="5"/>
  <c r="AF152" i="5" s="1"/>
  <c r="AF140" i="5"/>
  <c r="AF125" i="5"/>
  <c r="AF55" i="5"/>
  <c r="AF67" i="5" s="1"/>
  <c r="AE86" i="5"/>
  <c r="AE105" i="5" s="1"/>
  <c r="AE127" i="5"/>
  <c r="AE142" i="5"/>
  <c r="AE58" i="5"/>
  <c r="AE59" i="5" s="1"/>
  <c r="AF52" i="5" s="1"/>
  <c r="AE76" i="5"/>
  <c r="AI169" i="2"/>
  <c r="AI183" i="2"/>
  <c r="AF99" i="5"/>
  <c r="AE73" i="5"/>
  <c r="AE71" i="5"/>
  <c r="AF64" i="5" s="1"/>
  <c r="AI195" i="2" l="1"/>
  <c r="AI196" i="2" s="1"/>
  <c r="AI187" i="2"/>
  <c r="AI102" i="2"/>
  <c r="AI103" i="2" s="1"/>
  <c r="AI115" i="2" s="1"/>
  <c r="AF82" i="5"/>
  <c r="AF36" i="5"/>
  <c r="AF29" i="5"/>
  <c r="AF53" i="5"/>
  <c r="AF65" i="5" s="1"/>
  <c r="AI116" i="2" l="1"/>
  <c r="AI118" i="2" s="1"/>
  <c r="AF100" i="5"/>
  <c r="AF56" i="5"/>
  <c r="AF123" i="5"/>
  <c r="AF138" i="5"/>
  <c r="AF46" i="5"/>
  <c r="AF37" i="5"/>
  <c r="AG33" i="5" s="1"/>
  <c r="AF126" i="5" l="1"/>
  <c r="AF68" i="5"/>
  <c r="AF141" i="5"/>
  <c r="AF61" i="5"/>
  <c r="AG34" i="5"/>
  <c r="AG35" i="5" s="1"/>
  <c r="AF57" i="5"/>
  <c r="AF69" i="5" s="1"/>
  <c r="AF47" i="5"/>
  <c r="AG42" i="5" s="1"/>
  <c r="AG43" i="5" l="1"/>
  <c r="AI171" i="2"/>
  <c r="AG39" i="5"/>
  <c r="AG44" i="5"/>
  <c r="AG54" i="5" s="1"/>
  <c r="AG66" i="5" s="1"/>
  <c r="AG139" i="5"/>
  <c r="AG124" i="5"/>
  <c r="AF83" i="5"/>
  <c r="AF85" i="5"/>
  <c r="AF104" i="5" s="1"/>
  <c r="AF70" i="5"/>
  <c r="AJ160" i="2" l="1"/>
  <c r="AG45" i="5"/>
  <c r="AG49" i="5" s="1"/>
  <c r="AG152" i="5" s="1"/>
  <c r="AG81" i="5"/>
  <c r="AF86" i="5"/>
  <c r="AF105" i="5" s="1"/>
  <c r="AF127" i="5"/>
  <c r="AF142" i="5"/>
  <c r="AF58" i="5"/>
  <c r="AF59" i="5" s="1"/>
  <c r="AG52" i="5" s="1"/>
  <c r="AF71" i="5"/>
  <c r="AG64" i="5" s="1"/>
  <c r="AI205" i="2"/>
  <c r="AI127" i="2" s="1"/>
  <c r="AI128" i="2" s="1"/>
  <c r="AJ126" i="2" s="1"/>
  <c r="AI206" i="2"/>
  <c r="AF73" i="5"/>
  <c r="AF101" i="5"/>
  <c r="AF76" i="5"/>
  <c r="AG125" i="5" l="1"/>
  <c r="AG140" i="5"/>
  <c r="AG55" i="5"/>
  <c r="AG67" i="5" s="1"/>
  <c r="AG82" i="5" s="1"/>
  <c r="AG100" i="5" s="1"/>
  <c r="AG28" i="5"/>
  <c r="AG26" i="5"/>
  <c r="AI208" i="2"/>
  <c r="AI130" i="2" s="1"/>
  <c r="AJ167" i="2"/>
  <c r="AJ168" i="2" s="1"/>
  <c r="AG99" i="5"/>
  <c r="AG53" i="5"/>
  <c r="AG65" i="5" s="1"/>
  <c r="AJ169" i="2" l="1"/>
  <c r="AJ183" i="2"/>
  <c r="AG36" i="5"/>
  <c r="AG29" i="5"/>
  <c r="AG56" i="5"/>
  <c r="AJ195" i="2" l="1"/>
  <c r="AJ196" i="2" s="1"/>
  <c r="AJ187" i="2"/>
  <c r="AG68" i="5"/>
  <c r="AG126" i="5"/>
  <c r="AG141" i="5"/>
  <c r="AG61" i="5"/>
  <c r="AG138" i="5"/>
  <c r="AG123" i="5"/>
  <c r="AG46" i="5"/>
  <c r="AG37" i="5"/>
  <c r="AH33" i="5" s="1"/>
  <c r="AJ102" i="2"/>
  <c r="AG83" i="5" l="1"/>
  <c r="AJ103" i="2"/>
  <c r="AH34" i="5"/>
  <c r="AH35" i="5" s="1"/>
  <c r="AG57" i="5"/>
  <c r="AG47" i="5"/>
  <c r="AH42" i="5" s="1"/>
  <c r="AJ115" i="2" l="1"/>
  <c r="AJ116" i="2"/>
  <c r="AH43" i="5"/>
  <c r="AG101" i="5"/>
  <c r="AG69" i="5"/>
  <c r="AH39" i="5"/>
  <c r="AH124" i="5"/>
  <c r="AH44" i="5"/>
  <c r="AH54" i="5" s="1"/>
  <c r="AH66" i="5" s="1"/>
  <c r="AH139" i="5"/>
  <c r="AH81" i="5" l="1"/>
  <c r="AH45" i="5"/>
  <c r="AJ118" i="2"/>
  <c r="AG85" i="5"/>
  <c r="AG104" i="5" s="1"/>
  <c r="AG70" i="5"/>
  <c r="AG73" i="5" s="1"/>
  <c r="AH49" i="5" l="1"/>
  <c r="AH152" i="5" s="1"/>
  <c r="AH55" i="5"/>
  <c r="AH67" i="5" s="1"/>
  <c r="AH140" i="5"/>
  <c r="AH125" i="5"/>
  <c r="AG71" i="5"/>
  <c r="AH64" i="5" s="1"/>
  <c r="AH99" i="5"/>
  <c r="AG58" i="5"/>
  <c r="AG59" i="5" s="1"/>
  <c r="AH52" i="5" s="1"/>
  <c r="AG127" i="5"/>
  <c r="AG142" i="5"/>
  <c r="AG86" i="5"/>
  <c r="AG105" i="5" s="1"/>
  <c r="AG76" i="5"/>
  <c r="AH53" i="5" l="1"/>
  <c r="AH65" i="5" s="1"/>
  <c r="AJ171" i="2"/>
  <c r="AH82" i="5"/>
  <c r="AH100" i="5" l="1"/>
  <c r="AJ205" i="2"/>
  <c r="AJ206" i="2"/>
  <c r="AK160" i="2"/>
  <c r="AJ127" i="2" l="1"/>
  <c r="AJ128" i="2" s="1"/>
  <c r="AK126" i="2" s="1"/>
  <c r="AK128" i="2" s="1"/>
  <c r="AL126" i="2" s="1"/>
  <c r="AL128" i="2" s="1"/>
  <c r="AM126" i="2" s="1"/>
  <c r="AM128" i="2" s="1"/>
  <c r="AN126" i="2" s="1"/>
  <c r="AN128" i="2" s="1"/>
  <c r="AO126" i="2" s="1"/>
  <c r="AO128" i="2" s="1"/>
  <c r="AP126" i="2" s="1"/>
  <c r="AP128" i="2" s="1"/>
  <c r="AQ126" i="2" s="1"/>
  <c r="AQ128" i="2" s="1"/>
  <c r="AR126" i="2" s="1"/>
  <c r="AR128" i="2" s="1"/>
  <c r="AS126" i="2" s="1"/>
  <c r="AS128" i="2" s="1"/>
  <c r="AT126" i="2" s="1"/>
  <c r="AT128" i="2" s="1"/>
  <c r="AU126" i="2" s="1"/>
  <c r="AU128" i="2" s="1"/>
  <c r="AV126" i="2" s="1"/>
  <c r="AV128" i="2" s="1"/>
  <c r="AW126" i="2" s="1"/>
  <c r="AW128" i="2" s="1"/>
  <c r="AX126" i="2" s="1"/>
  <c r="AX128" i="2" s="1"/>
  <c r="AY126" i="2" s="1"/>
  <c r="AY128" i="2" s="1"/>
  <c r="AZ126" i="2" s="1"/>
  <c r="AZ128" i="2" s="1"/>
  <c r="BA126" i="2" s="1"/>
  <c r="BA128" i="2" s="1"/>
  <c r="BB126" i="2" s="1"/>
  <c r="BB128" i="2" s="1"/>
  <c r="BC126" i="2" s="1"/>
  <c r="BC128" i="2" s="1"/>
  <c r="BD126" i="2" s="1"/>
  <c r="BD128" i="2" s="1"/>
  <c r="BE126" i="2" s="1"/>
  <c r="BE128" i="2" s="1"/>
  <c r="BF126" i="2" s="1"/>
  <c r="BF128" i="2" s="1"/>
  <c r="BG126" i="2" s="1"/>
  <c r="BG128" i="2" s="1"/>
  <c r="BH126" i="2" s="1"/>
  <c r="BH128" i="2" s="1"/>
  <c r="BI126" i="2" s="1"/>
  <c r="BI128" i="2" s="1"/>
  <c r="BJ126" i="2" s="1"/>
  <c r="BJ128" i="2" s="1"/>
  <c r="BK126" i="2" s="1"/>
  <c r="BK128" i="2" s="1"/>
  <c r="BL126" i="2" s="1"/>
  <c r="BL128" i="2" s="1"/>
  <c r="BM126" i="2" s="1"/>
  <c r="BM128" i="2" s="1"/>
  <c r="BN126" i="2" s="1"/>
  <c r="BN128" i="2" s="1"/>
  <c r="BO126" i="2" s="1"/>
  <c r="BO128" i="2" s="1"/>
  <c r="BP126" i="2" s="1"/>
  <c r="BP128" i="2" s="1"/>
  <c r="BQ126" i="2" s="1"/>
  <c r="BQ128" i="2" s="1"/>
  <c r="BR126" i="2" s="1"/>
  <c r="BR128" i="2" s="1"/>
  <c r="BS126" i="2" s="1"/>
  <c r="BS128" i="2" s="1"/>
  <c r="BT126" i="2" s="1"/>
  <c r="BT128" i="2" s="1"/>
  <c r="BU126" i="2" s="1"/>
  <c r="BU128" i="2" s="1"/>
  <c r="BV126" i="2" s="1"/>
  <c r="BV128" i="2" s="1"/>
  <c r="BW126" i="2" s="1"/>
  <c r="BW128" i="2" s="1"/>
  <c r="BX126" i="2" s="1"/>
  <c r="BX128" i="2" s="1"/>
  <c r="BY126" i="2" s="1"/>
  <c r="BY128" i="2" s="1"/>
  <c r="BZ126" i="2" s="1"/>
  <c r="BZ128" i="2" s="1"/>
  <c r="CA126" i="2" s="1"/>
  <c r="CA128" i="2" s="1"/>
  <c r="CB126" i="2" s="1"/>
  <c r="CB128" i="2" s="1"/>
  <c r="CC126" i="2" s="1"/>
  <c r="CC128" i="2" s="1"/>
  <c r="CD126" i="2" s="1"/>
  <c r="CD128" i="2" s="1"/>
  <c r="CE126" i="2" s="1"/>
  <c r="CE128" i="2" s="1"/>
  <c r="CF126" i="2" s="1"/>
  <c r="CF128" i="2" s="1"/>
  <c r="CG126" i="2" s="1"/>
  <c r="CG128" i="2" s="1"/>
  <c r="CH126" i="2" s="1"/>
  <c r="CH128" i="2" s="1"/>
  <c r="CI126" i="2" s="1"/>
  <c r="CI128" i="2" s="1"/>
  <c r="CJ126" i="2" s="1"/>
  <c r="CJ128" i="2" s="1"/>
  <c r="CK126" i="2" s="1"/>
  <c r="CK128" i="2" s="1"/>
  <c r="CL126" i="2" s="1"/>
  <c r="CL128" i="2" s="1"/>
  <c r="CM126" i="2" s="1"/>
  <c r="CM128" i="2" s="1"/>
  <c r="CN126" i="2" s="1"/>
  <c r="CN128" i="2" s="1"/>
  <c r="CO126" i="2" s="1"/>
  <c r="CO128" i="2" s="1"/>
  <c r="CP126" i="2" s="1"/>
  <c r="CP128" i="2" s="1"/>
  <c r="CQ126" i="2" s="1"/>
  <c r="CQ128" i="2" s="1"/>
  <c r="CR126" i="2" s="1"/>
  <c r="CR128" i="2" s="1"/>
  <c r="CS126" i="2" s="1"/>
  <c r="CS128" i="2" s="1"/>
  <c r="CT126" i="2" s="1"/>
  <c r="CT128" i="2" s="1"/>
  <c r="CU126" i="2" s="1"/>
  <c r="CU128" i="2" s="1"/>
  <c r="CV126" i="2" s="1"/>
  <c r="CV128" i="2" s="1"/>
  <c r="CW126" i="2" s="1"/>
  <c r="CW128" i="2" s="1"/>
  <c r="CX126" i="2" s="1"/>
  <c r="CX128" i="2" s="1"/>
  <c r="CY126" i="2" s="1"/>
  <c r="CY128" i="2" s="1"/>
  <c r="CZ126" i="2" s="1"/>
  <c r="CZ128" i="2" s="1"/>
  <c r="DA126" i="2" s="1"/>
  <c r="DA128" i="2" s="1"/>
  <c r="DB126" i="2" s="1"/>
  <c r="DB128" i="2" s="1"/>
  <c r="DC126" i="2" s="1"/>
  <c r="DC128" i="2" s="1"/>
  <c r="DD126" i="2" s="1"/>
  <c r="DD128" i="2" s="1"/>
  <c r="DE126" i="2" s="1"/>
  <c r="DE128" i="2" s="1"/>
  <c r="DF126" i="2" s="1"/>
  <c r="DF128" i="2" s="1"/>
  <c r="DG126" i="2" s="1"/>
  <c r="DG128" i="2" s="1"/>
  <c r="DH126" i="2" s="1"/>
  <c r="DH128" i="2" s="1"/>
  <c r="DI126" i="2" s="1"/>
  <c r="DI128" i="2" s="1"/>
  <c r="DJ126" i="2" s="1"/>
  <c r="DJ128" i="2" s="1"/>
  <c r="DK126" i="2" s="1"/>
  <c r="DK128" i="2" s="1"/>
  <c r="DL126" i="2" s="1"/>
  <c r="DL128" i="2" s="1"/>
  <c r="DM126" i="2" s="1"/>
  <c r="DM128" i="2" s="1"/>
  <c r="DN126" i="2" s="1"/>
  <c r="DN128" i="2" s="1"/>
  <c r="DO126" i="2" s="1"/>
  <c r="DO128" i="2" s="1"/>
  <c r="DP126" i="2" s="1"/>
  <c r="DP128" i="2" s="1"/>
  <c r="DQ126" i="2" s="1"/>
  <c r="DQ128" i="2" s="1"/>
  <c r="DR126" i="2" s="1"/>
  <c r="DR128" i="2" s="1"/>
  <c r="DS126" i="2" s="1"/>
  <c r="DS128" i="2" s="1"/>
  <c r="DT126" i="2" s="1"/>
  <c r="DT128" i="2" s="1"/>
  <c r="DU126" i="2" s="1"/>
  <c r="DU128" i="2" s="1"/>
  <c r="DV126" i="2" s="1"/>
  <c r="DV128" i="2" s="1"/>
  <c r="DW126" i="2" s="1"/>
  <c r="DW128" i="2" s="1"/>
  <c r="DX126" i="2" s="1"/>
  <c r="DX128" i="2" s="1"/>
  <c r="DY126" i="2" s="1"/>
  <c r="DY128" i="2" s="1"/>
  <c r="DZ126" i="2" s="1"/>
  <c r="DZ128" i="2" s="1"/>
  <c r="EA126" i="2" s="1"/>
  <c r="EA128" i="2" s="1"/>
  <c r="EB126" i="2" s="1"/>
  <c r="EB128" i="2" s="1"/>
  <c r="EC126" i="2" s="1"/>
  <c r="EC128" i="2" s="1"/>
  <c r="ED126" i="2" s="1"/>
  <c r="ED128" i="2" s="1"/>
  <c r="EE126" i="2" s="1"/>
  <c r="EE128" i="2" s="1"/>
  <c r="EF126" i="2" s="1"/>
  <c r="EF128" i="2" s="1"/>
  <c r="EG126" i="2" s="1"/>
  <c r="EG128" i="2" s="1"/>
  <c r="EH126" i="2" s="1"/>
  <c r="EH128" i="2" s="1"/>
  <c r="EI126" i="2" s="1"/>
  <c r="EI128" i="2" s="1"/>
  <c r="EJ126" i="2" s="1"/>
  <c r="EJ128" i="2" s="1"/>
  <c r="EK126" i="2" s="1"/>
  <c r="EK128" i="2" s="1"/>
  <c r="EL126" i="2" s="1"/>
  <c r="EL128" i="2" s="1"/>
  <c r="EM126" i="2" s="1"/>
  <c r="EM128" i="2" s="1"/>
  <c r="EN126" i="2" s="1"/>
  <c r="EN128" i="2" s="1"/>
  <c r="EO126" i="2" s="1"/>
  <c r="EO128" i="2" s="1"/>
  <c r="EP126" i="2" s="1"/>
  <c r="EP128" i="2" s="1"/>
  <c r="EQ126" i="2" s="1"/>
  <c r="EQ128" i="2" s="1"/>
  <c r="ER126" i="2" s="1"/>
  <c r="ER128" i="2" s="1"/>
  <c r="ES126" i="2" s="1"/>
  <c r="ES128" i="2" s="1"/>
  <c r="ET126" i="2" s="1"/>
  <c r="ET128" i="2" s="1"/>
  <c r="EU126" i="2" s="1"/>
  <c r="EU128" i="2" s="1"/>
  <c r="EV126" i="2" s="1"/>
  <c r="EV128" i="2" s="1"/>
  <c r="EW126" i="2" s="1"/>
  <c r="EW128" i="2" s="1"/>
  <c r="EX126" i="2" s="1"/>
  <c r="EX128" i="2" s="1"/>
  <c r="EY126" i="2" s="1"/>
  <c r="EY128" i="2" s="1"/>
  <c r="EZ126" i="2" s="1"/>
  <c r="EZ128" i="2" s="1"/>
  <c r="FA126" i="2" s="1"/>
  <c r="FA128" i="2" s="1"/>
  <c r="FB126" i="2" s="1"/>
  <c r="FB128" i="2" s="1"/>
  <c r="FC126" i="2" s="1"/>
  <c r="FC128" i="2" s="1"/>
  <c r="FD126" i="2" s="1"/>
  <c r="FD128" i="2" s="1"/>
  <c r="FE126" i="2" s="1"/>
  <c r="FE128" i="2" s="1"/>
  <c r="FF126" i="2" s="1"/>
  <c r="FF128" i="2" s="1"/>
  <c r="FG126" i="2" s="1"/>
  <c r="FG128" i="2" s="1"/>
  <c r="FH126" i="2" s="1"/>
  <c r="FH128" i="2" s="1"/>
  <c r="FI126" i="2" s="1"/>
  <c r="FI128" i="2" s="1"/>
  <c r="FJ126" i="2" s="1"/>
  <c r="FJ128" i="2" s="1"/>
  <c r="FK126" i="2" s="1"/>
  <c r="FK128" i="2" s="1"/>
  <c r="FL126" i="2" s="1"/>
  <c r="FL128" i="2" s="1"/>
  <c r="FM126" i="2" s="1"/>
  <c r="FM128" i="2" s="1"/>
  <c r="FN126" i="2" s="1"/>
  <c r="FN128" i="2" s="1"/>
  <c r="FO126" i="2" s="1"/>
  <c r="FO128" i="2" s="1"/>
  <c r="FP126" i="2" s="1"/>
  <c r="FP128" i="2" s="1"/>
  <c r="FQ126" i="2" s="1"/>
  <c r="FQ128" i="2" s="1"/>
  <c r="FR126" i="2" s="1"/>
  <c r="FR128" i="2" s="1"/>
  <c r="FS126" i="2" s="1"/>
  <c r="FS128" i="2" s="1"/>
  <c r="FT126" i="2" s="1"/>
  <c r="FT128" i="2" s="1"/>
  <c r="FU126" i="2" s="1"/>
  <c r="FU128" i="2" s="1"/>
  <c r="FV126" i="2" s="1"/>
  <c r="FV128" i="2" s="1"/>
  <c r="FW126" i="2" s="1"/>
  <c r="FW128" i="2" s="1"/>
  <c r="FX126" i="2" s="1"/>
  <c r="FX128" i="2" s="1"/>
  <c r="FY126" i="2" s="1"/>
  <c r="FY128" i="2" s="1"/>
  <c r="FZ126" i="2" s="1"/>
  <c r="FZ128" i="2" s="1"/>
  <c r="GA126" i="2" s="1"/>
  <c r="GA128" i="2" s="1"/>
  <c r="GB126" i="2" s="1"/>
  <c r="GB128" i="2" s="1"/>
  <c r="GC126" i="2" s="1"/>
  <c r="GC128" i="2" s="1"/>
  <c r="GP126" i="2" s="1"/>
  <c r="GP128" i="2" s="1"/>
  <c r="GQ126" i="2" s="1"/>
  <c r="GQ128" i="2" s="1"/>
  <c r="GR126" i="2" s="1"/>
  <c r="GR128" i="2" s="1"/>
  <c r="GS126" i="2" s="1"/>
  <c r="GS128" i="2" s="1"/>
  <c r="GT126" i="2" s="1"/>
  <c r="GT128" i="2" s="1"/>
  <c r="I205" i="2"/>
  <c r="AH26" i="5"/>
  <c r="AH28" i="5"/>
  <c r="AJ208" i="2"/>
  <c r="AJ130" i="2" s="1"/>
  <c r="AH56" i="5" l="1"/>
  <c r="AH29" i="5"/>
  <c r="AH36" i="5"/>
  <c r="AK167" i="2"/>
  <c r="AK168" i="2" s="1"/>
  <c r="AK183" i="2" l="1"/>
  <c r="AH138" i="5"/>
  <c r="AH123" i="5"/>
  <c r="AH46" i="5"/>
  <c r="AH37" i="5"/>
  <c r="AI33" i="5" s="1"/>
  <c r="AH141" i="5"/>
  <c r="AH68" i="5"/>
  <c r="AH126" i="5"/>
  <c r="AH61" i="5"/>
  <c r="AK195" i="2" l="1"/>
  <c r="AK196" i="2" s="1"/>
  <c r="AK187" i="2"/>
  <c r="AH57" i="5"/>
  <c r="AH47" i="5"/>
  <c r="AI42" i="5" s="1"/>
  <c r="AH83" i="5"/>
  <c r="AK169" i="2"/>
  <c r="AI34" i="5"/>
  <c r="AI35" i="5" s="1"/>
  <c r="AK102" i="2"/>
  <c r="AH101" i="5" l="1"/>
  <c r="AK103" i="2"/>
  <c r="AI43" i="5"/>
  <c r="AI139" i="5"/>
  <c r="AI44" i="5"/>
  <c r="AI54" i="5" s="1"/>
  <c r="AI66" i="5" s="1"/>
  <c r="AI124" i="5"/>
  <c r="AI39" i="5"/>
  <c r="AH69" i="5"/>
  <c r="AH85" i="5" l="1"/>
  <c r="AH104" i="5" s="1"/>
  <c r="AH70" i="5"/>
  <c r="AH73" i="5" s="1"/>
  <c r="AK115" i="2"/>
  <c r="AK116" i="2"/>
  <c r="AI45" i="5"/>
  <c r="AI81" i="5"/>
  <c r="AI49" i="5" l="1"/>
  <c r="AI152" i="5" s="1"/>
  <c r="AI55" i="5"/>
  <c r="AI67" i="5" s="1"/>
  <c r="AI140" i="5"/>
  <c r="AI125" i="5"/>
  <c r="AH71" i="5"/>
  <c r="AI64" i="5" s="1"/>
  <c r="AI99" i="5"/>
  <c r="AH86" i="5"/>
  <c r="AH105" i="5" s="1"/>
  <c r="AH58" i="5"/>
  <c r="AH59" i="5" s="1"/>
  <c r="AI52" i="5" s="1"/>
  <c r="AH142" i="5"/>
  <c r="AH127" i="5"/>
  <c r="AH76" i="5"/>
  <c r="AK118" i="2"/>
  <c r="AI82" i="5" l="1"/>
  <c r="AI53" i="5"/>
  <c r="AI65" i="5" s="1"/>
  <c r="AI100" i="5" l="1"/>
  <c r="AK171" i="2" l="1"/>
  <c r="AL160" i="2" l="1"/>
  <c r="AK206" i="2"/>
  <c r="AI28" i="5" l="1"/>
  <c r="AI26" i="5"/>
  <c r="AK208" i="2"/>
  <c r="AK130" i="2" s="1"/>
  <c r="AL167" i="2" l="1"/>
  <c r="AL168" i="2" s="1"/>
  <c r="AI36" i="5"/>
  <c r="AI29" i="5"/>
  <c r="AI56" i="5"/>
  <c r="AI126" i="5" l="1"/>
  <c r="AI68" i="5"/>
  <c r="AI141" i="5"/>
  <c r="AI61" i="5"/>
  <c r="AI123" i="5"/>
  <c r="AI138" i="5"/>
  <c r="AI46" i="5"/>
  <c r="AI37" i="5"/>
  <c r="AJ33" i="5" s="1"/>
  <c r="AL183" i="2"/>
  <c r="AL195" i="2" l="1"/>
  <c r="AL196" i="2" s="1"/>
  <c r="AL187" i="2"/>
  <c r="AL169" i="2"/>
  <c r="AI83" i="5"/>
  <c r="AI57" i="5"/>
  <c r="AI47" i="5"/>
  <c r="AJ42" i="5" s="1"/>
  <c r="AL102" i="2"/>
  <c r="AJ34" i="5"/>
  <c r="AJ35" i="5" s="1"/>
  <c r="AJ44" i="5" l="1"/>
  <c r="AJ54" i="5" s="1"/>
  <c r="AJ66" i="5" s="1"/>
  <c r="AJ124" i="5"/>
  <c r="AJ139" i="5"/>
  <c r="AJ39" i="5"/>
  <c r="AI101" i="5"/>
  <c r="AL103" i="2"/>
  <c r="AJ43" i="5"/>
  <c r="AI69" i="5"/>
  <c r="AJ45" i="5" l="1"/>
  <c r="AJ49" i="5" s="1"/>
  <c r="AJ152" i="5" s="1"/>
  <c r="AL116" i="2"/>
  <c r="AL115" i="2"/>
  <c r="AJ81" i="5"/>
  <c r="AI85" i="5"/>
  <c r="AI104" i="5" s="1"/>
  <c r="AI70" i="5"/>
  <c r="AI73" i="5" s="1"/>
  <c r="AJ125" i="5" l="1"/>
  <c r="AJ55" i="5"/>
  <c r="AJ67" i="5" s="1"/>
  <c r="AJ82" i="5" s="1"/>
  <c r="AJ100" i="5" s="1"/>
  <c r="AJ140" i="5"/>
  <c r="AI71" i="5"/>
  <c r="AJ64" i="5" s="1"/>
  <c r="AJ99" i="5"/>
  <c r="AL118" i="2"/>
  <c r="AI58" i="5"/>
  <c r="AI59" i="5" s="1"/>
  <c r="AJ52" i="5" s="1"/>
  <c r="AI127" i="5"/>
  <c r="AI142" i="5"/>
  <c r="AI86" i="5"/>
  <c r="AI105" i="5" s="1"/>
  <c r="AI76" i="5"/>
  <c r="AJ53" i="5" l="1"/>
  <c r="AJ65" i="5" s="1"/>
  <c r="AL171" i="2" l="1"/>
  <c r="AM160" i="2" l="1"/>
  <c r="AL206" i="2"/>
  <c r="AL208" i="2" l="1"/>
  <c r="AL130" i="2" s="1"/>
  <c r="AJ28" i="5"/>
  <c r="AJ26" i="5"/>
  <c r="AM167" i="2" l="1"/>
  <c r="AM168" i="2" s="1"/>
  <c r="AJ56" i="5"/>
  <c r="AJ36" i="5"/>
  <c r="AJ29" i="5"/>
  <c r="AJ141" i="5" l="1"/>
  <c r="AJ68" i="5"/>
  <c r="AJ126" i="5"/>
  <c r="AJ123" i="5"/>
  <c r="AJ138" i="5"/>
  <c r="AJ46" i="5"/>
  <c r="AJ37" i="5"/>
  <c r="AK33" i="5" s="1"/>
  <c r="AJ61" i="5"/>
  <c r="AM183" i="2"/>
  <c r="AM169" i="2"/>
  <c r="AM195" i="2" l="1"/>
  <c r="AM196" i="2" s="1"/>
  <c r="AM187" i="2"/>
  <c r="AK34" i="5"/>
  <c r="AK35" i="5" s="1"/>
  <c r="AJ57" i="5"/>
  <c r="AJ47" i="5"/>
  <c r="AK42" i="5" s="1"/>
  <c r="AM102" i="2"/>
  <c r="AJ83" i="5"/>
  <c r="AJ69" i="5" l="1"/>
  <c r="AK43" i="5"/>
  <c r="AK44" i="5"/>
  <c r="AK54" i="5" s="1"/>
  <c r="AK66" i="5" s="1"/>
  <c r="AK139" i="5"/>
  <c r="AK124" i="5"/>
  <c r="AK39" i="5"/>
  <c r="AM103" i="2"/>
  <c r="AJ101" i="5"/>
  <c r="AM115" i="2" l="1"/>
  <c r="AM116" i="2"/>
  <c r="AK81" i="5"/>
  <c r="AK45" i="5"/>
  <c r="AJ85" i="5"/>
  <c r="AJ104" i="5" s="1"/>
  <c r="AJ70" i="5"/>
  <c r="AK49" i="5" l="1"/>
  <c r="AK152" i="5" s="1"/>
  <c r="AK55" i="5"/>
  <c r="AK67" i="5" s="1"/>
  <c r="AK140" i="5"/>
  <c r="AK125" i="5"/>
  <c r="AJ86" i="5"/>
  <c r="AJ105" i="5" s="1"/>
  <c r="AJ127" i="5"/>
  <c r="AJ58" i="5"/>
  <c r="AJ59" i="5" s="1"/>
  <c r="AK52" i="5" s="1"/>
  <c r="AJ142" i="5"/>
  <c r="AJ71" i="5"/>
  <c r="AK64" i="5" s="1"/>
  <c r="AJ76" i="5"/>
  <c r="AJ73" i="5"/>
  <c r="AK99" i="5"/>
  <c r="AM118" i="2"/>
  <c r="AK53" i="5" l="1"/>
  <c r="AK65" i="5" s="1"/>
  <c r="AK82" i="5"/>
  <c r="AM171" i="2" l="1"/>
  <c r="AK100" i="5"/>
  <c r="AN160" i="2" l="1"/>
  <c r="AM206" i="2"/>
  <c r="AK26" i="5" l="1"/>
  <c r="AM208" i="2"/>
  <c r="AM130" i="2" s="1"/>
  <c r="AK28" i="5"/>
  <c r="AN167" i="2" l="1"/>
  <c r="AN168" i="2" s="1"/>
  <c r="AK56" i="5"/>
  <c r="AK36" i="5"/>
  <c r="AK29" i="5"/>
  <c r="AK138" i="5" l="1"/>
  <c r="AK123" i="5"/>
  <c r="AK46" i="5"/>
  <c r="AK37" i="5"/>
  <c r="AL33" i="5" s="1"/>
  <c r="AK141" i="5"/>
  <c r="AK68" i="5"/>
  <c r="AK126" i="5"/>
  <c r="AK61" i="5"/>
  <c r="AN183" i="2"/>
  <c r="AN169" i="2"/>
  <c r="AN195" i="2" l="1"/>
  <c r="AN196" i="2" s="1"/>
  <c r="AN187" i="2"/>
  <c r="AN102" i="2"/>
  <c r="AL34" i="5"/>
  <c r="AL35" i="5" s="1"/>
  <c r="AK83" i="5"/>
  <c r="AK57" i="5"/>
  <c r="AK47" i="5"/>
  <c r="AL42" i="5" s="1"/>
  <c r="AL43" i="5" l="1"/>
  <c r="AK69" i="5"/>
  <c r="AL39" i="5"/>
  <c r="AL44" i="5"/>
  <c r="AL54" i="5" s="1"/>
  <c r="AL66" i="5" s="1"/>
  <c r="AL124" i="5"/>
  <c r="AL139" i="5"/>
  <c r="AN103" i="2"/>
  <c r="AK101" i="5"/>
  <c r="AL45" i="5" l="1"/>
  <c r="AL49" i="5" s="1"/>
  <c r="AL152" i="5" s="1"/>
  <c r="AN116" i="2"/>
  <c r="AN115" i="2"/>
  <c r="AK85" i="5"/>
  <c r="AK104" i="5" s="1"/>
  <c r="AK70" i="5"/>
  <c r="AL81" i="5"/>
  <c r="AL140" i="5" l="1"/>
  <c r="AL55" i="5"/>
  <c r="AL67" i="5" s="1"/>
  <c r="AL82" i="5" s="1"/>
  <c r="AL100" i="5" s="1"/>
  <c r="AL125" i="5"/>
  <c r="AK86" i="5"/>
  <c r="AK105" i="5" s="1"/>
  <c r="AK58" i="5"/>
  <c r="AK59" i="5" s="1"/>
  <c r="AL52" i="5" s="1"/>
  <c r="AK142" i="5"/>
  <c r="AK127" i="5"/>
  <c r="AK71" i="5"/>
  <c r="AL64" i="5" s="1"/>
  <c r="AK76" i="5"/>
  <c r="AL99" i="5"/>
  <c r="AN118" i="2"/>
  <c r="AK73" i="5"/>
  <c r="AL53" i="5" l="1"/>
  <c r="AL65" i="5" s="1"/>
  <c r="AN171" i="2" l="1"/>
  <c r="AO160" i="2" l="1"/>
  <c r="AN206" i="2"/>
  <c r="AL26" i="5" l="1"/>
  <c r="AN208" i="2"/>
  <c r="AN130" i="2" s="1"/>
  <c r="AL28" i="5"/>
  <c r="AO167" i="2"/>
  <c r="AO168" i="2" s="1"/>
  <c r="AO183" i="2" l="1"/>
  <c r="AO169" i="2"/>
  <c r="AL56" i="5"/>
  <c r="AL29" i="5"/>
  <c r="AL36" i="5"/>
  <c r="AO195" i="2" l="1"/>
  <c r="AO196" i="2" s="1"/>
  <c r="AO187" i="2"/>
  <c r="AO102" i="2"/>
  <c r="AO103" i="2" s="1"/>
  <c r="AO116" i="2" s="1"/>
  <c r="AO118" i="2" s="1"/>
  <c r="AL126" i="5"/>
  <c r="AL68" i="5"/>
  <c r="AL141" i="5"/>
  <c r="AL138" i="5"/>
  <c r="AL123" i="5"/>
  <c r="AL46" i="5"/>
  <c r="AL37" i="5"/>
  <c r="AM33" i="5" s="1"/>
  <c r="AL61" i="5"/>
  <c r="AO115" i="2" l="1"/>
  <c r="AL83" i="5"/>
  <c r="AM34" i="5"/>
  <c r="AM35" i="5" s="1"/>
  <c r="AL57" i="5"/>
  <c r="AL47" i="5"/>
  <c r="AM42" i="5" s="1"/>
  <c r="AL69" i="5" l="1"/>
  <c r="AM139" i="5"/>
  <c r="AM39" i="5"/>
  <c r="AM124" i="5"/>
  <c r="AM44" i="5"/>
  <c r="AM54" i="5" s="1"/>
  <c r="AM66" i="5" s="1"/>
  <c r="AL101" i="5"/>
  <c r="AM43" i="5"/>
  <c r="AM45" i="5" l="1"/>
  <c r="AM49" i="5" s="1"/>
  <c r="AM152" i="5" s="1"/>
  <c r="AO171" i="2"/>
  <c r="AM81" i="5"/>
  <c r="AL85" i="5"/>
  <c r="AL104" i="5" s="1"/>
  <c r="AL70" i="5"/>
  <c r="AL73" i="5" s="1"/>
  <c r="AP160" i="2" l="1"/>
  <c r="AM140" i="5"/>
  <c r="AM55" i="5"/>
  <c r="AM67" i="5" s="1"/>
  <c r="AM82" i="5" s="1"/>
  <c r="AM100" i="5" s="1"/>
  <c r="AM125" i="5"/>
  <c r="AL142" i="5"/>
  <c r="AL127" i="5"/>
  <c r="AL86" i="5"/>
  <c r="AL105" i="5" s="1"/>
  <c r="AL58" i="5"/>
  <c r="AL59" i="5" s="1"/>
  <c r="AM52" i="5" s="1"/>
  <c r="AL71" i="5"/>
  <c r="AM64" i="5" s="1"/>
  <c r="AL76" i="5"/>
  <c r="AM99" i="5"/>
  <c r="AO206" i="2"/>
  <c r="AP167" i="2"/>
  <c r="AP168" i="2" s="1"/>
  <c r="AM26" i="5" l="1"/>
  <c r="AO208" i="2"/>
  <c r="AO130" i="2" s="1"/>
  <c r="AM28" i="5"/>
  <c r="AP169" i="2"/>
  <c r="AP183" i="2"/>
  <c r="AM53" i="5"/>
  <c r="AM65" i="5" s="1"/>
  <c r="AP195" i="2" l="1"/>
  <c r="AP196" i="2" s="1"/>
  <c r="AP187" i="2"/>
  <c r="AP102" i="2"/>
  <c r="AP103" i="2" s="1"/>
  <c r="AP115" i="2" s="1"/>
  <c r="AM56" i="5"/>
  <c r="AM61" i="5" s="1"/>
  <c r="AM29" i="5"/>
  <c r="AM36" i="5"/>
  <c r="AP116" i="2" l="1"/>
  <c r="AP118" i="2" s="1"/>
  <c r="AM141" i="5"/>
  <c r="AM68" i="5"/>
  <c r="AM126" i="5"/>
  <c r="AM123" i="5"/>
  <c r="AM138" i="5"/>
  <c r="AM46" i="5"/>
  <c r="AM37" i="5"/>
  <c r="AN33" i="5" s="1"/>
  <c r="AM57" i="5" l="1"/>
  <c r="AM47" i="5"/>
  <c r="AN42" i="5" s="1"/>
  <c r="AN34" i="5"/>
  <c r="AN35" i="5" s="1"/>
  <c r="AM83" i="5"/>
  <c r="AM101" i="5" l="1"/>
  <c r="AM69" i="5"/>
  <c r="AN139" i="5"/>
  <c r="AN44" i="5"/>
  <c r="AN54" i="5" s="1"/>
  <c r="AN66" i="5" s="1"/>
  <c r="AN124" i="5"/>
  <c r="AN39" i="5"/>
  <c r="AN43" i="5"/>
  <c r="AP171" i="2"/>
  <c r="AQ160" i="2" l="1"/>
  <c r="AN45" i="5"/>
  <c r="AN49" i="5" s="1"/>
  <c r="AN152" i="5" s="1"/>
  <c r="AP206" i="2"/>
  <c r="AQ167" i="2"/>
  <c r="AQ168" i="2" s="1"/>
  <c r="AM85" i="5"/>
  <c r="AM104" i="5" s="1"/>
  <c r="AM70" i="5"/>
  <c r="AM71" i="5" s="1"/>
  <c r="AN64" i="5" s="1"/>
  <c r="AN81" i="5"/>
  <c r="AN140" i="5" l="1"/>
  <c r="AM73" i="5"/>
  <c r="AN55" i="5"/>
  <c r="AN67" i="5" s="1"/>
  <c r="AN82" i="5" s="1"/>
  <c r="AN100" i="5" s="1"/>
  <c r="AN125" i="5"/>
  <c r="AN99" i="5"/>
  <c r="AP208" i="2"/>
  <c r="AP130" i="2" s="1"/>
  <c r="AN26" i="5"/>
  <c r="AN28" i="5"/>
  <c r="AM142" i="5"/>
  <c r="AM127" i="5"/>
  <c r="AM86" i="5"/>
  <c r="AM105" i="5" s="1"/>
  <c r="AM58" i="5"/>
  <c r="AM59" i="5" s="1"/>
  <c r="AN52" i="5" s="1"/>
  <c r="AM76" i="5"/>
  <c r="AQ169" i="2"/>
  <c r="AQ183" i="2"/>
  <c r="AQ195" i="2" l="1"/>
  <c r="AQ196" i="2" s="1"/>
  <c r="AQ187" i="2"/>
  <c r="AQ102" i="2"/>
  <c r="AQ103" i="2" s="1"/>
  <c r="AQ115" i="2" s="1"/>
  <c r="AN36" i="5"/>
  <c r="AN29" i="5"/>
  <c r="AN53" i="5"/>
  <c r="AN65" i="5" s="1"/>
  <c r="AQ116" i="2" l="1"/>
  <c r="AQ118" i="2" s="1"/>
  <c r="AN123" i="5"/>
  <c r="AN138" i="5"/>
  <c r="AN46" i="5"/>
  <c r="AN37" i="5"/>
  <c r="AO33" i="5" s="1"/>
  <c r="AN56" i="5"/>
  <c r="AN68" i="5" l="1"/>
  <c r="AN126" i="5"/>
  <c r="AN141" i="5"/>
  <c r="AN61" i="5"/>
  <c r="AO34" i="5"/>
  <c r="AO35" i="5" s="1"/>
  <c r="AN57" i="5"/>
  <c r="AN69" i="5" s="1"/>
  <c r="AN47" i="5"/>
  <c r="AO42" i="5" s="1"/>
  <c r="AN85" i="5" l="1"/>
  <c r="AN104" i="5" s="1"/>
  <c r="AN70" i="5"/>
  <c r="AN73" i="5" s="1"/>
  <c r="AO43" i="5"/>
  <c r="AN83" i="5"/>
  <c r="AQ171" i="2"/>
  <c r="AO139" i="5"/>
  <c r="AO39" i="5"/>
  <c r="AO44" i="5"/>
  <c r="AO54" i="5" s="1"/>
  <c r="AO66" i="5" s="1"/>
  <c r="AO124" i="5"/>
  <c r="AR160" i="2" l="1"/>
  <c r="AN71" i="5"/>
  <c r="AO64" i="5" s="1"/>
  <c r="AN76" i="5"/>
  <c r="AN101" i="5"/>
  <c r="AR167" i="2"/>
  <c r="AR168" i="2" s="1"/>
  <c r="AO81" i="5"/>
  <c r="AQ206" i="2"/>
  <c r="AN58" i="5"/>
  <c r="AN59" i="5" s="1"/>
  <c r="AO52" i="5" s="1"/>
  <c r="AN127" i="5"/>
  <c r="AN86" i="5"/>
  <c r="AN105" i="5" s="1"/>
  <c r="AN142" i="5"/>
  <c r="AO45" i="5"/>
  <c r="AO53" i="5" l="1"/>
  <c r="AO65" i="5" s="1"/>
  <c r="AO26" i="5"/>
  <c r="AQ208" i="2"/>
  <c r="AQ130" i="2" s="1"/>
  <c r="AO28" i="5"/>
  <c r="AR183" i="2"/>
  <c r="AR169" i="2"/>
  <c r="AO49" i="5"/>
  <c r="AO152" i="5" s="1"/>
  <c r="AO125" i="5"/>
  <c r="AO140" i="5"/>
  <c r="AO55" i="5"/>
  <c r="AO67" i="5" s="1"/>
  <c r="AO99" i="5"/>
  <c r="AR195" i="2" l="1"/>
  <c r="AR196" i="2" s="1"/>
  <c r="AR187" i="2"/>
  <c r="AR102" i="2"/>
  <c r="AR103" i="2" s="1"/>
  <c r="AR116" i="2" s="1"/>
  <c r="AR118" i="2" s="1"/>
  <c r="AO56" i="5"/>
  <c r="AO36" i="5"/>
  <c r="AO29" i="5"/>
  <c r="AO82" i="5"/>
  <c r="AR115" i="2" l="1"/>
  <c r="AO138" i="5"/>
  <c r="AO123" i="5"/>
  <c r="AO46" i="5"/>
  <c r="AO37" i="5"/>
  <c r="AP33" i="5" s="1"/>
  <c r="AO126" i="5"/>
  <c r="AO68" i="5"/>
  <c r="AO141" i="5"/>
  <c r="AO100" i="5"/>
  <c r="AO61" i="5"/>
  <c r="AP34" i="5" l="1"/>
  <c r="AP35" i="5" s="1"/>
  <c r="AO57" i="5"/>
  <c r="AO47" i="5"/>
  <c r="AP42" i="5" s="1"/>
  <c r="AO83" i="5"/>
  <c r="AR171" i="2" l="1"/>
  <c r="AP43" i="5"/>
  <c r="AO69" i="5"/>
  <c r="AO101" i="5"/>
  <c r="AR206" i="2"/>
  <c r="AP139" i="5"/>
  <c r="AP44" i="5"/>
  <c r="AP54" i="5" s="1"/>
  <c r="AP66" i="5" s="1"/>
  <c r="AP124" i="5"/>
  <c r="AP39" i="5"/>
  <c r="AS160" i="2" l="1"/>
  <c r="AS167" i="2" s="1"/>
  <c r="AS168" i="2" s="1"/>
  <c r="AS169" i="2" s="1"/>
  <c r="AP45" i="5"/>
  <c r="AP49" i="5" s="1"/>
  <c r="AP152" i="5" s="1"/>
  <c r="AP26" i="5"/>
  <c r="AP28" i="5"/>
  <c r="AR208" i="2"/>
  <c r="AR130" i="2" s="1"/>
  <c r="AS183" i="2"/>
  <c r="AP81" i="5"/>
  <c r="AO85" i="5"/>
  <c r="AO104" i="5" s="1"/>
  <c r="AO70" i="5"/>
  <c r="AO73" i="5" s="1"/>
  <c r="AS195" i="2" l="1"/>
  <c r="AS196" i="2" s="1"/>
  <c r="AS187" i="2"/>
  <c r="AS102" i="2"/>
  <c r="AS103" i="2" s="1"/>
  <c r="AS115" i="2" s="1"/>
  <c r="AP125" i="5"/>
  <c r="AP55" i="5"/>
  <c r="AP67" i="5" s="1"/>
  <c r="AP82" i="5" s="1"/>
  <c r="AP100" i="5" s="1"/>
  <c r="AP140" i="5"/>
  <c r="AP99" i="5"/>
  <c r="AO142" i="5"/>
  <c r="AO58" i="5"/>
  <c r="AO59" i="5" s="1"/>
  <c r="AP52" i="5" s="1"/>
  <c r="AO127" i="5"/>
  <c r="AO86" i="5"/>
  <c r="AO105" i="5" s="1"/>
  <c r="AO76" i="5"/>
  <c r="AO71" i="5"/>
  <c r="AP64" i="5" s="1"/>
  <c r="AP36" i="5"/>
  <c r="AP29" i="5"/>
  <c r="AS116" i="2" l="1"/>
  <c r="AS118" i="2" s="1"/>
  <c r="AP53" i="5"/>
  <c r="AP138" i="5"/>
  <c r="AP123" i="5"/>
  <c r="AP46" i="5"/>
  <c r="AP37" i="5"/>
  <c r="AQ33" i="5" s="1"/>
  <c r="AP57" i="5" l="1"/>
  <c r="AP69" i="5" s="1"/>
  <c r="AP47" i="5"/>
  <c r="AQ42" i="5" s="1"/>
  <c r="AP65" i="5"/>
  <c r="AP56" i="5"/>
  <c r="AQ34" i="5"/>
  <c r="AQ35" i="5" s="1"/>
  <c r="AQ124" i="5" l="1"/>
  <c r="AQ44" i="5"/>
  <c r="AQ54" i="5" s="1"/>
  <c r="AQ66" i="5" s="1"/>
  <c r="AQ39" i="5"/>
  <c r="AQ139" i="5"/>
  <c r="AQ43" i="5"/>
  <c r="AP85" i="5"/>
  <c r="AP104" i="5" s="1"/>
  <c r="AP68" i="5"/>
  <c r="AP126" i="5"/>
  <c r="AP141" i="5"/>
  <c r="AP61" i="5"/>
  <c r="AS171" i="2"/>
  <c r="AT160" i="2" l="1"/>
  <c r="AS206" i="2"/>
  <c r="AT167" i="2"/>
  <c r="AT168" i="2" s="1"/>
  <c r="AQ45" i="5"/>
  <c r="AP83" i="5"/>
  <c r="AQ81" i="5"/>
  <c r="AP70" i="5"/>
  <c r="AP73" i="5" s="1"/>
  <c r="AS208" i="2" l="1"/>
  <c r="AS130" i="2" s="1"/>
  <c r="AQ28" i="5"/>
  <c r="AQ26" i="5"/>
  <c r="AQ49" i="5"/>
  <c r="AQ152" i="5" s="1"/>
  <c r="AQ125" i="5"/>
  <c r="AQ55" i="5"/>
  <c r="AQ67" i="5" s="1"/>
  <c r="AQ140" i="5"/>
  <c r="AQ99" i="5"/>
  <c r="AP76" i="5"/>
  <c r="AT183" i="2"/>
  <c r="AT169" i="2"/>
  <c r="AP142" i="5"/>
  <c r="AP86" i="5"/>
  <c r="AP105" i="5" s="1"/>
  <c r="AP58" i="5"/>
  <c r="AP59" i="5" s="1"/>
  <c r="AQ52" i="5" s="1"/>
  <c r="AP127" i="5"/>
  <c r="AP71" i="5"/>
  <c r="AQ64" i="5" s="1"/>
  <c r="AP101" i="5"/>
  <c r="AT195" i="2" l="1"/>
  <c r="AT196" i="2" s="1"/>
  <c r="AT187" i="2"/>
  <c r="AT102" i="2"/>
  <c r="AT103" i="2" s="1"/>
  <c r="AT115" i="2" s="1"/>
  <c r="AQ82" i="5"/>
  <c r="AQ36" i="5"/>
  <c r="AQ29" i="5"/>
  <c r="AQ53" i="5"/>
  <c r="AQ65" i="5" s="1"/>
  <c r="AT116" i="2" l="1"/>
  <c r="AT118" i="2" s="1"/>
  <c r="AQ100" i="5"/>
  <c r="AQ138" i="5"/>
  <c r="AQ123" i="5"/>
  <c r="AQ46" i="5"/>
  <c r="AQ37" i="5"/>
  <c r="AR33" i="5" s="1"/>
  <c r="AQ56" i="5"/>
  <c r="AQ57" i="5" l="1"/>
  <c r="AQ69" i="5" s="1"/>
  <c r="AQ47" i="5"/>
  <c r="AR42" i="5" s="1"/>
  <c r="AQ126" i="5"/>
  <c r="AQ68" i="5"/>
  <c r="AQ141" i="5"/>
  <c r="AQ61" i="5"/>
  <c r="AR34" i="5"/>
  <c r="AR35" i="5" s="1"/>
  <c r="AR39" i="5" l="1"/>
  <c r="AR44" i="5"/>
  <c r="AR54" i="5" s="1"/>
  <c r="AR66" i="5" s="1"/>
  <c r="AR139" i="5"/>
  <c r="AR124" i="5"/>
  <c r="AQ85" i="5"/>
  <c r="AQ104" i="5" s="1"/>
  <c r="AQ70" i="5"/>
  <c r="AQ73" i="5" s="1"/>
  <c r="AT171" i="2"/>
  <c r="AR43" i="5"/>
  <c r="AQ83" i="5"/>
  <c r="AU160" i="2" l="1"/>
  <c r="AQ86" i="5"/>
  <c r="AQ105" i="5" s="1"/>
  <c r="AQ58" i="5"/>
  <c r="AQ59" i="5" s="1"/>
  <c r="AR52" i="5" s="1"/>
  <c r="AQ127" i="5"/>
  <c r="AQ142" i="5"/>
  <c r="AQ76" i="5"/>
  <c r="AR81" i="5"/>
  <c r="AR45" i="5"/>
  <c r="AQ71" i="5"/>
  <c r="AR64" i="5" s="1"/>
  <c r="AQ101" i="5"/>
  <c r="AU167" i="2"/>
  <c r="AU168" i="2" s="1"/>
  <c r="AT206" i="2"/>
  <c r="AT208" i="2" l="1"/>
  <c r="AT130" i="2" s="1"/>
  <c r="AR26" i="5"/>
  <c r="AR28" i="5"/>
  <c r="AR99" i="5"/>
  <c r="AU169" i="2"/>
  <c r="AU183" i="2"/>
  <c r="AR53" i="5"/>
  <c r="AR65" i="5" s="1"/>
  <c r="AR49" i="5"/>
  <c r="AR152" i="5" s="1"/>
  <c r="AR125" i="5"/>
  <c r="AR55" i="5"/>
  <c r="AR67" i="5" s="1"/>
  <c r="AR140" i="5"/>
  <c r="AU195" i="2" l="1"/>
  <c r="AU196" i="2" s="1"/>
  <c r="AU187" i="2"/>
  <c r="AU102" i="2"/>
  <c r="AU103" i="2" s="1"/>
  <c r="AU115" i="2" s="1"/>
  <c r="AR82" i="5"/>
  <c r="AR56" i="5"/>
  <c r="AR29" i="5"/>
  <c r="AR36" i="5"/>
  <c r="AU116" i="2" l="1"/>
  <c r="AU118" i="2" s="1"/>
  <c r="AR100" i="5"/>
  <c r="AR123" i="5"/>
  <c r="AR138" i="5"/>
  <c r="AR46" i="5"/>
  <c r="AR37" i="5"/>
  <c r="AS33" i="5" s="1"/>
  <c r="AR68" i="5"/>
  <c r="AR126" i="5"/>
  <c r="AR141" i="5"/>
  <c r="AR61" i="5"/>
  <c r="AR83" i="5" l="1"/>
  <c r="AS34" i="5"/>
  <c r="AS35" i="5" s="1"/>
  <c r="AR57" i="5"/>
  <c r="AR47" i="5"/>
  <c r="AS42" i="5" s="1"/>
  <c r="AS43" i="5" l="1"/>
  <c r="AR69" i="5"/>
  <c r="AR101" i="5"/>
  <c r="AS139" i="5"/>
  <c r="AS124" i="5"/>
  <c r="AS44" i="5"/>
  <c r="AS54" i="5" s="1"/>
  <c r="AS66" i="5" s="1"/>
  <c r="AS39" i="5"/>
  <c r="AU171" i="2"/>
  <c r="AV160" i="2" l="1"/>
  <c r="AS45" i="5"/>
  <c r="AS125" i="5" s="1"/>
  <c r="AR85" i="5"/>
  <c r="AR104" i="5" s="1"/>
  <c r="AR70" i="5"/>
  <c r="AR73" i="5" s="1"/>
  <c r="AU206" i="2"/>
  <c r="AS81" i="5"/>
  <c r="AS140" i="5" l="1"/>
  <c r="AS49" i="5"/>
  <c r="AS152" i="5" s="1"/>
  <c r="AS55" i="5"/>
  <c r="AS67" i="5" s="1"/>
  <c r="AS82" i="5" s="1"/>
  <c r="AS100" i="5" s="1"/>
  <c r="AV167" i="2"/>
  <c r="AV168" i="2" s="1"/>
  <c r="AR127" i="5"/>
  <c r="AR142" i="5"/>
  <c r="AR58" i="5"/>
  <c r="AR59" i="5" s="1"/>
  <c r="AS52" i="5" s="1"/>
  <c r="AR86" i="5"/>
  <c r="AR105" i="5" s="1"/>
  <c r="AR71" i="5"/>
  <c r="AS64" i="5" s="1"/>
  <c r="AR76" i="5"/>
  <c r="AU208" i="2"/>
  <c r="AU130" i="2" s="1"/>
  <c r="AS28" i="5"/>
  <c r="AS26" i="5"/>
  <c r="AS99" i="5"/>
  <c r="AS53" i="5" l="1"/>
  <c r="AS65" i="5" s="1"/>
  <c r="AS36" i="5"/>
  <c r="AS29" i="5"/>
  <c r="AV183" i="2"/>
  <c r="AV195" i="2" l="1"/>
  <c r="AV196" i="2" s="1"/>
  <c r="AV187" i="2"/>
  <c r="AS56" i="5"/>
  <c r="AS141" i="5" s="1"/>
  <c r="AS123" i="5"/>
  <c r="AS138" i="5"/>
  <c r="AS46" i="5"/>
  <c r="AS37" i="5"/>
  <c r="AT33" i="5" s="1"/>
  <c r="AV169" i="2"/>
  <c r="AV102" i="2"/>
  <c r="AS68" i="5" l="1"/>
  <c r="AS83" i="5" s="1"/>
  <c r="AS61" i="5"/>
  <c r="AS126" i="5"/>
  <c r="AV103" i="2"/>
  <c r="AT34" i="5"/>
  <c r="AT35" i="5" s="1"/>
  <c r="AS57" i="5"/>
  <c r="AS47" i="5"/>
  <c r="AT42" i="5" s="1"/>
  <c r="AS101" i="5" l="1"/>
  <c r="AV115" i="2"/>
  <c r="AV116" i="2"/>
  <c r="AT43" i="5"/>
  <c r="AS69" i="5"/>
  <c r="AT139" i="5"/>
  <c r="AT39" i="5"/>
  <c r="AT44" i="5"/>
  <c r="AT54" i="5" s="1"/>
  <c r="AT66" i="5" s="1"/>
  <c r="AT124" i="5"/>
  <c r="AT45" i="5" l="1"/>
  <c r="AT49" i="5" s="1"/>
  <c r="AT152" i="5" s="1"/>
  <c r="AT81" i="5"/>
  <c r="AV118" i="2"/>
  <c r="AS85" i="5"/>
  <c r="AS104" i="5" s="1"/>
  <c r="AS70" i="5"/>
  <c r="AS71" i="5" s="1"/>
  <c r="AT64" i="5" s="1"/>
  <c r="AT55" i="5" l="1"/>
  <c r="AT67" i="5" s="1"/>
  <c r="AT82" i="5" s="1"/>
  <c r="AT100" i="5" s="1"/>
  <c r="AT140" i="5"/>
  <c r="AT125" i="5"/>
  <c r="AS58" i="5"/>
  <c r="AS59" i="5" s="1"/>
  <c r="AT52" i="5" s="1"/>
  <c r="AS86" i="5"/>
  <c r="AS105" i="5" s="1"/>
  <c r="AS142" i="5"/>
  <c r="AS127" i="5"/>
  <c r="AS76" i="5"/>
  <c r="AT99" i="5"/>
  <c r="AS73" i="5"/>
  <c r="AT53" i="5" l="1"/>
  <c r="AT65" i="5" s="1"/>
  <c r="AV171" i="2" l="1"/>
  <c r="AW160" i="2" l="1"/>
  <c r="AV206" i="2"/>
  <c r="AV208" i="2" l="1"/>
  <c r="AV130" i="2" s="1"/>
  <c r="AT26" i="5"/>
  <c r="AT28" i="5"/>
  <c r="AT36" i="5" l="1"/>
  <c r="AT29" i="5"/>
  <c r="AW167" i="2"/>
  <c r="AW168" i="2" s="1"/>
  <c r="AT56" i="5"/>
  <c r="AT141" i="5" l="1"/>
  <c r="AT126" i="5"/>
  <c r="AT68" i="5"/>
  <c r="AT61" i="5"/>
  <c r="AW183" i="2"/>
  <c r="AT138" i="5"/>
  <c r="AT123" i="5"/>
  <c r="AT46" i="5"/>
  <c r="AT37" i="5"/>
  <c r="AU33" i="5" s="1"/>
  <c r="AW195" i="2" l="1"/>
  <c r="AW196" i="2" s="1"/>
  <c r="AW187" i="2"/>
  <c r="AT57" i="5"/>
  <c r="AT47" i="5"/>
  <c r="AU42" i="5" s="1"/>
  <c r="AU34" i="5"/>
  <c r="AU35" i="5" s="1"/>
  <c r="AW102" i="2"/>
  <c r="AT83" i="5"/>
  <c r="AW169" i="2"/>
  <c r="AU43" i="5" l="1"/>
  <c r="AT101" i="5"/>
  <c r="AT69" i="5"/>
  <c r="AU139" i="5"/>
  <c r="AU44" i="5"/>
  <c r="AU54" i="5" s="1"/>
  <c r="AU66" i="5" s="1"/>
  <c r="AU124" i="5"/>
  <c r="AU39" i="5"/>
  <c r="AW103" i="2"/>
  <c r="AU45" i="5" l="1"/>
  <c r="AU49" i="5" s="1"/>
  <c r="AU152" i="5" s="1"/>
  <c r="AT85" i="5"/>
  <c r="AT104" i="5" s="1"/>
  <c r="AT70" i="5"/>
  <c r="AU81" i="5"/>
  <c r="AW116" i="2"/>
  <c r="AW115" i="2"/>
  <c r="AU140" i="5" l="1"/>
  <c r="AU125" i="5"/>
  <c r="AU55" i="5"/>
  <c r="AU67" i="5" s="1"/>
  <c r="AU82" i="5" s="1"/>
  <c r="AU100" i="5" s="1"/>
  <c r="AT58" i="5"/>
  <c r="AT59" i="5" s="1"/>
  <c r="AU52" i="5" s="1"/>
  <c r="AT86" i="5"/>
  <c r="AT105" i="5" s="1"/>
  <c r="AT127" i="5"/>
  <c r="AT142" i="5"/>
  <c r="AT76" i="5"/>
  <c r="AT71" i="5"/>
  <c r="AU64" i="5" s="1"/>
  <c r="AW118" i="2"/>
  <c r="AT73" i="5"/>
  <c r="AU99" i="5"/>
  <c r="AU53" i="5" l="1"/>
  <c r="AU65" i="5" s="1"/>
  <c r="AW171" i="2" l="1"/>
  <c r="AW206" i="2" l="1"/>
  <c r="AX160" i="2"/>
  <c r="AU26" i="5" l="1"/>
  <c r="AW208" i="2"/>
  <c r="AW130" i="2" s="1"/>
  <c r="AU28" i="5"/>
  <c r="AX167" i="2" l="1"/>
  <c r="AX168" i="2" s="1"/>
  <c r="AU56" i="5"/>
  <c r="AU36" i="5"/>
  <c r="AU29" i="5"/>
  <c r="AU138" i="5" l="1"/>
  <c r="AU123" i="5"/>
  <c r="AU46" i="5"/>
  <c r="AU37" i="5"/>
  <c r="AV33" i="5" s="1"/>
  <c r="AU126" i="5"/>
  <c r="AU68" i="5"/>
  <c r="AU141" i="5"/>
  <c r="AU61" i="5"/>
  <c r="AX169" i="2"/>
  <c r="AX183" i="2"/>
  <c r="AX195" i="2" l="1"/>
  <c r="AX196" i="2" s="1"/>
  <c r="AX187" i="2"/>
  <c r="AX102" i="2"/>
  <c r="AU83" i="5"/>
  <c r="AU57" i="5"/>
  <c r="AU47" i="5"/>
  <c r="AV42" i="5" s="1"/>
  <c r="AV34" i="5"/>
  <c r="AV35" i="5" s="1"/>
  <c r="AU69" i="5" l="1"/>
  <c r="AV39" i="5"/>
  <c r="AV44" i="5"/>
  <c r="AV54" i="5" s="1"/>
  <c r="AV66" i="5" s="1"/>
  <c r="AV124" i="5"/>
  <c r="AV139" i="5"/>
  <c r="AU101" i="5"/>
  <c r="AX103" i="2"/>
  <c r="AV43" i="5"/>
  <c r="AV81" i="5" l="1"/>
  <c r="AV45" i="5"/>
  <c r="AX115" i="2"/>
  <c r="AX116" i="2"/>
  <c r="AU85" i="5"/>
  <c r="AU104" i="5" s="1"/>
  <c r="AU70" i="5"/>
  <c r="AU73" i="5" s="1"/>
  <c r="AX118" i="2" l="1"/>
  <c r="AU86" i="5"/>
  <c r="AU105" i="5" s="1"/>
  <c r="AU58" i="5"/>
  <c r="AU59" i="5" s="1"/>
  <c r="AV52" i="5" s="1"/>
  <c r="AU142" i="5"/>
  <c r="AU127" i="5"/>
  <c r="AU76" i="5"/>
  <c r="AV49" i="5"/>
  <c r="AV152" i="5" s="1"/>
  <c r="AV55" i="5"/>
  <c r="AV67" i="5" s="1"/>
  <c r="AV140" i="5"/>
  <c r="AV125" i="5"/>
  <c r="AU71" i="5"/>
  <c r="AV64" i="5" s="1"/>
  <c r="AV99" i="5"/>
  <c r="AV53" i="5" l="1"/>
  <c r="AV65" i="5" s="1"/>
  <c r="AV82" i="5"/>
  <c r="AV100" i="5" l="1"/>
  <c r="AX171" i="2" l="1"/>
  <c r="AY160" i="2" l="1"/>
  <c r="AX206" i="2"/>
  <c r="AX208" i="2" l="1"/>
  <c r="AX130" i="2" s="1"/>
  <c r="AV28" i="5"/>
  <c r="AV26" i="5"/>
  <c r="AY167" i="2" l="1"/>
  <c r="AY168" i="2" s="1"/>
  <c r="AV56" i="5"/>
  <c r="AV36" i="5"/>
  <c r="AV29" i="5"/>
  <c r="AV123" i="5" l="1"/>
  <c r="AV138" i="5"/>
  <c r="AV46" i="5"/>
  <c r="AV37" i="5"/>
  <c r="AW33" i="5" s="1"/>
  <c r="AV126" i="5"/>
  <c r="AV68" i="5"/>
  <c r="AV141" i="5"/>
  <c r="AV61" i="5"/>
  <c r="AY183" i="2"/>
  <c r="AY169" i="2"/>
  <c r="AY195" i="2" l="1"/>
  <c r="AY196" i="2" s="1"/>
  <c r="AY187" i="2"/>
  <c r="AV83" i="5"/>
  <c r="AV57" i="5"/>
  <c r="AV47" i="5"/>
  <c r="AW42" i="5" s="1"/>
  <c r="AW34" i="5"/>
  <c r="AW35" i="5" s="1"/>
  <c r="AY102" i="2"/>
  <c r="AW124" i="5" l="1"/>
  <c r="AW139" i="5"/>
  <c r="AW39" i="5"/>
  <c r="AW44" i="5"/>
  <c r="AW54" i="5" s="1"/>
  <c r="AW66" i="5" s="1"/>
  <c r="AW43" i="5"/>
  <c r="AV69" i="5"/>
  <c r="AV101" i="5"/>
  <c r="AY103" i="2"/>
  <c r="AV85" i="5" l="1"/>
  <c r="AV104" i="5" s="1"/>
  <c r="AV70" i="5"/>
  <c r="AV73" i="5" s="1"/>
  <c r="AY116" i="2"/>
  <c r="AY115" i="2"/>
  <c r="AW81" i="5"/>
  <c r="AW45" i="5"/>
  <c r="AV71" i="5" l="1"/>
  <c r="AW64" i="5" s="1"/>
  <c r="AY118" i="2"/>
  <c r="AW49" i="5"/>
  <c r="AW152" i="5" s="1"/>
  <c r="AW55" i="5"/>
  <c r="AW67" i="5" s="1"/>
  <c r="AW140" i="5"/>
  <c r="AW125" i="5"/>
  <c r="AV58" i="5"/>
  <c r="AV59" i="5" s="1"/>
  <c r="AW52" i="5" s="1"/>
  <c r="AV142" i="5"/>
  <c r="AV127" i="5"/>
  <c r="AV86" i="5"/>
  <c r="AV105" i="5" s="1"/>
  <c r="AV76" i="5"/>
  <c r="AW99" i="5"/>
  <c r="AW82" i="5" l="1"/>
  <c r="AW53" i="5"/>
  <c r="AW65" i="5" s="1"/>
  <c r="AW100" i="5" l="1"/>
  <c r="AY171" i="2"/>
  <c r="AZ160" i="2" l="1"/>
  <c r="AY206" i="2"/>
  <c r="AW28" i="5" l="1"/>
  <c r="AW26" i="5"/>
  <c r="AY208" i="2"/>
  <c r="AY130" i="2" s="1"/>
  <c r="AZ167" i="2" l="1"/>
  <c r="AZ168" i="2" s="1"/>
  <c r="AW29" i="5"/>
  <c r="AW36" i="5"/>
  <c r="AW56" i="5"/>
  <c r="AW61" i="5" s="1"/>
  <c r="AW123" i="5" l="1"/>
  <c r="AW138" i="5"/>
  <c r="AW46" i="5"/>
  <c r="AW37" i="5"/>
  <c r="AX33" i="5" s="1"/>
  <c r="AW126" i="5"/>
  <c r="AW68" i="5"/>
  <c r="AW141" i="5"/>
  <c r="AZ183" i="2"/>
  <c r="AZ169" i="2"/>
  <c r="AZ195" i="2" l="1"/>
  <c r="AZ196" i="2" s="1"/>
  <c r="AZ187" i="2"/>
  <c r="AW83" i="5"/>
  <c r="AX34" i="5"/>
  <c r="AX35" i="5" s="1"/>
  <c r="AW57" i="5"/>
  <c r="AW47" i="5"/>
  <c r="AX42" i="5" s="1"/>
  <c r="AZ102" i="2"/>
  <c r="AW69" i="5" l="1"/>
  <c r="AX124" i="5"/>
  <c r="AX139" i="5"/>
  <c r="AX44" i="5"/>
  <c r="AX54" i="5" s="1"/>
  <c r="AX66" i="5" s="1"/>
  <c r="AX39" i="5"/>
  <c r="AZ103" i="2"/>
  <c r="AW101" i="5"/>
  <c r="AX43" i="5"/>
  <c r="AX45" i="5" l="1"/>
  <c r="AX81" i="5"/>
  <c r="AZ115" i="2"/>
  <c r="AZ116" i="2"/>
  <c r="AW85" i="5"/>
  <c r="AW104" i="5" s="1"/>
  <c r="AW70" i="5"/>
  <c r="AW86" i="5" l="1"/>
  <c r="AW105" i="5" s="1"/>
  <c r="AW58" i="5"/>
  <c r="AW59" i="5" s="1"/>
  <c r="AX52" i="5" s="1"/>
  <c r="AW127" i="5"/>
  <c r="AW142" i="5"/>
  <c r="AW76" i="5"/>
  <c r="AW71" i="5"/>
  <c r="AX64" i="5" s="1"/>
  <c r="AX99" i="5"/>
  <c r="AW73" i="5"/>
  <c r="AX49" i="5"/>
  <c r="AX152" i="5" s="1"/>
  <c r="AX140" i="5"/>
  <c r="AX55" i="5"/>
  <c r="AX67" i="5" s="1"/>
  <c r="AX125" i="5"/>
  <c r="AZ118" i="2"/>
  <c r="AX53" i="5" l="1"/>
  <c r="AX65" i="5" s="1"/>
  <c r="AX82" i="5"/>
  <c r="AX100" i="5" l="1"/>
  <c r="AZ171" i="2"/>
  <c r="BA160" i="2" l="1"/>
  <c r="AZ206" i="2"/>
  <c r="AX28" i="5" l="1"/>
  <c r="AX26" i="5"/>
  <c r="AZ208" i="2"/>
  <c r="AZ130" i="2" s="1"/>
  <c r="BA167" i="2"/>
  <c r="BA168" i="2" s="1"/>
  <c r="AX36" i="5" l="1"/>
  <c r="AX29" i="5"/>
  <c r="BA183" i="2"/>
  <c r="BA169" i="2"/>
  <c r="AX56" i="5"/>
  <c r="AX61" i="5" s="1"/>
  <c r="BA195" i="2" l="1"/>
  <c r="BA196" i="2" s="1"/>
  <c r="BA187" i="2"/>
  <c r="BA102" i="2"/>
  <c r="BA103" i="2" s="1"/>
  <c r="BA115" i="2" s="1"/>
  <c r="AX126" i="5"/>
  <c r="AX141" i="5"/>
  <c r="AX68" i="5"/>
  <c r="AX138" i="5"/>
  <c r="AX123" i="5"/>
  <c r="AX46" i="5"/>
  <c r="AX37" i="5"/>
  <c r="AY33" i="5" s="1"/>
  <c r="BA116" i="2" l="1"/>
  <c r="BA118" i="2" s="1"/>
  <c r="AX57" i="5"/>
  <c r="AX47" i="5"/>
  <c r="AY42" i="5" s="1"/>
  <c r="AY34" i="5"/>
  <c r="AY35" i="5" s="1"/>
  <c r="AX83" i="5"/>
  <c r="AY139" i="5" l="1"/>
  <c r="AY39" i="5"/>
  <c r="AY44" i="5"/>
  <c r="AY54" i="5" s="1"/>
  <c r="AY66" i="5" s="1"/>
  <c r="AY124" i="5"/>
  <c r="AX101" i="5"/>
  <c r="AX69" i="5"/>
  <c r="AY43" i="5"/>
  <c r="BA171" i="2" l="1"/>
  <c r="AX85" i="5"/>
  <c r="AX104" i="5" s="1"/>
  <c r="AX70" i="5"/>
  <c r="AX73" i="5" s="1"/>
  <c r="AY45" i="5"/>
  <c r="AY81" i="5"/>
  <c r="BB160" i="2" l="1"/>
  <c r="AX71" i="5"/>
  <c r="AY64" i="5" s="1"/>
  <c r="BB167" i="2"/>
  <c r="BB168" i="2" s="1"/>
  <c r="AX58" i="5"/>
  <c r="AX59" i="5" s="1"/>
  <c r="AY52" i="5" s="1"/>
  <c r="AX127" i="5"/>
  <c r="AX86" i="5"/>
  <c r="AX105" i="5" s="1"/>
  <c r="AX142" i="5"/>
  <c r="AX76" i="5"/>
  <c r="AY99" i="5"/>
  <c r="BA206" i="2"/>
  <c r="AY49" i="5"/>
  <c r="AY152" i="5" s="1"/>
  <c r="AY140" i="5"/>
  <c r="AY125" i="5"/>
  <c r="AY55" i="5"/>
  <c r="AY67" i="5" s="1"/>
  <c r="BB183" i="2" l="1"/>
  <c r="BB169" i="2"/>
  <c r="AY53" i="5"/>
  <c r="AY65" i="5" s="1"/>
  <c r="AY28" i="5"/>
  <c r="AY26" i="5"/>
  <c r="BA208" i="2"/>
  <c r="BA130" i="2" s="1"/>
  <c r="AY82" i="5"/>
  <c r="BB195" i="2" l="1"/>
  <c r="BB196" i="2" s="1"/>
  <c r="BB187" i="2"/>
  <c r="BB102" i="2"/>
  <c r="BB103" i="2" s="1"/>
  <c r="BB115" i="2" s="1"/>
  <c r="AY100" i="5"/>
  <c r="AY36" i="5"/>
  <c r="AY29" i="5"/>
  <c r="AY56" i="5"/>
  <c r="BB116" i="2" l="1"/>
  <c r="BB118" i="2" s="1"/>
  <c r="AY141" i="5"/>
  <c r="AY126" i="5"/>
  <c r="AY68" i="5"/>
  <c r="AY61" i="5"/>
  <c r="AY138" i="5"/>
  <c r="AY123" i="5"/>
  <c r="AY46" i="5"/>
  <c r="AY37" i="5"/>
  <c r="AZ33" i="5" s="1"/>
  <c r="AY57" i="5" l="1"/>
  <c r="AY47" i="5"/>
  <c r="AZ42" i="5" s="1"/>
  <c r="AY83" i="5"/>
  <c r="AZ34" i="5"/>
  <c r="AZ35" i="5" s="1"/>
  <c r="AY101" i="5" l="1"/>
  <c r="AZ43" i="5"/>
  <c r="BB171" i="2"/>
  <c r="AZ44" i="5"/>
  <c r="AZ54" i="5" s="1"/>
  <c r="AZ66" i="5" s="1"/>
  <c r="AZ39" i="5"/>
  <c r="AZ139" i="5"/>
  <c r="AZ124" i="5"/>
  <c r="AY69" i="5"/>
  <c r="BC160" i="2" l="1"/>
  <c r="AZ45" i="5"/>
  <c r="AZ49" i="5" s="1"/>
  <c r="AZ152" i="5" s="1"/>
  <c r="AZ81" i="5"/>
  <c r="BB206" i="2"/>
  <c r="BC167" i="2"/>
  <c r="BC168" i="2" s="1"/>
  <c r="AY85" i="5"/>
  <c r="AY104" i="5" s="1"/>
  <c r="AY70" i="5"/>
  <c r="AY73" i="5" s="1"/>
  <c r="AZ125" i="5" l="1"/>
  <c r="AZ55" i="5"/>
  <c r="AZ67" i="5" s="1"/>
  <c r="AZ82" i="5" s="1"/>
  <c r="AZ100" i="5" s="1"/>
  <c r="AZ140" i="5"/>
  <c r="AZ26" i="5"/>
  <c r="BB208" i="2"/>
  <c r="BB130" i="2" s="1"/>
  <c r="AZ28" i="5"/>
  <c r="AY86" i="5"/>
  <c r="AY105" i="5" s="1"/>
  <c r="AY58" i="5"/>
  <c r="AY59" i="5" s="1"/>
  <c r="AZ52" i="5" s="1"/>
  <c r="AY142" i="5"/>
  <c r="AY127" i="5"/>
  <c r="AY76" i="5"/>
  <c r="AY71" i="5"/>
  <c r="AZ64" i="5" s="1"/>
  <c r="BC183" i="2"/>
  <c r="BC169" i="2"/>
  <c r="AZ99" i="5"/>
  <c r="BC195" i="2" l="1"/>
  <c r="BC196" i="2" s="1"/>
  <c r="BC187" i="2"/>
  <c r="BC102" i="2"/>
  <c r="BC103" i="2" s="1"/>
  <c r="BC116" i="2" s="1"/>
  <c r="BC118" i="2" s="1"/>
  <c r="AZ53" i="5"/>
  <c r="AZ65" i="5" s="1"/>
  <c r="AZ36" i="5"/>
  <c r="AZ29" i="5"/>
  <c r="BC115" i="2" l="1"/>
  <c r="AZ56" i="5"/>
  <c r="AZ138" i="5"/>
  <c r="AZ123" i="5"/>
  <c r="AZ46" i="5"/>
  <c r="AZ37" i="5"/>
  <c r="BA33" i="5" s="1"/>
  <c r="AZ68" i="5" l="1"/>
  <c r="AZ126" i="5"/>
  <c r="AZ141" i="5"/>
  <c r="AZ61" i="5"/>
  <c r="BA34" i="5"/>
  <c r="BA35" i="5" s="1"/>
  <c r="AZ57" i="5"/>
  <c r="AZ69" i="5" s="1"/>
  <c r="AZ47" i="5"/>
  <c r="BA42" i="5" s="1"/>
  <c r="AZ83" i="5" l="1"/>
  <c r="BA43" i="5"/>
  <c r="AZ85" i="5"/>
  <c r="AZ104" i="5" s="1"/>
  <c r="AZ70" i="5"/>
  <c r="AZ76" i="5" s="1"/>
  <c r="BC171" i="2"/>
  <c r="BA139" i="5"/>
  <c r="BA124" i="5"/>
  <c r="BA44" i="5"/>
  <c r="BA54" i="5" s="1"/>
  <c r="BA66" i="5" s="1"/>
  <c r="BA39" i="5"/>
  <c r="BD160" i="2" l="1"/>
  <c r="BA45" i="5"/>
  <c r="BA125" i="5" s="1"/>
  <c r="AZ71" i="5"/>
  <c r="BA64" i="5" s="1"/>
  <c r="AZ73" i="5"/>
  <c r="AZ101" i="5"/>
  <c r="AZ86" i="5"/>
  <c r="AZ105" i="5" s="1"/>
  <c r="AZ127" i="5"/>
  <c r="AZ58" i="5"/>
  <c r="AZ59" i="5" s="1"/>
  <c r="BA52" i="5" s="1"/>
  <c r="AZ142" i="5"/>
  <c r="BA81" i="5"/>
  <c r="BD167" i="2"/>
  <c r="BD168" i="2" s="1"/>
  <c r="BC206" i="2"/>
  <c r="BA49" i="5" l="1"/>
  <c r="BA152" i="5" s="1"/>
  <c r="BA140" i="5"/>
  <c r="BA55" i="5"/>
  <c r="BA67" i="5" s="1"/>
  <c r="BA82" i="5" s="1"/>
  <c r="BA100" i="5" s="1"/>
  <c r="BA26" i="5"/>
  <c r="BA28" i="5"/>
  <c r="BC208" i="2"/>
  <c r="BC130" i="2" s="1"/>
  <c r="BD169" i="2"/>
  <c r="BD183" i="2"/>
  <c r="BA99" i="5"/>
  <c r="BA53" i="5"/>
  <c r="BA65" i="5" s="1"/>
  <c r="BD195" i="2" l="1"/>
  <c r="BD196" i="2" s="1"/>
  <c r="BD187" i="2"/>
  <c r="BD102" i="2"/>
  <c r="BD103" i="2" s="1"/>
  <c r="BD116" i="2" s="1"/>
  <c r="BD118" i="2" s="1"/>
  <c r="BA56" i="5"/>
  <c r="BA29" i="5"/>
  <c r="BA36" i="5"/>
  <c r="BD115" i="2" l="1"/>
  <c r="BA141" i="5"/>
  <c r="BA68" i="5"/>
  <c r="BA126" i="5"/>
  <c r="BA61" i="5"/>
  <c r="BA138" i="5"/>
  <c r="BA123" i="5"/>
  <c r="BA46" i="5"/>
  <c r="BA37" i="5"/>
  <c r="BB33" i="5" s="1"/>
  <c r="BA57" i="5" l="1"/>
  <c r="BA47" i="5"/>
  <c r="BB42" i="5" s="1"/>
  <c r="BA83" i="5"/>
  <c r="BB34" i="5"/>
  <c r="BB35" i="5" s="1"/>
  <c r="BB43" i="5" l="1"/>
  <c r="BB124" i="5"/>
  <c r="BB39" i="5"/>
  <c r="BB44" i="5"/>
  <c r="BB54" i="5" s="1"/>
  <c r="BB66" i="5" s="1"/>
  <c r="BB139" i="5"/>
  <c r="BA69" i="5"/>
  <c r="BD171" i="2"/>
  <c r="BA101" i="5"/>
  <c r="BE160" i="2" l="1"/>
  <c r="BB45" i="5"/>
  <c r="BB49" i="5" s="1"/>
  <c r="BB152" i="5" s="1"/>
  <c r="BA85" i="5"/>
  <c r="BA104" i="5" s="1"/>
  <c r="BA70" i="5"/>
  <c r="BA73" i="5" s="1"/>
  <c r="BE167" i="2"/>
  <c r="BE168" i="2" s="1"/>
  <c r="BB81" i="5"/>
  <c r="BD206" i="2"/>
  <c r="BB140" i="5" l="1"/>
  <c r="BB125" i="5"/>
  <c r="BB55" i="5"/>
  <c r="BB67" i="5" s="1"/>
  <c r="BB82" i="5" s="1"/>
  <c r="BB100" i="5" s="1"/>
  <c r="BB99" i="5"/>
  <c r="BD208" i="2"/>
  <c r="BD130" i="2" s="1"/>
  <c r="BB26" i="5"/>
  <c r="BB28" i="5"/>
  <c r="BA86" i="5"/>
  <c r="BA105" i="5" s="1"/>
  <c r="BA58" i="5"/>
  <c r="BA59" i="5" s="1"/>
  <c r="BB52" i="5" s="1"/>
  <c r="BA142" i="5"/>
  <c r="BA127" i="5"/>
  <c r="BA71" i="5"/>
  <c r="BB64" i="5" s="1"/>
  <c r="BA76" i="5"/>
  <c r="BE183" i="2"/>
  <c r="BE169" i="2"/>
  <c r="BE195" i="2" l="1"/>
  <c r="BE196" i="2" s="1"/>
  <c r="BE187" i="2"/>
  <c r="BE102" i="2"/>
  <c r="BE103" i="2" s="1"/>
  <c r="BE115" i="2" s="1"/>
  <c r="BB53" i="5"/>
  <c r="BB65" i="5" s="1"/>
  <c r="BB29" i="5"/>
  <c r="BB36" i="5"/>
  <c r="BE116" i="2" l="1"/>
  <c r="BE118" i="2" s="1"/>
  <c r="BB56" i="5"/>
  <c r="BB61" i="5" s="1"/>
  <c r="BB138" i="5"/>
  <c r="BB123" i="5"/>
  <c r="BB46" i="5"/>
  <c r="BB37" i="5"/>
  <c r="BC33" i="5" s="1"/>
  <c r="BB126" i="5" l="1"/>
  <c r="BB141" i="5"/>
  <c r="BB68" i="5"/>
  <c r="BB83" i="5" s="1"/>
  <c r="BC34" i="5"/>
  <c r="BC35" i="5" s="1"/>
  <c r="BB57" i="5"/>
  <c r="BB47" i="5"/>
  <c r="BC42" i="5" s="1"/>
  <c r="BB101" i="5" l="1"/>
  <c r="BB69" i="5"/>
  <c r="BC39" i="5"/>
  <c r="BC124" i="5"/>
  <c r="BC44" i="5"/>
  <c r="BC54" i="5" s="1"/>
  <c r="BC66" i="5" s="1"/>
  <c r="BC139" i="5"/>
  <c r="BE171" i="2"/>
  <c r="BC43" i="5"/>
  <c r="BF160" i="2" l="1"/>
  <c r="BC45" i="5"/>
  <c r="BC49" i="5" s="1"/>
  <c r="BC152" i="5" s="1"/>
  <c r="BC81" i="5"/>
  <c r="BB85" i="5"/>
  <c r="BB104" i="5" s="1"/>
  <c r="BB70" i="5"/>
  <c r="BB73" i="5" s="1"/>
  <c r="BF167" i="2"/>
  <c r="BF168" i="2" s="1"/>
  <c r="BE206" i="2"/>
  <c r="BC55" i="5" l="1"/>
  <c r="BC67" i="5" s="1"/>
  <c r="BC82" i="5" s="1"/>
  <c r="BC100" i="5" s="1"/>
  <c r="BC140" i="5"/>
  <c r="BC125" i="5"/>
  <c r="BE208" i="2"/>
  <c r="BE130" i="2" s="1"/>
  <c r="BC26" i="5"/>
  <c r="BC28" i="5"/>
  <c r="BF169" i="2"/>
  <c r="BF183" i="2"/>
  <c r="BC99" i="5"/>
  <c r="BB127" i="5"/>
  <c r="BB86" i="5"/>
  <c r="BB105" i="5" s="1"/>
  <c r="BB142" i="5"/>
  <c r="BB58" i="5"/>
  <c r="BB59" i="5" s="1"/>
  <c r="BC52" i="5" s="1"/>
  <c r="BB76" i="5"/>
  <c r="BB71" i="5"/>
  <c r="BC64" i="5" s="1"/>
  <c r="BF195" i="2" l="1"/>
  <c r="BF196" i="2" s="1"/>
  <c r="BF187" i="2"/>
  <c r="BF102" i="2"/>
  <c r="BF103" i="2" s="1"/>
  <c r="BF115" i="2" s="1"/>
  <c r="BC53" i="5"/>
  <c r="BC65" i="5" s="1"/>
  <c r="BC29" i="5"/>
  <c r="BC36" i="5"/>
  <c r="BF116" i="2" l="1"/>
  <c r="BF118" i="2" s="1"/>
  <c r="BC138" i="5"/>
  <c r="BC123" i="5"/>
  <c r="BC46" i="5"/>
  <c r="BC37" i="5"/>
  <c r="BD33" i="5" s="1"/>
  <c r="BC56" i="5"/>
  <c r="BC126" i="5" l="1"/>
  <c r="BC68" i="5"/>
  <c r="BC141" i="5"/>
  <c r="BC61" i="5"/>
  <c r="BD34" i="5"/>
  <c r="BD35" i="5" s="1"/>
  <c r="BC57" i="5"/>
  <c r="BC69" i="5" s="1"/>
  <c r="BC47" i="5"/>
  <c r="BD42" i="5" s="1"/>
  <c r="BC83" i="5" l="1"/>
  <c r="BD43" i="5"/>
  <c r="BC85" i="5"/>
  <c r="BC104" i="5" s="1"/>
  <c r="BC70" i="5"/>
  <c r="BC73" i="5" s="1"/>
  <c r="BF171" i="2"/>
  <c r="BD39" i="5"/>
  <c r="BD139" i="5"/>
  <c r="BD44" i="5"/>
  <c r="BD54" i="5" s="1"/>
  <c r="BD66" i="5" s="1"/>
  <c r="BD124" i="5"/>
  <c r="BG160" i="2" l="1"/>
  <c r="BC76" i="5"/>
  <c r="BC71" i="5"/>
  <c r="BD64" i="5" s="1"/>
  <c r="BG167" i="2"/>
  <c r="BG168" i="2" s="1"/>
  <c r="BD45" i="5"/>
  <c r="BF206" i="2"/>
  <c r="BC101" i="5"/>
  <c r="BD81" i="5"/>
  <c r="BC86" i="5"/>
  <c r="BC105" i="5" s="1"/>
  <c r="BC142" i="5"/>
  <c r="BC127" i="5"/>
  <c r="BC58" i="5"/>
  <c r="BC59" i="5" s="1"/>
  <c r="BD52" i="5" s="1"/>
  <c r="BD28" i="5" l="1"/>
  <c r="BF208" i="2"/>
  <c r="BF130" i="2" s="1"/>
  <c r="BD26" i="5"/>
  <c r="BG183" i="2"/>
  <c r="BG169" i="2"/>
  <c r="BD99" i="5"/>
  <c r="BD49" i="5"/>
  <c r="BD152" i="5" s="1"/>
  <c r="BD125" i="5"/>
  <c r="BD55" i="5"/>
  <c r="BD67" i="5" s="1"/>
  <c r="BD140" i="5"/>
  <c r="BD53" i="5"/>
  <c r="BD65" i="5" s="1"/>
  <c r="BG195" i="2" l="1"/>
  <c r="BG196" i="2" s="1"/>
  <c r="BG187" i="2"/>
  <c r="BG102" i="2"/>
  <c r="BG103" i="2" s="1"/>
  <c r="BG115" i="2" s="1"/>
  <c r="BD36" i="5"/>
  <c r="BD29" i="5"/>
  <c r="BD56" i="5"/>
  <c r="BD61" i="5" s="1"/>
  <c r="BD82" i="5"/>
  <c r="BG116" i="2" l="1"/>
  <c r="BG118" i="2" s="1"/>
  <c r="BD100" i="5"/>
  <c r="BD138" i="5"/>
  <c r="BD123" i="5"/>
  <c r="BD46" i="5"/>
  <c r="BD37" i="5"/>
  <c r="BE33" i="5" s="1"/>
  <c r="BD68" i="5"/>
  <c r="BD126" i="5"/>
  <c r="BD141" i="5"/>
  <c r="BE34" i="5" l="1"/>
  <c r="BE35" i="5" s="1"/>
  <c r="BD57" i="5"/>
  <c r="BD47" i="5"/>
  <c r="BE42" i="5" s="1"/>
  <c r="BD83" i="5"/>
  <c r="BE43" i="5" l="1"/>
  <c r="BD69" i="5"/>
  <c r="BG171" i="2"/>
  <c r="BE124" i="5"/>
  <c r="BE139" i="5"/>
  <c r="BE44" i="5"/>
  <c r="BE54" i="5" s="1"/>
  <c r="BE66" i="5" s="1"/>
  <c r="BE39" i="5"/>
  <c r="BD101" i="5"/>
  <c r="BH160" i="2" l="1"/>
  <c r="BE45" i="5"/>
  <c r="BE125" i="5" s="1"/>
  <c r="BG206" i="2"/>
  <c r="BD85" i="5"/>
  <c r="BD104" i="5" s="1"/>
  <c r="BD70" i="5"/>
  <c r="BD73" i="5" s="1"/>
  <c r="BE81" i="5"/>
  <c r="BE140" i="5" l="1"/>
  <c r="BE55" i="5"/>
  <c r="BE67" i="5" s="1"/>
  <c r="BE82" i="5" s="1"/>
  <c r="BE100" i="5" s="1"/>
  <c r="BE49" i="5"/>
  <c r="BE152" i="5" s="1"/>
  <c r="BE26" i="5"/>
  <c r="BG208" i="2"/>
  <c r="BG130" i="2" s="1"/>
  <c r="BE28" i="5"/>
  <c r="BE99" i="5"/>
  <c r="BD127" i="5"/>
  <c r="BD58" i="5"/>
  <c r="BD59" i="5" s="1"/>
  <c r="BE52" i="5" s="1"/>
  <c r="BD86" i="5"/>
  <c r="BD105" i="5" s="1"/>
  <c r="BD142" i="5"/>
  <c r="BD76" i="5"/>
  <c r="BD71" i="5"/>
  <c r="BE64" i="5" s="1"/>
  <c r="BH167" i="2"/>
  <c r="BH168" i="2" s="1"/>
  <c r="BE53" i="5" l="1"/>
  <c r="BE65" i="5" s="1"/>
  <c r="BH169" i="2"/>
  <c r="BH183" i="2"/>
  <c r="BE29" i="5"/>
  <c r="BE36" i="5"/>
  <c r="BH195" i="2" l="1"/>
  <c r="BH196" i="2" s="1"/>
  <c r="BH187" i="2"/>
  <c r="BE56" i="5"/>
  <c r="BE68" i="5" s="1"/>
  <c r="BE138" i="5"/>
  <c r="BE123" i="5"/>
  <c r="BE46" i="5"/>
  <c r="BE37" i="5"/>
  <c r="BF33" i="5" s="1"/>
  <c r="BH102" i="2"/>
  <c r="BE141" i="5" l="1"/>
  <c r="BE61" i="5"/>
  <c r="BE126" i="5"/>
  <c r="BH103" i="2"/>
  <c r="BF34" i="5"/>
  <c r="BF35" i="5" s="1"/>
  <c r="BE57" i="5"/>
  <c r="BE47" i="5"/>
  <c r="BF42" i="5" s="1"/>
  <c r="BE83" i="5"/>
  <c r="BF44" i="5" l="1"/>
  <c r="BF54" i="5" s="1"/>
  <c r="BF66" i="5" s="1"/>
  <c r="BF39" i="5"/>
  <c r="BF139" i="5"/>
  <c r="BF124" i="5"/>
  <c r="BE101" i="5"/>
  <c r="BF43" i="5"/>
  <c r="BH115" i="2"/>
  <c r="BH116" i="2"/>
  <c r="BE69" i="5"/>
  <c r="BE85" i="5" l="1"/>
  <c r="BE104" i="5" s="1"/>
  <c r="BE70" i="5"/>
  <c r="BE71" i="5" s="1"/>
  <c r="BF64" i="5" s="1"/>
  <c r="BH118" i="2"/>
  <c r="BF45" i="5"/>
  <c r="BF81" i="5"/>
  <c r="BE73" i="5" l="1"/>
  <c r="BF49" i="5"/>
  <c r="BF152" i="5" s="1"/>
  <c r="BF55" i="5"/>
  <c r="BF67" i="5" s="1"/>
  <c r="BF140" i="5"/>
  <c r="BF125" i="5"/>
  <c r="BE86" i="5"/>
  <c r="BE105" i="5" s="1"/>
  <c r="BE142" i="5"/>
  <c r="BE127" i="5"/>
  <c r="BE58" i="5"/>
  <c r="BE59" i="5" s="1"/>
  <c r="BF52" i="5" s="1"/>
  <c r="BE76" i="5"/>
  <c r="BF99" i="5"/>
  <c r="BF53" i="5" l="1"/>
  <c r="BF65" i="5" s="1"/>
  <c r="BF82" i="5"/>
  <c r="BH171" i="2" l="1"/>
  <c r="BF100" i="5"/>
  <c r="BI160" i="2" l="1"/>
  <c r="BH206" i="2"/>
  <c r="BF26" i="5" l="1"/>
  <c r="BF28" i="5"/>
  <c r="BH208" i="2"/>
  <c r="BH130" i="2" s="1"/>
  <c r="BI167" i="2" l="1"/>
  <c r="BI168" i="2" s="1"/>
  <c r="BF56" i="5"/>
  <c r="BF29" i="5"/>
  <c r="BF36" i="5"/>
  <c r="BF138" i="5" l="1"/>
  <c r="BF123" i="5"/>
  <c r="BF46" i="5"/>
  <c r="BF37" i="5"/>
  <c r="BG33" i="5" s="1"/>
  <c r="BF126" i="5"/>
  <c r="BF68" i="5"/>
  <c r="BF141" i="5"/>
  <c r="BF61" i="5"/>
  <c r="BI169" i="2"/>
  <c r="BI183" i="2"/>
  <c r="BF83" i="5" l="1"/>
  <c r="BI102" i="2"/>
  <c r="BG34" i="5"/>
  <c r="BG35" i="5" s="1"/>
  <c r="BF57" i="5"/>
  <c r="BF47" i="5"/>
  <c r="BG42" i="5" s="1"/>
  <c r="BG43" i="5" l="1"/>
  <c r="BF69" i="5"/>
  <c r="BG44" i="5"/>
  <c r="BG54" i="5" s="1"/>
  <c r="BG66" i="5" s="1"/>
  <c r="BG39" i="5"/>
  <c r="BG124" i="5"/>
  <c r="BG139" i="5"/>
  <c r="BF101" i="5"/>
  <c r="BI103" i="2"/>
  <c r="BI115" i="2" l="1"/>
  <c r="BG81" i="5"/>
  <c r="BF85" i="5"/>
  <c r="BF104" i="5" s="1"/>
  <c r="BF70" i="5"/>
  <c r="BG45" i="5"/>
  <c r="BG49" i="5" l="1"/>
  <c r="BG152" i="5" s="1"/>
  <c r="BG140" i="5"/>
  <c r="BG55" i="5"/>
  <c r="BG67" i="5" s="1"/>
  <c r="BG125" i="5"/>
  <c r="BF127" i="5"/>
  <c r="BF142" i="5"/>
  <c r="BF58" i="5"/>
  <c r="BF59" i="5" s="1"/>
  <c r="BG52" i="5" s="1"/>
  <c r="BF86" i="5"/>
  <c r="BF105" i="5" s="1"/>
  <c r="BF71" i="5"/>
  <c r="BG64" i="5" s="1"/>
  <c r="BF76" i="5"/>
  <c r="BG99" i="5"/>
  <c r="BF73" i="5"/>
  <c r="BG82" i="5" l="1"/>
  <c r="BG53" i="5"/>
  <c r="BG65" i="5" s="1"/>
  <c r="BG100" i="5" l="1"/>
  <c r="BI171" i="2" l="1"/>
  <c r="BJ160" i="2" l="1"/>
  <c r="BJ167" i="2" l="1"/>
  <c r="BJ168" i="2" s="1"/>
  <c r="BJ169" i="2" l="1"/>
  <c r="BJ183" i="2"/>
  <c r="BJ102" i="2" l="1"/>
  <c r="BJ103" i="2" l="1"/>
  <c r="BJ115" i="2" l="1"/>
  <c r="BJ171" i="2" l="1"/>
  <c r="BK160" i="2" l="1"/>
  <c r="BK167" i="2" l="1"/>
  <c r="BK168" i="2" s="1"/>
  <c r="BK183" i="2" l="1"/>
  <c r="BK169" i="2"/>
  <c r="BK102" i="2" l="1"/>
  <c r="BK103" i="2" l="1"/>
  <c r="BK115" i="2" l="1"/>
  <c r="BK171" i="2" l="1"/>
  <c r="BL160" i="2" l="1"/>
  <c r="BL167" i="2" l="1"/>
  <c r="BL168" i="2" s="1"/>
  <c r="BL169" i="2" l="1"/>
  <c r="BL183" i="2"/>
  <c r="BL171" i="2" l="1"/>
  <c r="BM160" i="2" l="1"/>
  <c r="BM167" i="2" l="1"/>
  <c r="BM168" i="2" s="1"/>
  <c r="BM169" i="2" l="1"/>
  <c r="BM183" i="2"/>
  <c r="BM171" i="2" l="1"/>
  <c r="BN160" i="2" l="1"/>
  <c r="BN167" i="2"/>
  <c r="BN168" i="2" s="1"/>
  <c r="BN169" i="2" l="1"/>
  <c r="BN183" i="2"/>
  <c r="BN171" i="2" l="1"/>
  <c r="BO160" i="2" l="1"/>
  <c r="BO167" i="2"/>
  <c r="BO168" i="2" s="1"/>
  <c r="BO183" i="2" l="1"/>
  <c r="BO169" i="2"/>
  <c r="BO171" i="2" l="1"/>
  <c r="BP160" i="2" l="1"/>
  <c r="BP167" i="2"/>
  <c r="BP168" i="2" s="1"/>
  <c r="BP169" i="2" l="1"/>
  <c r="BP183" i="2"/>
  <c r="BP171" i="2" l="1"/>
  <c r="BQ160" i="2" l="1"/>
  <c r="BQ167" i="2"/>
  <c r="BQ168" i="2" s="1"/>
  <c r="BQ183" i="2" l="1"/>
  <c r="BQ169" i="2"/>
  <c r="BQ171" i="2" l="1"/>
  <c r="BR160" i="2" l="1"/>
  <c r="BR167" i="2"/>
  <c r="BR168" i="2" s="1"/>
  <c r="BR169" i="2" l="1"/>
  <c r="BR183" i="2"/>
  <c r="BR171" i="2" l="1"/>
  <c r="BS160" i="2" s="1"/>
  <c r="BS166" i="2" l="1"/>
  <c r="BS167" i="2" s="1"/>
  <c r="BS168" i="2" s="1"/>
  <c r="BS183" i="2" l="1"/>
  <c r="BS169" i="2"/>
  <c r="HO166" i="2" l="1"/>
  <c r="HP166" i="2"/>
  <c r="HQ166" i="2"/>
  <c r="HR166" i="2"/>
  <c r="HS166" i="2"/>
  <c r="HO167" i="2" l="1"/>
  <c r="HP167" i="2"/>
  <c r="HQ167" i="2"/>
  <c r="HR167" i="2"/>
  <c r="HS167" i="2"/>
  <c r="HO183" i="2" l="1"/>
  <c r="HP183" i="2"/>
  <c r="H39" i="7" s="1"/>
  <c r="H40" i="7" s="1"/>
  <c r="HQ183" i="2"/>
  <c r="I39" i="7" s="1"/>
  <c r="I40" i="7" s="1"/>
  <c r="HR183" i="2"/>
  <c r="J39" i="7" s="1"/>
  <c r="J40" i="7" s="1"/>
  <c r="HS183" i="2"/>
  <c r="HO168" i="2"/>
  <c r="HP168" i="2"/>
  <c r="HQ168" i="2"/>
  <c r="HR168" i="2"/>
  <c r="HS168" i="2"/>
  <c r="J48" i="7" l="1"/>
  <c r="I48" i="7"/>
  <c r="H48" i="7"/>
  <c r="G39" i="7"/>
  <c r="HO169" i="2"/>
  <c r="HP169" i="2"/>
  <c r="HQ169" i="2"/>
  <c r="HR169" i="2"/>
  <c r="HS169" i="2"/>
  <c r="HO102" i="2"/>
  <c r="HP102" i="2"/>
  <c r="HQ102" i="2"/>
  <c r="HR102" i="2"/>
  <c r="HO103" i="2" l="1"/>
  <c r="HP103" i="2"/>
  <c r="HQ103" i="2"/>
  <c r="HR103" i="2"/>
  <c r="G40" i="7"/>
  <c r="G48" i="7" l="1"/>
  <c r="HO115" i="2"/>
  <c r="HP115" i="2"/>
  <c r="HQ115" i="2"/>
  <c r="HR115" i="2"/>
  <c r="CE170" i="2" l="1"/>
  <c r="CE186" i="2" l="1"/>
  <c r="HT170" i="2"/>
  <c r="HT186" i="2" l="1"/>
  <c r="HO196" i="2"/>
  <c r="HP196" i="2"/>
  <c r="HQ196" i="2"/>
  <c r="HR196" i="2"/>
  <c r="L44" i="7" l="1"/>
  <c r="HO116" i="2"/>
  <c r="HP116" i="2"/>
  <c r="HQ116" i="2"/>
  <c r="HR116" i="2"/>
  <c r="HO118" i="2" l="1"/>
  <c r="HP118" i="2"/>
  <c r="HQ118" i="2"/>
  <c r="HR118" i="2"/>
  <c r="HO161" i="2" l="1"/>
  <c r="HP161" i="2"/>
  <c r="HQ161" i="2"/>
  <c r="HR161" i="2"/>
  <c r="HO160" i="2"/>
  <c r="HP160" i="2"/>
  <c r="HQ160" i="2"/>
  <c r="HR160" i="2"/>
  <c r="HS160" i="2"/>
  <c r="HO171" i="2" l="1"/>
  <c r="HP171" i="2"/>
  <c r="HQ171" i="2"/>
  <c r="HR171" i="2"/>
  <c r="HO181" i="2"/>
  <c r="HP181" i="2"/>
  <c r="H42" i="7" s="1"/>
  <c r="H45" i="7" s="1"/>
  <c r="HQ181" i="2"/>
  <c r="I42" i="7" s="1"/>
  <c r="I45" i="7" s="1"/>
  <c r="HR181" i="2"/>
  <c r="J42" i="7" s="1"/>
  <c r="J45" i="7" s="1"/>
  <c r="G42" i="7" l="1"/>
  <c r="G45" i="7" l="1"/>
  <c r="BL148" i="2"/>
  <c r="BL182" i="2" s="1"/>
  <c r="BM148" i="2"/>
  <c r="BM182" i="2" s="1"/>
  <c r="BM214" i="2" s="1"/>
  <c r="BN148" i="2"/>
  <c r="BN182" i="2" s="1"/>
  <c r="BN214" i="2" s="1"/>
  <c r="BO148" i="2"/>
  <c r="BO182" i="2" s="1"/>
  <c r="BP148" i="2"/>
  <c r="BQ148" i="2"/>
  <c r="BQ182" i="2" s="1"/>
  <c r="BQ214" i="2" s="1"/>
  <c r="BR148" i="2"/>
  <c r="BR149" i="2" s="1"/>
  <c r="BS148" i="2"/>
  <c r="BS182" i="2" s="1"/>
  <c r="BR26" i="2"/>
  <c r="BV26" i="2"/>
  <c r="BN149" i="2" l="1"/>
  <c r="BN150" i="2" s="1"/>
  <c r="BN112" i="2" s="1"/>
  <c r="BM149" i="2"/>
  <c r="BM150" i="2" s="1"/>
  <c r="BM112" i="2" s="1"/>
  <c r="BS102" i="2"/>
  <c r="BS103" i="2" s="1"/>
  <c r="BS214" i="2"/>
  <c r="BO102" i="2"/>
  <c r="BO103" i="2" s="1"/>
  <c r="BO115" i="2" s="1"/>
  <c r="BO214" i="2"/>
  <c r="BL102" i="2"/>
  <c r="BL103" i="2" s="1"/>
  <c r="BL214" i="2"/>
  <c r="BL149" i="2"/>
  <c r="BL150" i="2" s="1"/>
  <c r="BL112" i="2" s="1"/>
  <c r="BQ149" i="2"/>
  <c r="BQ150" i="2" s="1"/>
  <c r="BQ112" i="2" s="1"/>
  <c r="BM102" i="2"/>
  <c r="BM103" i="2" s="1"/>
  <c r="BM115" i="2" s="1"/>
  <c r="BR175" i="2"/>
  <c r="BR178" i="2" s="1"/>
  <c r="BO149" i="2"/>
  <c r="BO150" i="2" s="1"/>
  <c r="BO112" i="2" s="1"/>
  <c r="BS149" i="2"/>
  <c r="BS150" i="2" s="1"/>
  <c r="BS112" i="2" s="1"/>
  <c r="BR182" i="2"/>
  <c r="BR150" i="2"/>
  <c r="BR112" i="2" s="1"/>
  <c r="HS148" i="2"/>
  <c r="BN102" i="2"/>
  <c r="BN103" i="2" s="1"/>
  <c r="BN115" i="2" s="1"/>
  <c r="BR41" i="2"/>
  <c r="BQ102" i="2"/>
  <c r="BQ103" i="2" s="1"/>
  <c r="BP182" i="2"/>
  <c r="BP214" i="2" s="1"/>
  <c r="BP149" i="2"/>
  <c r="BS115" i="2" l="1"/>
  <c r="BR102" i="2"/>
  <c r="BR103" i="2" s="1"/>
  <c r="BR115" i="2" s="1"/>
  <c r="BR214" i="2"/>
  <c r="HS182" i="2"/>
  <c r="BP150" i="2"/>
  <c r="BP112" i="2" s="1"/>
  <c r="BR92" i="2"/>
  <c r="BR87" i="2"/>
  <c r="HS149" i="2"/>
  <c r="BP102" i="2"/>
  <c r="BL115" i="2"/>
  <c r="BQ115" i="2"/>
  <c r="K39" i="7" l="1"/>
  <c r="HS150" i="2"/>
  <c r="HS112" i="2"/>
  <c r="BP103" i="2"/>
  <c r="HS102" i="2"/>
  <c r="BR89" i="2"/>
  <c r="BR106" i="2"/>
  <c r="BY26" i="2" l="1"/>
  <c r="BR90" i="2"/>
  <c r="BP115" i="2"/>
  <c r="HS103" i="2"/>
  <c r="HS115" i="2" l="1"/>
  <c r="BV29" i="2" l="1"/>
  <c r="BV162" i="2" s="1"/>
  <c r="BV164" i="2" s="1"/>
  <c r="BV181" i="2" s="1"/>
  <c r="BV175" i="2" l="1"/>
  <c r="BV178" i="2" s="1"/>
  <c r="BV41" i="2"/>
  <c r="BV87" i="2" s="1"/>
  <c r="BI26" i="2"/>
  <c r="BI41" i="2" s="1"/>
  <c r="BI87" i="2" s="1"/>
  <c r="BV89" i="2" l="1"/>
  <c r="BV90" i="2" s="1"/>
  <c r="BI175" i="2"/>
  <c r="BI178" i="2" s="1"/>
  <c r="BI139" i="2"/>
  <c r="BI141" i="2" s="1"/>
  <c r="BI142" i="2" s="1"/>
  <c r="BV106" i="2"/>
  <c r="BV92" i="2"/>
  <c r="BI106" i="2"/>
  <c r="BI113" i="2" s="1"/>
  <c r="BI89" i="2"/>
  <c r="BI90" i="2" s="1"/>
  <c r="BI81" i="2"/>
  <c r="BI91" i="2" l="1"/>
  <c r="BI92" i="2" s="1"/>
  <c r="BI152" i="2"/>
  <c r="BI116" i="2"/>
  <c r="BI179" i="2"/>
  <c r="BI195" i="2" s="1"/>
  <c r="BI196" i="2" s="1"/>
  <c r="BI187" i="2" l="1"/>
  <c r="BI206" i="2"/>
  <c r="BI118" i="2"/>
  <c r="BJ140" i="2"/>
  <c r="BJ137" i="2"/>
  <c r="BJ107" i="2" l="1"/>
  <c r="BJ184" i="2" s="1"/>
  <c r="BG28" i="5"/>
  <c r="BI208" i="2"/>
  <c r="BG26" i="5"/>
  <c r="BG56" i="5" l="1"/>
  <c r="BG61" i="5" s="1"/>
  <c r="BG36" i="5"/>
  <c r="BG29" i="5"/>
  <c r="BI130" i="2"/>
  <c r="BG46" i="5" l="1"/>
  <c r="BG37" i="5"/>
  <c r="BH33" i="5" s="1"/>
  <c r="BG123" i="5"/>
  <c r="BG138" i="5"/>
  <c r="BG68" i="5"/>
  <c r="BG126" i="5"/>
  <c r="BG141" i="5"/>
  <c r="BH34" i="5" l="1"/>
  <c r="BG83" i="5"/>
  <c r="BG47" i="5"/>
  <c r="BH42" i="5" s="1"/>
  <c r="BG57" i="5"/>
  <c r="BG69" i="5" l="1"/>
  <c r="BH35" i="5"/>
  <c r="BH43" i="5"/>
  <c r="BG101" i="5"/>
  <c r="BH44" i="5" l="1"/>
  <c r="BH39" i="5"/>
  <c r="BH139" i="5"/>
  <c r="BH124" i="5"/>
  <c r="BG85" i="5"/>
  <c r="BG70" i="5"/>
  <c r="BG73" i="5" s="1"/>
  <c r="BG58" i="5" l="1"/>
  <c r="BG86" i="5"/>
  <c r="BG142" i="5"/>
  <c r="BG127" i="5"/>
  <c r="BG76" i="5"/>
  <c r="BH45" i="5"/>
  <c r="BG104" i="5"/>
  <c r="BH54" i="5"/>
  <c r="BG71" i="5"/>
  <c r="BH64" i="5" s="1"/>
  <c r="BH66" i="5" l="1"/>
  <c r="BG105" i="5"/>
  <c r="BH55" i="5"/>
  <c r="BH49" i="5"/>
  <c r="BH125" i="5"/>
  <c r="BH140" i="5"/>
  <c r="BG59" i="5"/>
  <c r="BH52" i="5" s="1"/>
  <c r="BH152" i="5" l="1"/>
  <c r="BH53" i="5"/>
  <c r="BH67" i="5"/>
  <c r="BH81" i="5"/>
  <c r="BH82" i="5" l="1"/>
  <c r="BH65" i="5"/>
  <c r="BH99" i="5"/>
  <c r="BH100" i="5" l="1"/>
  <c r="BJ26" i="2"/>
  <c r="BJ41" i="2" s="1"/>
  <c r="BJ87" i="2" s="1"/>
  <c r="BJ106" i="2" s="1"/>
  <c r="BJ139" i="2"/>
  <c r="BJ141" i="2" s="1"/>
  <c r="BJ142" i="2" s="1"/>
  <c r="BJ175" i="2"/>
  <c r="BJ152" i="2" l="1"/>
  <c r="BK140" i="2" s="1"/>
  <c r="BJ179" i="2"/>
  <c r="BJ178" i="2"/>
  <c r="BJ81" i="2"/>
  <c r="BJ89" i="2"/>
  <c r="BJ113" i="2"/>
  <c r="BJ195" i="2" l="1"/>
  <c r="BJ196" i="2" s="1"/>
  <c r="BJ187" i="2"/>
  <c r="BK137" i="2"/>
  <c r="BK107" i="2" s="1"/>
  <c r="BK184" i="2" s="1"/>
  <c r="BJ116" i="2"/>
  <c r="BJ118" i="2" s="1"/>
  <c r="BJ206" i="2"/>
  <c r="BJ91" i="2"/>
  <c r="BJ90" i="2"/>
  <c r="BJ92" i="2" l="1"/>
  <c r="BH28" i="5"/>
  <c r="BJ208" i="2"/>
  <c r="BH26" i="5"/>
  <c r="BH29" i="5" l="1"/>
  <c r="BH36" i="5"/>
  <c r="BJ130" i="2"/>
  <c r="BH56" i="5"/>
  <c r="BH61" i="5" s="1"/>
  <c r="BH37" i="5" l="1"/>
  <c r="BI33" i="5" s="1"/>
  <c r="BH46" i="5"/>
  <c r="BH138" i="5"/>
  <c r="BH123" i="5"/>
  <c r="BH68" i="5"/>
  <c r="BH126" i="5"/>
  <c r="BH141" i="5"/>
  <c r="BH83" i="5" l="1"/>
  <c r="BH47" i="5"/>
  <c r="BI42" i="5" s="1"/>
  <c r="BH57" i="5"/>
  <c r="BI34" i="5"/>
  <c r="BI43" i="5" l="1"/>
  <c r="BI35" i="5"/>
  <c r="BH69" i="5"/>
  <c r="BH101" i="5"/>
  <c r="BH85" i="5" l="1"/>
  <c r="BH70" i="5"/>
  <c r="BH73" i="5" s="1"/>
  <c r="BI39" i="5"/>
  <c r="BI44" i="5"/>
  <c r="BI124" i="5"/>
  <c r="BI139" i="5"/>
  <c r="BH71" i="5" l="1"/>
  <c r="BI64" i="5" s="1"/>
  <c r="BH104" i="5"/>
  <c r="BI54" i="5"/>
  <c r="BI45" i="5"/>
  <c r="BH86" i="5"/>
  <c r="BH58" i="5"/>
  <c r="BH127" i="5"/>
  <c r="BH142" i="5"/>
  <c r="BH76" i="5"/>
  <c r="BI66" i="5" l="1"/>
  <c r="BH59" i="5"/>
  <c r="BI52" i="5" s="1"/>
  <c r="BH105" i="5"/>
  <c r="BI49" i="5"/>
  <c r="BI55" i="5"/>
  <c r="BI140" i="5"/>
  <c r="BI125" i="5"/>
  <c r="BI67" i="5" l="1"/>
  <c r="BI152" i="5"/>
  <c r="BI53" i="5"/>
  <c r="BI81" i="5"/>
  <c r="BI99" i="5" l="1"/>
  <c r="BI82" i="5"/>
  <c r="BI65" i="5"/>
  <c r="BI100" i="5" l="1"/>
  <c r="BK26" i="2"/>
  <c r="BK41" i="2" s="1"/>
  <c r="BK87" i="2" s="1"/>
  <c r="BK106" i="2" s="1"/>
  <c r="BK113" i="2" s="1"/>
  <c r="BK175" i="2" l="1"/>
  <c r="BK178" i="2" s="1"/>
  <c r="BK139" i="2"/>
  <c r="BK141" i="2" s="1"/>
  <c r="BK89" i="2"/>
  <c r="BK81" i="2"/>
  <c r="BK91" i="2" l="1"/>
  <c r="BK90" i="2"/>
  <c r="BK142" i="2"/>
  <c r="BK152" i="2" l="1"/>
  <c r="BK116" i="2"/>
  <c r="BK179" i="2"/>
  <c r="HS91" i="2"/>
  <c r="HL91" i="2" s="1"/>
  <c r="BK92" i="2"/>
  <c r="I91" i="2"/>
  <c r="BK195" i="2" l="1"/>
  <c r="BK196" i="2" s="1"/>
  <c r="BK187" i="2"/>
  <c r="BK206" i="2"/>
  <c r="BK118" i="2"/>
  <c r="BL137" i="2"/>
  <c r="BL140" i="2"/>
  <c r="BL107" i="2" l="1"/>
  <c r="BL184" i="2" s="1"/>
  <c r="BI28" i="5" l="1"/>
  <c r="BI26" i="5"/>
  <c r="BK208" i="2"/>
  <c r="BI36" i="5" l="1"/>
  <c r="BI29" i="5"/>
  <c r="BI56" i="5"/>
  <c r="BI61" i="5" s="1"/>
  <c r="BI68" i="5" l="1"/>
  <c r="BI126" i="5"/>
  <c r="BI141" i="5"/>
  <c r="BI46" i="5"/>
  <c r="BI37" i="5"/>
  <c r="BJ33" i="5" s="1"/>
  <c r="BI123" i="5"/>
  <c r="BI138" i="5"/>
  <c r="BI47" i="5" l="1"/>
  <c r="BJ42" i="5" s="1"/>
  <c r="BI57" i="5"/>
  <c r="BI83" i="5"/>
  <c r="BJ34" i="5"/>
  <c r="BJ35" i="5" l="1"/>
  <c r="BI69" i="5"/>
  <c r="BI101" i="5"/>
  <c r="BJ43" i="5"/>
  <c r="BI85" i="5" l="1"/>
  <c r="BI70" i="5"/>
  <c r="BI73" i="5" s="1"/>
  <c r="BJ39" i="5"/>
  <c r="BJ44" i="5"/>
  <c r="BJ124" i="5"/>
  <c r="BJ139" i="5"/>
  <c r="BI71" i="5" l="1"/>
  <c r="BJ64" i="5" s="1"/>
  <c r="BI104" i="5"/>
  <c r="BJ54" i="5"/>
  <c r="BJ45" i="5"/>
  <c r="BI58" i="5"/>
  <c r="BI86" i="5"/>
  <c r="BI127" i="5"/>
  <c r="BI142" i="5"/>
  <c r="BI76" i="5"/>
  <c r="BJ55" i="5" l="1"/>
  <c r="BJ49" i="5"/>
  <c r="BJ125" i="5"/>
  <c r="BJ140" i="5"/>
  <c r="BJ66" i="5"/>
  <c r="BI59" i="5"/>
  <c r="BJ52" i="5" s="1"/>
  <c r="BI105" i="5"/>
  <c r="BJ81" i="5" l="1"/>
  <c r="BJ53" i="5"/>
  <c r="BJ152" i="5"/>
  <c r="BJ67" i="5"/>
  <c r="BJ82" i="5" l="1"/>
  <c r="BJ65" i="5"/>
  <c r="BJ99" i="5"/>
  <c r="BJ100" i="5" l="1"/>
  <c r="BL26" i="2"/>
  <c r="BL41" i="2" s="1"/>
  <c r="BL87" i="2" s="1"/>
  <c r="BL106" i="2" s="1"/>
  <c r="BL175" i="2" l="1"/>
  <c r="BL178" i="2" s="1"/>
  <c r="BL139" i="2"/>
  <c r="BL141" i="2" s="1"/>
  <c r="BL92" i="2"/>
  <c r="BL89" i="2"/>
  <c r="BL113" i="2"/>
  <c r="BL81" i="2"/>
  <c r="BL142" i="2" l="1"/>
  <c r="BL152" i="2" s="1"/>
  <c r="BL90" i="2"/>
  <c r="BL116" i="2" l="1"/>
  <c r="BL118" i="2" s="1"/>
  <c r="BL179" i="2"/>
  <c r="BM140" i="2"/>
  <c r="BM137" i="2"/>
  <c r="BL195" i="2" l="1"/>
  <c r="BL196" i="2" s="1"/>
  <c r="BL187" i="2"/>
  <c r="BL194" i="2"/>
  <c r="BL206" i="2"/>
  <c r="BM107" i="2"/>
  <c r="BM184" i="2" s="1"/>
  <c r="BJ28" i="5" l="1"/>
  <c r="BJ56" i="5" s="1"/>
  <c r="BL129" i="2"/>
  <c r="BM121" i="2" s="1"/>
  <c r="BL208" i="2" l="1"/>
  <c r="BJ26" i="5"/>
  <c r="BJ36" i="5" s="1"/>
  <c r="BJ37" i="5" s="1"/>
  <c r="BK33" i="5" s="1"/>
  <c r="BJ68" i="5"/>
  <c r="BJ126" i="5"/>
  <c r="BJ141" i="5"/>
  <c r="BJ61" i="5"/>
  <c r="BJ138" i="5" l="1"/>
  <c r="BJ46" i="5"/>
  <c r="BJ57" i="5" s="1"/>
  <c r="BJ123" i="5"/>
  <c r="BJ29" i="5"/>
  <c r="BJ83" i="5"/>
  <c r="BK34" i="5"/>
  <c r="BJ47" i="5" l="1"/>
  <c r="BK42" i="5" s="1"/>
  <c r="BK43" i="5" s="1"/>
  <c r="BJ69" i="5"/>
  <c r="BJ101" i="5"/>
  <c r="BK35" i="5"/>
  <c r="BK44" i="5" l="1"/>
  <c r="BK39" i="5"/>
  <c r="BK139" i="5"/>
  <c r="BK124" i="5"/>
  <c r="BJ70" i="5"/>
  <c r="BJ73" i="5" s="1"/>
  <c r="BJ85" i="5"/>
  <c r="BJ71" i="5" l="1"/>
  <c r="BK64" i="5" s="1"/>
  <c r="BK45" i="5"/>
  <c r="BK54" i="5"/>
  <c r="BJ58" i="5"/>
  <c r="BJ86" i="5"/>
  <c r="BJ142" i="5"/>
  <c r="BJ127" i="5"/>
  <c r="BJ76" i="5"/>
  <c r="BJ104" i="5"/>
  <c r="BK55" i="5" l="1"/>
  <c r="BK49" i="5"/>
  <c r="BK140" i="5"/>
  <c r="BK125" i="5"/>
  <c r="BJ59" i="5"/>
  <c r="BK52" i="5" s="1"/>
  <c r="BJ105" i="5"/>
  <c r="BK66" i="5"/>
  <c r="BK67" i="5" l="1"/>
  <c r="BK152" i="5"/>
  <c r="BK53" i="5"/>
  <c r="BK81" i="5"/>
  <c r="BK65" i="5" l="1"/>
  <c r="BK99" i="5"/>
  <c r="BK82" i="5"/>
  <c r="BK100" i="5" l="1"/>
  <c r="BM26" i="2"/>
  <c r="BM175" i="2" s="1"/>
  <c r="BN26" i="2"/>
  <c r="BN175" i="2" s="1"/>
  <c r="BN178" i="2" s="1"/>
  <c r="BO26" i="2"/>
  <c r="BO175" i="2" s="1"/>
  <c r="BO178" i="2" s="1"/>
  <c r="BM41" i="2"/>
  <c r="BM92" i="2" s="1"/>
  <c r="BN41" i="2"/>
  <c r="BN87" i="2" s="1"/>
  <c r="BO41" i="2"/>
  <c r="BO92" i="2" s="1"/>
  <c r="BM139" i="2"/>
  <c r="BN89" i="2" l="1"/>
  <c r="BN90" i="2" s="1"/>
  <c r="BN106" i="2"/>
  <c r="BM87" i="2"/>
  <c r="BN81" i="2" s="1"/>
  <c r="BO87" i="2"/>
  <c r="BN92" i="2"/>
  <c r="BM178" i="2"/>
  <c r="BM141" i="2"/>
  <c r="BM81" i="2" l="1"/>
  <c r="BO89" i="2"/>
  <c r="BO90" i="2" s="1"/>
  <c r="BO106" i="2"/>
  <c r="BM106" i="2"/>
  <c r="BM113" i="2" s="1"/>
  <c r="BM89" i="2"/>
  <c r="BM90" i="2" s="1"/>
  <c r="BO81" i="2"/>
  <c r="BP81" i="2"/>
  <c r="BM142" i="2"/>
  <c r="BM116" i="2" l="1"/>
  <c r="BM152" i="2"/>
  <c r="BM179" i="2"/>
  <c r="BM195" i="2" l="1"/>
  <c r="BM196" i="2" s="1"/>
  <c r="BM187" i="2"/>
  <c r="BM206" i="2"/>
  <c r="BN137" i="2"/>
  <c r="BN139" i="2"/>
  <c r="BN140" i="2"/>
  <c r="BM118" i="2"/>
  <c r="BN141" i="2" l="1"/>
  <c r="BN107" i="2"/>
  <c r="BN184" i="2" s="1"/>
  <c r="BM194" i="2"/>
  <c r="BM129" i="2" l="1"/>
  <c r="BN121" i="2" s="1"/>
  <c r="BN113" i="2"/>
  <c r="BN142" i="2"/>
  <c r="BK26" i="5" l="1"/>
  <c r="BK28" i="5"/>
  <c r="BK56" i="5" s="1"/>
  <c r="BK141" i="5" s="1"/>
  <c r="BM208" i="2"/>
  <c r="BN179" i="2"/>
  <c r="BN152" i="2"/>
  <c r="BN116" i="2"/>
  <c r="BN195" i="2" l="1"/>
  <c r="BN196" i="2" s="1"/>
  <c r="BN187" i="2"/>
  <c r="BK68" i="5"/>
  <c r="BK83" i="5" s="1"/>
  <c r="BK61" i="5"/>
  <c r="BK126" i="5"/>
  <c r="BK36" i="5"/>
  <c r="BK29" i="5"/>
  <c r="BO139" i="2"/>
  <c r="BO140" i="2"/>
  <c r="BO137" i="2"/>
  <c r="BN118" i="2"/>
  <c r="BN206" i="2"/>
  <c r="BK46" i="5" l="1"/>
  <c r="BK37" i="5"/>
  <c r="BL33" i="5" s="1"/>
  <c r="BL34" i="5" s="1"/>
  <c r="BL35" i="5" s="1"/>
  <c r="BK123" i="5"/>
  <c r="BK138" i="5"/>
  <c r="BO141" i="2"/>
  <c r="BO142" i="2" s="1"/>
  <c r="BO152" i="2" s="1"/>
  <c r="BO107" i="2"/>
  <c r="BO184" i="2" s="1"/>
  <c r="BK101" i="5"/>
  <c r="BN194" i="2"/>
  <c r="BK57" i="5" l="1"/>
  <c r="BK69" i="5" s="1"/>
  <c r="BK70" i="5" s="1"/>
  <c r="BK71" i="5" s="1"/>
  <c r="BL64" i="5" s="1"/>
  <c r="BK47" i="5"/>
  <c r="BL42" i="5" s="1"/>
  <c r="BL43" i="5" s="1"/>
  <c r="BP139" i="2"/>
  <c r="BP140" i="2"/>
  <c r="BP137" i="2"/>
  <c r="BL44" i="5"/>
  <c r="BL39" i="5"/>
  <c r="BL139" i="5"/>
  <c r="BL124" i="5"/>
  <c r="BN129" i="2"/>
  <c r="BO121" i="2" s="1"/>
  <c r="BO179" i="2"/>
  <c r="BO113" i="2"/>
  <c r="BO195" i="2" l="1"/>
  <c r="BO196" i="2" s="1"/>
  <c r="BO187" i="2"/>
  <c r="BK85" i="5"/>
  <c r="BK104" i="5" s="1"/>
  <c r="BL26" i="5"/>
  <c r="BL28" i="5"/>
  <c r="BN208" i="2"/>
  <c r="BK73" i="5"/>
  <c r="BL54" i="5"/>
  <c r="BO206" i="2"/>
  <c r="BP141" i="2"/>
  <c r="BP142" i="2" s="1"/>
  <c r="BP107" i="2"/>
  <c r="BP184" i="2" s="1"/>
  <c r="BO116" i="2"/>
  <c r="BO118" i="2" s="1"/>
  <c r="BK58" i="5"/>
  <c r="BK86" i="5"/>
  <c r="BK127" i="5"/>
  <c r="BK142" i="5"/>
  <c r="BK76" i="5"/>
  <c r="BL45" i="5"/>
  <c r="BL36" i="5" l="1"/>
  <c r="BL29" i="5"/>
  <c r="BP179" i="2"/>
  <c r="BO194" i="2"/>
  <c r="BK105" i="5"/>
  <c r="BP152" i="2"/>
  <c r="BK59" i="5"/>
  <c r="BL52" i="5" s="1"/>
  <c r="BP113" i="2"/>
  <c r="BL55" i="5"/>
  <c r="BL49" i="5"/>
  <c r="BL140" i="5"/>
  <c r="BL125" i="5"/>
  <c r="BL66" i="5"/>
  <c r="BP195" i="2" l="1"/>
  <c r="BP196" i="2" s="1"/>
  <c r="BP187" i="2"/>
  <c r="BL37" i="5"/>
  <c r="BM33" i="5" s="1"/>
  <c r="BM34" i="5" s="1"/>
  <c r="BM35" i="5" s="1"/>
  <c r="BM139" i="5" s="1"/>
  <c r="BL46" i="5"/>
  <c r="BL123" i="5"/>
  <c r="BL138" i="5"/>
  <c r="BL81" i="5"/>
  <c r="BQ140" i="2"/>
  <c r="BQ137" i="2"/>
  <c r="BO129" i="2"/>
  <c r="BP121" i="2" s="1"/>
  <c r="BP116" i="2"/>
  <c r="BL53" i="5"/>
  <c r="BL152" i="5"/>
  <c r="BL67" i="5"/>
  <c r="BP206" i="2"/>
  <c r="BM39" i="5" l="1"/>
  <c r="BM44" i="5"/>
  <c r="BM54" i="5" s="1"/>
  <c r="BL47" i="5"/>
  <c r="BM42" i="5" s="1"/>
  <c r="BM43" i="5" s="1"/>
  <c r="BL57" i="5"/>
  <c r="BL69" i="5" s="1"/>
  <c r="BL85" i="5" s="1"/>
  <c r="BM124" i="5"/>
  <c r="BM26" i="5"/>
  <c r="BM28" i="5"/>
  <c r="BO208" i="2"/>
  <c r="BL65" i="5"/>
  <c r="BL56" i="5"/>
  <c r="BQ107" i="2"/>
  <c r="BQ184" i="2" s="1"/>
  <c r="BL99" i="5"/>
  <c r="BL82" i="5"/>
  <c r="BP118" i="2"/>
  <c r="BM45" i="5" l="1"/>
  <c r="BM55" i="5" s="1"/>
  <c r="BM29" i="5"/>
  <c r="BM36" i="5"/>
  <c r="BL104" i="5"/>
  <c r="BM66" i="5"/>
  <c r="BL68" i="5"/>
  <c r="BL141" i="5"/>
  <c r="BL126" i="5"/>
  <c r="BL61" i="5"/>
  <c r="BL100" i="5"/>
  <c r="BP194" i="2"/>
  <c r="BM140" i="5" l="1"/>
  <c r="BM49" i="5"/>
  <c r="BM152" i="5" s="1"/>
  <c r="BM125" i="5"/>
  <c r="BN26" i="5"/>
  <c r="BP208" i="2"/>
  <c r="BN28" i="5"/>
  <c r="C217" i="2"/>
  <c r="C218" i="2"/>
  <c r="BM37" i="5"/>
  <c r="BN33" i="5" s="1"/>
  <c r="BN34" i="5" s="1"/>
  <c r="BN35" i="5" s="1"/>
  <c r="BN39" i="5" s="1"/>
  <c r="BM46" i="5"/>
  <c r="BM138" i="5"/>
  <c r="BM123" i="5"/>
  <c r="BM81" i="5"/>
  <c r="BP129" i="2"/>
  <c r="BQ121" i="2" s="1"/>
  <c r="BL83" i="5"/>
  <c r="BM67" i="5"/>
  <c r="BL70" i="5"/>
  <c r="BL73" i="5" s="1"/>
  <c r="BM47" i="5" l="1"/>
  <c r="BN42" i="5" s="1"/>
  <c r="BN43" i="5" s="1"/>
  <c r="BM57" i="5"/>
  <c r="BM69" i="5" s="1"/>
  <c r="BM85" i="5" s="1"/>
  <c r="BN124" i="5"/>
  <c r="BN139" i="5"/>
  <c r="BN44" i="5"/>
  <c r="BN29" i="5"/>
  <c r="BN36" i="5"/>
  <c r="BN37" i="5" s="1"/>
  <c r="BO33" i="5" s="1"/>
  <c r="BO34" i="5" s="1"/>
  <c r="BL76" i="5"/>
  <c r="BM82" i="5"/>
  <c r="BL58" i="5"/>
  <c r="BL86" i="5"/>
  <c r="BL142" i="5"/>
  <c r="BL127" i="5"/>
  <c r="BL71" i="5"/>
  <c r="BM64" i="5" s="1"/>
  <c r="BL101" i="5"/>
  <c r="BM99" i="5"/>
  <c r="BN45" i="5" l="1"/>
  <c r="BN55" i="5" s="1"/>
  <c r="BN54" i="5"/>
  <c r="BN66" i="5" s="1"/>
  <c r="BN123" i="5"/>
  <c r="BN46" i="5"/>
  <c r="BN57" i="5" s="1"/>
  <c r="BN69" i="5" s="1"/>
  <c r="BN138" i="5"/>
  <c r="BM104" i="5"/>
  <c r="BL105" i="5"/>
  <c r="BO35" i="5"/>
  <c r="BL59" i="5"/>
  <c r="BM52" i="5" s="1"/>
  <c r="BM100" i="5"/>
  <c r="BN140" i="5" l="1"/>
  <c r="BN47" i="5"/>
  <c r="BO42" i="5" s="1"/>
  <c r="BO43" i="5" s="1"/>
  <c r="BN125" i="5"/>
  <c r="BN49" i="5"/>
  <c r="BN152" i="5" s="1"/>
  <c r="BN81" i="5"/>
  <c r="BN85" i="5"/>
  <c r="BO39" i="5"/>
  <c r="BO44" i="5"/>
  <c r="BO139" i="5"/>
  <c r="BO124" i="5"/>
  <c r="BN67" i="5"/>
  <c r="BM53" i="5"/>
  <c r="BO54" i="5" l="1"/>
  <c r="BM65" i="5"/>
  <c r="BM56" i="5"/>
  <c r="BO45" i="5"/>
  <c r="BN104" i="5"/>
  <c r="BN82" i="5"/>
  <c r="BN99" i="5"/>
  <c r="BM68" i="5" l="1"/>
  <c r="BM126" i="5"/>
  <c r="BM141" i="5"/>
  <c r="BM61" i="5"/>
  <c r="BO49" i="5"/>
  <c r="BO55" i="5"/>
  <c r="BO125" i="5"/>
  <c r="BO140" i="5"/>
  <c r="BN100" i="5"/>
  <c r="BO66" i="5"/>
  <c r="BM70" i="5" l="1"/>
  <c r="BM71" i="5" s="1"/>
  <c r="BN64" i="5" s="1"/>
  <c r="BM83" i="5"/>
  <c r="BO81" i="5"/>
  <c r="BO67" i="5"/>
  <c r="BO152" i="5"/>
  <c r="BM58" i="5" l="1"/>
  <c r="BM86" i="5"/>
  <c r="BM142" i="5"/>
  <c r="BM127" i="5"/>
  <c r="BM76" i="5"/>
  <c r="BM73" i="5"/>
  <c r="BO82" i="5"/>
  <c r="BO99" i="5"/>
  <c r="BM101" i="5"/>
  <c r="BM105" i="5" l="1"/>
  <c r="BO100" i="5"/>
  <c r="BM59" i="5"/>
  <c r="BN52" i="5" s="1"/>
  <c r="BN53" i="5" l="1"/>
  <c r="BN65" i="5" l="1"/>
  <c r="BN56" i="5"/>
  <c r="BN68" i="5" l="1"/>
  <c r="BN141" i="5"/>
  <c r="BN126" i="5"/>
  <c r="BN61" i="5"/>
  <c r="BN70" i="5" l="1"/>
  <c r="BN83" i="5"/>
  <c r="BN101" i="5" l="1"/>
  <c r="BN58" i="5"/>
  <c r="BN86" i="5"/>
  <c r="BN142" i="5"/>
  <c r="BN127" i="5"/>
  <c r="BN71" i="5"/>
  <c r="BO64" i="5" s="1"/>
  <c r="BN73" i="5"/>
  <c r="BN76" i="5"/>
  <c r="BN105" i="5" l="1"/>
  <c r="BN59" i="5"/>
  <c r="BO52" i="5" s="1"/>
  <c r="BO53" i="5" l="1"/>
  <c r="BO65" i="5" l="1"/>
  <c r="BQ26" i="2"/>
  <c r="BQ139" i="2" s="1"/>
  <c r="BQ175" i="2" l="1"/>
  <c r="BQ178" i="2" s="1"/>
  <c r="BQ141" i="2"/>
  <c r="BQ142" i="2" s="1"/>
  <c r="BQ41" i="2"/>
  <c r="BQ152" i="2" l="1"/>
  <c r="BQ179" i="2"/>
  <c r="BQ195" i="2" s="1"/>
  <c r="BQ92" i="2"/>
  <c r="BQ87" i="2"/>
  <c r="BQ196" i="2" l="1"/>
  <c r="BQ187" i="2"/>
  <c r="BQ81" i="2"/>
  <c r="BR81" i="2"/>
  <c r="BQ106" i="2"/>
  <c r="BQ89" i="2"/>
  <c r="BQ90" i="2" s="1"/>
  <c r="BQ206" i="2"/>
  <c r="BR140" i="2"/>
  <c r="BR139" i="2"/>
  <c r="BR137" i="2"/>
  <c r="BQ113" i="2" l="1"/>
  <c r="BR107" i="2"/>
  <c r="BR184" i="2" s="1"/>
  <c r="BR141" i="2"/>
  <c r="BR142" i="2" s="1"/>
  <c r="BR152" i="2" s="1"/>
  <c r="BS137" i="2" l="1"/>
  <c r="BS139" i="2"/>
  <c r="BS140" i="2"/>
  <c r="BS184" i="2"/>
  <c r="BR113" i="2"/>
  <c r="BR179" i="2"/>
  <c r="BQ116" i="2"/>
  <c r="BQ118" i="2" s="1"/>
  <c r="BR195" i="2" l="1"/>
  <c r="BR196" i="2" s="1"/>
  <c r="BR187" i="2"/>
  <c r="BS141" i="2"/>
  <c r="BS142" i="2" s="1"/>
  <c r="BS179" i="2" s="1"/>
  <c r="HS139" i="2"/>
  <c r="HS140" i="2"/>
  <c r="I107" i="2"/>
  <c r="J63" i="1" s="1"/>
  <c r="HS107" i="2"/>
  <c r="HL107" i="2" s="1"/>
  <c r="BQ194" i="2"/>
  <c r="I184" i="2"/>
  <c r="HS184" i="2"/>
  <c r="BR116" i="2"/>
  <c r="BR118" i="2" s="1"/>
  <c r="BR206" i="2"/>
  <c r="HS179" i="2"/>
  <c r="HS141" i="2" l="1"/>
  <c r="HS142" i="2"/>
  <c r="BS151" i="2"/>
  <c r="HS151" i="2" s="1"/>
  <c r="L63" i="1"/>
  <c r="BO28" i="5"/>
  <c r="BO26" i="5"/>
  <c r="BQ208" i="2"/>
  <c r="H28" i="7"/>
  <c r="I28" i="7" s="1"/>
  <c r="J28" i="7" s="1"/>
  <c r="E24" i="1"/>
  <c r="F24" i="1" s="1"/>
  <c r="BR194" i="2"/>
  <c r="BP26" i="5" s="1"/>
  <c r="D11" i="25"/>
  <c r="E11" i="25" s="1"/>
  <c r="K43" i="7"/>
  <c r="O43" i="7" s="1"/>
  <c r="HL184" i="2"/>
  <c r="BQ129" i="2"/>
  <c r="BR121" i="2" s="1"/>
  <c r="BS152" i="2" l="1"/>
  <c r="BT137" i="2" s="1"/>
  <c r="D9" i="9" s="1"/>
  <c r="BS186" i="2"/>
  <c r="HS186" i="2" s="1"/>
  <c r="K44" i="7" s="1"/>
  <c r="BT140" i="2"/>
  <c r="BT139" i="2"/>
  <c r="BR208" i="2"/>
  <c r="BP28" i="5"/>
  <c r="BP29" i="5" s="1"/>
  <c r="BO36" i="5"/>
  <c r="BO29" i="5"/>
  <c r="BO56" i="5"/>
  <c r="BO61" i="5" s="1"/>
  <c r="BR129" i="2"/>
  <c r="BS121" i="2" s="1"/>
  <c r="HS152" i="2"/>
  <c r="HT137" i="2" s="1"/>
  <c r="BP36" i="5"/>
  <c r="BT141" i="2" l="1"/>
  <c r="E232" i="9"/>
  <c r="G232" i="9" s="1"/>
  <c r="H232" i="9" s="1"/>
  <c r="E179" i="9"/>
  <c r="G179" i="9" s="1"/>
  <c r="H179" i="9" s="1"/>
  <c r="E86" i="9"/>
  <c r="E341" i="9"/>
  <c r="G341" i="9" s="1"/>
  <c r="H341" i="9" s="1"/>
  <c r="E313" i="9"/>
  <c r="G313" i="9" s="1"/>
  <c r="H313" i="9" s="1"/>
  <c r="E191" i="9"/>
  <c r="G191" i="9" s="1"/>
  <c r="H191" i="9" s="1"/>
  <c r="E350" i="9"/>
  <c r="G350" i="9" s="1"/>
  <c r="H350" i="9" s="1"/>
  <c r="E28" i="9"/>
  <c r="E134" i="9"/>
  <c r="G134" i="9" s="1"/>
  <c r="H134" i="9" s="1"/>
  <c r="E338" i="9"/>
  <c r="G338" i="9" s="1"/>
  <c r="H338" i="9" s="1"/>
  <c r="E78" i="9"/>
  <c r="E24" i="9"/>
  <c r="E297" i="9"/>
  <c r="G297" i="9" s="1"/>
  <c r="H297" i="9" s="1"/>
  <c r="E306" i="9"/>
  <c r="G306" i="9" s="1"/>
  <c r="H306" i="9" s="1"/>
  <c r="E85" i="9"/>
  <c r="E250" i="9"/>
  <c r="G250" i="9" s="1"/>
  <c r="H250" i="9" s="1"/>
  <c r="E261" i="9"/>
  <c r="G261" i="9" s="1"/>
  <c r="H261" i="9" s="1"/>
  <c r="E317" i="9"/>
  <c r="G317" i="9" s="1"/>
  <c r="H317" i="9" s="1"/>
  <c r="E173" i="9"/>
  <c r="G173" i="9" s="1"/>
  <c r="H173" i="9" s="1"/>
  <c r="E238" i="9"/>
  <c r="G238" i="9" s="1"/>
  <c r="H238" i="9" s="1"/>
  <c r="E321" i="9"/>
  <c r="G321" i="9" s="1"/>
  <c r="H321" i="9" s="1"/>
  <c r="E227" i="9"/>
  <c r="G227" i="9" s="1"/>
  <c r="H227" i="9" s="1"/>
  <c r="E35" i="9"/>
  <c r="E291" i="9"/>
  <c r="G291" i="9" s="1"/>
  <c r="H291" i="9" s="1"/>
  <c r="E58" i="9"/>
  <c r="E14" i="9"/>
  <c r="E142" i="9"/>
  <c r="G142" i="9" s="1"/>
  <c r="H142" i="9" s="1"/>
  <c r="E162" i="9"/>
  <c r="G162" i="9" s="1"/>
  <c r="H162" i="9" s="1"/>
  <c r="E357" i="9"/>
  <c r="G357" i="9" s="1"/>
  <c r="H357" i="9" s="1"/>
  <c r="E268" i="9"/>
  <c r="G268" i="9" s="1"/>
  <c r="H268" i="9" s="1"/>
  <c r="E36" i="9"/>
  <c r="E81" i="9"/>
  <c r="E71" i="9"/>
  <c r="E48" i="9"/>
  <c r="E37" i="9"/>
  <c r="E203" i="9"/>
  <c r="G203" i="9" s="1"/>
  <c r="H203" i="9" s="1"/>
  <c r="E286" i="9"/>
  <c r="G286" i="9" s="1"/>
  <c r="H286" i="9" s="1"/>
  <c r="E115" i="9"/>
  <c r="E89" i="9"/>
  <c r="E93" i="9"/>
  <c r="E96" i="9"/>
  <c r="E42" i="9"/>
  <c r="E111" i="9"/>
  <c r="E103" i="9"/>
  <c r="E110" i="9"/>
  <c r="E163" i="9"/>
  <c r="G163" i="9" s="1"/>
  <c r="H163" i="9" s="1"/>
  <c r="E279" i="9"/>
  <c r="G279" i="9" s="1"/>
  <c r="H279" i="9" s="1"/>
  <c r="E54" i="9"/>
  <c r="E277" i="9"/>
  <c r="G277" i="9" s="1"/>
  <c r="H277" i="9" s="1"/>
  <c r="E258" i="9"/>
  <c r="G258" i="9" s="1"/>
  <c r="H258" i="9" s="1"/>
  <c r="E133" i="9"/>
  <c r="G133" i="9" s="1"/>
  <c r="H133" i="9" s="1"/>
  <c r="E249" i="9"/>
  <c r="G249" i="9" s="1"/>
  <c r="H249" i="9" s="1"/>
  <c r="E247" i="9"/>
  <c r="G247" i="9" s="1"/>
  <c r="H247" i="9" s="1"/>
  <c r="E138" i="9"/>
  <c r="E56" i="9"/>
  <c r="E108" i="9"/>
  <c r="E292" i="9"/>
  <c r="G292" i="9" s="1"/>
  <c r="H292" i="9" s="1"/>
  <c r="E29" i="9"/>
  <c r="E237" i="9"/>
  <c r="G237" i="9" s="1"/>
  <c r="H237" i="9" s="1"/>
  <c r="E346" i="9"/>
  <c r="G346" i="9" s="1"/>
  <c r="H346" i="9" s="1"/>
  <c r="E174" i="9"/>
  <c r="G174" i="9" s="1"/>
  <c r="H174" i="9" s="1"/>
  <c r="E222" i="9"/>
  <c r="G222" i="9" s="1"/>
  <c r="H222" i="9" s="1"/>
  <c r="E244" i="9"/>
  <c r="G244" i="9" s="1"/>
  <c r="H244" i="9" s="1"/>
  <c r="E284" i="9"/>
  <c r="G284" i="9" s="1"/>
  <c r="H284" i="9" s="1"/>
  <c r="E210" i="9"/>
  <c r="G210" i="9" s="1"/>
  <c r="H210" i="9" s="1"/>
  <c r="E246" i="9"/>
  <c r="G246" i="9" s="1"/>
  <c r="H246" i="9" s="1"/>
  <c r="E22" i="9"/>
  <c r="E336" i="9"/>
  <c r="G336" i="9" s="1"/>
  <c r="H336" i="9" s="1"/>
  <c r="E339" i="9"/>
  <c r="G339" i="9" s="1"/>
  <c r="H339" i="9" s="1"/>
  <c r="E59" i="9"/>
  <c r="E323" i="9"/>
  <c r="G323" i="9" s="1"/>
  <c r="H323" i="9" s="1"/>
  <c r="E209" i="9"/>
  <c r="G209" i="9" s="1"/>
  <c r="H209" i="9" s="1"/>
  <c r="E290" i="9"/>
  <c r="G290" i="9" s="1"/>
  <c r="H290" i="9" s="1"/>
  <c r="E310" i="9"/>
  <c r="G310" i="9" s="1"/>
  <c r="H310" i="9" s="1"/>
  <c r="E205" i="9"/>
  <c r="G205" i="9" s="1"/>
  <c r="H205" i="9" s="1"/>
  <c r="E23" i="9"/>
  <c r="E220" i="9"/>
  <c r="G220" i="9" s="1"/>
  <c r="H220" i="9" s="1"/>
  <c r="E316" i="9"/>
  <c r="G316" i="9" s="1"/>
  <c r="H316" i="9" s="1"/>
  <c r="E256" i="9"/>
  <c r="G256" i="9" s="1"/>
  <c r="H256" i="9" s="1"/>
  <c r="E181" i="9"/>
  <c r="G181" i="9" s="1"/>
  <c r="H181" i="9" s="1"/>
  <c r="E178" i="9"/>
  <c r="G178" i="9" s="1"/>
  <c r="H178" i="9" s="1"/>
  <c r="E88" i="9"/>
  <c r="E198" i="9"/>
  <c r="G198" i="9" s="1"/>
  <c r="H198" i="9" s="1"/>
  <c r="E285" i="9"/>
  <c r="G285" i="9" s="1"/>
  <c r="H285" i="9" s="1"/>
  <c r="E352" i="9"/>
  <c r="G352" i="9" s="1"/>
  <c r="H352" i="9" s="1"/>
  <c r="E63" i="9"/>
  <c r="E225" i="9"/>
  <c r="G225" i="9" s="1"/>
  <c r="H225" i="9" s="1"/>
  <c r="E109" i="9"/>
  <c r="E98" i="9"/>
  <c r="E188" i="9"/>
  <c r="G188" i="9" s="1"/>
  <c r="H188" i="9" s="1"/>
  <c r="E53" i="9"/>
  <c r="E228" i="9"/>
  <c r="G228" i="9" s="1"/>
  <c r="H228" i="9" s="1"/>
  <c r="E119" i="9"/>
  <c r="E51" i="9"/>
  <c r="E15" i="9"/>
  <c r="E12" i="9"/>
  <c r="E67" i="9"/>
  <c r="E123" i="9"/>
  <c r="G123" i="9" s="1"/>
  <c r="H123" i="9" s="1"/>
  <c r="E125" i="9"/>
  <c r="G125" i="9" s="1"/>
  <c r="H125" i="9" s="1"/>
  <c r="E46" i="9"/>
  <c r="F9" i="9"/>
  <c r="E252" i="9"/>
  <c r="G252" i="9" s="1"/>
  <c r="H252" i="9" s="1"/>
  <c r="E278" i="9"/>
  <c r="G278" i="9" s="1"/>
  <c r="H278" i="9" s="1"/>
  <c r="E13" i="9"/>
  <c r="E116" i="9"/>
  <c r="E34" i="9"/>
  <c r="E146" i="9"/>
  <c r="G146" i="9" s="1"/>
  <c r="H146" i="9" s="1"/>
  <c r="E327" i="9"/>
  <c r="G327" i="9" s="1"/>
  <c r="H327" i="9" s="1"/>
  <c r="E234" i="9"/>
  <c r="G234" i="9" s="1"/>
  <c r="H234" i="9" s="1"/>
  <c r="E269" i="9"/>
  <c r="G269" i="9" s="1"/>
  <c r="H269" i="9" s="1"/>
  <c r="E79" i="9"/>
  <c r="E11" i="9"/>
  <c r="E294" i="9"/>
  <c r="G294" i="9" s="1"/>
  <c r="H294" i="9" s="1"/>
  <c r="E171" i="9"/>
  <c r="G171" i="9" s="1"/>
  <c r="H171" i="9" s="1"/>
  <c r="E130" i="9"/>
  <c r="G130" i="9" s="1"/>
  <c r="H130" i="9" s="1"/>
  <c r="E27" i="9"/>
  <c r="E273" i="9"/>
  <c r="G273" i="9" s="1"/>
  <c r="H273" i="9" s="1"/>
  <c r="E305" i="9"/>
  <c r="G305" i="9" s="1"/>
  <c r="H305" i="9" s="1"/>
  <c r="E329" i="9"/>
  <c r="G329" i="9" s="1"/>
  <c r="H329" i="9" s="1"/>
  <c r="E169" i="9"/>
  <c r="G169" i="9" s="1"/>
  <c r="H169" i="9" s="1"/>
  <c r="E251" i="9"/>
  <c r="G251" i="9" s="1"/>
  <c r="H251" i="9" s="1"/>
  <c r="E353" i="9"/>
  <c r="G353" i="9" s="1"/>
  <c r="H353" i="9" s="1"/>
  <c r="E216" i="9"/>
  <c r="G216" i="9" s="1"/>
  <c r="H216" i="9" s="1"/>
  <c r="E331" i="9"/>
  <c r="G331" i="9" s="1"/>
  <c r="H331" i="9" s="1"/>
  <c r="E262" i="9"/>
  <c r="G262" i="9" s="1"/>
  <c r="H262" i="9" s="1"/>
  <c r="E365" i="9"/>
  <c r="G365" i="9" s="1"/>
  <c r="H365" i="9" s="1"/>
  <c r="E296" i="9"/>
  <c r="G296" i="9" s="1"/>
  <c r="H296" i="9" s="1"/>
  <c r="E307" i="9"/>
  <c r="G307" i="9" s="1"/>
  <c r="H307" i="9" s="1"/>
  <c r="E361" i="9"/>
  <c r="G361" i="9" s="1"/>
  <c r="H361" i="9" s="1"/>
  <c r="E32" i="9"/>
  <c r="E359" i="9"/>
  <c r="G359" i="9" s="1"/>
  <c r="H359" i="9" s="1"/>
  <c r="E240" i="9"/>
  <c r="G240" i="9" s="1"/>
  <c r="H240" i="9" s="1"/>
  <c r="E152" i="9"/>
  <c r="G152" i="9" s="1"/>
  <c r="H152" i="9" s="1"/>
  <c r="E177" i="9"/>
  <c r="G177" i="9" s="1"/>
  <c r="H177" i="9" s="1"/>
  <c r="E197" i="9"/>
  <c r="G197" i="9" s="1"/>
  <c r="H197" i="9" s="1"/>
  <c r="E348" i="9"/>
  <c r="G348" i="9" s="1"/>
  <c r="H348" i="9" s="1"/>
  <c r="E218" i="9"/>
  <c r="G218" i="9" s="1"/>
  <c r="H218" i="9" s="1"/>
  <c r="E65" i="9"/>
  <c r="E193" i="9"/>
  <c r="G193" i="9" s="1"/>
  <c r="H193" i="9" s="1"/>
  <c r="E223" i="9"/>
  <c r="G223" i="9" s="1"/>
  <c r="H223" i="9" s="1"/>
  <c r="E335" i="9"/>
  <c r="G335" i="9" s="1"/>
  <c r="H335" i="9" s="1"/>
  <c r="E298" i="9"/>
  <c r="G298" i="9" s="1"/>
  <c r="H298" i="9" s="1"/>
  <c r="E47" i="9"/>
  <c r="E106" i="9"/>
  <c r="E102" i="9"/>
  <c r="E95" i="9"/>
  <c r="E25" i="9"/>
  <c r="E83" i="9"/>
  <c r="E136" i="9"/>
  <c r="E107" i="9"/>
  <c r="E135" i="9"/>
  <c r="E76" i="9"/>
  <c r="E144" i="9"/>
  <c r="G144" i="9" s="1"/>
  <c r="H144" i="9" s="1"/>
  <c r="E300" i="9"/>
  <c r="G300" i="9" s="1"/>
  <c r="H300" i="9" s="1"/>
  <c r="E160" i="9"/>
  <c r="G160" i="9" s="1"/>
  <c r="H160" i="9" s="1"/>
  <c r="E117" i="9"/>
  <c r="E270" i="9"/>
  <c r="G270" i="9" s="1"/>
  <c r="H270" i="9" s="1"/>
  <c r="E151" i="9"/>
  <c r="G151" i="9" s="1"/>
  <c r="H151" i="9" s="1"/>
  <c r="E311" i="9"/>
  <c r="G311" i="9" s="1"/>
  <c r="H311" i="9" s="1"/>
  <c r="E260" i="9"/>
  <c r="G260" i="9" s="1"/>
  <c r="H260" i="9" s="1"/>
  <c r="E189" i="9"/>
  <c r="G189" i="9" s="1"/>
  <c r="H189" i="9" s="1"/>
  <c r="E325" i="9"/>
  <c r="G325" i="9" s="1"/>
  <c r="H325" i="9" s="1"/>
  <c r="E149" i="9"/>
  <c r="G149" i="9" s="1"/>
  <c r="H149" i="9" s="1"/>
  <c r="E199" i="9"/>
  <c r="G199" i="9" s="1"/>
  <c r="H199" i="9" s="1"/>
  <c r="E20" i="9"/>
  <c r="E259" i="9"/>
  <c r="G259" i="9" s="1"/>
  <c r="H259" i="9" s="1"/>
  <c r="E301" i="9"/>
  <c r="G301" i="9" s="1"/>
  <c r="H301" i="9" s="1"/>
  <c r="E255" i="9"/>
  <c r="G255" i="9" s="1"/>
  <c r="H255" i="9" s="1"/>
  <c r="E114" i="9"/>
  <c r="E364" i="9"/>
  <c r="G364" i="9" s="1"/>
  <c r="H364" i="9" s="1"/>
  <c r="E275" i="9"/>
  <c r="G275" i="9" s="1"/>
  <c r="H275" i="9" s="1"/>
  <c r="E154" i="9"/>
  <c r="G154" i="9" s="1"/>
  <c r="H154" i="9" s="1"/>
  <c r="E304" i="9"/>
  <c r="G304" i="9" s="1"/>
  <c r="H304" i="9" s="1"/>
  <c r="E280" i="9"/>
  <c r="G280" i="9" s="1"/>
  <c r="H280" i="9" s="1"/>
  <c r="E276" i="9"/>
  <c r="G276" i="9" s="1"/>
  <c r="H276" i="9" s="1"/>
  <c r="E211" i="9"/>
  <c r="G211" i="9" s="1"/>
  <c r="H211" i="9" s="1"/>
  <c r="E213" i="9"/>
  <c r="G213" i="9" s="1"/>
  <c r="H213" i="9" s="1"/>
  <c r="E40" i="9"/>
  <c r="E254" i="9"/>
  <c r="G254" i="9" s="1"/>
  <c r="H254" i="9" s="1"/>
  <c r="E356" i="9"/>
  <c r="G356" i="9" s="1"/>
  <c r="H356" i="9" s="1"/>
  <c r="E39" i="9"/>
  <c r="E66" i="9"/>
  <c r="E224" i="9"/>
  <c r="G224" i="9" s="1"/>
  <c r="H224" i="9" s="1"/>
  <c r="E333" i="9"/>
  <c r="G333" i="9" s="1"/>
  <c r="H333" i="9" s="1"/>
  <c r="E328" i="9"/>
  <c r="G328" i="9" s="1"/>
  <c r="H328" i="9" s="1"/>
  <c r="E21" i="9"/>
  <c r="E217" i="9"/>
  <c r="G217" i="9" s="1"/>
  <c r="H217" i="9" s="1"/>
  <c r="E128" i="9"/>
  <c r="G128" i="9" s="1"/>
  <c r="H128" i="9" s="1"/>
  <c r="E84" i="9"/>
  <c r="E293" i="9"/>
  <c r="G293" i="9" s="1"/>
  <c r="H293" i="9" s="1"/>
  <c r="E120" i="9"/>
  <c r="E187" i="9"/>
  <c r="G187" i="9" s="1"/>
  <c r="H187" i="9" s="1"/>
  <c r="E18" i="9"/>
  <c r="E126" i="9"/>
  <c r="G126" i="9" s="1"/>
  <c r="H126" i="9" s="1"/>
  <c r="E97" i="9"/>
  <c r="E74" i="9"/>
  <c r="E68" i="9"/>
  <c r="E61" i="9"/>
  <c r="E57" i="9"/>
  <c r="E265" i="9"/>
  <c r="G265" i="9" s="1"/>
  <c r="H265" i="9" s="1"/>
  <c r="E43" i="9"/>
  <c r="E362" i="9"/>
  <c r="G362" i="9" s="1"/>
  <c r="H362" i="9" s="1"/>
  <c r="E299" i="9"/>
  <c r="G299" i="9" s="1"/>
  <c r="H299" i="9" s="1"/>
  <c r="E308" i="9"/>
  <c r="G308" i="9" s="1"/>
  <c r="H308" i="9" s="1"/>
  <c r="E312" i="9"/>
  <c r="G312" i="9" s="1"/>
  <c r="H312" i="9" s="1"/>
  <c r="E326" i="9"/>
  <c r="G326" i="9" s="1"/>
  <c r="H326" i="9" s="1"/>
  <c r="E309" i="9"/>
  <c r="G309" i="9" s="1"/>
  <c r="H309" i="9" s="1"/>
  <c r="E366" i="9"/>
  <c r="G366" i="9" s="1"/>
  <c r="H366" i="9" s="1"/>
  <c r="E324" i="9"/>
  <c r="G324" i="9" s="1"/>
  <c r="H324" i="9" s="1"/>
  <c r="E145" i="9"/>
  <c r="G145" i="9" s="1"/>
  <c r="H145" i="9" s="1"/>
  <c r="E351" i="9"/>
  <c r="G351" i="9" s="1"/>
  <c r="H351" i="9" s="1"/>
  <c r="E194" i="9"/>
  <c r="G194" i="9" s="1"/>
  <c r="H194" i="9" s="1"/>
  <c r="E239" i="9"/>
  <c r="G239" i="9" s="1"/>
  <c r="H239" i="9" s="1"/>
  <c r="E157" i="9"/>
  <c r="G157" i="9" s="1"/>
  <c r="H157" i="9" s="1"/>
  <c r="E82" i="9"/>
  <c r="E221" i="9"/>
  <c r="G221" i="9" s="1"/>
  <c r="H221" i="9" s="1"/>
  <c r="E204" i="9"/>
  <c r="G204" i="9" s="1"/>
  <c r="H204" i="9" s="1"/>
  <c r="E219" i="9"/>
  <c r="G219" i="9" s="1"/>
  <c r="H219" i="9" s="1"/>
  <c r="E226" i="9"/>
  <c r="G226" i="9" s="1"/>
  <c r="H226" i="9" s="1"/>
  <c r="E267" i="9"/>
  <c r="G267" i="9" s="1"/>
  <c r="H267" i="9" s="1"/>
  <c r="E318" i="9"/>
  <c r="G318" i="9" s="1"/>
  <c r="H318" i="9" s="1"/>
  <c r="E112" i="9"/>
  <c r="E200" i="9"/>
  <c r="G200" i="9" s="1"/>
  <c r="H200" i="9" s="1"/>
  <c r="E141" i="9"/>
  <c r="G141" i="9" s="1"/>
  <c r="H141" i="9" s="1"/>
  <c r="E140" i="9"/>
  <c r="G140" i="9" s="1"/>
  <c r="H140" i="9" s="1"/>
  <c r="E358" i="9"/>
  <c r="G358" i="9" s="1"/>
  <c r="H358" i="9" s="1"/>
  <c r="E158" i="9"/>
  <c r="G158" i="9" s="1"/>
  <c r="H158" i="9" s="1"/>
  <c r="E161" i="9"/>
  <c r="G161" i="9" s="1"/>
  <c r="H161" i="9" s="1"/>
  <c r="E264" i="9"/>
  <c r="G264" i="9" s="1"/>
  <c r="H264" i="9" s="1"/>
  <c r="E257" i="9"/>
  <c r="G257" i="9" s="1"/>
  <c r="H257" i="9" s="1"/>
  <c r="E201" i="9"/>
  <c r="G201" i="9" s="1"/>
  <c r="H201" i="9" s="1"/>
  <c r="E272" i="9"/>
  <c r="G272" i="9" s="1"/>
  <c r="H272" i="9" s="1"/>
  <c r="E164" i="9"/>
  <c r="G164" i="9" s="1"/>
  <c r="H164" i="9" s="1"/>
  <c r="E245" i="9"/>
  <c r="G245" i="9" s="1"/>
  <c r="H245" i="9" s="1"/>
  <c r="E263" i="9"/>
  <c r="G263" i="9" s="1"/>
  <c r="H263" i="9" s="1"/>
  <c r="E212" i="9"/>
  <c r="G212" i="9" s="1"/>
  <c r="H212" i="9" s="1"/>
  <c r="E87" i="9"/>
  <c r="E248" i="9"/>
  <c r="G248" i="9" s="1"/>
  <c r="H248" i="9" s="1"/>
  <c r="E104" i="9"/>
  <c r="E72" i="9"/>
  <c r="E55" i="9"/>
  <c r="E122" i="9"/>
  <c r="E77" i="9"/>
  <c r="E44" i="9"/>
  <c r="E33" i="9"/>
  <c r="E45" i="9"/>
  <c r="E322" i="9"/>
  <c r="G322" i="9" s="1"/>
  <c r="H322" i="9" s="1"/>
  <c r="E295" i="9"/>
  <c r="G295" i="9" s="1"/>
  <c r="H295" i="9" s="1"/>
  <c r="E170" i="9"/>
  <c r="G170" i="9" s="1"/>
  <c r="H170" i="9" s="1"/>
  <c r="E202" i="9"/>
  <c r="G202" i="9" s="1"/>
  <c r="H202" i="9" s="1"/>
  <c r="E113" i="9"/>
  <c r="E127" i="9"/>
  <c r="G127" i="9" s="1"/>
  <c r="H127" i="9" s="1"/>
  <c r="E168" i="9"/>
  <c r="G168" i="9" s="1"/>
  <c r="H168" i="9" s="1"/>
  <c r="E195" i="9"/>
  <c r="G195" i="9" s="1"/>
  <c r="H195" i="9" s="1"/>
  <c r="E343" i="9"/>
  <c r="G343" i="9" s="1"/>
  <c r="H343" i="9" s="1"/>
  <c r="E64" i="9"/>
  <c r="E166" i="9"/>
  <c r="G166" i="9" s="1"/>
  <c r="H166" i="9" s="1"/>
  <c r="E147" i="9"/>
  <c r="G147" i="9" s="1"/>
  <c r="H147" i="9" s="1"/>
  <c r="E148" i="9"/>
  <c r="G148" i="9" s="1"/>
  <c r="H148" i="9" s="1"/>
  <c r="E192" i="9"/>
  <c r="G192" i="9" s="1"/>
  <c r="H192" i="9" s="1"/>
  <c r="E349" i="9"/>
  <c r="G349" i="9" s="1"/>
  <c r="H349" i="9" s="1"/>
  <c r="E354" i="9"/>
  <c r="G354" i="9" s="1"/>
  <c r="H354" i="9" s="1"/>
  <c r="E159" i="9"/>
  <c r="G159" i="9" s="1"/>
  <c r="H159" i="9" s="1"/>
  <c r="E207" i="9"/>
  <c r="G207" i="9" s="1"/>
  <c r="H207" i="9" s="1"/>
  <c r="E41" i="9"/>
  <c r="E73" i="9"/>
  <c r="E94" i="9"/>
  <c r="E215" i="9"/>
  <c r="G215" i="9" s="1"/>
  <c r="H215" i="9" s="1"/>
  <c r="E206" i="9"/>
  <c r="G206" i="9" s="1"/>
  <c r="H206" i="9" s="1"/>
  <c r="E253" i="9"/>
  <c r="G253" i="9" s="1"/>
  <c r="H253" i="9" s="1"/>
  <c r="E99" i="9"/>
  <c r="E360" i="9"/>
  <c r="G360" i="9" s="1"/>
  <c r="H360" i="9" s="1"/>
  <c r="E236" i="9"/>
  <c r="G236" i="9" s="1"/>
  <c r="H236" i="9" s="1"/>
  <c r="E235" i="9"/>
  <c r="G235" i="9" s="1"/>
  <c r="H235" i="9" s="1"/>
  <c r="E10" i="9"/>
  <c r="E303" i="9"/>
  <c r="G303" i="9" s="1"/>
  <c r="H303" i="9" s="1"/>
  <c r="E266" i="9"/>
  <c r="G266" i="9" s="1"/>
  <c r="H266" i="9" s="1"/>
  <c r="E288" i="9"/>
  <c r="G288" i="9" s="1"/>
  <c r="H288" i="9" s="1"/>
  <c r="E314" i="9"/>
  <c r="G314" i="9" s="1"/>
  <c r="H314" i="9" s="1"/>
  <c r="E131" i="9"/>
  <c r="G131" i="9" s="1"/>
  <c r="H131" i="9" s="1"/>
  <c r="E16" i="9"/>
  <c r="E283" i="9"/>
  <c r="G283" i="9" s="1"/>
  <c r="H283" i="9" s="1"/>
  <c r="E282" i="9"/>
  <c r="G282" i="9" s="1"/>
  <c r="H282" i="9" s="1"/>
  <c r="E167" i="9"/>
  <c r="G167" i="9" s="1"/>
  <c r="H167" i="9" s="1"/>
  <c r="E155" i="9"/>
  <c r="G155" i="9" s="1"/>
  <c r="H155" i="9" s="1"/>
  <c r="E92" i="9"/>
  <c r="E287" i="9"/>
  <c r="G287" i="9" s="1"/>
  <c r="H287" i="9" s="1"/>
  <c r="E186" i="9"/>
  <c r="G186" i="9" s="1"/>
  <c r="H186" i="9" s="1"/>
  <c r="E75" i="9"/>
  <c r="E49" i="9"/>
  <c r="E124" i="9"/>
  <c r="G124" i="9" s="1"/>
  <c r="H124" i="9" s="1"/>
  <c r="E100" i="9"/>
  <c r="E17" i="9"/>
  <c r="E9" i="9"/>
  <c r="E38" i="9"/>
  <c r="E185" i="9"/>
  <c r="G185" i="9" s="1"/>
  <c r="H185" i="9" s="1"/>
  <c r="E80" i="9"/>
  <c r="E289" i="9"/>
  <c r="G289" i="9" s="1"/>
  <c r="H289" i="9" s="1"/>
  <c r="E355" i="9"/>
  <c r="G355" i="9" s="1"/>
  <c r="H355" i="9" s="1"/>
  <c r="E30" i="9"/>
  <c r="E183" i="9"/>
  <c r="G183" i="9" s="1"/>
  <c r="H183" i="9" s="1"/>
  <c r="E143" i="9"/>
  <c r="G143" i="9" s="1"/>
  <c r="H143" i="9" s="1"/>
  <c r="E345" i="9"/>
  <c r="G345" i="9" s="1"/>
  <c r="H345" i="9" s="1"/>
  <c r="E70" i="9"/>
  <c r="E208" i="9"/>
  <c r="G208" i="9" s="1"/>
  <c r="H208" i="9" s="1"/>
  <c r="E334" i="9"/>
  <c r="G334" i="9" s="1"/>
  <c r="H334" i="9" s="1"/>
  <c r="E340" i="9"/>
  <c r="G340" i="9" s="1"/>
  <c r="H340" i="9" s="1"/>
  <c r="E182" i="9"/>
  <c r="G182" i="9" s="1"/>
  <c r="H182" i="9" s="1"/>
  <c r="E101" i="9"/>
  <c r="E105" i="9"/>
  <c r="E242" i="9"/>
  <c r="G242" i="9" s="1"/>
  <c r="H242" i="9" s="1"/>
  <c r="E50" i="9"/>
  <c r="E241" i="9"/>
  <c r="G241" i="9" s="1"/>
  <c r="H241" i="9" s="1"/>
  <c r="E172" i="9"/>
  <c r="G172" i="9" s="1"/>
  <c r="H172" i="9" s="1"/>
  <c r="E62" i="9"/>
  <c r="E180" i="9"/>
  <c r="G180" i="9" s="1"/>
  <c r="H180" i="9" s="1"/>
  <c r="E165" i="9"/>
  <c r="G165" i="9" s="1"/>
  <c r="H165" i="9" s="1"/>
  <c r="E315" i="9"/>
  <c r="G315" i="9" s="1"/>
  <c r="H315" i="9" s="1"/>
  <c r="E274" i="9"/>
  <c r="G274" i="9" s="1"/>
  <c r="H274" i="9" s="1"/>
  <c r="E332" i="9"/>
  <c r="G332" i="9" s="1"/>
  <c r="H332" i="9" s="1"/>
  <c r="E190" i="9"/>
  <c r="G190" i="9" s="1"/>
  <c r="H190" i="9" s="1"/>
  <c r="E281" i="9"/>
  <c r="G281" i="9" s="1"/>
  <c r="H281" i="9" s="1"/>
  <c r="E233" i="9"/>
  <c r="G233" i="9" s="1"/>
  <c r="H233" i="9" s="1"/>
  <c r="E342" i="9"/>
  <c r="G342" i="9" s="1"/>
  <c r="H342" i="9" s="1"/>
  <c r="E243" i="9"/>
  <c r="G243" i="9" s="1"/>
  <c r="H243" i="9" s="1"/>
  <c r="E26" i="9"/>
  <c r="E19" i="9"/>
  <c r="E31" i="9"/>
  <c r="E156" i="9"/>
  <c r="G156" i="9" s="1"/>
  <c r="H156" i="9" s="1"/>
  <c r="E337" i="9"/>
  <c r="G337" i="9" s="1"/>
  <c r="H337" i="9" s="1"/>
  <c r="E214" i="9"/>
  <c r="G214" i="9" s="1"/>
  <c r="H214" i="9" s="1"/>
  <c r="E363" i="9"/>
  <c r="G363" i="9" s="1"/>
  <c r="H363" i="9" s="1"/>
  <c r="E271" i="9"/>
  <c r="G271" i="9" s="1"/>
  <c r="H271" i="9" s="1"/>
  <c r="E344" i="9"/>
  <c r="G344" i="9" s="1"/>
  <c r="H344" i="9" s="1"/>
  <c r="E319" i="9"/>
  <c r="G319" i="9" s="1"/>
  <c r="H319" i="9" s="1"/>
  <c r="E230" i="9"/>
  <c r="G230" i="9" s="1"/>
  <c r="H230" i="9" s="1"/>
  <c r="E176" i="9"/>
  <c r="G176" i="9" s="1"/>
  <c r="H176" i="9" s="1"/>
  <c r="E137" i="9"/>
  <c r="E150" i="9"/>
  <c r="G150" i="9" s="1"/>
  <c r="H150" i="9" s="1"/>
  <c r="E52" i="9"/>
  <c r="E302" i="9"/>
  <c r="G302" i="9" s="1"/>
  <c r="H302" i="9" s="1"/>
  <c r="E129" i="9"/>
  <c r="G129" i="9" s="1"/>
  <c r="H129" i="9" s="1"/>
  <c r="E196" i="9"/>
  <c r="G196" i="9" s="1"/>
  <c r="H196" i="9" s="1"/>
  <c r="E132" i="9"/>
  <c r="G132" i="9" s="1"/>
  <c r="H132" i="9" s="1"/>
  <c r="E153" i="9"/>
  <c r="G153" i="9" s="1"/>
  <c r="H153" i="9" s="1"/>
  <c r="E229" i="9"/>
  <c r="G229" i="9" s="1"/>
  <c r="H229" i="9" s="1"/>
  <c r="E231" i="9"/>
  <c r="G231" i="9" s="1"/>
  <c r="H231" i="9" s="1"/>
  <c r="E320" i="9"/>
  <c r="G320" i="9" s="1"/>
  <c r="H320" i="9" s="1"/>
  <c r="E121" i="9"/>
  <c r="E60" i="9"/>
  <c r="E69" i="9"/>
  <c r="E91" i="9"/>
  <c r="E118" i="9"/>
  <c r="E175" i="9"/>
  <c r="G175" i="9" s="1"/>
  <c r="H175" i="9" s="1"/>
  <c r="E139" i="9"/>
  <c r="E184" i="9"/>
  <c r="G184" i="9" s="1"/>
  <c r="H184" i="9" s="1"/>
  <c r="E347" i="9"/>
  <c r="G347" i="9" s="1"/>
  <c r="H347" i="9" s="1"/>
  <c r="E330" i="9"/>
  <c r="G330" i="9" s="1"/>
  <c r="H330" i="9" s="1"/>
  <c r="E90" i="9"/>
  <c r="BT142" i="2"/>
  <c r="BO126" i="5"/>
  <c r="BO141" i="5"/>
  <c r="BO68" i="5"/>
  <c r="BO83" i="5" s="1"/>
  <c r="BO101" i="5" s="1"/>
  <c r="BO37" i="5"/>
  <c r="BP33" i="5" s="1"/>
  <c r="BP34" i="5" s="1"/>
  <c r="BP35" i="5" s="1"/>
  <c r="BP139" i="5" s="1"/>
  <c r="BO123" i="5"/>
  <c r="BO138" i="5"/>
  <c r="BO46" i="5"/>
  <c r="BP46" i="5"/>
  <c r="BP123" i="5"/>
  <c r="BP138" i="5"/>
  <c r="G9" i="9" l="1"/>
  <c r="H9" i="9" s="1"/>
  <c r="BT179" i="2"/>
  <c r="BT152" i="2"/>
  <c r="BP44" i="5"/>
  <c r="BP54" i="5" s="1"/>
  <c r="BO57" i="5"/>
  <c r="BO69" i="5" s="1"/>
  <c r="BO47" i="5"/>
  <c r="BP42" i="5" s="1"/>
  <c r="BP43" i="5" s="1"/>
  <c r="BP37" i="5"/>
  <c r="BQ33" i="5" s="1"/>
  <c r="BQ34" i="5" s="1"/>
  <c r="BP39" i="5"/>
  <c r="BP124" i="5"/>
  <c r="BP57" i="5"/>
  <c r="BU137" i="2" l="1"/>
  <c r="D10" i="9" s="1"/>
  <c r="F10" i="9" s="1"/>
  <c r="G10" i="9" s="1"/>
  <c r="H10" i="9" s="1"/>
  <c r="BU139" i="2"/>
  <c r="BU140" i="2"/>
  <c r="BP45" i="5"/>
  <c r="BP47" i="5" s="1"/>
  <c r="BQ42" i="5" s="1"/>
  <c r="BO85" i="5"/>
  <c r="BO104" i="5" s="1"/>
  <c r="BO70" i="5"/>
  <c r="BP66" i="5"/>
  <c r="BP69" i="5"/>
  <c r="BQ35" i="5"/>
  <c r="BU141" i="2" l="1"/>
  <c r="BU142" i="2" s="1"/>
  <c r="BP125" i="5"/>
  <c r="BP140" i="5"/>
  <c r="BP49" i="5"/>
  <c r="BP152" i="5" s="1"/>
  <c r="BP55" i="5"/>
  <c r="BP67" i="5" s="1"/>
  <c r="BO73" i="5"/>
  <c r="BO86" i="5"/>
  <c r="BO105" i="5" s="1"/>
  <c r="BO127" i="5"/>
  <c r="BO71" i="5"/>
  <c r="BP64" i="5" s="1"/>
  <c r="BO58" i="5"/>
  <c r="BO59" i="5" s="1"/>
  <c r="BP52" i="5" s="1"/>
  <c r="BP53" i="5" s="1"/>
  <c r="BO142" i="5"/>
  <c r="BO76" i="5"/>
  <c r="BP81" i="5"/>
  <c r="BQ44" i="5"/>
  <c r="BQ39" i="5"/>
  <c r="BQ139" i="5"/>
  <c r="BQ124" i="5"/>
  <c r="BQ43" i="5"/>
  <c r="BP85" i="5"/>
  <c r="BU179" i="2" l="1"/>
  <c r="BU152" i="2"/>
  <c r="BQ45" i="5"/>
  <c r="BP104" i="5"/>
  <c r="BP65" i="5"/>
  <c r="BP56" i="5"/>
  <c r="BQ54" i="5"/>
  <c r="BP82" i="5"/>
  <c r="BP99" i="5"/>
  <c r="BV137" i="2" l="1"/>
  <c r="D11" i="9" s="1"/>
  <c r="F11" i="9" s="1"/>
  <c r="G11" i="9" s="1"/>
  <c r="H11" i="9" s="1"/>
  <c r="BV139" i="2"/>
  <c r="BV140" i="2"/>
  <c r="BP100" i="5"/>
  <c r="BP68" i="5"/>
  <c r="BP126" i="5"/>
  <c r="BP141" i="5"/>
  <c r="BP61" i="5"/>
  <c r="BQ55" i="5"/>
  <c r="BQ49" i="5"/>
  <c r="BQ125" i="5"/>
  <c r="BQ140" i="5"/>
  <c r="BQ66" i="5"/>
  <c r="BV141" i="2" l="1"/>
  <c r="BV142" i="2" s="1"/>
  <c r="BQ152" i="5"/>
  <c r="BP70" i="5"/>
  <c r="BP73" i="5" s="1"/>
  <c r="BQ67" i="5"/>
  <c r="BQ81" i="5"/>
  <c r="BP83" i="5"/>
  <c r="BV152" i="2" l="1"/>
  <c r="BV179" i="2"/>
  <c r="BQ82" i="5"/>
  <c r="BP101" i="5"/>
  <c r="BP58" i="5"/>
  <c r="BP86" i="5"/>
  <c r="BP142" i="5"/>
  <c r="BP127" i="5"/>
  <c r="BP71" i="5"/>
  <c r="BQ64" i="5" s="1"/>
  <c r="BQ99" i="5"/>
  <c r="BP76" i="5"/>
  <c r="BW137" i="2" l="1"/>
  <c r="D12" i="9" s="1"/>
  <c r="F12" i="9" s="1"/>
  <c r="G12" i="9" s="1"/>
  <c r="H12" i="9" s="1"/>
  <c r="BW139" i="2"/>
  <c r="BW140" i="2"/>
  <c r="BP105" i="5"/>
  <c r="BP59" i="5"/>
  <c r="BQ52" i="5" s="1"/>
  <c r="BQ100" i="5"/>
  <c r="BW141" i="2" l="1"/>
  <c r="BW142" i="2" s="1"/>
  <c r="BQ53" i="5"/>
  <c r="BW179" i="2" l="1"/>
  <c r="BW152" i="2"/>
  <c r="BQ65" i="5"/>
  <c r="BZ26" i="2"/>
  <c r="CA26" i="2"/>
  <c r="CC26" i="2"/>
  <c r="CD26" i="2"/>
  <c r="CF26" i="2"/>
  <c r="CF162" i="2" s="1"/>
  <c r="CF164" i="2" s="1"/>
  <c r="CF181" i="2" s="1"/>
  <c r="CG26" i="2"/>
  <c r="CG175" i="2" l="1"/>
  <c r="CG178" i="2" s="1"/>
  <c r="CG162" i="2"/>
  <c r="CG164" i="2" s="1"/>
  <c r="CG181" i="2" s="1"/>
  <c r="BX137" i="2"/>
  <c r="D13" i="9" s="1"/>
  <c r="F13" i="9" s="1"/>
  <c r="G13" i="9" s="1"/>
  <c r="H13" i="9" s="1"/>
  <c r="BX139" i="2"/>
  <c r="BX140" i="2"/>
  <c r="CG41" i="2"/>
  <c r="CG92" i="2" s="1"/>
  <c r="CF41" i="2"/>
  <c r="CF175" i="2"/>
  <c r="HU26" i="2"/>
  <c r="M37" i="7" s="1"/>
  <c r="CE26" i="2"/>
  <c r="CB26" i="2"/>
  <c r="CE175" i="2" l="1"/>
  <c r="CE178" i="2" s="1"/>
  <c r="CE162" i="2"/>
  <c r="CE164" i="2" s="1"/>
  <c r="CE181" i="2" s="1"/>
  <c r="BX141" i="2"/>
  <c r="BX142" i="2" s="1"/>
  <c r="HU41" i="2"/>
  <c r="CG87" i="2"/>
  <c r="CE41" i="2"/>
  <c r="CE87" i="2" s="1"/>
  <c r="CF87" i="2"/>
  <c r="CF92" i="2"/>
  <c r="HU92" i="2" s="1"/>
  <c r="CF178" i="2"/>
  <c r="HU175" i="2"/>
  <c r="CE89" i="2" l="1"/>
  <c r="CE90" i="2" s="1"/>
  <c r="CG106" i="2"/>
  <c r="BX179" i="2"/>
  <c r="BX152" i="2"/>
  <c r="CG89" i="2"/>
  <c r="CG90" i="2" s="1"/>
  <c r="HU87" i="2"/>
  <c r="HU178" i="2"/>
  <c r="CF89" i="2"/>
  <c r="CF106" i="2"/>
  <c r="CE92" i="2"/>
  <c r="CE106" i="2"/>
  <c r="BY137" i="2" l="1"/>
  <c r="D14" i="9" s="1"/>
  <c r="F14" i="9" s="1"/>
  <c r="G14" i="9" s="1"/>
  <c r="H14" i="9" s="1"/>
  <c r="BY139" i="2"/>
  <c r="BY140" i="2"/>
  <c r="HU89" i="2"/>
  <c r="HU106" i="2"/>
  <c r="CF90" i="2"/>
  <c r="HU90" i="2" s="1"/>
  <c r="BY29" i="2"/>
  <c r="BY41" i="2" l="1"/>
  <c r="BY92" i="2" s="1"/>
  <c r="BY162" i="2"/>
  <c r="BY164" i="2" s="1"/>
  <c r="BY181" i="2" s="1"/>
  <c r="BY141" i="2"/>
  <c r="BY142" i="2" s="1"/>
  <c r="BY179" i="2" s="1"/>
  <c r="BY175" i="2"/>
  <c r="BY178" i="2" s="1"/>
  <c r="BY87" i="2" l="1"/>
  <c r="BY89" i="2" s="1"/>
  <c r="BY90" i="2" s="1"/>
  <c r="BY152" i="2"/>
  <c r="BZ137" i="2" s="1"/>
  <c r="D15" i="9" s="1"/>
  <c r="BZ140" i="2"/>
  <c r="BZ139" i="2"/>
  <c r="BX29" i="2"/>
  <c r="BY106" i="2" l="1"/>
  <c r="BZ141" i="2"/>
  <c r="BZ142" i="2" s="1"/>
  <c r="BZ179" i="2" s="1"/>
  <c r="F15" i="9"/>
  <c r="G15" i="9" s="1"/>
  <c r="H15" i="9" s="1"/>
  <c r="BZ29" i="2"/>
  <c r="BW29" i="2"/>
  <c r="BZ175" i="2" l="1"/>
  <c r="BZ178" i="2" s="1"/>
  <c r="BZ162" i="2"/>
  <c r="BZ164" i="2" s="1"/>
  <c r="BZ181" i="2" s="1"/>
  <c r="BZ152" i="2"/>
  <c r="CA137" i="2" s="1"/>
  <c r="CA139" i="2"/>
  <c r="CA140" i="2"/>
  <c r="BZ41" i="2"/>
  <c r="CA141" i="2" l="1"/>
  <c r="CA142" i="2" s="1"/>
  <c r="D16" i="9"/>
  <c r="F16" i="9" s="1"/>
  <c r="G16" i="9" s="1"/>
  <c r="H16" i="9" s="1"/>
  <c r="BZ87" i="2"/>
  <c r="BZ92" i="2"/>
  <c r="CA179" i="2" l="1"/>
  <c r="CA152" i="2"/>
  <c r="BZ89" i="2"/>
  <c r="BZ90" i="2" s="1"/>
  <c r="BZ106" i="2"/>
  <c r="CB137" i="2" l="1"/>
  <c r="CB139" i="2"/>
  <c r="CB140" i="2"/>
  <c r="BS26" i="2"/>
  <c r="HS26" i="2"/>
  <c r="BS41" i="2" l="1"/>
  <c r="HS41" i="2" s="1"/>
  <c r="BS162" i="2"/>
  <c r="BS164" i="2" s="1"/>
  <c r="D17" i="9"/>
  <c r="F17" i="9" s="1"/>
  <c r="G17" i="9" s="1"/>
  <c r="H17" i="9" s="1"/>
  <c r="CB141" i="2"/>
  <c r="CB142" i="2" s="1"/>
  <c r="CB179" i="2" s="1"/>
  <c r="BS175" i="2"/>
  <c r="BS178" i="2" s="1"/>
  <c r="K37" i="7"/>
  <c r="HS175" i="2" l="1"/>
  <c r="BS92" i="2"/>
  <c r="HS92" i="2" s="1"/>
  <c r="HS178" i="2"/>
  <c r="BS171" i="2"/>
  <c r="BS181" i="2"/>
  <c r="BS195" i="2" s="1"/>
  <c r="BS87" i="2"/>
  <c r="BS89" i="2" s="1"/>
  <c r="BS90" i="2" s="1"/>
  <c r="CB152" i="2"/>
  <c r="K40" i="7"/>
  <c r="BS196" i="2" l="1"/>
  <c r="HS87" i="2"/>
  <c r="BS187" i="2"/>
  <c r="BS81" i="2"/>
  <c r="HS81" i="2" s="1"/>
  <c r="BS106" i="2"/>
  <c r="HS106" i="2" s="1"/>
  <c r="CC137" i="2"/>
  <c r="CC140" i="2"/>
  <c r="CC139" i="2"/>
  <c r="K48" i="7"/>
  <c r="HS89" i="2"/>
  <c r="HS90" i="2"/>
  <c r="BS113" i="2" l="1"/>
  <c r="BS116" i="2" s="1"/>
  <c r="D18" i="9"/>
  <c r="F18" i="9" s="1"/>
  <c r="G18" i="9" s="1"/>
  <c r="H18" i="9" s="1"/>
  <c r="CC141" i="2"/>
  <c r="CC142" i="2" s="1"/>
  <c r="CC179" i="2" s="1"/>
  <c r="HS113" i="2" l="1"/>
  <c r="BS118" i="2"/>
  <c r="HS118" i="2" s="1"/>
  <c r="CC152" i="2"/>
  <c r="HS116" i="2"/>
  <c r="CD137" i="2" l="1"/>
  <c r="CD140" i="2"/>
  <c r="CD139" i="2"/>
  <c r="HS123" i="2"/>
  <c r="BS129" i="2"/>
  <c r="BS194" i="2"/>
  <c r="HS122" i="2"/>
  <c r="CD141" i="2" l="1"/>
  <c r="CD142" i="2" s="1"/>
  <c r="CD179" i="2" s="1"/>
  <c r="D19" i="9"/>
  <c r="F19" i="9" s="1"/>
  <c r="G19" i="9" s="1"/>
  <c r="H19" i="9" s="1"/>
  <c r="BT121" i="2"/>
  <c r="HS129" i="2"/>
  <c r="HT121" i="2" s="1"/>
  <c r="CD152" i="2" l="1"/>
  <c r="CE137" i="2" l="1"/>
  <c r="CE140" i="2"/>
  <c r="CE139" i="2"/>
  <c r="CE141" i="2" l="1"/>
  <c r="CE142" i="2" s="1"/>
  <c r="CE179" i="2" s="1"/>
  <c r="D20" i="9"/>
  <c r="F20" i="9" s="1"/>
  <c r="G20" i="9" s="1"/>
  <c r="H20" i="9" s="1"/>
  <c r="CE152" i="2" l="1"/>
  <c r="CF137" i="2" l="1"/>
  <c r="CF140" i="2"/>
  <c r="CF139" i="2"/>
  <c r="HS161" i="2"/>
  <c r="D21" i="9" l="1"/>
  <c r="F21" i="9" s="1"/>
  <c r="G21" i="9" s="1"/>
  <c r="H21" i="9" s="1"/>
  <c r="CF141" i="2"/>
  <c r="CF142" i="2" s="1"/>
  <c r="CF179" i="2" s="1"/>
  <c r="HS171" i="2"/>
  <c r="BT160" i="2"/>
  <c r="HS181" i="2"/>
  <c r="BS206" i="2"/>
  <c r="CF152" i="2" l="1"/>
  <c r="CG137" i="2" s="1"/>
  <c r="CG139" i="2"/>
  <c r="CG140" i="2"/>
  <c r="BQ26" i="5"/>
  <c r="BS208" i="2"/>
  <c r="HS196" i="2"/>
  <c r="BQ28" i="5"/>
  <c r="K42" i="7"/>
  <c r="D22" i="9" l="1"/>
  <c r="F22" i="9" s="1"/>
  <c r="G22" i="9" s="1"/>
  <c r="H22" i="9" s="1"/>
  <c r="CG141" i="2"/>
  <c r="CG142" i="2" s="1"/>
  <c r="CG179" i="2" s="1"/>
  <c r="BQ56" i="5"/>
  <c r="K45" i="7"/>
  <c r="BQ29" i="5"/>
  <c r="BQ36" i="5"/>
  <c r="CG152" i="2" l="1"/>
  <c r="CH137" i="2" s="1"/>
  <c r="CH139" i="2"/>
  <c r="CH140" i="2"/>
  <c r="BQ37" i="5"/>
  <c r="BR33" i="5" s="1"/>
  <c r="BQ46" i="5"/>
  <c r="BQ123" i="5"/>
  <c r="BQ138" i="5"/>
  <c r="BQ68" i="5"/>
  <c r="BQ126" i="5"/>
  <c r="BQ141" i="5"/>
  <c r="BQ61" i="5"/>
  <c r="D23" i="9" l="1"/>
  <c r="F23" i="9" s="1"/>
  <c r="G23" i="9" s="1"/>
  <c r="H23" i="9" s="1"/>
  <c r="CH141" i="2"/>
  <c r="CH142" i="2" s="1"/>
  <c r="CH179" i="2" s="1"/>
  <c r="BQ57" i="5"/>
  <c r="BQ47" i="5"/>
  <c r="BR42" i="5" s="1"/>
  <c r="BQ83" i="5"/>
  <c r="BR34" i="5"/>
  <c r="CH152" i="2" l="1"/>
  <c r="BR43" i="5"/>
  <c r="BQ69" i="5"/>
  <c r="BQ101" i="5"/>
  <c r="BR35" i="5"/>
  <c r="CI137" i="2" l="1"/>
  <c r="CI139" i="2"/>
  <c r="CI140" i="2"/>
  <c r="BR39" i="5"/>
  <c r="BR44" i="5"/>
  <c r="BR139" i="5"/>
  <c r="BR124" i="5"/>
  <c r="BQ85" i="5"/>
  <c r="BQ70" i="5"/>
  <c r="BQ73" i="5" s="1"/>
  <c r="CI141" i="2" l="1"/>
  <c r="CI142" i="2" s="1"/>
  <c r="D24" i="9"/>
  <c r="F24" i="9" s="1"/>
  <c r="G24" i="9" s="1"/>
  <c r="H24" i="9" s="1"/>
  <c r="BQ71" i="5"/>
  <c r="BR64" i="5" s="1"/>
  <c r="BQ58" i="5"/>
  <c r="BQ86" i="5"/>
  <c r="BQ127" i="5"/>
  <c r="BQ142" i="5"/>
  <c r="BQ76" i="5"/>
  <c r="BR54" i="5"/>
  <c r="BQ104" i="5"/>
  <c r="BR45" i="5"/>
  <c r="CI179" i="2" l="1"/>
  <c r="CI152" i="2"/>
  <c r="BR66" i="5"/>
  <c r="BR49" i="5"/>
  <c r="BR55" i="5"/>
  <c r="BR125" i="5"/>
  <c r="BR140" i="5"/>
  <c r="BQ105" i="5"/>
  <c r="BQ59" i="5"/>
  <c r="BR52" i="5" s="1"/>
  <c r="CJ137" i="2" l="1"/>
  <c r="CJ140" i="2"/>
  <c r="CJ139" i="2"/>
  <c r="BR67" i="5"/>
  <c r="BR152" i="5"/>
  <c r="BR53" i="5"/>
  <c r="BR81" i="5"/>
  <c r="CJ141" i="2" l="1"/>
  <c r="CJ142" i="2" s="1"/>
  <c r="D25" i="9"/>
  <c r="F25" i="9" s="1"/>
  <c r="G25" i="9" s="1"/>
  <c r="H25" i="9" s="1"/>
  <c r="BR99" i="5"/>
  <c r="BR65" i="5"/>
  <c r="BR82" i="5"/>
  <c r="CJ179" i="2" l="1"/>
  <c r="CJ152" i="2"/>
  <c r="BR100" i="5"/>
  <c r="F25" i="2"/>
  <c r="H25" i="2" s="1"/>
  <c r="H26" i="2" s="1"/>
  <c r="E17" i="1" s="1"/>
  <c r="I25" i="2"/>
  <c r="BT26" i="2"/>
  <c r="BU26" i="2"/>
  <c r="BW26" i="2"/>
  <c r="BX26" i="2"/>
  <c r="BU41" i="2" l="1"/>
  <c r="BU87" i="2" s="1"/>
  <c r="BU89" i="2" s="1"/>
  <c r="BU90" i="2" s="1"/>
  <c r="BU162" i="2"/>
  <c r="BU164" i="2" s="1"/>
  <c r="BU181" i="2" s="1"/>
  <c r="BW41" i="2"/>
  <c r="BW92" i="2" s="1"/>
  <c r="BW162" i="2"/>
  <c r="BW164" i="2" s="1"/>
  <c r="BW181" i="2" s="1"/>
  <c r="BT175" i="2"/>
  <c r="BT178" i="2" s="1"/>
  <c r="BT162" i="2"/>
  <c r="BT164" i="2" s="1"/>
  <c r="BT181" i="2" s="1"/>
  <c r="BX175" i="2"/>
  <c r="BX178" i="2" s="1"/>
  <c r="BX162" i="2"/>
  <c r="BX164" i="2" s="1"/>
  <c r="BX181" i="2" s="1"/>
  <c r="CK137" i="2"/>
  <c r="CK140" i="2"/>
  <c r="CK139" i="2"/>
  <c r="BT41" i="2"/>
  <c r="BT92" i="2" s="1"/>
  <c r="BW175" i="2"/>
  <c r="BU175" i="2"/>
  <c r="BU178" i="2" s="1"/>
  <c r="F17" i="1"/>
  <c r="HT26" i="2"/>
  <c r="BX41" i="2"/>
  <c r="I26" i="2"/>
  <c r="J38" i="1" s="1"/>
  <c r="BU92" i="2" l="1"/>
  <c r="BU106" i="2"/>
  <c r="BW87" i="2"/>
  <c r="BW106" i="2" s="1"/>
  <c r="AL144" i="2"/>
  <c r="AM144" i="2"/>
  <c r="AN144" i="2"/>
  <c r="I139" i="2"/>
  <c r="AJ144" i="2"/>
  <c r="AI144" i="2"/>
  <c r="AK144" i="2"/>
  <c r="HT139" i="2"/>
  <c r="HU139" i="2"/>
  <c r="BL144" i="2"/>
  <c r="BF144" i="2"/>
  <c r="AZ144" i="2"/>
  <c r="AP144" i="2"/>
  <c r="AS144" i="2"/>
  <c r="AX144" i="2"/>
  <c r="BM144" i="2"/>
  <c r="BB144" i="2"/>
  <c r="BK144" i="2"/>
  <c r="AT144" i="2"/>
  <c r="BA144" i="2"/>
  <c r="AO144" i="2"/>
  <c r="BO144" i="2"/>
  <c r="BR144" i="2"/>
  <c r="BE144" i="2"/>
  <c r="BI144" i="2"/>
  <c r="AV144" i="2"/>
  <c r="BC144" i="2"/>
  <c r="BN144" i="2"/>
  <c r="AY144" i="2"/>
  <c r="BJ144" i="2"/>
  <c r="I140" i="2"/>
  <c r="AU144" i="2"/>
  <c r="BH144" i="2"/>
  <c r="BP144" i="2"/>
  <c r="AR144" i="2"/>
  <c r="AW144" i="2"/>
  <c r="BG144" i="2"/>
  <c r="AQ144" i="2"/>
  <c r="BQ144" i="2"/>
  <c r="BD144" i="2"/>
  <c r="BS144" i="2"/>
  <c r="HT140" i="2"/>
  <c r="BT144" i="2"/>
  <c r="BU144" i="2"/>
  <c r="BU148" i="2" s="1"/>
  <c r="BV144" i="2"/>
  <c r="BV148" i="2" s="1"/>
  <c r="BW144" i="2"/>
  <c r="BW148" i="2" s="1"/>
  <c r="BX144" i="2"/>
  <c r="BX148" i="2" s="1"/>
  <c r="BY144" i="2"/>
  <c r="BY148" i="2" s="1"/>
  <c r="BZ144" i="2"/>
  <c r="BZ148" i="2" s="1"/>
  <c r="BZ149" i="2" s="1"/>
  <c r="BZ150" i="2" s="1"/>
  <c r="BZ112" i="2" s="1"/>
  <c r="BZ113" i="2" s="1"/>
  <c r="CA144" i="2"/>
  <c r="CA148" i="2" s="1"/>
  <c r="CA149" i="2" s="1"/>
  <c r="CA150" i="2" s="1"/>
  <c r="CA112" i="2" s="1"/>
  <c r="CB144" i="2"/>
  <c r="CB148" i="2" s="1"/>
  <c r="CB149" i="2" s="1"/>
  <c r="CB150" i="2" s="1"/>
  <c r="CB112" i="2" s="1"/>
  <c r="CC144" i="2"/>
  <c r="CC148" i="2" s="1"/>
  <c r="CC149" i="2" s="1"/>
  <c r="CC150" i="2" s="1"/>
  <c r="CC112" i="2" s="1"/>
  <c r="CK144" i="2"/>
  <c r="CK147" i="2" s="1"/>
  <c r="CK148" i="2" s="1"/>
  <c r="CK149" i="2" s="1"/>
  <c r="CK150" i="2" s="1"/>
  <c r="CK112" i="2" s="1"/>
  <c r="CK113" i="2" s="1"/>
  <c r="CD144" i="2"/>
  <c r="CD148" i="2" s="1"/>
  <c r="CD149" i="2" s="1"/>
  <c r="CD150" i="2" s="1"/>
  <c r="CD112" i="2" s="1"/>
  <c r="CE144" i="2"/>
  <c r="CE148" i="2" s="1"/>
  <c r="CE149" i="2" s="1"/>
  <c r="CE150" i="2" s="1"/>
  <c r="CE112" i="2" s="1"/>
  <c r="CE113" i="2" s="1"/>
  <c r="CJ144" i="2"/>
  <c r="CJ147" i="2" s="1"/>
  <c r="CJ148" i="2" s="1"/>
  <c r="CF144" i="2"/>
  <c r="CF148" i="2" s="1"/>
  <c r="CF149" i="2" s="1"/>
  <c r="CF150" i="2" s="1"/>
  <c r="CF112" i="2" s="1"/>
  <c r="CF113" i="2" s="1"/>
  <c r="CI144" i="2"/>
  <c r="CI147" i="2" s="1"/>
  <c r="HU140" i="2"/>
  <c r="CH144" i="2"/>
  <c r="CH148" i="2" s="1"/>
  <c r="CG144" i="2"/>
  <c r="CG148" i="2" s="1"/>
  <c r="CK141" i="2"/>
  <c r="CK142" i="2" s="1"/>
  <c r="CK179" i="2" s="1"/>
  <c r="D26" i="9"/>
  <c r="F26" i="9" s="1"/>
  <c r="G26" i="9" s="1"/>
  <c r="H26" i="9" s="1"/>
  <c r="BT87" i="2"/>
  <c r="BW178" i="2"/>
  <c r="L38" i="1"/>
  <c r="J57" i="1"/>
  <c r="BX92" i="2"/>
  <c r="BX87" i="2"/>
  <c r="L37" i="7"/>
  <c r="HL26" i="2"/>
  <c r="BW89" i="2" l="1"/>
  <c r="BW90" i="2" s="1"/>
  <c r="CK152" i="2"/>
  <c r="CL137" i="2" s="1"/>
  <c r="CL141" i="2" s="1"/>
  <c r="CL142" i="2" s="1"/>
  <c r="CL179" i="2" s="1"/>
  <c r="BV81" i="2"/>
  <c r="BX149" i="2"/>
  <c r="BX150" i="2" s="1"/>
  <c r="BX112" i="2" s="1"/>
  <c r="BW149" i="2"/>
  <c r="BW150" i="2" s="1"/>
  <c r="BW112" i="2" s="1"/>
  <c r="BW113" i="2" s="1"/>
  <c r="BV149" i="2"/>
  <c r="BV150" i="2" s="1"/>
  <c r="BV112" i="2" s="1"/>
  <c r="BV113" i="2" s="1"/>
  <c r="CH149" i="2"/>
  <c r="CH150" i="2" s="1"/>
  <c r="CH112" i="2" s="1"/>
  <c r="CH113" i="2" s="1"/>
  <c r="BU149" i="2"/>
  <c r="BU150" i="2" s="1"/>
  <c r="BU112" i="2" s="1"/>
  <c r="BU113" i="2" s="1"/>
  <c r="CI148" i="2"/>
  <c r="HL140" i="2"/>
  <c r="CG149" i="2"/>
  <c r="CG150" i="2" s="1"/>
  <c r="CG112" i="2" s="1"/>
  <c r="CG113" i="2" s="1"/>
  <c r="CJ149" i="2"/>
  <c r="CJ150" i="2" s="1"/>
  <c r="CJ112" i="2" s="1"/>
  <c r="CJ113" i="2" s="1"/>
  <c r="BY149" i="2"/>
  <c r="BY150" i="2" s="1"/>
  <c r="BY112" i="2" s="1"/>
  <c r="BY113" i="2" s="1"/>
  <c r="HL139" i="2"/>
  <c r="BU81" i="2"/>
  <c r="BW81" i="2"/>
  <c r="BT89" i="2"/>
  <c r="BT90" i="2" s="1"/>
  <c r="BT81" i="2"/>
  <c r="BT106" i="2"/>
  <c r="BT113" i="2" s="1"/>
  <c r="H23" i="7"/>
  <c r="L57" i="1"/>
  <c r="O37" i="7"/>
  <c r="BX106" i="2"/>
  <c r="BX89" i="2"/>
  <c r="BZ81" i="2"/>
  <c r="BY81" i="2"/>
  <c r="BX81" i="2"/>
  <c r="D27" i="9" l="1"/>
  <c r="F27" i="9" s="1"/>
  <c r="G27" i="9" s="1"/>
  <c r="H27" i="9" s="1"/>
  <c r="CL144" i="2"/>
  <c r="CL147" i="2" s="1"/>
  <c r="CL148" i="2" s="1"/>
  <c r="CL182" i="2" s="1"/>
  <c r="CL152" i="2"/>
  <c r="CM137" i="2" s="1"/>
  <c r="CM141" i="2" s="1"/>
  <c r="CM142" i="2" s="1"/>
  <c r="CM179" i="2" s="1"/>
  <c r="CI149" i="2"/>
  <c r="CI150" i="2" s="1"/>
  <c r="CI112" i="2" s="1"/>
  <c r="CI113" i="2" s="1"/>
  <c r="I23" i="7"/>
  <c r="BX113" i="2"/>
  <c r="BX90" i="2"/>
  <c r="D28" i="9" l="1"/>
  <c r="F28" i="9" s="1"/>
  <c r="G28" i="9" s="1"/>
  <c r="H28" i="9" s="1"/>
  <c r="CM144" i="2"/>
  <c r="CM147" i="2" s="1"/>
  <c r="CM148" i="2" s="1"/>
  <c r="CM182" i="2" s="1"/>
  <c r="CL149" i="2"/>
  <c r="CL150" i="2" s="1"/>
  <c r="CL112" i="2" s="1"/>
  <c r="CL113" i="2" s="1"/>
  <c r="CM152" i="2"/>
  <c r="CN137" i="2" s="1"/>
  <c r="CN141" i="2" s="1"/>
  <c r="CN142" i="2" s="1"/>
  <c r="CN179" i="2" s="1"/>
  <c r="J23" i="7"/>
  <c r="F52" i="1"/>
  <c r="H5" i="25" s="1"/>
  <c r="F30" i="1"/>
  <c r="CM149" i="2" l="1"/>
  <c r="CM150" i="2" s="1"/>
  <c r="CM112" i="2" s="1"/>
  <c r="CM113" i="2" s="1"/>
  <c r="CN144" i="2"/>
  <c r="CN147" i="2" s="1"/>
  <c r="CN148" i="2" s="1"/>
  <c r="CN149" i="2" s="1"/>
  <c r="CN150" i="2" s="1"/>
  <c r="CN112" i="2" s="1"/>
  <c r="CN113" i="2" s="1"/>
  <c r="D29" i="9"/>
  <c r="F29" i="9" s="1"/>
  <c r="G29" i="9" s="1"/>
  <c r="H29" i="9" s="1"/>
  <c r="CN152" i="2"/>
  <c r="CO137" i="2" s="1"/>
  <c r="CO141" i="2" s="1"/>
  <c r="CO142" i="2" s="1"/>
  <c r="G121" i="2"/>
  <c r="CO144" i="2" l="1"/>
  <c r="CO147" i="2" s="1"/>
  <c r="CO148" i="2" s="1"/>
  <c r="D30" i="9"/>
  <c r="F30" i="9" s="1"/>
  <c r="G30" i="9" s="1"/>
  <c r="H30" i="9" s="1"/>
  <c r="CN182" i="2"/>
  <c r="CO179" i="2"/>
  <c r="CO152" i="2"/>
  <c r="CP137" i="2" s="1"/>
  <c r="CP141" i="2" s="1"/>
  <c r="CP142" i="2" s="1"/>
  <c r="CP179" i="2" s="1"/>
  <c r="D31" i="9"/>
  <c r="F31" i="9" s="1"/>
  <c r="G31" i="9" s="1"/>
  <c r="H31" i="9" s="1"/>
  <c r="CP144" i="2"/>
  <c r="CP147" i="2" s="1"/>
  <c r="CP148" i="2" s="1"/>
  <c r="CO149" i="2" l="1"/>
  <c r="CO150" i="2" s="1"/>
  <c r="CO112" i="2" s="1"/>
  <c r="CO113" i="2" s="1"/>
  <c r="CO182" i="2"/>
  <c r="CP152" i="2"/>
  <c r="CQ137" i="2" s="1"/>
  <c r="CQ141" i="2" s="1"/>
  <c r="CQ142" i="2" s="1"/>
  <c r="CP149" i="2"/>
  <c r="CP150" i="2" s="1"/>
  <c r="CP112" i="2" s="1"/>
  <c r="CP113" i="2" s="1"/>
  <c r="CP182" i="2"/>
  <c r="CQ144" i="2" l="1"/>
  <c r="CQ147" i="2" s="1"/>
  <c r="CQ148" i="2" s="1"/>
  <c r="D32" i="9"/>
  <c r="F32" i="9" s="1"/>
  <c r="G32" i="9" s="1"/>
  <c r="H32" i="9" s="1"/>
  <c r="CQ179" i="2"/>
  <c r="CQ152" i="2"/>
  <c r="CR137" i="2" s="1"/>
  <c r="CR141" i="2" s="1"/>
  <c r="CR142" i="2" s="1"/>
  <c r="D33" i="9" l="1"/>
  <c r="F33" i="9" s="1"/>
  <c r="G33" i="9" s="1"/>
  <c r="H33" i="9" s="1"/>
  <c r="CR144" i="2"/>
  <c r="CR147" i="2" s="1"/>
  <c r="CR148" i="2" s="1"/>
  <c r="CR182" i="2" s="1"/>
  <c r="CQ182" i="2"/>
  <c r="CQ149" i="2"/>
  <c r="CQ150" i="2" s="1"/>
  <c r="CQ112" i="2" s="1"/>
  <c r="CQ113" i="2" s="1"/>
  <c r="CR179" i="2"/>
  <c r="CR152" i="2"/>
  <c r="CS137" i="2" s="1"/>
  <c r="CS141" i="2" s="1"/>
  <c r="CS142" i="2" s="1"/>
  <c r="CS179" i="2" s="1"/>
  <c r="CR149" i="2" l="1"/>
  <c r="CR150" i="2" s="1"/>
  <c r="CR112" i="2" s="1"/>
  <c r="CR113" i="2" s="1"/>
  <c r="D34" i="9"/>
  <c r="F34" i="9" s="1"/>
  <c r="G34" i="9" s="1"/>
  <c r="H34" i="9" s="1"/>
  <c r="CS144" i="2"/>
  <c r="CS147" i="2" s="1"/>
  <c r="CS148" i="2" s="1"/>
  <c r="CS149" i="2" s="1"/>
  <c r="CS150" i="2" s="1"/>
  <c r="CS112" i="2" s="1"/>
  <c r="CS113" i="2" s="1"/>
  <c r="CS152" i="2"/>
  <c r="CT137" i="2" s="1"/>
  <c r="CS182" i="2" l="1"/>
  <c r="D35" i="9"/>
  <c r="F35" i="9" s="1"/>
  <c r="G35" i="9" s="1"/>
  <c r="H35" i="9" s="1"/>
  <c r="CT141" i="2"/>
  <c r="CT142" i="2" s="1"/>
  <c r="CT179" i="2" s="1"/>
  <c r="CT144" i="2"/>
  <c r="CT147" i="2" s="1"/>
  <c r="CT148" i="2" s="1"/>
  <c r="CT152" i="2" l="1"/>
  <c r="CU137" i="2" s="1"/>
  <c r="CT182" i="2"/>
  <c r="CT149" i="2"/>
  <c r="CT150" i="2" s="1"/>
  <c r="CT112" i="2" s="1"/>
  <c r="CT113" i="2" s="1"/>
  <c r="D36" i="9" l="1"/>
  <c r="F36" i="9" s="1"/>
  <c r="G36" i="9" s="1"/>
  <c r="H36" i="9" s="1"/>
  <c r="CU141" i="2"/>
  <c r="CU142" i="2" s="1"/>
  <c r="CU179" i="2" s="1"/>
  <c r="CU144" i="2"/>
  <c r="CU147" i="2" s="1"/>
  <c r="CU148" i="2" s="1"/>
  <c r="CU152" i="2" l="1"/>
  <c r="CV137" i="2" s="1"/>
  <c r="CU149" i="2"/>
  <c r="CU150" i="2" s="1"/>
  <c r="CU112" i="2" s="1"/>
  <c r="CU113" i="2" s="1"/>
  <c r="CU182" i="2"/>
  <c r="HU147" i="2"/>
  <c r="D37" i="9" l="1"/>
  <c r="F37" i="9" s="1"/>
  <c r="G37" i="9" s="1"/>
  <c r="H37" i="9" s="1"/>
  <c r="CV141" i="2"/>
  <c r="CV142" i="2" s="1"/>
  <c r="CV179" i="2" s="1"/>
  <c r="CV144" i="2"/>
  <c r="CV147" i="2" s="1"/>
  <c r="HT148" i="2"/>
  <c r="HU148" i="2"/>
  <c r="CV152" i="2" l="1"/>
  <c r="CW137" i="2" s="1"/>
  <c r="CW141" i="2" s="1"/>
  <c r="CW142" i="2" s="1"/>
  <c r="CW179" i="2" s="1"/>
  <c r="CV148" i="2"/>
  <c r="HU182" i="2"/>
  <c r="HT149" i="2"/>
  <c r="HU149" i="2"/>
  <c r="CW144" i="2" l="1"/>
  <c r="CW147" i="2" s="1"/>
  <c r="CW148" i="2" s="1"/>
  <c r="CW149" i="2" s="1"/>
  <c r="CW150" i="2" s="1"/>
  <c r="D38" i="9"/>
  <c r="F38" i="9" s="1"/>
  <c r="G38" i="9" s="1"/>
  <c r="H38" i="9" s="1"/>
  <c r="CW151" i="2"/>
  <c r="I151" i="2" s="1"/>
  <c r="CV149" i="2"/>
  <c r="CV182" i="2"/>
  <c r="HT150" i="2"/>
  <c r="HU150" i="2"/>
  <c r="CW182" i="2" l="1"/>
  <c r="CV150" i="2"/>
  <c r="HV151" i="2"/>
  <c r="HL151" i="2" s="1"/>
  <c r="CW152" i="2"/>
  <c r="CX137" i="2" s="1"/>
  <c r="CW112" i="2"/>
  <c r="CW113" i="2" s="1"/>
  <c r="HT112" i="2"/>
  <c r="HU112" i="2"/>
  <c r="CV112" i="2" l="1"/>
  <c r="D39" i="9"/>
  <c r="F39" i="9" s="1"/>
  <c r="G39" i="9" s="1"/>
  <c r="H39" i="9" s="1"/>
  <c r="CX141" i="2"/>
  <c r="CX142" i="2" s="1"/>
  <c r="CX144" i="2"/>
  <c r="CX147" i="2" s="1"/>
  <c r="HU113" i="2"/>
  <c r="CX148" i="2" l="1"/>
  <c r="CV113" i="2"/>
  <c r="CX152" i="2"/>
  <c r="CY137" i="2" s="1"/>
  <c r="CX179" i="2"/>
  <c r="CX182" i="2" l="1"/>
  <c r="CX149" i="2"/>
  <c r="CY141" i="2"/>
  <c r="CY142" i="2" s="1"/>
  <c r="CY152" i="2" s="1"/>
  <c r="CZ137" i="2" s="1"/>
  <c r="CY144" i="2"/>
  <c r="CY147" i="2" s="1"/>
  <c r="D40" i="9"/>
  <c r="F40" i="9" s="1"/>
  <c r="G40" i="9" s="1"/>
  <c r="H40" i="9" s="1"/>
  <c r="CY148" i="2" l="1"/>
  <c r="CX150" i="2"/>
  <c r="CZ141" i="2"/>
  <c r="CZ142" i="2" s="1"/>
  <c r="D41" i="9"/>
  <c r="F41" i="9" s="1"/>
  <c r="G41" i="9" s="1"/>
  <c r="H41" i="9" s="1"/>
  <c r="CZ144" i="2"/>
  <c r="CZ147" i="2" s="1"/>
  <c r="CZ148" i="2" s="1"/>
  <c r="CY179" i="2"/>
  <c r="CX112" i="2" l="1"/>
  <c r="CZ182" i="2"/>
  <c r="CZ149" i="2"/>
  <c r="CZ150" i="2" s="1"/>
  <c r="CZ112" i="2" s="1"/>
  <c r="CZ113" i="2" s="1"/>
  <c r="CY182" i="2"/>
  <c r="CY149" i="2"/>
  <c r="CZ152" i="2"/>
  <c r="DA137" i="2" s="1"/>
  <c r="CZ179" i="2"/>
  <c r="CY150" i="2" l="1"/>
  <c r="CX113" i="2"/>
  <c r="D42" i="9"/>
  <c r="F42" i="9" s="1"/>
  <c r="G42" i="9" s="1"/>
  <c r="H42" i="9" s="1"/>
  <c r="DA141" i="2"/>
  <c r="DA142" i="2" s="1"/>
  <c r="DA144" i="2"/>
  <c r="DA147" i="2" s="1"/>
  <c r="DA148" i="2" l="1"/>
  <c r="CY112" i="2"/>
  <c r="DA152" i="2"/>
  <c r="DB137" i="2" s="1"/>
  <c r="DA179" i="2"/>
  <c r="CY113" i="2" l="1"/>
  <c r="DA149" i="2"/>
  <c r="DA182" i="2"/>
  <c r="D43" i="9"/>
  <c r="F43" i="9" s="1"/>
  <c r="G43" i="9" s="1"/>
  <c r="H43" i="9" s="1"/>
  <c r="DB144" i="2"/>
  <c r="DB147" i="2" s="1"/>
  <c r="DB141" i="2"/>
  <c r="DB142" i="2" s="1"/>
  <c r="DB148" i="2" l="1"/>
  <c r="DA150" i="2"/>
  <c r="DB179" i="2"/>
  <c r="DB152" i="2"/>
  <c r="DC137" i="2" s="1"/>
  <c r="DA112" i="2" l="1"/>
  <c r="DB149" i="2"/>
  <c r="DB182" i="2"/>
  <c r="DC141" i="2"/>
  <c r="DC142" i="2" s="1"/>
  <c r="DC144" i="2"/>
  <c r="DC147" i="2" s="1"/>
  <c r="DC148" i="2" s="1"/>
  <c r="HV148" i="2" s="1"/>
  <c r="HL148" i="2" s="1"/>
  <c r="D44" i="9"/>
  <c r="F44" i="9" s="1"/>
  <c r="G44" i="9" s="1"/>
  <c r="H44" i="9" s="1"/>
  <c r="DC149" i="2" l="1"/>
  <c r="DC150" i="2" s="1"/>
  <c r="DC112" i="2" s="1"/>
  <c r="DC113" i="2" s="1"/>
  <c r="DC182" i="2"/>
  <c r="HV182" i="2" s="1"/>
  <c r="HL182" i="2" s="1"/>
  <c r="DB150" i="2"/>
  <c r="DA113" i="2"/>
  <c r="DC152" i="2"/>
  <c r="DD137" i="2" s="1"/>
  <c r="DC179" i="2"/>
  <c r="HV149" i="2" l="1"/>
  <c r="HL149" i="2" s="1"/>
  <c r="DB112" i="2"/>
  <c r="HV150" i="2"/>
  <c r="HL150" i="2" s="1"/>
  <c r="DD144" i="2"/>
  <c r="DD147" i="2" s="1"/>
  <c r="DD148" i="2" s="1"/>
  <c r="D45" i="9"/>
  <c r="F45" i="9" s="1"/>
  <c r="G45" i="9" s="1"/>
  <c r="H45" i="9" s="1"/>
  <c r="DD141" i="2"/>
  <c r="DD142" i="2" s="1"/>
  <c r="DD182" i="2" l="1"/>
  <c r="DD149" i="2"/>
  <c r="DD150" i="2" s="1"/>
  <c r="DD112" i="2" s="1"/>
  <c r="DD113" i="2" s="1"/>
  <c r="DB113" i="2"/>
  <c r="HV112" i="2"/>
  <c r="HL112" i="2" s="1"/>
  <c r="DD152" i="2"/>
  <c r="DE137" i="2" s="1"/>
  <c r="DD179" i="2"/>
  <c r="D46" i="9" l="1"/>
  <c r="F46" i="9" s="1"/>
  <c r="G46" i="9" s="1"/>
  <c r="H46" i="9" s="1"/>
  <c r="DE141" i="2"/>
  <c r="DE142" i="2" s="1"/>
  <c r="DE144" i="2"/>
  <c r="DE147" i="2" s="1"/>
  <c r="DE148" i="2" s="1"/>
  <c r="DE149" i="2" l="1"/>
  <c r="DE150" i="2" s="1"/>
  <c r="DE112" i="2" s="1"/>
  <c r="DE113" i="2" s="1"/>
  <c r="DE182" i="2"/>
  <c r="DE152" i="2"/>
  <c r="DF137" i="2" s="1"/>
  <c r="DE179" i="2"/>
  <c r="DF144" i="2" l="1"/>
  <c r="DF147" i="2" s="1"/>
  <c r="DF148" i="2" s="1"/>
  <c r="D47" i="9"/>
  <c r="F47" i="9" s="1"/>
  <c r="G47" i="9" s="1"/>
  <c r="H47" i="9" s="1"/>
  <c r="DF141" i="2"/>
  <c r="DF142" i="2" s="1"/>
  <c r="DF149" i="2" l="1"/>
  <c r="DF150" i="2" s="1"/>
  <c r="DF112" i="2" s="1"/>
  <c r="DF113" i="2" s="1"/>
  <c r="DF182" i="2"/>
  <c r="DF152" i="2"/>
  <c r="DG137" i="2" s="1"/>
  <c r="DF179" i="2"/>
  <c r="DG141" i="2" l="1"/>
  <c r="DG142" i="2" s="1"/>
  <c r="DG144" i="2"/>
  <c r="DG147" i="2" s="1"/>
  <c r="DG148" i="2" s="1"/>
  <c r="D48" i="9"/>
  <c r="F48" i="9" s="1"/>
  <c r="G48" i="9" s="1"/>
  <c r="H48" i="9" s="1"/>
  <c r="DG149" i="2" l="1"/>
  <c r="DG150" i="2" s="1"/>
  <c r="DG112" i="2" s="1"/>
  <c r="DG113" i="2" s="1"/>
  <c r="DG182" i="2"/>
  <c r="DG152" i="2"/>
  <c r="DH137" i="2" s="1"/>
  <c r="DG179" i="2"/>
  <c r="DH141" i="2" l="1"/>
  <c r="DH142" i="2" s="1"/>
  <c r="DH152" i="2" s="1"/>
  <c r="DI137" i="2" s="1"/>
  <c r="DH144" i="2"/>
  <c r="DH147" i="2" s="1"/>
  <c r="DH148" i="2" s="1"/>
  <c r="D49" i="9"/>
  <c r="F49" i="9" s="1"/>
  <c r="G49" i="9" s="1"/>
  <c r="H49" i="9" s="1"/>
  <c r="DH182" i="2" l="1"/>
  <c r="DH149" i="2"/>
  <c r="DH150" i="2" s="1"/>
  <c r="DH112" i="2" s="1"/>
  <c r="DH113" i="2" s="1"/>
  <c r="DI141" i="2"/>
  <c r="DI142" i="2" s="1"/>
  <c r="D50" i="9"/>
  <c r="F50" i="9" s="1"/>
  <c r="G50" i="9" s="1"/>
  <c r="H50" i="9" s="1"/>
  <c r="DI144" i="2"/>
  <c r="DI147" i="2" s="1"/>
  <c r="DH179" i="2"/>
  <c r="DI148" i="2" l="1"/>
  <c r="HV147" i="2"/>
  <c r="HL147" i="2" s="1"/>
  <c r="DI179" i="2"/>
  <c r="DI152" i="2"/>
  <c r="DJ137" i="2" s="1"/>
  <c r="DI182" i="2" l="1"/>
  <c r="DI149" i="2"/>
  <c r="DJ144" i="2"/>
  <c r="DJ147" i="2" s="1"/>
  <c r="D51" i="9"/>
  <c r="F51" i="9" s="1"/>
  <c r="G51" i="9" s="1"/>
  <c r="H51" i="9" s="1"/>
  <c r="DJ141" i="2"/>
  <c r="DJ142" i="2" s="1"/>
  <c r="DJ148" i="2" l="1"/>
  <c r="DI150" i="2"/>
  <c r="DJ179" i="2"/>
  <c r="DJ152" i="2"/>
  <c r="DK137" i="2" s="1"/>
  <c r="DJ149" i="2" l="1"/>
  <c r="DJ182" i="2"/>
  <c r="DI112" i="2"/>
  <c r="D52" i="9"/>
  <c r="F52" i="9" s="1"/>
  <c r="G52" i="9" s="1"/>
  <c r="H52" i="9" s="1"/>
  <c r="DK144" i="2"/>
  <c r="DK147" i="2" s="1"/>
  <c r="DK141" i="2"/>
  <c r="DK142" i="2" s="1"/>
  <c r="DK148" i="2" l="1"/>
  <c r="I147" i="2"/>
  <c r="DJ150" i="2"/>
  <c r="DI113" i="2"/>
  <c r="HV113" i="2" s="1"/>
  <c r="DK152" i="2"/>
  <c r="DL137" i="2" s="1"/>
  <c r="DK179" i="2"/>
  <c r="DJ112" i="2" l="1"/>
  <c r="DK149" i="2"/>
  <c r="DK182" i="2"/>
  <c r="I148" i="2"/>
  <c r="DL141" i="2"/>
  <c r="DL142" i="2" s="1"/>
  <c r="DL144" i="2"/>
  <c r="D53" i="9"/>
  <c r="F53" i="9" s="1"/>
  <c r="G53" i="9" s="1"/>
  <c r="H53" i="9" s="1"/>
  <c r="I182" i="2" l="1"/>
  <c r="DK150" i="2"/>
  <c r="I149" i="2"/>
  <c r="DJ113" i="2"/>
  <c r="DL118" i="2"/>
  <c r="DL179" i="2"/>
  <c r="DL152" i="2"/>
  <c r="DM137" i="2" s="1"/>
  <c r="DK112" i="2" l="1"/>
  <c r="I150" i="2"/>
  <c r="E25" i="1" s="1"/>
  <c r="F25" i="1" s="1"/>
  <c r="DL195" i="2"/>
  <c r="DL187" i="2"/>
  <c r="D54" i="9"/>
  <c r="F54" i="9" s="1"/>
  <c r="G54" i="9" s="1"/>
  <c r="H54" i="9" s="1"/>
  <c r="DM144" i="2"/>
  <c r="DM141" i="2"/>
  <c r="DM142" i="2" s="1"/>
  <c r="DM152" i="2" s="1"/>
  <c r="DN137" i="2" s="1"/>
  <c r="DK113" i="2" l="1"/>
  <c r="I112" i="2"/>
  <c r="DN141" i="2"/>
  <c r="DN142" i="2" s="1"/>
  <c r="D55" i="9"/>
  <c r="F55" i="9" s="1"/>
  <c r="G55" i="9" s="1"/>
  <c r="H55" i="9" s="1"/>
  <c r="DN144" i="2"/>
  <c r="DM118" i="2"/>
  <c r="DM179" i="2"/>
  <c r="DM195" i="2" l="1"/>
  <c r="DM187" i="2"/>
  <c r="DN179" i="2"/>
  <c r="DN118" i="2"/>
  <c r="DN152" i="2"/>
  <c r="DO137" i="2" s="1"/>
  <c r="DN195" i="2" l="1"/>
  <c r="DN187" i="2"/>
  <c r="DO141" i="2"/>
  <c r="DO142" i="2" s="1"/>
  <c r="DO152" i="2" s="1"/>
  <c r="DP137" i="2" s="1"/>
  <c r="DO144" i="2"/>
  <c r="D56" i="9"/>
  <c r="F56" i="9" s="1"/>
  <c r="G56" i="9" s="1"/>
  <c r="H56" i="9" s="1"/>
  <c r="D57" i="9" l="1"/>
  <c r="F57" i="9" s="1"/>
  <c r="G57" i="9" s="1"/>
  <c r="H57" i="9" s="1"/>
  <c r="DP144" i="2"/>
  <c r="DP141" i="2"/>
  <c r="DP142" i="2" s="1"/>
  <c r="DO179" i="2"/>
  <c r="DO118" i="2"/>
  <c r="DO195" i="2" l="1"/>
  <c r="DO187" i="2"/>
  <c r="DP118" i="2"/>
  <c r="DP179" i="2"/>
  <c r="DP152" i="2"/>
  <c r="DQ137" i="2" s="1"/>
  <c r="DP195" i="2" l="1"/>
  <c r="DP187" i="2"/>
  <c r="DQ141" i="2"/>
  <c r="DQ142" i="2" s="1"/>
  <c r="DQ152" i="2" s="1"/>
  <c r="DR137" i="2" s="1"/>
  <c r="DQ144" i="2"/>
  <c r="D58" i="9"/>
  <c r="F58" i="9" s="1"/>
  <c r="G58" i="9" s="1"/>
  <c r="H58" i="9" s="1"/>
  <c r="D59" i="9" l="1"/>
  <c r="F59" i="9" s="1"/>
  <c r="G59" i="9" s="1"/>
  <c r="H59" i="9" s="1"/>
  <c r="DR144" i="2"/>
  <c r="DR141" i="2"/>
  <c r="DR142" i="2" s="1"/>
  <c r="DR152" i="2" s="1"/>
  <c r="DS137" i="2" s="1"/>
  <c r="DQ118" i="2"/>
  <c r="DQ179" i="2"/>
  <c r="DQ195" i="2" l="1"/>
  <c r="DQ187" i="2"/>
  <c r="DS141" i="2"/>
  <c r="DS142" i="2" s="1"/>
  <c r="DS152" i="2" s="1"/>
  <c r="DT137" i="2" s="1"/>
  <c r="D60" i="9"/>
  <c r="F60" i="9" s="1"/>
  <c r="G60" i="9" s="1"/>
  <c r="H60" i="9" s="1"/>
  <c r="DS144" i="2"/>
  <c r="DR118" i="2"/>
  <c r="DR179" i="2"/>
  <c r="DR195" i="2" l="1"/>
  <c r="DR187" i="2"/>
  <c r="DT141" i="2"/>
  <c r="DT142" i="2" s="1"/>
  <c r="DT152" i="2" s="1"/>
  <c r="DU137" i="2" s="1"/>
  <c r="DT144" i="2"/>
  <c r="D61" i="9"/>
  <c r="F61" i="9" s="1"/>
  <c r="G61" i="9" s="1"/>
  <c r="H61" i="9" s="1"/>
  <c r="DS118" i="2"/>
  <c r="DS179" i="2"/>
  <c r="DS195" i="2" l="1"/>
  <c r="DS187" i="2"/>
  <c r="D62" i="9"/>
  <c r="F62" i="9" s="1"/>
  <c r="G62" i="9" s="1"/>
  <c r="H62" i="9" s="1"/>
  <c r="DU144" i="2"/>
  <c r="DU141" i="2"/>
  <c r="DU142" i="2" s="1"/>
  <c r="DU152" i="2" s="1"/>
  <c r="DV137" i="2" s="1"/>
  <c r="DT118" i="2"/>
  <c r="DT179" i="2"/>
  <c r="DT195" i="2" l="1"/>
  <c r="DT187" i="2"/>
  <c r="DV141" i="2"/>
  <c r="DV142" i="2" s="1"/>
  <c r="DV144" i="2"/>
  <c r="D63" i="9"/>
  <c r="F63" i="9" s="1"/>
  <c r="G63" i="9" s="1"/>
  <c r="H63" i="9" s="1"/>
  <c r="DU118" i="2"/>
  <c r="DU179" i="2"/>
  <c r="DU195" i="2" l="1"/>
  <c r="DU187" i="2"/>
  <c r="DV152" i="2"/>
  <c r="DW137" i="2" s="1"/>
  <c r="DV179" i="2"/>
  <c r="DV118" i="2"/>
  <c r="DV195" i="2" l="1"/>
  <c r="DV187" i="2"/>
  <c r="DW141" i="2"/>
  <c r="DW142" i="2" s="1"/>
  <c r="DW152" i="2" s="1"/>
  <c r="DX137" i="2" s="1"/>
  <c r="D64" i="9"/>
  <c r="F64" i="9" s="1"/>
  <c r="G64" i="9" s="1"/>
  <c r="H64" i="9" s="1"/>
  <c r="DW144" i="2"/>
  <c r="DX141" i="2" l="1"/>
  <c r="DX142" i="2" s="1"/>
  <c r="DX152" i="2" s="1"/>
  <c r="DY137" i="2" s="1"/>
  <c r="D65" i="9"/>
  <c r="F65" i="9" s="1"/>
  <c r="G65" i="9" s="1"/>
  <c r="H65" i="9" s="1"/>
  <c r="DX144" i="2"/>
  <c r="DW118" i="2"/>
  <c r="DW179" i="2"/>
  <c r="DW195" i="2" l="1"/>
  <c r="DW187" i="2"/>
  <c r="DY141" i="2"/>
  <c r="DY142" i="2" s="1"/>
  <c r="DY152" i="2" s="1"/>
  <c r="DZ137" i="2" s="1"/>
  <c r="D66" i="9"/>
  <c r="F66" i="9" s="1"/>
  <c r="G66" i="9" s="1"/>
  <c r="H66" i="9" s="1"/>
  <c r="DY144" i="2"/>
  <c r="DX179" i="2"/>
  <c r="DX118" i="2"/>
  <c r="DX195" i="2" l="1"/>
  <c r="DX187" i="2"/>
  <c r="DZ144" i="2"/>
  <c r="DZ141" i="2"/>
  <c r="DZ142" i="2" s="1"/>
  <c r="DZ152" i="2" s="1"/>
  <c r="EA137" i="2" s="1"/>
  <c r="D67" i="9"/>
  <c r="F67" i="9" s="1"/>
  <c r="G67" i="9" s="1"/>
  <c r="H67" i="9" s="1"/>
  <c r="DY179" i="2"/>
  <c r="DY118" i="2"/>
  <c r="DY195" i="2" l="1"/>
  <c r="DY187" i="2"/>
  <c r="EA141" i="2"/>
  <c r="EA142" i="2" s="1"/>
  <c r="EA152" i="2" s="1"/>
  <c r="EB137" i="2" s="1"/>
  <c r="D68" i="9"/>
  <c r="F68" i="9" s="1"/>
  <c r="G68" i="9" s="1"/>
  <c r="H68" i="9" s="1"/>
  <c r="EA144" i="2"/>
  <c r="DZ179" i="2"/>
  <c r="DZ118" i="2"/>
  <c r="DZ195" i="2" l="1"/>
  <c r="DZ187" i="2"/>
  <c r="EB141" i="2"/>
  <c r="EB142" i="2" s="1"/>
  <c r="EB152" i="2" s="1"/>
  <c r="EC137" i="2" s="1"/>
  <c r="D69" i="9"/>
  <c r="F69" i="9" s="1"/>
  <c r="G69" i="9" s="1"/>
  <c r="H69" i="9" s="1"/>
  <c r="EB144" i="2"/>
  <c r="EA179" i="2"/>
  <c r="EA118" i="2"/>
  <c r="EA195" i="2" l="1"/>
  <c r="EA187" i="2"/>
  <c r="EB179" i="2"/>
  <c r="EB118" i="2"/>
  <c r="D70" i="9"/>
  <c r="F70" i="9" s="1"/>
  <c r="G70" i="9" s="1"/>
  <c r="H70" i="9" s="1"/>
  <c r="EC141" i="2"/>
  <c r="EC142" i="2" s="1"/>
  <c r="EC144" i="2"/>
  <c r="EB195" i="2" l="1"/>
  <c r="EB187" i="2"/>
  <c r="EC179" i="2"/>
  <c r="EC118" i="2"/>
  <c r="EC152" i="2"/>
  <c r="ED137" i="2" s="1"/>
  <c r="EC195" i="2" l="1"/>
  <c r="EC187" i="2"/>
  <c r="D71" i="9"/>
  <c r="F71" i="9" s="1"/>
  <c r="G71" i="9" s="1"/>
  <c r="H71" i="9" s="1"/>
  <c r="ED144" i="2"/>
  <c r="ED141" i="2"/>
  <c r="ED142" i="2" s="1"/>
  <c r="ED152" i="2" s="1"/>
  <c r="EE137" i="2" s="1"/>
  <c r="CK170" i="2"/>
  <c r="EE141" i="2" l="1"/>
  <c r="EE142" i="2" s="1"/>
  <c r="EE152" i="2" s="1"/>
  <c r="EF137" i="2" s="1"/>
  <c r="EE144" i="2"/>
  <c r="D72" i="9"/>
  <c r="F72" i="9" s="1"/>
  <c r="G72" i="9" s="1"/>
  <c r="H72" i="9" s="1"/>
  <c r="ED118" i="2"/>
  <c r="ED179" i="2"/>
  <c r="HU170" i="2"/>
  <c r="CK186" i="2"/>
  <c r="ED195" i="2" l="1"/>
  <c r="ED187" i="2"/>
  <c r="EF141" i="2"/>
  <c r="EF142" i="2" s="1"/>
  <c r="EF152" i="2" s="1"/>
  <c r="EG137" i="2" s="1"/>
  <c r="EF144" i="2"/>
  <c r="D73" i="9"/>
  <c r="F73" i="9" s="1"/>
  <c r="G73" i="9" s="1"/>
  <c r="H73" i="9" s="1"/>
  <c r="EE179" i="2"/>
  <c r="EE118" i="2"/>
  <c r="HU186" i="2"/>
  <c r="EE195" i="2" l="1"/>
  <c r="EE187" i="2"/>
  <c r="EG141" i="2"/>
  <c r="EG142" i="2" s="1"/>
  <c r="EG152" i="2" s="1"/>
  <c r="EH137" i="2" s="1"/>
  <c r="D74" i="9"/>
  <c r="F74" i="9" s="1"/>
  <c r="G74" i="9" s="1"/>
  <c r="H74" i="9" s="1"/>
  <c r="EG144" i="2"/>
  <c r="EF118" i="2"/>
  <c r="EF179" i="2"/>
  <c r="M44" i="7"/>
  <c r="EF195" i="2" l="1"/>
  <c r="EF187" i="2"/>
  <c r="EH141" i="2"/>
  <c r="EH142" i="2" s="1"/>
  <c r="EH152" i="2" s="1"/>
  <c r="EI137" i="2" s="1"/>
  <c r="D75" i="9"/>
  <c r="F75" i="9" s="1"/>
  <c r="G75" i="9" s="1"/>
  <c r="H75" i="9" s="1"/>
  <c r="EH144" i="2"/>
  <c r="EG118" i="2"/>
  <c r="EG179" i="2"/>
  <c r="L68" i="1"/>
  <c r="CA29" i="2"/>
  <c r="EG195" i="2" l="1"/>
  <c r="EG187" i="2"/>
  <c r="CA175" i="2"/>
  <c r="CA178" i="2" s="1"/>
  <c r="CA162" i="2"/>
  <c r="CA164" i="2" s="1"/>
  <c r="CA181" i="2" s="1"/>
  <c r="EI141" i="2"/>
  <c r="EI142" i="2" s="1"/>
  <c r="EI152" i="2" s="1"/>
  <c r="EJ137" i="2" s="1"/>
  <c r="EI144" i="2"/>
  <c r="D76" i="9"/>
  <c r="F76" i="9" s="1"/>
  <c r="G76" i="9" s="1"/>
  <c r="H76" i="9" s="1"/>
  <c r="EH179" i="2"/>
  <c r="EH118" i="2"/>
  <c r="CA41" i="2"/>
  <c r="EH195" i="2" l="1"/>
  <c r="EH187" i="2"/>
  <c r="EJ141" i="2"/>
  <c r="EJ142" i="2" s="1"/>
  <c r="EJ152" i="2" s="1"/>
  <c r="EK137" i="2" s="1"/>
  <c r="D77" i="9"/>
  <c r="F77" i="9" s="1"/>
  <c r="G77" i="9" s="1"/>
  <c r="H77" i="9" s="1"/>
  <c r="EJ144" i="2"/>
  <c r="EI118" i="2"/>
  <c r="EI179" i="2"/>
  <c r="CA92" i="2"/>
  <c r="CA87" i="2"/>
  <c r="EI195" i="2" l="1"/>
  <c r="EI187" i="2"/>
  <c r="D78" i="9"/>
  <c r="F78" i="9" s="1"/>
  <c r="G78" i="9" s="1"/>
  <c r="H78" i="9" s="1"/>
  <c r="EK141" i="2"/>
  <c r="EK142" i="2" s="1"/>
  <c r="EK144" i="2"/>
  <c r="EJ179" i="2"/>
  <c r="EJ118" i="2"/>
  <c r="CA81" i="2"/>
  <c r="CA89" i="2"/>
  <c r="CA106" i="2"/>
  <c r="EJ195" i="2" l="1"/>
  <c r="EJ187" i="2"/>
  <c r="EK152" i="2"/>
  <c r="EL137" i="2" s="1"/>
  <c r="EK118" i="2"/>
  <c r="EK179" i="2"/>
  <c r="CA113" i="2"/>
  <c r="CA90" i="2"/>
  <c r="EK195" i="2" l="1"/>
  <c r="EK187" i="2"/>
  <c r="EL141" i="2"/>
  <c r="EL142" i="2" s="1"/>
  <c r="EL152" i="2" s="1"/>
  <c r="EM137" i="2" s="1"/>
  <c r="D79" i="9"/>
  <c r="F79" i="9" s="1"/>
  <c r="G79" i="9" s="1"/>
  <c r="H79" i="9" s="1"/>
  <c r="EL144" i="2"/>
  <c r="EL179" i="2" l="1"/>
  <c r="EL118" i="2"/>
  <c r="EM141" i="2"/>
  <c r="EM142" i="2" s="1"/>
  <c r="EM152" i="2" s="1"/>
  <c r="EN137" i="2" s="1"/>
  <c r="D80" i="9"/>
  <c r="F80" i="9" s="1"/>
  <c r="G80" i="9" s="1"/>
  <c r="H80" i="9" s="1"/>
  <c r="EM144" i="2"/>
  <c r="EL195" i="2" l="1"/>
  <c r="EL187" i="2"/>
  <c r="EN141" i="2"/>
  <c r="EN142" i="2" s="1"/>
  <c r="EN144" i="2"/>
  <c r="D81" i="9"/>
  <c r="F81" i="9" s="1"/>
  <c r="G81" i="9" s="1"/>
  <c r="H81" i="9" s="1"/>
  <c r="EM179" i="2"/>
  <c r="EM118" i="2"/>
  <c r="EM195" i="2" l="1"/>
  <c r="EM187" i="2"/>
  <c r="EN152" i="2"/>
  <c r="EO137" i="2" s="1"/>
  <c r="EN118" i="2"/>
  <c r="EN179" i="2"/>
  <c r="EN195" i="2" l="1"/>
  <c r="EN187" i="2"/>
  <c r="EO141" i="2"/>
  <c r="EO142" i="2" s="1"/>
  <c r="EO152" i="2" s="1"/>
  <c r="EP137" i="2" s="1"/>
  <c r="EO144" i="2"/>
  <c r="D82" i="9"/>
  <c r="F82" i="9" s="1"/>
  <c r="G82" i="9" s="1"/>
  <c r="H82" i="9" s="1"/>
  <c r="EP144" i="2" l="1"/>
  <c r="D83" i="9"/>
  <c r="F83" i="9" s="1"/>
  <c r="G83" i="9" s="1"/>
  <c r="H83" i="9" s="1"/>
  <c r="EP141" i="2"/>
  <c r="EP142" i="2" s="1"/>
  <c r="EO179" i="2"/>
  <c r="EO118" i="2"/>
  <c r="EO195" i="2" l="1"/>
  <c r="EO187" i="2"/>
  <c r="EP179" i="2"/>
  <c r="EP118" i="2"/>
  <c r="EP152" i="2"/>
  <c r="EQ137" i="2" s="1"/>
  <c r="EP195" i="2" l="1"/>
  <c r="EP187" i="2"/>
  <c r="EQ144" i="2"/>
  <c r="EQ141" i="2"/>
  <c r="EQ142" i="2" s="1"/>
  <c r="D84" i="9"/>
  <c r="F84" i="9" s="1"/>
  <c r="G84" i="9" s="1"/>
  <c r="H84" i="9" s="1"/>
  <c r="EQ118" i="2" l="1"/>
  <c r="EQ179" i="2"/>
  <c r="EQ152" i="2"/>
  <c r="ER137" i="2" s="1"/>
  <c r="EQ195" i="2" l="1"/>
  <c r="EQ187" i="2"/>
  <c r="ER141" i="2"/>
  <c r="ER142" i="2" s="1"/>
  <c r="ER152" i="2" s="1"/>
  <c r="ES137" i="2" s="1"/>
  <c r="D85" i="9"/>
  <c r="F85" i="9" s="1"/>
  <c r="G85" i="9" s="1"/>
  <c r="H85" i="9" s="1"/>
  <c r="ER144" i="2"/>
  <c r="ES144" i="2" l="1"/>
  <c r="D86" i="9"/>
  <c r="F86" i="9" s="1"/>
  <c r="G86" i="9" s="1"/>
  <c r="H86" i="9" s="1"/>
  <c r="ES141" i="2"/>
  <c r="ES142" i="2" s="1"/>
  <c r="ES152" i="2" s="1"/>
  <c r="ET137" i="2" s="1"/>
  <c r="ER118" i="2"/>
  <c r="ER179" i="2"/>
  <c r="ER195" i="2" l="1"/>
  <c r="ER187" i="2"/>
  <c r="ET141" i="2"/>
  <c r="ET142" i="2" s="1"/>
  <c r="ET152" i="2" s="1"/>
  <c r="EU137" i="2" s="1"/>
  <c r="ET144" i="2"/>
  <c r="D87" i="9"/>
  <c r="F87" i="9" s="1"/>
  <c r="G87" i="9" s="1"/>
  <c r="H87" i="9" s="1"/>
  <c r="ES179" i="2"/>
  <c r="ES118" i="2"/>
  <c r="ES195" i="2" l="1"/>
  <c r="ES187" i="2"/>
  <c r="EU141" i="2"/>
  <c r="EU142" i="2" s="1"/>
  <c r="EU152" i="2" s="1"/>
  <c r="EV137" i="2" s="1"/>
  <c r="EU144" i="2"/>
  <c r="D88" i="9"/>
  <c r="F88" i="9" s="1"/>
  <c r="G88" i="9" s="1"/>
  <c r="H88" i="9" s="1"/>
  <c r="ET118" i="2"/>
  <c r="ET179" i="2"/>
  <c r="ET195" i="2" l="1"/>
  <c r="ET187" i="2"/>
  <c r="EV141" i="2"/>
  <c r="EV142" i="2" s="1"/>
  <c r="EV152" i="2" s="1"/>
  <c r="EW137" i="2" s="1"/>
  <c r="EV144" i="2"/>
  <c r="D89" i="9"/>
  <c r="F89" i="9" s="1"/>
  <c r="G89" i="9" s="1"/>
  <c r="H89" i="9" s="1"/>
  <c r="EU118" i="2"/>
  <c r="EU179" i="2"/>
  <c r="EU195" i="2" l="1"/>
  <c r="EU187" i="2"/>
  <c r="EW144" i="2"/>
  <c r="EW141" i="2"/>
  <c r="EW142" i="2" s="1"/>
  <c r="D90" i="9"/>
  <c r="F90" i="9" s="1"/>
  <c r="G90" i="9" s="1"/>
  <c r="H90" i="9" s="1"/>
  <c r="EV118" i="2"/>
  <c r="EV179" i="2"/>
  <c r="I27" i="2"/>
  <c r="CC29" i="2"/>
  <c r="CC41" i="2" s="1"/>
  <c r="CC92" i="2" s="1"/>
  <c r="CD29" i="2"/>
  <c r="CD175" i="2" s="1"/>
  <c r="CD178" i="2" s="1"/>
  <c r="CB29" i="2"/>
  <c r="F27" i="2"/>
  <c r="H27" i="2" s="1"/>
  <c r="H29" i="2" s="1"/>
  <c r="E18" i="1" s="1"/>
  <c r="EV195" i="2" l="1"/>
  <c r="EV187" i="2"/>
  <c r="HT29" i="2"/>
  <c r="L38" i="7" s="1"/>
  <c r="CB162" i="2"/>
  <c r="CB164" i="2" s="1"/>
  <c r="CB181" i="2" s="1"/>
  <c r="CD41" i="2"/>
  <c r="CD87" i="2" s="1"/>
  <c r="CD162" i="2"/>
  <c r="CD164" i="2" s="1"/>
  <c r="CD181" i="2" s="1"/>
  <c r="CC175" i="2"/>
  <c r="CC178" i="2" s="1"/>
  <c r="CC162" i="2"/>
  <c r="CC164" i="2" s="1"/>
  <c r="CC181" i="2" s="1"/>
  <c r="EW179" i="2"/>
  <c r="EW118" i="2"/>
  <c r="EW152" i="2"/>
  <c r="EX137" i="2" s="1"/>
  <c r="CB175" i="2"/>
  <c r="CB178" i="2" s="1"/>
  <c r="CB41" i="2"/>
  <c r="CB87" i="2" s="1"/>
  <c r="I29" i="2"/>
  <c r="J39" i="1" s="1"/>
  <c r="J44" i="1" s="1"/>
  <c r="CC87" i="2"/>
  <c r="I178" i="2"/>
  <c r="F18" i="1"/>
  <c r="E23" i="1"/>
  <c r="EW195" i="2" l="1"/>
  <c r="EW187" i="2"/>
  <c r="HL29" i="2"/>
  <c r="CD92" i="2"/>
  <c r="EX141" i="2"/>
  <c r="EX142" i="2" s="1"/>
  <c r="EX152" i="2" s="1"/>
  <c r="EY137" i="2" s="1"/>
  <c r="D91" i="9"/>
  <c r="F91" i="9" s="1"/>
  <c r="G91" i="9" s="1"/>
  <c r="H91" i="9" s="1"/>
  <c r="EX144" i="2"/>
  <c r="HT178" i="2"/>
  <c r="HL178" i="2" s="1"/>
  <c r="I175" i="2"/>
  <c r="HT175" i="2"/>
  <c r="HL175" i="2" s="1"/>
  <c r="CC89" i="2"/>
  <c r="CC90" i="2" s="1"/>
  <c r="I41" i="2"/>
  <c r="HT41" i="2"/>
  <c r="HL41" i="2" s="1"/>
  <c r="CB92" i="2"/>
  <c r="CC106" i="2"/>
  <c r="CC113" i="2" s="1"/>
  <c r="J58" i="1"/>
  <c r="H24" i="7" s="1"/>
  <c r="L39" i="1"/>
  <c r="L44" i="1" s="1"/>
  <c r="K39" i="1"/>
  <c r="F23" i="1"/>
  <c r="E26" i="1"/>
  <c r="K42" i="1"/>
  <c r="K37" i="1"/>
  <c r="K38" i="1"/>
  <c r="K35" i="1"/>
  <c r="K43" i="1"/>
  <c r="K41" i="1"/>
  <c r="K36" i="1"/>
  <c r="K40" i="1"/>
  <c r="CD106" i="2"/>
  <c r="CD113" i="2" s="1"/>
  <c r="CD89" i="2"/>
  <c r="CD90" i="2" s="1"/>
  <c r="O38" i="7"/>
  <c r="CB81" i="2"/>
  <c r="CR81" i="2"/>
  <c r="HT87" i="2"/>
  <c r="HL87" i="2" s="1"/>
  <c r="DP81" i="2"/>
  <c r="DW81" i="2"/>
  <c r="CQ81" i="2"/>
  <c r="GP81" i="2"/>
  <c r="CH81" i="2"/>
  <c r="DC81" i="2"/>
  <c r="DK81" i="2"/>
  <c r="DN81" i="2"/>
  <c r="GK81" i="2"/>
  <c r="EZ81" i="2"/>
  <c r="FU81" i="2"/>
  <c r="DX81" i="2"/>
  <c r="FR81" i="2"/>
  <c r="GJ81" i="2"/>
  <c r="FS81" i="2"/>
  <c r="GT81" i="2"/>
  <c r="ES81" i="2"/>
  <c r="CJ81" i="2"/>
  <c r="CT81" i="2"/>
  <c r="FC81" i="2"/>
  <c r="GS81" i="2"/>
  <c r="EC81" i="2"/>
  <c r="ED81" i="2"/>
  <c r="DB81" i="2"/>
  <c r="EN81" i="2"/>
  <c r="FY81" i="2"/>
  <c r="DF81" i="2"/>
  <c r="EE81" i="2"/>
  <c r="GQ81" i="2"/>
  <c r="EG81" i="2"/>
  <c r="CI81" i="2"/>
  <c r="CF81" i="2"/>
  <c r="CB89" i="2"/>
  <c r="CB90" i="2" s="1"/>
  <c r="GI81" i="2"/>
  <c r="EY81" i="2"/>
  <c r="CZ81" i="2"/>
  <c r="FX81" i="2"/>
  <c r="DJ81" i="2"/>
  <c r="CS81" i="2"/>
  <c r="GF81" i="2"/>
  <c r="GG81" i="2"/>
  <c r="GL81" i="2"/>
  <c r="EF81" i="2"/>
  <c r="FZ81" i="2"/>
  <c r="GA81" i="2"/>
  <c r="DE81" i="2"/>
  <c r="DI81" i="2"/>
  <c r="FL81" i="2"/>
  <c r="GR81" i="2"/>
  <c r="EM81" i="2"/>
  <c r="EX81" i="2"/>
  <c r="FV81" i="2"/>
  <c r="DY81" i="2"/>
  <c r="FM81" i="2"/>
  <c r="GC81" i="2"/>
  <c r="FW81" i="2"/>
  <c r="FG81" i="2"/>
  <c r="FJ81" i="2"/>
  <c r="DA81" i="2"/>
  <c r="FA81" i="2"/>
  <c r="FI81" i="2"/>
  <c r="CK81" i="2"/>
  <c r="EQ81" i="2"/>
  <c r="EK81" i="2"/>
  <c r="EP81" i="2"/>
  <c r="GH81" i="2"/>
  <c r="EA81" i="2"/>
  <c r="DL81" i="2"/>
  <c r="CE81" i="2"/>
  <c r="CN81" i="2"/>
  <c r="GB81" i="2"/>
  <c r="GO81" i="2"/>
  <c r="FD81" i="2"/>
  <c r="DS81" i="2"/>
  <c r="GE81" i="2"/>
  <c r="EB81" i="2"/>
  <c r="CD81" i="2"/>
  <c r="DZ81" i="2"/>
  <c r="DT81" i="2"/>
  <c r="CM81" i="2"/>
  <c r="GM81" i="2"/>
  <c r="ER81" i="2"/>
  <c r="DM81" i="2"/>
  <c r="CV81" i="2"/>
  <c r="CO81" i="2"/>
  <c r="DH81" i="2"/>
  <c r="FT81" i="2"/>
  <c r="FQ81" i="2"/>
  <c r="DG81" i="2"/>
  <c r="EL81" i="2"/>
  <c r="CU81" i="2"/>
  <c r="FP81" i="2"/>
  <c r="GD81" i="2"/>
  <c r="EU81" i="2"/>
  <c r="CY81" i="2"/>
  <c r="FK81" i="2"/>
  <c r="FH81" i="2"/>
  <c r="CP81" i="2"/>
  <c r="EH81" i="2"/>
  <c r="CX81" i="2"/>
  <c r="EV81" i="2"/>
  <c r="EI81" i="2"/>
  <c r="FN81" i="2"/>
  <c r="ET81" i="2"/>
  <c r="DO81" i="2"/>
  <c r="DV81" i="2"/>
  <c r="FE81" i="2"/>
  <c r="EO81" i="2"/>
  <c r="CB106" i="2"/>
  <c r="CC81" i="2"/>
  <c r="EW81" i="2"/>
  <c r="CL81" i="2"/>
  <c r="FB81" i="2"/>
  <c r="CW81" i="2"/>
  <c r="I87" i="2"/>
  <c r="DU81" i="2"/>
  <c r="EJ81" i="2"/>
  <c r="DR81" i="2"/>
  <c r="FO81" i="2"/>
  <c r="DQ81" i="2"/>
  <c r="GN81" i="2"/>
  <c r="DD81" i="2"/>
  <c r="CG81" i="2"/>
  <c r="FF81" i="2"/>
  <c r="I94" i="2" l="1"/>
  <c r="Q22" i="1" s="1"/>
  <c r="G61" i="52" s="1"/>
  <c r="HT92" i="2"/>
  <c r="HL92" i="2" s="1"/>
  <c r="HL93" i="2" s="1"/>
  <c r="I92" i="2"/>
  <c r="I93" i="2" s="1"/>
  <c r="R22" i="1" s="1"/>
  <c r="G62" i="52" s="1"/>
  <c r="I96" i="2"/>
  <c r="O22" i="1" s="1"/>
  <c r="G59" i="52" s="1"/>
  <c r="D10" i="25"/>
  <c r="D13" i="25" s="1"/>
  <c r="E13" i="25" s="1"/>
  <c r="EY141" i="2"/>
  <c r="EY142" i="2" s="1"/>
  <c r="EY152" i="2" s="1"/>
  <c r="EZ137" i="2" s="1"/>
  <c r="EY144" i="2"/>
  <c r="D92" i="9"/>
  <c r="F92" i="9" s="1"/>
  <c r="G92" i="9" s="1"/>
  <c r="H92" i="9" s="1"/>
  <c r="EX179" i="2"/>
  <c r="EX118" i="2"/>
  <c r="J64" i="1"/>
  <c r="K55" i="1" s="1"/>
  <c r="L58" i="1"/>
  <c r="L64" i="1" s="1"/>
  <c r="HV81" i="2"/>
  <c r="I90" i="2"/>
  <c r="J47" i="1" s="1"/>
  <c r="HT90" i="2"/>
  <c r="HL90" i="2" s="1"/>
  <c r="K54" i="7"/>
  <c r="E75" i="1"/>
  <c r="F26" i="1"/>
  <c r="I55" i="30"/>
  <c r="K55" i="30" s="1"/>
  <c r="K56" i="30" s="1"/>
  <c r="HT106" i="2"/>
  <c r="HL106" i="2" s="1"/>
  <c r="I106" i="2"/>
  <c r="CB113" i="2"/>
  <c r="I89" i="2"/>
  <c r="J48" i="1" s="1"/>
  <c r="HT89" i="2"/>
  <c r="HL89" i="2" s="1"/>
  <c r="H29" i="7"/>
  <c r="I24" i="7"/>
  <c r="HU81" i="2"/>
  <c r="K44" i="1"/>
  <c r="HT81" i="2"/>
  <c r="J52" i="7" l="1"/>
  <c r="HL94" i="2"/>
  <c r="HL95" i="2" s="1"/>
  <c r="I95" i="2"/>
  <c r="P22" i="1" s="1"/>
  <c r="I52" i="7" s="1"/>
  <c r="EX195" i="2"/>
  <c r="EX187" i="2"/>
  <c r="HL96" i="2"/>
  <c r="E10" i="25"/>
  <c r="K58" i="1"/>
  <c r="EZ141" i="2"/>
  <c r="EZ142" i="2" s="1"/>
  <c r="EZ152" i="2" s="1"/>
  <c r="FA137" i="2" s="1"/>
  <c r="D93" i="9"/>
  <c r="F93" i="9" s="1"/>
  <c r="G93" i="9" s="1"/>
  <c r="H93" i="9" s="1"/>
  <c r="EZ144" i="2"/>
  <c r="EY118" i="2"/>
  <c r="EY179" i="2"/>
  <c r="K56" i="1"/>
  <c r="K53" i="1"/>
  <c r="K62" i="1"/>
  <c r="K57" i="1"/>
  <c r="K59" i="1"/>
  <c r="K60" i="1"/>
  <c r="K61" i="1"/>
  <c r="D6" i="25"/>
  <c r="E6" i="25" s="1"/>
  <c r="K63" i="1"/>
  <c r="K54" i="1"/>
  <c r="K47" i="7"/>
  <c r="N47" i="7"/>
  <c r="G47" i="7"/>
  <c r="J47" i="7"/>
  <c r="L47" i="7"/>
  <c r="H47" i="7"/>
  <c r="M47" i="7"/>
  <c r="I47" i="7"/>
  <c r="I29" i="7"/>
  <c r="J24" i="7"/>
  <c r="J29" i="7" s="1"/>
  <c r="H52" i="7"/>
  <c r="L48" i="1"/>
  <c r="HT113" i="2"/>
  <c r="HL113" i="2" s="1"/>
  <c r="I113" i="2"/>
  <c r="K52" i="7"/>
  <c r="K53" i="7" s="1"/>
  <c r="L47" i="1"/>
  <c r="J49" i="1"/>
  <c r="K48" i="1" s="1"/>
  <c r="G60" i="52" l="1"/>
  <c r="EY195" i="2"/>
  <c r="EY187" i="2"/>
  <c r="FA141" i="2"/>
  <c r="FA142" i="2" s="1"/>
  <c r="FA144" i="2"/>
  <c r="D94" i="9"/>
  <c r="F94" i="9" s="1"/>
  <c r="G94" i="9" s="1"/>
  <c r="H94" i="9" s="1"/>
  <c r="EZ179" i="2"/>
  <c r="EZ118" i="2"/>
  <c r="K64" i="1"/>
  <c r="D5" i="25"/>
  <c r="E5" i="25" s="1"/>
  <c r="L49" i="1"/>
  <c r="K47" i="1"/>
  <c r="K49" i="1" s="1"/>
  <c r="K23" i="7"/>
  <c r="K19" i="7"/>
  <c r="K28" i="7"/>
  <c r="K21" i="7"/>
  <c r="K22" i="7"/>
  <c r="K20" i="7"/>
  <c r="K26" i="7"/>
  <c r="K27" i="7"/>
  <c r="K25" i="7"/>
  <c r="K24" i="7"/>
  <c r="EZ195" i="2" l="1"/>
  <c r="EZ187" i="2"/>
  <c r="FA118" i="2"/>
  <c r="FA179" i="2"/>
  <c r="FA152" i="2"/>
  <c r="FB137" i="2" s="1"/>
  <c r="K29" i="7"/>
  <c r="FA195" i="2" l="1"/>
  <c r="FA187" i="2"/>
  <c r="FB141" i="2"/>
  <c r="FB142" i="2" s="1"/>
  <c r="FB152" i="2" s="1"/>
  <c r="FC137" i="2" s="1"/>
  <c r="D95" i="9"/>
  <c r="F95" i="9" s="1"/>
  <c r="G95" i="9" s="1"/>
  <c r="H95" i="9" s="1"/>
  <c r="FB144" i="2"/>
  <c r="FC144" i="2" l="1"/>
  <c r="FC141" i="2"/>
  <c r="FC142" i="2" s="1"/>
  <c r="FC152" i="2" s="1"/>
  <c r="FD137" i="2" s="1"/>
  <c r="D96" i="9"/>
  <c r="F96" i="9" s="1"/>
  <c r="G96" i="9" s="1"/>
  <c r="H96" i="9" s="1"/>
  <c r="FB118" i="2"/>
  <c r="FB179" i="2"/>
  <c r="FB195" i="2" l="1"/>
  <c r="FB187" i="2"/>
  <c r="FD144" i="2"/>
  <c r="FD141" i="2"/>
  <c r="FD142" i="2" s="1"/>
  <c r="D97" i="9"/>
  <c r="F97" i="9" s="1"/>
  <c r="G97" i="9" s="1"/>
  <c r="H97" i="9" s="1"/>
  <c r="FC118" i="2"/>
  <c r="FC179" i="2"/>
  <c r="FC195" i="2" l="1"/>
  <c r="FC187" i="2"/>
  <c r="FD152" i="2"/>
  <c r="FE137" i="2" s="1"/>
  <c r="FD179" i="2"/>
  <c r="FD118" i="2"/>
  <c r="FD195" i="2" l="1"/>
  <c r="FD187" i="2"/>
  <c r="FE144" i="2"/>
  <c r="FE141" i="2"/>
  <c r="FE142" i="2" s="1"/>
  <c r="D98" i="9"/>
  <c r="F98" i="9" s="1"/>
  <c r="G98" i="9" s="1"/>
  <c r="H98" i="9" s="1"/>
  <c r="FE179" i="2" l="1"/>
  <c r="FE118" i="2"/>
  <c r="FE152" i="2"/>
  <c r="FF137" i="2" s="1"/>
  <c r="FE195" i="2" l="1"/>
  <c r="FE187" i="2"/>
  <c r="FF141" i="2"/>
  <c r="FF142" i="2" s="1"/>
  <c r="FF152" i="2" s="1"/>
  <c r="FG137" i="2" s="1"/>
  <c r="D99" i="9"/>
  <c r="F99" i="9" s="1"/>
  <c r="G99" i="9" s="1"/>
  <c r="H99" i="9" s="1"/>
  <c r="FF144" i="2"/>
  <c r="FG141" i="2" l="1"/>
  <c r="FG142" i="2" s="1"/>
  <c r="FG152" i="2" s="1"/>
  <c r="FH137" i="2" s="1"/>
  <c r="D100" i="9"/>
  <c r="F100" i="9" s="1"/>
  <c r="G100" i="9" s="1"/>
  <c r="H100" i="9" s="1"/>
  <c r="FG144" i="2"/>
  <c r="FF179" i="2"/>
  <c r="FF118" i="2"/>
  <c r="FF195" i="2" l="1"/>
  <c r="FF187" i="2"/>
  <c r="FH144" i="2"/>
  <c r="D101" i="9"/>
  <c r="F101" i="9" s="1"/>
  <c r="G101" i="9" s="1"/>
  <c r="H101" i="9" s="1"/>
  <c r="FH141" i="2"/>
  <c r="FH142" i="2" s="1"/>
  <c r="FH152" i="2" s="1"/>
  <c r="FI137" i="2" s="1"/>
  <c r="FG118" i="2"/>
  <c r="FG179" i="2"/>
  <c r="FG195" i="2" l="1"/>
  <c r="FG187" i="2"/>
  <c r="FI141" i="2"/>
  <c r="FI142" i="2" s="1"/>
  <c r="FI152" i="2" s="1"/>
  <c r="FJ137" i="2" s="1"/>
  <c r="FI144" i="2"/>
  <c r="D102" i="9"/>
  <c r="F102" i="9" s="1"/>
  <c r="G102" i="9" s="1"/>
  <c r="H102" i="9" s="1"/>
  <c r="FH118" i="2"/>
  <c r="FH179" i="2"/>
  <c r="FH195" i="2" l="1"/>
  <c r="FH187" i="2"/>
  <c r="FJ144" i="2"/>
  <c r="D103" i="9"/>
  <c r="F103" i="9" s="1"/>
  <c r="G103" i="9" s="1"/>
  <c r="H103" i="9" s="1"/>
  <c r="FJ141" i="2"/>
  <c r="FJ142" i="2" s="1"/>
  <c r="FI179" i="2"/>
  <c r="FI118" i="2"/>
  <c r="FI195" i="2" l="1"/>
  <c r="FI187" i="2"/>
  <c r="FJ152" i="2"/>
  <c r="FK137" i="2" s="1"/>
  <c r="FJ118" i="2"/>
  <c r="FJ179" i="2"/>
  <c r="FJ195" i="2" l="1"/>
  <c r="FJ187" i="2"/>
  <c r="FK141" i="2"/>
  <c r="FK142" i="2" s="1"/>
  <c r="FK152" i="2" s="1"/>
  <c r="FL137" i="2" s="1"/>
  <c r="FK144" i="2"/>
  <c r="D104" i="9"/>
  <c r="F104" i="9" s="1"/>
  <c r="G104" i="9" s="1"/>
  <c r="H104" i="9" s="1"/>
  <c r="FL141" i="2" l="1"/>
  <c r="FL142" i="2" s="1"/>
  <c r="FL152" i="2" s="1"/>
  <c r="FM137" i="2" s="1"/>
  <c r="FL144" i="2"/>
  <c r="D105" i="9"/>
  <c r="F105" i="9" s="1"/>
  <c r="G105" i="9" s="1"/>
  <c r="H105" i="9" s="1"/>
  <c r="FK179" i="2"/>
  <c r="FK118" i="2"/>
  <c r="FK195" i="2" l="1"/>
  <c r="FK187" i="2"/>
  <c r="FM144" i="2"/>
  <c r="D106" i="9"/>
  <c r="F106" i="9" s="1"/>
  <c r="G106" i="9" s="1"/>
  <c r="H106" i="9" s="1"/>
  <c r="FM141" i="2"/>
  <c r="FM142" i="2" s="1"/>
  <c r="FM152" i="2" s="1"/>
  <c r="FN137" i="2" s="1"/>
  <c r="FL179" i="2"/>
  <c r="FL118" i="2"/>
  <c r="FL195" i="2" l="1"/>
  <c r="FL187" i="2"/>
  <c r="FN144" i="2"/>
  <c r="D107" i="9"/>
  <c r="F107" i="9" s="1"/>
  <c r="G107" i="9" s="1"/>
  <c r="H107" i="9" s="1"/>
  <c r="FN141" i="2"/>
  <c r="FN142" i="2" s="1"/>
  <c r="FM118" i="2"/>
  <c r="FM179" i="2"/>
  <c r="FM195" i="2" l="1"/>
  <c r="FM187" i="2"/>
  <c r="FN152" i="2"/>
  <c r="FO137" i="2" s="1"/>
  <c r="FN179" i="2"/>
  <c r="FN118" i="2"/>
  <c r="FN195" i="2" l="1"/>
  <c r="FN187" i="2"/>
  <c r="FO141" i="2"/>
  <c r="FO142" i="2" s="1"/>
  <c r="FO152" i="2" s="1"/>
  <c r="FP137" i="2" s="1"/>
  <c r="D108" i="9"/>
  <c r="F108" i="9" s="1"/>
  <c r="G108" i="9" s="1"/>
  <c r="H108" i="9" s="1"/>
  <c r="FO144" i="2"/>
  <c r="FP144" i="2" l="1"/>
  <c r="FP141" i="2"/>
  <c r="FP142" i="2" s="1"/>
  <c r="FP152" i="2" s="1"/>
  <c r="FQ137" i="2" s="1"/>
  <c r="D109" i="9"/>
  <c r="F109" i="9" s="1"/>
  <c r="G109" i="9" s="1"/>
  <c r="H109" i="9" s="1"/>
  <c r="FO179" i="2"/>
  <c r="FO118" i="2"/>
  <c r="FO195" i="2" l="1"/>
  <c r="FO187" i="2"/>
  <c r="FP179" i="2"/>
  <c r="FP118" i="2"/>
  <c r="FQ141" i="2"/>
  <c r="FQ142" i="2" s="1"/>
  <c r="FQ152" i="2" s="1"/>
  <c r="FR137" i="2" s="1"/>
  <c r="FQ144" i="2"/>
  <c r="D110" i="9"/>
  <c r="F110" i="9" s="1"/>
  <c r="G110" i="9" s="1"/>
  <c r="H110" i="9" s="1"/>
  <c r="FP195" i="2" l="1"/>
  <c r="FP187" i="2"/>
  <c r="FR141" i="2"/>
  <c r="FR142" i="2" s="1"/>
  <c r="FR152" i="2" s="1"/>
  <c r="FS137" i="2" s="1"/>
  <c r="D111" i="9"/>
  <c r="F111" i="9" s="1"/>
  <c r="G111" i="9" s="1"/>
  <c r="H111" i="9" s="1"/>
  <c r="FR144" i="2"/>
  <c r="FQ118" i="2"/>
  <c r="FQ179" i="2"/>
  <c r="FQ195" i="2" l="1"/>
  <c r="FQ187" i="2"/>
  <c r="FS144" i="2"/>
  <c r="FS141" i="2"/>
  <c r="FS142" i="2" s="1"/>
  <c r="D112" i="9"/>
  <c r="F112" i="9" s="1"/>
  <c r="G112" i="9" s="1"/>
  <c r="H112" i="9" s="1"/>
  <c r="FR118" i="2"/>
  <c r="FR179" i="2"/>
  <c r="FR195" i="2" l="1"/>
  <c r="FR187" i="2"/>
  <c r="FS152" i="2"/>
  <c r="FT137" i="2" s="1"/>
  <c r="FS179" i="2"/>
  <c r="FS118" i="2"/>
  <c r="FS195" i="2" l="1"/>
  <c r="FS187" i="2"/>
  <c r="FT141" i="2"/>
  <c r="FT142" i="2" s="1"/>
  <c r="FT152" i="2" s="1"/>
  <c r="FU137" i="2" s="1"/>
  <c r="FT144" i="2"/>
  <c r="D113" i="9"/>
  <c r="F113" i="9" s="1"/>
  <c r="G113" i="9" s="1"/>
  <c r="H113" i="9" s="1"/>
  <c r="FU141" i="2" l="1"/>
  <c r="FU142" i="2" s="1"/>
  <c r="FU152" i="2" s="1"/>
  <c r="FV137" i="2" s="1"/>
  <c r="FU144" i="2"/>
  <c r="D114" i="9"/>
  <c r="F114" i="9" s="1"/>
  <c r="G114" i="9" s="1"/>
  <c r="H114" i="9" s="1"/>
  <c r="FT179" i="2"/>
  <c r="FT118" i="2"/>
  <c r="FT195" i="2" l="1"/>
  <c r="FT187" i="2"/>
  <c r="FV141" i="2"/>
  <c r="FV142" i="2" s="1"/>
  <c r="FV152" i="2" s="1"/>
  <c r="FW137" i="2" s="1"/>
  <c r="FV144" i="2"/>
  <c r="D115" i="9"/>
  <c r="F115" i="9" s="1"/>
  <c r="G115" i="9" s="1"/>
  <c r="H115" i="9" s="1"/>
  <c r="FU179" i="2"/>
  <c r="FU118" i="2"/>
  <c r="FU195" i="2" l="1"/>
  <c r="FU187" i="2"/>
  <c r="D116" i="9"/>
  <c r="F116" i="9" s="1"/>
  <c r="G116" i="9" s="1"/>
  <c r="H116" i="9" s="1"/>
  <c r="FW144" i="2"/>
  <c r="FW141" i="2"/>
  <c r="FW142" i="2" s="1"/>
  <c r="FV179" i="2"/>
  <c r="FV118" i="2"/>
  <c r="FV195" i="2" l="1"/>
  <c r="FV187" i="2"/>
  <c r="FW118" i="2"/>
  <c r="FW179" i="2"/>
  <c r="FW152" i="2"/>
  <c r="FX137" i="2" s="1"/>
  <c r="FW195" i="2" l="1"/>
  <c r="FW187" i="2"/>
  <c r="FX141" i="2"/>
  <c r="FX142" i="2" s="1"/>
  <c r="D117" i="9"/>
  <c r="F117" i="9" s="1"/>
  <c r="G117" i="9" s="1"/>
  <c r="H117" i="9" s="1"/>
  <c r="FX144" i="2"/>
  <c r="FX152" i="2" l="1"/>
  <c r="FY137" i="2" s="1"/>
  <c r="FX179" i="2"/>
  <c r="FX118" i="2"/>
  <c r="FX195" i="2" l="1"/>
  <c r="FX187" i="2"/>
  <c r="FY144" i="2"/>
  <c r="FY141" i="2"/>
  <c r="FY142" i="2" s="1"/>
  <c r="D118" i="9"/>
  <c r="F118" i="9" s="1"/>
  <c r="G118" i="9" s="1"/>
  <c r="H118" i="9" s="1"/>
  <c r="FY152" i="2" l="1"/>
  <c r="FZ137" i="2" s="1"/>
  <c r="FY179" i="2"/>
  <c r="FY118" i="2"/>
  <c r="FY195" i="2" l="1"/>
  <c r="FY187" i="2"/>
  <c r="D119" i="9"/>
  <c r="F119" i="9" s="1"/>
  <c r="G119" i="9" s="1"/>
  <c r="H119" i="9" s="1"/>
  <c r="FZ141" i="2"/>
  <c r="FZ142" i="2" s="1"/>
  <c r="FZ152" i="2" s="1"/>
  <c r="GA137" i="2" s="1"/>
  <c r="FZ144" i="2"/>
  <c r="GA141" i="2" l="1"/>
  <c r="GA142" i="2" s="1"/>
  <c r="GA144" i="2"/>
  <c r="D120" i="9"/>
  <c r="F120" i="9" s="1"/>
  <c r="G120" i="9" s="1"/>
  <c r="H120" i="9" s="1"/>
  <c r="FZ179" i="2"/>
  <c r="FZ118" i="2"/>
  <c r="FZ195" i="2" l="1"/>
  <c r="FZ187" i="2"/>
  <c r="GA152" i="2"/>
  <c r="GB137" i="2" s="1"/>
  <c r="GA179" i="2"/>
  <c r="GA118" i="2"/>
  <c r="GA195" i="2" l="1"/>
  <c r="GA187" i="2"/>
  <c r="GB144" i="2"/>
  <c r="GB141" i="2"/>
  <c r="GB142" i="2" s="1"/>
  <c r="D121" i="9"/>
  <c r="F121" i="9" s="1"/>
  <c r="G121" i="9" s="1"/>
  <c r="H121" i="9" s="1"/>
  <c r="GB118" i="2" l="1"/>
  <c r="GB179" i="2"/>
  <c r="GB152" i="2"/>
  <c r="GC137" i="2" s="1"/>
  <c r="GB195" i="2" l="1"/>
  <c r="GB187" i="2"/>
  <c r="GC141" i="2"/>
  <c r="GC142" i="2" s="1"/>
  <c r="GC152" i="2" s="1"/>
  <c r="GP137" i="2" s="1"/>
  <c r="GC144" i="2"/>
  <c r="D122" i="9"/>
  <c r="F122" i="9" s="1"/>
  <c r="G122" i="9" s="1"/>
  <c r="H122" i="9" s="1"/>
  <c r="I141" i="2"/>
  <c r="HT141" i="2"/>
  <c r="HU141" i="2"/>
  <c r="HV141" i="2"/>
  <c r="GP144" i="2" l="1"/>
  <c r="GP141" i="2"/>
  <c r="GP142" i="2" s="1"/>
  <c r="D135" i="9"/>
  <c r="F135" i="9" s="1"/>
  <c r="G135" i="9" s="1"/>
  <c r="H135" i="9" s="1"/>
  <c r="GC118" i="2"/>
  <c r="GC179" i="2"/>
  <c r="HL141" i="2"/>
  <c r="I142" i="2"/>
  <c r="HT142" i="2"/>
  <c r="HU142" i="2"/>
  <c r="HV142" i="2"/>
  <c r="GP152" i="2" l="1"/>
  <c r="GQ137" i="2" s="1"/>
  <c r="GQ141" i="2" s="1"/>
  <c r="GQ142" i="2" s="1"/>
  <c r="GQ179" i="2" s="1"/>
  <c r="GP179" i="2"/>
  <c r="GC195" i="2"/>
  <c r="GC187" i="2"/>
  <c r="GP118" i="2"/>
  <c r="HL142" i="2"/>
  <c r="HT152" i="2"/>
  <c r="HT179" i="2"/>
  <c r="I179" i="2"/>
  <c r="HU179" i="2"/>
  <c r="HV179" i="2"/>
  <c r="D136" i="9" l="1"/>
  <c r="F136" i="9" s="1"/>
  <c r="G136" i="9" s="1"/>
  <c r="H136" i="9" s="1"/>
  <c r="GQ144" i="2"/>
  <c r="GQ152" i="2"/>
  <c r="GR137" i="2" s="1"/>
  <c r="GR141" i="2" s="1"/>
  <c r="GR142" i="2" s="1"/>
  <c r="GR179" i="2" s="1"/>
  <c r="GP195" i="2"/>
  <c r="GP187" i="2"/>
  <c r="GQ118" i="2"/>
  <c r="HL179" i="2"/>
  <c r="HU137" i="2"/>
  <c r="HU152" i="2" s="1"/>
  <c r="HV137" i="2" s="1"/>
  <c r="HV152" i="2" s="1"/>
  <c r="D137" i="9" l="1"/>
  <c r="F137" i="9" s="1"/>
  <c r="G137" i="9" s="1"/>
  <c r="H137" i="9" s="1"/>
  <c r="GR144" i="2"/>
  <c r="GQ195" i="2"/>
  <c r="GQ187" i="2"/>
  <c r="GR152" i="2"/>
  <c r="GS137" i="2" s="1"/>
  <c r="GR118" i="2"/>
  <c r="HL152" i="2"/>
  <c r="GR195" i="2" l="1"/>
  <c r="GR187" i="2"/>
  <c r="GS141" i="2"/>
  <c r="GS142" i="2" s="1"/>
  <c r="GS144" i="2"/>
  <c r="D138" i="9"/>
  <c r="F138" i="9" s="1"/>
  <c r="G138" i="9" s="1"/>
  <c r="H138" i="9" s="1"/>
  <c r="GS152" i="2" l="1"/>
  <c r="GT137" i="2" s="1"/>
  <c r="GT141" i="2" s="1"/>
  <c r="GT142" i="2" s="1"/>
  <c r="GT179" i="2" s="1"/>
  <c r="GS179" i="2"/>
  <c r="GS118" i="2"/>
  <c r="D139" i="9" l="1"/>
  <c r="F139" i="9" s="1"/>
  <c r="G139" i="9" s="1"/>
  <c r="H139" i="9" s="1"/>
  <c r="GT144" i="2"/>
  <c r="GT152" i="2"/>
  <c r="GS195" i="2"/>
  <c r="GS187" i="2"/>
  <c r="GT118" i="2"/>
  <c r="GT195" i="2" l="1"/>
  <c r="GT187" i="2"/>
  <c r="CC165" i="2" l="1"/>
  <c r="CK165" i="2"/>
  <c r="BV165" i="2"/>
  <c r="CI165" i="2"/>
  <c r="CB165" i="2"/>
  <c r="BY165" i="2"/>
  <c r="CA165" i="2"/>
  <c r="CJ165" i="2"/>
  <c r="BU165" i="2"/>
  <c r="CH165" i="2"/>
  <c r="CD165" i="2"/>
  <c r="BZ165" i="2"/>
  <c r="CE165" i="2"/>
  <c r="BX165" i="2"/>
  <c r="BW165" i="2"/>
  <c r="CF165" i="2"/>
  <c r="CG165" i="2"/>
  <c r="BT165" i="2"/>
  <c r="BT171" i="2" s="1"/>
  <c r="BU160" i="2" l="1"/>
  <c r="BU171" i="2" s="1"/>
  <c r="I165" i="2"/>
  <c r="HT165" i="2"/>
  <c r="BT167" i="2"/>
  <c r="BT168" i="2" s="1"/>
  <c r="HU165" i="2"/>
  <c r="HL165" i="2" l="1"/>
  <c r="BT183" i="2"/>
  <c r="BT195" i="2" l="1"/>
  <c r="BT196" i="2" s="1"/>
  <c r="BT187" i="2"/>
  <c r="BT102" i="2"/>
  <c r="BT214" i="2"/>
  <c r="BT206" i="2"/>
  <c r="BT169" i="2"/>
  <c r="BV160" i="2"/>
  <c r="BV171" i="2" s="1"/>
  <c r="BU167" i="2"/>
  <c r="BU168" i="2" l="1"/>
  <c r="BU169" i="2" s="1"/>
  <c r="BU183" i="2"/>
  <c r="BT103" i="2"/>
  <c r="BT116" i="2" s="1"/>
  <c r="BU195" i="2" l="1"/>
  <c r="BU196" i="2" s="1"/>
  <c r="BU187" i="2"/>
  <c r="BT115" i="2"/>
  <c r="BU214" i="2"/>
  <c r="BU102" i="2"/>
  <c r="BU206" i="2"/>
  <c r="BW160" i="2"/>
  <c r="BW171" i="2" s="1"/>
  <c r="BV167" i="2"/>
  <c r="BV168" i="2" l="1"/>
  <c r="BV169" i="2" s="1"/>
  <c r="BT118" i="2"/>
  <c r="BU103" i="2"/>
  <c r="BU116" i="2" s="1"/>
  <c r="BV183" i="2"/>
  <c r="BV195" i="2" l="1"/>
  <c r="BV196" i="2" s="1"/>
  <c r="BV187" i="2"/>
  <c r="BW167" i="2"/>
  <c r="BU115" i="2"/>
  <c r="BV214" i="2"/>
  <c r="BV102" i="2"/>
  <c r="BV206" i="2"/>
  <c r="BX160" i="2"/>
  <c r="BX171" i="2" s="1"/>
  <c r="BW168" i="2" l="1"/>
  <c r="BW169" i="2" s="1"/>
  <c r="BU118" i="2"/>
  <c r="BV103" i="2"/>
  <c r="BV116" i="2" s="1"/>
  <c r="BT194" i="2"/>
  <c r="BT129" i="2"/>
  <c r="BU121" i="2" s="1"/>
  <c r="BW183" i="2"/>
  <c r="BW195" i="2" l="1"/>
  <c r="BW196" i="2" s="1"/>
  <c r="BW187" i="2"/>
  <c r="BY160" i="2"/>
  <c r="BY171" i="2" s="1"/>
  <c r="BX167" i="2"/>
  <c r="BU129" i="2"/>
  <c r="BV121" i="2" s="1"/>
  <c r="BW214" i="2"/>
  <c r="BW102" i="2"/>
  <c r="BW206" i="2"/>
  <c r="BV115" i="2"/>
  <c r="BX168" i="2" l="1"/>
  <c r="BX169" i="2" s="1"/>
  <c r="BX183" i="2"/>
  <c r="BW103" i="2"/>
  <c r="BW116" i="2" s="1"/>
  <c r="BU194" i="2"/>
  <c r="BV118" i="2"/>
  <c r="BT208" i="2"/>
  <c r="BR28" i="5"/>
  <c r="BR26" i="5"/>
  <c r="BW208" i="2"/>
  <c r="BU28" i="5"/>
  <c r="BU26" i="5"/>
  <c r="BX195" i="2" l="1"/>
  <c r="BX196" i="2" s="1"/>
  <c r="BX187" i="2"/>
  <c r="BW115" i="2"/>
  <c r="BX214" i="2"/>
  <c r="BX102" i="2"/>
  <c r="BX206" i="2"/>
  <c r="BY167" i="2"/>
  <c r="BZ160" i="2"/>
  <c r="BZ171" i="2" s="1"/>
  <c r="BU29" i="5"/>
  <c r="BU36" i="5"/>
  <c r="BR29" i="5"/>
  <c r="BR36" i="5"/>
  <c r="BR56" i="5"/>
  <c r="BY168" i="2" l="1"/>
  <c r="BY169" i="2" s="1"/>
  <c r="BY183" i="2"/>
  <c r="BU208" i="2"/>
  <c r="BS28" i="5"/>
  <c r="BS26" i="5"/>
  <c r="BV194" i="2"/>
  <c r="BV129" i="2"/>
  <c r="BW121" i="2" s="1"/>
  <c r="BR138" i="5"/>
  <c r="BR123" i="5"/>
  <c r="BR46" i="5"/>
  <c r="BR37" i="5"/>
  <c r="BS33" i="5" s="1"/>
  <c r="BW118" i="2"/>
  <c r="BR141" i="5"/>
  <c r="BR126" i="5"/>
  <c r="BR68" i="5"/>
  <c r="BU46" i="5"/>
  <c r="BU57" i="5" s="1"/>
  <c r="BU69" i="5" s="1"/>
  <c r="BU85" i="5" s="1"/>
  <c r="BU104" i="5" s="1"/>
  <c r="BU123" i="5"/>
  <c r="BU138" i="5"/>
  <c r="BZ167" i="2"/>
  <c r="BX208" i="2"/>
  <c r="BV26" i="5"/>
  <c r="BV28" i="5"/>
  <c r="BR61" i="5"/>
  <c r="BX103" i="2"/>
  <c r="BX116" i="2" s="1"/>
  <c r="BY195" i="2" l="1"/>
  <c r="BY196" i="2" s="1"/>
  <c r="BY187" i="2"/>
  <c r="BZ168" i="2"/>
  <c r="BZ169" i="2" s="1"/>
  <c r="BS29" i="5"/>
  <c r="BS36" i="5"/>
  <c r="BX115" i="2"/>
  <c r="BV29" i="5"/>
  <c r="BV36" i="5"/>
  <c r="BR83" i="5"/>
  <c r="BW129" i="2"/>
  <c r="BX121" i="2" s="1"/>
  <c r="BS34" i="5"/>
  <c r="I194" i="2"/>
  <c r="BY102" i="2"/>
  <c r="BY103" i="2" s="1"/>
  <c r="BY116" i="2" s="1"/>
  <c r="BY214" i="2"/>
  <c r="BY206" i="2"/>
  <c r="CA160" i="2"/>
  <c r="CA171" i="2" s="1"/>
  <c r="BR47" i="5"/>
  <c r="BS42" i="5" s="1"/>
  <c r="BR57" i="5"/>
  <c r="BZ183" i="2"/>
  <c r="BZ195" i="2" l="1"/>
  <c r="BZ196" i="2" s="1"/>
  <c r="BZ187" i="2"/>
  <c r="BR69" i="5"/>
  <c r="BY115" i="2"/>
  <c r="BY118" i="2"/>
  <c r="BY208" i="2"/>
  <c r="BW26" i="5"/>
  <c r="BW28" i="5"/>
  <c r="BR101" i="5"/>
  <c r="BX118" i="2"/>
  <c r="BS46" i="5"/>
  <c r="BS123" i="5"/>
  <c r="BS138" i="5"/>
  <c r="BV46" i="5"/>
  <c r="BV57" i="5" s="1"/>
  <c r="BV69" i="5" s="1"/>
  <c r="BV85" i="5" s="1"/>
  <c r="BV104" i="5" s="1"/>
  <c r="BV138" i="5"/>
  <c r="BV123" i="5"/>
  <c r="BV208" i="2"/>
  <c r="BT26" i="5"/>
  <c r="BT28" i="5"/>
  <c r="BZ214" i="2"/>
  <c r="BZ102" i="2"/>
  <c r="BZ103" i="2" s="1"/>
  <c r="BZ116" i="2" s="1"/>
  <c r="BZ206" i="2"/>
  <c r="CA167" i="2"/>
  <c r="BS35" i="5"/>
  <c r="BS43" i="5"/>
  <c r="CA168" i="2" l="1"/>
  <c r="CA169" i="2" s="1"/>
  <c r="BW29" i="5"/>
  <c r="BW36" i="5"/>
  <c r="BS139" i="5"/>
  <c r="BS124" i="5"/>
  <c r="BS44" i="5"/>
  <c r="BS39" i="5"/>
  <c r="BS37" i="5"/>
  <c r="BT33" i="5" s="1"/>
  <c r="CB160" i="2"/>
  <c r="CB171" i="2" s="1"/>
  <c r="CA183" i="2"/>
  <c r="BZ208" i="2"/>
  <c r="BX26" i="5"/>
  <c r="BX28" i="5"/>
  <c r="BT29" i="5"/>
  <c r="BT36" i="5"/>
  <c r="BR70" i="5"/>
  <c r="BR73" i="5" s="1"/>
  <c r="BR85" i="5"/>
  <c r="BZ115" i="2"/>
  <c r="BZ118" i="2"/>
  <c r="BS57" i="5"/>
  <c r="CA195" i="2" l="1"/>
  <c r="CA196" i="2" s="1"/>
  <c r="CA187" i="2"/>
  <c r="BT46" i="5"/>
  <c r="BT123" i="5"/>
  <c r="BT138" i="5"/>
  <c r="BS45" i="5"/>
  <c r="BS47" i="5" s="1"/>
  <c r="BT42" i="5" s="1"/>
  <c r="BS69" i="5"/>
  <c r="BR104" i="5"/>
  <c r="BS54" i="5"/>
  <c r="BR86" i="5"/>
  <c r="BR127" i="5"/>
  <c r="BR142" i="5"/>
  <c r="BR58" i="5"/>
  <c r="BR76" i="5"/>
  <c r="BX29" i="5"/>
  <c r="BX36" i="5"/>
  <c r="CA214" i="2"/>
  <c r="CA102" i="2"/>
  <c r="CA103" i="2" s="1"/>
  <c r="CA116" i="2" s="1"/>
  <c r="CA206" i="2"/>
  <c r="BW46" i="5"/>
  <c r="BW57" i="5" s="1"/>
  <c r="BW69" i="5" s="1"/>
  <c r="BW85" i="5" s="1"/>
  <c r="BW104" i="5" s="1"/>
  <c r="BW138" i="5"/>
  <c r="BW123" i="5"/>
  <c r="BX129" i="2"/>
  <c r="BY121" i="2" s="1"/>
  <c r="BY129" i="2" s="1"/>
  <c r="BZ121" i="2" s="1"/>
  <c r="BR71" i="5"/>
  <c r="BS64" i="5" s="1"/>
  <c r="CB167" i="2"/>
  <c r="BT34" i="5"/>
  <c r="CB168" i="2" l="1"/>
  <c r="CB169" i="2" s="1"/>
  <c r="BZ129" i="2"/>
  <c r="CA121" i="2" s="1"/>
  <c r="CC160" i="2"/>
  <c r="CC171" i="2" s="1"/>
  <c r="CA115" i="2"/>
  <c r="CA118" i="2"/>
  <c r="BR59" i="5"/>
  <c r="BS52" i="5" s="1"/>
  <c r="CB183" i="2"/>
  <c r="BR105" i="5"/>
  <c r="BX46" i="5"/>
  <c r="BX57" i="5" s="1"/>
  <c r="BX69" i="5" s="1"/>
  <c r="BX85" i="5" s="1"/>
  <c r="BX104" i="5" s="1"/>
  <c r="BX138" i="5"/>
  <c r="BX123" i="5"/>
  <c r="BT43" i="5"/>
  <c r="BS66" i="5"/>
  <c r="BS85" i="5"/>
  <c r="BT57" i="5"/>
  <c r="CA208" i="2"/>
  <c r="BY26" i="5"/>
  <c r="BY28" i="5"/>
  <c r="BS140" i="5"/>
  <c r="BS55" i="5"/>
  <c r="BS125" i="5"/>
  <c r="BS49" i="5"/>
  <c r="BT35" i="5"/>
  <c r="CB195" i="2" l="1"/>
  <c r="CB196" i="2" s="1"/>
  <c r="CB187" i="2"/>
  <c r="BS104" i="5"/>
  <c r="BS53" i="5"/>
  <c r="BY29" i="5"/>
  <c r="BY36" i="5"/>
  <c r="BS81" i="5"/>
  <c r="CA129" i="2"/>
  <c r="CB121" i="2" s="1"/>
  <c r="BT69" i="5"/>
  <c r="CC167" i="2"/>
  <c r="BS152" i="5"/>
  <c r="BT39" i="5"/>
  <c r="BT124" i="5"/>
  <c r="BT139" i="5"/>
  <c r="BT44" i="5"/>
  <c r="BS67" i="5"/>
  <c r="CB214" i="2"/>
  <c r="CB102" i="2"/>
  <c r="CB103" i="2" s="1"/>
  <c r="CB116" i="2" s="1"/>
  <c r="CB206" i="2"/>
  <c r="BT37" i="5"/>
  <c r="BU33" i="5" s="1"/>
  <c r="CC168" i="2" l="1"/>
  <c r="CC169" i="2" s="1"/>
  <c r="BS82" i="5"/>
  <c r="BU34" i="5"/>
  <c r="CD160" i="2"/>
  <c r="CD171" i="2" s="1"/>
  <c r="BY46" i="5"/>
  <c r="BY123" i="5"/>
  <c r="BY138" i="5"/>
  <c r="BT54" i="5"/>
  <c r="BS65" i="5"/>
  <c r="BS56" i="5"/>
  <c r="CB208" i="2"/>
  <c r="BZ28" i="5"/>
  <c r="BZ26" i="5"/>
  <c r="CC183" i="2"/>
  <c r="CB118" i="2"/>
  <c r="CB115" i="2"/>
  <c r="BT45" i="5"/>
  <c r="BT85" i="5"/>
  <c r="BS99" i="5"/>
  <c r="CC195" i="2" l="1"/>
  <c r="CC196" i="2" s="1"/>
  <c r="CC187" i="2"/>
  <c r="BT66" i="5"/>
  <c r="BU35" i="5"/>
  <c r="BU37" i="5" s="1"/>
  <c r="BV33" i="5" s="1"/>
  <c r="CB129" i="2"/>
  <c r="CC121" i="2" s="1"/>
  <c r="BZ29" i="5"/>
  <c r="BZ36" i="5"/>
  <c r="CC102" i="2"/>
  <c r="CC103" i="2" s="1"/>
  <c r="CC116" i="2" s="1"/>
  <c r="CC206" i="2"/>
  <c r="BT104" i="5"/>
  <c r="BY57" i="5"/>
  <c r="BT55" i="5"/>
  <c r="BT125" i="5"/>
  <c r="BT140" i="5"/>
  <c r="BT49" i="5"/>
  <c r="CD167" i="2"/>
  <c r="BS100" i="5"/>
  <c r="BT47" i="5"/>
  <c r="BU42" i="5" s="1"/>
  <c r="BS68" i="5"/>
  <c r="BS126" i="5"/>
  <c r="BS141" i="5"/>
  <c r="BS61" i="5"/>
  <c r="CD168" i="2" l="1"/>
  <c r="CD169" i="2" s="1"/>
  <c r="BS70" i="5"/>
  <c r="BS73" i="5" s="1"/>
  <c r="BS83" i="5"/>
  <c r="CE160" i="2"/>
  <c r="CE171" i="2" s="1"/>
  <c r="BY69" i="5"/>
  <c r="CC208" i="2"/>
  <c r="CA26" i="5"/>
  <c r="CA28" i="5"/>
  <c r="BU124" i="5"/>
  <c r="BU139" i="5"/>
  <c r="BU39" i="5"/>
  <c r="BU44" i="5"/>
  <c r="CD183" i="2"/>
  <c r="CC115" i="2"/>
  <c r="CC118" i="2"/>
  <c r="BZ46" i="5"/>
  <c r="BZ138" i="5"/>
  <c r="BZ123" i="5"/>
  <c r="BV34" i="5"/>
  <c r="BT152" i="5"/>
  <c r="BU43" i="5"/>
  <c r="BT67" i="5"/>
  <c r="BT81" i="5"/>
  <c r="CD195" i="2" l="1"/>
  <c r="CD196" i="2" s="1"/>
  <c r="CD187" i="2"/>
  <c r="BS71" i="5"/>
  <c r="BT64" i="5" s="1"/>
  <c r="BZ57" i="5"/>
  <c r="BU54" i="5"/>
  <c r="BY85" i="5"/>
  <c r="BT82" i="5"/>
  <c r="CC129" i="2"/>
  <c r="CD121" i="2" s="1"/>
  <c r="BU45" i="5"/>
  <c r="CE167" i="2"/>
  <c r="BV35" i="5"/>
  <c r="BS127" i="5"/>
  <c r="BS142" i="5"/>
  <c r="BS58" i="5"/>
  <c r="BS86" i="5"/>
  <c r="CA29" i="5"/>
  <c r="CA36" i="5"/>
  <c r="BS101" i="5"/>
  <c r="BT99" i="5"/>
  <c r="CD102" i="2"/>
  <c r="CD103" i="2" s="1"/>
  <c r="CD116" i="2" s="1"/>
  <c r="CD206" i="2"/>
  <c r="BS76" i="5"/>
  <c r="CE168" i="2" l="1"/>
  <c r="CE169" i="2" s="1"/>
  <c r="BY104" i="5"/>
  <c r="BU66" i="5"/>
  <c r="CD118" i="2"/>
  <c r="CD115" i="2"/>
  <c r="BT100" i="5"/>
  <c r="CF160" i="2"/>
  <c r="CF171" i="2" s="1"/>
  <c r="BZ69" i="5"/>
  <c r="CD208" i="2"/>
  <c r="CB28" i="5"/>
  <c r="CB26" i="5"/>
  <c r="CA46" i="5"/>
  <c r="CA57" i="5" s="1"/>
  <c r="CA69" i="5" s="1"/>
  <c r="CA85" i="5" s="1"/>
  <c r="CA104" i="5" s="1"/>
  <c r="CA138" i="5"/>
  <c r="CA123" i="5"/>
  <c r="BS105" i="5"/>
  <c r="CE183" i="2"/>
  <c r="BS59" i="5"/>
  <c r="BT52" i="5" s="1"/>
  <c r="BV39" i="5"/>
  <c r="BV124" i="5"/>
  <c r="BV139" i="5"/>
  <c r="BV44" i="5"/>
  <c r="BV37" i="5"/>
  <c r="BW33" i="5" s="1"/>
  <c r="BU55" i="5"/>
  <c r="BU49" i="5"/>
  <c r="BU125" i="5"/>
  <c r="BU140" i="5"/>
  <c r="BU47" i="5"/>
  <c r="BV42" i="5" s="1"/>
  <c r="CE195" i="2" l="1"/>
  <c r="CE196" i="2" s="1"/>
  <c r="CE187" i="2"/>
  <c r="CB29" i="5"/>
  <c r="CB36" i="5"/>
  <c r="CE102" i="2"/>
  <c r="CE103" i="2" s="1"/>
  <c r="CE116" i="2" s="1"/>
  <c r="CE206" i="2"/>
  <c r="BU152" i="5"/>
  <c r="CD129" i="2"/>
  <c r="CE121" i="2" s="1"/>
  <c r="BT53" i="5"/>
  <c r="BZ85" i="5"/>
  <c r="BU81" i="5"/>
  <c r="BW34" i="5"/>
  <c r="BU67" i="5"/>
  <c r="BV43" i="5"/>
  <c r="BV45" i="5" s="1"/>
  <c r="BV54" i="5"/>
  <c r="BV55" i="5" l="1"/>
  <c r="BV125" i="5"/>
  <c r="BV140" i="5"/>
  <c r="BV49" i="5"/>
  <c r="BU82" i="5"/>
  <c r="CG160" i="2"/>
  <c r="CG171" i="2" s="1"/>
  <c r="CF167" i="2"/>
  <c r="CB46" i="5"/>
  <c r="CB57" i="5" s="1"/>
  <c r="CB69" i="5" s="1"/>
  <c r="CB123" i="5"/>
  <c r="CB138" i="5"/>
  <c r="CE208" i="2"/>
  <c r="CC26" i="5"/>
  <c r="CC28" i="5"/>
  <c r="BV66" i="5"/>
  <c r="BV47" i="5"/>
  <c r="BW42" i="5" s="1"/>
  <c r="CE118" i="2"/>
  <c r="CE115" i="2"/>
  <c r="BW35" i="5"/>
  <c r="BW37" i="5" s="1"/>
  <c r="BX33" i="5" s="1"/>
  <c r="BZ104" i="5"/>
  <c r="BU99" i="5"/>
  <c r="BT65" i="5"/>
  <c r="BT56" i="5"/>
  <c r="CF168" i="2" l="1"/>
  <c r="CF169" i="2" s="1"/>
  <c r="BX34" i="5"/>
  <c r="BX35" i="5" s="1"/>
  <c r="BX37" i="5" s="1"/>
  <c r="BY33" i="5" s="1"/>
  <c r="CC29" i="5"/>
  <c r="CC36" i="5"/>
  <c r="BU100" i="5"/>
  <c r="CE129" i="2"/>
  <c r="CF121" i="2" s="1"/>
  <c r="BW39" i="5"/>
  <c r="BW44" i="5"/>
  <c r="BW139" i="5"/>
  <c r="BW124" i="5"/>
  <c r="BW43" i="5"/>
  <c r="BV152" i="5"/>
  <c r="CB85" i="5"/>
  <c r="CB104" i="5" s="1"/>
  <c r="BV81" i="5"/>
  <c r="BT126" i="5"/>
  <c r="BT68" i="5"/>
  <c r="BT141" i="5"/>
  <c r="BT61" i="5"/>
  <c r="CF183" i="2"/>
  <c r="BV67" i="5"/>
  <c r="CF195" i="2" l="1"/>
  <c r="CF196" i="2" s="1"/>
  <c r="CF187" i="2"/>
  <c r="BY34" i="5"/>
  <c r="BY35" i="5" s="1"/>
  <c r="BY37" i="5" s="1"/>
  <c r="BZ33" i="5" s="1"/>
  <c r="BT83" i="5"/>
  <c r="CH160" i="2"/>
  <c r="CH171" i="2" s="1"/>
  <c r="BW54" i="5"/>
  <c r="CG167" i="2"/>
  <c r="BW45" i="5"/>
  <c r="CC46" i="5"/>
  <c r="CC57" i="5" s="1"/>
  <c r="CC69" i="5" s="1"/>
  <c r="CC138" i="5"/>
  <c r="CC123" i="5"/>
  <c r="BV82" i="5"/>
  <c r="CF102" i="2"/>
  <c r="CF206" i="2"/>
  <c r="BT70" i="5"/>
  <c r="BT73" i="5" s="1"/>
  <c r="BV99" i="5"/>
  <c r="BX39" i="5"/>
  <c r="BX139" i="5"/>
  <c r="BX124" i="5"/>
  <c r="BX44" i="5"/>
  <c r="BX54" i="5" s="1"/>
  <c r="BX66" i="5" s="1"/>
  <c r="CG168" i="2" l="1"/>
  <c r="CG169" i="2" s="1"/>
  <c r="BZ34" i="5"/>
  <c r="BZ35" i="5" s="1"/>
  <c r="BZ37" i="5" s="1"/>
  <c r="CA33" i="5" s="1"/>
  <c r="BT71" i="5"/>
  <c r="BU64" i="5" s="1"/>
  <c r="BW55" i="5"/>
  <c r="BW49" i="5"/>
  <c r="BW125" i="5"/>
  <c r="BW140" i="5"/>
  <c r="CG183" i="2"/>
  <c r="BT101" i="5"/>
  <c r="BX81" i="5"/>
  <c r="CF103" i="2"/>
  <c r="CF116" i="2" s="1"/>
  <c r="BT142" i="5"/>
  <c r="BT86" i="5"/>
  <c r="BT127" i="5"/>
  <c r="BT58" i="5"/>
  <c r="BW66" i="5"/>
  <c r="BY39" i="5"/>
  <c r="BY124" i="5"/>
  <c r="BY139" i="5"/>
  <c r="BY44" i="5"/>
  <c r="BY54" i="5" s="1"/>
  <c r="BY66" i="5" s="1"/>
  <c r="BV100" i="5"/>
  <c r="BT76" i="5"/>
  <c r="CF208" i="2"/>
  <c r="CD26" i="5"/>
  <c r="CD28" i="5"/>
  <c r="CC85" i="5"/>
  <c r="CC104" i="5" s="1"/>
  <c r="BW47" i="5"/>
  <c r="BX42" i="5" s="1"/>
  <c r="CG195" i="2" l="1"/>
  <c r="CG196" i="2" s="1"/>
  <c r="CG187" i="2"/>
  <c r="CA34" i="5"/>
  <c r="CA35" i="5" s="1"/>
  <c r="CA37" i="5" s="1"/>
  <c r="CB33" i="5" s="1"/>
  <c r="BY81" i="5"/>
  <c r="BT105" i="5"/>
  <c r="BX43" i="5"/>
  <c r="BX45" i="5" s="1"/>
  <c r="CD29" i="5"/>
  <c r="CD36" i="5"/>
  <c r="CI160" i="2"/>
  <c r="CI171" i="2" s="1"/>
  <c r="CF115" i="2"/>
  <c r="CG102" i="2"/>
  <c r="CG206" i="2"/>
  <c r="CH167" i="2"/>
  <c r="BX99" i="5"/>
  <c r="BW152" i="5"/>
  <c r="BZ139" i="5"/>
  <c r="BZ124" i="5"/>
  <c r="BZ44" i="5"/>
  <c r="BZ54" i="5" s="1"/>
  <c r="BZ66" i="5" s="1"/>
  <c r="BZ39" i="5"/>
  <c r="BW81" i="5"/>
  <c r="BW67" i="5"/>
  <c r="BT59" i="5"/>
  <c r="BU52" i="5" s="1"/>
  <c r="CH168" i="2" l="1"/>
  <c r="CH169" i="2" s="1"/>
  <c r="BX47" i="5"/>
  <c r="BY42" i="5" s="1"/>
  <c r="BY43" i="5" s="1"/>
  <c r="BY45" i="5" s="1"/>
  <c r="CB34" i="5"/>
  <c r="CB35" i="5" s="1"/>
  <c r="CB37" i="5" s="1"/>
  <c r="CC33" i="5" s="1"/>
  <c r="CF118" i="2"/>
  <c r="CI166" i="2"/>
  <c r="BX55" i="5"/>
  <c r="BX67" i="5" s="1"/>
  <c r="BX49" i="5"/>
  <c r="BX152" i="5" s="1"/>
  <c r="BX140" i="5"/>
  <c r="BX125" i="5"/>
  <c r="BY99" i="5"/>
  <c r="CH183" i="2"/>
  <c r="BU53" i="5"/>
  <c r="BW99" i="5"/>
  <c r="CD46" i="5"/>
  <c r="CD57" i="5" s="1"/>
  <c r="CD69" i="5" s="1"/>
  <c r="CD138" i="5"/>
  <c r="CD123" i="5"/>
  <c r="CG103" i="2"/>
  <c r="CG116" i="2" s="1"/>
  <c r="BW82" i="5"/>
  <c r="BZ81" i="5"/>
  <c r="CG208" i="2"/>
  <c r="CE26" i="5"/>
  <c r="CE28" i="5"/>
  <c r="CA39" i="5"/>
  <c r="CA44" i="5"/>
  <c r="CA54" i="5" s="1"/>
  <c r="CA66" i="5" s="1"/>
  <c r="CA124" i="5"/>
  <c r="CA139" i="5"/>
  <c r="CH195" i="2" l="1"/>
  <c r="CH196" i="2" s="1"/>
  <c r="CH187" i="2"/>
  <c r="CC34" i="5"/>
  <c r="CC35" i="5" s="1"/>
  <c r="CC37" i="5" s="1"/>
  <c r="CD33" i="5" s="1"/>
  <c r="BX82" i="5"/>
  <c r="CG115" i="2"/>
  <c r="CJ160" i="2"/>
  <c r="CJ171" i="2" s="1"/>
  <c r="CI167" i="2"/>
  <c r="CI168" i="2" s="1"/>
  <c r="CE29" i="5"/>
  <c r="CE36" i="5"/>
  <c r="BY47" i="5"/>
  <c r="BZ42" i="5" s="1"/>
  <c r="BY55" i="5"/>
  <c r="BY67" i="5" s="1"/>
  <c r="BY140" i="5"/>
  <c r="BY125" i="5"/>
  <c r="BY49" i="5"/>
  <c r="BY152" i="5" s="1"/>
  <c r="BU65" i="5"/>
  <c r="BU56" i="5"/>
  <c r="BZ99" i="5"/>
  <c r="CD85" i="5"/>
  <c r="CD104" i="5" s="1"/>
  <c r="CA81" i="5"/>
  <c r="CH102" i="2"/>
  <c r="CH206" i="2"/>
  <c r="CB44" i="5"/>
  <c r="CB54" i="5" s="1"/>
  <c r="CB66" i="5" s="1"/>
  <c r="CB124" i="5"/>
  <c r="CB139" i="5"/>
  <c r="CB39" i="5"/>
  <c r="BW100" i="5"/>
  <c r="CI169" i="2" l="1"/>
  <c r="CD34" i="5"/>
  <c r="CD35" i="5" s="1"/>
  <c r="CE46" i="5"/>
  <c r="CE57" i="5" s="1"/>
  <c r="CE69" i="5" s="1"/>
  <c r="CE138" i="5"/>
  <c r="CE123" i="5"/>
  <c r="BU68" i="5"/>
  <c r="BU141" i="5"/>
  <c r="BU126" i="5"/>
  <c r="BU61" i="5"/>
  <c r="CF129" i="2"/>
  <c r="CG121" i="2" s="1"/>
  <c r="CG118" i="2"/>
  <c r="CH208" i="2"/>
  <c r="CF26" i="5"/>
  <c r="CF28" i="5"/>
  <c r="BZ43" i="5"/>
  <c r="CI183" i="2"/>
  <c r="BX100" i="5"/>
  <c r="CB81" i="5"/>
  <c r="CH103" i="2"/>
  <c r="CH116" i="2" s="1"/>
  <c r="CJ166" i="2"/>
  <c r="BY82" i="5"/>
  <c r="CC124" i="5"/>
  <c r="CC139" i="5"/>
  <c r="CC44" i="5"/>
  <c r="CC54" i="5" s="1"/>
  <c r="CC66" i="5" s="1"/>
  <c r="CC39" i="5"/>
  <c r="CA99" i="5"/>
  <c r="CI195" i="2" l="1"/>
  <c r="CI196" i="2" s="1"/>
  <c r="CI187" i="2"/>
  <c r="CH115" i="2"/>
  <c r="BU83" i="5"/>
  <c r="CF29" i="5"/>
  <c r="CF36" i="5"/>
  <c r="BY100" i="5"/>
  <c r="CB99" i="5"/>
  <c r="CI102" i="2"/>
  <c r="CI206" i="2"/>
  <c r="CE85" i="5"/>
  <c r="CE104" i="5" s="1"/>
  <c r="CC81" i="5"/>
  <c r="BU70" i="5"/>
  <c r="BU73" i="5" s="1"/>
  <c r="CD124" i="5"/>
  <c r="CD139" i="5"/>
  <c r="CD44" i="5"/>
  <c r="CD54" i="5" s="1"/>
  <c r="CD66" i="5" s="1"/>
  <c r="CD39" i="5"/>
  <c r="CK160" i="2"/>
  <c r="CK171" i="2" s="1"/>
  <c r="BZ45" i="5"/>
  <c r="BZ47" i="5" s="1"/>
  <c r="CA42" i="5" s="1"/>
  <c r="CJ167" i="2"/>
  <c r="CJ168" i="2" s="1"/>
  <c r="CD37" i="5"/>
  <c r="CE33" i="5" s="1"/>
  <c r="CJ169" i="2" l="1"/>
  <c r="CC99" i="5"/>
  <c r="CI208" i="2"/>
  <c r="CG26" i="5"/>
  <c r="CG28" i="5"/>
  <c r="CF138" i="5"/>
  <c r="CF46" i="5"/>
  <c r="CF57" i="5" s="1"/>
  <c r="CF69" i="5" s="1"/>
  <c r="CF123" i="5"/>
  <c r="CD81" i="5"/>
  <c r="CI103" i="2"/>
  <c r="CI116" i="2" s="1"/>
  <c r="CA43" i="5"/>
  <c r="CH118" i="2"/>
  <c r="BZ55" i="5"/>
  <c r="BZ67" i="5" s="1"/>
  <c r="BZ125" i="5"/>
  <c r="BZ49" i="5"/>
  <c r="BZ152" i="5" s="1"/>
  <c r="BZ140" i="5"/>
  <c r="CJ183" i="2"/>
  <c r="CE34" i="5"/>
  <c r="CE35" i="5" s="1"/>
  <c r="CE37" i="5" s="1"/>
  <c r="CF33" i="5" s="1"/>
  <c r="BU86" i="5"/>
  <c r="BU127" i="5"/>
  <c r="BU58" i="5"/>
  <c r="BU142" i="5"/>
  <c r="BU71" i="5"/>
  <c r="BV64" i="5" s="1"/>
  <c r="BU101" i="5"/>
  <c r="CG129" i="2"/>
  <c r="CH121" i="2" s="1"/>
  <c r="CK166" i="2"/>
  <c r="CK167" i="2" s="1"/>
  <c r="CK168" i="2" s="1"/>
  <c r="BU76" i="5"/>
  <c r="CJ195" i="2" l="1"/>
  <c r="CJ196" i="2" s="1"/>
  <c r="CJ187" i="2"/>
  <c r="CK169" i="2"/>
  <c r="CF34" i="5"/>
  <c r="CF35" i="5" s="1"/>
  <c r="BZ82" i="5"/>
  <c r="CI115" i="2"/>
  <c r="CG29" i="5"/>
  <c r="CG36" i="5"/>
  <c r="CL160" i="2"/>
  <c r="CL171" i="2" s="1"/>
  <c r="BU105" i="5"/>
  <c r="CJ102" i="2"/>
  <c r="CJ206" i="2"/>
  <c r="CK183" i="2"/>
  <c r="CD99" i="5"/>
  <c r="CE124" i="5"/>
  <c r="CE139" i="5"/>
  <c r="CE44" i="5"/>
  <c r="CE54" i="5" s="1"/>
  <c r="CE66" i="5" s="1"/>
  <c r="CE39" i="5"/>
  <c r="CH129" i="2"/>
  <c r="CI121" i="2" s="1"/>
  <c r="CF85" i="5"/>
  <c r="CF104" i="5" s="1"/>
  <c r="CA45" i="5"/>
  <c r="BU59" i="5"/>
  <c r="BV52" i="5" s="1"/>
  <c r="CK195" i="2" l="1"/>
  <c r="CK196" i="2" s="1"/>
  <c r="CK187" i="2"/>
  <c r="CK102" i="2"/>
  <c r="CK103" i="2" s="1"/>
  <c r="CK206" i="2"/>
  <c r="CJ208" i="2"/>
  <c r="CH26" i="5"/>
  <c r="CH28" i="5"/>
  <c r="BZ100" i="5"/>
  <c r="CJ103" i="2"/>
  <c r="CJ116" i="2" s="1"/>
  <c r="CG46" i="5"/>
  <c r="CG57" i="5" s="1"/>
  <c r="CG69" i="5" s="1"/>
  <c r="CG123" i="5"/>
  <c r="CG138" i="5"/>
  <c r="BV53" i="5"/>
  <c r="CF39" i="5"/>
  <c r="CF139" i="5"/>
  <c r="CF124" i="5"/>
  <c r="CF44" i="5"/>
  <c r="CF54" i="5" s="1"/>
  <c r="CF66" i="5" s="1"/>
  <c r="CA55" i="5"/>
  <c r="CA67" i="5" s="1"/>
  <c r="CA49" i="5"/>
  <c r="CA152" i="5" s="1"/>
  <c r="CA140" i="5"/>
  <c r="CA125" i="5"/>
  <c r="CA47" i="5"/>
  <c r="CB42" i="5" s="1"/>
  <c r="CE81" i="5"/>
  <c r="CL166" i="2"/>
  <c r="CL167" i="2" s="1"/>
  <c r="CL168" i="2" s="1"/>
  <c r="CI118" i="2"/>
  <c r="CF37" i="5"/>
  <c r="CG33" i="5" s="1"/>
  <c r="CK115" i="2" l="1"/>
  <c r="CK116" i="2"/>
  <c r="CK118" i="2" s="1"/>
  <c r="CL169" i="2"/>
  <c r="CG85" i="5"/>
  <c r="CG104" i="5" s="1"/>
  <c r="CH29" i="5"/>
  <c r="CH36" i="5"/>
  <c r="CG34" i="5"/>
  <c r="CG35" i="5" s="1"/>
  <c r="CG37" i="5" s="1"/>
  <c r="CH33" i="5" s="1"/>
  <c r="BV65" i="5"/>
  <c r="BV56" i="5"/>
  <c r="CJ115" i="2"/>
  <c r="CL183" i="2"/>
  <c r="CF81" i="5"/>
  <c r="CK208" i="2"/>
  <c r="CI26" i="5"/>
  <c r="CI28" i="5"/>
  <c r="HT196" i="2"/>
  <c r="CI129" i="2"/>
  <c r="CJ121" i="2" s="1"/>
  <c r="CM160" i="2"/>
  <c r="CM171" i="2" s="1"/>
  <c r="CA82" i="5"/>
  <c r="CE99" i="5"/>
  <c r="CB43" i="5"/>
  <c r="CL195" i="2" l="1"/>
  <c r="CL196" i="2" s="1"/>
  <c r="CL187" i="2"/>
  <c r="CH34" i="5"/>
  <c r="CH35" i="5" s="1"/>
  <c r="CA100" i="5"/>
  <c r="CJ118" i="2"/>
  <c r="CG44" i="5"/>
  <c r="CG54" i="5" s="1"/>
  <c r="CG66" i="5" s="1"/>
  <c r="CG124" i="5"/>
  <c r="CG139" i="5"/>
  <c r="CG39" i="5"/>
  <c r="CH46" i="5"/>
  <c r="CH57" i="5" s="1"/>
  <c r="CH69" i="5" s="1"/>
  <c r="CH138" i="5"/>
  <c r="CH123" i="5"/>
  <c r="CL102" i="2"/>
  <c r="CL103" i="2" s="1"/>
  <c r="CL116" i="2" s="1"/>
  <c r="CL206" i="2"/>
  <c r="CB45" i="5"/>
  <c r="CB47" i="5" s="1"/>
  <c r="CC42" i="5" s="1"/>
  <c r="CM166" i="2"/>
  <c r="CM167" i="2" s="1"/>
  <c r="CM168" i="2" s="1"/>
  <c r="CF99" i="5"/>
  <c r="CI29" i="5"/>
  <c r="CI36" i="5"/>
  <c r="BV68" i="5"/>
  <c r="BV126" i="5"/>
  <c r="BV141" i="5"/>
  <c r="BV61" i="5"/>
  <c r="CL208" i="2" l="1"/>
  <c r="CJ26" i="5"/>
  <c r="CJ28" i="5"/>
  <c r="CM169" i="2"/>
  <c r="CC43" i="5"/>
  <c r="CL115" i="2"/>
  <c r="CL118" i="2"/>
  <c r="CI46" i="5"/>
  <c r="CI138" i="5"/>
  <c r="CI123" i="5"/>
  <c r="CN160" i="2"/>
  <c r="CN171" i="2" s="1"/>
  <c r="CG81" i="5"/>
  <c r="CM183" i="2"/>
  <c r="BV70" i="5"/>
  <c r="CH85" i="5"/>
  <c r="CH104" i="5" s="1"/>
  <c r="CJ129" i="2"/>
  <c r="CK121" i="2" s="1"/>
  <c r="CK129" i="2" s="1"/>
  <c r="CL121" i="2" s="1"/>
  <c r="CB55" i="5"/>
  <c r="CB125" i="5"/>
  <c r="CB140" i="5"/>
  <c r="CB49" i="5"/>
  <c r="CB152" i="5" s="1"/>
  <c r="CH39" i="5"/>
  <c r="CH139" i="5"/>
  <c r="CH124" i="5"/>
  <c r="CH44" i="5"/>
  <c r="CH54" i="5" s="1"/>
  <c r="CH66" i="5" s="1"/>
  <c r="BV83" i="5"/>
  <c r="CH37" i="5"/>
  <c r="CI33" i="5" s="1"/>
  <c r="CM195" i="2" l="1"/>
  <c r="CM196" i="2" s="1"/>
  <c r="CM187" i="2"/>
  <c r="CJ36" i="5"/>
  <c r="CJ29" i="5"/>
  <c r="BV127" i="5"/>
  <c r="BV142" i="5"/>
  <c r="BV58" i="5"/>
  <c r="BV86" i="5"/>
  <c r="BV71" i="5"/>
  <c r="BW64" i="5" s="1"/>
  <c r="BV76" i="5"/>
  <c r="CI57" i="5"/>
  <c r="CL129" i="2"/>
  <c r="CM121" i="2" s="1"/>
  <c r="CB67" i="5"/>
  <c r="BV73" i="5"/>
  <c r="CI34" i="5"/>
  <c r="CI35" i="5" s="1"/>
  <c r="CM102" i="2"/>
  <c r="CM103" i="2" s="1"/>
  <c r="CM116" i="2" s="1"/>
  <c r="CM206" i="2"/>
  <c r="CN166" i="2"/>
  <c r="CN167" i="2" s="1"/>
  <c r="CN168" i="2" s="1"/>
  <c r="CG99" i="5"/>
  <c r="CH81" i="5"/>
  <c r="BV101" i="5"/>
  <c r="CC45" i="5"/>
  <c r="CM208" i="2" l="1"/>
  <c r="CJ138" i="5"/>
  <c r="CJ123" i="5"/>
  <c r="CJ46" i="5"/>
  <c r="CK26" i="5"/>
  <c r="CK28" i="5"/>
  <c r="CN169" i="2"/>
  <c r="CI39" i="5"/>
  <c r="CI139" i="5"/>
  <c r="CI124" i="5"/>
  <c r="CI44" i="5"/>
  <c r="CI54" i="5" s="1"/>
  <c r="CI66" i="5" s="1"/>
  <c r="CH99" i="5"/>
  <c r="CI37" i="5"/>
  <c r="CJ33" i="5" s="1"/>
  <c r="BV105" i="5"/>
  <c r="CC55" i="5"/>
  <c r="CC67" i="5" s="1"/>
  <c r="CC140" i="5"/>
  <c r="CC125" i="5"/>
  <c r="CC49" i="5"/>
  <c r="CC152" i="5" s="1"/>
  <c r="CC47" i="5"/>
  <c r="CD42" i="5" s="1"/>
  <c r="CO160" i="2"/>
  <c r="CO171" i="2" s="1"/>
  <c r="CN183" i="2"/>
  <c r="CI69" i="5"/>
  <c r="BV59" i="5"/>
  <c r="BW52" i="5" s="1"/>
  <c r="CB82" i="5"/>
  <c r="CM118" i="2"/>
  <c r="CM115" i="2"/>
  <c r="CN195" i="2" l="1"/>
  <c r="CN196" i="2" s="1"/>
  <c r="CN187" i="2"/>
  <c r="CK29" i="5"/>
  <c r="CK36" i="5"/>
  <c r="CJ57" i="5"/>
  <c r="CB100" i="5"/>
  <c r="BW53" i="5"/>
  <c r="CC82" i="5"/>
  <c r="CI81" i="5"/>
  <c r="CO166" i="2"/>
  <c r="CO167" i="2" s="1"/>
  <c r="CO168" i="2" s="1"/>
  <c r="CM129" i="2"/>
  <c r="CN121" i="2" s="1"/>
  <c r="CD43" i="5"/>
  <c r="CN102" i="2"/>
  <c r="CN103" i="2" s="1"/>
  <c r="CN116" i="2" s="1"/>
  <c r="CN206" i="2"/>
  <c r="CI85" i="5"/>
  <c r="CJ34" i="5"/>
  <c r="CN208" i="2" l="1"/>
  <c r="CK46" i="5"/>
  <c r="CK123" i="5"/>
  <c r="CK138" i="5"/>
  <c r="CJ69" i="5"/>
  <c r="CL28" i="5"/>
  <c r="CL26" i="5"/>
  <c r="CO169" i="2"/>
  <c r="CI104" i="5"/>
  <c r="CC100" i="5"/>
  <c r="CN118" i="2"/>
  <c r="CN115" i="2"/>
  <c r="CP160" i="2"/>
  <c r="CP171" i="2" s="1"/>
  <c r="CD45" i="5"/>
  <c r="CD47" i="5" s="1"/>
  <c r="CE42" i="5" s="1"/>
  <c r="CO183" i="2"/>
  <c r="BW65" i="5"/>
  <c r="BW56" i="5"/>
  <c r="CI99" i="5"/>
  <c r="CJ35" i="5"/>
  <c r="CO195" i="2" l="1"/>
  <c r="CO196" i="2" s="1"/>
  <c r="CO187" i="2"/>
  <c r="CL29" i="5"/>
  <c r="CL36" i="5"/>
  <c r="CJ85" i="5"/>
  <c r="CK57" i="5"/>
  <c r="CO102" i="2"/>
  <c r="CO103" i="2" s="1"/>
  <c r="CO116" i="2" s="1"/>
  <c r="CO206" i="2"/>
  <c r="BW141" i="5"/>
  <c r="BW126" i="5"/>
  <c r="BW68" i="5"/>
  <c r="BW61" i="5"/>
  <c r="CN129" i="2"/>
  <c r="CO121" i="2" s="1"/>
  <c r="CJ39" i="5"/>
  <c r="CJ124" i="5"/>
  <c r="CJ44" i="5"/>
  <c r="CJ54" i="5" s="1"/>
  <c r="CJ66" i="5" s="1"/>
  <c r="CJ139" i="5"/>
  <c r="CJ37" i="5"/>
  <c r="CK33" i="5" s="1"/>
  <c r="CE43" i="5"/>
  <c r="CD55" i="5"/>
  <c r="CD67" i="5" s="1"/>
  <c r="CD125" i="5"/>
  <c r="CD140" i="5"/>
  <c r="CD49" i="5"/>
  <c r="CD152" i="5" s="1"/>
  <c r="CP166" i="2"/>
  <c r="CP167" i="2" s="1"/>
  <c r="CP168" i="2" s="1"/>
  <c r="CO208" i="2" l="1"/>
  <c r="CK34" i="5"/>
  <c r="CM28" i="5"/>
  <c r="CM26" i="5"/>
  <c r="CK69" i="5"/>
  <c r="CL46" i="5"/>
  <c r="CL138" i="5"/>
  <c r="CL123" i="5"/>
  <c r="CJ104" i="5"/>
  <c r="CP169" i="2"/>
  <c r="BW70" i="5"/>
  <c r="BW73" i="5" s="1"/>
  <c r="CO118" i="2"/>
  <c r="CO115" i="2"/>
  <c r="BW83" i="5"/>
  <c r="CD82" i="5"/>
  <c r="CJ81" i="5"/>
  <c r="CQ160" i="2"/>
  <c r="CQ171" i="2" s="1"/>
  <c r="CP183" i="2"/>
  <c r="CE45" i="5"/>
  <c r="CP195" i="2" l="1"/>
  <c r="CP196" i="2" s="1"/>
  <c r="CP187" i="2"/>
  <c r="CM29" i="5"/>
  <c r="CM36" i="5"/>
  <c r="CK35" i="5"/>
  <c r="CK37" i="5" s="1"/>
  <c r="CL33" i="5" s="1"/>
  <c r="CL57" i="5"/>
  <c r="CK85" i="5"/>
  <c r="CO129" i="2"/>
  <c r="CP121" i="2" s="1"/>
  <c r="BW101" i="5"/>
  <c r="BW58" i="5"/>
  <c r="BW59" i="5" s="1"/>
  <c r="BX52" i="5" s="1"/>
  <c r="BW86" i="5"/>
  <c r="BW105" i="5" s="1"/>
  <c r="BW142" i="5"/>
  <c r="BW127" i="5"/>
  <c r="BW71" i="5"/>
  <c r="BX64" i="5" s="1"/>
  <c r="CP102" i="2"/>
  <c r="CP103" i="2" s="1"/>
  <c r="CP116" i="2" s="1"/>
  <c r="CP206" i="2"/>
  <c r="CQ166" i="2"/>
  <c r="CQ167" i="2" s="1"/>
  <c r="CQ168" i="2" s="1"/>
  <c r="BW76" i="5"/>
  <c r="CD100" i="5"/>
  <c r="CE55" i="5"/>
  <c r="CE67" i="5" s="1"/>
  <c r="CE140" i="5"/>
  <c r="CE125" i="5"/>
  <c r="CE49" i="5"/>
  <c r="CE152" i="5" s="1"/>
  <c r="CE47" i="5"/>
  <c r="CF42" i="5" s="1"/>
  <c r="CJ99" i="5"/>
  <c r="CP208" i="2" l="1"/>
  <c r="CN28" i="5"/>
  <c r="CN26" i="5"/>
  <c r="CL34" i="5"/>
  <c r="CK104" i="5"/>
  <c r="CL69" i="5"/>
  <c r="CM123" i="5"/>
  <c r="CM138" i="5"/>
  <c r="CM46" i="5"/>
  <c r="CK139" i="5"/>
  <c r="CK124" i="5"/>
  <c r="CK39" i="5"/>
  <c r="CK44" i="5"/>
  <c r="CK54" i="5" s="1"/>
  <c r="CK66" i="5" s="1"/>
  <c r="CK81" i="5" s="1"/>
  <c r="CK99" i="5" s="1"/>
  <c r="CQ169" i="2"/>
  <c r="CE82" i="5"/>
  <c r="CR160" i="2"/>
  <c r="CR171" i="2" s="1"/>
  <c r="CQ183" i="2"/>
  <c r="CP118" i="2"/>
  <c r="CP115" i="2"/>
  <c r="CF43" i="5"/>
  <c r="BX53" i="5"/>
  <c r="CQ195" i="2" l="1"/>
  <c r="CQ196" i="2" s="1"/>
  <c r="CQ187" i="2"/>
  <c r="CM57" i="5"/>
  <c r="CL35" i="5"/>
  <c r="CN36" i="5"/>
  <c r="CN29" i="5"/>
  <c r="CL85" i="5"/>
  <c r="CQ102" i="2"/>
  <c r="CQ103" i="2" s="1"/>
  <c r="CQ116" i="2" s="1"/>
  <c r="CQ206" i="2"/>
  <c r="CP129" i="2"/>
  <c r="CQ121" i="2" s="1"/>
  <c r="CE100" i="5"/>
  <c r="CF45" i="5"/>
  <c r="CF47" i="5" s="1"/>
  <c r="CG42" i="5" s="1"/>
  <c r="BX65" i="5"/>
  <c r="BX56" i="5"/>
  <c r="CR166" i="2"/>
  <c r="CQ208" i="2" l="1"/>
  <c r="CL44" i="5"/>
  <c r="CL54" i="5" s="1"/>
  <c r="CL66" i="5" s="1"/>
  <c r="CL81" i="5" s="1"/>
  <c r="CL99" i="5" s="1"/>
  <c r="CL124" i="5"/>
  <c r="CL139" i="5"/>
  <c r="CL39" i="5"/>
  <c r="CN138" i="5"/>
  <c r="CN123" i="5"/>
  <c r="CN46" i="5"/>
  <c r="CM69" i="5"/>
  <c r="CL104" i="5"/>
  <c r="CO28" i="5"/>
  <c r="CO26" i="5"/>
  <c r="CL37" i="5"/>
  <c r="CM33" i="5" s="1"/>
  <c r="CR167" i="2"/>
  <c r="CR168" i="2" s="1"/>
  <c r="CG43" i="5"/>
  <c r="CQ115" i="2"/>
  <c r="CQ118" i="2"/>
  <c r="BX141" i="5"/>
  <c r="BX126" i="5"/>
  <c r="BX68" i="5"/>
  <c r="BX61" i="5"/>
  <c r="CS160" i="2"/>
  <c r="CS171" i="2" s="1"/>
  <c r="CF55" i="5"/>
  <c r="CF67" i="5" s="1"/>
  <c r="CF140" i="5"/>
  <c r="CF125" i="5"/>
  <c r="CF49" i="5"/>
  <c r="CF152" i="5" s="1"/>
  <c r="CM34" i="5" l="1"/>
  <c r="CN57" i="5"/>
  <c r="CO29" i="5"/>
  <c r="CO36" i="5"/>
  <c r="CM85" i="5"/>
  <c r="CR169" i="2"/>
  <c r="CG45" i="5"/>
  <c r="CR183" i="2"/>
  <c r="CQ129" i="2"/>
  <c r="CR121" i="2" s="1"/>
  <c r="BX70" i="5"/>
  <c r="BX73" i="5" s="1"/>
  <c r="CF82" i="5"/>
  <c r="CS166" i="2"/>
  <c r="BX83" i="5"/>
  <c r="CR195" i="2" l="1"/>
  <c r="CR196" i="2" s="1"/>
  <c r="CR187" i="2"/>
  <c r="CM104" i="5"/>
  <c r="CN69" i="5"/>
  <c r="CO123" i="5"/>
  <c r="CO138" i="5"/>
  <c r="CO46" i="5"/>
  <c r="CO57" i="5" s="1"/>
  <c r="CO69" i="5" s="1"/>
  <c r="CO85" i="5" s="1"/>
  <c r="CO104" i="5" s="1"/>
  <c r="CM35" i="5"/>
  <c r="CR102" i="2"/>
  <c r="CR206" i="2"/>
  <c r="CF100" i="5"/>
  <c r="CG55" i="5"/>
  <c r="CG67" i="5" s="1"/>
  <c r="CG125" i="5"/>
  <c r="CG140" i="5"/>
  <c r="CG49" i="5"/>
  <c r="CG152" i="5" s="1"/>
  <c r="CG47" i="5"/>
  <c r="CH42" i="5" s="1"/>
  <c r="CT160" i="2"/>
  <c r="CT171" i="2" s="1"/>
  <c r="CS167" i="2"/>
  <c r="CS168" i="2" s="1"/>
  <c r="BX58" i="5"/>
  <c r="BX59" i="5" s="1"/>
  <c r="BY52" i="5" s="1"/>
  <c r="BX142" i="5"/>
  <c r="BX86" i="5"/>
  <c r="BX105" i="5" s="1"/>
  <c r="BX127" i="5"/>
  <c r="BX71" i="5"/>
  <c r="BY64" i="5" s="1"/>
  <c r="BX101" i="5"/>
  <c r="BX76" i="5"/>
  <c r="CR208" i="2" l="1"/>
  <c r="CM39" i="5"/>
  <c r="CM44" i="5"/>
  <c r="CM54" i="5" s="1"/>
  <c r="CM66" i="5" s="1"/>
  <c r="CM81" i="5" s="1"/>
  <c r="CM99" i="5" s="1"/>
  <c r="CM124" i="5"/>
  <c r="CM139" i="5"/>
  <c r="CN85" i="5"/>
  <c r="CP28" i="5"/>
  <c r="CP26" i="5"/>
  <c r="CM37" i="5"/>
  <c r="CN33" i="5" s="1"/>
  <c r="CS169" i="2"/>
  <c r="CS183" i="2"/>
  <c r="CH43" i="5"/>
  <c r="BY53" i="5"/>
  <c r="CT166" i="2"/>
  <c r="CG82" i="5"/>
  <c r="CR103" i="2"/>
  <c r="CR116" i="2" s="1"/>
  <c r="CS195" i="2" l="1"/>
  <c r="CS196" i="2" s="1"/>
  <c r="CS187" i="2"/>
  <c r="CP36" i="5"/>
  <c r="CP29" i="5"/>
  <c r="CN104" i="5"/>
  <c r="CN34" i="5"/>
  <c r="CG100" i="5"/>
  <c r="CU160" i="2"/>
  <c r="CU171" i="2" s="1"/>
  <c r="CR115" i="2"/>
  <c r="CT167" i="2"/>
  <c r="CT168" i="2" s="1"/>
  <c r="BY65" i="5"/>
  <c r="BY56" i="5"/>
  <c r="CS102" i="2"/>
  <c r="CS206" i="2"/>
  <c r="CH45" i="5"/>
  <c r="CN35" i="5" l="1"/>
  <c r="CQ28" i="5"/>
  <c r="CQ26" i="5"/>
  <c r="CS208" i="2"/>
  <c r="CP123" i="5"/>
  <c r="CP46" i="5"/>
  <c r="CP57" i="5" s="1"/>
  <c r="CP69" i="5" s="1"/>
  <c r="CP85" i="5" s="1"/>
  <c r="CP104" i="5" s="1"/>
  <c r="CP138" i="5"/>
  <c r="CT169" i="2"/>
  <c r="CT183" i="2"/>
  <c r="CH55" i="5"/>
  <c r="CH67" i="5" s="1"/>
  <c r="CH140" i="5"/>
  <c r="CH49" i="5"/>
  <c r="CH152" i="5" s="1"/>
  <c r="CH125" i="5"/>
  <c r="CH47" i="5"/>
  <c r="CI42" i="5" s="1"/>
  <c r="BY126" i="5"/>
  <c r="BY68" i="5"/>
  <c r="BY141" i="5"/>
  <c r="BY61" i="5"/>
  <c r="CS103" i="2"/>
  <c r="CS116" i="2" s="1"/>
  <c r="CR118" i="2"/>
  <c r="CU166" i="2"/>
  <c r="CT195" i="2" l="1"/>
  <c r="CT196" i="2" s="1"/>
  <c r="CT187" i="2"/>
  <c r="CN44" i="5"/>
  <c r="CN54" i="5" s="1"/>
  <c r="CN66" i="5" s="1"/>
  <c r="CN81" i="5" s="1"/>
  <c r="CN99" i="5" s="1"/>
  <c r="CN39" i="5"/>
  <c r="CN124" i="5"/>
  <c r="CN139" i="5"/>
  <c r="CQ29" i="5"/>
  <c r="CQ36" i="5"/>
  <c r="CN37" i="5"/>
  <c r="CO33" i="5" s="1"/>
  <c r="BY83" i="5"/>
  <c r="CI43" i="5"/>
  <c r="CS115" i="2"/>
  <c r="CH82" i="5"/>
  <c r="CT102" i="2"/>
  <c r="CT206" i="2"/>
  <c r="CV160" i="2"/>
  <c r="CV171" i="2" s="1"/>
  <c r="CU167" i="2"/>
  <c r="CU168" i="2" s="1"/>
  <c r="BY70" i="5"/>
  <c r="BY73" i="5" s="1"/>
  <c r="CT208" i="2" l="1"/>
  <c r="CQ138" i="5"/>
  <c r="CQ123" i="5"/>
  <c r="CQ46" i="5"/>
  <c r="CQ57" i="5" s="1"/>
  <c r="CQ69" i="5" s="1"/>
  <c r="CQ85" i="5" s="1"/>
  <c r="CQ104" i="5" s="1"/>
  <c r="CO34" i="5"/>
  <c r="CR26" i="5"/>
  <c r="CR28" i="5"/>
  <c r="CU169" i="2"/>
  <c r="BY76" i="5"/>
  <c r="CS118" i="2"/>
  <c r="CI45" i="5"/>
  <c r="CR129" i="2"/>
  <c r="CS121" i="2" s="1"/>
  <c r="CT103" i="2"/>
  <c r="CT116" i="2" s="1"/>
  <c r="CH100" i="5"/>
  <c r="CU183" i="2"/>
  <c r="BY58" i="5"/>
  <c r="BY59" i="5" s="1"/>
  <c r="BZ52" i="5" s="1"/>
  <c r="BY127" i="5"/>
  <c r="BY86" i="5"/>
  <c r="BY105" i="5" s="1"/>
  <c r="BY142" i="5"/>
  <c r="BY71" i="5"/>
  <c r="BZ64" i="5" s="1"/>
  <c r="CV166" i="2"/>
  <c r="BY101" i="5"/>
  <c r="CU195" i="2" l="1"/>
  <c r="CU196" i="2" s="1"/>
  <c r="CU187" i="2"/>
  <c r="CR36" i="5"/>
  <c r="CR29" i="5"/>
  <c r="CO35" i="5"/>
  <c r="CW160" i="2"/>
  <c r="CV167" i="2"/>
  <c r="CV168" i="2" s="1"/>
  <c r="CT115" i="2"/>
  <c r="CI55" i="5"/>
  <c r="CI67" i="5" s="1"/>
  <c r="CI140" i="5"/>
  <c r="CI49" i="5"/>
  <c r="CI152" i="5" s="1"/>
  <c r="CI125" i="5"/>
  <c r="CS129" i="2"/>
  <c r="CT121" i="2" s="1"/>
  <c r="BZ53" i="5"/>
  <c r="CI47" i="5"/>
  <c r="CJ42" i="5" s="1"/>
  <c r="CU102" i="2"/>
  <c r="CU206" i="2"/>
  <c r="CU208" i="2" l="1"/>
  <c r="CO139" i="5"/>
  <c r="CO124" i="5"/>
  <c r="CO44" i="5"/>
  <c r="CO54" i="5" s="1"/>
  <c r="CO66" i="5" s="1"/>
  <c r="CO81" i="5" s="1"/>
  <c r="CO99" i="5" s="1"/>
  <c r="CO39" i="5"/>
  <c r="CR138" i="5"/>
  <c r="CR123" i="5"/>
  <c r="CR46" i="5"/>
  <c r="CR57" i="5" s="1"/>
  <c r="CR69" i="5" s="1"/>
  <c r="CR85" i="5" s="1"/>
  <c r="CR104" i="5" s="1"/>
  <c r="CS28" i="5"/>
  <c r="CS26" i="5"/>
  <c r="CO37" i="5"/>
  <c r="CP33" i="5" s="1"/>
  <c r="CV169" i="2"/>
  <c r="CU103" i="2"/>
  <c r="CU116" i="2" s="1"/>
  <c r="CW166" i="2"/>
  <c r="CW170" i="2"/>
  <c r="BZ65" i="5"/>
  <c r="BZ56" i="5"/>
  <c r="CV183" i="2"/>
  <c r="CI82" i="5"/>
  <c r="CT118" i="2"/>
  <c r="CJ43" i="5"/>
  <c r="CV195" i="2" l="1"/>
  <c r="CV196" i="2" s="1"/>
  <c r="CV187" i="2"/>
  <c r="CP34" i="5"/>
  <c r="CW171" i="2"/>
  <c r="CX160" i="2" s="1"/>
  <c r="CS36" i="5"/>
  <c r="CS29" i="5"/>
  <c r="CW167" i="2"/>
  <c r="CW168" i="2" s="1"/>
  <c r="HT166" i="2"/>
  <c r="HU166" i="2"/>
  <c r="CJ45" i="5"/>
  <c r="CV102" i="2"/>
  <c r="CV206" i="2"/>
  <c r="CU115" i="2"/>
  <c r="CI100" i="5"/>
  <c r="BZ126" i="5"/>
  <c r="BZ68" i="5"/>
  <c r="BZ141" i="5"/>
  <c r="BZ61" i="5"/>
  <c r="CW186" i="2"/>
  <c r="CV208" i="2" l="1"/>
  <c r="CS123" i="5"/>
  <c r="CS46" i="5"/>
  <c r="CS57" i="5" s="1"/>
  <c r="CS69" i="5" s="1"/>
  <c r="CS85" i="5" s="1"/>
  <c r="CS104" i="5" s="1"/>
  <c r="CS138" i="5"/>
  <c r="CX171" i="2"/>
  <c r="CY160" i="2" s="1"/>
  <c r="CX166" i="2"/>
  <c r="CP35" i="5"/>
  <c r="CT28" i="5"/>
  <c r="CT26" i="5"/>
  <c r="CW169" i="2"/>
  <c r="BZ83" i="5"/>
  <c r="CU118" i="2"/>
  <c r="CV103" i="2"/>
  <c r="CV116" i="2" s="1"/>
  <c r="CT129" i="2"/>
  <c r="CU121" i="2" s="1"/>
  <c r="CJ55" i="5"/>
  <c r="CJ125" i="5"/>
  <c r="CJ140" i="5"/>
  <c r="CJ49" i="5"/>
  <c r="CJ152" i="5" s="1"/>
  <c r="BZ70" i="5"/>
  <c r="BZ73" i="5" s="1"/>
  <c r="CJ47" i="5"/>
  <c r="CK42" i="5" s="1"/>
  <c r="CK43" i="5" s="1"/>
  <c r="CW183" i="2"/>
  <c r="HT167" i="2"/>
  <c r="HU167" i="2"/>
  <c r="CW187" i="2" l="1"/>
  <c r="CW195" i="2"/>
  <c r="CW196" i="2" s="1"/>
  <c r="CY171" i="2"/>
  <c r="CZ160" i="2" s="1"/>
  <c r="CZ170" i="2" s="1"/>
  <c r="CZ186" i="2" s="1"/>
  <c r="CY166" i="2"/>
  <c r="CY167" i="2" s="1"/>
  <c r="CX167" i="2"/>
  <c r="CP44" i="5"/>
  <c r="CP54" i="5" s="1"/>
  <c r="CP66" i="5" s="1"/>
  <c r="CP81" i="5" s="1"/>
  <c r="CP99" i="5" s="1"/>
  <c r="CP139" i="5"/>
  <c r="CP124" i="5"/>
  <c r="CP39" i="5"/>
  <c r="CT29" i="5"/>
  <c r="CT36" i="5"/>
  <c r="CK45" i="5"/>
  <c r="CK125" i="5" s="1"/>
  <c r="CP37" i="5"/>
  <c r="CQ33" i="5" s="1"/>
  <c r="CV115" i="2"/>
  <c r="HT169" i="2"/>
  <c r="HU169" i="2"/>
  <c r="CW102" i="2"/>
  <c r="HT183" i="2"/>
  <c r="HU183" i="2"/>
  <c r="M39" i="7" s="1"/>
  <c r="M40" i="7" s="1"/>
  <c r="CW206" i="2"/>
  <c r="CU129" i="2"/>
  <c r="CV121" i="2" s="1"/>
  <c r="BZ101" i="5"/>
  <c r="CJ67" i="5"/>
  <c r="BZ86" i="5"/>
  <c r="BZ105" i="5" s="1"/>
  <c r="BZ58" i="5"/>
  <c r="BZ59" i="5" s="1"/>
  <c r="CA52" i="5" s="1"/>
  <c r="BZ142" i="5"/>
  <c r="BZ127" i="5"/>
  <c r="BZ71" i="5"/>
  <c r="CA64" i="5" s="1"/>
  <c r="HT168" i="2"/>
  <c r="HU168" i="2"/>
  <c r="BZ76" i="5"/>
  <c r="CK49" i="5" l="1"/>
  <c r="CK152" i="5" s="1"/>
  <c r="CK140" i="5"/>
  <c r="CK55" i="5"/>
  <c r="CK67" i="5" s="1"/>
  <c r="CK47" i="5"/>
  <c r="CL42" i="5" s="1"/>
  <c r="CL43" i="5" s="1"/>
  <c r="CL45" i="5" s="1"/>
  <c r="CL55" i="5" s="1"/>
  <c r="CW208" i="2"/>
  <c r="CQ34" i="5"/>
  <c r="CU28" i="5"/>
  <c r="CU26" i="5"/>
  <c r="HU196" i="2"/>
  <c r="CX168" i="2"/>
  <c r="CX183" i="2"/>
  <c r="CZ171" i="2"/>
  <c r="CZ166" i="2"/>
  <c r="CT138" i="5"/>
  <c r="CT46" i="5"/>
  <c r="CT57" i="5" s="1"/>
  <c r="CT69" i="5" s="1"/>
  <c r="CT85" i="5" s="1"/>
  <c r="CT104" i="5" s="1"/>
  <c r="CT123" i="5"/>
  <c r="CY168" i="2"/>
  <c r="CY169" i="2" s="1"/>
  <c r="CY183" i="2"/>
  <c r="CV118" i="2"/>
  <c r="CJ82" i="5"/>
  <c r="L39" i="7"/>
  <c r="CW103" i="2"/>
  <c r="CW116" i="2" s="1"/>
  <c r="HT102" i="2"/>
  <c r="HU102" i="2"/>
  <c r="CA53" i="5"/>
  <c r="CL49" i="5" l="1"/>
  <c r="CL152" i="5" s="1"/>
  <c r="CL125" i="5"/>
  <c r="CL140" i="5"/>
  <c r="CL47" i="5"/>
  <c r="CM42" i="5" s="1"/>
  <c r="CM43" i="5" s="1"/>
  <c r="CX169" i="2"/>
  <c r="CX195" i="2"/>
  <c r="CX196" i="2" s="1"/>
  <c r="CX187" i="2"/>
  <c r="CY195" i="2"/>
  <c r="CY196" i="2" s="1"/>
  <c r="CY187" i="2"/>
  <c r="CY102" i="2"/>
  <c r="CY103" i="2" s="1"/>
  <c r="CY116" i="2" s="1"/>
  <c r="CY206" i="2"/>
  <c r="CX102" i="2"/>
  <c r="CX206" i="2"/>
  <c r="CU29" i="5"/>
  <c r="CU36" i="5"/>
  <c r="CQ35" i="5"/>
  <c r="CZ167" i="2"/>
  <c r="CV129" i="2"/>
  <c r="CW121" i="2" s="1"/>
  <c r="DA160" i="2"/>
  <c r="CJ100" i="5"/>
  <c r="CW115" i="2"/>
  <c r="HT103" i="2"/>
  <c r="HU103" i="2"/>
  <c r="CL67" i="5"/>
  <c r="CK82" i="5"/>
  <c r="CA65" i="5"/>
  <c r="CA56" i="5"/>
  <c r="L40" i="7"/>
  <c r="CW26" i="5" l="1"/>
  <c r="CW36" i="5" s="1"/>
  <c r="CW28" i="5"/>
  <c r="CY208" i="2"/>
  <c r="CX208" i="2"/>
  <c r="CY115" i="2"/>
  <c r="CY118" i="2"/>
  <c r="CU123" i="5"/>
  <c r="CU138" i="5"/>
  <c r="CU46" i="5"/>
  <c r="CM45" i="5"/>
  <c r="DA171" i="2"/>
  <c r="DA166" i="2"/>
  <c r="CZ168" i="2"/>
  <c r="CZ183" i="2"/>
  <c r="CQ44" i="5"/>
  <c r="CQ54" i="5" s="1"/>
  <c r="CQ66" i="5" s="1"/>
  <c r="CQ81" i="5" s="1"/>
  <c r="CQ99" i="5" s="1"/>
  <c r="CQ124" i="5"/>
  <c r="CQ39" i="5"/>
  <c r="CQ139" i="5"/>
  <c r="CQ37" i="5"/>
  <c r="CR33" i="5" s="1"/>
  <c r="CX103" i="2"/>
  <c r="CX116" i="2" s="1"/>
  <c r="CA141" i="5"/>
  <c r="CA68" i="5"/>
  <c r="CA126" i="5"/>
  <c r="CA61" i="5"/>
  <c r="CL82" i="5"/>
  <c r="CK100" i="5"/>
  <c r="L48" i="7"/>
  <c r="CW118" i="2"/>
  <c r="HT116" i="2"/>
  <c r="HU116" i="2"/>
  <c r="HT115" i="2"/>
  <c r="HU115" i="2"/>
  <c r="CW29" i="5" l="1"/>
  <c r="CV26" i="5"/>
  <c r="CV28" i="5"/>
  <c r="CW46" i="5"/>
  <c r="CW57" i="5" s="1"/>
  <c r="CW69" i="5" s="1"/>
  <c r="CW85" i="5" s="1"/>
  <c r="CW104" i="5" s="1"/>
  <c r="CW123" i="5"/>
  <c r="CW138" i="5"/>
  <c r="CZ187" i="2"/>
  <c r="CZ195" i="2" s="1"/>
  <c r="CZ196" i="2" s="1"/>
  <c r="CZ102" i="2"/>
  <c r="CZ206" i="2"/>
  <c r="CZ169" i="2"/>
  <c r="CU57" i="5"/>
  <c r="CM55" i="5"/>
  <c r="CM67" i="5" s="1"/>
  <c r="CM82" i="5" s="1"/>
  <c r="CM100" i="5" s="1"/>
  <c r="CM140" i="5"/>
  <c r="CM125" i="5"/>
  <c r="CM49" i="5"/>
  <c r="CM152" i="5" s="1"/>
  <c r="CM47" i="5"/>
  <c r="CN42" i="5" s="1"/>
  <c r="DA167" i="2"/>
  <c r="CR34" i="5"/>
  <c r="CX115" i="2"/>
  <c r="DB160" i="2"/>
  <c r="DB170" i="2" s="1"/>
  <c r="DB186" i="2" s="1"/>
  <c r="CA70" i="5"/>
  <c r="CA73" i="5" s="1"/>
  <c r="HT118" i="2"/>
  <c r="HU118" i="2"/>
  <c r="CA83" i="5"/>
  <c r="CL100" i="5"/>
  <c r="CX26" i="5" l="1"/>
  <c r="CX36" i="5" s="1"/>
  <c r="CX28" i="5"/>
  <c r="CV36" i="5"/>
  <c r="CZ208" i="2"/>
  <c r="CV29" i="5"/>
  <c r="DA168" i="2"/>
  <c r="DA169" i="2" s="1"/>
  <c r="DA183" i="2"/>
  <c r="CU69" i="5"/>
  <c r="CX118" i="2"/>
  <c r="CN43" i="5"/>
  <c r="CR35" i="5"/>
  <c r="DB171" i="2"/>
  <c r="DC160" i="2" s="1"/>
  <c r="DC170" i="2" s="1"/>
  <c r="DB166" i="2"/>
  <c r="CZ103" i="2"/>
  <c r="CZ116" i="2" s="1"/>
  <c r="CA71" i="5"/>
  <c r="CB64" i="5" s="1"/>
  <c r="CA101" i="5"/>
  <c r="CA127" i="5"/>
  <c r="CA58" i="5"/>
  <c r="CA59" i="5" s="1"/>
  <c r="CB52" i="5" s="1"/>
  <c r="CA142" i="5"/>
  <c r="CA86" i="5"/>
  <c r="CA105" i="5" s="1"/>
  <c r="CA76" i="5"/>
  <c r="HT123" i="2"/>
  <c r="I123" i="2"/>
  <c r="HU123" i="2"/>
  <c r="HV123" i="2"/>
  <c r="CW129" i="2"/>
  <c r="CX121" i="2" s="1"/>
  <c r="CX129" i="2" s="1"/>
  <c r="CY121" i="2" s="1"/>
  <c r="CY129" i="2" s="1"/>
  <c r="CZ121" i="2" s="1"/>
  <c r="CZ129" i="2" s="1"/>
  <c r="DA121" i="2" s="1"/>
  <c r="DA129" i="2" s="1"/>
  <c r="DB121" i="2" s="1"/>
  <c r="DB129" i="2" s="1"/>
  <c r="DC121" i="2" s="1"/>
  <c r="DC129" i="2" s="1"/>
  <c r="DD121" i="2" s="1"/>
  <c r="DD129" i="2" s="1"/>
  <c r="DE121" i="2" s="1"/>
  <c r="DE129" i="2" s="1"/>
  <c r="DF121" i="2" s="1"/>
  <c r="DF129" i="2" s="1"/>
  <c r="DG121" i="2" s="1"/>
  <c r="DG129" i="2" s="1"/>
  <c r="DH121" i="2" s="1"/>
  <c r="DH129" i="2" s="1"/>
  <c r="DI121" i="2" s="1"/>
  <c r="DI129" i="2" s="1"/>
  <c r="DJ121" i="2" s="1"/>
  <c r="DJ129" i="2" s="1"/>
  <c r="DK121" i="2" s="1"/>
  <c r="DK129" i="2" s="1"/>
  <c r="DL121" i="2" s="1"/>
  <c r="DL129" i="2" s="1"/>
  <c r="DM121" i="2" s="1"/>
  <c r="DM129" i="2" s="1"/>
  <c r="DN121" i="2" s="1"/>
  <c r="DN129" i="2" s="1"/>
  <c r="DO121" i="2" s="1"/>
  <c r="DO129" i="2" s="1"/>
  <c r="DP121" i="2" s="1"/>
  <c r="DP129" i="2" s="1"/>
  <c r="DQ121" i="2" s="1"/>
  <c r="DQ129" i="2" s="1"/>
  <c r="DR121" i="2" s="1"/>
  <c r="DR129" i="2" s="1"/>
  <c r="DS121" i="2" s="1"/>
  <c r="DS129" i="2" s="1"/>
  <c r="DT121" i="2" s="1"/>
  <c r="DT129" i="2" s="1"/>
  <c r="DU121" i="2" s="1"/>
  <c r="DU129" i="2" s="1"/>
  <c r="DV121" i="2" s="1"/>
  <c r="DV129" i="2" s="1"/>
  <c r="DW121" i="2" s="1"/>
  <c r="DW129" i="2" s="1"/>
  <c r="DX121" i="2" s="1"/>
  <c r="DX129" i="2" s="1"/>
  <c r="DY121" i="2" s="1"/>
  <c r="DY129" i="2" s="1"/>
  <c r="DZ121" i="2" s="1"/>
  <c r="DZ129" i="2" s="1"/>
  <c r="EA121" i="2" s="1"/>
  <c r="EA129" i="2" s="1"/>
  <c r="EB121" i="2" s="1"/>
  <c r="EB129" i="2" s="1"/>
  <c r="EC121" i="2" s="1"/>
  <c r="EC129" i="2" s="1"/>
  <c r="ED121" i="2" s="1"/>
  <c r="ED129" i="2" s="1"/>
  <c r="EE121" i="2" s="1"/>
  <c r="EE129" i="2" s="1"/>
  <c r="EF121" i="2" s="1"/>
  <c r="EF129" i="2" s="1"/>
  <c r="EG121" i="2" s="1"/>
  <c r="EG129" i="2" s="1"/>
  <c r="EH121" i="2" s="1"/>
  <c r="EH129" i="2" s="1"/>
  <c r="EI121" i="2" s="1"/>
  <c r="EI129" i="2" s="1"/>
  <c r="EJ121" i="2" s="1"/>
  <c r="EJ129" i="2" s="1"/>
  <c r="EK121" i="2" s="1"/>
  <c r="EK129" i="2" s="1"/>
  <c r="EL121" i="2" s="1"/>
  <c r="EL129" i="2" s="1"/>
  <c r="EM121" i="2" s="1"/>
  <c r="EM129" i="2" s="1"/>
  <c r="EN121" i="2" s="1"/>
  <c r="EN129" i="2" s="1"/>
  <c r="EO121" i="2" s="1"/>
  <c r="EO129" i="2" s="1"/>
  <c r="EP121" i="2" s="1"/>
  <c r="EP129" i="2" s="1"/>
  <c r="EQ121" i="2" s="1"/>
  <c r="EQ129" i="2" s="1"/>
  <c r="ER121" i="2" s="1"/>
  <c r="ER129" i="2" s="1"/>
  <c r="ES121" i="2" s="1"/>
  <c r="ES129" i="2" s="1"/>
  <c r="ET121" i="2" s="1"/>
  <c r="ET129" i="2" s="1"/>
  <c r="EU121" i="2" s="1"/>
  <c r="EU129" i="2" s="1"/>
  <c r="EV121" i="2" s="1"/>
  <c r="EV129" i="2" s="1"/>
  <c r="EW121" i="2" s="1"/>
  <c r="EW129" i="2" s="1"/>
  <c r="EX121" i="2" s="1"/>
  <c r="EX129" i="2" s="1"/>
  <c r="EY121" i="2" s="1"/>
  <c r="EY129" i="2" s="1"/>
  <c r="EZ121" i="2" s="1"/>
  <c r="EZ129" i="2" s="1"/>
  <c r="FA121" i="2" s="1"/>
  <c r="FA129" i="2" s="1"/>
  <c r="FB121" i="2" s="1"/>
  <c r="FB129" i="2" s="1"/>
  <c r="FC121" i="2" s="1"/>
  <c r="FC129" i="2" s="1"/>
  <c r="FD121" i="2" s="1"/>
  <c r="FD129" i="2" s="1"/>
  <c r="FE121" i="2" s="1"/>
  <c r="FE129" i="2" s="1"/>
  <c r="FF121" i="2" s="1"/>
  <c r="FF129" i="2" s="1"/>
  <c r="FG121" i="2" s="1"/>
  <c r="FG129" i="2" s="1"/>
  <c r="FH121" i="2" s="1"/>
  <c r="FH129" i="2" s="1"/>
  <c r="FI121" i="2" s="1"/>
  <c r="FI129" i="2" s="1"/>
  <c r="FJ121" i="2" s="1"/>
  <c r="FJ129" i="2" s="1"/>
  <c r="FK121" i="2" s="1"/>
  <c r="FK129" i="2" s="1"/>
  <c r="FL121" i="2" s="1"/>
  <c r="FL129" i="2" s="1"/>
  <c r="FM121" i="2" s="1"/>
  <c r="FM129" i="2" s="1"/>
  <c r="FN121" i="2" s="1"/>
  <c r="FN129" i="2" s="1"/>
  <c r="FO121" i="2" s="1"/>
  <c r="FO129" i="2" s="1"/>
  <c r="FP121" i="2" s="1"/>
  <c r="FP129" i="2" s="1"/>
  <c r="FQ121" i="2" s="1"/>
  <c r="FQ129" i="2" s="1"/>
  <c r="FR121" i="2" s="1"/>
  <c r="FR129" i="2" s="1"/>
  <c r="FS121" i="2" s="1"/>
  <c r="FS129" i="2" s="1"/>
  <c r="FT121" i="2" s="1"/>
  <c r="FT129" i="2" s="1"/>
  <c r="FU121" i="2" s="1"/>
  <c r="FU129" i="2" s="1"/>
  <c r="FV121" i="2" s="1"/>
  <c r="FV129" i="2" s="1"/>
  <c r="FW121" i="2" s="1"/>
  <c r="FW129" i="2" s="1"/>
  <c r="FX121" i="2" s="1"/>
  <c r="FX129" i="2" s="1"/>
  <c r="FY121" i="2" s="1"/>
  <c r="FY129" i="2" s="1"/>
  <c r="FZ121" i="2" s="1"/>
  <c r="FZ129" i="2" s="1"/>
  <c r="GA121" i="2" s="1"/>
  <c r="GA129" i="2" s="1"/>
  <c r="GB121" i="2" s="1"/>
  <c r="GB129" i="2" s="1"/>
  <c r="GC121" i="2" s="1"/>
  <c r="GC129" i="2" s="1"/>
  <c r="GP121" i="2" s="1"/>
  <c r="GP129" i="2" s="1"/>
  <c r="GQ121" i="2" s="1"/>
  <c r="GQ129" i="2" s="1"/>
  <c r="GR121" i="2" s="1"/>
  <c r="GR129" i="2" s="1"/>
  <c r="GS121" i="2" s="1"/>
  <c r="GS129" i="2" s="1"/>
  <c r="GT121" i="2" s="1"/>
  <c r="GT129" i="2" s="1"/>
  <c r="HT122" i="2"/>
  <c r="I122" i="2"/>
  <c r="HU122" i="2"/>
  <c r="HV122" i="2"/>
  <c r="CX29" i="5" l="1"/>
  <c r="DC186" i="2"/>
  <c r="HV186" i="2" s="1"/>
  <c r="HV170" i="2"/>
  <c r="HL170" i="2" s="1"/>
  <c r="CV138" i="5"/>
  <c r="CV123" i="5"/>
  <c r="CV46" i="5"/>
  <c r="CX46" i="5"/>
  <c r="CX57" i="5" s="1"/>
  <c r="CX69" i="5" s="1"/>
  <c r="CX85" i="5" s="1"/>
  <c r="CX104" i="5" s="1"/>
  <c r="CX138" i="5"/>
  <c r="CX123" i="5"/>
  <c r="DA195" i="2"/>
  <c r="DA196" i="2" s="1"/>
  <c r="DA187" i="2"/>
  <c r="DC171" i="2"/>
  <c r="DC166" i="2"/>
  <c r="DC167" i="2" s="1"/>
  <c r="CZ115" i="2"/>
  <c r="DB167" i="2"/>
  <c r="CR39" i="5"/>
  <c r="CR139" i="5"/>
  <c r="CR124" i="5"/>
  <c r="CR44" i="5"/>
  <c r="CR54" i="5" s="1"/>
  <c r="CR66" i="5" s="1"/>
  <c r="CR81" i="5" s="1"/>
  <c r="CR99" i="5" s="1"/>
  <c r="CR37" i="5"/>
  <c r="CS33" i="5" s="1"/>
  <c r="CS34" i="5" s="1"/>
  <c r="CU85" i="5"/>
  <c r="DA102" i="2"/>
  <c r="DA206" i="2"/>
  <c r="CN45" i="5"/>
  <c r="HL123" i="2"/>
  <c r="HT129" i="2"/>
  <c r="HU121" i="2" s="1"/>
  <c r="HU129" i="2" s="1"/>
  <c r="HV121" i="2" s="1"/>
  <c r="HV129" i="2" s="1"/>
  <c r="HL122" i="2"/>
  <c r="CB53" i="5"/>
  <c r="N44" i="7" l="1"/>
  <c r="O44" i="7" s="1"/>
  <c r="HL186" i="2"/>
  <c r="CY26" i="5"/>
  <c r="CY28" i="5"/>
  <c r="DA208" i="2"/>
  <c r="HV166" i="2"/>
  <c r="HL166" i="2" s="1"/>
  <c r="CV57" i="5"/>
  <c r="DB168" i="2"/>
  <c r="DB169" i="2" s="1"/>
  <c r="DB183" i="2"/>
  <c r="HV167" i="2"/>
  <c r="HL167" i="2" s="1"/>
  <c r="CU104" i="5"/>
  <c r="CZ118" i="2"/>
  <c r="CN55" i="5"/>
  <c r="CN67" i="5" s="1"/>
  <c r="CN82" i="5" s="1"/>
  <c r="CN100" i="5" s="1"/>
  <c r="CN49" i="5"/>
  <c r="CN152" i="5" s="1"/>
  <c r="CN140" i="5"/>
  <c r="CN125" i="5"/>
  <c r="CS35" i="5"/>
  <c r="DC168" i="2"/>
  <c r="DC169" i="2" s="1"/>
  <c r="DC183" i="2"/>
  <c r="DA103" i="2"/>
  <c r="DA116" i="2" s="1"/>
  <c r="CN47" i="5"/>
  <c r="CO42" i="5" s="1"/>
  <c r="DD160" i="2"/>
  <c r="CB65" i="5"/>
  <c r="CB56" i="5"/>
  <c r="CV69" i="5" l="1"/>
  <c r="CY29" i="5"/>
  <c r="CY36" i="5"/>
  <c r="DB187" i="2"/>
  <c r="DB195" i="2" s="1"/>
  <c r="DB196" i="2" s="1"/>
  <c r="DC187" i="2"/>
  <c r="DC195" i="2" s="1"/>
  <c r="DC196" i="2" s="1"/>
  <c r="DA115" i="2"/>
  <c r="HV169" i="2"/>
  <c r="HL169" i="2" s="1"/>
  <c r="CS37" i="5"/>
  <c r="CT33" i="5" s="1"/>
  <c r="CS139" i="5"/>
  <c r="CS39" i="5"/>
  <c r="CS44" i="5"/>
  <c r="CS54" i="5" s="1"/>
  <c r="CS66" i="5" s="1"/>
  <c r="CS81" i="5" s="1"/>
  <c r="CS99" i="5" s="1"/>
  <c r="CS124" i="5"/>
  <c r="DC102" i="2"/>
  <c r="DC103" i="2" s="1"/>
  <c r="DC206" i="2"/>
  <c r="CO43" i="5"/>
  <c r="DB102" i="2"/>
  <c r="DB206" i="2"/>
  <c r="HV183" i="2"/>
  <c r="DD171" i="2"/>
  <c r="DE160" i="2" s="1"/>
  <c r="DE170" i="2" s="1"/>
  <c r="DE186" i="2" s="1"/>
  <c r="DD166" i="2"/>
  <c r="DD167" i="2" s="1"/>
  <c r="CB141" i="5"/>
  <c r="CB126" i="5"/>
  <c r="CB68" i="5"/>
  <c r="CB61" i="5"/>
  <c r="DC116" i="2" l="1"/>
  <c r="DC118" i="2" s="1"/>
  <c r="DA26" i="5"/>
  <c r="DA36" i="5" s="1"/>
  <c r="DA28" i="5"/>
  <c r="CZ26" i="5"/>
  <c r="CZ28" i="5"/>
  <c r="HV196" i="2"/>
  <c r="DC208" i="2"/>
  <c r="DB208" i="2"/>
  <c r="CY138" i="5"/>
  <c r="CY123" i="5"/>
  <c r="CY46" i="5"/>
  <c r="CV85" i="5"/>
  <c r="DE171" i="2"/>
  <c r="DE166" i="2"/>
  <c r="DE167" i="2" s="1"/>
  <c r="DB103" i="2"/>
  <c r="DB116" i="2" s="1"/>
  <c r="HV102" i="2"/>
  <c r="HL102" i="2" s="1"/>
  <c r="DD168" i="2"/>
  <c r="DD169" i="2" s="1"/>
  <c r="DD183" i="2"/>
  <c r="CO45" i="5"/>
  <c r="CT34" i="5"/>
  <c r="DC115" i="2"/>
  <c r="N39" i="7"/>
  <c r="HL183" i="2"/>
  <c r="DA118" i="2"/>
  <c r="CB70" i="5"/>
  <c r="CB76" i="5" s="1"/>
  <c r="CB83" i="5"/>
  <c r="DA29" i="5" l="1"/>
  <c r="CY57" i="5"/>
  <c r="HL198" i="2"/>
  <c r="HL196" i="2"/>
  <c r="HL197" i="2" s="1"/>
  <c r="CZ29" i="5"/>
  <c r="CZ36" i="5"/>
  <c r="CV104" i="5"/>
  <c r="DA123" i="5"/>
  <c r="DA46" i="5"/>
  <c r="DA57" i="5" s="1"/>
  <c r="DA69" i="5" s="1"/>
  <c r="DA85" i="5" s="1"/>
  <c r="DA104" i="5" s="1"/>
  <c r="DA138" i="5"/>
  <c r="DD195" i="2"/>
  <c r="DD196" i="2" s="1"/>
  <c r="DD187" i="2"/>
  <c r="CO55" i="5"/>
  <c r="CO67" i="5" s="1"/>
  <c r="CO82" i="5" s="1"/>
  <c r="CO100" i="5" s="1"/>
  <c r="CO125" i="5"/>
  <c r="CO140" i="5"/>
  <c r="CO49" i="5"/>
  <c r="CO152" i="5" s="1"/>
  <c r="DB115" i="2"/>
  <c r="HV103" i="2"/>
  <c r="HL103" i="2" s="1"/>
  <c r="DD102" i="2"/>
  <c r="DD103" i="2" s="1"/>
  <c r="DD116" i="2" s="1"/>
  <c r="DD206" i="2"/>
  <c r="CO47" i="5"/>
  <c r="CP42" i="5" s="1"/>
  <c r="DE168" i="2"/>
  <c r="DE169" i="2" s="1"/>
  <c r="DE183" i="2"/>
  <c r="N40" i="7"/>
  <c r="O39" i="7"/>
  <c r="CT35" i="5"/>
  <c r="CB73" i="5"/>
  <c r="CB101" i="5"/>
  <c r="CB127" i="5"/>
  <c r="CB86" i="5"/>
  <c r="CB105" i="5" s="1"/>
  <c r="CB58" i="5"/>
  <c r="CB59" i="5" s="1"/>
  <c r="CC52" i="5" s="1"/>
  <c r="CB142" i="5"/>
  <c r="CB71" i="5"/>
  <c r="CC64" i="5" s="1"/>
  <c r="DF160" i="2"/>
  <c r="DF170" i="2" s="1"/>
  <c r="DF186" i="2" s="1"/>
  <c r="DB28" i="5" l="1"/>
  <c r="DB26" i="5"/>
  <c r="HL199" i="2"/>
  <c r="DD208" i="2"/>
  <c r="CZ123" i="5"/>
  <c r="CZ46" i="5"/>
  <c r="CZ138" i="5"/>
  <c r="CY69" i="5"/>
  <c r="DE187" i="2"/>
  <c r="DE195" i="2" s="1"/>
  <c r="DE196" i="2" s="1"/>
  <c r="DD115" i="2"/>
  <c r="DD118" i="2"/>
  <c r="CT139" i="5"/>
  <c r="CT39" i="5"/>
  <c r="CT44" i="5"/>
  <c r="CT54" i="5" s="1"/>
  <c r="CT66" i="5" s="1"/>
  <c r="CT81" i="5" s="1"/>
  <c r="CT99" i="5" s="1"/>
  <c r="CT124" i="5"/>
  <c r="CT37" i="5"/>
  <c r="CU33" i="5" s="1"/>
  <c r="O40" i="7"/>
  <c r="DF171" i="2"/>
  <c r="DF166" i="2"/>
  <c r="DF167" i="2" s="1"/>
  <c r="DB118" i="2"/>
  <c r="HV116" i="2"/>
  <c r="HL116" i="2" s="1"/>
  <c r="DE102" i="2"/>
  <c r="DE103" i="2" s="1"/>
  <c r="DE206" i="2"/>
  <c r="CP43" i="5"/>
  <c r="CC53" i="5"/>
  <c r="DE116" i="2" l="1"/>
  <c r="DE118" i="2" s="1"/>
  <c r="DE208" i="2"/>
  <c r="DC28" i="5"/>
  <c r="DC26" i="5"/>
  <c r="CZ57" i="5"/>
  <c r="DB36" i="5"/>
  <c r="DB29" i="5"/>
  <c r="CY85" i="5"/>
  <c r="CU34" i="5"/>
  <c r="DF168" i="2"/>
  <c r="DF169" i="2" s="1"/>
  <c r="DF183" i="2"/>
  <c r="CP45" i="5"/>
  <c r="DE115" i="2"/>
  <c r="CC65" i="5"/>
  <c r="CC56" i="5"/>
  <c r="DG160" i="2"/>
  <c r="CY104" i="5" l="1"/>
  <c r="DB138" i="5"/>
  <c r="DB46" i="5"/>
  <c r="DB123" i="5"/>
  <c r="CZ69" i="5"/>
  <c r="DC36" i="5"/>
  <c r="DC29" i="5"/>
  <c r="DF187" i="2"/>
  <c r="DF195" i="2" s="1"/>
  <c r="DF196" i="2" s="1"/>
  <c r="DF102" i="2"/>
  <c r="DF103" i="2" s="1"/>
  <c r="DF206" i="2"/>
  <c r="CP125" i="5"/>
  <c r="CP140" i="5"/>
  <c r="CP49" i="5"/>
  <c r="CP152" i="5" s="1"/>
  <c r="CP55" i="5"/>
  <c r="CP67" i="5" s="1"/>
  <c r="CP82" i="5" s="1"/>
  <c r="CP100" i="5" s="1"/>
  <c r="CP47" i="5"/>
  <c r="CQ42" i="5" s="1"/>
  <c r="CU35" i="5"/>
  <c r="DG171" i="2"/>
  <c r="DH160" i="2" s="1"/>
  <c r="DG166" i="2"/>
  <c r="DG167" i="2" s="1"/>
  <c r="CC68" i="5"/>
  <c r="CC126" i="5"/>
  <c r="CC141" i="5"/>
  <c r="CC61" i="5"/>
  <c r="DF116" i="2" l="1"/>
  <c r="DF118" i="2" s="1"/>
  <c r="DD26" i="5"/>
  <c r="DD28" i="5"/>
  <c r="DC46" i="5"/>
  <c r="DC57" i="5" s="1"/>
  <c r="DC69" i="5" s="1"/>
  <c r="DC85" i="5" s="1"/>
  <c r="DC104" i="5" s="1"/>
  <c r="DC123" i="5"/>
  <c r="DC138" i="5"/>
  <c r="CZ85" i="5"/>
  <c r="DF208" i="2"/>
  <c r="DB57" i="5"/>
  <c r="DH171" i="2"/>
  <c r="DI160" i="2" s="1"/>
  <c r="DH166" i="2"/>
  <c r="DH167" i="2" s="1"/>
  <c r="DF115" i="2"/>
  <c r="CQ43" i="5"/>
  <c r="DG168" i="2"/>
  <c r="DG169" i="2" s="1"/>
  <c r="DG183" i="2"/>
  <c r="CU39" i="5"/>
  <c r="CU44" i="5"/>
  <c r="CU54" i="5" s="1"/>
  <c r="CU66" i="5" s="1"/>
  <c r="CU81" i="5" s="1"/>
  <c r="CU99" i="5" s="1"/>
  <c r="CU124" i="5"/>
  <c r="CU139" i="5"/>
  <c r="CU37" i="5"/>
  <c r="CV33" i="5" s="1"/>
  <c r="CC70" i="5"/>
  <c r="CC73" i="5" s="1"/>
  <c r="CC83" i="5"/>
  <c r="DD29" i="5" l="1"/>
  <c r="CZ104" i="5"/>
  <c r="DB69" i="5"/>
  <c r="DD36" i="5"/>
  <c r="DG195" i="2"/>
  <c r="DG196" i="2" s="1"/>
  <c r="DG187" i="2"/>
  <c r="DI166" i="2"/>
  <c r="DI170" i="2"/>
  <c r="CQ45" i="5"/>
  <c r="DG102" i="2"/>
  <c r="DG103" i="2" s="1"/>
  <c r="DG116" i="2" s="1"/>
  <c r="DG206" i="2"/>
  <c r="DH168" i="2"/>
  <c r="DH169" i="2" s="1"/>
  <c r="DH183" i="2"/>
  <c r="CV34" i="5"/>
  <c r="CC86" i="5"/>
  <c r="CC105" i="5" s="1"/>
  <c r="CC127" i="5"/>
  <c r="CC142" i="5"/>
  <c r="CC58" i="5"/>
  <c r="CC59" i="5" s="1"/>
  <c r="CD52" i="5" s="1"/>
  <c r="CC71" i="5"/>
  <c r="CD64" i="5" s="1"/>
  <c r="CC76" i="5"/>
  <c r="CC101" i="5"/>
  <c r="DE26" i="5" l="1"/>
  <c r="DE36" i="5" s="1"/>
  <c r="DE28" i="5"/>
  <c r="DD138" i="5"/>
  <c r="DD46" i="5"/>
  <c r="DD123" i="5"/>
  <c r="DI186" i="2"/>
  <c r="DB85" i="5"/>
  <c r="DI167" i="2"/>
  <c r="DI168" i="2" s="1"/>
  <c r="DG208" i="2"/>
  <c r="DH195" i="2"/>
  <c r="DH196" i="2" s="1"/>
  <c r="DH187" i="2"/>
  <c r="CQ49" i="5"/>
  <c r="CQ152" i="5" s="1"/>
  <c r="CQ55" i="5"/>
  <c r="CQ67" i="5" s="1"/>
  <c r="CQ82" i="5" s="1"/>
  <c r="CQ100" i="5" s="1"/>
  <c r="CQ125" i="5"/>
  <c r="CQ140" i="5"/>
  <c r="CQ47" i="5"/>
  <c r="CR42" i="5" s="1"/>
  <c r="DH102" i="2"/>
  <c r="DH103" i="2" s="1"/>
  <c r="DH116" i="2" s="1"/>
  <c r="DH206" i="2"/>
  <c r="DG115" i="2"/>
  <c r="DG118" i="2"/>
  <c r="DI171" i="2"/>
  <c r="DJ160" i="2" s="1"/>
  <c r="CV35" i="5"/>
  <c r="CD53" i="5"/>
  <c r="DE29" i="5" l="1"/>
  <c r="DI183" i="2"/>
  <c r="DI206" i="2" s="1"/>
  <c r="DJ171" i="2"/>
  <c r="DK160" i="2" s="1"/>
  <c r="DJ166" i="2"/>
  <c r="DF26" i="5"/>
  <c r="DF36" i="5" s="1"/>
  <c r="DF28" i="5"/>
  <c r="DD57" i="5"/>
  <c r="HV168" i="2"/>
  <c r="HL168" i="2" s="1"/>
  <c r="DH208" i="2"/>
  <c r="DB104" i="5"/>
  <c r="DE46" i="5"/>
  <c r="DE57" i="5" s="1"/>
  <c r="DE69" i="5" s="1"/>
  <c r="DE85" i="5" s="1"/>
  <c r="DE104" i="5" s="1"/>
  <c r="DE138" i="5"/>
  <c r="DE123" i="5"/>
  <c r="DI187" i="2"/>
  <c r="DI169" i="2"/>
  <c r="DI102" i="2"/>
  <c r="DH115" i="2"/>
  <c r="DH118" i="2"/>
  <c r="CV39" i="5"/>
  <c r="CV139" i="5"/>
  <c r="CV124" i="5"/>
  <c r="CV44" i="5"/>
  <c r="CV54" i="5" s="1"/>
  <c r="CV66" i="5" s="1"/>
  <c r="CV81" i="5" s="1"/>
  <c r="CV99" i="5" s="1"/>
  <c r="CV37" i="5"/>
  <c r="CW33" i="5" s="1"/>
  <c r="CW34" i="5" s="1"/>
  <c r="CR43" i="5"/>
  <c r="CD65" i="5"/>
  <c r="CD56" i="5"/>
  <c r="DL206" i="2"/>
  <c r="DL208" i="2" s="1"/>
  <c r="DF29" i="5" l="1"/>
  <c r="DJ167" i="2"/>
  <c r="I166" i="2"/>
  <c r="DK170" i="2"/>
  <c r="DK166" i="2"/>
  <c r="DK167" i="2" s="1"/>
  <c r="DD69" i="5"/>
  <c r="DI195" i="2"/>
  <c r="DI196" i="2" s="1"/>
  <c r="CW35" i="5"/>
  <c r="CW44" i="5" s="1"/>
  <c r="CW54" i="5" s="1"/>
  <c r="CW66" i="5" s="1"/>
  <c r="CW81" i="5" s="1"/>
  <c r="CW99" i="5" s="1"/>
  <c r="DI103" i="2"/>
  <c r="DI115" i="2" s="1"/>
  <c r="DF46" i="5"/>
  <c r="DF57" i="5" s="1"/>
  <c r="DF69" i="5" s="1"/>
  <c r="DF85" i="5" s="1"/>
  <c r="DF104" i="5" s="1"/>
  <c r="DF138" i="5"/>
  <c r="DF123" i="5"/>
  <c r="CR45" i="5"/>
  <c r="DM206" i="2"/>
  <c r="DM208" i="2" s="1"/>
  <c r="CD68" i="5"/>
  <c r="CD141" i="5"/>
  <c r="CD126" i="5"/>
  <c r="CD61" i="5"/>
  <c r="DK168" i="2" l="1"/>
  <c r="DK169" i="2" s="1"/>
  <c r="DK183" i="2"/>
  <c r="DK186" i="2"/>
  <c r="I186" i="2" s="1"/>
  <c r="I170" i="2"/>
  <c r="J67" i="1" s="1"/>
  <c r="DK171" i="2"/>
  <c r="DL160" i="2" s="1"/>
  <c r="DL171" i="2" s="1"/>
  <c r="DM160" i="2" s="1"/>
  <c r="DM171" i="2" s="1"/>
  <c r="DN160" i="2" s="1"/>
  <c r="DN171" i="2" s="1"/>
  <c r="DJ168" i="2"/>
  <c r="I168" i="2" s="1"/>
  <c r="DJ183" i="2"/>
  <c r="I167" i="2"/>
  <c r="HV115" i="2"/>
  <c r="HL115" i="2" s="1"/>
  <c r="CW37" i="5"/>
  <c r="CX33" i="5" s="1"/>
  <c r="CX34" i="5" s="1"/>
  <c r="CW139" i="5"/>
  <c r="DI116" i="2"/>
  <c r="CW39" i="5"/>
  <c r="CW124" i="5"/>
  <c r="DD85" i="5"/>
  <c r="CR49" i="5"/>
  <c r="CR152" i="5" s="1"/>
  <c r="CR125" i="5"/>
  <c r="CR140" i="5"/>
  <c r="CR55" i="5"/>
  <c r="CR67" i="5" s="1"/>
  <c r="CR82" i="5" s="1"/>
  <c r="CR100" i="5" s="1"/>
  <c r="CR47" i="5"/>
  <c r="CS42" i="5" s="1"/>
  <c r="CD70" i="5"/>
  <c r="CD71" i="5" s="1"/>
  <c r="CE64" i="5" s="1"/>
  <c r="CD83" i="5"/>
  <c r="DN206" i="2"/>
  <c r="DN208" i="2" s="1"/>
  <c r="DJ169" i="2" l="1"/>
  <c r="I169" i="2" s="1"/>
  <c r="F83" i="1"/>
  <c r="L67" i="1"/>
  <c r="DK187" i="2"/>
  <c r="DK195" i="2" s="1"/>
  <c r="DK196" i="2" s="1"/>
  <c r="DK102" i="2"/>
  <c r="DK103" i="2" s="1"/>
  <c r="DK115" i="2" s="1"/>
  <c r="DK206" i="2"/>
  <c r="DJ195" i="2"/>
  <c r="I195" i="2" s="1"/>
  <c r="DJ187" i="2"/>
  <c r="DJ102" i="2"/>
  <c r="DJ206" i="2"/>
  <c r="I183" i="2"/>
  <c r="DG26" i="5"/>
  <c r="DG28" i="5"/>
  <c r="DI208" i="2"/>
  <c r="DD104" i="5"/>
  <c r="CX35" i="5"/>
  <c r="CS43" i="5"/>
  <c r="CD73" i="5"/>
  <c r="CD101" i="5"/>
  <c r="CD142" i="5"/>
  <c r="CD127" i="5"/>
  <c r="CD86" i="5"/>
  <c r="CD105" i="5" s="1"/>
  <c r="CD58" i="5"/>
  <c r="CD59" i="5" s="1"/>
  <c r="CE52" i="5" s="1"/>
  <c r="CD76" i="5"/>
  <c r="DK208" i="2" l="1"/>
  <c r="I191" i="2"/>
  <c r="I187" i="2"/>
  <c r="I188" i="2" s="1"/>
  <c r="I189" i="2"/>
  <c r="DJ103" i="2"/>
  <c r="I102" i="2"/>
  <c r="DI26" i="5"/>
  <c r="DI36" i="5" s="1"/>
  <c r="DI28" i="5"/>
  <c r="DK116" i="2"/>
  <c r="DK118" i="2" s="1"/>
  <c r="DJ196" i="2"/>
  <c r="DJ208" i="2" s="1"/>
  <c r="CX37" i="5"/>
  <c r="CY33" i="5" s="1"/>
  <c r="CX44" i="5"/>
  <c r="CX54" i="5" s="1"/>
  <c r="CX66" i="5" s="1"/>
  <c r="CX81" i="5" s="1"/>
  <c r="CX99" i="5" s="1"/>
  <c r="CX124" i="5"/>
  <c r="CX139" i="5"/>
  <c r="CX39" i="5"/>
  <c r="DI118" i="2"/>
  <c r="DG29" i="5"/>
  <c r="DG36" i="5"/>
  <c r="CS45" i="5"/>
  <c r="DO206" i="2"/>
  <c r="DO208" i="2" s="1"/>
  <c r="DO160" i="2"/>
  <c r="DO171" i="2" s="1"/>
  <c r="CE53" i="5"/>
  <c r="DI29" i="5" l="1"/>
  <c r="DI46" i="5"/>
  <c r="DI57" i="5" s="1"/>
  <c r="DI69" i="5" s="1"/>
  <c r="DI85" i="5" s="1"/>
  <c r="DI104" i="5" s="1"/>
  <c r="DI123" i="5"/>
  <c r="DI138" i="5"/>
  <c r="DH28" i="5"/>
  <c r="G28" i="5" s="1"/>
  <c r="DH26" i="5"/>
  <c r="I200" i="2"/>
  <c r="I198" i="2"/>
  <c r="Q23" i="1" s="1"/>
  <c r="I196" i="2"/>
  <c r="I197" i="2" s="1"/>
  <c r="DJ116" i="2"/>
  <c r="DJ115" i="2"/>
  <c r="I115" i="2" s="1"/>
  <c r="I103" i="2"/>
  <c r="I190" i="2"/>
  <c r="DG138" i="5"/>
  <c r="DG123" i="5"/>
  <c r="DG46" i="5"/>
  <c r="HV118" i="2"/>
  <c r="HL118" i="2" s="1"/>
  <c r="CY34" i="5"/>
  <c r="CS49" i="5"/>
  <c r="CS152" i="5" s="1"/>
  <c r="CS55" i="5"/>
  <c r="CS67" i="5" s="1"/>
  <c r="CS82" i="5" s="1"/>
  <c r="CS100" i="5" s="1"/>
  <c r="CS140" i="5"/>
  <c r="CS125" i="5"/>
  <c r="CS47" i="5"/>
  <c r="CT42" i="5" s="1"/>
  <c r="CT43" i="5" s="1"/>
  <c r="CE65" i="5"/>
  <c r="CE56" i="5"/>
  <c r="J55" i="7" l="1"/>
  <c r="G66" i="52"/>
  <c r="O23" i="1"/>
  <c r="HL200" i="2"/>
  <c r="DH29" i="5"/>
  <c r="G30" i="5" s="1"/>
  <c r="DH36" i="5"/>
  <c r="G26" i="5"/>
  <c r="G29" i="5" s="1"/>
  <c r="DJ118" i="2"/>
  <c r="I118" i="2" s="1"/>
  <c r="I116" i="2"/>
  <c r="J69" i="1" s="1"/>
  <c r="I199" i="2"/>
  <c r="P23" i="1" s="1"/>
  <c r="R23" i="1"/>
  <c r="CY35" i="5"/>
  <c r="DG57" i="5"/>
  <c r="CT45" i="5"/>
  <c r="DP206" i="2"/>
  <c r="DP208" i="2" s="1"/>
  <c r="DP160" i="2"/>
  <c r="DP171" i="2" s="1"/>
  <c r="CE126" i="5"/>
  <c r="CE68" i="5"/>
  <c r="CE141" i="5"/>
  <c r="CE61" i="5"/>
  <c r="DH138" i="5" l="1"/>
  <c r="G138" i="5" s="1"/>
  <c r="DH46" i="5"/>
  <c r="DH123" i="5"/>
  <c r="G123" i="5" s="1"/>
  <c r="Q24" i="1" s="1"/>
  <c r="J56" i="7" s="1"/>
  <c r="G36" i="5"/>
  <c r="G67" i="52"/>
  <c r="K55" i="7"/>
  <c r="G65" i="52"/>
  <c r="I55" i="7"/>
  <c r="T18" i="1"/>
  <c r="J70" i="1"/>
  <c r="L69" i="1"/>
  <c r="L70" i="1" s="1"/>
  <c r="H16" i="7"/>
  <c r="T7" i="1"/>
  <c r="G64" i="52"/>
  <c r="H55" i="7"/>
  <c r="CY139" i="5"/>
  <c r="CY124" i="5"/>
  <c r="CY44" i="5"/>
  <c r="CY54" i="5" s="1"/>
  <c r="CY66" i="5" s="1"/>
  <c r="CY81" i="5" s="1"/>
  <c r="CY99" i="5" s="1"/>
  <c r="CY39" i="5"/>
  <c r="CY37" i="5"/>
  <c r="CZ33" i="5" s="1"/>
  <c r="DG69" i="5"/>
  <c r="CT47" i="5"/>
  <c r="CU42" i="5" s="1"/>
  <c r="CT140" i="5"/>
  <c r="CT49" i="5"/>
  <c r="CT152" i="5" s="1"/>
  <c r="CT125" i="5"/>
  <c r="CT55" i="5"/>
  <c r="CT67" i="5" s="1"/>
  <c r="CT82" i="5" s="1"/>
  <c r="CT100" i="5" s="1"/>
  <c r="CE70" i="5"/>
  <c r="CE76" i="5" s="1"/>
  <c r="CE83" i="5"/>
  <c r="DQ206" i="2"/>
  <c r="DQ208" i="2" s="1"/>
  <c r="DQ160" i="2"/>
  <c r="DQ171" i="2" s="1"/>
  <c r="K67" i="1" l="1"/>
  <c r="N62" i="1"/>
  <c r="K68" i="1"/>
  <c r="N65" i="1"/>
  <c r="DH57" i="5"/>
  <c r="G46" i="5"/>
  <c r="G162" i="5"/>
  <c r="Q25" i="1"/>
  <c r="J57" i="7" s="1"/>
  <c r="I16" i="7"/>
  <c r="J16" i="7" s="1"/>
  <c r="H15" i="7"/>
  <c r="K69" i="1"/>
  <c r="DG85" i="5"/>
  <c r="CZ34" i="5"/>
  <c r="CU43" i="5"/>
  <c r="CE101" i="5"/>
  <c r="CE73" i="5"/>
  <c r="CE58" i="5"/>
  <c r="CE59" i="5" s="1"/>
  <c r="CF52" i="5" s="1"/>
  <c r="CE142" i="5"/>
  <c r="CE127" i="5"/>
  <c r="CE86" i="5"/>
  <c r="CE105" i="5" s="1"/>
  <c r="CE71" i="5"/>
  <c r="CF64" i="5" s="1"/>
  <c r="DH69" i="5" l="1"/>
  <c r="G57" i="5"/>
  <c r="H17" i="7"/>
  <c r="I15" i="7"/>
  <c r="K70" i="1"/>
  <c r="CZ35" i="5"/>
  <c r="DG104" i="5"/>
  <c r="CU45" i="5"/>
  <c r="CF53" i="5"/>
  <c r="DR206" i="2"/>
  <c r="DR208" i="2" s="1"/>
  <c r="DR160" i="2"/>
  <c r="DR171" i="2" s="1"/>
  <c r="J15" i="7" l="1"/>
  <c r="J17" i="7" s="1"/>
  <c r="I17" i="7"/>
  <c r="DH85" i="5"/>
  <c r="G69" i="5"/>
  <c r="CZ39" i="5"/>
  <c r="CZ124" i="5"/>
  <c r="CZ44" i="5"/>
  <c r="CZ54" i="5" s="1"/>
  <c r="CZ66" i="5" s="1"/>
  <c r="CZ81" i="5" s="1"/>
  <c r="CZ99" i="5" s="1"/>
  <c r="CZ139" i="5"/>
  <c r="CZ37" i="5"/>
  <c r="DA33" i="5" s="1"/>
  <c r="CU125" i="5"/>
  <c r="CU55" i="5"/>
  <c r="CU67" i="5" s="1"/>
  <c r="CU82" i="5" s="1"/>
  <c r="CU100" i="5" s="1"/>
  <c r="CU140" i="5"/>
  <c r="CU49" i="5"/>
  <c r="CU152" i="5" s="1"/>
  <c r="CU47" i="5"/>
  <c r="CV42" i="5" s="1"/>
  <c r="CF65" i="5"/>
  <c r="CF56" i="5"/>
  <c r="DH104" i="5" l="1"/>
  <c r="G104" i="5" s="1"/>
  <c r="G85" i="5"/>
  <c r="E84" i="5" s="1"/>
  <c r="J84" i="5" s="1"/>
  <c r="K14" i="7"/>
  <c r="K16" i="7"/>
  <c r="K15" i="7"/>
  <c r="DA34" i="5"/>
  <c r="CV43" i="5"/>
  <c r="DS206" i="2"/>
  <c r="DS208" i="2" s="1"/>
  <c r="DS160" i="2"/>
  <c r="DS171" i="2" s="1"/>
  <c r="CF141" i="5"/>
  <c r="CF68" i="5"/>
  <c r="CF126" i="5"/>
  <c r="CF61" i="5"/>
  <c r="K17" i="7" l="1"/>
  <c r="J102" i="5"/>
  <c r="J89" i="5"/>
  <c r="J143" i="5"/>
  <c r="J128" i="5"/>
  <c r="J87" i="5"/>
  <c r="K79" i="5" s="1"/>
  <c r="K80" i="5" s="1"/>
  <c r="K84" i="5" s="1"/>
  <c r="J92" i="5"/>
  <c r="J153" i="5" s="1"/>
  <c r="DA35" i="5"/>
  <c r="CV45" i="5"/>
  <c r="CF70" i="5"/>
  <c r="CF73" i="5" s="1"/>
  <c r="DT206" i="2"/>
  <c r="DT208" i="2" s="1"/>
  <c r="DT160" i="2"/>
  <c r="DT171" i="2" s="1"/>
  <c r="CF83" i="5"/>
  <c r="J94" i="5" l="1"/>
  <c r="J103" i="5" s="1"/>
  <c r="K128" i="5"/>
  <c r="K102" i="5"/>
  <c r="K89" i="5"/>
  <c r="K143" i="5"/>
  <c r="K92" i="5"/>
  <c r="K153" i="5" s="1"/>
  <c r="K87" i="5"/>
  <c r="L79" i="5" s="1"/>
  <c r="DA39" i="5"/>
  <c r="DA124" i="5"/>
  <c r="DA44" i="5"/>
  <c r="DA139" i="5"/>
  <c r="DA37" i="5"/>
  <c r="DB33" i="5" s="1"/>
  <c r="CV140" i="5"/>
  <c r="CV49" i="5"/>
  <c r="CV152" i="5" s="1"/>
  <c r="CV125" i="5"/>
  <c r="CV55" i="5"/>
  <c r="CV67" i="5" s="1"/>
  <c r="CV82" i="5" s="1"/>
  <c r="CV100" i="5" s="1"/>
  <c r="CV47" i="5"/>
  <c r="CW42" i="5" s="1"/>
  <c r="CW43" i="5" s="1"/>
  <c r="CW45" i="5" s="1"/>
  <c r="CF127" i="5"/>
  <c r="CF142" i="5"/>
  <c r="CF86" i="5"/>
  <c r="CF105" i="5" s="1"/>
  <c r="CF58" i="5"/>
  <c r="CF59" i="5" s="1"/>
  <c r="CG52" i="5" s="1"/>
  <c r="CF71" i="5"/>
  <c r="CG64" i="5" s="1"/>
  <c r="CF76" i="5"/>
  <c r="DU206" i="2"/>
  <c r="DU208" i="2" s="1"/>
  <c r="DU160" i="2"/>
  <c r="DU171" i="2" s="1"/>
  <c r="CF101" i="5"/>
  <c r="J144" i="5" l="1"/>
  <c r="J111" i="5"/>
  <c r="J154" i="5" s="1"/>
  <c r="J106" i="5"/>
  <c r="K97" i="5" s="1"/>
  <c r="K98" i="5" s="1"/>
  <c r="J129" i="5"/>
  <c r="J108" i="5"/>
  <c r="K94" i="5"/>
  <c r="DA54" i="5"/>
  <c r="L80" i="5"/>
  <c r="DB34" i="5"/>
  <c r="CW47" i="5"/>
  <c r="CX42" i="5" s="1"/>
  <c r="CW55" i="5"/>
  <c r="CW67" i="5" s="1"/>
  <c r="CW82" i="5" s="1"/>
  <c r="CW100" i="5" s="1"/>
  <c r="CW140" i="5"/>
  <c r="CW125" i="5"/>
  <c r="CW49" i="5"/>
  <c r="CW152" i="5" s="1"/>
  <c r="DV206" i="2"/>
  <c r="DV208" i="2" s="1"/>
  <c r="DV160" i="2"/>
  <c r="DV171" i="2" s="1"/>
  <c r="CG53" i="5"/>
  <c r="K103" i="5" l="1"/>
  <c r="K108" i="5" s="1"/>
  <c r="J113" i="5"/>
  <c r="L84" i="5"/>
  <c r="DB35" i="5"/>
  <c r="DA66" i="5"/>
  <c r="CX43" i="5"/>
  <c r="DW206" i="2"/>
  <c r="DW208" i="2" s="1"/>
  <c r="DW160" i="2"/>
  <c r="DW171" i="2" s="1"/>
  <c r="CG65" i="5"/>
  <c r="CG56" i="5"/>
  <c r="K111" i="5" l="1"/>
  <c r="K154" i="5" s="1"/>
  <c r="K144" i="5"/>
  <c r="K129" i="5"/>
  <c r="K106" i="5"/>
  <c r="L97" i="5" s="1"/>
  <c r="J116" i="5"/>
  <c r="J117" i="5"/>
  <c r="J155" i="5" s="1"/>
  <c r="J156" i="5" s="1"/>
  <c r="L143" i="5"/>
  <c r="L92" i="5"/>
  <c r="L153" i="5" s="1"/>
  <c r="L89" i="5"/>
  <c r="L102" i="5"/>
  <c r="L128" i="5"/>
  <c r="L87" i="5"/>
  <c r="M79" i="5" s="1"/>
  <c r="M80" i="5" s="1"/>
  <c r="CX45" i="5"/>
  <c r="CX47" i="5" s="1"/>
  <c r="CY42" i="5" s="1"/>
  <c r="DA81" i="5"/>
  <c r="L98" i="5"/>
  <c r="DB124" i="5"/>
  <c r="DB44" i="5"/>
  <c r="DB39" i="5"/>
  <c r="DB139" i="5"/>
  <c r="DB37" i="5"/>
  <c r="DC33" i="5" s="1"/>
  <c r="CG68" i="5"/>
  <c r="CG141" i="5"/>
  <c r="CG126" i="5"/>
  <c r="CG61" i="5"/>
  <c r="K113" i="5" l="1"/>
  <c r="K116" i="5" s="1"/>
  <c r="J118" i="5"/>
  <c r="L94" i="5"/>
  <c r="L103" i="5" s="1"/>
  <c r="J130" i="5"/>
  <c r="J131" i="5" s="1"/>
  <c r="J145" i="5"/>
  <c r="J146" i="5" s="1"/>
  <c r="J157" i="5" s="1"/>
  <c r="CY43" i="5"/>
  <c r="DC34" i="5"/>
  <c r="M84" i="5"/>
  <c r="DA99" i="5"/>
  <c r="DB54" i="5"/>
  <c r="CX140" i="5"/>
  <c r="CX125" i="5"/>
  <c r="CX49" i="5"/>
  <c r="CX152" i="5" s="1"/>
  <c r="CX55" i="5"/>
  <c r="CX67" i="5" s="1"/>
  <c r="CX82" i="5" s="1"/>
  <c r="CX100" i="5" s="1"/>
  <c r="DX206" i="2"/>
  <c r="DX208" i="2" s="1"/>
  <c r="DX160" i="2"/>
  <c r="DX171" i="2" s="1"/>
  <c r="CG70" i="5"/>
  <c r="CG71" i="5" s="1"/>
  <c r="CH64" i="5" s="1"/>
  <c r="CG83" i="5"/>
  <c r="K117" i="5" l="1"/>
  <c r="K155" i="5" s="1"/>
  <c r="K156" i="5" s="1"/>
  <c r="J167" i="5"/>
  <c r="J161" i="5"/>
  <c r="K130" i="5"/>
  <c r="K131" i="5" s="1"/>
  <c r="K145" i="5"/>
  <c r="K146" i="5" s="1"/>
  <c r="M87" i="5"/>
  <c r="N79" i="5" s="1"/>
  <c r="M92" i="5"/>
  <c r="M153" i="5" s="1"/>
  <c r="M143" i="5"/>
  <c r="M89" i="5"/>
  <c r="M102" i="5"/>
  <c r="M128" i="5"/>
  <c r="L111" i="5"/>
  <c r="L129" i="5"/>
  <c r="L144" i="5"/>
  <c r="L108" i="5"/>
  <c r="DC35" i="5"/>
  <c r="L106" i="5"/>
  <c r="M97" i="5" s="1"/>
  <c r="DB66" i="5"/>
  <c r="CY45" i="5"/>
  <c r="CG101" i="5"/>
  <c r="CG86" i="5"/>
  <c r="CG105" i="5" s="1"/>
  <c r="CG127" i="5"/>
  <c r="CG142" i="5"/>
  <c r="CG58" i="5"/>
  <c r="CG59" i="5" s="1"/>
  <c r="CH52" i="5" s="1"/>
  <c r="DY206" i="2"/>
  <c r="DY208" i="2" s="1"/>
  <c r="DY160" i="2"/>
  <c r="DY171" i="2" s="1"/>
  <c r="CG76" i="5"/>
  <c r="CG73" i="5"/>
  <c r="K161" i="5" l="1"/>
  <c r="K118" i="5"/>
  <c r="K157" i="5"/>
  <c r="DB81" i="5"/>
  <c r="M98" i="5"/>
  <c r="DC124" i="5"/>
  <c r="DC39" i="5"/>
  <c r="DC44" i="5"/>
  <c r="DC139" i="5"/>
  <c r="DC37" i="5"/>
  <c r="DD33" i="5" s="1"/>
  <c r="CY140" i="5"/>
  <c r="CY125" i="5"/>
  <c r="CY49" i="5"/>
  <c r="CY152" i="5" s="1"/>
  <c r="CY55" i="5"/>
  <c r="CY67" i="5" s="1"/>
  <c r="CY82" i="5" s="1"/>
  <c r="CY100" i="5" s="1"/>
  <c r="CY47" i="5"/>
  <c r="CZ42" i="5" s="1"/>
  <c r="L154" i="5"/>
  <c r="L113" i="5"/>
  <c r="N80" i="5"/>
  <c r="M94" i="5"/>
  <c r="K167" i="5"/>
  <c r="CH53" i="5"/>
  <c r="N84" i="5" l="1"/>
  <c r="L117" i="5"/>
  <c r="L155" i="5" s="1"/>
  <c r="L156" i="5" s="1"/>
  <c r="L116" i="5"/>
  <c r="CZ43" i="5"/>
  <c r="DC54" i="5"/>
  <c r="M103" i="5"/>
  <c r="DD34" i="5"/>
  <c r="DB99" i="5"/>
  <c r="DZ206" i="2"/>
  <c r="DZ208" i="2" s="1"/>
  <c r="DZ160" i="2"/>
  <c r="DZ171" i="2" s="1"/>
  <c r="CH65" i="5"/>
  <c r="CH56" i="5"/>
  <c r="N92" i="5" l="1"/>
  <c r="N153" i="5" s="1"/>
  <c r="N128" i="5"/>
  <c r="N89" i="5"/>
  <c r="N143" i="5"/>
  <c r="N102" i="5"/>
  <c r="DC66" i="5"/>
  <c r="DD35" i="5"/>
  <c r="CZ45" i="5"/>
  <c r="N87" i="5"/>
  <c r="O79" i="5" s="1"/>
  <c r="M129" i="5"/>
  <c r="M111" i="5"/>
  <c r="M144" i="5"/>
  <c r="M108" i="5"/>
  <c r="M106" i="5"/>
  <c r="N97" i="5" s="1"/>
  <c r="N98" i="5" s="1"/>
  <c r="L118" i="5"/>
  <c r="L145" i="5"/>
  <c r="L146" i="5" s="1"/>
  <c r="L157" i="5" s="1"/>
  <c r="L130" i="5"/>
  <c r="L131" i="5" s="1"/>
  <c r="EA206" i="2"/>
  <c r="EA208" i="2" s="1"/>
  <c r="EA160" i="2"/>
  <c r="EA171" i="2" s="1"/>
  <c r="CH126" i="5"/>
  <c r="CH68" i="5"/>
  <c r="CH141" i="5"/>
  <c r="CH61" i="5"/>
  <c r="N94" i="5" l="1"/>
  <c r="N103" i="5" s="1"/>
  <c r="L167" i="5"/>
  <c r="M154" i="5"/>
  <c r="M113" i="5"/>
  <c r="O80" i="5"/>
  <c r="DD39" i="5"/>
  <c r="DD124" i="5"/>
  <c r="DD139" i="5"/>
  <c r="DD44" i="5"/>
  <c r="DD37" i="5"/>
  <c r="DE33" i="5" s="1"/>
  <c r="CZ140" i="5"/>
  <c r="CZ55" i="5"/>
  <c r="CZ67" i="5" s="1"/>
  <c r="CZ82" i="5" s="1"/>
  <c r="CZ100" i="5" s="1"/>
  <c r="CZ49" i="5"/>
  <c r="CZ152" i="5" s="1"/>
  <c r="CZ125" i="5"/>
  <c r="CZ47" i="5"/>
  <c r="DA42" i="5" s="1"/>
  <c r="DC81" i="5"/>
  <c r="L161" i="5"/>
  <c r="D9" i="32"/>
  <c r="CH83" i="5"/>
  <c r="CH70" i="5"/>
  <c r="CH71" i="5" s="1"/>
  <c r="CI64" i="5" s="1"/>
  <c r="N106" i="5" l="1"/>
  <c r="O97" i="5" s="1"/>
  <c r="N108" i="5"/>
  <c r="N111" i="5"/>
  <c r="N154" i="5" s="1"/>
  <c r="N144" i="5"/>
  <c r="N129" i="5"/>
  <c r="DC99" i="5"/>
  <c r="O84" i="5"/>
  <c r="DE34" i="5"/>
  <c r="O98" i="5"/>
  <c r="DD54" i="5"/>
  <c r="M117" i="5"/>
  <c r="M155" i="5" s="1"/>
  <c r="M156" i="5" s="1"/>
  <c r="M116" i="5"/>
  <c r="DA43" i="5"/>
  <c r="CH76" i="5"/>
  <c r="CH73" i="5"/>
  <c r="EB206" i="2"/>
  <c r="EB208" i="2" s="1"/>
  <c r="EB160" i="2"/>
  <c r="EB171" i="2" s="1"/>
  <c r="E257" i="32"/>
  <c r="G257" i="32" s="1"/>
  <c r="H257" i="32" s="1"/>
  <c r="E223" i="32"/>
  <c r="G223" i="32" s="1"/>
  <c r="H223" i="32" s="1"/>
  <c r="E18" i="32"/>
  <c r="E235" i="32"/>
  <c r="G235" i="32" s="1"/>
  <c r="H235" i="32" s="1"/>
  <c r="E238" i="32"/>
  <c r="G238" i="32" s="1"/>
  <c r="H238" i="32" s="1"/>
  <c r="E230" i="32"/>
  <c r="G230" i="32" s="1"/>
  <c r="H230" i="32" s="1"/>
  <c r="E118" i="32"/>
  <c r="G118" i="32" s="1"/>
  <c r="H118" i="32" s="1"/>
  <c r="E308" i="32"/>
  <c r="G308" i="32" s="1"/>
  <c r="H308" i="32" s="1"/>
  <c r="E176" i="32"/>
  <c r="G176" i="32" s="1"/>
  <c r="H176" i="32" s="1"/>
  <c r="E127" i="32"/>
  <c r="G127" i="32" s="1"/>
  <c r="H127" i="32" s="1"/>
  <c r="E24" i="32"/>
  <c r="E204" i="32"/>
  <c r="G204" i="32" s="1"/>
  <c r="H204" i="32" s="1"/>
  <c r="E17" i="32"/>
  <c r="E26" i="32"/>
  <c r="E14" i="32"/>
  <c r="E11" i="32"/>
  <c r="E335" i="32"/>
  <c r="G335" i="32" s="1"/>
  <c r="H335" i="32" s="1"/>
  <c r="E267" i="32"/>
  <c r="G267" i="32" s="1"/>
  <c r="H267" i="32" s="1"/>
  <c r="E191" i="32"/>
  <c r="G191" i="32" s="1"/>
  <c r="H191" i="32" s="1"/>
  <c r="E303" i="32"/>
  <c r="G303" i="32" s="1"/>
  <c r="H303" i="32" s="1"/>
  <c r="E81" i="32"/>
  <c r="G81" i="32" s="1"/>
  <c r="H81" i="32" s="1"/>
  <c r="E161" i="32"/>
  <c r="G161" i="32" s="1"/>
  <c r="H161" i="32" s="1"/>
  <c r="E286" i="32"/>
  <c r="G286" i="32" s="1"/>
  <c r="H286" i="32" s="1"/>
  <c r="E110" i="32"/>
  <c r="G110" i="32" s="1"/>
  <c r="H110" i="32" s="1"/>
  <c r="E145" i="32"/>
  <c r="G145" i="32" s="1"/>
  <c r="H145" i="32" s="1"/>
  <c r="E282" i="32"/>
  <c r="G282" i="32" s="1"/>
  <c r="H282" i="32" s="1"/>
  <c r="E164" i="32"/>
  <c r="G164" i="32" s="1"/>
  <c r="H164" i="32" s="1"/>
  <c r="E136" i="32"/>
  <c r="G136" i="32" s="1"/>
  <c r="H136" i="32" s="1"/>
  <c r="E278" i="32"/>
  <c r="G278" i="32" s="1"/>
  <c r="H278" i="32" s="1"/>
  <c r="E93" i="32"/>
  <c r="G93" i="32" s="1"/>
  <c r="H93" i="32" s="1"/>
  <c r="E224" i="32"/>
  <c r="G224" i="32" s="1"/>
  <c r="H224" i="32" s="1"/>
  <c r="E189" i="32"/>
  <c r="G189" i="32" s="1"/>
  <c r="H189" i="32" s="1"/>
  <c r="E144" i="32"/>
  <c r="G144" i="32" s="1"/>
  <c r="H144" i="32" s="1"/>
  <c r="E148" i="32"/>
  <c r="G148" i="32" s="1"/>
  <c r="H148" i="32" s="1"/>
  <c r="E334" i="32"/>
  <c r="G334" i="32" s="1"/>
  <c r="H334" i="32" s="1"/>
  <c r="E203" i="32"/>
  <c r="G203" i="32" s="1"/>
  <c r="H203" i="32" s="1"/>
  <c r="E215" i="32"/>
  <c r="G215" i="32" s="1"/>
  <c r="H215" i="32" s="1"/>
  <c r="E260" i="32"/>
  <c r="G260" i="32" s="1"/>
  <c r="H260" i="32" s="1"/>
  <c r="E294" i="32"/>
  <c r="G294" i="32" s="1"/>
  <c r="H294" i="32" s="1"/>
  <c r="E221" i="32"/>
  <c r="G221" i="32" s="1"/>
  <c r="H221" i="32" s="1"/>
  <c r="E350" i="32"/>
  <c r="G350" i="32" s="1"/>
  <c r="H350" i="32" s="1"/>
  <c r="E98" i="32"/>
  <c r="G98" i="32" s="1"/>
  <c r="H98" i="32" s="1"/>
  <c r="E102" i="32"/>
  <c r="G102" i="32" s="1"/>
  <c r="H102" i="32" s="1"/>
  <c r="E247" i="32"/>
  <c r="G247" i="32" s="1"/>
  <c r="H247" i="32" s="1"/>
  <c r="E314" i="32"/>
  <c r="G314" i="32" s="1"/>
  <c r="H314" i="32" s="1"/>
  <c r="E23" i="32"/>
  <c r="E16" i="32"/>
  <c r="E321" i="32"/>
  <c r="G321" i="32" s="1"/>
  <c r="H321" i="32" s="1"/>
  <c r="E168" i="32"/>
  <c r="G168" i="32" s="1"/>
  <c r="H168" i="32" s="1"/>
  <c r="E10" i="32"/>
  <c r="E15" i="32"/>
  <c r="E199" i="32"/>
  <c r="G199" i="32" s="1"/>
  <c r="H199" i="32" s="1"/>
  <c r="E154" i="32"/>
  <c r="G154" i="32" s="1"/>
  <c r="H154" i="32" s="1"/>
  <c r="E25" i="32"/>
  <c r="E19" i="32"/>
  <c r="E192" i="32"/>
  <c r="G192" i="32" s="1"/>
  <c r="H192" i="32" s="1"/>
  <c r="E271" i="32"/>
  <c r="G271" i="32" s="1"/>
  <c r="H271" i="32" s="1"/>
  <c r="E175" i="32"/>
  <c r="G175" i="32" s="1"/>
  <c r="H175" i="32" s="1"/>
  <c r="E361" i="32"/>
  <c r="G361" i="32" s="1"/>
  <c r="H361" i="32" s="1"/>
  <c r="E360" i="32"/>
  <c r="G360" i="32" s="1"/>
  <c r="H360" i="32" s="1"/>
  <c r="E142" i="32"/>
  <c r="G142" i="32" s="1"/>
  <c r="H142" i="32" s="1"/>
  <c r="E198" i="32"/>
  <c r="G198" i="32" s="1"/>
  <c r="H198" i="32" s="1"/>
  <c r="E186" i="32"/>
  <c r="G186" i="32" s="1"/>
  <c r="H186" i="32" s="1"/>
  <c r="E88" i="32"/>
  <c r="G88" i="32" s="1"/>
  <c r="H88" i="32" s="1"/>
  <c r="E366" i="32"/>
  <c r="G366" i="32" s="1"/>
  <c r="H366" i="32" s="1"/>
  <c r="E38" i="32"/>
  <c r="E233" i="32"/>
  <c r="G233" i="32" s="1"/>
  <c r="H233" i="32" s="1"/>
  <c r="E153" i="32"/>
  <c r="G153" i="32" s="1"/>
  <c r="H153" i="32" s="1"/>
  <c r="E280" i="32"/>
  <c r="G280" i="32" s="1"/>
  <c r="H280" i="32" s="1"/>
  <c r="E346" i="32"/>
  <c r="G346" i="32" s="1"/>
  <c r="H346" i="32" s="1"/>
  <c r="E20" i="32"/>
  <c r="E75" i="32"/>
  <c r="E112" i="32"/>
  <c r="G112" i="32" s="1"/>
  <c r="H112" i="32" s="1"/>
  <c r="E272" i="32"/>
  <c r="G272" i="32" s="1"/>
  <c r="H272" i="32" s="1"/>
  <c r="E177" i="32"/>
  <c r="G177" i="32" s="1"/>
  <c r="H177" i="32" s="1"/>
  <c r="E244" i="32"/>
  <c r="G244" i="32" s="1"/>
  <c r="H244" i="32" s="1"/>
  <c r="E69" i="32"/>
  <c r="E256" i="32"/>
  <c r="G256" i="32" s="1"/>
  <c r="H256" i="32" s="1"/>
  <c r="E71" i="32"/>
  <c r="E128" i="32"/>
  <c r="G128" i="32" s="1"/>
  <c r="H128" i="32" s="1"/>
  <c r="E307" i="32"/>
  <c r="G307" i="32" s="1"/>
  <c r="H307" i="32" s="1"/>
  <c r="E245" i="32"/>
  <c r="G245" i="32" s="1"/>
  <c r="H245" i="32" s="1"/>
  <c r="E291" i="32"/>
  <c r="G291" i="32" s="1"/>
  <c r="H291" i="32" s="1"/>
  <c r="E315" i="32"/>
  <c r="G315" i="32" s="1"/>
  <c r="H315" i="32" s="1"/>
  <c r="E196" i="32"/>
  <c r="G196" i="32" s="1"/>
  <c r="H196" i="32" s="1"/>
  <c r="E212" i="32"/>
  <c r="G212" i="32" s="1"/>
  <c r="H212" i="32" s="1"/>
  <c r="E325" i="32"/>
  <c r="G325" i="32" s="1"/>
  <c r="H325" i="32" s="1"/>
  <c r="E347" i="32"/>
  <c r="G347" i="32" s="1"/>
  <c r="H347" i="32" s="1"/>
  <c r="E13" i="32"/>
  <c r="E329" i="32"/>
  <c r="G329" i="32" s="1"/>
  <c r="H329" i="32" s="1"/>
  <c r="E143" i="32"/>
  <c r="G143" i="32" s="1"/>
  <c r="H143" i="32" s="1"/>
  <c r="E47" i="32"/>
  <c r="E96" i="32"/>
  <c r="G96" i="32" s="1"/>
  <c r="H96" i="32" s="1"/>
  <c r="E202" i="32"/>
  <c r="G202" i="32" s="1"/>
  <c r="H202" i="32" s="1"/>
  <c r="E187" i="32"/>
  <c r="G187" i="32" s="1"/>
  <c r="H187" i="32" s="1"/>
  <c r="E141" i="32"/>
  <c r="G141" i="32" s="1"/>
  <c r="H141" i="32" s="1"/>
  <c r="E301" i="32"/>
  <c r="G301" i="32" s="1"/>
  <c r="H301" i="32" s="1"/>
  <c r="E342" i="32"/>
  <c r="G342" i="32" s="1"/>
  <c r="H342" i="32" s="1"/>
  <c r="E21" i="32"/>
  <c r="E92" i="32"/>
  <c r="G92" i="32" s="1"/>
  <c r="H92" i="32" s="1"/>
  <c r="E195" i="32"/>
  <c r="G195" i="32" s="1"/>
  <c r="H195" i="32" s="1"/>
  <c r="E331" i="32"/>
  <c r="G331" i="32" s="1"/>
  <c r="H331" i="32" s="1"/>
  <c r="E66" i="32"/>
  <c r="E320" i="32"/>
  <c r="G320" i="32" s="1"/>
  <c r="H320" i="32" s="1"/>
  <c r="E137" i="32"/>
  <c r="G137" i="32" s="1"/>
  <c r="H137" i="32" s="1"/>
  <c r="E85" i="32"/>
  <c r="G85" i="32" s="1"/>
  <c r="H85" i="32" s="1"/>
  <c r="E333" i="32"/>
  <c r="G333" i="32" s="1"/>
  <c r="H333" i="32" s="1"/>
  <c r="E120" i="32"/>
  <c r="G120" i="32" s="1"/>
  <c r="H120" i="32" s="1"/>
  <c r="E306" i="32"/>
  <c r="G306" i="32" s="1"/>
  <c r="H306" i="32" s="1"/>
  <c r="E184" i="32"/>
  <c r="G184" i="32" s="1"/>
  <c r="H184" i="32" s="1"/>
  <c r="E249" i="32"/>
  <c r="G249" i="32" s="1"/>
  <c r="H249" i="32" s="1"/>
  <c r="E300" i="32"/>
  <c r="G300" i="32" s="1"/>
  <c r="H300" i="32" s="1"/>
  <c r="E152" i="32"/>
  <c r="G152" i="32" s="1"/>
  <c r="H152" i="32" s="1"/>
  <c r="E262" i="32"/>
  <c r="G262" i="32" s="1"/>
  <c r="H262" i="32" s="1"/>
  <c r="E362" i="32"/>
  <c r="G362" i="32" s="1"/>
  <c r="H362" i="32" s="1"/>
  <c r="E219" i="32"/>
  <c r="G219" i="32" s="1"/>
  <c r="H219" i="32" s="1"/>
  <c r="E309" i="32"/>
  <c r="G309" i="32" s="1"/>
  <c r="H309" i="32" s="1"/>
  <c r="E12" i="32"/>
  <c r="E34" i="32"/>
  <c r="E107" i="32"/>
  <c r="G107" i="32" s="1"/>
  <c r="H107" i="32" s="1"/>
  <c r="E115" i="32"/>
  <c r="G115" i="32" s="1"/>
  <c r="H115" i="32" s="1"/>
  <c r="E275" i="32"/>
  <c r="G275" i="32" s="1"/>
  <c r="H275" i="32" s="1"/>
  <c r="E124" i="32"/>
  <c r="G124" i="32" s="1"/>
  <c r="H124" i="32" s="1"/>
  <c r="E207" i="32"/>
  <c r="G207" i="32" s="1"/>
  <c r="H207" i="32" s="1"/>
  <c r="E220" i="32"/>
  <c r="G220" i="32" s="1"/>
  <c r="H220" i="32" s="1"/>
  <c r="E146" i="32"/>
  <c r="G146" i="32" s="1"/>
  <c r="H146" i="32" s="1"/>
  <c r="E123" i="32"/>
  <c r="G123" i="32" s="1"/>
  <c r="H123" i="32" s="1"/>
  <c r="E166" i="32"/>
  <c r="G166" i="32" s="1"/>
  <c r="H166" i="32" s="1"/>
  <c r="E131" i="32"/>
  <c r="G131" i="32" s="1"/>
  <c r="H131" i="32" s="1"/>
  <c r="E103" i="32"/>
  <c r="G103" i="32" s="1"/>
  <c r="H103" i="32" s="1"/>
  <c r="E239" i="32"/>
  <c r="G239" i="32" s="1"/>
  <c r="H239" i="32" s="1"/>
  <c r="E344" i="32"/>
  <c r="G344" i="32" s="1"/>
  <c r="H344" i="32" s="1"/>
  <c r="E87" i="32"/>
  <c r="G87" i="32" s="1"/>
  <c r="H87" i="32" s="1"/>
  <c r="E364" i="32"/>
  <c r="G364" i="32" s="1"/>
  <c r="H364" i="32" s="1"/>
  <c r="E172" i="32"/>
  <c r="G172" i="32" s="1"/>
  <c r="H172" i="32" s="1"/>
  <c r="E310" i="32"/>
  <c r="G310" i="32" s="1"/>
  <c r="H310" i="32" s="1"/>
  <c r="E22" i="32"/>
  <c r="E324" i="32"/>
  <c r="G324" i="32" s="1"/>
  <c r="H324" i="32" s="1"/>
  <c r="E135" i="32"/>
  <c r="G135" i="32" s="1"/>
  <c r="H135" i="32" s="1"/>
  <c r="E288" i="32"/>
  <c r="G288" i="32" s="1"/>
  <c r="H288" i="32" s="1"/>
  <c r="E130" i="32"/>
  <c r="G130" i="32" s="1"/>
  <c r="H130" i="32" s="1"/>
  <c r="E194" i="32"/>
  <c r="G194" i="32" s="1"/>
  <c r="H194" i="32" s="1"/>
  <c r="E232" i="32"/>
  <c r="G232" i="32" s="1"/>
  <c r="H232" i="32" s="1"/>
  <c r="E311" i="32"/>
  <c r="G311" i="32" s="1"/>
  <c r="H311" i="32" s="1"/>
  <c r="E365" i="32"/>
  <c r="G365" i="32" s="1"/>
  <c r="H365" i="32" s="1"/>
  <c r="E155" i="32"/>
  <c r="G155" i="32" s="1"/>
  <c r="H155" i="32" s="1"/>
  <c r="E216" i="32"/>
  <c r="G216" i="32" s="1"/>
  <c r="H216" i="32" s="1"/>
  <c r="E343" i="32"/>
  <c r="G343" i="32" s="1"/>
  <c r="H343" i="32" s="1"/>
  <c r="E82" i="32"/>
  <c r="G82" i="32" s="1"/>
  <c r="H82" i="32" s="1"/>
  <c r="E318" i="32"/>
  <c r="G318" i="32" s="1"/>
  <c r="H318" i="32" s="1"/>
  <c r="E48" i="32"/>
  <c r="E116" i="32"/>
  <c r="G116" i="32" s="1"/>
  <c r="H116" i="32" s="1"/>
  <c r="E261" i="32"/>
  <c r="G261" i="32" s="1"/>
  <c r="H261" i="32" s="1"/>
  <c r="E248" i="32"/>
  <c r="G248" i="32" s="1"/>
  <c r="H248" i="32" s="1"/>
  <c r="E73" i="32"/>
  <c r="E284" i="32"/>
  <c r="G284" i="32" s="1"/>
  <c r="H284" i="32" s="1"/>
  <c r="E241" i="32"/>
  <c r="G241" i="32" s="1"/>
  <c r="H241" i="32" s="1"/>
  <c r="E254" i="32"/>
  <c r="G254" i="32" s="1"/>
  <c r="H254" i="32" s="1"/>
  <c r="E339" i="32"/>
  <c r="G339" i="32" s="1"/>
  <c r="H339" i="32" s="1"/>
  <c r="E279" i="32"/>
  <c r="G279" i="32" s="1"/>
  <c r="H279" i="32" s="1"/>
  <c r="E297" i="32"/>
  <c r="G297" i="32" s="1"/>
  <c r="H297" i="32" s="1"/>
  <c r="E68" i="32"/>
  <c r="E94" i="32"/>
  <c r="G94" i="32" s="1"/>
  <c r="H94" i="32" s="1"/>
  <c r="E160" i="32"/>
  <c r="G160" i="32" s="1"/>
  <c r="H160" i="32" s="1"/>
  <c r="E209" i="32"/>
  <c r="G209" i="32" s="1"/>
  <c r="H209" i="32" s="1"/>
  <c r="E211" i="32"/>
  <c r="G211" i="32" s="1"/>
  <c r="H211" i="32" s="1"/>
  <c r="E147" i="32"/>
  <c r="G147" i="32" s="1"/>
  <c r="H147" i="32" s="1"/>
  <c r="E340" i="32"/>
  <c r="G340" i="32" s="1"/>
  <c r="H340" i="32" s="1"/>
  <c r="E117" i="32"/>
  <c r="G117" i="32" s="1"/>
  <c r="H117" i="32" s="1"/>
  <c r="E104" i="32"/>
  <c r="G104" i="32" s="1"/>
  <c r="H104" i="32" s="1"/>
  <c r="E114" i="32"/>
  <c r="G114" i="32" s="1"/>
  <c r="H114" i="32" s="1"/>
  <c r="E129" i="32"/>
  <c r="G129" i="32" s="1"/>
  <c r="H129" i="32" s="1"/>
  <c r="E126" i="32"/>
  <c r="G126" i="32" s="1"/>
  <c r="H126" i="32" s="1"/>
  <c r="E258" i="32"/>
  <c r="G258" i="32" s="1"/>
  <c r="H258" i="32" s="1"/>
  <c r="E97" i="32"/>
  <c r="G97" i="32" s="1"/>
  <c r="H97" i="32" s="1"/>
  <c r="E170" i="32"/>
  <c r="G170" i="32" s="1"/>
  <c r="H170" i="32" s="1"/>
  <c r="E268" i="32"/>
  <c r="G268" i="32" s="1"/>
  <c r="H268" i="32" s="1"/>
  <c r="E266" i="32"/>
  <c r="G266" i="32" s="1"/>
  <c r="H266" i="32" s="1"/>
  <c r="E332" i="32"/>
  <c r="G332" i="32" s="1"/>
  <c r="H332" i="32" s="1"/>
  <c r="E285" i="32"/>
  <c r="G285" i="32" s="1"/>
  <c r="H285" i="32" s="1"/>
  <c r="E65" i="32"/>
  <c r="E323" i="32"/>
  <c r="G323" i="32" s="1"/>
  <c r="H323" i="32" s="1"/>
  <c r="E43" i="32"/>
  <c r="E358" i="32"/>
  <c r="G358" i="32" s="1"/>
  <c r="H358" i="32" s="1"/>
  <c r="E222" i="32"/>
  <c r="G222" i="32" s="1"/>
  <c r="H222" i="32" s="1"/>
  <c r="E183" i="32"/>
  <c r="G183" i="32" s="1"/>
  <c r="H183" i="32" s="1"/>
  <c r="E182" i="32"/>
  <c r="G182" i="32" s="1"/>
  <c r="H182" i="32" s="1"/>
  <c r="E111" i="32"/>
  <c r="G111" i="32" s="1"/>
  <c r="H111" i="32" s="1"/>
  <c r="E341" i="32"/>
  <c r="G341" i="32" s="1"/>
  <c r="H341" i="32" s="1"/>
  <c r="E255" i="32"/>
  <c r="G255" i="32" s="1"/>
  <c r="H255" i="32" s="1"/>
  <c r="E338" i="32"/>
  <c r="G338" i="32" s="1"/>
  <c r="H338" i="32" s="1"/>
  <c r="E27" i="32"/>
  <c r="E101" i="32"/>
  <c r="G101" i="32" s="1"/>
  <c r="H101" i="32" s="1"/>
  <c r="E259" i="32"/>
  <c r="G259" i="32" s="1"/>
  <c r="H259" i="32" s="1"/>
  <c r="E90" i="32"/>
  <c r="G90" i="32" s="1"/>
  <c r="H90" i="32" s="1"/>
  <c r="E140" i="32"/>
  <c r="G140" i="32" s="1"/>
  <c r="H140" i="32" s="1"/>
  <c r="E210" i="32"/>
  <c r="G210" i="32" s="1"/>
  <c r="H210" i="32" s="1"/>
  <c r="E138" i="32"/>
  <c r="G138" i="32" s="1"/>
  <c r="H138" i="32" s="1"/>
  <c r="E106" i="32"/>
  <c r="G106" i="32" s="1"/>
  <c r="H106" i="32" s="1"/>
  <c r="E295" i="32"/>
  <c r="G295" i="32" s="1"/>
  <c r="H295" i="32" s="1"/>
  <c r="E52" i="32"/>
  <c r="E354" i="32"/>
  <c r="G354" i="32" s="1"/>
  <c r="H354" i="32" s="1"/>
  <c r="E156" i="32"/>
  <c r="G156" i="32" s="1"/>
  <c r="H156" i="32" s="1"/>
  <c r="E134" i="32"/>
  <c r="G134" i="32" s="1"/>
  <c r="H134" i="32" s="1"/>
  <c r="E91" i="32"/>
  <c r="G91" i="32" s="1"/>
  <c r="H91" i="32" s="1"/>
  <c r="E64" i="32"/>
  <c r="E283" i="32"/>
  <c r="G283" i="32" s="1"/>
  <c r="H283" i="32" s="1"/>
  <c r="E162" i="32"/>
  <c r="G162" i="32" s="1"/>
  <c r="H162" i="32" s="1"/>
  <c r="E122" i="32"/>
  <c r="G122" i="32" s="1"/>
  <c r="H122" i="32" s="1"/>
  <c r="E42" i="32"/>
  <c r="E58" i="32"/>
  <c r="E158" i="32"/>
  <c r="G158" i="32" s="1"/>
  <c r="H158" i="32" s="1"/>
  <c r="E51" i="32"/>
  <c r="E234" i="32"/>
  <c r="G234" i="32" s="1"/>
  <c r="H234" i="32" s="1"/>
  <c r="E60" i="32"/>
  <c r="E351" i="32"/>
  <c r="G351" i="32" s="1"/>
  <c r="H351" i="32" s="1"/>
  <c r="E242" i="32"/>
  <c r="G242" i="32" s="1"/>
  <c r="H242" i="32" s="1"/>
  <c r="E67" i="32"/>
  <c r="E197" i="32"/>
  <c r="G197" i="32" s="1"/>
  <c r="H197" i="32" s="1"/>
  <c r="E72" i="32"/>
  <c r="E252" i="32"/>
  <c r="G252" i="32" s="1"/>
  <c r="H252" i="32" s="1"/>
  <c r="E74" i="32"/>
  <c r="E363" i="32"/>
  <c r="G363" i="32" s="1"/>
  <c r="H363" i="32" s="1"/>
  <c r="E57" i="32"/>
  <c r="E359" i="32"/>
  <c r="G359" i="32" s="1"/>
  <c r="H359" i="32" s="1"/>
  <c r="E226" i="32"/>
  <c r="G226" i="32" s="1"/>
  <c r="H226" i="32" s="1"/>
  <c r="E83" i="32"/>
  <c r="G83" i="32" s="1"/>
  <c r="H83" i="32" s="1"/>
  <c r="E133" i="32"/>
  <c r="G133" i="32" s="1"/>
  <c r="H133" i="32" s="1"/>
  <c r="E200" i="32"/>
  <c r="G200" i="32" s="1"/>
  <c r="H200" i="32" s="1"/>
  <c r="E171" i="32"/>
  <c r="G171" i="32" s="1"/>
  <c r="H171" i="32" s="1"/>
  <c r="E327" i="32"/>
  <c r="G327" i="32" s="1"/>
  <c r="H327" i="32" s="1"/>
  <c r="E322" i="32"/>
  <c r="G322" i="32" s="1"/>
  <c r="H322" i="32" s="1"/>
  <c r="E150" i="32"/>
  <c r="G150" i="32" s="1"/>
  <c r="H150" i="32" s="1"/>
  <c r="E174" i="32"/>
  <c r="G174" i="32" s="1"/>
  <c r="H174" i="32" s="1"/>
  <c r="E41" i="32"/>
  <c r="E225" i="32"/>
  <c r="G225" i="32" s="1"/>
  <c r="H225" i="32" s="1"/>
  <c r="E125" i="32"/>
  <c r="G125" i="32" s="1"/>
  <c r="H125" i="32" s="1"/>
  <c r="E76" i="32"/>
  <c r="E236" i="32"/>
  <c r="G236" i="32" s="1"/>
  <c r="H236" i="32" s="1"/>
  <c r="E188" i="32"/>
  <c r="G188" i="32" s="1"/>
  <c r="H188" i="32" s="1"/>
  <c r="E290" i="32"/>
  <c r="G290" i="32" s="1"/>
  <c r="H290" i="32" s="1"/>
  <c r="E355" i="32"/>
  <c r="G355" i="32" s="1"/>
  <c r="H355" i="32" s="1"/>
  <c r="E305" i="32"/>
  <c r="G305" i="32" s="1"/>
  <c r="H305" i="32" s="1"/>
  <c r="E313" i="32"/>
  <c r="G313" i="32" s="1"/>
  <c r="H313" i="32" s="1"/>
  <c r="E63" i="32"/>
  <c r="E269" i="32"/>
  <c r="G269" i="32" s="1"/>
  <c r="H269" i="32" s="1"/>
  <c r="E49" i="32"/>
  <c r="E28" i="32"/>
  <c r="E264" i="32"/>
  <c r="G264" i="32" s="1"/>
  <c r="H264" i="32" s="1"/>
  <c r="E289" i="32"/>
  <c r="G289" i="32" s="1"/>
  <c r="H289" i="32" s="1"/>
  <c r="E167" i="32"/>
  <c r="G167" i="32" s="1"/>
  <c r="H167" i="32" s="1"/>
  <c r="E173" i="32"/>
  <c r="G173" i="32" s="1"/>
  <c r="H173" i="32" s="1"/>
  <c r="E100" i="32"/>
  <c r="G100" i="32" s="1"/>
  <c r="H100" i="32" s="1"/>
  <c r="E328" i="32"/>
  <c r="G328" i="32" s="1"/>
  <c r="H328" i="32" s="1"/>
  <c r="E80" i="32"/>
  <c r="E132" i="32"/>
  <c r="G132" i="32" s="1"/>
  <c r="H132" i="32" s="1"/>
  <c r="E237" i="32"/>
  <c r="G237" i="32" s="1"/>
  <c r="H237" i="32" s="1"/>
  <c r="E293" i="32"/>
  <c r="G293" i="32" s="1"/>
  <c r="H293" i="32" s="1"/>
  <c r="E179" i="32"/>
  <c r="G179" i="32" s="1"/>
  <c r="H179" i="32" s="1"/>
  <c r="E296" i="32"/>
  <c r="G296" i="32" s="1"/>
  <c r="H296" i="32" s="1"/>
  <c r="E32" i="32"/>
  <c r="E89" i="32"/>
  <c r="G89" i="32" s="1"/>
  <c r="H89" i="32" s="1"/>
  <c r="E108" i="32"/>
  <c r="G108" i="32" s="1"/>
  <c r="H108" i="32" s="1"/>
  <c r="E298" i="32"/>
  <c r="G298" i="32" s="1"/>
  <c r="H298" i="32" s="1"/>
  <c r="E105" i="32"/>
  <c r="G105" i="32" s="1"/>
  <c r="H105" i="32" s="1"/>
  <c r="E349" i="32"/>
  <c r="G349" i="32" s="1"/>
  <c r="H349" i="32" s="1"/>
  <c r="E229" i="32"/>
  <c r="G229" i="32" s="1"/>
  <c r="H229" i="32" s="1"/>
  <c r="E181" i="32"/>
  <c r="G181" i="32" s="1"/>
  <c r="H181" i="32" s="1"/>
  <c r="E345" i="32"/>
  <c r="G345" i="32" s="1"/>
  <c r="H345" i="32" s="1"/>
  <c r="E228" i="32"/>
  <c r="G228" i="32" s="1"/>
  <c r="H228" i="32" s="1"/>
  <c r="E357" i="32"/>
  <c r="G357" i="32" s="1"/>
  <c r="H357" i="32" s="1"/>
  <c r="E276" i="32"/>
  <c r="G276" i="32" s="1"/>
  <c r="H276" i="32" s="1"/>
  <c r="E352" i="32"/>
  <c r="G352" i="32" s="1"/>
  <c r="H352" i="32" s="1"/>
  <c r="E54" i="32"/>
  <c r="E86" i="32"/>
  <c r="G86" i="32" s="1"/>
  <c r="H86" i="32" s="1"/>
  <c r="E348" i="32"/>
  <c r="G348" i="32" s="1"/>
  <c r="H348" i="32" s="1"/>
  <c r="E165" i="32"/>
  <c r="G165" i="32" s="1"/>
  <c r="H165" i="32" s="1"/>
  <c r="E95" i="32"/>
  <c r="G95" i="32" s="1"/>
  <c r="H95" i="32" s="1"/>
  <c r="E263" i="32"/>
  <c r="G263" i="32" s="1"/>
  <c r="H263" i="32" s="1"/>
  <c r="E319" i="32"/>
  <c r="G319" i="32" s="1"/>
  <c r="H319" i="32" s="1"/>
  <c r="E353" i="32"/>
  <c r="G353" i="32" s="1"/>
  <c r="H353" i="32" s="1"/>
  <c r="E84" i="32"/>
  <c r="G84" i="32" s="1"/>
  <c r="H84" i="32" s="1"/>
  <c r="E251" i="32"/>
  <c r="G251" i="32" s="1"/>
  <c r="H251" i="32" s="1"/>
  <c r="E121" i="32"/>
  <c r="G121" i="32" s="1"/>
  <c r="H121" i="32" s="1"/>
  <c r="E139" i="32"/>
  <c r="G139" i="32" s="1"/>
  <c r="H139" i="32" s="1"/>
  <c r="E151" i="32"/>
  <c r="G151" i="32" s="1"/>
  <c r="H151" i="32" s="1"/>
  <c r="E45" i="32"/>
  <c r="E231" i="32"/>
  <c r="G231" i="32" s="1"/>
  <c r="H231" i="32" s="1"/>
  <c r="E208" i="32"/>
  <c r="G208" i="32" s="1"/>
  <c r="H208" i="32" s="1"/>
  <c r="E56" i="32"/>
  <c r="E356" i="32"/>
  <c r="G356" i="32" s="1"/>
  <c r="H356" i="32" s="1"/>
  <c r="E163" i="32"/>
  <c r="G163" i="32" s="1"/>
  <c r="H163" i="32" s="1"/>
  <c r="E330" i="32"/>
  <c r="G330" i="32" s="1"/>
  <c r="H330" i="32" s="1"/>
  <c r="E270" i="32"/>
  <c r="G270" i="32" s="1"/>
  <c r="H270" i="32" s="1"/>
  <c r="E78" i="32"/>
  <c r="E317" i="32"/>
  <c r="G317" i="32" s="1"/>
  <c r="H317" i="32" s="1"/>
  <c r="E180" i="32"/>
  <c r="G180" i="32" s="1"/>
  <c r="H180" i="32" s="1"/>
  <c r="E299" i="32"/>
  <c r="G299" i="32" s="1"/>
  <c r="H299" i="32" s="1"/>
  <c r="E243" i="32"/>
  <c r="G243" i="32" s="1"/>
  <c r="H243" i="32" s="1"/>
  <c r="E31" i="32"/>
  <c r="E46" i="32"/>
  <c r="E281" i="32"/>
  <c r="G281" i="32" s="1"/>
  <c r="H281" i="32" s="1"/>
  <c r="E240" i="32"/>
  <c r="G240" i="32" s="1"/>
  <c r="H240" i="32" s="1"/>
  <c r="E39" i="32"/>
  <c r="E218" i="32"/>
  <c r="G218" i="32" s="1"/>
  <c r="H218" i="32" s="1"/>
  <c r="E213" i="32"/>
  <c r="G213" i="32" s="1"/>
  <c r="H213" i="32" s="1"/>
  <c r="E246" i="32"/>
  <c r="G246" i="32" s="1"/>
  <c r="H246" i="32" s="1"/>
  <c r="E149" i="32"/>
  <c r="G149" i="32" s="1"/>
  <c r="H149" i="32" s="1"/>
  <c r="E113" i="32"/>
  <c r="G113" i="32" s="1"/>
  <c r="H113" i="32" s="1"/>
  <c r="E201" i="32"/>
  <c r="G201" i="32" s="1"/>
  <c r="H201" i="32" s="1"/>
  <c r="E109" i="32"/>
  <c r="G109" i="32" s="1"/>
  <c r="H109" i="32" s="1"/>
  <c r="E190" i="32"/>
  <c r="G190" i="32" s="1"/>
  <c r="H190" i="32" s="1"/>
  <c r="E159" i="32"/>
  <c r="G159" i="32" s="1"/>
  <c r="H159" i="32" s="1"/>
  <c r="E336" i="32"/>
  <c r="G336" i="32" s="1"/>
  <c r="H336" i="32" s="1"/>
  <c r="E316" i="32"/>
  <c r="G316" i="32" s="1"/>
  <c r="H316" i="32" s="1"/>
  <c r="E265" i="32"/>
  <c r="G265" i="32" s="1"/>
  <c r="H265" i="32" s="1"/>
  <c r="E217" i="32"/>
  <c r="G217" i="32" s="1"/>
  <c r="H217" i="32" s="1"/>
  <c r="E29" i="32"/>
  <c r="E206" i="32"/>
  <c r="G206" i="32" s="1"/>
  <c r="H206" i="32" s="1"/>
  <c r="E277" i="32"/>
  <c r="G277" i="32" s="1"/>
  <c r="H277" i="32" s="1"/>
  <c r="E185" i="32"/>
  <c r="G185" i="32" s="1"/>
  <c r="H185" i="32" s="1"/>
  <c r="E50" i="32"/>
  <c r="E304" i="32"/>
  <c r="G304" i="32" s="1"/>
  <c r="H304" i="32" s="1"/>
  <c r="E169" i="32"/>
  <c r="G169" i="32" s="1"/>
  <c r="H169" i="32" s="1"/>
  <c r="E62" i="32"/>
  <c r="E302" i="32"/>
  <c r="G302" i="32" s="1"/>
  <c r="H302" i="32" s="1"/>
  <c r="E40" i="32"/>
  <c r="E61" i="32"/>
  <c r="E44" i="32"/>
  <c r="E70" i="32"/>
  <c r="E193" i="32"/>
  <c r="G193" i="32" s="1"/>
  <c r="H193" i="32" s="1"/>
  <c r="E59" i="32"/>
  <c r="E274" i="32"/>
  <c r="G274" i="32" s="1"/>
  <c r="H274" i="32" s="1"/>
  <c r="E205" i="32"/>
  <c r="G205" i="32" s="1"/>
  <c r="H205" i="32" s="1"/>
  <c r="E53" i="32"/>
  <c r="E36" i="32"/>
  <c r="E337" i="32"/>
  <c r="G337" i="32" s="1"/>
  <c r="H337" i="32" s="1"/>
  <c r="E292" i="32"/>
  <c r="G292" i="32" s="1"/>
  <c r="H292" i="32" s="1"/>
  <c r="E157" i="32"/>
  <c r="G157" i="32" s="1"/>
  <c r="H157" i="32" s="1"/>
  <c r="E287" i="32"/>
  <c r="G287" i="32" s="1"/>
  <c r="H287" i="32" s="1"/>
  <c r="E253" i="32"/>
  <c r="G253" i="32" s="1"/>
  <c r="H253" i="32" s="1"/>
  <c r="E79" i="32"/>
  <c r="E273" i="32"/>
  <c r="G273" i="32" s="1"/>
  <c r="H273" i="32" s="1"/>
  <c r="E119" i="32"/>
  <c r="G119" i="32" s="1"/>
  <c r="H119" i="32" s="1"/>
  <c r="E37" i="32"/>
  <c r="E312" i="32"/>
  <c r="G312" i="32" s="1"/>
  <c r="H312" i="32" s="1"/>
  <c r="E227" i="32"/>
  <c r="G227" i="32" s="1"/>
  <c r="H227" i="32" s="1"/>
  <c r="E35" i="32"/>
  <c r="E30" i="32"/>
  <c r="E214" i="32"/>
  <c r="G214" i="32" s="1"/>
  <c r="H214" i="32" s="1"/>
  <c r="E250" i="32"/>
  <c r="G250" i="32" s="1"/>
  <c r="H250" i="32" s="1"/>
  <c r="E55" i="32"/>
  <c r="E178" i="32"/>
  <c r="G178" i="32" s="1"/>
  <c r="H178" i="32" s="1"/>
  <c r="E326" i="32"/>
  <c r="G326" i="32" s="1"/>
  <c r="H326" i="32" s="1"/>
  <c r="E77" i="32"/>
  <c r="E99" i="32"/>
  <c r="G99" i="32" s="1"/>
  <c r="H99" i="32" s="1"/>
  <c r="F9" i="32"/>
  <c r="E9" i="32"/>
  <c r="E33" i="32"/>
  <c r="CH101" i="5"/>
  <c r="CH86" i="5"/>
  <c r="CH105" i="5" s="1"/>
  <c r="CH142" i="5"/>
  <c r="CH127" i="5"/>
  <c r="CH58" i="5"/>
  <c r="CH59" i="5" s="1"/>
  <c r="CI52" i="5" s="1"/>
  <c r="N113" i="5" l="1"/>
  <c r="N117" i="5" s="1"/>
  <c r="N155" i="5" s="1"/>
  <c r="N156" i="5" s="1"/>
  <c r="M118" i="5"/>
  <c r="DD66" i="5"/>
  <c r="DA45" i="5"/>
  <c r="M130" i="5"/>
  <c r="M131" i="5" s="1"/>
  <c r="M145" i="5"/>
  <c r="M146" i="5" s="1"/>
  <c r="M161" i="5" s="1"/>
  <c r="O102" i="5"/>
  <c r="O128" i="5"/>
  <c r="O143" i="5"/>
  <c r="O92" i="5"/>
  <c r="O153" i="5" s="1"/>
  <c r="O89" i="5"/>
  <c r="O87" i="5"/>
  <c r="P79" i="5" s="1"/>
  <c r="DE35" i="5"/>
  <c r="G9" i="32"/>
  <c r="H9" i="32" s="1"/>
  <c r="D10" i="32"/>
  <c r="CI53" i="5"/>
  <c r="N116" i="5" l="1"/>
  <c r="N118" i="5" s="1"/>
  <c r="O94" i="5"/>
  <c r="O103" i="5" s="1"/>
  <c r="O108" i="5" s="1"/>
  <c r="M157" i="5"/>
  <c r="DE44" i="5"/>
  <c r="DE124" i="5"/>
  <c r="DE139" i="5"/>
  <c r="DE39" i="5"/>
  <c r="DA55" i="5"/>
  <c r="DA67" i="5" s="1"/>
  <c r="DA82" i="5" s="1"/>
  <c r="DA100" i="5" s="1"/>
  <c r="DA125" i="5"/>
  <c r="DA140" i="5"/>
  <c r="DA49" i="5"/>
  <c r="DA152" i="5" s="1"/>
  <c r="DA47" i="5"/>
  <c r="DB42" i="5" s="1"/>
  <c r="P80" i="5"/>
  <c r="M167" i="5"/>
  <c r="DD81" i="5"/>
  <c r="DE37" i="5"/>
  <c r="DF33" i="5" s="1"/>
  <c r="F10" i="32"/>
  <c r="G10" i="32" s="1"/>
  <c r="H10" i="32" s="1"/>
  <c r="CI65" i="5"/>
  <c r="CI56" i="5"/>
  <c r="EC206" i="2"/>
  <c r="EC208" i="2" s="1"/>
  <c r="EC160" i="2"/>
  <c r="EC171" i="2" s="1"/>
  <c r="N145" i="5" l="1"/>
  <c r="N146" i="5" s="1"/>
  <c r="N157" i="5" s="1"/>
  <c r="N130" i="5"/>
  <c r="N131" i="5" s="1"/>
  <c r="O106" i="5"/>
  <c r="P97" i="5" s="1"/>
  <c r="DF34" i="5"/>
  <c r="P84" i="5"/>
  <c r="DB43" i="5"/>
  <c r="O129" i="5"/>
  <c r="O144" i="5"/>
  <c r="O111" i="5"/>
  <c r="O154" i="5" s="1"/>
  <c r="DD99" i="5"/>
  <c r="DE54" i="5"/>
  <c r="D11" i="32"/>
  <c r="CI68" i="5"/>
  <c r="CI141" i="5"/>
  <c r="CI126" i="5"/>
  <c r="CI61" i="5"/>
  <c r="N161" i="5" l="1"/>
  <c r="N167" i="5"/>
  <c r="P92" i="5"/>
  <c r="P153" i="5" s="1"/>
  <c r="P128" i="5"/>
  <c r="P143" i="5"/>
  <c r="P89" i="5"/>
  <c r="P102" i="5"/>
  <c r="P87" i="5"/>
  <c r="Q79" i="5" s="1"/>
  <c r="DB45" i="5"/>
  <c r="DF35" i="5"/>
  <c r="DF37" i="5" s="1"/>
  <c r="DG33" i="5" s="1"/>
  <c r="DE66" i="5"/>
  <c r="O113" i="5"/>
  <c r="P98" i="5"/>
  <c r="CI70" i="5"/>
  <c r="CI73" i="5" s="1"/>
  <c r="F11" i="32"/>
  <c r="G11" i="32" s="1"/>
  <c r="H11" i="32" s="1"/>
  <c r="CI83" i="5"/>
  <c r="ED206" i="2"/>
  <c r="ED208" i="2" s="1"/>
  <c r="ED160" i="2"/>
  <c r="ED171" i="2" s="1"/>
  <c r="P94" i="5" l="1"/>
  <c r="P103" i="5" s="1"/>
  <c r="P106" i="5" s="1"/>
  <c r="Q97" i="5" s="1"/>
  <c r="Q80" i="5"/>
  <c r="O116" i="5"/>
  <c r="O117" i="5"/>
  <c r="O155" i="5" s="1"/>
  <c r="O156" i="5" s="1"/>
  <c r="DG34" i="5"/>
  <c r="DE81" i="5"/>
  <c r="DB125" i="5"/>
  <c r="DB49" i="5"/>
  <c r="DB152" i="5" s="1"/>
  <c r="DB140" i="5"/>
  <c r="DB55" i="5"/>
  <c r="DB67" i="5" s="1"/>
  <c r="DB82" i="5" s="1"/>
  <c r="DB100" i="5" s="1"/>
  <c r="DB47" i="5"/>
  <c r="DC42" i="5" s="1"/>
  <c r="DF44" i="5"/>
  <c r="DF54" i="5" s="1"/>
  <c r="DF66" i="5" s="1"/>
  <c r="DF81" i="5" s="1"/>
  <c r="DF99" i="5" s="1"/>
  <c r="DF124" i="5"/>
  <c r="DF139" i="5"/>
  <c r="DF39" i="5"/>
  <c r="CI101" i="5"/>
  <c r="D12" i="32"/>
  <c r="CI86" i="5"/>
  <c r="CI105" i="5" s="1"/>
  <c r="CI127" i="5"/>
  <c r="CI142" i="5"/>
  <c r="CI58" i="5"/>
  <c r="CI59" i="5" s="1"/>
  <c r="CJ52" i="5" s="1"/>
  <c r="CI71" i="5"/>
  <c r="CJ64" i="5" s="1"/>
  <c r="CI76" i="5"/>
  <c r="P111" i="5" l="1"/>
  <c r="P154" i="5" s="1"/>
  <c r="P129" i="5"/>
  <c r="P108" i="5"/>
  <c r="P144" i="5"/>
  <c r="O118" i="5"/>
  <c r="DG35" i="5"/>
  <c r="DG37" i="5" s="1"/>
  <c r="DH33" i="5" s="1"/>
  <c r="O130" i="5"/>
  <c r="O131" i="5" s="1"/>
  <c r="O145" i="5"/>
  <c r="O146" i="5" s="1"/>
  <c r="O157" i="5" s="1"/>
  <c r="DE99" i="5"/>
  <c r="Q84" i="5"/>
  <c r="DC43" i="5"/>
  <c r="Q98" i="5"/>
  <c r="EE206" i="2"/>
  <c r="EE208" i="2" s="1"/>
  <c r="EE160" i="2"/>
  <c r="EE171" i="2" s="1"/>
  <c r="CJ53" i="5"/>
  <c r="F12" i="32"/>
  <c r="G12" i="32" s="1"/>
  <c r="H12" i="32" s="1"/>
  <c r="P113" i="5" l="1"/>
  <c r="P116" i="5" s="1"/>
  <c r="Q128" i="5"/>
  <c r="Q89" i="5"/>
  <c r="Q92" i="5"/>
  <c r="Q153" i="5" s="1"/>
  <c r="Q102" i="5"/>
  <c r="Q143" i="5"/>
  <c r="Q87" i="5"/>
  <c r="R79" i="5" s="1"/>
  <c r="DC45" i="5"/>
  <c r="DH34" i="5"/>
  <c r="O167" i="5"/>
  <c r="DG39" i="5"/>
  <c r="DG139" i="5"/>
  <c r="DG124" i="5"/>
  <c r="DG44" i="5"/>
  <c r="DG54" i="5" s="1"/>
  <c r="DG66" i="5" s="1"/>
  <c r="DG81" i="5" s="1"/>
  <c r="DG99" i="5" s="1"/>
  <c r="O161" i="5"/>
  <c r="CJ65" i="5"/>
  <c r="CJ56" i="5"/>
  <c r="D13" i="32"/>
  <c r="Q94" i="5" l="1"/>
  <c r="Q103" i="5" s="1"/>
  <c r="Q106" i="5" s="1"/>
  <c r="R97" i="5" s="1"/>
  <c r="P117" i="5"/>
  <c r="P155" i="5" s="1"/>
  <c r="P156" i="5" s="1"/>
  <c r="R80" i="5"/>
  <c r="DH35" i="5"/>
  <c r="P145" i="5"/>
  <c r="P146" i="5" s="1"/>
  <c r="P130" i="5"/>
  <c r="P131" i="5" s="1"/>
  <c r="DC49" i="5"/>
  <c r="DC140" i="5"/>
  <c r="DC55" i="5"/>
  <c r="DC125" i="5"/>
  <c r="DC47" i="5"/>
  <c r="DD42" i="5" s="1"/>
  <c r="F13" i="32"/>
  <c r="G13" i="32" s="1"/>
  <c r="H13" i="32" s="1"/>
  <c r="CJ141" i="5"/>
  <c r="CJ68" i="5"/>
  <c r="CJ126" i="5"/>
  <c r="CJ61" i="5"/>
  <c r="EF206" i="2"/>
  <c r="EF208" i="2" s="1"/>
  <c r="EF160" i="2"/>
  <c r="EF171" i="2" s="1"/>
  <c r="P161" i="5" l="1"/>
  <c r="P118" i="5"/>
  <c r="Q108" i="5"/>
  <c r="P167" i="5"/>
  <c r="DD43" i="5"/>
  <c r="P157" i="5"/>
  <c r="DH39" i="5"/>
  <c r="DH139" i="5"/>
  <c r="DH124" i="5"/>
  <c r="DH44" i="5"/>
  <c r="DH54" i="5" s="1"/>
  <c r="DH66" i="5" s="1"/>
  <c r="DH81" i="5" s="1"/>
  <c r="DH99" i="5" s="1"/>
  <c r="Q129" i="5"/>
  <c r="Q111" i="5"/>
  <c r="Q144" i="5"/>
  <c r="DC152" i="5"/>
  <c r="R84" i="5"/>
  <c r="DC67" i="5"/>
  <c r="R98" i="5"/>
  <c r="DH37" i="5"/>
  <c r="DI33" i="5" s="1"/>
  <c r="CJ83" i="5"/>
  <c r="D14" i="32"/>
  <c r="CJ70" i="5"/>
  <c r="CJ76" i="5" s="1"/>
  <c r="DI34" i="5" l="1"/>
  <c r="R89" i="5"/>
  <c r="R128" i="5"/>
  <c r="R102" i="5"/>
  <c r="R143" i="5"/>
  <c r="R92" i="5"/>
  <c r="R153" i="5" s="1"/>
  <c r="R87" i="5"/>
  <c r="S79" i="5" s="1"/>
  <c r="Q154" i="5"/>
  <c r="Q113" i="5"/>
  <c r="DD45" i="5"/>
  <c r="DC82" i="5"/>
  <c r="F14" i="32"/>
  <c r="G14" i="32" s="1"/>
  <c r="H14" i="32" s="1"/>
  <c r="CJ101" i="5"/>
  <c r="CJ142" i="5"/>
  <c r="CJ86" i="5"/>
  <c r="CJ105" i="5" s="1"/>
  <c r="CJ127" i="5"/>
  <c r="CJ58" i="5"/>
  <c r="CJ59" i="5" s="1"/>
  <c r="CK52" i="5" s="1"/>
  <c r="CK53" i="5" s="1"/>
  <c r="CJ71" i="5"/>
  <c r="CK64" i="5" s="1"/>
  <c r="EG206" i="2"/>
  <c r="EG208" i="2" s="1"/>
  <c r="EG160" i="2"/>
  <c r="EG171" i="2" s="1"/>
  <c r="CJ73" i="5"/>
  <c r="DI35" i="5" l="1"/>
  <c r="DI37" i="5" s="1"/>
  <c r="DJ33" i="5" s="1"/>
  <c r="DC100" i="5"/>
  <c r="S80" i="5"/>
  <c r="R94" i="5"/>
  <c r="DD49" i="5"/>
  <c r="DD55" i="5"/>
  <c r="DD125" i="5"/>
  <c r="DD140" i="5"/>
  <c r="DD47" i="5"/>
  <c r="DE42" i="5" s="1"/>
  <c r="Q116" i="5"/>
  <c r="Q117" i="5"/>
  <c r="Q155" i="5" s="1"/>
  <c r="Q156" i="5" s="1"/>
  <c r="CK65" i="5"/>
  <c r="CK56" i="5"/>
  <c r="D15" i="32"/>
  <c r="DJ34" i="5" l="1"/>
  <c r="DI44" i="5"/>
  <c r="DI54" i="5" s="1"/>
  <c r="DI66" i="5" s="1"/>
  <c r="DI81" i="5" s="1"/>
  <c r="DI99" i="5" s="1"/>
  <c r="DI39" i="5"/>
  <c r="DI124" i="5"/>
  <c r="DI139" i="5"/>
  <c r="Q118" i="5"/>
  <c r="DD67" i="5"/>
  <c r="DD152" i="5"/>
  <c r="S84" i="5"/>
  <c r="DE43" i="5"/>
  <c r="Q145" i="5"/>
  <c r="Q146" i="5" s="1"/>
  <c r="Q161" i="5" s="1"/>
  <c r="Q130" i="5"/>
  <c r="Q131" i="5" s="1"/>
  <c r="R103" i="5"/>
  <c r="CK126" i="5"/>
  <c r="CK61" i="5"/>
  <c r="CK68" i="5"/>
  <c r="CK141" i="5"/>
  <c r="EH206" i="2"/>
  <c r="EH208" i="2" s="1"/>
  <c r="EH160" i="2"/>
  <c r="EH171" i="2" s="1"/>
  <c r="F15" i="32"/>
  <c r="G15" i="32" s="1"/>
  <c r="H15" i="32" s="1"/>
  <c r="G34" i="5" l="1"/>
  <c r="DJ35" i="5"/>
  <c r="DE45" i="5"/>
  <c r="Q157" i="5"/>
  <c r="R129" i="5"/>
  <c r="R144" i="5"/>
  <c r="R111" i="5"/>
  <c r="R106" i="5"/>
  <c r="S97" i="5" s="1"/>
  <c r="R108" i="5"/>
  <c r="Q167" i="5"/>
  <c r="S143" i="5"/>
  <c r="S128" i="5"/>
  <c r="S89" i="5"/>
  <c r="S102" i="5"/>
  <c r="S92" i="5"/>
  <c r="S153" i="5" s="1"/>
  <c r="S87" i="5"/>
  <c r="T79" i="5" s="1"/>
  <c r="DD82" i="5"/>
  <c r="CK83" i="5"/>
  <c r="CK101" i="5" s="1"/>
  <c r="CK70" i="5"/>
  <c r="CK76" i="5" s="1"/>
  <c r="D16" i="32"/>
  <c r="DK35" i="5" l="1"/>
  <c r="DL35" i="5" s="1"/>
  <c r="DJ124" i="5"/>
  <c r="DJ39" i="5"/>
  <c r="DJ44" i="5"/>
  <c r="DJ54" i="5" s="1"/>
  <c r="DJ66" i="5" s="1"/>
  <c r="DJ81" i="5" s="1"/>
  <c r="DJ99" i="5" s="1"/>
  <c r="DJ139" i="5"/>
  <c r="DJ37" i="5"/>
  <c r="DK33" i="5" s="1"/>
  <c r="T80" i="5"/>
  <c r="S94" i="5"/>
  <c r="S98" i="5"/>
  <c r="R154" i="5"/>
  <c r="R113" i="5"/>
  <c r="DE49" i="5"/>
  <c r="DE125" i="5"/>
  <c r="DE140" i="5"/>
  <c r="DE55" i="5"/>
  <c r="DD100" i="5"/>
  <c r="DE47" i="5"/>
  <c r="DF42" i="5" s="1"/>
  <c r="CK73" i="5"/>
  <c r="CK58" i="5"/>
  <c r="CK59" i="5" s="1"/>
  <c r="CL52" i="5" s="1"/>
  <c r="CL53" i="5" s="1"/>
  <c r="CK86" i="5"/>
  <c r="CK105" i="5" s="1"/>
  <c r="CK142" i="5"/>
  <c r="CK127" i="5"/>
  <c r="CK71" i="5"/>
  <c r="CL64" i="5" s="1"/>
  <c r="F16" i="32"/>
  <c r="G16" i="32" s="1"/>
  <c r="H16" i="32" s="1"/>
  <c r="EI206" i="2"/>
  <c r="EI208" i="2" s="1"/>
  <c r="EI160" i="2"/>
  <c r="EI171" i="2" s="1"/>
  <c r="DK37" i="5" l="1"/>
  <c r="DL33" i="5" s="1"/>
  <c r="DL37" i="5" s="1"/>
  <c r="DM33" i="5" s="1"/>
  <c r="DL39" i="5"/>
  <c r="DL44" i="5"/>
  <c r="DL54" i="5" s="1"/>
  <c r="DL66" i="5" s="1"/>
  <c r="DL81" i="5" s="1"/>
  <c r="DL99" i="5" s="1"/>
  <c r="DL124" i="5"/>
  <c r="DL139" i="5"/>
  <c r="DK44" i="5"/>
  <c r="DK54" i="5" s="1"/>
  <c r="DK66" i="5" s="1"/>
  <c r="DK81" i="5" s="1"/>
  <c r="DK99" i="5" s="1"/>
  <c r="DK39" i="5"/>
  <c r="DK124" i="5"/>
  <c r="DK139" i="5"/>
  <c r="DM35" i="5"/>
  <c r="S103" i="5"/>
  <c r="DF43" i="5"/>
  <c r="DE152" i="5"/>
  <c r="T84" i="5"/>
  <c r="R117" i="5"/>
  <c r="R155" i="5" s="1"/>
  <c r="R156" i="5" s="1"/>
  <c r="R116" i="5"/>
  <c r="DE67" i="5"/>
  <c r="CL65" i="5"/>
  <c r="CL56" i="5"/>
  <c r="D17" i="32"/>
  <c r="DM37" i="5" l="1"/>
  <c r="DN33" i="5" s="1"/>
  <c r="DM44" i="5"/>
  <c r="DM54" i="5" s="1"/>
  <c r="DM66" i="5" s="1"/>
  <c r="DM81" i="5" s="1"/>
  <c r="DM99" i="5" s="1"/>
  <c r="DM139" i="5"/>
  <c r="DM39" i="5"/>
  <c r="DM124" i="5"/>
  <c r="DN35" i="5"/>
  <c r="R118" i="5"/>
  <c r="R145" i="5"/>
  <c r="R146" i="5" s="1"/>
  <c r="R161" i="5" s="1"/>
  <c r="R130" i="5"/>
  <c r="R131" i="5" s="1"/>
  <c r="DF45" i="5"/>
  <c r="DE82" i="5"/>
  <c r="S111" i="5"/>
  <c r="S154" i="5" s="1"/>
  <c r="S144" i="5"/>
  <c r="S129" i="5"/>
  <c r="S108" i="5"/>
  <c r="T92" i="5"/>
  <c r="T153" i="5" s="1"/>
  <c r="T89" i="5"/>
  <c r="T102" i="5"/>
  <c r="T143" i="5"/>
  <c r="T128" i="5"/>
  <c r="T87" i="5"/>
  <c r="U79" i="5" s="1"/>
  <c r="S106" i="5"/>
  <c r="T97" i="5" s="1"/>
  <c r="CL126" i="5"/>
  <c r="CL141" i="5"/>
  <c r="CL61" i="5"/>
  <c r="CL70" i="5" s="1"/>
  <c r="CL68" i="5"/>
  <c r="EJ206" i="2"/>
  <c r="EJ208" i="2" s="1"/>
  <c r="EJ160" i="2"/>
  <c r="EJ171" i="2" s="1"/>
  <c r="F17" i="32"/>
  <c r="G17" i="32" s="1"/>
  <c r="H17" i="32" s="1"/>
  <c r="DN37" i="5" l="1"/>
  <c r="DO33" i="5" s="1"/>
  <c r="DN139" i="5"/>
  <c r="DN44" i="5"/>
  <c r="DN54" i="5" s="1"/>
  <c r="DN66" i="5" s="1"/>
  <c r="DN81" i="5" s="1"/>
  <c r="DN99" i="5" s="1"/>
  <c r="DN124" i="5"/>
  <c r="DN39" i="5"/>
  <c r="DO35" i="5"/>
  <c r="R157" i="5"/>
  <c r="R167" i="5"/>
  <c r="T94" i="5"/>
  <c r="U80" i="5"/>
  <c r="DE100" i="5"/>
  <c r="S113" i="5"/>
  <c r="T98" i="5"/>
  <c r="DF140" i="5"/>
  <c r="DF49" i="5"/>
  <c r="DF55" i="5"/>
  <c r="DF125" i="5"/>
  <c r="DF47" i="5"/>
  <c r="DG42" i="5" s="1"/>
  <c r="CL83" i="5"/>
  <c r="CL101" i="5" s="1"/>
  <c r="CL73" i="5"/>
  <c r="CL71" i="5"/>
  <c r="CM64" i="5" s="1"/>
  <c r="CL76" i="5"/>
  <c r="CL142" i="5"/>
  <c r="CL127" i="5"/>
  <c r="CL86" i="5"/>
  <c r="CL105" i="5" s="1"/>
  <c r="CL58" i="5"/>
  <c r="CL59" i="5" s="1"/>
  <c r="CM52" i="5" s="1"/>
  <c r="CM53" i="5" s="1"/>
  <c r="D18" i="32"/>
  <c r="DP35" i="5" l="1"/>
  <c r="DO39" i="5"/>
  <c r="DO124" i="5"/>
  <c r="DO44" i="5"/>
  <c r="DO54" i="5" s="1"/>
  <c r="DO66" i="5" s="1"/>
  <c r="DO81" i="5" s="1"/>
  <c r="DO99" i="5" s="1"/>
  <c r="DO139" i="5"/>
  <c r="DO37" i="5"/>
  <c r="DP33" i="5" s="1"/>
  <c r="T103" i="5"/>
  <c r="T129" i="5" s="1"/>
  <c r="DG43" i="5"/>
  <c r="S117" i="5"/>
  <c r="S155" i="5" s="1"/>
  <c r="S156" i="5" s="1"/>
  <c r="S116" i="5"/>
  <c r="DF67" i="5"/>
  <c r="DF152" i="5"/>
  <c r="U84" i="5"/>
  <c r="CM65" i="5"/>
  <c r="CM56" i="5"/>
  <c r="EK206" i="2"/>
  <c r="EK208" i="2" s="1"/>
  <c r="EK160" i="2"/>
  <c r="EK171" i="2" s="1"/>
  <c r="F18" i="32"/>
  <c r="G18" i="32" s="1"/>
  <c r="H18" i="32" s="1"/>
  <c r="DP37" i="5" l="1"/>
  <c r="DQ33" i="5" s="1"/>
  <c r="DP124" i="5"/>
  <c r="DP39" i="5"/>
  <c r="DQ35" i="5"/>
  <c r="DP44" i="5"/>
  <c r="DP54" i="5" s="1"/>
  <c r="DP66" i="5" s="1"/>
  <c r="DP81" i="5" s="1"/>
  <c r="DP99" i="5" s="1"/>
  <c r="DP139" i="5"/>
  <c r="T111" i="5"/>
  <c r="T154" i="5" s="1"/>
  <c r="T106" i="5"/>
  <c r="U97" i="5" s="1"/>
  <c r="U98" i="5" s="1"/>
  <c r="T144" i="5"/>
  <c r="T108" i="5"/>
  <c r="S118" i="5"/>
  <c r="S145" i="5"/>
  <c r="S146" i="5" s="1"/>
  <c r="S161" i="5" s="1"/>
  <c r="S130" i="5"/>
  <c r="S131" i="5" s="1"/>
  <c r="U102" i="5"/>
  <c r="U143" i="5"/>
  <c r="U92" i="5"/>
  <c r="U153" i="5" s="1"/>
  <c r="U128" i="5"/>
  <c r="U89" i="5"/>
  <c r="U87" i="5"/>
  <c r="V79" i="5" s="1"/>
  <c r="DG45" i="5"/>
  <c r="DF82" i="5"/>
  <c r="CM126" i="5"/>
  <c r="CM68" i="5"/>
  <c r="CM83" i="5" s="1"/>
  <c r="CM101" i="5" s="1"/>
  <c r="CM141" i="5"/>
  <c r="CM61" i="5"/>
  <c r="D19" i="32"/>
  <c r="DQ39" i="5" l="1"/>
  <c r="DQ139" i="5"/>
  <c r="DQ124" i="5"/>
  <c r="DQ44" i="5"/>
  <c r="DQ54" i="5" s="1"/>
  <c r="DQ66" i="5" s="1"/>
  <c r="DQ81" i="5" s="1"/>
  <c r="DQ99" i="5" s="1"/>
  <c r="DQ37" i="5"/>
  <c r="DR33" i="5" s="1"/>
  <c r="DR35" i="5"/>
  <c r="T113" i="5"/>
  <c r="T116" i="5" s="1"/>
  <c r="T130" i="5" s="1"/>
  <c r="T131" i="5" s="1"/>
  <c r="S167" i="5"/>
  <c r="S157" i="5"/>
  <c r="V80" i="5"/>
  <c r="DF100" i="5"/>
  <c r="U94" i="5"/>
  <c r="DG55" i="5"/>
  <c r="DG125" i="5"/>
  <c r="DG140" i="5"/>
  <c r="DG49" i="5"/>
  <c r="DG47" i="5"/>
  <c r="DH42" i="5" s="1"/>
  <c r="CM70" i="5"/>
  <c r="F19" i="32"/>
  <c r="G19" i="32" s="1"/>
  <c r="H19" i="32" s="1"/>
  <c r="EL206" i="2"/>
  <c r="EL160" i="2"/>
  <c r="EL171" i="2" s="1"/>
  <c r="T117" i="5" l="1"/>
  <c r="T155" i="5" s="1"/>
  <c r="T156" i="5" s="1"/>
  <c r="T145" i="5"/>
  <c r="T146" i="5" s="1"/>
  <c r="DR139" i="5"/>
  <c r="DR39" i="5"/>
  <c r="DR124" i="5"/>
  <c r="DR44" i="5"/>
  <c r="DR54" i="5" s="1"/>
  <c r="DR66" i="5" s="1"/>
  <c r="DR81" i="5" s="1"/>
  <c r="DR99" i="5" s="1"/>
  <c r="DS35" i="5"/>
  <c r="DT35" i="5" s="1"/>
  <c r="DR37" i="5"/>
  <c r="DS33" i="5" s="1"/>
  <c r="DG67" i="5"/>
  <c r="V84" i="5"/>
  <c r="DH43" i="5"/>
  <c r="U103" i="5"/>
  <c r="DG152" i="5"/>
  <c r="CM73" i="5"/>
  <c r="CM86" i="5"/>
  <c r="CM105" i="5" s="1"/>
  <c r="CM127" i="5"/>
  <c r="CM142" i="5"/>
  <c r="CM58" i="5"/>
  <c r="CM59" i="5" s="1"/>
  <c r="CN52" i="5" s="1"/>
  <c r="CN53" i="5" s="1"/>
  <c r="CM76" i="5"/>
  <c r="CM71" i="5"/>
  <c r="CN64" i="5" s="1"/>
  <c r="EL208" i="2"/>
  <c r="I206" i="2"/>
  <c r="D20" i="32"/>
  <c r="T161" i="5" l="1"/>
  <c r="T118" i="5"/>
  <c r="T157" i="5"/>
  <c r="T167" i="5"/>
  <c r="DT44" i="5"/>
  <c r="DT54" i="5" s="1"/>
  <c r="DT66" i="5" s="1"/>
  <c r="DT81" i="5" s="1"/>
  <c r="DT99" i="5" s="1"/>
  <c r="DT39" i="5"/>
  <c r="DT124" i="5"/>
  <c r="DT139" i="5"/>
  <c r="DU35" i="5"/>
  <c r="DS37" i="5"/>
  <c r="DT33" i="5" s="1"/>
  <c r="DT37" i="5" s="1"/>
  <c r="DU33" i="5" s="1"/>
  <c r="DS39" i="5"/>
  <c r="DS44" i="5"/>
  <c r="DS54" i="5" s="1"/>
  <c r="DS66" i="5" s="1"/>
  <c r="DS81" i="5" s="1"/>
  <c r="DS99" i="5" s="1"/>
  <c r="DS124" i="5"/>
  <c r="DS139" i="5"/>
  <c r="V143" i="5"/>
  <c r="V102" i="5"/>
  <c r="V128" i="5"/>
  <c r="V92" i="5"/>
  <c r="V153" i="5" s="1"/>
  <c r="V89" i="5"/>
  <c r="V87" i="5"/>
  <c r="W79" i="5" s="1"/>
  <c r="DG82" i="5"/>
  <c r="DH45" i="5"/>
  <c r="U144" i="5"/>
  <c r="U129" i="5"/>
  <c r="U111" i="5"/>
  <c r="U154" i="5" s="1"/>
  <c r="U106" i="5"/>
  <c r="V97" i="5" s="1"/>
  <c r="U108" i="5"/>
  <c r="CN65" i="5"/>
  <c r="CN56" i="5"/>
  <c r="EM160" i="2"/>
  <c r="EM171" i="2" s="1"/>
  <c r="F20" i="32"/>
  <c r="G20" i="32" s="1"/>
  <c r="H20" i="32" s="1"/>
  <c r="I208" i="2"/>
  <c r="I209" i="2" s="1"/>
  <c r="I210" i="2"/>
  <c r="I212" i="2"/>
  <c r="DU37" i="5" l="1"/>
  <c r="DV33" i="5" s="1"/>
  <c r="DV35" i="5"/>
  <c r="DW35" i="5" s="1"/>
  <c r="DX35" i="5" s="1"/>
  <c r="DU124" i="5"/>
  <c r="DU44" i="5"/>
  <c r="DU54" i="5" s="1"/>
  <c r="DU66" i="5" s="1"/>
  <c r="DU81" i="5" s="1"/>
  <c r="DU99" i="5" s="1"/>
  <c r="DU39" i="5"/>
  <c r="DU139" i="5"/>
  <c r="V94" i="5"/>
  <c r="W80" i="5"/>
  <c r="DH140" i="5"/>
  <c r="DH55" i="5"/>
  <c r="DH67" i="5" s="1"/>
  <c r="DH82" i="5" s="1"/>
  <c r="DH100" i="5" s="1"/>
  <c r="DH125" i="5"/>
  <c r="DH49" i="5"/>
  <c r="DH152" i="5" s="1"/>
  <c r="DH47" i="5"/>
  <c r="DI42" i="5" s="1"/>
  <c r="V98" i="5"/>
  <c r="DG100" i="5"/>
  <c r="U113" i="5"/>
  <c r="CN68" i="5"/>
  <c r="CN83" i="5" s="1"/>
  <c r="CN101" i="5" s="1"/>
  <c r="CN126" i="5"/>
  <c r="CN141" i="5"/>
  <c r="CN61" i="5"/>
  <c r="I211" i="2"/>
  <c r="D21" i="32"/>
  <c r="V103" i="5" l="1"/>
  <c r="V129" i="5" s="1"/>
  <c r="DX44" i="5"/>
  <c r="DX54" i="5" s="1"/>
  <c r="DX66" i="5" s="1"/>
  <c r="DX81" i="5" s="1"/>
  <c r="DX99" i="5" s="1"/>
  <c r="DX124" i="5"/>
  <c r="DX39" i="5"/>
  <c r="DX139" i="5"/>
  <c r="DW44" i="5"/>
  <c r="DW54" i="5" s="1"/>
  <c r="DW66" i="5" s="1"/>
  <c r="DW81" i="5" s="1"/>
  <c r="DW99" i="5" s="1"/>
  <c r="DW139" i="5"/>
  <c r="DW124" i="5"/>
  <c r="DW39" i="5"/>
  <c r="DY35" i="5"/>
  <c r="DY139" i="5" s="1"/>
  <c r="DV124" i="5"/>
  <c r="DV139" i="5"/>
  <c r="DV44" i="5"/>
  <c r="DV54" i="5" s="1"/>
  <c r="DV66" i="5" s="1"/>
  <c r="DV81" i="5" s="1"/>
  <c r="DV99" i="5" s="1"/>
  <c r="DV39" i="5"/>
  <c r="DV37" i="5"/>
  <c r="DW33" i="5" s="1"/>
  <c r="DW37" i="5" s="1"/>
  <c r="DX33" i="5" s="1"/>
  <c r="DX37" i="5" s="1"/>
  <c r="DY33" i="5" s="1"/>
  <c r="DI43" i="5"/>
  <c r="U116" i="5"/>
  <c r="U117" i="5"/>
  <c r="U155" i="5" s="1"/>
  <c r="U156" i="5" s="1"/>
  <c r="W84" i="5"/>
  <c r="CN70" i="5"/>
  <c r="CN71" i="5" s="1"/>
  <c r="CO64" i="5" s="1"/>
  <c r="F21" i="32"/>
  <c r="G21" i="32" s="1"/>
  <c r="H21" i="32" s="1"/>
  <c r="EN160" i="2"/>
  <c r="EN171" i="2" s="1"/>
  <c r="V144" i="5" l="1"/>
  <c r="V111" i="5"/>
  <c r="V154" i="5" s="1"/>
  <c r="V106" i="5"/>
  <c r="W97" i="5" s="1"/>
  <c r="W98" i="5" s="1"/>
  <c r="DY37" i="5"/>
  <c r="DZ33" i="5" s="1"/>
  <c r="V108" i="5"/>
  <c r="DZ35" i="5"/>
  <c r="DZ44" i="5" s="1"/>
  <c r="DZ54" i="5" s="1"/>
  <c r="DZ66" i="5" s="1"/>
  <c r="DZ81" i="5" s="1"/>
  <c r="DZ99" i="5" s="1"/>
  <c r="DY39" i="5"/>
  <c r="DY44" i="5"/>
  <c r="DY54" i="5" s="1"/>
  <c r="DY66" i="5" s="1"/>
  <c r="DY81" i="5" s="1"/>
  <c r="DY99" i="5" s="1"/>
  <c r="DY124" i="5"/>
  <c r="DI45" i="5"/>
  <c r="DI47" i="5" s="1"/>
  <c r="DJ42" i="5" s="1"/>
  <c r="U118" i="5"/>
  <c r="U130" i="5"/>
  <c r="U131" i="5" s="1"/>
  <c r="U145" i="5"/>
  <c r="U146" i="5" s="1"/>
  <c r="U157" i="5" s="1"/>
  <c r="W92" i="5"/>
  <c r="W153" i="5" s="1"/>
  <c r="W89" i="5"/>
  <c r="W128" i="5"/>
  <c r="W143" i="5"/>
  <c r="W102" i="5"/>
  <c r="W87" i="5"/>
  <c r="X79" i="5" s="1"/>
  <c r="CN76" i="5"/>
  <c r="CN73" i="5"/>
  <c r="CN86" i="5"/>
  <c r="CN105" i="5" s="1"/>
  <c r="CN127" i="5"/>
  <c r="CN142" i="5"/>
  <c r="CN58" i="5"/>
  <c r="CN59" i="5" s="1"/>
  <c r="CO52" i="5" s="1"/>
  <c r="CO53" i="5" s="1"/>
  <c r="D22" i="32"/>
  <c r="V113" i="5" l="1"/>
  <c r="V116" i="5" s="1"/>
  <c r="V130" i="5" s="1"/>
  <c r="V131" i="5" s="1"/>
  <c r="DZ37" i="5"/>
  <c r="EA33" i="5" s="1"/>
  <c r="EA35" i="5"/>
  <c r="EA39" i="5" s="1"/>
  <c r="DZ139" i="5"/>
  <c r="DZ124" i="5"/>
  <c r="DZ39" i="5"/>
  <c r="DJ43" i="5"/>
  <c r="DJ45" i="5" s="1"/>
  <c r="DI140" i="5"/>
  <c r="DI49" i="5"/>
  <c r="DI152" i="5" s="1"/>
  <c r="DI55" i="5"/>
  <c r="DI67" i="5" s="1"/>
  <c r="DI82" i="5" s="1"/>
  <c r="DI125" i="5"/>
  <c r="W94" i="5"/>
  <c r="W103" i="5" s="1"/>
  <c r="W108" i="5" s="1"/>
  <c r="X80" i="5"/>
  <c r="U167" i="5"/>
  <c r="U161" i="5"/>
  <c r="CO65" i="5"/>
  <c r="CO56" i="5"/>
  <c r="EO160" i="2"/>
  <c r="EO171" i="2" s="1"/>
  <c r="F22" i="32"/>
  <c r="G22" i="32" s="1"/>
  <c r="H22" i="32" s="1"/>
  <c r="V145" i="5" l="1"/>
  <c r="V146" i="5" s="1"/>
  <c r="V117" i="5"/>
  <c r="V155" i="5" s="1"/>
  <c r="V156" i="5" s="1"/>
  <c r="EA44" i="5"/>
  <c r="EA54" i="5" s="1"/>
  <c r="EA66" i="5" s="1"/>
  <c r="EA81" i="5" s="1"/>
  <c r="EA99" i="5" s="1"/>
  <c r="EA139" i="5"/>
  <c r="EA37" i="5"/>
  <c r="EB33" i="5" s="1"/>
  <c r="EB35" i="5"/>
  <c r="EB39" i="5" s="1"/>
  <c r="EA124" i="5"/>
  <c r="DI100" i="5"/>
  <c r="G82" i="5"/>
  <c r="V118" i="5"/>
  <c r="DJ49" i="5"/>
  <c r="DJ152" i="5" s="1"/>
  <c r="DJ55" i="5"/>
  <c r="DJ67" i="5" s="1"/>
  <c r="DJ82" i="5" s="1"/>
  <c r="DJ100" i="5" s="1"/>
  <c r="DJ125" i="5"/>
  <c r="DJ140" i="5"/>
  <c r="G43" i="5"/>
  <c r="DK45" i="5"/>
  <c r="DJ47" i="5"/>
  <c r="DK42" i="5" s="1"/>
  <c r="X84" i="5"/>
  <c r="W106" i="5"/>
  <c r="X97" i="5" s="1"/>
  <c r="W144" i="5"/>
  <c r="W129" i="5"/>
  <c r="W111" i="5"/>
  <c r="W154" i="5" s="1"/>
  <c r="CO126" i="5"/>
  <c r="CO68" i="5"/>
  <c r="CO141" i="5"/>
  <c r="CO61" i="5"/>
  <c r="D23" i="32"/>
  <c r="V161" i="5" l="1"/>
  <c r="V157" i="5"/>
  <c r="V167" i="5"/>
  <c r="EB44" i="5"/>
  <c r="EB54" i="5" s="1"/>
  <c r="EB66" i="5" s="1"/>
  <c r="EB81" i="5" s="1"/>
  <c r="EB99" i="5" s="1"/>
  <c r="EC35" i="5"/>
  <c r="EC139" i="5" s="1"/>
  <c r="EB37" i="5"/>
  <c r="EC33" i="5" s="1"/>
  <c r="EB139" i="5"/>
  <c r="EB124" i="5"/>
  <c r="DL45" i="5"/>
  <c r="DK55" i="5"/>
  <c r="DK67" i="5" s="1"/>
  <c r="DK82" i="5" s="1"/>
  <c r="DK100" i="5" s="1"/>
  <c r="DK49" i="5"/>
  <c r="DK152" i="5" s="1"/>
  <c r="DK125" i="5"/>
  <c r="DK140" i="5"/>
  <c r="DK47" i="5"/>
  <c r="DL42" i="5" s="1"/>
  <c r="X128" i="5"/>
  <c r="X102" i="5"/>
  <c r="X92" i="5"/>
  <c r="X153" i="5" s="1"/>
  <c r="X143" i="5"/>
  <c r="X89" i="5"/>
  <c r="X87" i="5"/>
  <c r="Y79" i="5" s="1"/>
  <c r="X98" i="5"/>
  <c r="W113" i="5"/>
  <c r="CO83" i="5"/>
  <c r="CO101" i="5" s="1"/>
  <c r="CO70" i="5"/>
  <c r="EP160" i="2"/>
  <c r="EP171" i="2" s="1"/>
  <c r="F23" i="32"/>
  <c r="G23" i="32" s="1"/>
  <c r="H23" i="32" s="1"/>
  <c r="ED35" i="5" l="1"/>
  <c r="ED39" i="5" s="1"/>
  <c r="EC37" i="5"/>
  <c r="ED33" i="5" s="1"/>
  <c r="EC124" i="5"/>
  <c r="EC44" i="5"/>
  <c r="EC54" i="5" s="1"/>
  <c r="EC66" i="5" s="1"/>
  <c r="EC81" i="5" s="1"/>
  <c r="EC99" i="5" s="1"/>
  <c r="EC39" i="5"/>
  <c r="DL47" i="5"/>
  <c r="DM42" i="5" s="1"/>
  <c r="DL125" i="5"/>
  <c r="DL55" i="5"/>
  <c r="DL67" i="5" s="1"/>
  <c r="DL82" i="5" s="1"/>
  <c r="DL100" i="5" s="1"/>
  <c r="DL140" i="5"/>
  <c r="DL49" i="5"/>
  <c r="DL152" i="5" s="1"/>
  <c r="DM45" i="5"/>
  <c r="Y80" i="5"/>
  <c r="W117" i="5"/>
  <c r="W155" i="5" s="1"/>
  <c r="W156" i="5" s="1"/>
  <c r="W116" i="5"/>
  <c r="X94" i="5"/>
  <c r="CO142" i="5"/>
  <c r="CO86" i="5"/>
  <c r="CO105" i="5" s="1"/>
  <c r="CO127" i="5"/>
  <c r="CO58" i="5"/>
  <c r="CO59" i="5" s="1"/>
  <c r="CP52" i="5" s="1"/>
  <c r="CP53" i="5" s="1"/>
  <c r="CO76" i="5"/>
  <c r="CO73" i="5"/>
  <c r="CO71" i="5"/>
  <c r="CP64" i="5" s="1"/>
  <c r="D24" i="32"/>
  <c r="EE35" i="5" l="1"/>
  <c r="EE124" i="5" s="1"/>
  <c r="G124" i="5" s="1"/>
  <c r="ED44" i="5"/>
  <c r="ED54" i="5" s="1"/>
  <c r="ED66" i="5" s="1"/>
  <c r="ED81" i="5" s="1"/>
  <c r="ED99" i="5" s="1"/>
  <c r="ED139" i="5"/>
  <c r="ED124" i="5"/>
  <c r="ED37" i="5"/>
  <c r="EE33" i="5" s="1"/>
  <c r="DM125" i="5"/>
  <c r="DM49" i="5"/>
  <c r="DM152" i="5" s="1"/>
  <c r="DM55" i="5"/>
  <c r="DM67" i="5" s="1"/>
  <c r="DM82" i="5" s="1"/>
  <c r="DM100" i="5" s="1"/>
  <c r="DM140" i="5"/>
  <c r="DN45" i="5"/>
  <c r="DO45" i="5" s="1"/>
  <c r="DM47" i="5"/>
  <c r="DN42" i="5" s="1"/>
  <c r="W118" i="5"/>
  <c r="G35" i="5"/>
  <c r="X103" i="5"/>
  <c r="W130" i="5"/>
  <c r="W131" i="5" s="1"/>
  <c r="W145" i="5"/>
  <c r="W146" i="5" s="1"/>
  <c r="W161" i="5" s="1"/>
  <c r="Y84" i="5"/>
  <c r="CP65" i="5"/>
  <c r="CP56" i="5"/>
  <c r="F24" i="32"/>
  <c r="G24" i="32" s="1"/>
  <c r="H24" i="32" s="1"/>
  <c r="EQ160" i="2"/>
  <c r="EQ171" i="2" s="1"/>
  <c r="EE44" i="5" l="1"/>
  <c r="EE54" i="5" s="1"/>
  <c r="EE37" i="5"/>
  <c r="EE139" i="5"/>
  <c r="G139" i="5" s="1"/>
  <c r="EE39" i="5"/>
  <c r="DO140" i="5"/>
  <c r="DO55" i="5"/>
  <c r="DO67" i="5" s="1"/>
  <c r="DO82" i="5" s="1"/>
  <c r="DO100" i="5" s="1"/>
  <c r="DO125" i="5"/>
  <c r="DO49" i="5"/>
  <c r="DO152" i="5" s="1"/>
  <c r="DN49" i="5"/>
  <c r="DN152" i="5" s="1"/>
  <c r="DN55" i="5"/>
  <c r="DN67" i="5" s="1"/>
  <c r="DN82" i="5" s="1"/>
  <c r="DN100" i="5" s="1"/>
  <c r="DN140" i="5"/>
  <c r="DN125" i="5"/>
  <c r="DP45" i="5"/>
  <c r="DQ45" i="5" s="1"/>
  <c r="DR45" i="5" s="1"/>
  <c r="DN47" i="5"/>
  <c r="DO42" i="5" s="1"/>
  <c r="DO47" i="5" s="1"/>
  <c r="DP42" i="5" s="1"/>
  <c r="W157" i="5"/>
  <c r="W167" i="5"/>
  <c r="X144" i="5"/>
  <c r="X111" i="5"/>
  <c r="X154" i="5" s="1"/>
  <c r="X129" i="5"/>
  <c r="X106" i="5"/>
  <c r="Y97" i="5" s="1"/>
  <c r="X108" i="5"/>
  <c r="G39" i="5"/>
  <c r="Y89" i="5"/>
  <c r="Y143" i="5"/>
  <c r="Y102" i="5"/>
  <c r="Y92" i="5"/>
  <c r="Y153" i="5" s="1"/>
  <c r="Y128" i="5"/>
  <c r="Y87" i="5"/>
  <c r="Z79" i="5" s="1"/>
  <c r="G44" i="5"/>
  <c r="CP141" i="5"/>
  <c r="CP61" i="5"/>
  <c r="CP68" i="5"/>
  <c r="CP126" i="5"/>
  <c r="D25" i="32"/>
  <c r="DR55" i="5" l="1"/>
  <c r="DR67" i="5" s="1"/>
  <c r="DR82" i="5" s="1"/>
  <c r="DR100" i="5" s="1"/>
  <c r="DR49" i="5"/>
  <c r="DR152" i="5" s="1"/>
  <c r="DR140" i="5"/>
  <c r="DR125" i="5"/>
  <c r="DQ55" i="5"/>
  <c r="DQ67" i="5" s="1"/>
  <c r="DQ82" i="5" s="1"/>
  <c r="DQ100" i="5" s="1"/>
  <c r="DQ49" i="5"/>
  <c r="DQ152" i="5" s="1"/>
  <c r="DQ125" i="5"/>
  <c r="DQ140" i="5"/>
  <c r="DP47" i="5"/>
  <c r="DQ42" i="5" s="1"/>
  <c r="DQ47" i="5" s="1"/>
  <c r="DR42" i="5" s="1"/>
  <c r="DR47" i="5" s="1"/>
  <c r="DS42" i="5" s="1"/>
  <c r="DS45" i="5"/>
  <c r="DP49" i="5"/>
  <c r="DP152" i="5" s="1"/>
  <c r="DP125" i="5"/>
  <c r="DP140" i="5"/>
  <c r="DP55" i="5"/>
  <c r="DP67" i="5" s="1"/>
  <c r="DP82" i="5" s="1"/>
  <c r="DP100" i="5" s="1"/>
  <c r="Y94" i="5"/>
  <c r="Y98" i="5"/>
  <c r="EE66" i="5"/>
  <c r="G54" i="5"/>
  <c r="Z80" i="5"/>
  <c r="X113" i="5"/>
  <c r="CP83" i="5"/>
  <c r="CP101" i="5" s="1"/>
  <c r="CP70" i="5"/>
  <c r="CP73" i="5" s="1"/>
  <c r="F25" i="32"/>
  <c r="G25" i="32" s="1"/>
  <c r="H25" i="32" s="1"/>
  <c r="ER160" i="2"/>
  <c r="ER171" i="2" s="1"/>
  <c r="DS140" i="5" l="1"/>
  <c r="DS55" i="5"/>
  <c r="DS67" i="5" s="1"/>
  <c r="DS82" i="5" s="1"/>
  <c r="DS100" i="5" s="1"/>
  <c r="DS125" i="5"/>
  <c r="DT45" i="5"/>
  <c r="DS49" i="5"/>
  <c r="DS152" i="5" s="1"/>
  <c r="DS47" i="5"/>
  <c r="DT42" i="5" s="1"/>
  <c r="Y103" i="5"/>
  <c r="Y108" i="5" s="1"/>
  <c r="X117" i="5"/>
  <c r="X155" i="5" s="1"/>
  <c r="X156" i="5" s="1"/>
  <c r="X116" i="5"/>
  <c r="EE81" i="5"/>
  <c r="G66" i="5"/>
  <c r="Z84" i="5"/>
  <c r="CP71" i="5"/>
  <c r="CQ64" i="5" s="1"/>
  <c r="CP142" i="5"/>
  <c r="CP58" i="5"/>
  <c r="CP59" i="5" s="1"/>
  <c r="CQ52" i="5" s="1"/>
  <c r="CQ53" i="5" s="1"/>
  <c r="CP86" i="5"/>
  <c r="CP105" i="5" s="1"/>
  <c r="CP127" i="5"/>
  <c r="CP76" i="5"/>
  <c r="D26" i="32"/>
  <c r="DT47" i="5" l="1"/>
  <c r="DU42" i="5" s="1"/>
  <c r="DT55" i="5"/>
  <c r="DT67" i="5" s="1"/>
  <c r="DT82" i="5" s="1"/>
  <c r="DT100" i="5" s="1"/>
  <c r="DT49" i="5"/>
  <c r="DT152" i="5" s="1"/>
  <c r="DT140" i="5"/>
  <c r="DT125" i="5"/>
  <c r="DU45" i="5"/>
  <c r="Y106" i="5"/>
  <c r="Z97" i="5" s="1"/>
  <c r="Z98" i="5" s="1"/>
  <c r="Y129" i="5"/>
  <c r="Y111" i="5"/>
  <c r="Y154" i="5" s="1"/>
  <c r="Y144" i="5"/>
  <c r="X118" i="5"/>
  <c r="X130" i="5"/>
  <c r="X131" i="5" s="1"/>
  <c r="X145" i="5"/>
  <c r="X146" i="5" s="1"/>
  <c r="X157" i="5" s="1"/>
  <c r="Z128" i="5"/>
  <c r="Z143" i="5"/>
  <c r="Z92" i="5"/>
  <c r="Z153" i="5" s="1"/>
  <c r="Z89" i="5"/>
  <c r="Z102" i="5"/>
  <c r="Z87" i="5"/>
  <c r="AA79" i="5" s="1"/>
  <c r="EE99" i="5"/>
  <c r="G99" i="5" s="1"/>
  <c r="G81" i="5"/>
  <c r="CQ65" i="5"/>
  <c r="CQ56" i="5"/>
  <c r="F26" i="32"/>
  <c r="G26" i="32" s="1"/>
  <c r="H26" i="32" s="1"/>
  <c r="ES160" i="2"/>
  <c r="ES171" i="2" s="1"/>
  <c r="DU125" i="5" l="1"/>
  <c r="DU55" i="5"/>
  <c r="DU67" i="5" s="1"/>
  <c r="DU82" i="5" s="1"/>
  <c r="DU100" i="5" s="1"/>
  <c r="DV45" i="5"/>
  <c r="DW45" i="5" s="1"/>
  <c r="DW55" i="5" s="1"/>
  <c r="DW67" i="5" s="1"/>
  <c r="DW82" i="5" s="1"/>
  <c r="DW100" i="5" s="1"/>
  <c r="DU49" i="5"/>
  <c r="DU152" i="5" s="1"/>
  <c r="DU140" i="5"/>
  <c r="DU47" i="5"/>
  <c r="DV42" i="5" s="1"/>
  <c r="Y113" i="5"/>
  <c r="Y116" i="5" s="1"/>
  <c r="Y145" i="5" s="1"/>
  <c r="Y146" i="5" s="1"/>
  <c r="X161" i="5"/>
  <c r="AA80" i="5"/>
  <c r="Z94" i="5"/>
  <c r="X167" i="5"/>
  <c r="CQ126" i="5"/>
  <c r="CQ68" i="5"/>
  <c r="CQ141" i="5"/>
  <c r="CQ61" i="5"/>
  <c r="D27" i="32"/>
  <c r="DV47" i="5" l="1"/>
  <c r="DW42" i="5" s="1"/>
  <c r="DW47" i="5" s="1"/>
  <c r="DX42" i="5" s="1"/>
  <c r="Y130" i="5"/>
  <c r="Y131" i="5" s="1"/>
  <c r="DX45" i="5"/>
  <c r="DX55" i="5" s="1"/>
  <c r="DX67" i="5" s="1"/>
  <c r="DX82" i="5" s="1"/>
  <c r="DX100" i="5" s="1"/>
  <c r="DW125" i="5"/>
  <c r="DV49" i="5"/>
  <c r="DV152" i="5" s="1"/>
  <c r="DV125" i="5"/>
  <c r="DV140" i="5"/>
  <c r="DV55" i="5"/>
  <c r="DV67" i="5" s="1"/>
  <c r="DV82" i="5" s="1"/>
  <c r="DV100" i="5" s="1"/>
  <c r="DW140" i="5"/>
  <c r="Y117" i="5"/>
  <c r="Y155" i="5" s="1"/>
  <c r="Y156" i="5" s="1"/>
  <c r="Y161" i="5" s="1"/>
  <c r="DW49" i="5"/>
  <c r="DW152" i="5" s="1"/>
  <c r="Z103" i="5"/>
  <c r="AA84" i="5"/>
  <c r="CQ70" i="5"/>
  <c r="CQ76" i="5" s="1"/>
  <c r="CQ83" i="5"/>
  <c r="CQ101" i="5" s="1"/>
  <c r="F27" i="32"/>
  <c r="G27" i="32" s="1"/>
  <c r="H27" i="32" s="1"/>
  <c r="ET160" i="2"/>
  <c r="ET171" i="2" s="1"/>
  <c r="Y118" i="5" l="1"/>
  <c r="Y157" i="5"/>
  <c r="Y167" i="5"/>
  <c r="DX49" i="5"/>
  <c r="DX152" i="5" s="1"/>
  <c r="DY45" i="5"/>
  <c r="DY125" i="5" s="1"/>
  <c r="DX140" i="5"/>
  <c r="DX47" i="5"/>
  <c r="DY42" i="5" s="1"/>
  <c r="DX125" i="5"/>
  <c r="AA92" i="5"/>
  <c r="AA153" i="5" s="1"/>
  <c r="AA89" i="5"/>
  <c r="AA143" i="5"/>
  <c r="AA128" i="5"/>
  <c r="AA102" i="5"/>
  <c r="AA87" i="5"/>
  <c r="AB79" i="5" s="1"/>
  <c r="Z108" i="5"/>
  <c r="Z129" i="5"/>
  <c r="Z144" i="5"/>
  <c r="Z111" i="5"/>
  <c r="Z154" i="5" s="1"/>
  <c r="Z106" i="5"/>
  <c r="AA97" i="5" s="1"/>
  <c r="CQ73" i="5"/>
  <c r="CQ86" i="5"/>
  <c r="CQ105" i="5" s="1"/>
  <c r="CQ58" i="5"/>
  <c r="CQ59" i="5" s="1"/>
  <c r="CR52" i="5" s="1"/>
  <c r="CR53" i="5" s="1"/>
  <c r="CQ142" i="5"/>
  <c r="CQ127" i="5"/>
  <c r="CQ71" i="5"/>
  <c r="CR64" i="5" s="1"/>
  <c r="D28" i="32"/>
  <c r="DY140" i="5" l="1"/>
  <c r="DY49" i="5"/>
  <c r="DY152" i="5" s="1"/>
  <c r="DY47" i="5"/>
  <c r="DZ42" i="5" s="1"/>
  <c r="DZ45" i="5"/>
  <c r="DZ47" i="5" s="1"/>
  <c r="EA42" i="5" s="1"/>
  <c r="DY55" i="5"/>
  <c r="DY67" i="5" s="1"/>
  <c r="DY82" i="5" s="1"/>
  <c r="DY100" i="5" s="1"/>
  <c r="AA94" i="5"/>
  <c r="AA98" i="5"/>
  <c r="AB80" i="5"/>
  <c r="Z113" i="5"/>
  <c r="CR65" i="5"/>
  <c r="CR56" i="5"/>
  <c r="EU160" i="2"/>
  <c r="EU171" i="2" s="1"/>
  <c r="F28" i="32"/>
  <c r="G28" i="32" s="1"/>
  <c r="H28" i="32" s="1"/>
  <c r="EA45" i="5" l="1"/>
  <c r="EA125" i="5" s="1"/>
  <c r="DZ125" i="5"/>
  <c r="DZ140" i="5"/>
  <c r="DZ49" i="5"/>
  <c r="DZ152" i="5" s="1"/>
  <c r="DZ55" i="5"/>
  <c r="DZ67" i="5" s="1"/>
  <c r="DZ82" i="5" s="1"/>
  <c r="DZ100" i="5" s="1"/>
  <c r="AA103" i="5"/>
  <c r="AA111" i="5" s="1"/>
  <c r="Z117" i="5"/>
  <c r="Z155" i="5" s="1"/>
  <c r="Z156" i="5" s="1"/>
  <c r="Z116" i="5"/>
  <c r="AB84" i="5"/>
  <c r="CR126" i="5"/>
  <c r="CR61" i="5"/>
  <c r="CR68" i="5"/>
  <c r="CR141" i="5"/>
  <c r="D29" i="32"/>
  <c r="EA47" i="5" l="1"/>
  <c r="EB42" i="5" s="1"/>
  <c r="EB45" i="5"/>
  <c r="EB125" i="5" s="1"/>
  <c r="EA140" i="5"/>
  <c r="EA55" i="5"/>
  <c r="EA67" i="5" s="1"/>
  <c r="EA82" i="5" s="1"/>
  <c r="EA100" i="5" s="1"/>
  <c r="EA49" i="5"/>
  <c r="EA152" i="5" s="1"/>
  <c r="AA106" i="5"/>
  <c r="AB97" i="5" s="1"/>
  <c r="AB98" i="5" s="1"/>
  <c r="AA108" i="5"/>
  <c r="Z118" i="5"/>
  <c r="AA144" i="5"/>
  <c r="AA129" i="5"/>
  <c r="AA154" i="5"/>
  <c r="AA113" i="5"/>
  <c r="AA116" i="5" s="1"/>
  <c r="Z145" i="5"/>
  <c r="Z146" i="5" s="1"/>
  <c r="Z161" i="5" s="1"/>
  <c r="Z130" i="5"/>
  <c r="Z131" i="5" s="1"/>
  <c r="AB143" i="5"/>
  <c r="AB128" i="5"/>
  <c r="AB92" i="5"/>
  <c r="AB153" i="5" s="1"/>
  <c r="AB89" i="5"/>
  <c r="AB102" i="5"/>
  <c r="AB87" i="5"/>
  <c r="AC79" i="5" s="1"/>
  <c r="CR70" i="5"/>
  <c r="CR83" i="5"/>
  <c r="CR101" i="5" s="1"/>
  <c r="EV160" i="2"/>
  <c r="EV171" i="2" s="1"/>
  <c r="F29" i="32"/>
  <c r="G29" i="32" s="1"/>
  <c r="H29" i="32" s="1"/>
  <c r="EB49" i="5" l="1"/>
  <c r="EB152" i="5" s="1"/>
  <c r="EB140" i="5"/>
  <c r="EB55" i="5"/>
  <c r="EB67" i="5" s="1"/>
  <c r="EB82" i="5" s="1"/>
  <c r="EB100" i="5" s="1"/>
  <c r="EB47" i="5"/>
  <c r="EC42" i="5" s="1"/>
  <c r="EC45" i="5"/>
  <c r="EC125" i="5" s="1"/>
  <c r="AA117" i="5"/>
  <c r="AA155" i="5" s="1"/>
  <c r="AA156" i="5" s="1"/>
  <c r="Z167" i="5"/>
  <c r="AB94" i="5"/>
  <c r="AA145" i="5"/>
  <c r="AA146" i="5" s="1"/>
  <c r="AA130" i="5"/>
  <c r="AA131" i="5" s="1"/>
  <c r="AC80" i="5"/>
  <c r="Z157" i="5"/>
  <c r="CR58" i="5"/>
  <c r="CR59" i="5" s="1"/>
  <c r="CS52" i="5" s="1"/>
  <c r="CS53" i="5" s="1"/>
  <c r="CR127" i="5"/>
  <c r="CR86" i="5"/>
  <c r="CR105" i="5" s="1"/>
  <c r="CR142" i="5"/>
  <c r="CR76" i="5"/>
  <c r="CR71" i="5"/>
  <c r="CS64" i="5" s="1"/>
  <c r="CR73" i="5"/>
  <c r="D30" i="32"/>
  <c r="ED45" i="5" l="1"/>
  <c r="ED140" i="5" s="1"/>
  <c r="EC49" i="5"/>
  <c r="EC152" i="5" s="1"/>
  <c r="EC47" i="5"/>
  <c r="ED42" i="5" s="1"/>
  <c r="EC55" i="5"/>
  <c r="EC67" i="5" s="1"/>
  <c r="EC82" i="5" s="1"/>
  <c r="EC100" i="5" s="1"/>
  <c r="EC140" i="5"/>
  <c r="AA157" i="5"/>
  <c r="AA118" i="5"/>
  <c r="AA167" i="5"/>
  <c r="AB103" i="5"/>
  <c r="AA161" i="5"/>
  <c r="AC84" i="5"/>
  <c r="CS65" i="5"/>
  <c r="CS56" i="5"/>
  <c r="EW160" i="2"/>
  <c r="EW171" i="2" s="1"/>
  <c r="F30" i="32"/>
  <c r="G30" i="32" s="1"/>
  <c r="H30" i="32" s="1"/>
  <c r="EE45" i="5" l="1"/>
  <c r="EE140" i="5" s="1"/>
  <c r="G140" i="5" s="1"/>
  <c r="ED49" i="5"/>
  <c r="ED152" i="5" s="1"/>
  <c r="ED125" i="5"/>
  <c r="ED47" i="5"/>
  <c r="EE42" i="5" s="1"/>
  <c r="ED55" i="5"/>
  <c r="ED67" i="5" s="1"/>
  <c r="ED82" i="5" s="1"/>
  <c r="ED100" i="5" s="1"/>
  <c r="G45" i="5"/>
  <c r="AC143" i="5"/>
  <c r="AC128" i="5"/>
  <c r="AC89" i="5"/>
  <c r="AC92" i="5"/>
  <c r="AC153" i="5" s="1"/>
  <c r="AC102" i="5"/>
  <c r="AC87" i="5"/>
  <c r="AD79" i="5" s="1"/>
  <c r="AB129" i="5"/>
  <c r="AB144" i="5"/>
  <c r="AB111" i="5"/>
  <c r="AB154" i="5" s="1"/>
  <c r="AB106" i="5"/>
  <c r="AC97" i="5" s="1"/>
  <c r="AB108" i="5"/>
  <c r="CS61" i="5"/>
  <c r="CS141" i="5"/>
  <c r="CS68" i="5"/>
  <c r="CS126" i="5"/>
  <c r="D31" i="32"/>
  <c r="EE125" i="5" l="1"/>
  <c r="G125" i="5" s="1"/>
  <c r="EE55" i="5"/>
  <c r="EE67" i="5" s="1"/>
  <c r="EE49" i="5"/>
  <c r="EE152" i="5" s="1"/>
  <c r="G152" i="5" s="1"/>
  <c r="EE47" i="5"/>
  <c r="AC94" i="5"/>
  <c r="AD80" i="5"/>
  <c r="G55" i="5"/>
  <c r="G49" i="5"/>
  <c r="AC98" i="5"/>
  <c r="AB113" i="5"/>
  <c r="CS83" i="5"/>
  <c r="CS101" i="5" s="1"/>
  <c r="CS70" i="5"/>
  <c r="EX160" i="2"/>
  <c r="EX171" i="2" s="1"/>
  <c r="F31" i="32"/>
  <c r="G31" i="32" s="1"/>
  <c r="H31" i="32" s="1"/>
  <c r="EE82" i="5" l="1"/>
  <c r="EE100" i="5" s="1"/>
  <c r="G100" i="5" s="1"/>
  <c r="G67" i="5"/>
  <c r="AB116" i="5"/>
  <c r="AB117" i="5"/>
  <c r="AB155" i="5" s="1"/>
  <c r="AB156" i="5" s="1"/>
  <c r="AC103" i="5"/>
  <c r="AD84" i="5"/>
  <c r="CS142" i="5"/>
  <c r="CS127" i="5"/>
  <c r="CS86" i="5"/>
  <c r="CS105" i="5" s="1"/>
  <c r="CS58" i="5"/>
  <c r="CS59" i="5" s="1"/>
  <c r="CT52" i="5" s="1"/>
  <c r="CT53" i="5" s="1"/>
  <c r="CS73" i="5"/>
  <c r="CS71" i="5"/>
  <c r="CT64" i="5" s="1"/>
  <c r="CS76" i="5"/>
  <c r="D32" i="32"/>
  <c r="AB118" i="5" l="1"/>
  <c r="AD102" i="5"/>
  <c r="AD92" i="5"/>
  <c r="AD153" i="5" s="1"/>
  <c r="AD89" i="5"/>
  <c r="AD143" i="5"/>
  <c r="AD128" i="5"/>
  <c r="AD87" i="5"/>
  <c r="AE79" i="5" s="1"/>
  <c r="AC111" i="5"/>
  <c r="AC154" i="5" s="1"/>
  <c r="AC129" i="5"/>
  <c r="AC144" i="5"/>
  <c r="AC108" i="5"/>
  <c r="AB130" i="5"/>
  <c r="AB131" i="5" s="1"/>
  <c r="AB145" i="5"/>
  <c r="AB146" i="5" s="1"/>
  <c r="AB161" i="5" s="1"/>
  <c r="AC106" i="5"/>
  <c r="AD97" i="5" s="1"/>
  <c r="CT65" i="5"/>
  <c r="CT56" i="5"/>
  <c r="F32" i="32"/>
  <c r="G32" i="32" s="1"/>
  <c r="H32" i="32" s="1"/>
  <c r="EY160" i="2"/>
  <c r="EY171" i="2" s="1"/>
  <c r="AD94" i="5" l="1"/>
  <c r="AB167" i="5"/>
  <c r="AD98" i="5"/>
  <c r="AE80" i="5"/>
  <c r="AB157" i="5"/>
  <c r="AC113" i="5"/>
  <c r="CT68" i="5"/>
  <c r="CT61" i="5"/>
  <c r="CT126" i="5"/>
  <c r="CT141" i="5"/>
  <c r="D33" i="32"/>
  <c r="AD103" i="5" l="1"/>
  <c r="AD144" i="5" s="1"/>
  <c r="AE84" i="5"/>
  <c r="AC116" i="5"/>
  <c r="AC117" i="5"/>
  <c r="AC155" i="5" s="1"/>
  <c r="AC156" i="5" s="1"/>
  <c r="CT70" i="5"/>
  <c r="CT73" i="5" s="1"/>
  <c r="CT83" i="5"/>
  <c r="CT101" i="5" s="1"/>
  <c r="EZ160" i="2"/>
  <c r="EZ171" i="2" s="1"/>
  <c r="F33" i="32"/>
  <c r="G33" i="32" s="1"/>
  <c r="H33" i="32" s="1"/>
  <c r="AD108" i="5" l="1"/>
  <c r="AD106" i="5"/>
  <c r="AE97" i="5" s="1"/>
  <c r="AE98" i="5" s="1"/>
  <c r="AD111" i="5"/>
  <c r="AD129" i="5"/>
  <c r="AC118" i="5"/>
  <c r="AC130" i="5"/>
  <c r="AC131" i="5" s="1"/>
  <c r="AC145" i="5"/>
  <c r="AC146" i="5" s="1"/>
  <c r="AC157" i="5" s="1"/>
  <c r="AE143" i="5"/>
  <c r="AE128" i="5"/>
  <c r="AE92" i="5"/>
  <c r="AE153" i="5" s="1"/>
  <c r="AE102" i="5"/>
  <c r="AE89" i="5"/>
  <c r="AE87" i="5"/>
  <c r="AF79" i="5" s="1"/>
  <c r="CT76" i="5"/>
  <c r="CT142" i="5"/>
  <c r="CT127" i="5"/>
  <c r="CT58" i="5"/>
  <c r="CT59" i="5" s="1"/>
  <c r="CU52" i="5" s="1"/>
  <c r="CT86" i="5"/>
  <c r="CT105" i="5" s="1"/>
  <c r="CT71" i="5"/>
  <c r="CU64" i="5" s="1"/>
  <c r="D34" i="32"/>
  <c r="AD154" i="5" l="1"/>
  <c r="AD113" i="5"/>
  <c r="AF80" i="5"/>
  <c r="AC161" i="5"/>
  <c r="AC167" i="5"/>
  <c r="AE94" i="5"/>
  <c r="CU53" i="5"/>
  <c r="FA160" i="2"/>
  <c r="FA171" i="2" s="1"/>
  <c r="F34" i="32"/>
  <c r="G34" i="32" s="1"/>
  <c r="H34" i="32" s="1"/>
  <c r="AD117" i="5" l="1"/>
  <c r="AD155" i="5" s="1"/>
  <c r="AD156" i="5" s="1"/>
  <c r="AD116" i="5"/>
  <c r="AF84" i="5"/>
  <c r="AE103" i="5"/>
  <c r="CU65" i="5"/>
  <c r="CU56" i="5"/>
  <c r="D35" i="32"/>
  <c r="AD118" i="5" l="1"/>
  <c r="AD145" i="5"/>
  <c r="AD146" i="5" s="1"/>
  <c r="AD130" i="5"/>
  <c r="AD131" i="5" s="1"/>
  <c r="AE129" i="5"/>
  <c r="AE144" i="5"/>
  <c r="AE111" i="5"/>
  <c r="AE154" i="5" s="1"/>
  <c r="AE106" i="5"/>
  <c r="AF97" i="5" s="1"/>
  <c r="AE108" i="5"/>
  <c r="AF89" i="5"/>
  <c r="AF143" i="5"/>
  <c r="AF128" i="5"/>
  <c r="AF102" i="5"/>
  <c r="AF92" i="5"/>
  <c r="AF153" i="5" s="1"/>
  <c r="AF87" i="5"/>
  <c r="AG79" i="5" s="1"/>
  <c r="CU141" i="5"/>
  <c r="CU126" i="5"/>
  <c r="CU68" i="5"/>
  <c r="CU61" i="5"/>
  <c r="FB160" i="2"/>
  <c r="FB171" i="2" s="1"/>
  <c r="F35" i="32"/>
  <c r="G35" i="32" s="1"/>
  <c r="H35" i="32" s="1"/>
  <c r="AD167" i="5" l="1"/>
  <c r="AD161" i="5"/>
  <c r="AD157" i="5"/>
  <c r="AE113" i="5"/>
  <c r="AE116" i="5" s="1"/>
  <c r="AF94" i="5"/>
  <c r="AG80" i="5"/>
  <c r="AF98" i="5"/>
  <c r="CU70" i="5"/>
  <c r="CU83" i="5"/>
  <c r="CU101" i="5" s="1"/>
  <c r="D36" i="32"/>
  <c r="AE117" i="5" l="1"/>
  <c r="AE155" i="5" s="1"/>
  <c r="AE156" i="5" s="1"/>
  <c r="AF103" i="5"/>
  <c r="AF144" i="5" s="1"/>
  <c r="AE145" i="5"/>
  <c r="AE146" i="5" s="1"/>
  <c r="AE130" i="5"/>
  <c r="AE131" i="5" s="1"/>
  <c r="AG84" i="5"/>
  <c r="CU58" i="5"/>
  <c r="CU59" i="5" s="1"/>
  <c r="CV52" i="5" s="1"/>
  <c r="CV53" i="5" s="1"/>
  <c r="CU127" i="5"/>
  <c r="CU142" i="5"/>
  <c r="CU86" i="5"/>
  <c r="CU105" i="5" s="1"/>
  <c r="CU71" i="5"/>
  <c r="CV64" i="5" s="1"/>
  <c r="CU76" i="5"/>
  <c r="CU73" i="5"/>
  <c r="FC160" i="2"/>
  <c r="FC171" i="2" s="1"/>
  <c r="F36" i="32"/>
  <c r="G36" i="32" s="1"/>
  <c r="H36" i="32" s="1"/>
  <c r="AE157" i="5" l="1"/>
  <c r="AE118" i="5"/>
  <c r="AF108" i="5"/>
  <c r="AF106" i="5"/>
  <c r="AG97" i="5" s="1"/>
  <c r="AG98" i="5" s="1"/>
  <c r="AF111" i="5"/>
  <c r="AF154" i="5" s="1"/>
  <c r="AF129" i="5"/>
  <c r="AE167" i="5"/>
  <c r="AG143" i="5"/>
  <c r="AG92" i="5"/>
  <c r="AG153" i="5" s="1"/>
  <c r="AG89" i="5"/>
  <c r="AG128" i="5"/>
  <c r="AG102" i="5"/>
  <c r="AG87" i="5"/>
  <c r="AH79" i="5" s="1"/>
  <c r="AE161" i="5"/>
  <c r="CV65" i="5"/>
  <c r="CV56" i="5"/>
  <c r="D37" i="32"/>
  <c r="AF113" i="5" l="1"/>
  <c r="AF117" i="5" s="1"/>
  <c r="AF155" i="5" s="1"/>
  <c r="AF156" i="5" s="1"/>
  <c r="AH80" i="5"/>
  <c r="AG94" i="5"/>
  <c r="CV126" i="5"/>
  <c r="CV61" i="5"/>
  <c r="CV68" i="5"/>
  <c r="CV141" i="5"/>
  <c r="FD160" i="2"/>
  <c r="FD171" i="2" s="1"/>
  <c r="F37" i="32"/>
  <c r="G37" i="32" s="1"/>
  <c r="H37" i="32" s="1"/>
  <c r="AF116" i="5" l="1"/>
  <c r="AF118" i="5" s="1"/>
  <c r="AH84" i="5"/>
  <c r="AG103" i="5"/>
  <c r="CV83" i="5"/>
  <c r="CV70" i="5"/>
  <c r="D38" i="32"/>
  <c r="AF130" i="5" l="1"/>
  <c r="AF131" i="5" s="1"/>
  <c r="AF145" i="5"/>
  <c r="AF146" i="5" s="1"/>
  <c r="AF157" i="5" s="1"/>
  <c r="AH89" i="5"/>
  <c r="AH92" i="5"/>
  <c r="AH153" i="5" s="1"/>
  <c r="AH128" i="5"/>
  <c r="AH102" i="5"/>
  <c r="AH143" i="5"/>
  <c r="AH87" i="5"/>
  <c r="AI79" i="5" s="1"/>
  <c r="AG108" i="5"/>
  <c r="AG111" i="5"/>
  <c r="AG154" i="5" s="1"/>
  <c r="AG144" i="5"/>
  <c r="AG129" i="5"/>
  <c r="AG106" i="5"/>
  <c r="AH97" i="5" s="1"/>
  <c r="CV127" i="5"/>
  <c r="CV142" i="5"/>
  <c r="CV86" i="5"/>
  <c r="CV105" i="5" s="1"/>
  <c r="CV58" i="5"/>
  <c r="CV59" i="5" s="1"/>
  <c r="CW52" i="5" s="1"/>
  <c r="CW53" i="5" s="1"/>
  <c r="CV76" i="5"/>
  <c r="CV71" i="5"/>
  <c r="CW64" i="5" s="1"/>
  <c r="CV73" i="5"/>
  <c r="CV101" i="5"/>
  <c r="FE160" i="2"/>
  <c r="FE171" i="2" s="1"/>
  <c r="F38" i="32"/>
  <c r="G38" i="32" s="1"/>
  <c r="H38" i="32" s="1"/>
  <c r="AF161" i="5" l="1"/>
  <c r="AF167" i="5"/>
  <c r="AH94" i="5"/>
  <c r="AG113" i="5"/>
  <c r="AG117" i="5" s="1"/>
  <c r="AG155" i="5" s="1"/>
  <c r="AG156" i="5" s="1"/>
  <c r="AI80" i="5"/>
  <c r="AH98" i="5"/>
  <c r="CW65" i="5"/>
  <c r="CW56" i="5"/>
  <c r="D39" i="32"/>
  <c r="AG116" i="5" l="1"/>
  <c r="AG118" i="5" s="1"/>
  <c r="CW141" i="5"/>
  <c r="CW126" i="5"/>
  <c r="CW68" i="5"/>
  <c r="CW61" i="5"/>
  <c r="AH103" i="5"/>
  <c r="AI84" i="5"/>
  <c r="FF160" i="2"/>
  <c r="FF171" i="2" s="1"/>
  <c r="F39" i="32"/>
  <c r="G39" i="32" s="1"/>
  <c r="H39" i="32" s="1"/>
  <c r="AG130" i="5" l="1"/>
  <c r="AG131" i="5" s="1"/>
  <c r="AG145" i="5"/>
  <c r="AG146" i="5" s="1"/>
  <c r="AG157" i="5" s="1"/>
  <c r="AH129" i="5"/>
  <c r="AH144" i="5"/>
  <c r="AH111" i="5"/>
  <c r="AH154" i="5" s="1"/>
  <c r="AH108" i="5"/>
  <c r="CW70" i="5"/>
  <c r="CW76" i="5" s="1"/>
  <c r="AI128" i="5"/>
  <c r="AI102" i="5"/>
  <c r="AI92" i="5"/>
  <c r="AI153" i="5" s="1"/>
  <c r="AI89" i="5"/>
  <c r="AI143" i="5"/>
  <c r="AI87" i="5"/>
  <c r="AJ79" i="5" s="1"/>
  <c r="CW83" i="5"/>
  <c r="AH106" i="5"/>
  <c r="AI97" i="5" s="1"/>
  <c r="D40" i="32"/>
  <c r="AG161" i="5" l="1"/>
  <c r="AG167" i="5"/>
  <c r="AI94" i="5"/>
  <c r="AH113" i="5"/>
  <c r="AH116" i="5" s="1"/>
  <c r="CW73" i="5"/>
  <c r="CW86" i="5"/>
  <c r="CW142" i="5"/>
  <c r="CW127" i="5"/>
  <c r="CW58" i="5"/>
  <c r="CW59" i="5" s="1"/>
  <c r="CX52" i="5" s="1"/>
  <c r="CX53" i="5" s="1"/>
  <c r="CW71" i="5"/>
  <c r="CX64" i="5" s="1"/>
  <c r="AJ80" i="5"/>
  <c r="AI98" i="5"/>
  <c r="CW101" i="5"/>
  <c r="FG160" i="2"/>
  <c r="FG171" i="2" s="1"/>
  <c r="F40" i="32"/>
  <c r="G40" i="32" s="1"/>
  <c r="H40" i="32" s="1"/>
  <c r="AH117" i="5" l="1"/>
  <c r="AH155" i="5" s="1"/>
  <c r="AH156" i="5" s="1"/>
  <c r="AI103" i="5"/>
  <c r="AI106" i="5" s="1"/>
  <c r="AJ97" i="5" s="1"/>
  <c r="AJ98" i="5" s="1"/>
  <c r="AH145" i="5"/>
  <c r="AH146" i="5" s="1"/>
  <c r="AH130" i="5"/>
  <c r="AH131" i="5" s="1"/>
  <c r="CX65" i="5"/>
  <c r="CX56" i="5"/>
  <c r="CW105" i="5"/>
  <c r="AJ84" i="5"/>
  <c r="D41" i="32"/>
  <c r="AH118" i="5" l="1"/>
  <c r="AH157" i="5"/>
  <c r="AI144" i="5"/>
  <c r="AH161" i="5"/>
  <c r="AH167" i="5"/>
  <c r="AI129" i="5"/>
  <c r="AI111" i="5"/>
  <c r="AI154" i="5" s="1"/>
  <c r="AI108" i="5"/>
  <c r="AJ102" i="5"/>
  <c r="AJ89" i="5"/>
  <c r="AJ143" i="5"/>
  <c r="AJ92" i="5"/>
  <c r="AJ153" i="5" s="1"/>
  <c r="AJ128" i="5"/>
  <c r="CX68" i="5"/>
  <c r="CX61" i="5"/>
  <c r="CX141" i="5"/>
  <c r="CX126" i="5"/>
  <c r="AJ87" i="5"/>
  <c r="AK79" i="5" s="1"/>
  <c r="FH160" i="2"/>
  <c r="FH171" i="2" s="1"/>
  <c r="F41" i="32"/>
  <c r="G41" i="32" s="1"/>
  <c r="H41" i="32" s="1"/>
  <c r="AJ94" i="5" l="1"/>
  <c r="AJ103" i="5" s="1"/>
  <c r="AJ106" i="5" s="1"/>
  <c r="AK97" i="5" s="1"/>
  <c r="AI113" i="5"/>
  <c r="AI116" i="5" s="1"/>
  <c r="AK80" i="5"/>
  <c r="CX70" i="5"/>
  <c r="CX73" i="5" s="1"/>
  <c r="CX83" i="5"/>
  <c r="D42" i="32"/>
  <c r="AI117" i="5" l="1"/>
  <c r="AI155" i="5" s="1"/>
  <c r="AI156" i="5" s="1"/>
  <c r="AJ108" i="5"/>
  <c r="CX71" i="5"/>
  <c r="CY64" i="5" s="1"/>
  <c r="CX76" i="5"/>
  <c r="AK98" i="5"/>
  <c r="AI130" i="5"/>
  <c r="AI131" i="5" s="1"/>
  <c r="AI145" i="5"/>
  <c r="AI146" i="5" s="1"/>
  <c r="CX101" i="5"/>
  <c r="AJ129" i="5"/>
  <c r="AJ144" i="5"/>
  <c r="AJ111" i="5"/>
  <c r="AJ154" i="5" s="1"/>
  <c r="CX142" i="5"/>
  <c r="CX127" i="5"/>
  <c r="CX86" i="5"/>
  <c r="CX58" i="5"/>
  <c r="CX59" i="5" s="1"/>
  <c r="CY52" i="5" s="1"/>
  <c r="CY53" i="5" s="1"/>
  <c r="AK84" i="5"/>
  <c r="FI160" i="2"/>
  <c r="FI171" i="2" s="1"/>
  <c r="F42" i="32"/>
  <c r="G42" i="32" s="1"/>
  <c r="H42" i="32" s="1"/>
  <c r="AI157" i="5" l="1"/>
  <c r="AI118" i="5"/>
  <c r="AJ113" i="5"/>
  <c r="AJ116" i="5" s="1"/>
  <c r="AI167" i="5"/>
  <c r="AI161" i="5"/>
  <c r="CY65" i="5"/>
  <c r="CY56" i="5"/>
  <c r="AK92" i="5"/>
  <c r="AK153" i="5" s="1"/>
  <c r="AK128" i="5"/>
  <c r="AK89" i="5"/>
  <c r="AK143" i="5"/>
  <c r="AK102" i="5"/>
  <c r="AK87" i="5"/>
  <c r="AL79" i="5" s="1"/>
  <c r="CX105" i="5"/>
  <c r="D43" i="32"/>
  <c r="AJ117" i="5" l="1"/>
  <c r="AJ155" i="5" s="1"/>
  <c r="AJ156" i="5" s="1"/>
  <c r="AK94" i="5"/>
  <c r="AK103" i="5" s="1"/>
  <c r="AK106" i="5" s="1"/>
  <c r="AL97" i="5" s="1"/>
  <c r="AJ130" i="5"/>
  <c r="AJ131" i="5" s="1"/>
  <c r="AJ145" i="5"/>
  <c r="AJ146" i="5" s="1"/>
  <c r="AL80" i="5"/>
  <c r="CY126" i="5"/>
  <c r="CY68" i="5"/>
  <c r="CY141" i="5"/>
  <c r="CY61" i="5"/>
  <c r="FJ160" i="2"/>
  <c r="FJ171" i="2" s="1"/>
  <c r="F43" i="32"/>
  <c r="G43" i="32" s="1"/>
  <c r="H43" i="32" s="1"/>
  <c r="AJ157" i="5" l="1"/>
  <c r="AJ118" i="5"/>
  <c r="AL98" i="5"/>
  <c r="AJ167" i="5"/>
  <c r="AL84" i="5"/>
  <c r="AJ161" i="5"/>
  <c r="CY70" i="5"/>
  <c r="CY83" i="5"/>
  <c r="AK108" i="5"/>
  <c r="AK129" i="5"/>
  <c r="AK111" i="5"/>
  <c r="AK154" i="5" s="1"/>
  <c r="AK144" i="5"/>
  <c r="D44" i="32"/>
  <c r="CY101" i="5" l="1"/>
  <c r="AL89" i="5"/>
  <c r="AL143" i="5"/>
  <c r="AL102" i="5"/>
  <c r="AL128" i="5"/>
  <c r="AL92" i="5"/>
  <c r="AL153" i="5" s="1"/>
  <c r="AL87" i="5"/>
  <c r="AM79" i="5" s="1"/>
  <c r="CY58" i="5"/>
  <c r="CY59" i="5" s="1"/>
  <c r="CZ52" i="5" s="1"/>
  <c r="CZ53" i="5" s="1"/>
  <c r="CY127" i="5"/>
  <c r="CY86" i="5"/>
  <c r="CY142" i="5"/>
  <c r="CY71" i="5"/>
  <c r="CZ64" i="5" s="1"/>
  <c r="CY76" i="5"/>
  <c r="CY73" i="5"/>
  <c r="AK113" i="5"/>
  <c r="FK160" i="2"/>
  <c r="FK171" i="2" s="1"/>
  <c r="F44" i="32"/>
  <c r="G44" i="32" s="1"/>
  <c r="H44" i="32" s="1"/>
  <c r="AL94" i="5" l="1"/>
  <c r="AK117" i="5"/>
  <c r="AK155" i="5" s="1"/>
  <c r="AK156" i="5" s="1"/>
  <c r="AK116" i="5"/>
  <c r="CY105" i="5"/>
  <c r="CZ65" i="5"/>
  <c r="CZ56" i="5"/>
  <c r="AM80" i="5"/>
  <c r="D45" i="32"/>
  <c r="AK118" i="5" l="1"/>
  <c r="CZ61" i="5"/>
  <c r="CZ68" i="5"/>
  <c r="CZ126" i="5"/>
  <c r="CZ141" i="5"/>
  <c r="AK145" i="5"/>
  <c r="AK146" i="5" s="1"/>
  <c r="AK157" i="5" s="1"/>
  <c r="AK130" i="5"/>
  <c r="AK131" i="5" s="1"/>
  <c r="AM84" i="5"/>
  <c r="AL103" i="5"/>
  <c r="F45" i="32"/>
  <c r="G45" i="32" s="1"/>
  <c r="H45" i="32" s="1"/>
  <c r="FL160" i="2"/>
  <c r="FL171" i="2" s="1"/>
  <c r="AK161" i="5" l="1"/>
  <c r="AK167" i="5"/>
  <c r="CZ83" i="5"/>
  <c r="CZ70" i="5"/>
  <c r="AL111" i="5"/>
  <c r="AL154" i="5" s="1"/>
  <c r="AL144" i="5"/>
  <c r="AL129" i="5"/>
  <c r="AL108" i="5"/>
  <c r="AL106" i="5"/>
  <c r="AM97" i="5" s="1"/>
  <c r="AM143" i="5"/>
  <c r="AM128" i="5"/>
  <c r="AM92" i="5"/>
  <c r="AM153" i="5" s="1"/>
  <c r="AM89" i="5"/>
  <c r="AM102" i="5"/>
  <c r="AM87" i="5"/>
  <c r="AN79" i="5" s="1"/>
  <c r="D46" i="32"/>
  <c r="CZ71" i="5" l="1"/>
  <c r="DA64" i="5" s="1"/>
  <c r="CZ58" i="5"/>
  <c r="CZ59" i="5" s="1"/>
  <c r="DA52" i="5" s="1"/>
  <c r="DA53" i="5" s="1"/>
  <c r="CZ142" i="5"/>
  <c r="CZ86" i="5"/>
  <c r="CZ127" i="5"/>
  <c r="AM98" i="5"/>
  <c r="CZ73" i="5"/>
  <c r="CZ101" i="5"/>
  <c r="AM94" i="5"/>
  <c r="CZ76" i="5"/>
  <c r="AN80" i="5"/>
  <c r="AL113" i="5"/>
  <c r="FM160" i="2"/>
  <c r="FM171" i="2" s="1"/>
  <c r="F46" i="32"/>
  <c r="G46" i="32" s="1"/>
  <c r="H46" i="32" s="1"/>
  <c r="CZ105" i="5" l="1"/>
  <c r="AL117" i="5"/>
  <c r="AL155" i="5" s="1"/>
  <c r="AL156" i="5" s="1"/>
  <c r="AL116" i="5"/>
  <c r="AM103" i="5"/>
  <c r="DA65" i="5"/>
  <c r="DA56" i="5"/>
  <c r="AN84" i="5"/>
  <c r="D47" i="32"/>
  <c r="AL118" i="5" l="1"/>
  <c r="DA68" i="5"/>
  <c r="DA141" i="5"/>
  <c r="DA61" i="5"/>
  <c r="DA126" i="5"/>
  <c r="AM108" i="5"/>
  <c r="AM129" i="5"/>
  <c r="AM144" i="5"/>
  <c r="AM111" i="5"/>
  <c r="AM154" i="5" s="1"/>
  <c r="AM106" i="5"/>
  <c r="AN97" i="5" s="1"/>
  <c r="AL130" i="5"/>
  <c r="AL131" i="5" s="1"/>
  <c r="AL145" i="5"/>
  <c r="AL146" i="5" s="1"/>
  <c r="AL157" i="5" s="1"/>
  <c r="AN143" i="5"/>
  <c r="AN128" i="5"/>
  <c r="AN102" i="5"/>
  <c r="AN89" i="5"/>
  <c r="AN92" i="5"/>
  <c r="AN153" i="5" s="1"/>
  <c r="AN87" i="5"/>
  <c r="AO79" i="5" s="1"/>
  <c r="AO80" i="5" s="1"/>
  <c r="FN160" i="2"/>
  <c r="FN171" i="2" s="1"/>
  <c r="F47" i="32"/>
  <c r="G47" i="32" s="1"/>
  <c r="H47" i="32" s="1"/>
  <c r="AN94" i="5" l="1"/>
  <c r="AL161" i="5"/>
  <c r="AM113" i="5"/>
  <c r="AM116" i="5" s="1"/>
  <c r="AO84" i="5"/>
  <c r="AL167" i="5"/>
  <c r="DA70" i="5"/>
  <c r="AN98" i="5"/>
  <c r="DA83" i="5"/>
  <c r="D48" i="32"/>
  <c r="AN103" i="5" l="1"/>
  <c r="AN144" i="5" s="1"/>
  <c r="AM117" i="5"/>
  <c r="AM155" i="5" s="1"/>
  <c r="AM156" i="5" s="1"/>
  <c r="DA58" i="5"/>
  <c r="DA59" i="5" s="1"/>
  <c r="DB52" i="5" s="1"/>
  <c r="DB53" i="5" s="1"/>
  <c r="DA86" i="5"/>
  <c r="DA142" i="5"/>
  <c r="DA127" i="5"/>
  <c r="DA71" i="5"/>
  <c r="DB64" i="5" s="1"/>
  <c r="DA76" i="5"/>
  <c r="DA73" i="5"/>
  <c r="AO87" i="5"/>
  <c r="AP79" i="5" s="1"/>
  <c r="AO89" i="5"/>
  <c r="AO128" i="5"/>
  <c r="AO143" i="5"/>
  <c r="AO102" i="5"/>
  <c r="AO92" i="5"/>
  <c r="AO153" i="5" s="1"/>
  <c r="DA101" i="5"/>
  <c r="AM145" i="5"/>
  <c r="AM146" i="5" s="1"/>
  <c r="AM130" i="5"/>
  <c r="AM131" i="5" s="1"/>
  <c r="FO160" i="2"/>
  <c r="FO171" i="2" s="1"/>
  <c r="F48" i="32"/>
  <c r="G48" i="32" s="1"/>
  <c r="H48" i="32" s="1"/>
  <c r="AN108" i="5" l="1"/>
  <c r="AN111" i="5"/>
  <c r="AN154" i="5" s="1"/>
  <c r="AN129" i="5"/>
  <c r="AN106" i="5"/>
  <c r="AO97" i="5" s="1"/>
  <c r="AO98" i="5" s="1"/>
  <c r="AM157" i="5"/>
  <c r="AM118" i="5"/>
  <c r="AO94" i="5"/>
  <c r="DA105" i="5"/>
  <c r="DB65" i="5"/>
  <c r="DB56" i="5"/>
  <c r="AM161" i="5"/>
  <c r="AP80" i="5"/>
  <c r="AM167" i="5"/>
  <c r="D49" i="32"/>
  <c r="AN113" i="5" l="1"/>
  <c r="AN116" i="5" s="1"/>
  <c r="AN145" i="5" s="1"/>
  <c r="AN146" i="5" s="1"/>
  <c r="DB141" i="5"/>
  <c r="DB61" i="5"/>
  <c r="DB126" i="5"/>
  <c r="DB68" i="5"/>
  <c r="AP84" i="5"/>
  <c r="AO103" i="5"/>
  <c r="F49" i="32"/>
  <c r="G49" i="32" s="1"/>
  <c r="H49" i="32" s="1"/>
  <c r="FP160" i="2"/>
  <c r="FP171" i="2" s="1"/>
  <c r="AN117" i="5" l="1"/>
  <c r="AN155" i="5" s="1"/>
  <c r="AN156" i="5" s="1"/>
  <c r="AN161" i="5" s="1"/>
  <c r="AN130" i="5"/>
  <c r="AN131" i="5" s="1"/>
  <c r="AO108" i="5"/>
  <c r="AO111" i="5"/>
  <c r="AO154" i="5" s="1"/>
  <c r="AO144" i="5"/>
  <c r="AO129" i="5"/>
  <c r="DB70" i="5"/>
  <c r="DB83" i="5"/>
  <c r="DB101" i="5" s="1"/>
  <c r="AN157" i="5"/>
  <c r="AP92" i="5"/>
  <c r="AP153" i="5" s="1"/>
  <c r="AP128" i="5"/>
  <c r="AP143" i="5"/>
  <c r="AP102" i="5"/>
  <c r="AP89" i="5"/>
  <c r="AP87" i="5"/>
  <c r="AQ79" i="5" s="1"/>
  <c r="AQ80" i="5" s="1"/>
  <c r="AO106" i="5"/>
  <c r="AP97" i="5" s="1"/>
  <c r="D50" i="32"/>
  <c r="AN167" i="5" l="1"/>
  <c r="AN118" i="5"/>
  <c r="AO113" i="5"/>
  <c r="AO117" i="5" s="1"/>
  <c r="AO155" i="5" s="1"/>
  <c r="AO156" i="5" s="1"/>
  <c r="DB142" i="5"/>
  <c r="DB86" i="5"/>
  <c r="DB105" i="5" s="1"/>
  <c r="DB127" i="5"/>
  <c r="DB58" i="5"/>
  <c r="DB59" i="5" s="1"/>
  <c r="DC52" i="5" s="1"/>
  <c r="DC53" i="5" s="1"/>
  <c r="DB76" i="5"/>
  <c r="AP98" i="5"/>
  <c r="DB71" i="5"/>
  <c r="DC64" i="5" s="1"/>
  <c r="AP94" i="5"/>
  <c r="DB73" i="5"/>
  <c r="AQ84" i="5"/>
  <c r="FQ160" i="2"/>
  <c r="FQ171" i="2" s="1"/>
  <c r="F50" i="32"/>
  <c r="G50" i="32" s="1"/>
  <c r="H50" i="32" s="1"/>
  <c r="AO116" i="5" l="1"/>
  <c r="AO130" i="5" s="1"/>
  <c r="AO131" i="5" s="1"/>
  <c r="AQ87" i="5"/>
  <c r="AR79" i="5" s="1"/>
  <c r="AQ143" i="5"/>
  <c r="AQ92" i="5"/>
  <c r="AQ153" i="5" s="1"/>
  <c r="AQ89" i="5"/>
  <c r="AQ128" i="5"/>
  <c r="AQ102" i="5"/>
  <c r="DC65" i="5"/>
  <c r="DC56" i="5"/>
  <c r="AP103" i="5"/>
  <c r="D51" i="32"/>
  <c r="AO145" i="5" l="1"/>
  <c r="AO146" i="5" s="1"/>
  <c r="AO161" i="5" s="1"/>
  <c r="AO118" i="5"/>
  <c r="AQ94" i="5"/>
  <c r="AP129" i="5"/>
  <c r="AP111" i="5"/>
  <c r="AP154" i="5" s="1"/>
  <c r="AP144" i="5"/>
  <c r="AP108" i="5"/>
  <c r="AP106" i="5"/>
  <c r="AQ97" i="5" s="1"/>
  <c r="DC61" i="5"/>
  <c r="DC68" i="5"/>
  <c r="DC126" i="5"/>
  <c r="DC141" i="5"/>
  <c r="AR80" i="5"/>
  <c r="FR160" i="2"/>
  <c r="FR171" i="2" s="1"/>
  <c r="F51" i="32"/>
  <c r="G51" i="32" s="1"/>
  <c r="H51" i="32" s="1"/>
  <c r="AO167" i="5" l="1"/>
  <c r="AO157" i="5"/>
  <c r="AP113" i="5"/>
  <c r="AP116" i="5" s="1"/>
  <c r="AQ98" i="5"/>
  <c r="AQ103" i="5" s="1"/>
  <c r="AQ106" i="5" s="1"/>
  <c r="AR97" i="5" s="1"/>
  <c r="AR84" i="5"/>
  <c r="DC83" i="5"/>
  <c r="DC101" i="5" s="1"/>
  <c r="DC70" i="5"/>
  <c r="D52" i="32"/>
  <c r="AP117" i="5" l="1"/>
  <c r="AP155" i="5" s="1"/>
  <c r="AP156" i="5" s="1"/>
  <c r="AR98" i="5"/>
  <c r="AQ108" i="5"/>
  <c r="AQ111" i="5"/>
  <c r="AQ154" i="5" s="1"/>
  <c r="AQ144" i="5"/>
  <c r="AQ129" i="5"/>
  <c r="DC86" i="5"/>
  <c r="DC105" i="5" s="1"/>
  <c r="DC142" i="5"/>
  <c r="DC127" i="5"/>
  <c r="DC58" i="5"/>
  <c r="DC59" i="5" s="1"/>
  <c r="DD52" i="5" s="1"/>
  <c r="DD53" i="5" s="1"/>
  <c r="DC76" i="5"/>
  <c r="DC71" i="5"/>
  <c r="DD64" i="5" s="1"/>
  <c r="AR128" i="5"/>
  <c r="AR102" i="5"/>
  <c r="AR89" i="5"/>
  <c r="AR143" i="5"/>
  <c r="AR92" i="5"/>
  <c r="AR153" i="5" s="1"/>
  <c r="DC73" i="5"/>
  <c r="AP145" i="5"/>
  <c r="AP146" i="5" s="1"/>
  <c r="AP130" i="5"/>
  <c r="AP131" i="5" s="1"/>
  <c r="AR87" i="5"/>
  <c r="AS79" i="5" s="1"/>
  <c r="AS80" i="5" s="1"/>
  <c r="FS160" i="2"/>
  <c r="FS171" i="2" s="1"/>
  <c r="F52" i="32"/>
  <c r="G52" i="32" s="1"/>
  <c r="H52" i="32" s="1"/>
  <c r="AQ113" i="5" l="1"/>
  <c r="AQ116" i="5" s="1"/>
  <c r="AP161" i="5"/>
  <c r="AP118" i="5"/>
  <c r="AP167" i="5"/>
  <c r="AR94" i="5"/>
  <c r="AS84" i="5"/>
  <c r="DD65" i="5"/>
  <c r="DD56" i="5"/>
  <c r="AP157" i="5"/>
  <c r="D53" i="32"/>
  <c r="AQ117" i="5" l="1"/>
  <c r="AQ155" i="5" s="1"/>
  <c r="AQ156" i="5" s="1"/>
  <c r="AS87" i="5"/>
  <c r="AT79" i="5" s="1"/>
  <c r="AS89" i="5"/>
  <c r="AS102" i="5"/>
  <c r="AS143" i="5"/>
  <c r="AS128" i="5"/>
  <c r="AS92" i="5"/>
  <c r="AS153" i="5" s="1"/>
  <c r="DD68" i="5"/>
  <c r="DD126" i="5"/>
  <c r="DD61" i="5"/>
  <c r="DD141" i="5"/>
  <c r="AQ130" i="5"/>
  <c r="AQ131" i="5" s="1"/>
  <c r="AQ145" i="5"/>
  <c r="AQ146" i="5" s="1"/>
  <c r="AR103" i="5"/>
  <c r="F53" i="32"/>
  <c r="G53" i="32" s="1"/>
  <c r="H53" i="32" s="1"/>
  <c r="FT160" i="2"/>
  <c r="FT171" i="2" s="1"/>
  <c r="AQ118" i="5" l="1"/>
  <c r="AQ157" i="5"/>
  <c r="AS94" i="5"/>
  <c r="DD83" i="5"/>
  <c r="DD101" i="5" s="1"/>
  <c r="AQ161" i="5"/>
  <c r="AR129" i="5"/>
  <c r="AR111" i="5"/>
  <c r="AR154" i="5" s="1"/>
  <c r="AR144" i="5"/>
  <c r="AR106" i="5"/>
  <c r="AS97" i="5" s="1"/>
  <c r="AR108" i="5"/>
  <c r="DD70" i="5"/>
  <c r="AQ167" i="5"/>
  <c r="AT80" i="5"/>
  <c r="D54" i="32"/>
  <c r="DD86" i="5" l="1"/>
  <c r="DD105" i="5" s="1"/>
  <c r="DD127" i="5"/>
  <c r="DD142" i="5"/>
  <c r="DD58" i="5"/>
  <c r="DD59" i="5" s="1"/>
  <c r="DE52" i="5" s="1"/>
  <c r="DE53" i="5" s="1"/>
  <c r="DD71" i="5"/>
  <c r="DE64" i="5" s="1"/>
  <c r="DD73" i="5"/>
  <c r="AS98" i="5"/>
  <c r="AS103" i="5" s="1"/>
  <c r="AS106" i="5" s="1"/>
  <c r="AT97" i="5" s="1"/>
  <c r="DD76" i="5"/>
  <c r="AT84" i="5"/>
  <c r="AR113" i="5"/>
  <c r="F54" i="32"/>
  <c r="G54" i="32" s="1"/>
  <c r="H54" i="32" s="1"/>
  <c r="FU160" i="2"/>
  <c r="FU171" i="2" s="1"/>
  <c r="AT98" i="5" l="1"/>
  <c r="AT92" i="5"/>
  <c r="AT153" i="5" s="1"/>
  <c r="AT143" i="5"/>
  <c r="AT128" i="5"/>
  <c r="AT89" i="5"/>
  <c r="AT102" i="5"/>
  <c r="AT87" i="5"/>
  <c r="AU79" i="5" s="1"/>
  <c r="DE65" i="5"/>
  <c r="DE56" i="5"/>
  <c r="AS129" i="5"/>
  <c r="AS144" i="5"/>
  <c r="AS111" i="5"/>
  <c r="AS154" i="5" s="1"/>
  <c r="AS108" i="5"/>
  <c r="AR116" i="5"/>
  <c r="AR117" i="5"/>
  <c r="AR155" i="5" s="1"/>
  <c r="AR156" i="5" s="1"/>
  <c r="D55" i="32"/>
  <c r="AT94" i="5" l="1"/>
  <c r="AT103" i="5" s="1"/>
  <c r="AR118" i="5"/>
  <c r="AS113" i="5"/>
  <c r="AS117" i="5" s="1"/>
  <c r="AS155" i="5" s="1"/>
  <c r="AS156" i="5" s="1"/>
  <c r="DE126" i="5"/>
  <c r="DE61" i="5"/>
  <c r="DE68" i="5"/>
  <c r="DE141" i="5"/>
  <c r="AR130" i="5"/>
  <c r="AR131" i="5" s="1"/>
  <c r="AR145" i="5"/>
  <c r="AR146" i="5" s="1"/>
  <c r="AR157" i="5" s="1"/>
  <c r="AU80" i="5"/>
  <c r="FV160" i="2"/>
  <c r="FV171" i="2" s="1"/>
  <c r="F55" i="32"/>
  <c r="G55" i="32" s="1"/>
  <c r="H55" i="32" s="1"/>
  <c r="AS116" i="5" l="1"/>
  <c r="AS118" i="5" s="1"/>
  <c r="AR167" i="5"/>
  <c r="AR161" i="5"/>
  <c r="AT111" i="5"/>
  <c r="AT154" i="5" s="1"/>
  <c r="AT144" i="5"/>
  <c r="AT129" i="5"/>
  <c r="DE83" i="5"/>
  <c r="DE101" i="5" s="1"/>
  <c r="AT106" i="5"/>
  <c r="AU97" i="5" s="1"/>
  <c r="AU98" i="5" s="1"/>
  <c r="DE70" i="5"/>
  <c r="DE76" i="5" s="1"/>
  <c r="AT108" i="5"/>
  <c r="AU84" i="5"/>
  <c r="D56" i="32"/>
  <c r="AS130" i="5" l="1"/>
  <c r="AS131" i="5" s="1"/>
  <c r="AS145" i="5"/>
  <c r="AS146" i="5" s="1"/>
  <c r="AS161" i="5" s="1"/>
  <c r="DE71" i="5"/>
  <c r="DF64" i="5" s="1"/>
  <c r="DE73" i="5"/>
  <c r="AT113" i="5"/>
  <c r="AT116" i="5" s="1"/>
  <c r="AU92" i="5"/>
  <c r="AU153" i="5" s="1"/>
  <c r="AU128" i="5"/>
  <c r="AU89" i="5"/>
  <c r="AU143" i="5"/>
  <c r="AU102" i="5"/>
  <c r="AU87" i="5"/>
  <c r="AV79" i="5" s="1"/>
  <c r="DE58" i="5"/>
  <c r="DE59" i="5" s="1"/>
  <c r="DF52" i="5" s="1"/>
  <c r="DF53" i="5" s="1"/>
  <c r="DE127" i="5"/>
  <c r="DE142" i="5"/>
  <c r="DE86" i="5"/>
  <c r="DE105" i="5" s="1"/>
  <c r="FW160" i="2"/>
  <c r="FW171" i="2" s="1"/>
  <c r="F56" i="32"/>
  <c r="G56" i="32" s="1"/>
  <c r="H56" i="32" s="1"/>
  <c r="AS167" i="5" l="1"/>
  <c r="AS157" i="5"/>
  <c r="AU94" i="5"/>
  <c r="AU103" i="5" s="1"/>
  <c r="AT117" i="5"/>
  <c r="AT155" i="5" s="1"/>
  <c r="AT156" i="5" s="1"/>
  <c r="AT145" i="5"/>
  <c r="AT146" i="5" s="1"/>
  <c r="AT130" i="5"/>
  <c r="AT131" i="5" s="1"/>
  <c r="AV80" i="5"/>
  <c r="DF65" i="5"/>
  <c r="DF56" i="5"/>
  <c r="D57" i="32"/>
  <c r="AT118" i="5" l="1"/>
  <c r="AT157" i="5"/>
  <c r="AT161" i="5"/>
  <c r="AT167" i="5"/>
  <c r="AU108" i="5"/>
  <c r="DF68" i="5"/>
  <c r="DF141" i="5"/>
  <c r="DF61" i="5"/>
  <c r="DF126" i="5"/>
  <c r="AV84" i="5"/>
  <c r="AU106" i="5"/>
  <c r="AV97" i="5" s="1"/>
  <c r="AU144" i="5"/>
  <c r="AU111" i="5"/>
  <c r="AU154" i="5" s="1"/>
  <c r="AU129" i="5"/>
  <c r="F57" i="32"/>
  <c r="G57" i="32" s="1"/>
  <c r="H57" i="32" s="1"/>
  <c r="FX160" i="2"/>
  <c r="FX171" i="2" s="1"/>
  <c r="AV89" i="5" l="1"/>
  <c r="AV128" i="5"/>
  <c r="AV102" i="5"/>
  <c r="AV92" i="5"/>
  <c r="AV153" i="5" s="1"/>
  <c r="AV143" i="5"/>
  <c r="AV87" i="5"/>
  <c r="AW79" i="5" s="1"/>
  <c r="DF83" i="5"/>
  <c r="DF101" i="5" s="1"/>
  <c r="DF70" i="5"/>
  <c r="DF76" i="5" s="1"/>
  <c r="AV98" i="5"/>
  <c r="AU113" i="5"/>
  <c r="D58" i="32"/>
  <c r="AV94" i="5" l="1"/>
  <c r="AV103" i="5" s="1"/>
  <c r="AV108" i="5" s="1"/>
  <c r="AU116" i="5"/>
  <c r="AU117" i="5"/>
  <c r="AU155" i="5" s="1"/>
  <c r="AU156" i="5" s="1"/>
  <c r="AW80" i="5"/>
  <c r="DF127" i="5"/>
  <c r="DF142" i="5"/>
  <c r="DF86" i="5"/>
  <c r="DF105" i="5" s="1"/>
  <c r="DF58" i="5"/>
  <c r="DF59" i="5" s="1"/>
  <c r="DG52" i="5" s="1"/>
  <c r="DG53" i="5" s="1"/>
  <c r="DF71" i="5"/>
  <c r="DG64" i="5" s="1"/>
  <c r="DF73" i="5"/>
  <c r="FY160" i="2"/>
  <c r="FY171" i="2" s="1"/>
  <c r="F58" i="32"/>
  <c r="G58" i="32" s="1"/>
  <c r="H58" i="32" s="1"/>
  <c r="AU118" i="5" l="1"/>
  <c r="AW84" i="5"/>
  <c r="DG65" i="5"/>
  <c r="DG56" i="5"/>
  <c r="AU145" i="5"/>
  <c r="AU146" i="5" s="1"/>
  <c r="AU161" i="5" s="1"/>
  <c r="AU130" i="5"/>
  <c r="AU131" i="5" s="1"/>
  <c r="AV111" i="5"/>
  <c r="AV154" i="5" s="1"/>
  <c r="AV144" i="5"/>
  <c r="AV129" i="5"/>
  <c r="AV106" i="5"/>
  <c r="AW97" i="5" s="1"/>
  <c r="D59" i="32"/>
  <c r="DG61" i="5" l="1"/>
  <c r="DG68" i="5"/>
  <c r="DG141" i="5"/>
  <c r="DG126" i="5"/>
  <c r="AU167" i="5"/>
  <c r="AW143" i="5"/>
  <c r="AW92" i="5"/>
  <c r="AW153" i="5" s="1"/>
  <c r="AW128" i="5"/>
  <c r="AW89" i="5"/>
  <c r="AW102" i="5"/>
  <c r="AU157" i="5"/>
  <c r="AV113" i="5"/>
  <c r="AW98" i="5"/>
  <c r="AW87" i="5"/>
  <c r="AX79" i="5" s="1"/>
  <c r="F59" i="32"/>
  <c r="G59" i="32" s="1"/>
  <c r="H59" i="32" s="1"/>
  <c r="FZ160" i="2"/>
  <c r="FZ171" i="2" s="1"/>
  <c r="AX80" i="5" l="1"/>
  <c r="AX84" i="5" s="1"/>
  <c r="AX87" i="5" s="1"/>
  <c r="AY79" i="5" s="1"/>
  <c r="AW94" i="5"/>
  <c r="DG83" i="5"/>
  <c r="DG101" i="5" s="1"/>
  <c r="AV116" i="5"/>
  <c r="AV117" i="5"/>
  <c r="AV155" i="5" s="1"/>
  <c r="AV156" i="5" s="1"/>
  <c r="DG70" i="5"/>
  <c r="DG73" i="5" s="1"/>
  <c r="D60" i="32"/>
  <c r="AY80" i="5" l="1"/>
  <c r="AY84" i="5" s="1"/>
  <c r="AY87" i="5" s="1"/>
  <c r="AZ79" i="5" s="1"/>
  <c r="AZ80" i="5" s="1"/>
  <c r="AZ84" i="5" s="1"/>
  <c r="AV145" i="5"/>
  <c r="AV146" i="5" s="1"/>
  <c r="AV161" i="5" s="1"/>
  <c r="AV130" i="5"/>
  <c r="AV131" i="5" s="1"/>
  <c r="DG71" i="5"/>
  <c r="DH64" i="5" s="1"/>
  <c r="DG86" i="5"/>
  <c r="DG105" i="5" s="1"/>
  <c r="DG58" i="5"/>
  <c r="DG59" i="5" s="1"/>
  <c r="DH52" i="5" s="1"/>
  <c r="DH53" i="5" s="1"/>
  <c r="DG127" i="5"/>
  <c r="DG142" i="5"/>
  <c r="AW103" i="5"/>
  <c r="DG76" i="5"/>
  <c r="AV118" i="5"/>
  <c r="AX102" i="5"/>
  <c r="AX92" i="5"/>
  <c r="AX153" i="5" s="1"/>
  <c r="AX128" i="5"/>
  <c r="AX143" i="5"/>
  <c r="AX89" i="5"/>
  <c r="GA160" i="2"/>
  <c r="GA171" i="2" s="1"/>
  <c r="F60" i="32"/>
  <c r="G60" i="32" s="1"/>
  <c r="H60" i="32" s="1"/>
  <c r="AV157" i="5" l="1"/>
  <c r="AV167" i="5"/>
  <c r="AX94" i="5"/>
  <c r="AZ87" i="5"/>
  <c r="BA79" i="5" s="1"/>
  <c r="BA80" i="5" s="1"/>
  <c r="BA84" i="5" s="1"/>
  <c r="AZ128" i="5"/>
  <c r="AZ102" i="5"/>
  <c r="AZ92" i="5"/>
  <c r="AZ153" i="5" s="1"/>
  <c r="AZ89" i="5"/>
  <c r="AZ143" i="5"/>
  <c r="DH65" i="5"/>
  <c r="DH56" i="5"/>
  <c r="AW129" i="5"/>
  <c r="AW144" i="5"/>
  <c r="AW111" i="5"/>
  <c r="AW154" i="5" s="1"/>
  <c r="AW106" i="5"/>
  <c r="AX97" i="5" s="1"/>
  <c r="AW108" i="5"/>
  <c r="AY143" i="5"/>
  <c r="AY128" i="5"/>
  <c r="AY102" i="5"/>
  <c r="AY89" i="5"/>
  <c r="AY92" i="5"/>
  <c r="AY153" i="5" s="1"/>
  <c r="D61" i="32"/>
  <c r="AX98" i="5" l="1"/>
  <c r="AX103" i="5" s="1"/>
  <c r="AX106" i="5" s="1"/>
  <c r="AY97" i="5" s="1"/>
  <c r="AY94" i="5"/>
  <c r="DH61" i="5"/>
  <c r="DH141" i="5"/>
  <c r="DH68" i="5"/>
  <c r="DH126" i="5"/>
  <c r="AZ94" i="5"/>
  <c r="BA87" i="5"/>
  <c r="BB79" i="5" s="1"/>
  <c r="BB80" i="5" s="1"/>
  <c r="BB84" i="5" s="1"/>
  <c r="BA128" i="5"/>
  <c r="BA92" i="5"/>
  <c r="BA153" i="5" s="1"/>
  <c r="BA89" i="5"/>
  <c r="BA143" i="5"/>
  <c r="BA102" i="5"/>
  <c r="AW113" i="5"/>
  <c r="GB160" i="2"/>
  <c r="GB171" i="2" s="1"/>
  <c r="F61" i="32"/>
  <c r="G61" i="32" s="1"/>
  <c r="H61" i="32" s="1"/>
  <c r="AY98" i="5" l="1"/>
  <c r="AY103" i="5" s="1"/>
  <c r="DH70" i="5"/>
  <c r="DH73" i="5" s="1"/>
  <c r="BB87" i="5"/>
  <c r="BC79" i="5" s="1"/>
  <c r="BC80" i="5" s="1"/>
  <c r="BC84" i="5" s="1"/>
  <c r="BB102" i="5"/>
  <c r="BB128" i="5"/>
  <c r="BB143" i="5"/>
  <c r="BB89" i="5"/>
  <c r="BB92" i="5"/>
  <c r="BB153" i="5" s="1"/>
  <c r="DH83" i="5"/>
  <c r="DH101" i="5" s="1"/>
  <c r="AW117" i="5"/>
  <c r="AW155" i="5" s="1"/>
  <c r="AW156" i="5" s="1"/>
  <c r="AW116" i="5"/>
  <c r="AX129" i="5"/>
  <c r="AX111" i="5"/>
  <c r="AX154" i="5" s="1"/>
  <c r="AX144" i="5"/>
  <c r="AX108" i="5"/>
  <c r="BA94" i="5"/>
  <c r="D62" i="32"/>
  <c r="BB94" i="5" l="1"/>
  <c r="AW118" i="5"/>
  <c r="BC87" i="5"/>
  <c r="BD79" i="5" s="1"/>
  <c r="BC92" i="5"/>
  <c r="BC153" i="5" s="1"/>
  <c r="BC143" i="5"/>
  <c r="BC89" i="5"/>
  <c r="BC102" i="5"/>
  <c r="BC128" i="5"/>
  <c r="AY108" i="5"/>
  <c r="AY129" i="5"/>
  <c r="AY144" i="5"/>
  <c r="AY111" i="5"/>
  <c r="AY154" i="5" s="1"/>
  <c r="DH142" i="5"/>
  <c r="DH127" i="5"/>
  <c r="DH86" i="5"/>
  <c r="DH105" i="5" s="1"/>
  <c r="DH58" i="5"/>
  <c r="DH59" i="5" s="1"/>
  <c r="DI52" i="5" s="1"/>
  <c r="DI53" i="5" s="1"/>
  <c r="DH76" i="5"/>
  <c r="AW145" i="5"/>
  <c r="AW146" i="5" s="1"/>
  <c r="AW157" i="5" s="1"/>
  <c r="AW130" i="5"/>
  <c r="AW131" i="5" s="1"/>
  <c r="AX113" i="5"/>
  <c r="AY106" i="5"/>
  <c r="AZ97" i="5" s="1"/>
  <c r="DH71" i="5"/>
  <c r="DI64" i="5" s="1"/>
  <c r="GC160" i="2"/>
  <c r="GC171" i="2" s="1"/>
  <c r="GD160" i="2" s="1"/>
  <c r="F62" i="32"/>
  <c r="G62" i="32" s="1"/>
  <c r="H62" i="32" s="1"/>
  <c r="DI65" i="5" l="1"/>
  <c r="DI56" i="5"/>
  <c r="AW167" i="5"/>
  <c r="AZ98" i="5"/>
  <c r="BD80" i="5"/>
  <c r="BD84" i="5" s="1"/>
  <c r="AW161" i="5"/>
  <c r="AX117" i="5"/>
  <c r="AX155" i="5" s="1"/>
  <c r="AX156" i="5" s="1"/>
  <c r="AX116" i="5"/>
  <c r="BC94" i="5"/>
  <c r="AY113" i="5"/>
  <c r="GD171" i="2"/>
  <c r="GE160" i="2" s="1"/>
  <c r="D64" i="32"/>
  <c r="F64" i="32" s="1"/>
  <c r="G64" i="32" s="1"/>
  <c r="H64" i="32" s="1"/>
  <c r="D63" i="32"/>
  <c r="DI61" i="5" l="1"/>
  <c r="DI70" i="5" s="1"/>
  <c r="DI141" i="5"/>
  <c r="DI126" i="5"/>
  <c r="DI68" i="5"/>
  <c r="AX118" i="5"/>
  <c r="BD89" i="5"/>
  <c r="BD92" i="5"/>
  <c r="BD153" i="5" s="1"/>
  <c r="BD128" i="5"/>
  <c r="BD102" i="5"/>
  <c r="BD143" i="5"/>
  <c r="AZ103" i="5"/>
  <c r="AX145" i="5"/>
  <c r="AX146" i="5" s="1"/>
  <c r="AX161" i="5" s="1"/>
  <c r="AX130" i="5"/>
  <c r="AX131" i="5" s="1"/>
  <c r="AY117" i="5"/>
  <c r="AY155" i="5" s="1"/>
  <c r="AY156" i="5" s="1"/>
  <c r="AY116" i="5"/>
  <c r="BD87" i="5"/>
  <c r="BE79" i="5" s="1"/>
  <c r="GE171" i="2"/>
  <c r="GF160" i="2" s="1"/>
  <c r="D65" i="32"/>
  <c r="F65" i="32" s="1"/>
  <c r="G65" i="32" s="1"/>
  <c r="H65" i="32" s="1"/>
  <c r="F63" i="32"/>
  <c r="G63" i="32" s="1"/>
  <c r="H63" i="32" s="1"/>
  <c r="DI83" i="5" l="1"/>
  <c r="DI101" i="5" s="1"/>
  <c r="DI73" i="5"/>
  <c r="DI71" i="5"/>
  <c r="DJ64" i="5" s="1"/>
  <c r="BD94" i="5"/>
  <c r="DI76" i="5"/>
  <c r="DI142" i="5"/>
  <c r="DI86" i="5"/>
  <c r="DI105" i="5" s="1"/>
  <c r="DI58" i="5"/>
  <c r="DI59" i="5" s="1"/>
  <c r="DJ52" i="5" s="1"/>
  <c r="DJ53" i="5" s="1"/>
  <c r="DI127" i="5"/>
  <c r="AX167" i="5"/>
  <c r="AZ129" i="5"/>
  <c r="AZ111" i="5"/>
  <c r="AZ154" i="5" s="1"/>
  <c r="AZ144" i="5"/>
  <c r="AZ108" i="5"/>
  <c r="AY130" i="5"/>
  <c r="AY131" i="5" s="1"/>
  <c r="AY145" i="5"/>
  <c r="AY146" i="5" s="1"/>
  <c r="AY157" i="5" s="1"/>
  <c r="AZ106" i="5"/>
  <c r="BA97" i="5" s="1"/>
  <c r="BA98" i="5" s="1"/>
  <c r="BE80" i="5"/>
  <c r="BE84" i="5" s="1"/>
  <c r="BE87" i="5" s="1"/>
  <c r="BF79" i="5" s="1"/>
  <c r="AY118" i="5"/>
  <c r="AX157" i="5"/>
  <c r="GF171" i="2"/>
  <c r="GG160" i="2" s="1"/>
  <c r="D66" i="32"/>
  <c r="F66" i="32" s="1"/>
  <c r="G66" i="32" s="1"/>
  <c r="H66" i="32" s="1"/>
  <c r="DJ65" i="5" l="1"/>
  <c r="G65" i="5" s="1"/>
  <c r="G53" i="5"/>
  <c r="DJ56" i="5"/>
  <c r="AZ113" i="5"/>
  <c r="AZ116" i="5" s="1"/>
  <c r="AY167" i="5"/>
  <c r="BF80" i="5"/>
  <c r="BF84" i="5" s="1"/>
  <c r="BF87" i="5" s="1"/>
  <c r="BG79" i="5" s="1"/>
  <c r="BE102" i="5"/>
  <c r="BE128" i="5"/>
  <c r="BE143" i="5"/>
  <c r="BE89" i="5"/>
  <c r="BE92" i="5"/>
  <c r="BE153" i="5" s="1"/>
  <c r="BA103" i="5"/>
  <c r="AY161" i="5"/>
  <c r="GG171" i="2"/>
  <c r="GH160" i="2" s="1"/>
  <c r="D67" i="32"/>
  <c r="F67" i="32" s="1"/>
  <c r="G67" i="32" s="1"/>
  <c r="H67" i="32" s="1"/>
  <c r="AZ117" i="5" l="1"/>
  <c r="AZ155" i="5" s="1"/>
  <c r="AZ156" i="5" s="1"/>
  <c r="DK56" i="5"/>
  <c r="DL56" i="5" s="1"/>
  <c r="DJ126" i="5"/>
  <c r="DJ61" i="5"/>
  <c r="DJ68" i="5"/>
  <c r="DJ141" i="5"/>
  <c r="BG80" i="5"/>
  <c r="BG84" i="5" s="1"/>
  <c r="BG87" i="5" s="1"/>
  <c r="BH79" i="5" s="1"/>
  <c r="AZ130" i="5"/>
  <c r="AZ131" i="5" s="1"/>
  <c r="AZ145" i="5"/>
  <c r="AZ146" i="5" s="1"/>
  <c r="BA106" i="5"/>
  <c r="BB97" i="5" s="1"/>
  <c r="BA144" i="5"/>
  <c r="BA111" i="5"/>
  <c r="BA154" i="5" s="1"/>
  <c r="BA129" i="5"/>
  <c r="BA108" i="5"/>
  <c r="BE94" i="5"/>
  <c r="BF143" i="5"/>
  <c r="BF102" i="5"/>
  <c r="BF89" i="5"/>
  <c r="BF128" i="5"/>
  <c r="BF92" i="5"/>
  <c r="BF153" i="5" s="1"/>
  <c r="GH171" i="2"/>
  <c r="GI160" i="2" s="1"/>
  <c r="D68" i="32"/>
  <c r="F68" i="32" s="1"/>
  <c r="G68" i="32" s="1"/>
  <c r="H68" i="32" s="1"/>
  <c r="AZ118" i="5" l="1"/>
  <c r="AZ161" i="5"/>
  <c r="DL126" i="5"/>
  <c r="DL68" i="5"/>
  <c r="DL141" i="5"/>
  <c r="DL61" i="5"/>
  <c r="DJ83" i="5"/>
  <c r="DJ101" i="5" s="1"/>
  <c r="DJ70" i="5"/>
  <c r="DJ71" i="5" s="1"/>
  <c r="DK64" i="5" s="1"/>
  <c r="DK141" i="5"/>
  <c r="DK68" i="5"/>
  <c r="DK61" i="5"/>
  <c r="DK126" i="5"/>
  <c r="DM56" i="5"/>
  <c r="DN56" i="5" s="1"/>
  <c r="BF94" i="5"/>
  <c r="AZ157" i="5"/>
  <c r="BH80" i="5"/>
  <c r="BH84" i="5" s="1"/>
  <c r="BH87" i="5" s="1"/>
  <c r="BI79" i="5" s="1"/>
  <c r="BA113" i="5"/>
  <c r="AZ167" i="5"/>
  <c r="BB98" i="5"/>
  <c r="BG92" i="5"/>
  <c r="BG153" i="5" s="1"/>
  <c r="BG143" i="5"/>
  <c r="BG102" i="5"/>
  <c r="BG128" i="5"/>
  <c r="BG89" i="5"/>
  <c r="GI171" i="2"/>
  <c r="GJ160" i="2" s="1"/>
  <c r="D69" i="32"/>
  <c r="F69" i="32" s="1"/>
  <c r="G69" i="32" s="1"/>
  <c r="H69" i="32" s="1"/>
  <c r="DN141" i="5" l="1"/>
  <c r="DN126" i="5"/>
  <c r="DN68" i="5"/>
  <c r="DN61" i="5"/>
  <c r="DM126" i="5"/>
  <c r="DM61" i="5"/>
  <c r="DM141" i="5"/>
  <c r="DM68" i="5"/>
  <c r="DO56" i="5"/>
  <c r="DP56" i="5" s="1"/>
  <c r="DK83" i="5"/>
  <c r="DK101" i="5" s="1"/>
  <c r="DJ73" i="5"/>
  <c r="DJ58" i="5"/>
  <c r="DJ59" i="5" s="1"/>
  <c r="DK52" i="5" s="1"/>
  <c r="DJ86" i="5"/>
  <c r="DJ105" i="5" s="1"/>
  <c r="DJ127" i="5"/>
  <c r="DK70" i="5"/>
  <c r="DK76" i="5" s="1"/>
  <c r="DJ142" i="5"/>
  <c r="DL83" i="5"/>
  <c r="DL101" i="5" s="1"/>
  <c r="DJ76" i="5"/>
  <c r="BG94" i="5"/>
  <c r="BI80" i="5"/>
  <c r="BB103" i="5"/>
  <c r="BB106" i="5" s="1"/>
  <c r="BC97" i="5" s="1"/>
  <c r="BA116" i="5"/>
  <c r="BA117" i="5"/>
  <c r="BA155" i="5" s="1"/>
  <c r="BA156" i="5" s="1"/>
  <c r="BH143" i="5"/>
  <c r="BH92" i="5"/>
  <c r="BH153" i="5" s="1"/>
  <c r="BH102" i="5"/>
  <c r="BH128" i="5"/>
  <c r="BH89" i="5"/>
  <c r="GJ171" i="2"/>
  <c r="GK160" i="2" s="1"/>
  <c r="D70" i="32"/>
  <c r="F70" i="32" s="1"/>
  <c r="G70" i="32" s="1"/>
  <c r="H70" i="32" s="1"/>
  <c r="DL70" i="5" l="1"/>
  <c r="DL76" i="5" s="1"/>
  <c r="DK86" i="5"/>
  <c r="DK105" i="5" s="1"/>
  <c r="DK58" i="5"/>
  <c r="DK59" i="5" s="1"/>
  <c r="DL52" i="5" s="1"/>
  <c r="DK142" i="5"/>
  <c r="DK127" i="5"/>
  <c r="DK73" i="5"/>
  <c r="DK71" i="5"/>
  <c r="DL64" i="5" s="1"/>
  <c r="DP126" i="5"/>
  <c r="DP141" i="5"/>
  <c r="DP68" i="5"/>
  <c r="DP83" i="5" s="1"/>
  <c r="DP101" i="5" s="1"/>
  <c r="DP61" i="5"/>
  <c r="DO61" i="5"/>
  <c r="DO126" i="5"/>
  <c r="DO141" i="5"/>
  <c r="DO68" i="5"/>
  <c r="DN83" i="5"/>
  <c r="DN101" i="5" s="1"/>
  <c r="DQ56" i="5"/>
  <c r="DM83" i="5"/>
  <c r="DM101" i="5" s="1"/>
  <c r="BC98" i="5"/>
  <c r="BB129" i="5"/>
  <c r="BB111" i="5"/>
  <c r="BB154" i="5" s="1"/>
  <c r="BB144" i="5"/>
  <c r="BB108" i="5"/>
  <c r="BA145" i="5"/>
  <c r="BA146" i="5" s="1"/>
  <c r="BA157" i="5" s="1"/>
  <c r="BA130" i="5"/>
  <c r="BA131" i="5" s="1"/>
  <c r="BA118" i="5"/>
  <c r="BH94" i="5"/>
  <c r="BI84" i="5"/>
  <c r="GK171" i="2"/>
  <c r="GL160" i="2" s="1"/>
  <c r="D71" i="32"/>
  <c r="F71" i="32" s="1"/>
  <c r="G71" i="32" s="1"/>
  <c r="H71" i="32" s="1"/>
  <c r="DL71" i="5" l="1"/>
  <c r="DM64" i="5" s="1"/>
  <c r="DL73" i="5"/>
  <c r="DL127" i="5"/>
  <c r="DL86" i="5"/>
  <c r="DL105" i="5" s="1"/>
  <c r="DL142" i="5"/>
  <c r="DM70" i="5"/>
  <c r="DM73" i="5" s="1"/>
  <c r="DL58" i="5"/>
  <c r="DL59" i="5" s="1"/>
  <c r="DM52" i="5" s="1"/>
  <c r="DO83" i="5"/>
  <c r="DO101" i="5" s="1"/>
  <c r="DQ61" i="5"/>
  <c r="DQ68" i="5"/>
  <c r="DQ83" i="5" s="1"/>
  <c r="DQ101" i="5" s="1"/>
  <c r="DQ141" i="5"/>
  <c r="DQ126" i="5"/>
  <c r="DR56" i="5"/>
  <c r="DS56" i="5" s="1"/>
  <c r="BA167" i="5"/>
  <c r="BA161" i="5"/>
  <c r="BI89" i="5"/>
  <c r="BI102" i="5"/>
  <c r="BI128" i="5"/>
  <c r="BI92" i="5"/>
  <c r="BI153" i="5" s="1"/>
  <c r="BI143" i="5"/>
  <c r="BI87" i="5"/>
  <c r="BJ79" i="5" s="1"/>
  <c r="BB113" i="5"/>
  <c r="BC103" i="5"/>
  <c r="GL171" i="2"/>
  <c r="GM160" i="2" s="1"/>
  <c r="D72" i="32"/>
  <c r="F72" i="32" s="1"/>
  <c r="G72" i="32" s="1"/>
  <c r="H72" i="32" s="1"/>
  <c r="DM127" i="5" l="1"/>
  <c r="DM86" i="5"/>
  <c r="DM105" i="5" s="1"/>
  <c r="DM142" i="5"/>
  <c r="DM58" i="5"/>
  <c r="DM59" i="5" s="1"/>
  <c r="DN52" i="5" s="1"/>
  <c r="DM76" i="5"/>
  <c r="DN70" i="5"/>
  <c r="DM71" i="5"/>
  <c r="DN64" i="5" s="1"/>
  <c r="DS126" i="5"/>
  <c r="DS68" i="5"/>
  <c r="DS83" i="5" s="1"/>
  <c r="DS101" i="5" s="1"/>
  <c r="DS141" i="5"/>
  <c r="DS61" i="5"/>
  <c r="DR68" i="5"/>
  <c r="DR83" i="5" s="1"/>
  <c r="DR101" i="5" s="1"/>
  <c r="DR141" i="5"/>
  <c r="DR61" i="5"/>
  <c r="DR126" i="5"/>
  <c r="DT56" i="5"/>
  <c r="DU56" i="5" s="1"/>
  <c r="DU68" i="5" s="1"/>
  <c r="BC144" i="5"/>
  <c r="BC129" i="5"/>
  <c r="BC111" i="5"/>
  <c r="BC154" i="5" s="1"/>
  <c r="BC108" i="5"/>
  <c r="BC106" i="5"/>
  <c r="BD97" i="5" s="1"/>
  <c r="BB116" i="5"/>
  <c r="BB117" i="5"/>
  <c r="BB155" i="5" s="1"/>
  <c r="BB156" i="5" s="1"/>
  <c r="BJ80" i="5"/>
  <c r="BI94" i="5"/>
  <c r="GM171" i="2"/>
  <c r="GN160" i="2" s="1"/>
  <c r="D73" i="32"/>
  <c r="F73" i="32" s="1"/>
  <c r="G73" i="32" s="1"/>
  <c r="H73" i="32" s="1"/>
  <c r="DN71" i="5" l="1"/>
  <c r="DO64" i="5" s="1"/>
  <c r="DN142" i="5"/>
  <c r="DN58" i="5"/>
  <c r="DN59" i="5" s="1"/>
  <c r="DO52" i="5" s="1"/>
  <c r="DN86" i="5"/>
  <c r="DN105" i="5" s="1"/>
  <c r="DN73" i="5"/>
  <c r="DO70" i="5"/>
  <c r="DN76" i="5"/>
  <c r="DN127" i="5"/>
  <c r="DU61" i="5"/>
  <c r="DU126" i="5"/>
  <c r="DU141" i="5"/>
  <c r="DT68" i="5"/>
  <c r="DT83" i="5" s="1"/>
  <c r="DT101" i="5" s="1"/>
  <c r="DT141" i="5"/>
  <c r="DT126" i="5"/>
  <c r="DT61" i="5"/>
  <c r="DV56" i="5"/>
  <c r="DV141" i="5" s="1"/>
  <c r="BB118" i="5"/>
  <c r="BB145" i="5"/>
  <c r="BB146" i="5" s="1"/>
  <c r="BB157" i="5" s="1"/>
  <c r="BB130" i="5"/>
  <c r="BB131" i="5" s="1"/>
  <c r="BD98" i="5"/>
  <c r="BC113" i="5"/>
  <c r="BJ84" i="5"/>
  <c r="DU83" i="5"/>
  <c r="DU101" i="5" s="1"/>
  <c r="GN171" i="2"/>
  <c r="GO160" i="2" s="1"/>
  <c r="D74" i="32"/>
  <c r="F74" i="32" s="1"/>
  <c r="G74" i="32" s="1"/>
  <c r="H74" i="32" s="1"/>
  <c r="HT160" i="2"/>
  <c r="HU160" i="2"/>
  <c r="HV160" i="2"/>
  <c r="I161" i="2"/>
  <c r="HT161" i="2"/>
  <c r="HU161" i="2"/>
  <c r="HV161" i="2"/>
  <c r="DV68" i="5" l="1"/>
  <c r="DV83" i="5" s="1"/>
  <c r="DV101" i="5" s="1"/>
  <c r="DW56" i="5"/>
  <c r="DW141" i="5" s="1"/>
  <c r="DO127" i="5"/>
  <c r="DO142" i="5"/>
  <c r="DO76" i="5"/>
  <c r="DO86" i="5"/>
  <c r="DO105" i="5" s="1"/>
  <c r="DO58" i="5"/>
  <c r="DO59" i="5" s="1"/>
  <c r="DP52" i="5" s="1"/>
  <c r="DO73" i="5"/>
  <c r="DP70" i="5"/>
  <c r="DO71" i="5"/>
  <c r="DP64" i="5" s="1"/>
  <c r="DV126" i="5"/>
  <c r="DV61" i="5"/>
  <c r="BB167" i="5"/>
  <c r="BC117" i="5"/>
  <c r="BC155" i="5" s="1"/>
  <c r="BC156" i="5" s="1"/>
  <c r="BC116" i="5"/>
  <c r="BD103" i="5"/>
  <c r="BB161" i="5"/>
  <c r="BJ128" i="5"/>
  <c r="BJ102" i="5"/>
  <c r="BJ89" i="5"/>
  <c r="BJ143" i="5"/>
  <c r="BJ92" i="5"/>
  <c r="BJ153" i="5" s="1"/>
  <c r="BJ87" i="5"/>
  <c r="BK79" i="5" s="1"/>
  <c r="GO171" i="2"/>
  <c r="GP160" i="2" s="1"/>
  <c r="D75" i="32"/>
  <c r="F75" i="32" s="1"/>
  <c r="G75" i="32" s="1"/>
  <c r="H75" i="32" s="1"/>
  <c r="HT181" i="2"/>
  <c r="I181" i="2"/>
  <c r="HU181" i="2"/>
  <c r="M42" i="7" s="1"/>
  <c r="HV181" i="2"/>
  <c r="N42" i="7" s="1"/>
  <c r="HL160" i="2"/>
  <c r="HT171" i="2"/>
  <c r="HU171" i="2"/>
  <c r="HV171" i="2"/>
  <c r="HL161" i="2"/>
  <c r="N45" i="7" l="1"/>
  <c r="N48" i="7"/>
  <c r="DX56" i="5"/>
  <c r="DX61" i="5" s="1"/>
  <c r="DW68" i="5"/>
  <c r="DW83" i="5" s="1"/>
  <c r="DW101" i="5" s="1"/>
  <c r="DW61" i="5"/>
  <c r="DW126" i="5"/>
  <c r="DP86" i="5"/>
  <c r="DP105" i="5" s="1"/>
  <c r="DP76" i="5"/>
  <c r="DP127" i="5"/>
  <c r="DP142" i="5"/>
  <c r="DP73" i="5"/>
  <c r="DP58" i="5"/>
  <c r="DP59" i="5" s="1"/>
  <c r="DQ52" i="5" s="1"/>
  <c r="DP71" i="5"/>
  <c r="DQ64" i="5" s="1"/>
  <c r="DQ70" i="5"/>
  <c r="BJ94" i="5"/>
  <c r="BK80" i="5"/>
  <c r="BD144" i="5"/>
  <c r="BD129" i="5"/>
  <c r="BD111" i="5"/>
  <c r="BD154" i="5" s="1"/>
  <c r="BD108" i="5"/>
  <c r="BC118" i="5"/>
  <c r="BC130" i="5"/>
  <c r="BC131" i="5" s="1"/>
  <c r="BC145" i="5"/>
  <c r="BC146" i="5" s="1"/>
  <c r="BC157" i="5" s="1"/>
  <c r="BD106" i="5"/>
  <c r="BE97" i="5" s="1"/>
  <c r="M45" i="7"/>
  <c r="M48" i="7"/>
  <c r="GP171" i="2"/>
  <c r="GQ160" i="2" s="1"/>
  <c r="D76" i="32"/>
  <c r="F76" i="32" s="1"/>
  <c r="G76" i="32" s="1"/>
  <c r="H76" i="32" s="1"/>
  <c r="L42" i="7"/>
  <c r="HL181" i="2"/>
  <c r="HL171" i="2"/>
  <c r="DY56" i="5" l="1"/>
  <c r="DY68" i="5" s="1"/>
  <c r="DX126" i="5"/>
  <c r="DX141" i="5"/>
  <c r="DX68" i="5"/>
  <c r="DX83" i="5" s="1"/>
  <c r="DX101" i="5" s="1"/>
  <c r="DQ71" i="5"/>
  <c r="DR64" i="5" s="1"/>
  <c r="DQ76" i="5"/>
  <c r="DQ58" i="5"/>
  <c r="DQ59" i="5" s="1"/>
  <c r="DR52" i="5" s="1"/>
  <c r="DQ142" i="5"/>
  <c r="DQ73" i="5"/>
  <c r="DQ127" i="5"/>
  <c r="DQ86" i="5"/>
  <c r="DQ105" i="5" s="1"/>
  <c r="DR70" i="5"/>
  <c r="BD113" i="5"/>
  <c r="BD116" i="5" s="1"/>
  <c r="BC161" i="5"/>
  <c r="BE98" i="5"/>
  <c r="BC167" i="5"/>
  <c r="BK84" i="5"/>
  <c r="GQ171" i="2"/>
  <c r="GR160" i="2" s="1"/>
  <c r="D77" i="32"/>
  <c r="F77" i="32" s="1"/>
  <c r="G77" i="32" s="1"/>
  <c r="H77" i="32" s="1"/>
  <c r="O42" i="7"/>
  <c r="L45" i="7"/>
  <c r="O45" i="7" s="1"/>
  <c r="DY61" i="5" l="1"/>
  <c r="DY126" i="5"/>
  <c r="DY141" i="5"/>
  <c r="DZ56" i="5"/>
  <c r="DZ141" i="5" s="1"/>
  <c r="DR142" i="5"/>
  <c r="DR58" i="5"/>
  <c r="DR59" i="5" s="1"/>
  <c r="DS52" i="5" s="1"/>
  <c r="DR127" i="5"/>
  <c r="DR76" i="5"/>
  <c r="DR73" i="5"/>
  <c r="DR86" i="5"/>
  <c r="DR105" i="5" s="1"/>
  <c r="DS70" i="5"/>
  <c r="DT70" i="5" s="1"/>
  <c r="DR71" i="5"/>
  <c r="DS64" i="5" s="1"/>
  <c r="BD117" i="5"/>
  <c r="BD155" i="5" s="1"/>
  <c r="BD156" i="5" s="1"/>
  <c r="DY83" i="5"/>
  <c r="DY101" i="5" s="1"/>
  <c r="BK143" i="5"/>
  <c r="BK128" i="5"/>
  <c r="BK89" i="5"/>
  <c r="BK102" i="5"/>
  <c r="BK92" i="5"/>
  <c r="BK153" i="5" s="1"/>
  <c r="BK87" i="5"/>
  <c r="BL79" i="5" s="1"/>
  <c r="BD145" i="5"/>
  <c r="BD146" i="5" s="1"/>
  <c r="BD130" i="5"/>
  <c r="BD131" i="5" s="1"/>
  <c r="BE103" i="5"/>
  <c r="GR171" i="2"/>
  <c r="GS160" i="2" s="1"/>
  <c r="D78" i="32"/>
  <c r="F78" i="32" s="1"/>
  <c r="G78" i="32" s="1"/>
  <c r="H78" i="32" s="1"/>
  <c r="EA56" i="5" l="1"/>
  <c r="EA68" i="5" s="1"/>
  <c r="DZ68" i="5"/>
  <c r="DZ83" i="5" s="1"/>
  <c r="DZ101" i="5" s="1"/>
  <c r="DZ61" i="5"/>
  <c r="DZ126" i="5"/>
  <c r="BD157" i="5"/>
  <c r="DS58" i="5"/>
  <c r="DS59" i="5" s="1"/>
  <c r="DT52" i="5" s="1"/>
  <c r="DS127" i="5"/>
  <c r="DS142" i="5"/>
  <c r="DS76" i="5"/>
  <c r="DS73" i="5"/>
  <c r="DS86" i="5"/>
  <c r="DS105" i="5" s="1"/>
  <c r="DT86" i="5"/>
  <c r="DT105" i="5" s="1"/>
  <c r="DT127" i="5"/>
  <c r="DT142" i="5"/>
  <c r="DT58" i="5"/>
  <c r="DT76" i="5"/>
  <c r="DT73" i="5"/>
  <c r="DU70" i="5"/>
  <c r="DS71" i="5"/>
  <c r="DT64" i="5" s="1"/>
  <c r="DT71" i="5" s="1"/>
  <c r="DU64" i="5" s="1"/>
  <c r="BD167" i="5"/>
  <c r="BD118" i="5"/>
  <c r="BD161" i="5"/>
  <c r="BE129" i="5"/>
  <c r="BE144" i="5"/>
  <c r="BE111" i="5"/>
  <c r="BE154" i="5" s="1"/>
  <c r="BE108" i="5"/>
  <c r="BL80" i="5"/>
  <c r="BK94" i="5"/>
  <c r="BE106" i="5"/>
  <c r="BF97" i="5" s="1"/>
  <c r="GS171" i="2"/>
  <c r="GT160" i="2" s="1"/>
  <c r="D79" i="32"/>
  <c r="F79" i="32" s="1"/>
  <c r="G79" i="32" s="1"/>
  <c r="H79" i="32" s="1"/>
  <c r="EB56" i="5" l="1"/>
  <c r="EB141" i="5" s="1"/>
  <c r="EA61" i="5"/>
  <c r="EA141" i="5"/>
  <c r="EA126" i="5"/>
  <c r="DU76" i="5"/>
  <c r="DU127" i="5"/>
  <c r="DU86" i="5"/>
  <c r="DU105" i="5" s="1"/>
  <c r="DV70" i="5"/>
  <c r="DW70" i="5" s="1"/>
  <c r="DW76" i="5" s="1"/>
  <c r="DU142" i="5"/>
  <c r="DU58" i="5"/>
  <c r="DU73" i="5"/>
  <c r="DT59" i="5"/>
  <c r="DU52" i="5" s="1"/>
  <c r="DU71" i="5"/>
  <c r="DV64" i="5" s="1"/>
  <c r="EA83" i="5"/>
  <c r="EA101" i="5" s="1"/>
  <c r="BF98" i="5"/>
  <c r="BL84" i="5"/>
  <c r="BE113" i="5"/>
  <c r="GT171" i="2"/>
  <c r="D80" i="32"/>
  <c r="F80" i="32" s="1"/>
  <c r="G80" i="32" s="1"/>
  <c r="H80" i="32" s="1"/>
  <c r="EC56" i="5" l="1"/>
  <c r="EC141" i="5" s="1"/>
  <c r="EB68" i="5"/>
  <c r="EB83" i="5" s="1"/>
  <c r="EB101" i="5" s="1"/>
  <c r="EB126" i="5"/>
  <c r="EB61" i="5"/>
  <c r="DU59" i="5"/>
  <c r="DV52" i="5" s="1"/>
  <c r="DW142" i="5"/>
  <c r="DW127" i="5"/>
  <c r="DW86" i="5"/>
  <c r="DW105" i="5" s="1"/>
  <c r="DW58" i="5"/>
  <c r="DW73" i="5"/>
  <c r="DV142" i="5"/>
  <c r="DV76" i="5"/>
  <c r="DV73" i="5"/>
  <c r="DV127" i="5"/>
  <c r="DV86" i="5"/>
  <c r="DV105" i="5" s="1"/>
  <c r="DV58" i="5"/>
  <c r="DV71" i="5"/>
  <c r="DW64" i="5" s="1"/>
  <c r="DW71" i="5" s="1"/>
  <c r="DX64" i="5" s="1"/>
  <c r="DX70" i="5"/>
  <c r="DX86" i="5" s="1"/>
  <c r="DX105" i="5" s="1"/>
  <c r="BE117" i="5"/>
  <c r="BE155" i="5" s="1"/>
  <c r="BE156" i="5" s="1"/>
  <c r="BE116" i="5"/>
  <c r="BL143" i="5"/>
  <c r="BL92" i="5"/>
  <c r="BL153" i="5" s="1"/>
  <c r="BL128" i="5"/>
  <c r="BL89" i="5"/>
  <c r="BL102" i="5"/>
  <c r="BL87" i="5"/>
  <c r="BM79" i="5" s="1"/>
  <c r="BF103" i="5"/>
  <c r="ED56" i="5" l="1"/>
  <c r="ED68" i="5" s="1"/>
  <c r="EC68" i="5"/>
  <c r="EC83" i="5" s="1"/>
  <c r="EC101" i="5" s="1"/>
  <c r="EC61" i="5"/>
  <c r="EC126" i="5"/>
  <c r="DV59" i="5"/>
  <c r="DW52" i="5" s="1"/>
  <c r="DW59" i="5" s="1"/>
  <c r="DX52" i="5" s="1"/>
  <c r="BL94" i="5"/>
  <c r="DY70" i="5"/>
  <c r="DY127" i="5" s="1"/>
  <c r="DX73" i="5"/>
  <c r="DX76" i="5"/>
  <c r="DX71" i="5"/>
  <c r="DY64" i="5" s="1"/>
  <c r="DX127" i="5"/>
  <c r="DX58" i="5"/>
  <c r="DX142" i="5"/>
  <c r="BF129" i="5"/>
  <c r="BF111" i="5"/>
  <c r="BF154" i="5" s="1"/>
  <c r="BF144" i="5"/>
  <c r="BF108" i="5"/>
  <c r="BF106" i="5"/>
  <c r="BG97" i="5" s="1"/>
  <c r="BE118" i="5"/>
  <c r="BE130" i="5"/>
  <c r="BE131" i="5" s="1"/>
  <c r="BE145" i="5"/>
  <c r="BE146" i="5" s="1"/>
  <c r="BE161" i="5" s="1"/>
  <c r="BM80" i="5"/>
  <c r="EE56" i="5" l="1"/>
  <c r="EE126" i="5" s="1"/>
  <c r="G126" i="5" s="1"/>
  <c r="ED141" i="5"/>
  <c r="ED61" i="5"/>
  <c r="ED126" i="5"/>
  <c r="DX59" i="5"/>
  <c r="DY52" i="5" s="1"/>
  <c r="DY76" i="5"/>
  <c r="DY71" i="5"/>
  <c r="DZ64" i="5" s="1"/>
  <c r="DZ70" i="5"/>
  <c r="EA70" i="5" s="1"/>
  <c r="DY73" i="5"/>
  <c r="DY58" i="5"/>
  <c r="DY86" i="5"/>
  <c r="DY105" i="5" s="1"/>
  <c r="DY142" i="5"/>
  <c r="BF113" i="5"/>
  <c r="BF117" i="5" s="1"/>
  <c r="BF155" i="5" s="1"/>
  <c r="BF156" i="5" s="1"/>
  <c r="BE157" i="5"/>
  <c r="G56" i="5"/>
  <c r="BM84" i="5"/>
  <c r="ED83" i="5"/>
  <c r="ED101" i="5" s="1"/>
  <c r="BG98" i="5"/>
  <c r="BE167" i="5"/>
  <c r="EE68" i="5" l="1"/>
  <c r="EE83" i="5" s="1"/>
  <c r="EE61" i="5"/>
  <c r="EE141" i="5"/>
  <c r="G141" i="5" s="1"/>
  <c r="DY59" i="5"/>
  <c r="DZ52" i="5" s="1"/>
  <c r="DZ76" i="5"/>
  <c r="DZ142" i="5"/>
  <c r="DZ71" i="5"/>
  <c r="EA64" i="5" s="1"/>
  <c r="EA71" i="5" s="1"/>
  <c r="EB64" i="5" s="1"/>
  <c r="DZ127" i="5"/>
  <c r="DZ73" i="5"/>
  <c r="DZ58" i="5"/>
  <c r="DZ86" i="5"/>
  <c r="DZ105" i="5" s="1"/>
  <c r="BF116" i="5"/>
  <c r="BF118" i="5" s="1"/>
  <c r="EB70" i="5"/>
  <c r="EB86" i="5" s="1"/>
  <c r="EB105" i="5" s="1"/>
  <c r="EA127" i="5"/>
  <c r="EA142" i="5"/>
  <c r="EA86" i="5"/>
  <c r="EA105" i="5" s="1"/>
  <c r="EA58" i="5"/>
  <c r="EA73" i="5"/>
  <c r="EA76" i="5"/>
  <c r="BM102" i="5"/>
  <c r="BM92" i="5"/>
  <c r="BM153" i="5" s="1"/>
  <c r="BM143" i="5"/>
  <c r="BM89" i="5"/>
  <c r="BM128" i="5"/>
  <c r="BM87" i="5"/>
  <c r="BN79" i="5" s="1"/>
  <c r="G68" i="5"/>
  <c r="BG103" i="5"/>
  <c r="G61" i="5"/>
  <c r="DZ59" i="5" l="1"/>
  <c r="EA52" i="5" s="1"/>
  <c r="EA59" i="5" s="1"/>
  <c r="EB52" i="5" s="1"/>
  <c r="BF130" i="5"/>
  <c r="BF131" i="5" s="1"/>
  <c r="BF145" i="5"/>
  <c r="BF146" i="5" s="1"/>
  <c r="BF161" i="5" s="1"/>
  <c r="EB76" i="5"/>
  <c r="EB71" i="5"/>
  <c r="EC64" i="5" s="1"/>
  <c r="EB142" i="5"/>
  <c r="EB73" i="5"/>
  <c r="EB58" i="5"/>
  <c r="EB127" i="5"/>
  <c r="EC70" i="5"/>
  <c r="BM94" i="5"/>
  <c r="BG111" i="5"/>
  <c r="BG154" i="5" s="1"/>
  <c r="BG129" i="5"/>
  <c r="BG144" i="5"/>
  <c r="BG108" i="5"/>
  <c r="BN80" i="5"/>
  <c r="EE101" i="5"/>
  <c r="G101" i="5" s="1"/>
  <c r="G83" i="5"/>
  <c r="BG106" i="5"/>
  <c r="BH97" i="5" s="1"/>
  <c r="EB59" i="5" l="1"/>
  <c r="EC52" i="5" s="1"/>
  <c r="BF167" i="5"/>
  <c r="BF157" i="5"/>
  <c r="EC58" i="5"/>
  <c r="EC142" i="5"/>
  <c r="ED70" i="5"/>
  <c r="EC76" i="5"/>
  <c r="EC86" i="5"/>
  <c r="EC105" i="5" s="1"/>
  <c r="EC73" i="5"/>
  <c r="EC127" i="5"/>
  <c r="EC71" i="5"/>
  <c r="ED64" i="5" s="1"/>
  <c r="BG113" i="5"/>
  <c r="BG117" i="5" s="1"/>
  <c r="BG155" i="5" s="1"/>
  <c r="BG156" i="5" s="1"/>
  <c r="BH98" i="5"/>
  <c r="G70" i="5"/>
  <c r="BN84" i="5"/>
  <c r="BG116" i="5" l="1"/>
  <c r="BG118" i="5" s="1"/>
  <c r="EC59" i="5"/>
  <c r="ED52" i="5" s="1"/>
  <c r="ED127" i="5"/>
  <c r="ED73" i="5"/>
  <c r="ED76" i="5"/>
  <c r="ED86" i="5"/>
  <c r="ED105" i="5" s="1"/>
  <c r="ED58" i="5"/>
  <c r="ED142" i="5"/>
  <c r="ED71" i="5"/>
  <c r="EE64" i="5" s="1"/>
  <c r="EE70" i="5"/>
  <c r="G73" i="5"/>
  <c r="G86" i="5"/>
  <c r="BN102" i="5"/>
  <c r="BN128" i="5"/>
  <c r="BN89" i="5"/>
  <c r="BN92" i="5"/>
  <c r="BN153" i="5" s="1"/>
  <c r="BN143" i="5"/>
  <c r="BN87" i="5"/>
  <c r="BO79" i="5" s="1"/>
  <c r="BH103" i="5"/>
  <c r="BG130" i="5" l="1"/>
  <c r="BG131" i="5" s="1"/>
  <c r="BG145" i="5"/>
  <c r="BG146" i="5" s="1"/>
  <c r="BG157" i="5" s="1"/>
  <c r="ED59" i="5"/>
  <c r="EE52" i="5" s="1"/>
  <c r="BN94" i="5"/>
  <c r="EE71" i="5"/>
  <c r="EE142" i="5"/>
  <c r="G142" i="5" s="1"/>
  <c r="EE127" i="5"/>
  <c r="G127" i="5" s="1"/>
  <c r="EE58" i="5"/>
  <c r="G58" i="5" s="1"/>
  <c r="EE86" i="5"/>
  <c r="EE105" i="5" s="1"/>
  <c r="G105" i="5" s="1"/>
  <c r="EE73" i="5"/>
  <c r="G74" i="5" s="1"/>
  <c r="EE76" i="5"/>
  <c r="G76" i="5" s="1"/>
  <c r="BG161" i="5"/>
  <c r="BH129" i="5"/>
  <c r="BH111" i="5"/>
  <c r="BH154" i="5" s="1"/>
  <c r="BH144" i="5"/>
  <c r="BH108" i="5"/>
  <c r="BH106" i="5"/>
  <c r="BI97" i="5" s="1"/>
  <c r="BI98" i="5" s="1"/>
  <c r="BO80" i="5"/>
  <c r="BG167" i="5" l="1"/>
  <c r="EE59" i="5"/>
  <c r="BH113" i="5"/>
  <c r="BH117" i="5" s="1"/>
  <c r="BH155" i="5" s="1"/>
  <c r="BH156" i="5" s="1"/>
  <c r="BI103" i="5"/>
  <c r="BO84" i="5"/>
  <c r="BH116" i="5" l="1"/>
  <c r="BH118" i="5" s="1"/>
  <c r="BI106" i="5"/>
  <c r="BJ97" i="5" s="1"/>
  <c r="BI144" i="5"/>
  <c r="BI111" i="5"/>
  <c r="BI154" i="5" s="1"/>
  <c r="BI129" i="5"/>
  <c r="BI108" i="5"/>
  <c r="BO128" i="5"/>
  <c r="BO143" i="5"/>
  <c r="BO92" i="5"/>
  <c r="BO153" i="5" s="1"/>
  <c r="BO102" i="5"/>
  <c r="BO89" i="5"/>
  <c r="BO87" i="5"/>
  <c r="BP79" i="5" s="1"/>
  <c r="BO94" i="5" l="1"/>
  <c r="BH130" i="5"/>
  <c r="BH131" i="5" s="1"/>
  <c r="BH145" i="5"/>
  <c r="BH146" i="5" s="1"/>
  <c r="BH161" i="5" s="1"/>
  <c r="BI113" i="5"/>
  <c r="BI117" i="5" s="1"/>
  <c r="BI155" i="5" s="1"/>
  <c r="BI156" i="5" s="1"/>
  <c r="BP80" i="5"/>
  <c r="BJ98" i="5"/>
  <c r="BH157" i="5" l="1"/>
  <c r="BH167" i="5"/>
  <c r="BI116" i="5"/>
  <c r="BI118" i="5" s="1"/>
  <c r="BP84" i="5"/>
  <c r="BP87" i="5" s="1"/>
  <c r="BQ79" i="5" s="1"/>
  <c r="BQ80" i="5" s="1"/>
  <c r="BJ103" i="5"/>
  <c r="BI145" i="5" l="1"/>
  <c r="BI146" i="5" s="1"/>
  <c r="BI161" i="5" s="1"/>
  <c r="BI130" i="5"/>
  <c r="BI131" i="5" s="1"/>
  <c r="BQ84" i="5"/>
  <c r="BJ144" i="5"/>
  <c r="BJ111" i="5"/>
  <c r="BJ154" i="5" s="1"/>
  <c r="BJ129" i="5"/>
  <c r="BJ108" i="5"/>
  <c r="BP92" i="5"/>
  <c r="BP153" i="5" s="1"/>
  <c r="BP102" i="5"/>
  <c r="BP89" i="5"/>
  <c r="BP128" i="5"/>
  <c r="BP143" i="5"/>
  <c r="BJ106" i="5"/>
  <c r="BK97" i="5" s="1"/>
  <c r="BK98" i="5" s="1"/>
  <c r="BI157" i="5" l="1"/>
  <c r="BI167" i="5"/>
  <c r="BJ113" i="5"/>
  <c r="BK103" i="5"/>
  <c r="BJ117" i="5"/>
  <c r="BJ155" i="5" s="1"/>
  <c r="BJ156" i="5" s="1"/>
  <c r="BJ116" i="5"/>
  <c r="BP94" i="5"/>
  <c r="BQ87" i="5"/>
  <c r="BR79" i="5" s="1"/>
  <c r="BQ128" i="5"/>
  <c r="BQ102" i="5"/>
  <c r="BQ89" i="5"/>
  <c r="BQ92" i="5"/>
  <c r="BQ153" i="5" s="1"/>
  <c r="BQ143" i="5"/>
  <c r="BQ94" i="5" l="1"/>
  <c r="BJ130" i="5"/>
  <c r="BJ131" i="5" s="1"/>
  <c r="BJ145" i="5"/>
  <c r="BJ146" i="5" s="1"/>
  <c r="BJ161" i="5" s="1"/>
  <c r="BK106" i="5"/>
  <c r="BL97" i="5" s="1"/>
  <c r="BL98" i="5" s="1"/>
  <c r="BK144" i="5"/>
  <c r="BK111" i="5"/>
  <c r="BK154" i="5" s="1"/>
  <c r="BK129" i="5"/>
  <c r="BK108" i="5"/>
  <c r="BR80" i="5"/>
  <c r="BJ118" i="5"/>
  <c r="BJ157" i="5" l="1"/>
  <c r="BK113" i="5"/>
  <c r="BL103" i="5"/>
  <c r="BR84" i="5"/>
  <c r="BJ167" i="5"/>
  <c r="BL106" i="5" l="1"/>
  <c r="BM97" i="5" s="1"/>
  <c r="BM98" i="5" s="1"/>
  <c r="BL111" i="5"/>
  <c r="BL154" i="5" s="1"/>
  <c r="BL144" i="5"/>
  <c r="BL129" i="5"/>
  <c r="BL108" i="5"/>
  <c r="BR89" i="5"/>
  <c r="BR92" i="5"/>
  <c r="BR153" i="5" s="1"/>
  <c r="BR102" i="5"/>
  <c r="BR143" i="5"/>
  <c r="BR128" i="5"/>
  <c r="BR87" i="5"/>
  <c r="BS79" i="5" s="1"/>
  <c r="BK116" i="5"/>
  <c r="BK117" i="5"/>
  <c r="BK155" i="5" s="1"/>
  <c r="BK156" i="5" s="1"/>
  <c r="BL113" i="5" l="1"/>
  <c r="BL116" i="5" s="1"/>
  <c r="BK118" i="5"/>
  <c r="BK145" i="5"/>
  <c r="BK146" i="5" s="1"/>
  <c r="BK157" i="5" s="1"/>
  <c r="BK130" i="5"/>
  <c r="BK131" i="5" s="1"/>
  <c r="BR94" i="5"/>
  <c r="BS80" i="5"/>
  <c r="BM103" i="5"/>
  <c r="BL117" i="5" l="1"/>
  <c r="BL155" i="5" s="1"/>
  <c r="BL156" i="5" s="1"/>
  <c r="BK167" i="5"/>
  <c r="BM106" i="5"/>
  <c r="BN97" i="5" s="1"/>
  <c r="BM111" i="5"/>
  <c r="BM154" i="5" s="1"/>
  <c r="BM129" i="5"/>
  <c r="BM144" i="5"/>
  <c r="BM108" i="5"/>
  <c r="BL145" i="5"/>
  <c r="BL146" i="5" s="1"/>
  <c r="BL130" i="5"/>
  <c r="BL131" i="5" s="1"/>
  <c r="BS84" i="5"/>
  <c r="BK161" i="5"/>
  <c r="BM113" i="5" l="1"/>
  <c r="BM116" i="5" s="1"/>
  <c r="BL161" i="5"/>
  <c r="BL118" i="5"/>
  <c r="BL157" i="5"/>
  <c r="BS102" i="5"/>
  <c r="BS92" i="5"/>
  <c r="BS153" i="5" s="1"/>
  <c r="BS89" i="5"/>
  <c r="BS143" i="5"/>
  <c r="BS128" i="5"/>
  <c r="BS87" i="5"/>
  <c r="BT79" i="5" s="1"/>
  <c r="BL167" i="5"/>
  <c r="BN98" i="5"/>
  <c r="BM117" i="5" l="1"/>
  <c r="BM155" i="5" s="1"/>
  <c r="BM156" i="5" s="1"/>
  <c r="BS94" i="5"/>
  <c r="BM130" i="5"/>
  <c r="BM131" i="5" s="1"/>
  <c r="BM145" i="5"/>
  <c r="BM146" i="5" s="1"/>
  <c r="BT80" i="5"/>
  <c r="BN103" i="5"/>
  <c r="BM157" i="5" l="1"/>
  <c r="BM161" i="5"/>
  <c r="BM118" i="5"/>
  <c r="BN111" i="5"/>
  <c r="BN154" i="5" s="1"/>
  <c r="BN144" i="5"/>
  <c r="BN129" i="5"/>
  <c r="BN108" i="5"/>
  <c r="BN106" i="5"/>
  <c r="BO97" i="5" s="1"/>
  <c r="BT84" i="5"/>
  <c r="BM167" i="5"/>
  <c r="BN113" i="5" l="1"/>
  <c r="BN117" i="5" s="1"/>
  <c r="BN155" i="5" s="1"/>
  <c r="BN156" i="5" s="1"/>
  <c r="BT102" i="5"/>
  <c r="BT92" i="5"/>
  <c r="BT153" i="5" s="1"/>
  <c r="BT143" i="5"/>
  <c r="BT89" i="5"/>
  <c r="BT128" i="5"/>
  <c r="BO98" i="5"/>
  <c r="BT87" i="5"/>
  <c r="BU79" i="5" s="1"/>
  <c r="BN116" i="5" l="1"/>
  <c r="BN118" i="5" s="1"/>
  <c r="BT94" i="5"/>
  <c r="BU80" i="5"/>
  <c r="BO103" i="5"/>
  <c r="BN145" i="5" l="1"/>
  <c r="BN146" i="5" s="1"/>
  <c r="BN161" i="5" s="1"/>
  <c r="BN130" i="5"/>
  <c r="BN131" i="5" s="1"/>
  <c r="BU84" i="5"/>
  <c r="BO129" i="5"/>
  <c r="BO111" i="5"/>
  <c r="BO154" i="5" s="1"/>
  <c r="BO144" i="5"/>
  <c r="BO108" i="5"/>
  <c r="BO106" i="5"/>
  <c r="BP97" i="5" s="1"/>
  <c r="BN167" i="5" l="1"/>
  <c r="BN157" i="5"/>
  <c r="BO113" i="5"/>
  <c r="BO117" i="5" s="1"/>
  <c r="BO155" i="5" s="1"/>
  <c r="BO156" i="5" s="1"/>
  <c r="BP98" i="5"/>
  <c r="BU92" i="5"/>
  <c r="BU153" i="5" s="1"/>
  <c r="BU102" i="5"/>
  <c r="BU143" i="5"/>
  <c r="BU128" i="5"/>
  <c r="BU89" i="5"/>
  <c r="BU87" i="5"/>
  <c r="BV79" i="5" s="1"/>
  <c r="BO116" i="5" l="1"/>
  <c r="BO118" i="5" s="1"/>
  <c r="BU94" i="5"/>
  <c r="BV80" i="5"/>
  <c r="BP103" i="5"/>
  <c r="BO145" i="5" l="1"/>
  <c r="BO146" i="5" s="1"/>
  <c r="BO161" i="5" s="1"/>
  <c r="BO130" i="5"/>
  <c r="BO131" i="5" s="1"/>
  <c r="BP111" i="5"/>
  <c r="BP154" i="5" s="1"/>
  <c r="BP129" i="5"/>
  <c r="BP144" i="5"/>
  <c r="BP108" i="5"/>
  <c r="BP106" i="5"/>
  <c r="BQ97" i="5" s="1"/>
  <c r="BV84" i="5"/>
  <c r="BO167" i="5" l="1"/>
  <c r="BO157" i="5"/>
  <c r="BP113" i="5"/>
  <c r="BP116" i="5" s="1"/>
  <c r="BQ98" i="5"/>
  <c r="BV92" i="5"/>
  <c r="BV153" i="5" s="1"/>
  <c r="BV102" i="5"/>
  <c r="BV128" i="5"/>
  <c r="BV89" i="5"/>
  <c r="BV143" i="5"/>
  <c r="BV87" i="5"/>
  <c r="BW79" i="5" s="1"/>
  <c r="BV94" i="5" l="1"/>
  <c r="BP117" i="5"/>
  <c r="BP155" i="5" s="1"/>
  <c r="BP156" i="5" s="1"/>
  <c r="BP130" i="5"/>
  <c r="BP131" i="5" s="1"/>
  <c r="BP145" i="5"/>
  <c r="BP146" i="5" s="1"/>
  <c r="BW80" i="5"/>
  <c r="BQ103" i="5"/>
  <c r="BP161" i="5" l="1"/>
  <c r="BP118" i="5"/>
  <c r="BP167" i="5"/>
  <c r="BP157" i="5"/>
  <c r="BQ144" i="5"/>
  <c r="BQ129" i="5"/>
  <c r="BQ111" i="5"/>
  <c r="BQ154" i="5" s="1"/>
  <c r="BQ108" i="5"/>
  <c r="BQ106" i="5"/>
  <c r="BR97" i="5" s="1"/>
  <c r="BR98" i="5" s="1"/>
  <c r="BW84" i="5"/>
  <c r="BQ113" i="5" l="1"/>
  <c r="BQ116" i="5" s="1"/>
  <c r="BW143" i="5"/>
  <c r="BW128" i="5"/>
  <c r="BW102" i="5"/>
  <c r="BW92" i="5"/>
  <c r="BW153" i="5" s="1"/>
  <c r="BW89" i="5"/>
  <c r="BR103" i="5"/>
  <c r="BW87" i="5"/>
  <c r="BX79" i="5" s="1"/>
  <c r="BQ117" i="5" l="1"/>
  <c r="BQ155" i="5" s="1"/>
  <c r="BQ156" i="5" s="1"/>
  <c r="BX80" i="5"/>
  <c r="BR106" i="5"/>
  <c r="BS97" i="5" s="1"/>
  <c r="BR129" i="5"/>
  <c r="BR144" i="5"/>
  <c r="BR111" i="5"/>
  <c r="BR154" i="5" s="1"/>
  <c r="BR108" i="5"/>
  <c r="BW94" i="5"/>
  <c r="BQ145" i="5"/>
  <c r="BQ146" i="5" s="1"/>
  <c r="BQ130" i="5"/>
  <c r="BQ131" i="5" s="1"/>
  <c r="BQ157" i="5" l="1"/>
  <c r="BQ118" i="5"/>
  <c r="BQ167" i="5"/>
  <c r="BX84" i="5"/>
  <c r="BS98" i="5"/>
  <c r="BQ161" i="5"/>
  <c r="BR113" i="5"/>
  <c r="BR116" i="5" l="1"/>
  <c r="BR117" i="5"/>
  <c r="BR155" i="5" s="1"/>
  <c r="BR156" i="5" s="1"/>
  <c r="BX89" i="5"/>
  <c r="BX92" i="5"/>
  <c r="BX153" i="5" s="1"/>
  <c r="BX102" i="5"/>
  <c r="BX143" i="5"/>
  <c r="BX128" i="5"/>
  <c r="BX87" i="5"/>
  <c r="BY79" i="5" s="1"/>
  <c r="BS103" i="5"/>
  <c r="BR118" i="5" l="1"/>
  <c r="BY80" i="5"/>
  <c r="BX94" i="5"/>
  <c r="BR130" i="5"/>
  <c r="BR131" i="5" s="1"/>
  <c r="BR145" i="5"/>
  <c r="BR146" i="5" s="1"/>
  <c r="BR157" i="5" s="1"/>
  <c r="BS111" i="5"/>
  <c r="BS154" i="5" s="1"/>
  <c r="BS129" i="5"/>
  <c r="BS144" i="5"/>
  <c r="BS108" i="5"/>
  <c r="BS106" i="5"/>
  <c r="BT97" i="5" s="1"/>
  <c r="BR167" i="5" l="1"/>
  <c r="BY84" i="5"/>
  <c r="BT98" i="5"/>
  <c r="BR161" i="5"/>
  <c r="BS113" i="5"/>
  <c r="BS117" i="5" l="1"/>
  <c r="BS155" i="5" s="1"/>
  <c r="BS156" i="5" s="1"/>
  <c r="BS116" i="5"/>
  <c r="BY102" i="5"/>
  <c r="BY89" i="5"/>
  <c r="BY92" i="5"/>
  <c r="BY153" i="5" s="1"/>
  <c r="BY128" i="5"/>
  <c r="BY143" i="5"/>
  <c r="BY87" i="5"/>
  <c r="BZ79" i="5" s="1"/>
  <c r="BT103" i="5"/>
  <c r="BS118" i="5" l="1"/>
  <c r="BZ80" i="5"/>
  <c r="BS130" i="5"/>
  <c r="BS131" i="5" s="1"/>
  <c r="BS145" i="5"/>
  <c r="BS146" i="5" s="1"/>
  <c r="BS161" i="5" s="1"/>
  <c r="BT129" i="5"/>
  <c r="BT111" i="5"/>
  <c r="BT154" i="5" s="1"/>
  <c r="BT144" i="5"/>
  <c r="BT108" i="5"/>
  <c r="BT106" i="5"/>
  <c r="BU97" i="5" s="1"/>
  <c r="BY94" i="5"/>
  <c r="BS157" i="5" l="1"/>
  <c r="BS167" i="5"/>
  <c r="BZ84" i="5"/>
  <c r="BU98" i="5"/>
  <c r="BT113" i="5"/>
  <c r="BZ143" i="5" l="1"/>
  <c r="BZ102" i="5"/>
  <c r="BZ89" i="5"/>
  <c r="BZ128" i="5"/>
  <c r="BZ92" i="5"/>
  <c r="BZ153" i="5" s="1"/>
  <c r="BZ87" i="5"/>
  <c r="CA79" i="5" s="1"/>
  <c r="BT116" i="5"/>
  <c r="BT117" i="5"/>
  <c r="BT155" i="5" s="1"/>
  <c r="BT156" i="5" s="1"/>
  <c r="BU103" i="5"/>
  <c r="BT118" i="5" l="1"/>
  <c r="BU111" i="5"/>
  <c r="BU154" i="5" s="1"/>
  <c r="BU129" i="5"/>
  <c r="BU144" i="5"/>
  <c r="BU108" i="5"/>
  <c r="BU106" i="5"/>
  <c r="BV97" i="5" s="1"/>
  <c r="BZ94" i="5"/>
  <c r="CA80" i="5"/>
  <c r="BT130" i="5"/>
  <c r="BT131" i="5" s="1"/>
  <c r="BT145" i="5"/>
  <c r="BT146" i="5" s="1"/>
  <c r="BT161" i="5" s="1"/>
  <c r="BU113" i="5" l="1"/>
  <c r="BU116" i="5" s="1"/>
  <c r="BV98" i="5"/>
  <c r="BT167" i="5"/>
  <c r="CA84" i="5"/>
  <c r="BT157" i="5"/>
  <c r="BU117" i="5" l="1"/>
  <c r="BU155" i="5" s="1"/>
  <c r="BU156" i="5" s="1"/>
  <c r="BU130" i="5"/>
  <c r="BU131" i="5" s="1"/>
  <c r="BU145" i="5"/>
  <c r="BU146" i="5" s="1"/>
  <c r="CA128" i="5"/>
  <c r="CA89" i="5"/>
  <c r="CA143" i="5"/>
  <c r="CA92" i="5"/>
  <c r="CA153" i="5" s="1"/>
  <c r="CA102" i="5"/>
  <c r="CA87" i="5"/>
  <c r="CB79" i="5" s="1"/>
  <c r="BV103" i="5"/>
  <c r="BU157" i="5" l="1"/>
  <c r="BU118" i="5"/>
  <c r="BV111" i="5"/>
  <c r="BV154" i="5" s="1"/>
  <c r="BV144" i="5"/>
  <c r="BV129" i="5"/>
  <c r="BV108" i="5"/>
  <c r="BV106" i="5"/>
  <c r="BW97" i="5" s="1"/>
  <c r="CB80" i="5"/>
  <c r="BU167" i="5"/>
  <c r="CA94" i="5"/>
  <c r="BU161" i="5"/>
  <c r="BV113" i="5" l="1"/>
  <c r="BV117" i="5" s="1"/>
  <c r="BV155" i="5" s="1"/>
  <c r="BV156" i="5" s="1"/>
  <c r="CB84" i="5"/>
  <c r="CB87" i="5" s="1"/>
  <c r="CC79" i="5" s="1"/>
  <c r="BW98" i="5"/>
  <c r="BV116" i="5" l="1"/>
  <c r="BV118" i="5" s="1"/>
  <c r="CC80" i="5"/>
  <c r="BW103" i="5"/>
  <c r="CB128" i="5"/>
  <c r="CB102" i="5"/>
  <c r="CB92" i="5"/>
  <c r="CB94" i="5" s="1"/>
  <c r="CB143" i="5"/>
  <c r="CB89" i="5"/>
  <c r="BV130" i="5" l="1"/>
  <c r="BV131" i="5" s="1"/>
  <c r="BV145" i="5"/>
  <c r="BV146" i="5" s="1"/>
  <c r="BV161" i="5" s="1"/>
  <c r="CC84" i="5"/>
  <c r="CB153" i="5"/>
  <c r="BW129" i="5"/>
  <c r="BW144" i="5"/>
  <c r="BW111" i="5"/>
  <c r="BW154" i="5" s="1"/>
  <c r="BW108" i="5"/>
  <c r="BW106" i="5"/>
  <c r="BX97" i="5" s="1"/>
  <c r="BV157" i="5" l="1"/>
  <c r="BV167" i="5"/>
  <c r="BX98" i="5"/>
  <c r="BW113" i="5"/>
  <c r="CC92" i="5"/>
  <c r="CC89" i="5"/>
  <c r="CC102" i="5"/>
  <c r="CC128" i="5"/>
  <c r="CC143" i="5"/>
  <c r="CC87" i="5"/>
  <c r="CD79" i="5" s="1"/>
  <c r="CC153" i="5" l="1"/>
  <c r="CD80" i="5"/>
  <c r="BW116" i="5"/>
  <c r="BW117" i="5"/>
  <c r="BW155" i="5" s="1"/>
  <c r="BW156" i="5" s="1"/>
  <c r="CC94" i="5"/>
  <c r="BX103" i="5"/>
  <c r="BW145" i="5" l="1"/>
  <c r="BW146" i="5" s="1"/>
  <c r="BW157" i="5" s="1"/>
  <c r="BW130" i="5"/>
  <c r="BW131" i="5" s="1"/>
  <c r="CD84" i="5"/>
  <c r="BX111" i="5"/>
  <c r="BX154" i="5" s="1"/>
  <c r="BX129" i="5"/>
  <c r="BX144" i="5"/>
  <c r="BX108" i="5"/>
  <c r="BX106" i="5"/>
  <c r="BY97" i="5" s="1"/>
  <c r="BW118" i="5"/>
  <c r="BW167" i="5" l="1"/>
  <c r="CD143" i="5"/>
  <c r="CD128" i="5"/>
  <c r="CD92" i="5"/>
  <c r="CD94" i="5" s="1"/>
  <c r="CD89" i="5"/>
  <c r="CD102" i="5"/>
  <c r="CD87" i="5"/>
  <c r="CE79" i="5" s="1"/>
  <c r="BX113" i="5"/>
  <c r="BY98" i="5"/>
  <c r="BW161" i="5"/>
  <c r="CE80" i="5" l="1"/>
  <c r="CD153" i="5"/>
  <c r="BY103" i="5"/>
  <c r="BX117" i="5"/>
  <c r="BX155" i="5" s="1"/>
  <c r="BX156" i="5" s="1"/>
  <c r="BX116" i="5"/>
  <c r="BX118" i="5" l="1"/>
  <c r="BX130" i="5"/>
  <c r="BX131" i="5" s="1"/>
  <c r="BX145" i="5"/>
  <c r="BX146" i="5" s="1"/>
  <c r="BX157" i="5" s="1"/>
  <c r="BY144" i="5"/>
  <c r="BY111" i="5"/>
  <c r="BY154" i="5" s="1"/>
  <c r="BY129" i="5"/>
  <c r="BY108" i="5"/>
  <c r="CE84" i="5"/>
  <c r="BY106" i="5"/>
  <c r="BZ97" i="5" s="1"/>
  <c r="BY113" i="5" l="1"/>
  <c r="BY116" i="5" s="1"/>
  <c r="BX161" i="5"/>
  <c r="BZ98" i="5"/>
  <c r="CE143" i="5"/>
  <c r="CE89" i="5"/>
  <c r="CE102" i="5"/>
  <c r="CE92" i="5"/>
  <c r="CE94" i="5" s="1"/>
  <c r="CE128" i="5"/>
  <c r="CE87" i="5"/>
  <c r="CF79" i="5" s="1"/>
  <c r="BX167" i="5"/>
  <c r="BY117" i="5" l="1"/>
  <c r="BY155" i="5" s="1"/>
  <c r="BY156" i="5" s="1"/>
  <c r="CF80" i="5"/>
  <c r="BZ103" i="5"/>
  <c r="CE153" i="5"/>
  <c r="BY130" i="5"/>
  <c r="BY131" i="5" s="1"/>
  <c r="BY145" i="5"/>
  <c r="BY146" i="5" s="1"/>
  <c r="BY161" i="5" l="1"/>
  <c r="BY118" i="5"/>
  <c r="BZ144" i="5"/>
  <c r="BZ111" i="5"/>
  <c r="BZ154" i="5" s="1"/>
  <c r="BZ129" i="5"/>
  <c r="BZ108" i="5"/>
  <c r="BZ106" i="5"/>
  <c r="CA97" i="5" s="1"/>
  <c r="CF84" i="5"/>
  <c r="BY157" i="5"/>
  <c r="BY167" i="5"/>
  <c r="BZ113" i="5" l="1"/>
  <c r="BZ116" i="5" s="1"/>
  <c r="CF143" i="5"/>
  <c r="CF92" i="5"/>
  <c r="CF94" i="5" s="1"/>
  <c r="CF102" i="5"/>
  <c r="CF128" i="5"/>
  <c r="CF89" i="5"/>
  <c r="CA98" i="5"/>
  <c r="CF87" i="5"/>
  <c r="CG79" i="5" s="1"/>
  <c r="BZ117" i="5" l="1"/>
  <c r="BZ155" i="5" s="1"/>
  <c r="BZ156" i="5" s="1"/>
  <c r="CG80" i="5"/>
  <c r="BZ130" i="5"/>
  <c r="BZ131" i="5" s="1"/>
  <c r="BZ145" i="5"/>
  <c r="BZ146" i="5" s="1"/>
  <c r="CF153" i="5"/>
  <c r="CA103" i="5"/>
  <c r="CA106" i="5" s="1"/>
  <c r="CB97" i="5" s="1"/>
  <c r="BZ161" i="5" l="1"/>
  <c r="BZ118" i="5"/>
  <c r="CB98" i="5"/>
  <c r="BZ167" i="5"/>
  <c r="CG84" i="5"/>
  <c r="BZ157" i="5"/>
  <c r="CA144" i="5"/>
  <c r="CA111" i="5"/>
  <c r="CA154" i="5" s="1"/>
  <c r="CA129" i="5"/>
  <c r="CA108" i="5"/>
  <c r="CA113" i="5" l="1"/>
  <c r="CA117" i="5" s="1"/>
  <c r="CA155" i="5" s="1"/>
  <c r="CA156" i="5" s="1"/>
  <c r="CG143" i="5"/>
  <c r="CG102" i="5"/>
  <c r="CG128" i="5"/>
  <c r="CG92" i="5"/>
  <c r="CG153" i="5" s="1"/>
  <c r="CG89" i="5"/>
  <c r="CG87" i="5"/>
  <c r="CH79" i="5" s="1"/>
  <c r="CB103" i="5"/>
  <c r="CA116" i="5" l="1"/>
  <c r="CA145" i="5" s="1"/>
  <c r="CA146" i="5" s="1"/>
  <c r="CA161" i="5" s="1"/>
  <c r="CG94" i="5"/>
  <c r="CH80" i="5"/>
  <c r="CB144" i="5"/>
  <c r="CB111" i="5"/>
  <c r="CB154" i="5" s="1"/>
  <c r="CB129" i="5"/>
  <c r="CB108" i="5"/>
  <c r="CB106" i="5"/>
  <c r="CC97" i="5" s="1"/>
  <c r="CA118" i="5" l="1"/>
  <c r="CA130" i="5"/>
  <c r="CA131" i="5" s="1"/>
  <c r="CA167" i="5" s="1"/>
  <c r="CA157" i="5"/>
  <c r="CH84" i="5"/>
  <c r="CC98" i="5"/>
  <c r="CB113" i="5"/>
  <c r="CB117" i="5" l="1"/>
  <c r="CB155" i="5" s="1"/>
  <c r="CB156" i="5" s="1"/>
  <c r="CB116" i="5"/>
  <c r="CH102" i="5"/>
  <c r="CH89" i="5"/>
  <c r="CH92" i="5"/>
  <c r="CH153" i="5" s="1"/>
  <c r="CH143" i="5"/>
  <c r="CH128" i="5"/>
  <c r="CC103" i="5"/>
  <c r="CH87" i="5"/>
  <c r="CI79" i="5" s="1"/>
  <c r="CI80" i="5" s="1"/>
  <c r="CB118" i="5" l="1"/>
  <c r="CI84" i="5"/>
  <c r="CC111" i="5"/>
  <c r="CC154" i="5" s="1"/>
  <c r="CC144" i="5"/>
  <c r="CC129" i="5"/>
  <c r="CC108" i="5"/>
  <c r="CC106" i="5"/>
  <c r="CD97" i="5" s="1"/>
  <c r="CB130" i="5"/>
  <c r="CB131" i="5" s="1"/>
  <c r="CB145" i="5"/>
  <c r="CB146" i="5" s="1"/>
  <c r="CB157" i="5" s="1"/>
  <c r="CH94" i="5"/>
  <c r="CB167" i="5" l="1"/>
  <c r="CD98" i="5"/>
  <c r="CC113" i="5"/>
  <c r="CB161" i="5"/>
  <c r="CI87" i="5"/>
  <c r="CJ79" i="5" s="1"/>
  <c r="CI89" i="5"/>
  <c r="CI92" i="5"/>
  <c r="CI153" i="5" s="1"/>
  <c r="CI102" i="5"/>
  <c r="CI128" i="5"/>
  <c r="CI143" i="5"/>
  <c r="CI94" i="5" l="1"/>
  <c r="CD103" i="5"/>
  <c r="CD106" i="5" s="1"/>
  <c r="CE97" i="5" s="1"/>
  <c r="CC117" i="5"/>
  <c r="CC155" i="5" s="1"/>
  <c r="CC156" i="5" s="1"/>
  <c r="CC116" i="5"/>
  <c r="CJ80" i="5"/>
  <c r="CC118" i="5" l="1"/>
  <c r="CE98" i="5"/>
  <c r="CD144" i="5"/>
  <c r="CD111" i="5"/>
  <c r="CD154" i="5" s="1"/>
  <c r="CD129" i="5"/>
  <c r="CD108" i="5"/>
  <c r="CC130" i="5"/>
  <c r="CC131" i="5" s="1"/>
  <c r="CC145" i="5"/>
  <c r="CC146" i="5" s="1"/>
  <c r="CC161" i="5" s="1"/>
  <c r="CJ84" i="5"/>
  <c r="CD113" i="5" l="1"/>
  <c r="CD116" i="5" s="1"/>
  <c r="CC157" i="5"/>
  <c r="CJ89" i="5"/>
  <c r="CJ143" i="5"/>
  <c r="CJ128" i="5"/>
  <c r="CJ92" i="5"/>
  <c r="CJ153" i="5" s="1"/>
  <c r="CJ102" i="5"/>
  <c r="CJ87" i="5"/>
  <c r="CK79" i="5" s="1"/>
  <c r="CK80" i="5" s="1"/>
  <c r="CC167" i="5"/>
  <c r="CE103" i="5"/>
  <c r="CD117" i="5" l="1"/>
  <c r="CD155" i="5" s="1"/>
  <c r="CD156" i="5" s="1"/>
  <c r="CE144" i="5"/>
  <c r="CE129" i="5"/>
  <c r="CE111" i="5"/>
  <c r="CE154" i="5" s="1"/>
  <c r="CE108" i="5"/>
  <c r="CE106" i="5"/>
  <c r="CF97" i="5" s="1"/>
  <c r="CK84" i="5"/>
  <c r="CJ94" i="5"/>
  <c r="CD130" i="5"/>
  <c r="CD131" i="5" s="1"/>
  <c r="CD145" i="5"/>
  <c r="CD146" i="5" s="1"/>
  <c r="CD157" i="5" l="1"/>
  <c r="CE113" i="5"/>
  <c r="CE116" i="5" s="1"/>
  <c r="CD118" i="5"/>
  <c r="CD167" i="5"/>
  <c r="CF98" i="5"/>
  <c r="CD161" i="5"/>
  <c r="CK87" i="5"/>
  <c r="CL79" i="5" s="1"/>
  <c r="CK89" i="5"/>
  <c r="CK143" i="5"/>
  <c r="CK102" i="5"/>
  <c r="CK128" i="5"/>
  <c r="CK92" i="5"/>
  <c r="CK153" i="5" s="1"/>
  <c r="CE117" i="5" l="1"/>
  <c r="CE155" i="5" s="1"/>
  <c r="CE156" i="5" s="1"/>
  <c r="CK94" i="5"/>
  <c r="CE130" i="5"/>
  <c r="CE131" i="5" s="1"/>
  <c r="CE145" i="5"/>
  <c r="CE146" i="5" s="1"/>
  <c r="CL80" i="5"/>
  <c r="CF103" i="5"/>
  <c r="CE157" i="5" l="1"/>
  <c r="CE118" i="5"/>
  <c r="CL84" i="5"/>
  <c r="CE167" i="5"/>
  <c r="CF144" i="5"/>
  <c r="CF111" i="5"/>
  <c r="CF154" i="5" s="1"/>
  <c r="CF129" i="5"/>
  <c r="CF108" i="5"/>
  <c r="CF106" i="5"/>
  <c r="CG97" i="5" s="1"/>
  <c r="CE161" i="5"/>
  <c r="CF113" i="5" l="1"/>
  <c r="CF116" i="5" s="1"/>
  <c r="CL128" i="5"/>
  <c r="CL143" i="5"/>
  <c r="CL92" i="5"/>
  <c r="CL153" i="5" s="1"/>
  <c r="CL102" i="5"/>
  <c r="CL89" i="5"/>
  <c r="CG98" i="5"/>
  <c r="CL87" i="5"/>
  <c r="CM79" i="5" s="1"/>
  <c r="CF117" i="5" l="1"/>
  <c r="CF155" i="5" s="1"/>
  <c r="CF156" i="5" s="1"/>
  <c r="CL94" i="5"/>
  <c r="CM80" i="5"/>
  <c r="CG103" i="5"/>
  <c r="CF145" i="5"/>
  <c r="CF146" i="5" s="1"/>
  <c r="CF130" i="5"/>
  <c r="CF131" i="5" s="1"/>
  <c r="CF157" i="5" l="1"/>
  <c r="CF118" i="5"/>
  <c r="CF167" i="5"/>
  <c r="CG111" i="5"/>
  <c r="CG154" i="5" s="1"/>
  <c r="CG129" i="5"/>
  <c r="CG144" i="5"/>
  <c r="CG108" i="5"/>
  <c r="CG106" i="5"/>
  <c r="CH97" i="5" s="1"/>
  <c r="CM84" i="5"/>
  <c r="CF161" i="5"/>
  <c r="CG113" i="5" l="1"/>
  <c r="CG116" i="5" s="1"/>
  <c r="CH98" i="5"/>
  <c r="CM143" i="5"/>
  <c r="CM102" i="5"/>
  <c r="CM89" i="5"/>
  <c r="CM128" i="5"/>
  <c r="CM92" i="5"/>
  <c r="CM153" i="5" s="1"/>
  <c r="CM87" i="5"/>
  <c r="CN79" i="5" s="1"/>
  <c r="CG117" i="5" l="1"/>
  <c r="CG155" i="5" s="1"/>
  <c r="CG156" i="5" s="1"/>
  <c r="CM94" i="5"/>
  <c r="CN80" i="5"/>
  <c r="CG145" i="5"/>
  <c r="CG146" i="5" s="1"/>
  <c r="CG130" i="5"/>
  <c r="CG131" i="5" s="1"/>
  <c r="CH103" i="5"/>
  <c r="CG161" i="5" l="1"/>
  <c r="CG118" i="5"/>
  <c r="CG167" i="5"/>
  <c r="CG157" i="5"/>
  <c r="CH111" i="5"/>
  <c r="CH154" i="5" s="1"/>
  <c r="CH144" i="5"/>
  <c r="CH129" i="5"/>
  <c r="CH108" i="5"/>
  <c r="CH106" i="5"/>
  <c r="CI97" i="5" s="1"/>
  <c r="CN84" i="5"/>
  <c r="CH113" i="5" l="1"/>
  <c r="CH117" i="5" s="1"/>
  <c r="CH155" i="5" s="1"/>
  <c r="CH156" i="5" s="1"/>
  <c r="CN92" i="5"/>
  <c r="CN153" i="5" s="1"/>
  <c r="CN102" i="5"/>
  <c r="CN128" i="5"/>
  <c r="CN143" i="5"/>
  <c r="CN89" i="5"/>
  <c r="CN87" i="5"/>
  <c r="CO79" i="5" s="1"/>
  <c r="CI98" i="5"/>
  <c r="CH116" i="5" l="1"/>
  <c r="CH145" i="5" s="1"/>
  <c r="CH146" i="5" s="1"/>
  <c r="CN94" i="5"/>
  <c r="CO80" i="5"/>
  <c r="CI103" i="5"/>
  <c r="CH157" i="5" l="1"/>
  <c r="CH161" i="5"/>
  <c r="CH130" i="5"/>
  <c r="CH131" i="5" s="1"/>
  <c r="CH167" i="5" s="1"/>
  <c r="CH118" i="5"/>
  <c r="CO84" i="5"/>
  <c r="CI129" i="5"/>
  <c r="CI144" i="5"/>
  <c r="CI111" i="5"/>
  <c r="CI154" i="5" s="1"/>
  <c r="CI108" i="5"/>
  <c r="CI106" i="5"/>
  <c r="CJ97" i="5" s="1"/>
  <c r="CI113" i="5" l="1"/>
  <c r="CI117" i="5" s="1"/>
  <c r="CI155" i="5" s="1"/>
  <c r="CI156" i="5" s="1"/>
  <c r="CJ98" i="5"/>
  <c r="CO143" i="5"/>
  <c r="CO89" i="5"/>
  <c r="CO92" i="5"/>
  <c r="CO153" i="5" s="1"/>
  <c r="CO102" i="5"/>
  <c r="CO128" i="5"/>
  <c r="CO87" i="5"/>
  <c r="CP79" i="5" s="1"/>
  <c r="CP80" i="5" s="1"/>
  <c r="CI116" i="5" l="1"/>
  <c r="CI118" i="5" s="1"/>
  <c r="CP84" i="5"/>
  <c r="CO94" i="5"/>
  <c r="CJ103" i="5"/>
  <c r="CI145" i="5" l="1"/>
  <c r="CI146" i="5" s="1"/>
  <c r="CI157" i="5" s="1"/>
  <c r="CI130" i="5"/>
  <c r="CI131" i="5" s="1"/>
  <c r="CJ111" i="5"/>
  <c r="CJ154" i="5" s="1"/>
  <c r="CJ129" i="5"/>
  <c r="CJ144" i="5"/>
  <c r="CJ108" i="5"/>
  <c r="CJ106" i="5"/>
  <c r="CK97" i="5" s="1"/>
  <c r="CK98" i="5" s="1"/>
  <c r="CP87" i="5"/>
  <c r="CQ79" i="5" s="1"/>
  <c r="CQ80" i="5" s="1"/>
  <c r="CP92" i="5"/>
  <c r="CP153" i="5" s="1"/>
  <c r="CP128" i="5"/>
  <c r="CP102" i="5"/>
  <c r="CP143" i="5"/>
  <c r="CP89" i="5"/>
  <c r="CJ113" i="5" l="1"/>
  <c r="CJ116" i="5" s="1"/>
  <c r="CP94" i="5"/>
  <c r="CI167" i="5"/>
  <c r="CI161" i="5"/>
  <c r="CK103" i="5"/>
  <c r="CQ84" i="5"/>
  <c r="CJ117" i="5" l="1"/>
  <c r="CJ155" i="5" s="1"/>
  <c r="CJ156" i="5" s="1"/>
  <c r="CJ130" i="5"/>
  <c r="CJ131" i="5" s="1"/>
  <c r="CJ145" i="5"/>
  <c r="CJ146" i="5" s="1"/>
  <c r="CK106" i="5"/>
  <c r="CL97" i="5" s="1"/>
  <c r="CK129" i="5"/>
  <c r="CK144" i="5"/>
  <c r="CK111" i="5"/>
  <c r="CK154" i="5" s="1"/>
  <c r="CK108" i="5"/>
  <c r="CQ87" i="5"/>
  <c r="CR79" i="5" s="1"/>
  <c r="CQ89" i="5"/>
  <c r="CQ102" i="5"/>
  <c r="CQ92" i="5"/>
  <c r="CQ153" i="5" s="1"/>
  <c r="CQ128" i="5"/>
  <c r="CQ143" i="5"/>
  <c r="CJ118" i="5" l="1"/>
  <c r="CJ161" i="5"/>
  <c r="CQ94" i="5"/>
  <c r="CL98" i="5"/>
  <c r="CJ167" i="5"/>
  <c r="CR80" i="5"/>
  <c r="CR84" i="5" s="1"/>
  <c r="CK113" i="5"/>
  <c r="CJ157" i="5"/>
  <c r="CR87" i="5" l="1"/>
  <c r="CS79" i="5" s="1"/>
  <c r="CR128" i="5"/>
  <c r="CR143" i="5"/>
  <c r="CR92" i="5"/>
  <c r="CR153" i="5" s="1"/>
  <c r="CR89" i="5"/>
  <c r="CR102" i="5"/>
  <c r="CK116" i="5"/>
  <c r="CK117" i="5"/>
  <c r="CK155" i="5" s="1"/>
  <c r="CK156" i="5" s="1"/>
  <c r="CL103" i="5"/>
  <c r="CR94" i="5" l="1"/>
  <c r="CK145" i="5"/>
  <c r="CK146" i="5" s="1"/>
  <c r="CK157" i="5" s="1"/>
  <c r="CK130" i="5"/>
  <c r="CK131" i="5" s="1"/>
  <c r="CL129" i="5"/>
  <c r="CL144" i="5"/>
  <c r="CL111" i="5"/>
  <c r="CL154" i="5" s="1"/>
  <c r="CL108" i="5"/>
  <c r="CL106" i="5"/>
  <c r="CM97" i="5" s="1"/>
  <c r="CK118" i="5"/>
  <c r="CS80" i="5"/>
  <c r="CS84" i="5" s="1"/>
  <c r="CK167" i="5" l="1"/>
  <c r="CK161" i="5"/>
  <c r="CS87" i="5"/>
  <c r="CT79" i="5" s="1"/>
  <c r="CS102" i="5"/>
  <c r="CS143" i="5"/>
  <c r="CS92" i="5"/>
  <c r="CS153" i="5" s="1"/>
  <c r="CS128" i="5"/>
  <c r="CS89" i="5"/>
  <c r="CM98" i="5"/>
  <c r="CL113" i="5"/>
  <c r="CS94" i="5" l="1"/>
  <c r="CM103" i="5"/>
  <c r="CM106" i="5" s="1"/>
  <c r="CN97" i="5" s="1"/>
  <c r="CL117" i="5"/>
  <c r="CL155" i="5" s="1"/>
  <c r="CL156" i="5" s="1"/>
  <c r="CL116" i="5"/>
  <c r="CT80" i="5"/>
  <c r="CT84" i="5" s="1"/>
  <c r="CT87" i="5" s="1"/>
  <c r="CU79" i="5" s="1"/>
  <c r="CU80" i="5" l="1"/>
  <c r="CU84" i="5" s="1"/>
  <c r="CU87" i="5" s="1"/>
  <c r="CV79" i="5" s="1"/>
  <c r="CN98" i="5"/>
  <c r="CL145" i="5"/>
  <c r="CL146" i="5" s="1"/>
  <c r="CL157" i="5" s="1"/>
  <c r="CL130" i="5"/>
  <c r="CL131" i="5" s="1"/>
  <c r="CT102" i="5"/>
  <c r="CT92" i="5"/>
  <c r="CT89" i="5"/>
  <c r="CT143" i="5"/>
  <c r="CT128" i="5"/>
  <c r="CM111" i="5"/>
  <c r="CM154" i="5" s="1"/>
  <c r="CM144" i="5"/>
  <c r="CM129" i="5"/>
  <c r="CM108" i="5"/>
  <c r="CL118" i="5"/>
  <c r="CM113" i="5" l="1"/>
  <c r="CM116" i="5" s="1"/>
  <c r="CL161" i="5"/>
  <c r="CL167" i="5"/>
  <c r="CV80" i="5"/>
  <c r="CV84" i="5" s="1"/>
  <c r="CV87" i="5" s="1"/>
  <c r="CW79" i="5" s="1"/>
  <c r="CN103" i="5"/>
  <c r="CT94" i="5"/>
  <c r="CT153" i="5"/>
  <c r="CU143" i="5"/>
  <c r="CU92" i="5"/>
  <c r="CU153" i="5" s="1"/>
  <c r="CU102" i="5"/>
  <c r="CU128" i="5"/>
  <c r="CU89" i="5"/>
  <c r="CM117" i="5" l="1"/>
  <c r="CM155" i="5" s="1"/>
  <c r="CM156" i="5" s="1"/>
  <c r="CU94" i="5"/>
  <c r="CW80" i="5"/>
  <c r="CW84" i="5" s="1"/>
  <c r="CM145" i="5"/>
  <c r="CM146" i="5" s="1"/>
  <c r="CM130" i="5"/>
  <c r="CM131" i="5" s="1"/>
  <c r="CN144" i="5"/>
  <c r="CN111" i="5"/>
  <c r="CN113" i="5" s="1"/>
  <c r="CN129" i="5"/>
  <c r="CN108" i="5"/>
  <c r="CV102" i="5"/>
  <c r="CV143" i="5"/>
  <c r="CV128" i="5"/>
  <c r="CV89" i="5"/>
  <c r="CV92" i="5"/>
  <c r="CV153" i="5" s="1"/>
  <c r="CN106" i="5"/>
  <c r="CO97" i="5" s="1"/>
  <c r="CO98" i="5" s="1"/>
  <c r="CM157" i="5" l="1"/>
  <c r="CM118" i="5"/>
  <c r="CM167" i="5"/>
  <c r="CM161" i="5"/>
  <c r="CW87" i="5"/>
  <c r="CX79" i="5" s="1"/>
  <c r="CX80" i="5" s="1"/>
  <c r="CX84" i="5" s="1"/>
  <c r="CX87" i="5" s="1"/>
  <c r="CY79" i="5" s="1"/>
  <c r="CV94" i="5"/>
  <c r="CO103" i="5"/>
  <c r="CN117" i="5"/>
  <c r="CN116" i="5"/>
  <c r="CN154" i="5"/>
  <c r="CW102" i="5"/>
  <c r="CW128" i="5"/>
  <c r="CW92" i="5"/>
  <c r="CW153" i="5" s="1"/>
  <c r="CW143" i="5"/>
  <c r="CW89" i="5"/>
  <c r="CW94" i="5"/>
  <c r="CN118" i="5" l="1"/>
  <c r="CY80" i="5"/>
  <c r="CY84" i="5" s="1"/>
  <c r="CY87" i="5" s="1"/>
  <c r="CZ79" i="5" s="1"/>
  <c r="CN130" i="5"/>
  <c r="CN145" i="5"/>
  <c r="CN155" i="5"/>
  <c r="CN156" i="5" s="1"/>
  <c r="CO106" i="5"/>
  <c r="CP97" i="5" s="1"/>
  <c r="CO129" i="5"/>
  <c r="CO111" i="5"/>
  <c r="CO113" i="5" s="1"/>
  <c r="CO144" i="5"/>
  <c r="CO108" i="5"/>
  <c r="CX128" i="5"/>
  <c r="CX143" i="5"/>
  <c r="CX102" i="5"/>
  <c r="CX92" i="5"/>
  <c r="CX153" i="5" s="1"/>
  <c r="CX89" i="5"/>
  <c r="CX94" i="5" l="1"/>
  <c r="CZ80" i="5"/>
  <c r="CZ84" i="5" s="1"/>
  <c r="CZ87" i="5" s="1"/>
  <c r="DA79" i="5" s="1"/>
  <c r="CO116" i="5"/>
  <c r="CO117" i="5"/>
  <c r="CN146" i="5"/>
  <c r="CN161" i="5" s="1"/>
  <c r="CN131" i="5"/>
  <c r="CO154" i="5"/>
  <c r="CP98" i="5"/>
  <c r="CY89" i="5"/>
  <c r="CY128" i="5"/>
  <c r="CY143" i="5"/>
  <c r="CY92" i="5"/>
  <c r="CY153" i="5" s="1"/>
  <c r="CY102" i="5"/>
  <c r="CO118" i="5" l="1"/>
  <c r="DA80" i="5"/>
  <c r="DA84" i="5" s="1"/>
  <c r="DA87" i="5" s="1"/>
  <c r="DB79" i="5" s="1"/>
  <c r="CY94" i="5"/>
  <c r="CO155" i="5"/>
  <c r="CO156" i="5" s="1"/>
  <c r="CP103" i="5"/>
  <c r="CN167" i="5"/>
  <c r="CO145" i="5"/>
  <c r="CO130" i="5"/>
  <c r="CN157" i="5"/>
  <c r="CZ143" i="5"/>
  <c r="CZ128" i="5"/>
  <c r="CZ89" i="5"/>
  <c r="CZ92" i="5"/>
  <c r="CZ153" i="5" s="1"/>
  <c r="CZ102" i="5"/>
  <c r="CZ94" i="5" l="1"/>
  <c r="DB80" i="5"/>
  <c r="DB84" i="5" s="1"/>
  <c r="DB87" i="5" s="1"/>
  <c r="DC79" i="5" s="1"/>
  <c r="CP111" i="5"/>
  <c r="CP113" i="5" s="1"/>
  <c r="CP144" i="5"/>
  <c r="CP129" i="5"/>
  <c r="CP108" i="5"/>
  <c r="CP106" i="5"/>
  <c r="CQ97" i="5" s="1"/>
  <c r="CQ98" i="5" s="1"/>
  <c r="CO131" i="5"/>
  <c r="CO146" i="5"/>
  <c r="DA143" i="5"/>
  <c r="DA92" i="5"/>
  <c r="DA153" i="5" s="1"/>
  <c r="DA102" i="5"/>
  <c r="DA89" i="5"/>
  <c r="DA128" i="5"/>
  <c r="DA94" i="5" l="1"/>
  <c r="DC80" i="5"/>
  <c r="DC84" i="5" s="1"/>
  <c r="DC87" i="5" s="1"/>
  <c r="DD79" i="5" s="1"/>
  <c r="CP117" i="5"/>
  <c r="CP116" i="5"/>
  <c r="CO161" i="5"/>
  <c r="CO167" i="5"/>
  <c r="CP154" i="5"/>
  <c r="CO157" i="5"/>
  <c r="CQ103" i="5"/>
  <c r="DB143" i="5"/>
  <c r="DB89" i="5"/>
  <c r="DB102" i="5"/>
  <c r="DB128" i="5"/>
  <c r="DB92" i="5"/>
  <c r="DB153" i="5" s="1"/>
  <c r="DD80" i="5" l="1"/>
  <c r="DD84" i="5" s="1"/>
  <c r="DB94" i="5"/>
  <c r="CQ106" i="5"/>
  <c r="CR97" i="5" s="1"/>
  <c r="CQ111" i="5"/>
  <c r="CQ144" i="5"/>
  <c r="CQ129" i="5"/>
  <c r="CQ108" i="5"/>
  <c r="CP118" i="5"/>
  <c r="CP130" i="5"/>
  <c r="CP145" i="5"/>
  <c r="CP155" i="5"/>
  <c r="CP156" i="5" s="1"/>
  <c r="DC143" i="5"/>
  <c r="DC102" i="5"/>
  <c r="DC92" i="5"/>
  <c r="DC153" i="5" s="1"/>
  <c r="DC128" i="5"/>
  <c r="DC89" i="5"/>
  <c r="DC94" i="5" l="1"/>
  <c r="DD87" i="5"/>
  <c r="DE79" i="5" s="1"/>
  <c r="DE80" i="5" s="1"/>
  <c r="DE84" i="5" s="1"/>
  <c r="DE87" i="5" s="1"/>
  <c r="DF79" i="5" s="1"/>
  <c r="CP146" i="5"/>
  <c r="CQ154" i="5"/>
  <c r="DD102" i="5"/>
  <c r="DD128" i="5"/>
  <c r="DD143" i="5"/>
  <c r="DD89" i="5"/>
  <c r="DD92" i="5"/>
  <c r="DD153" i="5" s="1"/>
  <c r="CP131" i="5"/>
  <c r="CR98" i="5"/>
  <c r="CQ113" i="5"/>
  <c r="DD94" i="5" l="1"/>
  <c r="DF80" i="5"/>
  <c r="DF84" i="5" s="1"/>
  <c r="DF87" i="5" s="1"/>
  <c r="DG79" i="5" s="1"/>
  <c r="CP161" i="5"/>
  <c r="CQ117" i="5"/>
  <c r="CQ116" i="5"/>
  <c r="CP157" i="5"/>
  <c r="CR103" i="5"/>
  <c r="CP167" i="5"/>
  <c r="DE92" i="5"/>
  <c r="DE153" i="5" s="1"/>
  <c r="DE89" i="5"/>
  <c r="DE128" i="5"/>
  <c r="DE143" i="5"/>
  <c r="DE102" i="5"/>
  <c r="DE94" i="5" l="1"/>
  <c r="DG80" i="5"/>
  <c r="DG84" i="5" s="1"/>
  <c r="DG87" i="5" s="1"/>
  <c r="DH79" i="5" s="1"/>
  <c r="CQ155" i="5"/>
  <c r="CQ156" i="5" s="1"/>
  <c r="CR144" i="5"/>
  <c r="CR111" i="5"/>
  <c r="CR113" i="5" s="1"/>
  <c r="CR129" i="5"/>
  <c r="CR108" i="5"/>
  <c r="CQ145" i="5"/>
  <c r="CQ130" i="5"/>
  <c r="DF89" i="5"/>
  <c r="DF102" i="5"/>
  <c r="DF128" i="5"/>
  <c r="DF92" i="5"/>
  <c r="DF153" i="5" s="1"/>
  <c r="DF143" i="5"/>
  <c r="CQ118" i="5"/>
  <c r="CR106" i="5"/>
  <c r="CS97" i="5" s="1"/>
  <c r="DF94" i="5" l="1"/>
  <c r="CR116" i="5"/>
  <c r="CR117" i="5"/>
  <c r="DH80" i="5"/>
  <c r="CQ131" i="5"/>
  <c r="CQ146" i="5"/>
  <c r="CS98" i="5"/>
  <c r="CR154" i="5"/>
  <c r="DG92" i="5"/>
  <c r="DG153" i="5" s="1"/>
  <c r="DG143" i="5"/>
  <c r="DG102" i="5"/>
  <c r="DG128" i="5"/>
  <c r="DG89" i="5"/>
  <c r="DG94" i="5" l="1"/>
  <c r="CR118" i="5"/>
  <c r="CS103" i="5"/>
  <c r="CQ161" i="5"/>
  <c r="DH84" i="5"/>
  <c r="CQ167" i="5"/>
  <c r="CR155" i="5"/>
  <c r="CR156" i="5" s="1"/>
  <c r="CQ157" i="5"/>
  <c r="CR145" i="5"/>
  <c r="CR130" i="5"/>
  <c r="CR146" i="5" l="1"/>
  <c r="CR161" i="5" s="1"/>
  <c r="CS111" i="5"/>
  <c r="CS154" i="5" s="1"/>
  <c r="CS144" i="5"/>
  <c r="CS129" i="5"/>
  <c r="CS108" i="5"/>
  <c r="CR131" i="5"/>
  <c r="DH143" i="5"/>
  <c r="DH92" i="5"/>
  <c r="DH153" i="5" s="1"/>
  <c r="DH128" i="5"/>
  <c r="DH102" i="5"/>
  <c r="DH89" i="5"/>
  <c r="DH87" i="5"/>
  <c r="DI79" i="5" s="1"/>
  <c r="CS106" i="5"/>
  <c r="CT97" i="5" s="1"/>
  <c r="DI80" i="5" l="1"/>
  <c r="DH94" i="5"/>
  <c r="CR167" i="5"/>
  <c r="CT98" i="5"/>
  <c r="CR157" i="5"/>
  <c r="CS113" i="5"/>
  <c r="DI84" i="5" l="1"/>
  <c r="DI87" i="5" s="1"/>
  <c r="DJ79" i="5" s="1"/>
  <c r="CT103" i="5"/>
  <c r="CS116" i="5"/>
  <c r="CS117" i="5"/>
  <c r="CS155" i="5" s="1"/>
  <c r="CS156" i="5" s="1"/>
  <c r="DJ80" i="5" l="1"/>
  <c r="DJ84" i="5" s="1"/>
  <c r="DI102" i="5"/>
  <c r="DI89" i="5"/>
  <c r="DI143" i="5"/>
  <c r="DI128" i="5"/>
  <c r="DI92" i="5"/>
  <c r="DI153" i="5" s="1"/>
  <c r="CS118" i="5"/>
  <c r="CS130" i="5"/>
  <c r="CS131" i="5" s="1"/>
  <c r="CS145" i="5"/>
  <c r="CS146" i="5" s="1"/>
  <c r="CS161" i="5" s="1"/>
  <c r="CT129" i="5"/>
  <c r="CT111" i="5"/>
  <c r="CT154" i="5" s="1"/>
  <c r="CT144" i="5"/>
  <c r="CT108" i="5"/>
  <c r="CT106" i="5"/>
  <c r="CU97" i="5" s="1"/>
  <c r="DJ92" i="5" l="1"/>
  <c r="DJ153" i="5" s="1"/>
  <c r="DJ89" i="5"/>
  <c r="DJ102" i="5"/>
  <c r="DJ143" i="5"/>
  <c r="DJ128" i="5"/>
  <c r="G80" i="5"/>
  <c r="DK84" i="5"/>
  <c r="DI94" i="5"/>
  <c r="DJ87" i="5"/>
  <c r="DK79" i="5" s="1"/>
  <c r="CU98" i="5"/>
  <c r="CT113" i="5"/>
  <c r="CS157" i="5"/>
  <c r="CS167" i="5"/>
  <c r="DJ94" i="5" l="1"/>
  <c r="DK87" i="5"/>
  <c r="DL79" i="5" s="1"/>
  <c r="DL84" i="5"/>
  <c r="DK89" i="5"/>
  <c r="DK143" i="5"/>
  <c r="DK128" i="5"/>
  <c r="DK102" i="5"/>
  <c r="DK92" i="5"/>
  <c r="DK153" i="5" s="1"/>
  <c r="CT117" i="5"/>
  <c r="CT155" i="5" s="1"/>
  <c r="CT156" i="5" s="1"/>
  <c r="CT116" i="5"/>
  <c r="CU103" i="5"/>
  <c r="DK94" i="5" l="1"/>
  <c r="DL92" i="5"/>
  <c r="DL153" i="5" s="1"/>
  <c r="DL128" i="5"/>
  <c r="DL143" i="5"/>
  <c r="DL102" i="5"/>
  <c r="DL89" i="5"/>
  <c r="DM84" i="5"/>
  <c r="DN84" i="5" s="1"/>
  <c r="DL87" i="5"/>
  <c r="DM79" i="5" s="1"/>
  <c r="CT118" i="5"/>
  <c r="CT145" i="5"/>
  <c r="CT146" i="5" s="1"/>
  <c r="CT161" i="5" s="1"/>
  <c r="CT130" i="5"/>
  <c r="CT131" i="5" s="1"/>
  <c r="CU144" i="5"/>
  <c r="CU129" i="5"/>
  <c r="CU111" i="5"/>
  <c r="CU154" i="5" s="1"/>
  <c r="CU108" i="5"/>
  <c r="CU106" i="5"/>
  <c r="CV97" i="5" s="1"/>
  <c r="DL94" i="5" l="1"/>
  <c r="CT157" i="5"/>
  <c r="CT167" i="5"/>
  <c r="DN89" i="5"/>
  <c r="DN128" i="5"/>
  <c r="DN102" i="5"/>
  <c r="DN92" i="5"/>
  <c r="DN153" i="5" s="1"/>
  <c r="DN143" i="5"/>
  <c r="DM87" i="5"/>
  <c r="DN79" i="5" s="1"/>
  <c r="DN87" i="5" s="1"/>
  <c r="DO79" i="5" s="1"/>
  <c r="DO84" i="5"/>
  <c r="DM143" i="5"/>
  <c r="DM92" i="5"/>
  <c r="DM153" i="5" s="1"/>
  <c r="DM89" i="5"/>
  <c r="DM128" i="5"/>
  <c r="DM102" i="5"/>
  <c r="CV98" i="5"/>
  <c r="CU113" i="5"/>
  <c r="DM94" i="5" l="1"/>
  <c r="DN94" i="5"/>
  <c r="DO128" i="5"/>
  <c r="DO143" i="5"/>
  <c r="DO102" i="5"/>
  <c r="DO92" i="5"/>
  <c r="DO153" i="5" s="1"/>
  <c r="DO89" i="5"/>
  <c r="DO87" i="5"/>
  <c r="DP79" i="5" s="1"/>
  <c r="DP84" i="5"/>
  <c r="CV103" i="5"/>
  <c r="CV106" i="5" s="1"/>
  <c r="CW97" i="5" s="1"/>
  <c r="CU116" i="5"/>
  <c r="CU117" i="5"/>
  <c r="CU155" i="5" s="1"/>
  <c r="CU156" i="5" s="1"/>
  <c r="DO94" i="5" l="1"/>
  <c r="DP89" i="5"/>
  <c r="DP143" i="5"/>
  <c r="DP128" i="5"/>
  <c r="DP102" i="5"/>
  <c r="DP92" i="5"/>
  <c r="DP153" i="5" s="1"/>
  <c r="DQ84" i="5"/>
  <c r="DP87" i="5"/>
  <c r="DQ79" i="5" s="1"/>
  <c r="CU145" i="5"/>
  <c r="CU146" i="5" s="1"/>
  <c r="CU161" i="5" s="1"/>
  <c r="CU130" i="5"/>
  <c r="CU131" i="5" s="1"/>
  <c r="CW98" i="5"/>
  <c r="CU118" i="5"/>
  <c r="CV144" i="5"/>
  <c r="CV129" i="5"/>
  <c r="CV111" i="5"/>
  <c r="CV108" i="5"/>
  <c r="DP94" i="5" l="1"/>
  <c r="DQ92" i="5"/>
  <c r="DQ153" i="5" s="1"/>
  <c r="DQ143" i="5"/>
  <c r="DQ102" i="5"/>
  <c r="DQ128" i="5"/>
  <c r="DQ89" i="5"/>
  <c r="DQ87" i="5"/>
  <c r="DR79" i="5" s="1"/>
  <c r="DR84" i="5"/>
  <c r="CU157" i="5"/>
  <c r="CW103" i="5"/>
  <c r="CV113" i="5"/>
  <c r="CV154" i="5"/>
  <c r="CU167" i="5"/>
  <c r="DQ94" i="5" l="1"/>
  <c r="DR143" i="5"/>
  <c r="DR89" i="5"/>
  <c r="DR92" i="5"/>
  <c r="DR153" i="5" s="1"/>
  <c r="DR102" i="5"/>
  <c r="DR128" i="5"/>
  <c r="DR87" i="5"/>
  <c r="DS79" i="5" s="1"/>
  <c r="DS84" i="5"/>
  <c r="CW111" i="5"/>
  <c r="CW154" i="5" s="1"/>
  <c r="CW144" i="5"/>
  <c r="CW129" i="5"/>
  <c r="CW108" i="5"/>
  <c r="CW106" i="5"/>
  <c r="CX97" i="5" s="1"/>
  <c r="CV117" i="5"/>
  <c r="CV155" i="5" s="1"/>
  <c r="CV156" i="5" s="1"/>
  <c r="CV116" i="5"/>
  <c r="DR94" i="5" l="1"/>
  <c r="CW113" i="5"/>
  <c r="CW117" i="5" s="1"/>
  <c r="CW155" i="5" s="1"/>
  <c r="CW156" i="5" s="1"/>
  <c r="DS87" i="5"/>
  <c r="DT79" i="5" s="1"/>
  <c r="DS102" i="5"/>
  <c r="DS143" i="5"/>
  <c r="DS89" i="5"/>
  <c r="DS92" i="5"/>
  <c r="DS153" i="5" s="1"/>
  <c r="DS128" i="5"/>
  <c r="DT84" i="5"/>
  <c r="DU84" i="5" s="1"/>
  <c r="CV145" i="5"/>
  <c r="CV146" i="5" s="1"/>
  <c r="CV161" i="5" s="1"/>
  <c r="CV130" i="5"/>
  <c r="CV131" i="5" s="1"/>
  <c r="CV118" i="5"/>
  <c r="CX98" i="5"/>
  <c r="CW116" i="5" l="1"/>
  <c r="CW145" i="5" s="1"/>
  <c r="CW146" i="5" s="1"/>
  <c r="CV167" i="5"/>
  <c r="DS94" i="5"/>
  <c r="DT92" i="5"/>
  <c r="DT153" i="5" s="1"/>
  <c r="DT102" i="5"/>
  <c r="DT89" i="5"/>
  <c r="DT128" i="5"/>
  <c r="DT143" i="5"/>
  <c r="DV84" i="5"/>
  <c r="DW84" i="5" s="1"/>
  <c r="DT87" i="5"/>
  <c r="DU79" i="5" s="1"/>
  <c r="DU87" i="5" s="1"/>
  <c r="DV79" i="5" s="1"/>
  <c r="DU92" i="5"/>
  <c r="DU153" i="5" s="1"/>
  <c r="DU143" i="5"/>
  <c r="DU89" i="5"/>
  <c r="DU128" i="5"/>
  <c r="DU102" i="5"/>
  <c r="CV157" i="5"/>
  <c r="CX103" i="5"/>
  <c r="CW157" i="5" l="1"/>
  <c r="CW161" i="5"/>
  <c r="CW118" i="5"/>
  <c r="CW130" i="5"/>
  <c r="CW131" i="5" s="1"/>
  <c r="CW167" i="5" s="1"/>
  <c r="DT94" i="5"/>
  <c r="DU94" i="5"/>
  <c r="DV143" i="5"/>
  <c r="DV89" i="5"/>
  <c r="DV102" i="5"/>
  <c r="DV128" i="5"/>
  <c r="DV92" i="5"/>
  <c r="DV153" i="5" s="1"/>
  <c r="DX84" i="5"/>
  <c r="DW102" i="5"/>
  <c r="DW92" i="5"/>
  <c r="DW153" i="5" s="1"/>
  <c r="DW128" i="5"/>
  <c r="DW89" i="5"/>
  <c r="DW143" i="5"/>
  <c r="DV87" i="5"/>
  <c r="DW79" i="5" s="1"/>
  <c r="DW87" i="5" s="1"/>
  <c r="DX79" i="5" s="1"/>
  <c r="CX129" i="5"/>
  <c r="CX144" i="5"/>
  <c r="CX111" i="5"/>
  <c r="CX154" i="5" s="1"/>
  <c r="CX108" i="5"/>
  <c r="CX106" i="5"/>
  <c r="CY97" i="5" s="1"/>
  <c r="DW94" i="5" l="1"/>
  <c r="DV94" i="5"/>
  <c r="DX143" i="5"/>
  <c r="DX102" i="5"/>
  <c r="DX89" i="5"/>
  <c r="DX92" i="5"/>
  <c r="DX153" i="5" s="1"/>
  <c r="DX128" i="5"/>
  <c r="DX87" i="5"/>
  <c r="DY79" i="5" s="1"/>
  <c r="DY84" i="5"/>
  <c r="CX113" i="5"/>
  <c r="CX116" i="5" s="1"/>
  <c r="CY98" i="5"/>
  <c r="CX117" i="5" l="1"/>
  <c r="CX155" i="5" s="1"/>
  <c r="CX156" i="5" s="1"/>
  <c r="DX94" i="5"/>
  <c r="DY87" i="5"/>
  <c r="DZ79" i="5" s="1"/>
  <c r="DY143" i="5"/>
  <c r="DY128" i="5"/>
  <c r="DY89" i="5"/>
  <c r="DY102" i="5"/>
  <c r="DY92" i="5"/>
  <c r="DY153" i="5" s="1"/>
  <c r="DZ84" i="5"/>
  <c r="EA84" i="5" s="1"/>
  <c r="EA92" i="5" s="1"/>
  <c r="EA153" i="5" s="1"/>
  <c r="CY103" i="5"/>
  <c r="CX145" i="5"/>
  <c r="CX146" i="5" s="1"/>
  <c r="CX130" i="5"/>
  <c r="CX131" i="5" s="1"/>
  <c r="CX161" i="5" l="1"/>
  <c r="CX118" i="5"/>
  <c r="EB84" i="5"/>
  <c r="EB128" i="5" s="1"/>
  <c r="EA128" i="5"/>
  <c r="EA102" i="5"/>
  <c r="EA89" i="5"/>
  <c r="DZ87" i="5"/>
  <c r="EA79" i="5" s="1"/>
  <c r="EA87" i="5" s="1"/>
  <c r="EB79" i="5" s="1"/>
  <c r="EA143" i="5"/>
  <c r="DZ143" i="5"/>
  <c r="DZ89" i="5"/>
  <c r="DZ128" i="5"/>
  <c r="DZ92" i="5"/>
  <c r="DZ102" i="5"/>
  <c r="DY94" i="5"/>
  <c r="CX167" i="5"/>
  <c r="CY111" i="5"/>
  <c r="CY154" i="5" s="1"/>
  <c r="CY144" i="5"/>
  <c r="CY129" i="5"/>
  <c r="CY108" i="5"/>
  <c r="CY106" i="5"/>
  <c r="CZ97" i="5" s="1"/>
  <c r="CX157" i="5"/>
  <c r="EA94" i="5"/>
  <c r="EC84" i="5" l="1"/>
  <c r="EC102" i="5" s="1"/>
  <c r="EB89" i="5"/>
  <c r="EB87" i="5"/>
  <c r="EC79" i="5" s="1"/>
  <c r="EB143" i="5"/>
  <c r="EB92" i="5"/>
  <c r="EB153" i="5" s="1"/>
  <c r="EB102" i="5"/>
  <c r="CY113" i="5"/>
  <c r="CY116" i="5" s="1"/>
  <c r="DZ153" i="5"/>
  <c r="DZ94" i="5"/>
  <c r="CZ98" i="5"/>
  <c r="ED84" i="5" l="1"/>
  <c r="ED102" i="5" s="1"/>
  <c r="EB94" i="5"/>
  <c r="EC92" i="5"/>
  <c r="EC153" i="5" s="1"/>
  <c r="EC143" i="5"/>
  <c r="EC128" i="5"/>
  <c r="EC89" i="5"/>
  <c r="EC87" i="5"/>
  <c r="ED79" i="5" s="1"/>
  <c r="CY117" i="5"/>
  <c r="CY155" i="5" s="1"/>
  <c r="CY156" i="5" s="1"/>
  <c r="CY130" i="5"/>
  <c r="CY131" i="5" s="1"/>
  <c r="CY145" i="5"/>
  <c r="CY146" i="5" s="1"/>
  <c r="CZ103" i="5"/>
  <c r="CY161" i="5" l="1"/>
  <c r="EC94" i="5"/>
  <c r="EE84" i="5"/>
  <c r="EE92" i="5" s="1"/>
  <c r="ED87" i="5"/>
  <c r="EE79" i="5" s="1"/>
  <c r="ED92" i="5"/>
  <c r="ED153" i="5" s="1"/>
  <c r="ED143" i="5"/>
  <c r="ED128" i="5"/>
  <c r="ED89" i="5"/>
  <c r="CY118" i="5"/>
  <c r="CY157" i="5"/>
  <c r="CZ111" i="5"/>
  <c r="CZ154" i="5" s="1"/>
  <c r="CZ144" i="5"/>
  <c r="CZ129" i="5"/>
  <c r="CZ108" i="5"/>
  <c r="CY167" i="5"/>
  <c r="G84" i="5"/>
  <c r="CZ106" i="5"/>
  <c r="DA97" i="5" s="1"/>
  <c r="ED94" i="5" l="1"/>
  <c r="EE89" i="5"/>
  <c r="G90" i="5" s="1"/>
  <c r="EE143" i="5"/>
  <c r="G143" i="5" s="1"/>
  <c r="EE87" i="5"/>
  <c r="EE128" i="5"/>
  <c r="G128" i="5" s="1"/>
  <c r="EE94" i="5"/>
  <c r="EE102" i="5"/>
  <c r="CZ113" i="5"/>
  <c r="CZ117" i="5" s="1"/>
  <c r="CZ155" i="5" s="1"/>
  <c r="CZ156" i="5" s="1"/>
  <c r="G94" i="5"/>
  <c r="G102" i="5"/>
  <c r="G89" i="5"/>
  <c r="EE153" i="5"/>
  <c r="G92" i="5"/>
  <c r="DA98" i="5"/>
  <c r="CZ116" i="5" l="1"/>
  <c r="CZ130" i="5" s="1"/>
  <c r="CZ131" i="5" s="1"/>
  <c r="DA103" i="5"/>
  <c r="G153" i="5"/>
  <c r="CZ118" i="5" l="1"/>
  <c r="CZ145" i="5"/>
  <c r="CZ146" i="5" s="1"/>
  <c r="CZ161" i="5" s="1"/>
  <c r="DA129" i="5"/>
  <c r="DA111" i="5"/>
  <c r="DA154" i="5" s="1"/>
  <c r="DA144" i="5"/>
  <c r="DA108" i="5"/>
  <c r="DA106" i="5"/>
  <c r="DB97" i="5" s="1"/>
  <c r="CZ157" i="5" l="1"/>
  <c r="CZ167" i="5"/>
  <c r="DA113" i="5"/>
  <c r="DA117" i="5" s="1"/>
  <c r="DA155" i="5" s="1"/>
  <c r="DA156" i="5" s="1"/>
  <c r="DB98" i="5"/>
  <c r="DA116" i="5" l="1"/>
  <c r="DA118" i="5" s="1"/>
  <c r="DB103" i="5"/>
  <c r="DA145" i="5" l="1"/>
  <c r="DA146" i="5" s="1"/>
  <c r="DA157" i="5" s="1"/>
  <c r="DA130" i="5"/>
  <c r="DA131" i="5" s="1"/>
  <c r="DB129" i="5"/>
  <c r="DB111" i="5"/>
  <c r="DB154" i="5" s="1"/>
  <c r="DB144" i="5"/>
  <c r="DB108" i="5"/>
  <c r="DB106" i="5"/>
  <c r="DC97" i="5" s="1"/>
  <c r="DA161" i="5" l="1"/>
  <c r="DA167" i="5"/>
  <c r="DB113" i="5"/>
  <c r="DB116" i="5" s="1"/>
  <c r="DC98" i="5"/>
  <c r="DB117" i="5" l="1"/>
  <c r="DB155" i="5" s="1"/>
  <c r="DB156" i="5" s="1"/>
  <c r="DB130" i="5"/>
  <c r="DB131" i="5" s="1"/>
  <c r="DB145" i="5"/>
  <c r="DB146" i="5" s="1"/>
  <c r="DC103" i="5"/>
  <c r="DC106" i="5" s="1"/>
  <c r="DD97" i="5" s="1"/>
  <c r="DB157" i="5" l="1"/>
  <c r="DB118" i="5"/>
  <c r="DB161" i="5"/>
  <c r="DD98" i="5"/>
  <c r="DC111" i="5"/>
  <c r="DC154" i="5" s="1"/>
  <c r="DC129" i="5"/>
  <c r="DC144" i="5"/>
  <c r="DC108" i="5"/>
  <c r="DB167" i="5"/>
  <c r="DC113" i="5" l="1"/>
  <c r="DC117" i="5" s="1"/>
  <c r="DC155" i="5" s="1"/>
  <c r="DC156" i="5" s="1"/>
  <c r="DD103" i="5"/>
  <c r="DC116" i="5" l="1"/>
  <c r="DC118" i="5" s="1"/>
  <c r="DD129" i="5"/>
  <c r="DD144" i="5"/>
  <c r="DD111" i="5"/>
  <c r="DD154" i="5" s="1"/>
  <c r="DD108" i="5"/>
  <c r="DD106" i="5"/>
  <c r="DE97" i="5" s="1"/>
  <c r="DC130" i="5" l="1"/>
  <c r="DC131" i="5" s="1"/>
  <c r="DC145" i="5"/>
  <c r="DC146" i="5" s="1"/>
  <c r="DC161" i="5" s="1"/>
  <c r="DD113" i="5"/>
  <c r="DD116" i="5" s="1"/>
  <c r="DE98" i="5"/>
  <c r="DC157" i="5" l="1"/>
  <c r="DC167" i="5"/>
  <c r="DD117" i="5"/>
  <c r="DD155" i="5" s="1"/>
  <c r="DD156" i="5" s="1"/>
  <c r="DD145" i="5"/>
  <c r="DD146" i="5" s="1"/>
  <c r="DD130" i="5"/>
  <c r="DD131" i="5" s="1"/>
  <c r="DE103" i="5"/>
  <c r="DE106" i="5" s="1"/>
  <c r="DF97" i="5" s="1"/>
  <c r="DD157" i="5" l="1"/>
  <c r="DD118" i="5"/>
  <c r="DD161" i="5"/>
  <c r="DF98" i="5"/>
  <c r="DF103" i="5" s="1"/>
  <c r="DF106" i="5" s="1"/>
  <c r="DG97" i="5" s="1"/>
  <c r="DE144" i="5"/>
  <c r="DE111" i="5"/>
  <c r="DE154" i="5" s="1"/>
  <c r="DE129" i="5"/>
  <c r="DE108" i="5"/>
  <c r="DD167" i="5"/>
  <c r="DE113" i="5" l="1"/>
  <c r="DE116" i="5" s="1"/>
  <c r="DG98" i="5"/>
  <c r="DG103" i="5" s="1"/>
  <c r="DG106" i="5" s="1"/>
  <c r="DH97" i="5" s="1"/>
  <c r="DF144" i="5"/>
  <c r="DF111" i="5"/>
  <c r="DF154" i="5" s="1"/>
  <c r="DF129" i="5"/>
  <c r="DF108" i="5"/>
  <c r="DE117" i="5" l="1"/>
  <c r="DE155" i="5" s="1"/>
  <c r="DE156" i="5" s="1"/>
  <c r="DH98" i="5"/>
  <c r="DE130" i="5"/>
  <c r="DE131" i="5" s="1"/>
  <c r="DE145" i="5"/>
  <c r="DE146" i="5" s="1"/>
  <c r="DF113" i="5"/>
  <c r="DG129" i="5"/>
  <c r="DG144" i="5"/>
  <c r="DG111" i="5"/>
  <c r="DG154" i="5" s="1"/>
  <c r="DG108" i="5"/>
  <c r="DE157" i="5" l="1"/>
  <c r="DE118" i="5"/>
  <c r="DG113" i="5"/>
  <c r="DG117" i="5" s="1"/>
  <c r="DG155" i="5" s="1"/>
  <c r="DG156" i="5" s="1"/>
  <c r="DF117" i="5"/>
  <c r="DF155" i="5" s="1"/>
  <c r="DF156" i="5" s="1"/>
  <c r="DF116" i="5"/>
  <c r="DE167" i="5"/>
  <c r="DE161" i="5"/>
  <c r="DH103" i="5"/>
  <c r="DG116" i="5" l="1"/>
  <c r="DG145" i="5" s="1"/>
  <c r="DG146" i="5" s="1"/>
  <c r="DG161" i="5" s="1"/>
  <c r="DF118" i="5"/>
  <c r="DF130" i="5"/>
  <c r="DF131" i="5" s="1"/>
  <c r="DF145" i="5"/>
  <c r="DF146" i="5" s="1"/>
  <c r="DF161" i="5" s="1"/>
  <c r="DH129" i="5"/>
  <c r="DH111" i="5"/>
  <c r="DH154" i="5" s="1"/>
  <c r="DH144" i="5"/>
  <c r="DH108" i="5"/>
  <c r="DH106" i="5"/>
  <c r="DI97" i="5" s="1"/>
  <c r="DG118" i="5" l="1"/>
  <c r="DG130" i="5"/>
  <c r="DG131" i="5" s="1"/>
  <c r="DG167" i="5" s="1"/>
  <c r="DI98" i="5"/>
  <c r="DG157" i="5"/>
  <c r="DH113" i="5"/>
  <c r="DH117" i="5" s="1"/>
  <c r="DH155" i="5" s="1"/>
  <c r="DH156" i="5" s="1"/>
  <c r="DF157" i="5"/>
  <c r="DF167" i="5"/>
  <c r="DI103" i="5" l="1"/>
  <c r="DI106" i="5" s="1"/>
  <c r="DJ97" i="5" s="1"/>
  <c r="DH116" i="5"/>
  <c r="DH118" i="5" s="1"/>
  <c r="DJ98" i="5" l="1"/>
  <c r="DI111" i="5"/>
  <c r="DI154" i="5" s="1"/>
  <c r="DI108" i="5"/>
  <c r="DI129" i="5"/>
  <c r="DI144" i="5"/>
  <c r="DH145" i="5"/>
  <c r="DH146" i="5" s="1"/>
  <c r="DH130" i="5"/>
  <c r="DH131" i="5" s="1"/>
  <c r="DI113" i="5" l="1"/>
  <c r="DI117" i="5" s="1"/>
  <c r="DI155" i="5" s="1"/>
  <c r="DI156" i="5" s="1"/>
  <c r="G98" i="5"/>
  <c r="DJ103" i="5"/>
  <c r="DH167" i="5"/>
  <c r="DH161" i="5"/>
  <c r="DH157" i="5"/>
  <c r="DI116" i="5" l="1"/>
  <c r="DI118" i="5" s="1"/>
  <c r="DK103" i="5"/>
  <c r="DL103" i="5" s="1"/>
  <c r="DJ108" i="5"/>
  <c r="DJ144" i="5"/>
  <c r="DJ111" i="5"/>
  <c r="DJ154" i="5" s="1"/>
  <c r="DJ129" i="5"/>
  <c r="DJ106" i="5"/>
  <c r="DK97" i="5" s="1"/>
  <c r="DI145" i="5" l="1"/>
  <c r="DI146" i="5" s="1"/>
  <c r="DI157" i="5" s="1"/>
  <c r="DI130" i="5"/>
  <c r="DI131" i="5" s="1"/>
  <c r="DJ113" i="5"/>
  <c r="DJ117" i="5" s="1"/>
  <c r="DJ155" i="5" s="1"/>
  <c r="DJ156" i="5" s="1"/>
  <c r="DK106" i="5"/>
  <c r="DL97" i="5" s="1"/>
  <c r="DL106" i="5" s="1"/>
  <c r="DM97" i="5" s="1"/>
  <c r="DM103" i="5"/>
  <c r="DN103" i="5" s="1"/>
  <c r="DL111" i="5"/>
  <c r="DL154" i="5" s="1"/>
  <c r="DL129" i="5"/>
  <c r="DL144" i="5"/>
  <c r="DL108" i="5"/>
  <c r="DK144" i="5"/>
  <c r="DK108" i="5"/>
  <c r="DK111" i="5"/>
  <c r="DK154" i="5" s="1"/>
  <c r="DK129" i="5"/>
  <c r="DI161" i="5" l="1"/>
  <c r="DI167" i="5"/>
  <c r="DJ116" i="5"/>
  <c r="DJ145" i="5" s="1"/>
  <c r="DJ146" i="5" s="1"/>
  <c r="DJ157" i="5" s="1"/>
  <c r="DK113" i="5"/>
  <c r="DK117" i="5" s="1"/>
  <c r="DK155" i="5" s="1"/>
  <c r="DK156" i="5" s="1"/>
  <c r="DL113" i="5"/>
  <c r="DL116" i="5" s="1"/>
  <c r="DM106" i="5"/>
  <c r="DN97" i="5" s="1"/>
  <c r="DN106" i="5" s="1"/>
  <c r="DO97" i="5" s="1"/>
  <c r="DM129" i="5"/>
  <c r="DM144" i="5"/>
  <c r="DM108" i="5"/>
  <c r="DM111" i="5"/>
  <c r="DM154" i="5" s="1"/>
  <c r="DN111" i="5"/>
  <c r="DN154" i="5" s="1"/>
  <c r="DN108" i="5"/>
  <c r="DN129" i="5"/>
  <c r="DN144" i="5"/>
  <c r="DO103" i="5"/>
  <c r="DL117" i="5" l="1"/>
  <c r="DL155" i="5" s="1"/>
  <c r="DL156" i="5" s="1"/>
  <c r="DJ130" i="5"/>
  <c r="DJ131" i="5" s="1"/>
  <c r="DJ167" i="5" s="1"/>
  <c r="DJ118" i="5"/>
  <c r="DK116" i="5"/>
  <c r="DK118" i="5" s="1"/>
  <c r="DJ161" i="5"/>
  <c r="DN113" i="5"/>
  <c r="DN116" i="5" s="1"/>
  <c r="DP103" i="5"/>
  <c r="DQ103" i="5" s="1"/>
  <c r="DR103" i="5" s="1"/>
  <c r="DO129" i="5"/>
  <c r="DO111" i="5"/>
  <c r="DO154" i="5" s="1"/>
  <c r="DO144" i="5"/>
  <c r="DO108" i="5"/>
  <c r="DM113" i="5"/>
  <c r="DL145" i="5"/>
  <c r="DL146" i="5" s="1"/>
  <c r="DL130" i="5"/>
  <c r="DL131" i="5" s="1"/>
  <c r="DO106" i="5"/>
  <c r="DP97" i="5" s="1"/>
  <c r="DL157" i="5" l="1"/>
  <c r="DL118" i="5"/>
  <c r="DK145" i="5"/>
  <c r="DK146" i="5" s="1"/>
  <c r="DK161" i="5" s="1"/>
  <c r="DL167" i="5"/>
  <c r="DN117" i="5"/>
  <c r="DN155" i="5" s="1"/>
  <c r="DN156" i="5" s="1"/>
  <c r="DK130" i="5"/>
  <c r="DK131" i="5" s="1"/>
  <c r="DK167" i="5" s="1"/>
  <c r="DP106" i="5"/>
  <c r="DQ97" i="5" s="1"/>
  <c r="DQ106" i="5" s="1"/>
  <c r="DR97" i="5" s="1"/>
  <c r="DR106" i="5" s="1"/>
  <c r="DS97" i="5" s="1"/>
  <c r="DO113" i="5"/>
  <c r="DO117" i="5" s="1"/>
  <c r="DR111" i="5"/>
  <c r="DR154" i="5" s="1"/>
  <c r="DR108" i="5"/>
  <c r="DR144" i="5"/>
  <c r="DR129" i="5"/>
  <c r="DS103" i="5"/>
  <c r="DL161" i="5"/>
  <c r="DQ144" i="5"/>
  <c r="DQ111" i="5"/>
  <c r="DQ154" i="5" s="1"/>
  <c r="DQ129" i="5"/>
  <c r="DQ108" i="5"/>
  <c r="DN145" i="5"/>
  <c r="DN146" i="5" s="1"/>
  <c r="DN130" i="5"/>
  <c r="DN131" i="5" s="1"/>
  <c r="DM116" i="5"/>
  <c r="DM117" i="5"/>
  <c r="DM155" i="5" s="1"/>
  <c r="DM156" i="5" s="1"/>
  <c r="DP111" i="5"/>
  <c r="DP154" i="5" s="1"/>
  <c r="DP108" i="5"/>
  <c r="DP129" i="5"/>
  <c r="DP144" i="5"/>
  <c r="DN161" i="5" l="1"/>
  <c r="DN118" i="5"/>
  <c r="DN157" i="5"/>
  <c r="DK157" i="5"/>
  <c r="DO116" i="5"/>
  <c r="DO130" i="5" s="1"/>
  <c r="DO131" i="5" s="1"/>
  <c r="DR113" i="5"/>
  <c r="DR117" i="5" s="1"/>
  <c r="DR155" i="5" s="1"/>
  <c r="DR156" i="5" s="1"/>
  <c r="DN167" i="5"/>
  <c r="DM118" i="5"/>
  <c r="DP113" i="5"/>
  <c r="DP117" i="5" s="1"/>
  <c r="DP155" i="5" s="1"/>
  <c r="DP156" i="5" s="1"/>
  <c r="DO155" i="5"/>
  <c r="DO156" i="5" s="1"/>
  <c r="DS106" i="5"/>
  <c r="DT97" i="5" s="1"/>
  <c r="DS111" i="5"/>
  <c r="DS154" i="5" s="1"/>
  <c r="DS108" i="5"/>
  <c r="DS129" i="5"/>
  <c r="DS144" i="5"/>
  <c r="DQ113" i="5"/>
  <c r="DT103" i="5"/>
  <c r="DM130" i="5"/>
  <c r="DM131" i="5" s="1"/>
  <c r="DM145" i="5"/>
  <c r="DM146" i="5" s="1"/>
  <c r="DM161" i="5" s="1"/>
  <c r="DO145" i="5" l="1"/>
  <c r="DO146" i="5" s="1"/>
  <c r="DO161" i="5" s="1"/>
  <c r="DR116" i="5"/>
  <c r="DR130" i="5" s="1"/>
  <c r="DR131" i="5" s="1"/>
  <c r="DO118" i="5"/>
  <c r="DP116" i="5"/>
  <c r="DP118" i="5" s="1"/>
  <c r="DT106" i="5"/>
  <c r="DU97" i="5" s="1"/>
  <c r="DM167" i="5"/>
  <c r="DQ117" i="5"/>
  <c r="DQ155" i="5" s="1"/>
  <c r="DQ156" i="5" s="1"/>
  <c r="DQ116" i="5"/>
  <c r="DM157" i="5"/>
  <c r="DS113" i="5"/>
  <c r="DT111" i="5"/>
  <c r="DT154" i="5" s="1"/>
  <c r="DT144" i="5"/>
  <c r="DT129" i="5"/>
  <c r="DT108" i="5"/>
  <c r="DU103" i="5"/>
  <c r="DV103" i="5" s="1"/>
  <c r="DO167" i="5" l="1"/>
  <c r="DO157" i="5"/>
  <c r="DR145" i="5"/>
  <c r="DR146" i="5" s="1"/>
  <c r="DR157" i="5" s="1"/>
  <c r="DR118" i="5"/>
  <c r="DP130" i="5"/>
  <c r="DP131" i="5" s="1"/>
  <c r="DP145" i="5"/>
  <c r="DP146" i="5" s="1"/>
  <c r="DP161" i="5" s="1"/>
  <c r="DS117" i="5"/>
  <c r="DS155" i="5" s="1"/>
  <c r="DS156" i="5" s="1"/>
  <c r="DS116" i="5"/>
  <c r="DU111" i="5"/>
  <c r="DU154" i="5" s="1"/>
  <c r="DU108" i="5"/>
  <c r="DU144" i="5"/>
  <c r="DU129" i="5"/>
  <c r="DW103" i="5"/>
  <c r="DQ118" i="5"/>
  <c r="DV129" i="5"/>
  <c r="DV144" i="5"/>
  <c r="DV111" i="5"/>
  <c r="DV154" i="5" s="1"/>
  <c r="DV108" i="5"/>
  <c r="DT113" i="5"/>
  <c r="DU106" i="5"/>
  <c r="DV97" i="5" s="1"/>
  <c r="DV106" i="5" s="1"/>
  <c r="DW97" i="5" s="1"/>
  <c r="DQ130" i="5"/>
  <c r="DQ131" i="5" s="1"/>
  <c r="DQ145" i="5"/>
  <c r="DQ146" i="5" s="1"/>
  <c r="DQ157" i="5" s="1"/>
  <c r="DR167" i="5" l="1"/>
  <c r="DR161" i="5"/>
  <c r="DS118" i="5"/>
  <c r="DP157" i="5"/>
  <c r="DP167" i="5"/>
  <c r="DS130" i="5"/>
  <c r="DS131" i="5" s="1"/>
  <c r="DS145" i="5"/>
  <c r="DS146" i="5" s="1"/>
  <c r="DS157" i="5" s="1"/>
  <c r="DW106" i="5"/>
  <c r="DX97" i="5" s="1"/>
  <c r="DQ167" i="5"/>
  <c r="DT116" i="5"/>
  <c r="DT117" i="5"/>
  <c r="DT155" i="5" s="1"/>
  <c r="DT156" i="5" s="1"/>
  <c r="DU113" i="5"/>
  <c r="DV113" i="5"/>
  <c r="DW111" i="5"/>
  <c r="DW154" i="5" s="1"/>
  <c r="DW129" i="5"/>
  <c r="DW108" i="5"/>
  <c r="DW144" i="5"/>
  <c r="DQ161" i="5"/>
  <c r="DX103" i="5"/>
  <c r="DS161" i="5" l="1"/>
  <c r="DW113" i="5"/>
  <c r="DW116" i="5" s="1"/>
  <c r="DW130" i="5" s="1"/>
  <c r="DW131" i="5" s="1"/>
  <c r="DT118" i="5"/>
  <c r="DT145" i="5"/>
  <c r="DT146" i="5" s="1"/>
  <c r="DT157" i="5" s="1"/>
  <c r="DT130" i="5"/>
  <c r="DT131" i="5" s="1"/>
  <c r="DX106" i="5"/>
  <c r="DY97" i="5" s="1"/>
  <c r="DV117" i="5"/>
  <c r="DV155" i="5" s="1"/>
  <c r="DV156" i="5" s="1"/>
  <c r="DV116" i="5"/>
  <c r="DX111" i="5"/>
  <c r="DX154" i="5" s="1"/>
  <c r="DX144" i="5"/>
  <c r="DX129" i="5"/>
  <c r="DX108" i="5"/>
  <c r="DY103" i="5"/>
  <c r="DU116" i="5"/>
  <c r="DU117" i="5"/>
  <c r="DU155" i="5" s="1"/>
  <c r="DU156" i="5" s="1"/>
  <c r="DS167" i="5"/>
  <c r="DW145" i="5" l="1"/>
  <c r="DW146" i="5" s="1"/>
  <c r="DX113" i="5"/>
  <c r="DX117" i="5" s="1"/>
  <c r="DX155" i="5" s="1"/>
  <c r="DX156" i="5" s="1"/>
  <c r="DT161" i="5"/>
  <c r="DW117" i="5"/>
  <c r="DT167" i="5"/>
  <c r="DV118" i="5"/>
  <c r="DV130" i="5"/>
  <c r="DV131" i="5" s="1"/>
  <c r="DV145" i="5"/>
  <c r="DV146" i="5" s="1"/>
  <c r="DV161" i="5" s="1"/>
  <c r="DY106" i="5"/>
  <c r="DZ97" i="5" s="1"/>
  <c r="DU130" i="5"/>
  <c r="DU131" i="5" s="1"/>
  <c r="DU145" i="5"/>
  <c r="DU146" i="5" s="1"/>
  <c r="DU161" i="5" s="1"/>
  <c r="DY144" i="5"/>
  <c r="DY111" i="5"/>
  <c r="DY154" i="5" s="1"/>
  <c r="DY129" i="5"/>
  <c r="DY108" i="5"/>
  <c r="DZ103" i="5"/>
  <c r="DU118" i="5"/>
  <c r="DX116" i="5" l="1"/>
  <c r="DX118" i="5" s="1"/>
  <c r="DY113" i="5"/>
  <c r="DY116" i="5" s="1"/>
  <c r="DV157" i="5"/>
  <c r="DW155" i="5"/>
  <c r="DW156" i="5" s="1"/>
  <c r="DW118" i="5"/>
  <c r="DZ106" i="5"/>
  <c r="EA97" i="5" s="1"/>
  <c r="DZ129" i="5"/>
  <c r="DZ111" i="5"/>
  <c r="DZ154" i="5" s="1"/>
  <c r="DZ108" i="5"/>
  <c r="DZ144" i="5"/>
  <c r="DU167" i="5"/>
  <c r="DV167" i="5"/>
  <c r="EA103" i="5"/>
  <c r="DU157" i="5"/>
  <c r="DX145" i="5" l="1"/>
  <c r="DX146" i="5" s="1"/>
  <c r="DX157" i="5" s="1"/>
  <c r="DX130" i="5"/>
  <c r="DX131" i="5" s="1"/>
  <c r="DY117" i="5"/>
  <c r="DY155" i="5" s="1"/>
  <c r="DY156" i="5" s="1"/>
  <c r="DW157" i="5"/>
  <c r="DW161" i="5"/>
  <c r="DW167" i="5"/>
  <c r="DZ113" i="5"/>
  <c r="DZ116" i="5" s="1"/>
  <c r="EA144" i="5"/>
  <c r="EA111" i="5"/>
  <c r="EA154" i="5" s="1"/>
  <c r="EA129" i="5"/>
  <c r="EA108" i="5"/>
  <c r="EB103" i="5"/>
  <c r="EA106" i="5"/>
  <c r="EB97" i="5" s="1"/>
  <c r="DY145" i="5"/>
  <c r="DY146" i="5" s="1"/>
  <c r="DY130" i="5"/>
  <c r="DY131" i="5" s="1"/>
  <c r="DX161" i="5" l="1"/>
  <c r="DX167" i="5"/>
  <c r="DZ117" i="5"/>
  <c r="DZ155" i="5" s="1"/>
  <c r="DZ156" i="5" s="1"/>
  <c r="DY118" i="5"/>
  <c r="DY167" i="5"/>
  <c r="EA113" i="5"/>
  <c r="EA116" i="5" s="1"/>
  <c r="DY161" i="5"/>
  <c r="DY157" i="5"/>
  <c r="EB106" i="5"/>
  <c r="EC97" i="5" s="1"/>
  <c r="DZ130" i="5"/>
  <c r="DZ131" i="5" s="1"/>
  <c r="DZ145" i="5"/>
  <c r="DZ146" i="5" s="1"/>
  <c r="EB129" i="5"/>
  <c r="EB144" i="5"/>
  <c r="EB111" i="5"/>
  <c r="EB154" i="5" s="1"/>
  <c r="EB108" i="5"/>
  <c r="EC103" i="5"/>
  <c r="DZ118" i="5" l="1"/>
  <c r="EA117" i="5"/>
  <c r="EA155" i="5" s="1"/>
  <c r="EA156" i="5" s="1"/>
  <c r="DZ157" i="5"/>
  <c r="DZ161" i="5"/>
  <c r="DZ167" i="5"/>
  <c r="EC106" i="5"/>
  <c r="ED97" i="5" s="1"/>
  <c r="EC144" i="5"/>
  <c r="ED103" i="5"/>
  <c r="EC108" i="5"/>
  <c r="EC129" i="5"/>
  <c r="EC111" i="5"/>
  <c r="EC154" i="5" s="1"/>
  <c r="EA130" i="5"/>
  <c r="EA131" i="5" s="1"/>
  <c r="EA145" i="5"/>
  <c r="EA146" i="5" s="1"/>
  <c r="EB113" i="5"/>
  <c r="G103" i="5"/>
  <c r="EC113" i="5" l="1"/>
  <c r="EC117" i="5" s="1"/>
  <c r="EC155" i="5" s="1"/>
  <c r="EC156" i="5" s="1"/>
  <c r="EA118" i="5"/>
  <c r="EB117" i="5"/>
  <c r="EB155" i="5" s="1"/>
  <c r="EB156" i="5" s="1"/>
  <c r="EB116" i="5"/>
  <c r="ED106" i="5"/>
  <c r="EE97" i="5" s="1"/>
  <c r="EA157" i="5"/>
  <c r="EA161" i="5"/>
  <c r="ED111" i="5"/>
  <c r="ED154" i="5" s="1"/>
  <c r="ED144" i="5"/>
  <c r="ED129" i="5"/>
  <c r="ED108" i="5"/>
  <c r="EE103" i="5"/>
  <c r="EA167" i="5"/>
  <c r="G113" i="5"/>
  <c r="G108" i="5"/>
  <c r="G111" i="5"/>
  <c r="EC116" i="5" l="1"/>
  <c r="EC130" i="5" s="1"/>
  <c r="EC131" i="5" s="1"/>
  <c r="EB118" i="5"/>
  <c r="ED113" i="5"/>
  <c r="ED117" i="5" s="1"/>
  <c r="ED155" i="5" s="1"/>
  <c r="ED156" i="5" s="1"/>
  <c r="EE129" i="5"/>
  <c r="G129" i="5" s="1"/>
  <c r="EE108" i="5"/>
  <c r="G109" i="5" s="1"/>
  <c r="EE144" i="5"/>
  <c r="G144" i="5" s="1"/>
  <c r="EE111" i="5"/>
  <c r="EE106" i="5"/>
  <c r="EB145" i="5"/>
  <c r="EB146" i="5" s="1"/>
  <c r="EB157" i="5" s="1"/>
  <c r="EB130" i="5"/>
  <c r="EB131" i="5" s="1"/>
  <c r="G154" i="5"/>
  <c r="G117" i="5"/>
  <c r="G116" i="5"/>
  <c r="EC145" i="5" l="1"/>
  <c r="EC146" i="5" s="1"/>
  <c r="EC157" i="5" s="1"/>
  <c r="EC118" i="5"/>
  <c r="ED116" i="5"/>
  <c r="ED145" i="5" s="1"/>
  <c r="ED146" i="5" s="1"/>
  <c r="EB161" i="5"/>
  <c r="EB167" i="5"/>
  <c r="EE113" i="5"/>
  <c r="EE154" i="5"/>
  <c r="G130" i="5"/>
  <c r="G145" i="5"/>
  <c r="EC161" i="5" l="1"/>
  <c r="EC167" i="5"/>
  <c r="ED130" i="5"/>
  <c r="ED131" i="5" s="1"/>
  <c r="ED167" i="5" s="1"/>
  <c r="ED118" i="5"/>
  <c r="ED161" i="5"/>
  <c r="ED157" i="5"/>
  <c r="EE117" i="5"/>
  <c r="EE155" i="5" s="1"/>
  <c r="EE116" i="5"/>
  <c r="G156" i="5"/>
  <c r="G146" i="5"/>
  <c r="G131" i="5"/>
  <c r="EE118" i="5" l="1"/>
  <c r="G118" i="5" s="1"/>
  <c r="EE145" i="5"/>
  <c r="EE146" i="5" s="1"/>
  <c r="G148" i="5" s="1"/>
  <c r="EE130" i="5"/>
  <c r="EE131" i="5" s="1"/>
  <c r="G155" i="5"/>
  <c r="EE156" i="5"/>
  <c r="G167" i="5"/>
  <c r="I168" i="5" s="1"/>
  <c r="G134" i="5"/>
  <c r="R24" i="1" s="1"/>
  <c r="K56" i="7" s="1"/>
  <c r="G135" i="5"/>
  <c r="P24" i="1" s="1"/>
  <c r="I56" i="7" s="1"/>
  <c r="G149" i="5"/>
  <c r="G150" i="5"/>
  <c r="G161" i="5"/>
  <c r="G157" i="5"/>
  <c r="EE157" i="5" l="1"/>
  <c r="G158" i="5" s="1"/>
  <c r="EE161" i="5"/>
  <c r="G164" i="5" s="1"/>
  <c r="O25" i="1" s="1"/>
  <c r="H57" i="7" s="1"/>
  <c r="EE167" i="5"/>
  <c r="G168" i="5" s="1"/>
  <c r="G133" i="5"/>
  <c r="O24" i="1" s="1"/>
  <c r="H56" i="7" s="1"/>
  <c r="G163" i="5"/>
  <c r="P25" i="1" s="1"/>
  <c r="I57" i="7" s="1"/>
  <c r="R25" i="1"/>
  <c r="K57"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Zach Bartelt</author>
    <author>tc={7E2A9F4C-1382-4D7C-B96D-9B223DAF9626}</author>
  </authors>
  <commentList>
    <comment ref="B56" authorId="0" shapeId="0" xr:uid="{EFFAEA02-E665-4E24-9966-3EE40AB3EC8E}">
      <text>
        <r>
          <rPr>
            <b/>
            <sz val="9"/>
            <color indexed="81"/>
            <rFont val="Tahoma"/>
            <family val="2"/>
          </rPr>
          <t>Zach Bartelt:</t>
        </r>
        <r>
          <rPr>
            <sz val="9"/>
            <color indexed="81"/>
            <rFont val="Tahoma"/>
            <family val="2"/>
          </rPr>
          <t xml:space="preserve">
Per "Gross Income from Operations" section, NOI for purposes of DSCR and Debt Yield will include near term expiring rents and qualifying FR tenant rents </t>
        </r>
      </text>
    </comment>
    <comment ref="E56" authorId="0" shapeId="0" xr:uid="{51C72C16-7F38-47CD-B448-9E4F9C921DE9}">
      <text>
        <r>
          <rPr>
            <b/>
            <sz val="9"/>
            <color indexed="81"/>
            <rFont val="Tahoma"/>
            <family val="2"/>
          </rPr>
          <t>Zach Bartelt:</t>
        </r>
        <r>
          <rPr>
            <sz val="9"/>
            <color indexed="81"/>
            <rFont val="Tahoma"/>
            <family val="2"/>
          </rPr>
          <t xml:space="preserve">
Per 2.6.1 (f), forward 3 months of revenue and forward 12 months of opex</t>
        </r>
      </text>
    </comment>
    <comment ref="L93" authorId="1" shapeId="0" xr:uid="{7E2A9F4C-1382-4D7C-B96D-9B223DAF962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Discuss with QA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Jihyeun Byeon</author>
    <author>JByeon</author>
    <author>Daniel Fine</author>
  </authors>
  <commentList>
    <comment ref="BR25" authorId="0" shapeId="0" xr:uid="{E8F8AEF6-CF96-4828-8EE2-6DA23E3C98D0}">
      <text>
        <r>
          <rPr>
            <b/>
            <sz val="9"/>
            <color indexed="81"/>
            <rFont val="Tahoma"/>
            <family val="2"/>
          </rPr>
          <t>Jihyeun Byeon:</t>
        </r>
        <r>
          <rPr>
            <sz val="9"/>
            <color indexed="81"/>
            <rFont val="Tahoma"/>
            <family val="2"/>
          </rPr>
          <t xml:space="preserve">
Suite 50 LL Work</t>
        </r>
      </text>
    </comment>
    <comment ref="BY25" authorId="0" shapeId="0" xr:uid="{AA5F06C5-CE0F-4F9F-A94B-FB32843AEDCA}">
      <text>
        <r>
          <rPr>
            <b/>
            <sz val="9"/>
            <color indexed="81"/>
            <rFont val="Tahoma"/>
            <family val="2"/>
          </rPr>
          <t>Jihyeun Byeon:</t>
        </r>
        <r>
          <rPr>
            <sz val="9"/>
            <color indexed="81"/>
            <rFont val="Tahoma"/>
            <family val="2"/>
          </rPr>
          <t xml:space="preserve">
Suite 300 clean up and plumbing</t>
        </r>
      </text>
    </comment>
    <comment ref="CD25" authorId="1" shapeId="0" xr:uid="{C6353B76-6B72-416E-A51C-AED86DF9F01D}">
      <text>
        <r>
          <rPr>
            <b/>
            <sz val="9"/>
            <color indexed="81"/>
            <rFont val="Tahoma"/>
            <family val="2"/>
          </rPr>
          <t>JByeon:</t>
        </r>
        <r>
          <rPr>
            <sz val="9"/>
            <color indexed="81"/>
            <rFont val="Tahoma"/>
            <family val="2"/>
          </rPr>
          <t xml:space="preserve">
$81k Suite 300 Bathroom; $94k Suite 170 LL Work
</t>
        </r>
      </text>
    </comment>
    <comment ref="CF27" authorId="1" shapeId="0" xr:uid="{FDDB2098-853A-4988-A1D2-80B3F572E894}">
      <text>
        <r>
          <rPr>
            <b/>
            <sz val="9"/>
            <color indexed="81"/>
            <rFont val="Tahoma"/>
            <family val="2"/>
          </rPr>
          <t>JByeon:</t>
        </r>
        <r>
          <rPr>
            <sz val="9"/>
            <color indexed="81"/>
            <rFont val="Tahoma"/>
            <family val="2"/>
          </rPr>
          <t xml:space="preserve">
Suite 200 Warmshell; courtyard feasibility</t>
        </r>
      </text>
    </comment>
    <comment ref="CH27" authorId="1" shapeId="0" xr:uid="{3705FEC7-E83A-4FEB-816F-53ED271E4BC8}">
      <text>
        <r>
          <rPr>
            <b/>
            <sz val="9"/>
            <color indexed="81"/>
            <rFont val="Tahoma"/>
            <family val="2"/>
          </rPr>
          <t>JByeon:</t>
        </r>
        <r>
          <rPr>
            <sz val="9"/>
            <color indexed="81"/>
            <rFont val="Tahoma"/>
            <family val="2"/>
          </rPr>
          <t xml:space="preserve">
Suite 200 Warmshell</t>
        </r>
      </text>
    </comment>
    <comment ref="CA33" authorId="1" shapeId="0" xr:uid="{307B0932-3EA1-4D02-A650-30370A1B28BC}">
      <text>
        <r>
          <rPr>
            <b/>
            <sz val="9"/>
            <color indexed="81"/>
            <rFont val="Tahoma"/>
            <family val="2"/>
          </rPr>
          <t>JByeon:</t>
        </r>
        <r>
          <rPr>
            <sz val="9"/>
            <color indexed="81"/>
            <rFont val="Tahoma"/>
            <family val="2"/>
          </rPr>
          <t xml:space="preserve">
Tokki</t>
        </r>
      </text>
    </comment>
    <comment ref="CD33" authorId="1" shapeId="0" xr:uid="{CD45CCAF-5B03-4EE0-B7F0-E47900998F16}">
      <text>
        <r>
          <rPr>
            <b/>
            <sz val="9"/>
            <color indexed="81"/>
            <rFont val="Tahoma"/>
            <family val="2"/>
          </rPr>
          <t>JByeon:</t>
        </r>
        <r>
          <rPr>
            <sz val="9"/>
            <color indexed="81"/>
            <rFont val="Tahoma"/>
            <family val="2"/>
          </rPr>
          <t xml:space="preserve">
KazuNori</t>
        </r>
      </text>
    </comment>
    <comment ref="B85" authorId="0" shapeId="0" xr:uid="{16867F63-A68D-4BD7-A565-6BACE9FDCA8E}">
      <text>
        <r>
          <rPr>
            <b/>
            <sz val="9"/>
            <color indexed="81"/>
            <rFont val="Tahoma"/>
            <family val="2"/>
          </rPr>
          <t>Jihyeun Byeon:</t>
        </r>
        <r>
          <rPr>
            <sz val="9"/>
            <color indexed="81"/>
            <rFont val="Tahoma"/>
            <family val="2"/>
          </rPr>
          <t xml:space="preserve">
From assumption. Sales Price + 3MM for land</t>
        </r>
      </text>
    </comment>
    <comment ref="L147" authorId="2" shapeId="0" xr:uid="{B08247F4-43F8-4667-81C7-3FA33003B727}">
      <text>
        <r>
          <rPr>
            <sz val="9"/>
            <color indexed="81"/>
            <rFont val="Tahoma"/>
            <family val="2"/>
          </rPr>
          <t>Paid at closing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Jihyeun Byeon</author>
  </authors>
  <commentList>
    <comment ref="F14" authorId="0" shapeId="0" xr:uid="{28B8842D-2FC2-48CD-BEA2-5BECDC76D887}">
      <text>
        <r>
          <rPr>
            <b/>
            <sz val="9"/>
            <color indexed="81"/>
            <rFont val="Tahoma"/>
            <family val="2"/>
          </rPr>
          <t>Jihyeun Byeon:</t>
        </r>
        <r>
          <rPr>
            <sz val="9"/>
            <color indexed="81"/>
            <rFont val="Tahoma"/>
            <family val="2"/>
          </rPr>
          <t xml:space="preserve">
Accurual basis but actual rent is $137k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Cameron Chase</author>
  </authors>
  <commentList>
    <comment ref="E87" authorId="0" shapeId="0" xr:uid="{F18EF56A-3F03-4CF6-B1B2-A596EDECC85B}">
      <text>
        <r>
          <rPr>
            <b/>
            <sz val="9"/>
            <color indexed="81"/>
            <rFont val="Tahoma"/>
            <family val="2"/>
          </rPr>
          <t>Cameron Chase:</t>
        </r>
        <r>
          <rPr>
            <sz val="9"/>
            <color indexed="81"/>
            <rFont val="Tahoma"/>
            <family val="2"/>
          </rPr>
          <t xml:space="preserve">
Input the amounts expected for when the propety is fully funded.</t>
        </r>
      </text>
    </comment>
    <comment ref="D89" authorId="0" shapeId="0" xr:uid="{DD3C8697-A25C-416A-9477-EBF97608D5CF}">
      <text>
        <r>
          <rPr>
            <b/>
            <sz val="9"/>
            <color indexed="81"/>
            <rFont val="Tahoma"/>
            <family val="2"/>
          </rPr>
          <t>Cameron Chase:</t>
        </r>
        <r>
          <rPr>
            <sz val="9"/>
            <color indexed="81"/>
            <rFont val="Tahoma"/>
            <family val="2"/>
          </rPr>
          <t xml:space="preserve">
Cumulative</t>
        </r>
      </text>
    </comment>
    <comment ref="D91" authorId="0" shapeId="0" xr:uid="{9502AF19-9BCC-46B5-8E0B-9994570FCE8B}">
      <text>
        <r>
          <rPr>
            <b/>
            <sz val="9"/>
            <color indexed="81"/>
            <rFont val="Tahoma"/>
            <family val="2"/>
          </rPr>
          <t>Cameron Chase:</t>
        </r>
        <r>
          <rPr>
            <sz val="9"/>
            <color indexed="81"/>
            <rFont val="Tahoma"/>
            <family val="2"/>
          </rPr>
          <t xml:space="preserve">
Cumulative</t>
        </r>
      </text>
    </comment>
    <comment ref="D92" authorId="0" shapeId="0" xr:uid="{A1CFEE74-1EB8-42A5-B20B-171BC2F97FF9}">
      <text>
        <r>
          <rPr>
            <b/>
            <sz val="9"/>
            <color indexed="81"/>
            <rFont val="Tahoma"/>
            <family val="2"/>
          </rPr>
          <t>Cameron Chase:</t>
        </r>
        <r>
          <rPr>
            <sz val="9"/>
            <color indexed="81"/>
            <rFont val="Tahoma"/>
            <family val="2"/>
          </rPr>
          <t xml:space="preserve">
Cumulative</t>
        </r>
      </text>
    </comment>
    <comment ref="D93" authorId="0" shapeId="0" xr:uid="{6CBDDCA0-62C4-4C5F-AF69-74B8C267B5C9}">
      <text>
        <r>
          <rPr>
            <b/>
            <sz val="9"/>
            <color indexed="81"/>
            <rFont val="Tahoma"/>
            <family val="2"/>
          </rPr>
          <t>Cameron Chase:</t>
        </r>
        <r>
          <rPr>
            <sz val="9"/>
            <color indexed="81"/>
            <rFont val="Tahoma"/>
            <family val="2"/>
          </rPr>
          <t xml:space="preserve">
Cumulative</t>
        </r>
      </text>
    </comment>
    <comment ref="D94" authorId="0" shapeId="0" xr:uid="{EF697656-16F1-4CB4-BEE0-D482012E8DE1}">
      <text>
        <r>
          <rPr>
            <b/>
            <sz val="9"/>
            <color indexed="81"/>
            <rFont val="Tahoma"/>
            <family val="2"/>
          </rPr>
          <t>Cameron Chase:</t>
        </r>
        <r>
          <rPr>
            <sz val="9"/>
            <color indexed="81"/>
            <rFont val="Tahoma"/>
            <family val="2"/>
          </rPr>
          <t xml:space="preserve">
Cumulative</t>
        </r>
      </text>
    </comment>
    <comment ref="D95" authorId="0" shapeId="0" xr:uid="{286472B7-C906-45E8-BA1B-3E54C4DB5B75}">
      <text>
        <r>
          <rPr>
            <b/>
            <sz val="9"/>
            <color indexed="81"/>
            <rFont val="Tahoma"/>
            <family val="2"/>
          </rPr>
          <t>Cameron Chase:</t>
        </r>
        <r>
          <rPr>
            <sz val="9"/>
            <color indexed="81"/>
            <rFont val="Tahoma"/>
            <family val="2"/>
          </rPr>
          <t xml:space="preserve">
Cell will highlight RED if Total Sources and Uses do not match.</t>
        </r>
      </text>
    </comment>
    <comment ref="E95" authorId="0" shapeId="0" xr:uid="{EB6A66A1-3998-4628-AA80-941CE47C9A34}">
      <text>
        <r>
          <rPr>
            <b/>
            <sz val="9"/>
            <color indexed="81"/>
            <rFont val="Tahoma"/>
            <family val="2"/>
          </rPr>
          <t>Cameron Chase:</t>
        </r>
        <r>
          <rPr>
            <sz val="9"/>
            <color indexed="81"/>
            <rFont val="Tahoma"/>
            <family val="2"/>
          </rPr>
          <t xml:space="preserve">
Cell will highlight RED if Total Sources and Uses do not match.</t>
        </r>
      </text>
    </comment>
    <comment ref="F95" authorId="0" shapeId="0" xr:uid="{E04BB6CB-8BA0-40E6-9693-76912993BB2E}">
      <text>
        <r>
          <rPr>
            <b/>
            <sz val="9"/>
            <color indexed="81"/>
            <rFont val="Tahoma"/>
            <family val="2"/>
          </rPr>
          <t>Cameron Chase:</t>
        </r>
        <r>
          <rPr>
            <sz val="9"/>
            <color indexed="81"/>
            <rFont val="Tahoma"/>
            <family val="2"/>
          </rPr>
          <t xml:space="preserve">
Cell will highlight RED if Total Sources and Uses do not match.</t>
        </r>
      </text>
    </comment>
    <comment ref="E97" authorId="0" shapeId="0" xr:uid="{FC7D5ACF-0FD8-43EB-A978-3D720B6C0B89}">
      <text>
        <r>
          <rPr>
            <b/>
            <sz val="9"/>
            <color indexed="81"/>
            <rFont val="Tahoma"/>
            <family val="2"/>
          </rPr>
          <t>Cameron Chase:</t>
        </r>
        <r>
          <rPr>
            <sz val="9"/>
            <color indexed="81"/>
            <rFont val="Tahoma"/>
            <family val="2"/>
          </rPr>
          <t xml:space="preserve">
Input the amounts expected for when the propety is fully funded.</t>
        </r>
      </text>
    </comment>
  </commentList>
</comments>
</file>

<file path=xl/sharedStrings.xml><?xml version="1.0" encoding="utf-8"?>
<sst xmlns="http://schemas.openxmlformats.org/spreadsheetml/2006/main" count="6469" uniqueCount="2516">
  <si>
    <t>Circ Trigger</t>
  </si>
  <si>
    <t>($ in thousands, except psf amounts)</t>
  </si>
  <si>
    <t>Land Summary</t>
  </si>
  <si>
    <t>Returns Summary</t>
  </si>
  <si>
    <t>Land SF</t>
  </si>
  <si>
    <t>Profit</t>
  </si>
  <si>
    <t>Building FAR SF</t>
  </si>
  <si>
    <t>Investment</t>
  </si>
  <si>
    <t>Implied FAR</t>
  </si>
  <si>
    <t>Multiple</t>
  </si>
  <si>
    <t>IRR</t>
  </si>
  <si>
    <t>Acquisition Costs</t>
  </si>
  <si>
    <t>Exit Assumptions</t>
  </si>
  <si>
    <t>$ per GLA</t>
  </si>
  <si>
    <t>% of Total</t>
  </si>
  <si>
    <t>At Close</t>
  </si>
  <si>
    <t>PSF*</t>
  </si>
  <si>
    <t>At Stabilization</t>
  </si>
  <si>
    <t>Year of Sale</t>
  </si>
  <si>
    <t>Purchase Price</t>
  </si>
  <si>
    <t>Total Acquisition Costs</t>
  </si>
  <si>
    <t>Project Timing</t>
  </si>
  <si>
    <t>Start</t>
  </si>
  <si>
    <t>Duration</t>
  </si>
  <si>
    <t>End</t>
  </si>
  <si>
    <t>Operating Losses</t>
  </si>
  <si>
    <t>Purchase Date</t>
  </si>
  <si>
    <t>Acquisition</t>
  </si>
  <si>
    <t>TIs</t>
  </si>
  <si>
    <t>LCs</t>
  </si>
  <si>
    <t>Total Unleveraged Basis</t>
  </si>
  <si>
    <t>Loan Closing Costs &amp; Fees</t>
  </si>
  <si>
    <t>Capitalized Interest</t>
  </si>
  <si>
    <t>Total Leveraged Basis</t>
  </si>
  <si>
    <t>Project Sale</t>
  </si>
  <si>
    <t>Rental Revenue</t>
  </si>
  <si>
    <t>Total Gross Exit Proceeds</t>
  </si>
  <si>
    <t>Sales Costs</t>
  </si>
  <si>
    <t>Financing Assumptions  (Acquisition Loan)</t>
  </si>
  <si>
    <t>Net Exit Proceeds</t>
  </si>
  <si>
    <t>Total Debt</t>
  </si>
  <si>
    <t>Total Equity</t>
  </si>
  <si>
    <t>Interest Rate</t>
  </si>
  <si>
    <t>Floating Rate</t>
  </si>
  <si>
    <t>Unleveraged Sources and Uses</t>
  </si>
  <si>
    <t>Loan Closing Month</t>
  </si>
  <si>
    <t>Fixed  Rate</t>
  </si>
  <si>
    <t>Project Uses</t>
  </si>
  <si>
    <t>Amount</t>
  </si>
  <si>
    <t>%</t>
  </si>
  <si>
    <t>$ Per NRSF</t>
  </si>
  <si>
    <t>Loan Fees (Bank And Broker)</t>
  </si>
  <si>
    <t>Loan Closing Costs</t>
  </si>
  <si>
    <t>Closing Costs</t>
  </si>
  <si>
    <t>Loan Extension Fee</t>
  </si>
  <si>
    <t>I/O Period (Months)</t>
  </si>
  <si>
    <t>Amortization Period (Years)</t>
  </si>
  <si>
    <t>Interest Rate Type</t>
  </si>
  <si>
    <t>TI Buildout Period</t>
  </si>
  <si>
    <t>Total Uses</t>
  </si>
  <si>
    <t>Initial LTC</t>
  </si>
  <si>
    <t>Project Sources</t>
  </si>
  <si>
    <t>$ Per GLA</t>
  </si>
  <si>
    <t xml:space="preserve">Unleveraged Equity </t>
  </si>
  <si>
    <t>Future Variable Contribution</t>
  </si>
  <si>
    <t>Project Cash Flow</t>
  </si>
  <si>
    <t>Max Future Proceeds</t>
  </si>
  <si>
    <t>Total Sources</t>
  </si>
  <si>
    <t>LTC</t>
  </si>
  <si>
    <t>Total Proceeds</t>
  </si>
  <si>
    <t>Blended LTC</t>
  </si>
  <si>
    <t>Leveraged Sources and Uses</t>
  </si>
  <si>
    <t xml:space="preserve">Debt Funding </t>
  </si>
  <si>
    <t>Project Uses (Debt)</t>
  </si>
  <si>
    <t>NOI</t>
  </si>
  <si>
    <t>Variable Contribution</t>
  </si>
  <si>
    <t>Project Sources (Debt)</t>
  </si>
  <si>
    <t>Debt Financing</t>
  </si>
  <si>
    <t>Equity Investment</t>
  </si>
  <si>
    <t>Stabilized Forward NOI</t>
  </si>
  <si>
    <t>Debt Service</t>
  </si>
  <si>
    <t>Rate</t>
  </si>
  <si>
    <t>Parking Stalls</t>
  </si>
  <si>
    <t>Office</t>
  </si>
  <si>
    <t>Total</t>
  </si>
  <si>
    <t>Amortization</t>
  </si>
  <si>
    <t>Debt</t>
  </si>
  <si>
    <t>Month #</t>
  </si>
  <si>
    <t>Payment</t>
  </si>
  <si>
    <t>Interest</t>
  </si>
  <si>
    <t>Equity</t>
  </si>
  <si>
    <t>Loan Fees</t>
  </si>
  <si>
    <t>LIBOR Curve</t>
  </si>
  <si>
    <t>Monthly Project Cash Flow</t>
  </si>
  <si>
    <t>Annual Project Cash Flows</t>
  </si>
  <si>
    <t>12 Months Ending:</t>
  </si>
  <si>
    <t>Unleveraged Costs</t>
  </si>
  <si>
    <t>Leasing Costs</t>
  </si>
  <si>
    <t>Total TI Allowance</t>
  </si>
  <si>
    <t>Total Leasing Commissions</t>
  </si>
  <si>
    <t>Total Unlevered Costs</t>
  </si>
  <si>
    <t>Beginning Balance</t>
  </si>
  <si>
    <t>Total Operating Expenses</t>
  </si>
  <si>
    <t>New Project Revenues</t>
  </si>
  <si>
    <t>Total Potential NOI</t>
  </si>
  <si>
    <t>Total Actual NOI</t>
  </si>
  <si>
    <t>Return on Cost</t>
  </si>
  <si>
    <t>NOI With Free Rent</t>
  </si>
  <si>
    <t>Delta</t>
  </si>
  <si>
    <t>Less Cash Flow from Operations</t>
  </si>
  <si>
    <t>Unleveraged Equity Investment</t>
  </si>
  <si>
    <t>Unleveraged Cash Flow</t>
  </si>
  <si>
    <t>Leverage Cash Flows</t>
  </si>
  <si>
    <t>Less Debt Service</t>
  </si>
  <si>
    <t>Cash Flow After Debt Service</t>
  </si>
  <si>
    <t>Loan Leveraged Costs</t>
  </si>
  <si>
    <t>Loan Extension Fee(s)</t>
  </si>
  <si>
    <t>per extension</t>
  </si>
  <si>
    <t>Total Acquisition Leveraged Costs</t>
  </si>
  <si>
    <t>Cash Flow Available as a Source</t>
  </si>
  <si>
    <t>Cash Flow Used as a Source</t>
  </si>
  <si>
    <t>Required Funding</t>
  </si>
  <si>
    <t>Equity Draws</t>
  </si>
  <si>
    <t>Ending Balance</t>
  </si>
  <si>
    <t>Date for Interest Rate Reference</t>
  </si>
  <si>
    <t>Spread</t>
  </si>
  <si>
    <t>Effective Interest Rate</t>
  </si>
  <si>
    <t>Acquisition Debt</t>
  </si>
  <si>
    <t>Initial Debt Draw</t>
  </si>
  <si>
    <t>Debt Draws (Acquisition Loan)</t>
  </si>
  <si>
    <t>Less Debt Service Paid from NOI</t>
  </si>
  <si>
    <t>Principal Paydown</t>
  </si>
  <si>
    <t>Less: Debt Service Paid from NOI</t>
  </si>
  <si>
    <t>(+/-) Acquisition and Disposition</t>
  </si>
  <si>
    <t>(-) CapEx</t>
  </si>
  <si>
    <t>(-) TI/LCs/Leasing Legal</t>
  </si>
  <si>
    <t xml:space="preserve">(+) NOI </t>
  </si>
  <si>
    <t>Check</t>
  </si>
  <si>
    <t>Date</t>
  </si>
  <si>
    <t>End of Month</t>
  </si>
  <si>
    <t>1 Month LIBOR Forward Curve</t>
  </si>
  <si>
    <t xml:space="preserve"> </t>
  </si>
  <si>
    <t xml:space="preserve">Warning: Neither ICE, IntercontinentalExchange Group, Inc. and ICE LIBOR can be held liable for any irregularity </t>
  </si>
  <si>
    <t>or inaccuracy of ICE LIBOR.</t>
  </si>
  <si>
    <t>Office SF Absorbed</t>
  </si>
  <si>
    <t>Office SF Leased</t>
  </si>
  <si>
    <t>DISCLAIMER</t>
  </si>
  <si>
    <t>This confidential summary contains forward-looking statements that are not historical facts.  These forward-looking statements include statements, express or implied, regarding the current expectations, estimates, projections, opinions and beliefs of the Arc Capital Partners LLC ("Company"), as well as certain assumptions on which those statements are based.  Such forward-looking statements are subject to risks, uncertainties and other factors that may cause actual events to differ materially from any anticipated development and no assurance can be given that the Company, or any investment vehicle that may be formed or managed by the Company in the future, will achieve the projected returns.  The pro forma information set forth in this confidential summary is shown for illustration purposes only and should not be relied upon.  No representation or assurance is made that any potential investor will or is likely to achieve results comparable to those shown or will make any profit or will be able to avoid incurring substantial losses.
The information contained herein is confidential and intended solely for use by the Company and persons to whom the Company has delivered this document.  This confidential summary is not to be reproduced or distributed to any third party.  The recipient, by accepting this document, agrees to this restriction and to return the document to the Company upon request.
The pro forma information reflects the Company’s judgment, based on current circumstances, of the most likely set of conditions and its most likely course of action.  The assumptions disclosed herein are those that the Company believes are significant to the pro forma information or are key factors upon which the financial results of the Company and any potential real estate investment opportunity depend.  Some assumptions inevitably will not materialize and unanticipated events and circumstances may occur subsequent to the date of this information.  Therefore, the actual results achieved during the forecast period will vary from the forecast, and the variations may be material.  None of the Company, its managers, officers, directors, employees or affiliates assume any responsibility to notify recipients of any updates to this pro forma information if there are changes to the assumptions or results.  Recipients are encouraged to consult with their own professional advisors concerning this pro forma information, including the assumptions used.  The Company will make available additional information upon request concerning the pro forma information to the extent it is readily available to the Company at no additional cost and the Company is not otherwise restricted from providing such information.</t>
  </si>
  <si>
    <t>Waterfall</t>
  </si>
  <si>
    <t>Month</t>
  </si>
  <si>
    <t>Quarter</t>
  </si>
  <si>
    <t>Year</t>
  </si>
  <si>
    <t>Joint Venture Terms</t>
  </si>
  <si>
    <t>LP Equity Contribution</t>
  </si>
  <si>
    <t xml:space="preserve">Hurdle </t>
  </si>
  <si>
    <t>Distribution %</t>
  </si>
  <si>
    <t>Investors</t>
  </si>
  <si>
    <t>GP</t>
  </si>
  <si>
    <t>Contribution</t>
  </si>
  <si>
    <t>Operating Cash Flows</t>
  </si>
  <si>
    <t>Tier 1</t>
  </si>
  <si>
    <t>Tier 2</t>
  </si>
  <si>
    <t>Capital Event</t>
  </si>
  <si>
    <t>Tier 3</t>
  </si>
  <si>
    <t>Return of Capital</t>
  </si>
  <si>
    <t>Tier 4</t>
  </si>
  <si>
    <t>Tier 5</t>
  </si>
  <si>
    <t>Remainder</t>
  </si>
  <si>
    <t>Capital Contributions</t>
  </si>
  <si>
    <t>Operating Cash Available for Distribution</t>
  </si>
  <si>
    <t>Capital Event CFs Available for Distribution</t>
  </si>
  <si>
    <t>Total CF</t>
  </si>
  <si>
    <t>Beginning Capital Balance</t>
  </si>
  <si>
    <t>Accrued Preference</t>
  </si>
  <si>
    <t>Paid Preference - Tier 1</t>
  </si>
  <si>
    <t>Ending Capital Balance</t>
  </si>
  <si>
    <t>Cash Available for Distribution - Tier 2</t>
  </si>
  <si>
    <t>Paid Preference - Tier 2</t>
  </si>
  <si>
    <t>Promote to GP</t>
  </si>
  <si>
    <t>Paid Preference - Tier 3</t>
  </si>
  <si>
    <t>Cash Available for Distribution - Return of Capital</t>
  </si>
  <si>
    <t>Cash Flows to Investors</t>
  </si>
  <si>
    <t>IRR Check - Investors</t>
  </si>
  <si>
    <t>Cash Available for Distribution - Tier 4</t>
  </si>
  <si>
    <t>Paid Preference - Tier 4</t>
  </si>
  <si>
    <t>Cash Available for Distribution - Tier 5</t>
  </si>
  <si>
    <t>Paid Preference - Tier 5</t>
  </si>
  <si>
    <t>Cash Available for Distribution - Remainder</t>
  </si>
  <si>
    <t>Cash Flow Summary</t>
  </si>
  <si>
    <t>LP</t>
  </si>
  <si>
    <t>Total Cash Flow to LP</t>
  </si>
  <si>
    <t>Returns to LP</t>
  </si>
  <si>
    <t>Total Cash Flow to GP</t>
  </si>
  <si>
    <t>Returns to GP</t>
  </si>
  <si>
    <t>Tier 2 Promote</t>
  </si>
  <si>
    <t>Tier 4 Promote</t>
  </si>
  <si>
    <t>Tier 5 Promote</t>
  </si>
  <si>
    <t>Remainder Promote</t>
  </si>
  <si>
    <t>Total Promote</t>
  </si>
  <si>
    <t>Promote Split</t>
  </si>
  <si>
    <t>Total GP Co-Invest CF (Deal + Promote Share)</t>
  </si>
  <si>
    <t>Cash Flow Check</t>
  </si>
  <si>
    <t>Investor Contribution</t>
  </si>
  <si>
    <t>Waterfall Structure (TBD)</t>
  </si>
  <si>
    <t>Arc</t>
  </si>
  <si>
    <t>Capital Contribution</t>
  </si>
  <si>
    <t>Capital Events</t>
  </si>
  <si>
    <t>Total Leased SF @ New Rate</t>
  </si>
  <si>
    <t>Total Office Occupancy (Old &amp; New)</t>
  </si>
  <si>
    <t>Budget</t>
  </si>
  <si>
    <t>$ PSF</t>
  </si>
  <si>
    <t>Deal Snapshot</t>
  </si>
  <si>
    <t>x</t>
  </si>
  <si>
    <t>Property Overview</t>
  </si>
  <si>
    <t>Property Type</t>
  </si>
  <si>
    <t>Year Built/Renovated</t>
  </si>
  <si>
    <t>NRA (SF)</t>
  </si>
  <si>
    <t>Market</t>
  </si>
  <si>
    <t>Submarket</t>
  </si>
  <si>
    <t>Sponsor</t>
  </si>
  <si>
    <t>Sources &amp; Uses</t>
  </si>
  <si>
    <t>Lease Up</t>
  </si>
  <si>
    <t>Cash Flows</t>
  </si>
  <si>
    <t>Revenues</t>
  </si>
  <si>
    <t>Operating Expenses</t>
  </si>
  <si>
    <t>Net Operating Income</t>
  </si>
  <si>
    <t>Cash Flows after Debt Service</t>
  </si>
  <si>
    <t>Acquisition and Disposition</t>
  </si>
  <si>
    <t>New Debt, net</t>
  </si>
  <si>
    <t>Financing Cost</t>
  </si>
  <si>
    <t>Loan Repayment</t>
  </si>
  <si>
    <t>Leveraged Cash Flows</t>
  </si>
  <si>
    <t>NOI Growth Rate</t>
  </si>
  <si>
    <t>n/a</t>
  </si>
  <si>
    <t>Leveraged Cash-on-Cash</t>
  </si>
  <si>
    <t>Unleveraged Returns</t>
  </si>
  <si>
    <t>Profit from Cash Flow</t>
  </si>
  <si>
    <t>Profit from Appreciation</t>
  </si>
  <si>
    <t>Leveraged Returns</t>
  </si>
  <si>
    <t>Creative Office</t>
  </si>
  <si>
    <t xml:space="preserve">n/a </t>
  </si>
  <si>
    <t>Amortization Period (Years):</t>
  </si>
  <si>
    <t>Fixed Rate:</t>
  </si>
  <si>
    <t>Floating Rate:</t>
  </si>
  <si>
    <t xml:space="preserve">Month </t>
  </si>
  <si>
    <t>Beginning</t>
  </si>
  <si>
    <t>Ending</t>
  </si>
  <si>
    <t>LIBOR</t>
  </si>
  <si>
    <t>Permanent Loan - Amortization Table</t>
  </si>
  <si>
    <t>Acquisition Loan - Amortization Table</t>
  </si>
  <si>
    <t>Current Occupancy</t>
  </si>
  <si>
    <t>TIs/LCs/Soft Costs/Other</t>
  </si>
  <si>
    <t>Total Initial Loan Proceeds</t>
  </si>
  <si>
    <t>Arc Capital Partners</t>
  </si>
  <si>
    <t>Contingency</t>
  </si>
  <si>
    <t>Base Case</t>
  </si>
  <si>
    <t>LP Equity</t>
  </si>
  <si>
    <t>GP Equity</t>
  </si>
  <si>
    <t>Project Return Summary</t>
  </si>
  <si>
    <t>Month 1</t>
  </si>
  <si>
    <t>Month 2</t>
  </si>
  <si>
    <t>Month 3</t>
  </si>
  <si>
    <t>Month 4</t>
  </si>
  <si>
    <t>Month 5</t>
  </si>
  <si>
    <t>Month 6</t>
  </si>
  <si>
    <t>Month 7</t>
  </si>
  <si>
    <t>Month 8</t>
  </si>
  <si>
    <t>Month 9</t>
  </si>
  <si>
    <t>Month 10</t>
  </si>
  <si>
    <t>Month 11</t>
  </si>
  <si>
    <t>Month 12</t>
  </si>
  <si>
    <t>Month 13</t>
  </si>
  <si>
    <t>Month 14</t>
  </si>
  <si>
    <t>Month 15</t>
  </si>
  <si>
    <t>Month 16</t>
  </si>
  <si>
    <t>Month 17</t>
  </si>
  <si>
    <t>Month 18</t>
  </si>
  <si>
    <t>Month 19</t>
  </si>
  <si>
    <t>Month 20</t>
  </si>
  <si>
    <t>Month 21</t>
  </si>
  <si>
    <t>Month 22</t>
  </si>
  <si>
    <t>Month 23</t>
  </si>
  <si>
    <t>Month 24</t>
  </si>
  <si>
    <t>Month 25</t>
  </si>
  <si>
    <t>Month 26</t>
  </si>
  <si>
    <t>Month 27</t>
  </si>
  <si>
    <t>Month 28</t>
  </si>
  <si>
    <t>Month 29</t>
  </si>
  <si>
    <t>Month 30</t>
  </si>
  <si>
    <t>Month 31</t>
  </si>
  <si>
    <t>Month 32</t>
  </si>
  <si>
    <t>Month 33</t>
  </si>
  <si>
    <t>Month 34</t>
  </si>
  <si>
    <t>Month 35</t>
  </si>
  <si>
    <t>Month 36</t>
  </si>
  <si>
    <t>Month 37</t>
  </si>
  <si>
    <t>Month 38</t>
  </si>
  <si>
    <t>Month 39</t>
  </si>
  <si>
    <t>Month 40</t>
  </si>
  <si>
    <t>Month 41</t>
  </si>
  <si>
    <t>Month 42</t>
  </si>
  <si>
    <t>Month 43</t>
  </si>
  <si>
    <t>Month 44</t>
  </si>
  <si>
    <t>Month 45</t>
  </si>
  <si>
    <t>Month 46</t>
  </si>
  <si>
    <t>Month 47</t>
  </si>
  <si>
    <t>Month 48</t>
  </si>
  <si>
    <t>Month 49</t>
  </si>
  <si>
    <t>Month 50</t>
  </si>
  <si>
    <t>Month 51</t>
  </si>
  <si>
    <t>Month 52</t>
  </si>
  <si>
    <t>Month 53</t>
  </si>
  <si>
    <t>Month 54</t>
  </si>
  <si>
    <t>Month 55</t>
  </si>
  <si>
    <t>Month 56</t>
  </si>
  <si>
    <t>Month 57</t>
  </si>
  <si>
    <t>Month 58</t>
  </si>
  <si>
    <t>Month 59</t>
  </si>
  <si>
    <t>Month 60</t>
  </si>
  <si>
    <t>Month 61</t>
  </si>
  <si>
    <t>Month 62</t>
  </si>
  <si>
    <t>Month 63</t>
  </si>
  <si>
    <t>Month 64</t>
  </si>
  <si>
    <t>Month 65</t>
  </si>
  <si>
    <t>Month 66</t>
  </si>
  <si>
    <t>Month 67</t>
  </si>
  <si>
    <t>Month 68</t>
  </si>
  <si>
    <t>Month 69</t>
  </si>
  <si>
    <t>Month 70</t>
  </si>
  <si>
    <t>Month 71</t>
  </si>
  <si>
    <t>Month 72</t>
  </si>
  <si>
    <t>Month 73</t>
  </si>
  <si>
    <t>Month 74</t>
  </si>
  <si>
    <t>Month 75</t>
  </si>
  <si>
    <t>Month 76</t>
  </si>
  <si>
    <t>Month 77</t>
  </si>
  <si>
    <t>Month 78</t>
  </si>
  <si>
    <t>Month 79</t>
  </si>
  <si>
    <t>Month 80</t>
  </si>
  <si>
    <t>Month 81</t>
  </si>
  <si>
    <t>Month 82</t>
  </si>
  <si>
    <t>Month 83</t>
  </si>
  <si>
    <t>Month 84</t>
  </si>
  <si>
    <t>Month 85</t>
  </si>
  <si>
    <t>Month 86</t>
  </si>
  <si>
    <t>Month 87</t>
  </si>
  <si>
    <t>Month 88</t>
  </si>
  <si>
    <t>Month 89</t>
  </si>
  <si>
    <t>Month 90</t>
  </si>
  <si>
    <t>Month 91</t>
  </si>
  <si>
    <t>Month 92</t>
  </si>
  <si>
    <t>Month 93</t>
  </si>
  <si>
    <t>Month 94</t>
  </si>
  <si>
    <t>Month 95</t>
  </si>
  <si>
    <t>Month 96</t>
  </si>
  <si>
    <t>Month 97</t>
  </si>
  <si>
    <t>Month 98</t>
  </si>
  <si>
    <t>Month 99</t>
  </si>
  <si>
    <t>Month 100</t>
  </si>
  <si>
    <t>Month 101</t>
  </si>
  <si>
    <t>Month 102</t>
  </si>
  <si>
    <t>Month 103</t>
  </si>
  <si>
    <t>Month 104</t>
  </si>
  <si>
    <t>Month 105</t>
  </si>
  <si>
    <t>Month 106</t>
  </si>
  <si>
    <t>Month 107</t>
  </si>
  <si>
    <t>Month 108</t>
  </si>
  <si>
    <t>Month 109</t>
  </si>
  <si>
    <t>Month 110</t>
  </si>
  <si>
    <t>Month 111</t>
  </si>
  <si>
    <t>Month 112</t>
  </si>
  <si>
    <t>Month 113</t>
  </si>
  <si>
    <t>Month 114</t>
  </si>
  <si>
    <t>Month 115</t>
  </si>
  <si>
    <t>Month 116</t>
  </si>
  <si>
    <t>Month 117</t>
  </si>
  <si>
    <t>Month 118</t>
  </si>
  <si>
    <t>Month 119</t>
  </si>
  <si>
    <t>Month 120</t>
  </si>
  <si>
    <t>Month 121</t>
  </si>
  <si>
    <t>Month 122</t>
  </si>
  <si>
    <t>Month 123</t>
  </si>
  <si>
    <t>Month 124</t>
  </si>
  <si>
    <t>Month 125</t>
  </si>
  <si>
    <t>Month 126</t>
  </si>
  <si>
    <t>Month 127</t>
  </si>
  <si>
    <t>Month 128</t>
  </si>
  <si>
    <t>Month 129</t>
  </si>
  <si>
    <t>Month 130</t>
  </si>
  <si>
    <t>Month 131</t>
  </si>
  <si>
    <t>Month 132</t>
  </si>
  <si>
    <t>For the Months</t>
  </si>
  <si>
    <t>Total Rental Revenue</t>
  </si>
  <si>
    <t>Other Tenant Revenue</t>
  </si>
  <si>
    <t>Total Other Tenant Revenue</t>
  </si>
  <si>
    <t>Total Tenant Revenue</t>
  </si>
  <si>
    <t>Other Revenue</t>
  </si>
  <si>
    <t>Potential Gross Revenue</t>
  </si>
  <si>
    <t>Vacancy &amp; Credit Loss</t>
  </si>
  <si>
    <t>Total Vacancy &amp; Credit Loss</t>
  </si>
  <si>
    <t>Effective Gross Revenue</t>
  </si>
  <si>
    <t>Capital Expenditures</t>
  </si>
  <si>
    <t>Total Leasing &amp; Capital Costs</t>
  </si>
  <si>
    <t>Cash Flow Before Debt Service</t>
  </si>
  <si>
    <t>Cash Flow Available for Distribution</t>
  </si>
  <si>
    <t>Total Expense Recoveries</t>
  </si>
  <si>
    <t>Total Leasing Costs</t>
  </si>
  <si>
    <t>Total Capital Expenditures</t>
  </si>
  <si>
    <t>TI</t>
  </si>
  <si>
    <t>LC</t>
  </si>
  <si>
    <t xml:space="preserve">  Tenant Improvements</t>
  </si>
  <si>
    <t xml:space="preserve">  Leasing Commissions</t>
  </si>
  <si>
    <t xml:space="preserve">  Total Leasing Costs</t>
  </si>
  <si>
    <t xml:space="preserve">  Potential Base Rent</t>
  </si>
  <si>
    <t xml:space="preserve">  Scheduled Base Rent</t>
  </si>
  <si>
    <t xml:space="preserve">  Total Expense Recoveries</t>
  </si>
  <si>
    <t xml:space="preserve">  Vacancy Allowance</t>
  </si>
  <si>
    <t>Area</t>
  </si>
  <si>
    <t xml:space="preserve">Soft Costs </t>
  </si>
  <si>
    <t>Code</t>
  </si>
  <si>
    <t>CODE</t>
  </si>
  <si>
    <t xml:space="preserve"> Potential Base Rent</t>
  </si>
  <si>
    <t xml:space="preserve"> Absorption &amp; Turnover Vacancy</t>
  </si>
  <si>
    <t xml:space="preserve"> Free Rent</t>
  </si>
  <si>
    <t xml:space="preserve"> Scheduled Base Rent</t>
  </si>
  <si>
    <t xml:space="preserve"> Unassigned Parking Revenue</t>
  </si>
  <si>
    <t xml:space="preserve"> Utilities</t>
  </si>
  <si>
    <t xml:space="preserve"> Insurance</t>
  </si>
  <si>
    <t xml:space="preserve"> Management Fee</t>
  </si>
  <si>
    <t xml:space="preserve"> Real Estate Taxes</t>
  </si>
  <si>
    <t xml:space="preserve"> Tenant Improvements</t>
  </si>
  <si>
    <t xml:space="preserve"> Leasing Commissions</t>
  </si>
  <si>
    <t>CapEx Reserve Draw</t>
  </si>
  <si>
    <t>TI/LC Holdback Draw</t>
  </si>
  <si>
    <t>Yes</t>
  </si>
  <si>
    <t xml:space="preserve">  Absorption &amp; Turnover Vacancy</t>
  </si>
  <si>
    <t>Exit Cap Rate</t>
  </si>
  <si>
    <t>Common Area Maintenance</t>
  </si>
  <si>
    <t xml:space="preserve"> Capital Reserves </t>
  </si>
  <si>
    <t>TLC</t>
  </si>
  <si>
    <t>Vacancy Allowance</t>
  </si>
  <si>
    <t xml:space="preserve">  Free Rent</t>
  </si>
  <si>
    <t>Tenant Improvements</t>
  </si>
  <si>
    <t>Leasing Commissions</t>
  </si>
  <si>
    <t>Capital Reserves</t>
  </si>
  <si>
    <t>OpEx</t>
  </si>
  <si>
    <t>Month of Stabalization</t>
  </si>
  <si>
    <t>Paste Argus Cash Flows Below</t>
  </si>
  <si>
    <t>Stories</t>
  </si>
  <si>
    <t>Parking</t>
  </si>
  <si>
    <t>Subject Property</t>
  </si>
  <si>
    <t>Comparable #1</t>
  </si>
  <si>
    <t>Comparable #2</t>
  </si>
  <si>
    <t>Comparable #3</t>
  </si>
  <si>
    <t>Property Name</t>
  </si>
  <si>
    <t>Address</t>
  </si>
  <si>
    <t>Owner</t>
  </si>
  <si>
    <t>Acquisition Basis PSF</t>
  </si>
  <si>
    <t>Building Type</t>
  </si>
  <si>
    <t>PROPERTY FEATURES</t>
  </si>
  <si>
    <t>Lot Size</t>
  </si>
  <si>
    <t>Gross Rentable Square Feet</t>
  </si>
  <si>
    <t>N/A</t>
  </si>
  <si>
    <t>Floor plates</t>
  </si>
  <si>
    <t>Outdoor space</t>
  </si>
  <si>
    <t>Clear heights</t>
  </si>
  <si>
    <t>Loading</t>
  </si>
  <si>
    <t>Access</t>
  </si>
  <si>
    <t>Special features</t>
  </si>
  <si>
    <t>Comments</t>
  </si>
  <si>
    <t>Source: LoopNet, CoStar</t>
  </si>
  <si>
    <t>SF</t>
  </si>
  <si>
    <t>Sale Price</t>
  </si>
  <si>
    <t>Sale Date</t>
  </si>
  <si>
    <t>City</t>
  </si>
  <si>
    <t>Property</t>
  </si>
  <si>
    <t>Type</t>
  </si>
  <si>
    <t>Signed Date</t>
  </si>
  <si>
    <t>Tenant</t>
  </si>
  <si>
    <t>Source: CoStar</t>
  </si>
  <si>
    <t>State</t>
  </si>
  <si>
    <t>CA</t>
  </si>
  <si>
    <t xml:space="preserve">Asking Rent PSF (FSG) </t>
  </si>
  <si>
    <t>Year Renovated</t>
  </si>
  <si>
    <t>Austin</t>
  </si>
  <si>
    <t>2922 E Cesar Chavez St*</t>
  </si>
  <si>
    <t>3000 E Cesar Chavez St*</t>
  </si>
  <si>
    <t>1700 E 2nd St</t>
  </si>
  <si>
    <t xml:space="preserve">2416 E 6th St </t>
  </si>
  <si>
    <t>1800 E 4th St</t>
  </si>
  <si>
    <t>East Austin</t>
  </si>
  <si>
    <t>Modern Goat</t>
  </si>
  <si>
    <t>HEB</t>
  </si>
  <si>
    <t>Cup &amp; Leaf</t>
  </si>
  <si>
    <t>Muxy</t>
  </si>
  <si>
    <t xml:space="preserve">2416 E 6th Street </t>
  </si>
  <si>
    <t>2201 E 6th Street</t>
  </si>
  <si>
    <t>2320 - 2326 E Cesar Chavez</t>
  </si>
  <si>
    <t>Libor Floor</t>
  </si>
  <si>
    <t>Floor</t>
  </si>
  <si>
    <t>Rental Abatement</t>
  </si>
  <si>
    <t>Yr 1</t>
  </si>
  <si>
    <t>Debt Yield Test</t>
  </si>
  <si>
    <t>Total Costs</t>
  </si>
  <si>
    <t>Sources</t>
  </si>
  <si>
    <t>psf</t>
  </si>
  <si>
    <t>Term</t>
  </si>
  <si>
    <t>L + 350</t>
  </si>
  <si>
    <t>Floating</t>
  </si>
  <si>
    <t>Uses</t>
  </si>
  <si>
    <t>Improvements</t>
  </si>
  <si>
    <t>Exit Month</t>
  </si>
  <si>
    <t>Loan / Closing</t>
  </si>
  <si>
    <t>Cap Rate</t>
  </si>
  <si>
    <t>Legal / Admin</t>
  </si>
  <si>
    <t>Gross Price</t>
  </si>
  <si>
    <t>Target Returns</t>
  </si>
  <si>
    <t>16.0 - 18.0%</t>
  </si>
  <si>
    <t>`</t>
  </si>
  <si>
    <t>2.0x - 2.1x</t>
  </si>
  <si>
    <t>2400 E Cesar Chavez - Rental Comps</t>
  </si>
  <si>
    <t>$ PSF (NNN)</t>
  </si>
  <si>
    <t>Property Averages</t>
  </si>
  <si>
    <t>2400 E Cesar Chavez</t>
  </si>
  <si>
    <t>Source: CBRE / CoStar</t>
  </si>
  <si>
    <t>2400 E Cesar Chavez - Sale Comps</t>
  </si>
  <si>
    <t xml:space="preserve">Year Built </t>
  </si>
  <si>
    <t>Total Size</t>
  </si>
  <si>
    <t>PSF</t>
  </si>
  <si>
    <t>1951 / 2009</t>
  </si>
  <si>
    <t>Gross Exit Value</t>
  </si>
  <si>
    <t>$28.50 - $33.00</t>
  </si>
  <si>
    <t>*Asking rent</t>
  </si>
  <si>
    <t>Comparables</t>
  </si>
  <si>
    <t xml:space="preserve">Renovated Rent Comparables </t>
  </si>
  <si>
    <t>Sales Comparables</t>
  </si>
  <si>
    <t>#</t>
  </si>
  <si>
    <t xml:space="preserve">$ PSF </t>
  </si>
  <si>
    <t>$/PSF</t>
  </si>
  <si>
    <t>NNN</t>
  </si>
  <si>
    <t xml:space="preserve">All in Cost </t>
  </si>
  <si>
    <t>Premium/(Discount) to Renovated Creative Office Average</t>
  </si>
  <si>
    <t>Exit Price</t>
  </si>
  <si>
    <t>Map Maker</t>
  </si>
  <si>
    <t>Street Address</t>
  </si>
  <si>
    <t>Average</t>
  </si>
  <si>
    <t>2400 E Cesar Chavez Rental Rate</t>
  </si>
  <si>
    <t>1301 E Cesar Chavez</t>
  </si>
  <si>
    <t>1601 E 7th Street</t>
  </si>
  <si>
    <t>For Sale</t>
  </si>
  <si>
    <t>801 Barton Springs Road</t>
  </si>
  <si>
    <t>South Austin</t>
  </si>
  <si>
    <t>2010 S. Lamar Blvd</t>
  </si>
  <si>
    <t>2208 Lake Austin Blvd</t>
  </si>
  <si>
    <t>1717 W 6th Street</t>
  </si>
  <si>
    <t>1801 E. 6th Street</t>
  </si>
  <si>
    <t>South Lamar</t>
  </si>
  <si>
    <t>Clarksville</t>
  </si>
  <si>
    <t>Juul</t>
  </si>
  <si>
    <t>PH Partners</t>
  </si>
  <si>
    <t>MaraDB USA, Inc.</t>
  </si>
  <si>
    <t>Snow Software</t>
  </si>
  <si>
    <t>$50 psf in Tis, $20 NNN's, $150/parking space</t>
  </si>
  <si>
    <t>$45 psf in Tis</t>
  </si>
  <si>
    <t>$22 psf in Tis</t>
  </si>
  <si>
    <t>2922 E Cesar Chavez St</t>
  </si>
  <si>
    <t>3000 E Cesar Chavez St</t>
  </si>
  <si>
    <t>$28.50 to $33.00</t>
  </si>
  <si>
    <t>Source: CoStar / Colliers / JLL</t>
  </si>
  <si>
    <t>Strangeworks</t>
  </si>
  <si>
    <t>2400 E Cesar Chavez Street</t>
  </si>
  <si>
    <t>Creative Office / Retail</t>
  </si>
  <si>
    <t>1 (Select units with mezzanine)</t>
  </si>
  <si>
    <t>Major frontage on E. Cesar Chavez Street</t>
  </si>
  <si>
    <t>Select spaces with mezzanine/patio space</t>
  </si>
  <si>
    <t>Consists of 3 buildings</t>
  </si>
  <si>
    <t>Canopy</t>
  </si>
  <si>
    <t>916 Springdale Road</t>
  </si>
  <si>
    <t>Central Austin Management Group</t>
  </si>
  <si>
    <t>$20.00 to $22.00</t>
  </si>
  <si>
    <t>1-2 Stories</t>
  </si>
  <si>
    <t>Property includes 45 artist studios</t>
  </si>
  <si>
    <t>Consists of 5 buildings</t>
  </si>
  <si>
    <t>Springdale General</t>
  </si>
  <si>
    <t>1023 Springdale Road</t>
  </si>
  <si>
    <t>760 sf to 10,000 sf</t>
  </si>
  <si>
    <t>Located off Springdale Road</t>
  </si>
  <si>
    <t>Property has multiple "green" features including solar panels, underground rainwater collectors, and composting/recycling systems</t>
  </si>
  <si>
    <t>Consists of 15 buildings</t>
  </si>
  <si>
    <t>Springdale Station</t>
  </si>
  <si>
    <t>979 Springdale Road</t>
  </si>
  <si>
    <t>3423 Holdings LLC</t>
  </si>
  <si>
    <t>$33.00 to $36.00</t>
  </si>
  <si>
    <t>700 spaces (4.0/1,000)</t>
  </si>
  <si>
    <t>68 spaces (1.3/1,000)</t>
  </si>
  <si>
    <t>1 Story</t>
  </si>
  <si>
    <t>75% Office / 25% Retail</t>
  </si>
  <si>
    <t>Large portion of property is leased to rock climbing gym</t>
  </si>
  <si>
    <t>Miles to Downtown Austin</t>
  </si>
  <si>
    <t>1.7 Miles</t>
  </si>
  <si>
    <t>3.3 Miles</t>
  </si>
  <si>
    <t>3.4 Miles</t>
  </si>
  <si>
    <t>3.9 Miles</t>
  </si>
  <si>
    <t>Updated 8.23.19</t>
  </si>
  <si>
    <t xml:space="preserve">  Insurance</t>
  </si>
  <si>
    <t>Comparables for Lease (Asking Rents)</t>
  </si>
  <si>
    <t>Key Tenants</t>
  </si>
  <si>
    <t>Year Built</t>
  </si>
  <si>
    <t>Notes</t>
  </si>
  <si>
    <t>Primary Competitive Set</t>
  </si>
  <si>
    <t>2416 E 6th Street (Upcycle)</t>
  </si>
  <si>
    <t>Favor/HEB</t>
  </si>
  <si>
    <t>Property was fully leased to Favor/HEB at $35.00 NNN</t>
  </si>
  <si>
    <t>Owner/Developer</t>
  </si>
  <si>
    <t>Status</t>
  </si>
  <si>
    <t>Size</t>
  </si>
  <si>
    <t>SF Available</t>
  </si>
  <si>
    <t>NNN's</t>
  </si>
  <si>
    <t>Gross Equivalent</t>
  </si>
  <si>
    <t>Livestrong</t>
  </si>
  <si>
    <t>Renovated office property previously owned by Livestrong</t>
  </si>
  <si>
    <t>1101 E 6th Street</t>
  </si>
  <si>
    <t>Beck-Reit</t>
  </si>
  <si>
    <t>Existing</t>
  </si>
  <si>
    <t>Unrenovated office property</t>
  </si>
  <si>
    <t>Notley Ventures</t>
  </si>
  <si>
    <t>Withheld</t>
  </si>
  <si>
    <t>Duck Camp Showroom</t>
  </si>
  <si>
    <t>Residential property now used as boutique retail space for outdoor clothing shop</t>
  </si>
  <si>
    <t>1021 E 7th Street</t>
  </si>
  <si>
    <t>PSD &amp; M Ventures LLC</t>
  </si>
  <si>
    <t>$10.83 + E&amp;J</t>
  </si>
  <si>
    <t>$49.83 + E&amp;J</t>
  </si>
  <si>
    <t>1986 / 2013</t>
  </si>
  <si>
    <t>Renovated creative office</t>
  </si>
  <si>
    <t>507 E Calles Street</t>
  </si>
  <si>
    <t>Peter Barlin</t>
  </si>
  <si>
    <t>1800 E 4th Street</t>
  </si>
  <si>
    <t>Office condo portfolio</t>
  </si>
  <si>
    <t>1901 E Cesar Chavez Street</t>
  </si>
  <si>
    <t>Jesus Mendoza-Aguirre</t>
  </si>
  <si>
    <t>WeWork</t>
  </si>
  <si>
    <t>Fully leased to WeWork</t>
  </si>
  <si>
    <t>1201 E Cesar Chavez Street</t>
  </si>
  <si>
    <t>Hartford Properties</t>
  </si>
  <si>
    <t>2815 Manor Road</t>
  </si>
  <si>
    <t>Dorado Capital</t>
  </si>
  <si>
    <t>$12.90 + J</t>
  </si>
  <si>
    <t>$49.90 + J</t>
  </si>
  <si>
    <t>3218 Manor Road</t>
  </si>
  <si>
    <t>Danny Stockton</t>
  </si>
  <si>
    <t>Shady Lane Creative</t>
  </si>
  <si>
    <t>1141 Shady Lane</t>
  </si>
  <si>
    <t>Saxum Real Estate</t>
  </si>
  <si>
    <t>Under Construction</t>
  </si>
  <si>
    <t>1021 E. 7th Street</t>
  </si>
  <si>
    <t>Lyft</t>
  </si>
  <si>
    <t>3423 Holdings</t>
  </si>
  <si>
    <t>979 Springdale (Springdale Station)</t>
  </si>
  <si>
    <t>Zero Cater</t>
  </si>
  <si>
    <t>205 East Riverside Drive</t>
  </si>
  <si>
    <t>Zebra Insurance</t>
  </si>
  <si>
    <t>2400 E Cesar Chavez Asking Rates</t>
  </si>
  <si>
    <t>$41.42 to $45.92</t>
  </si>
  <si>
    <t>East Austin New Developments</t>
  </si>
  <si>
    <t>901 E. 6h Street</t>
  </si>
  <si>
    <t>Pegalo Properties</t>
  </si>
  <si>
    <t>901 E. 5th Street</t>
  </si>
  <si>
    <t>Endeavor/Lionstone</t>
  </si>
  <si>
    <t>1300 E. 5th Street</t>
  </si>
  <si>
    <t>Planned</t>
  </si>
  <si>
    <t>Number</t>
  </si>
  <si>
    <t>5th &amp; Onion</t>
  </si>
  <si>
    <t>1400 E. 5th Street</t>
  </si>
  <si>
    <t>Riverside Resources</t>
  </si>
  <si>
    <t>Foundry</t>
  </si>
  <si>
    <t>1501 E. 4th Street</t>
  </si>
  <si>
    <t>Cielo Realty Partners</t>
  </si>
  <si>
    <t>Foundry II</t>
  </si>
  <si>
    <t>1606 E. 4th Street</t>
  </si>
  <si>
    <t>East 5th &amp; Walker</t>
  </si>
  <si>
    <t>1200 E. 5th Street</t>
  </si>
  <si>
    <t>World Class Property Group</t>
  </si>
  <si>
    <t>Planned Renovation</t>
  </si>
  <si>
    <t>Red Bluff District</t>
  </si>
  <si>
    <t>4711 E. Cesar Chavez</t>
  </si>
  <si>
    <t>Rosa Santis</t>
  </si>
  <si>
    <t>Eastlake @ Tillery</t>
  </si>
  <si>
    <t>Cesar Chavez &amp; Tillery</t>
  </si>
  <si>
    <t>Cypress</t>
  </si>
  <si>
    <t>3232 E. Cesar Chavez</t>
  </si>
  <si>
    <t>Lincoln Property Group</t>
  </si>
  <si>
    <t>618 Tillery Street</t>
  </si>
  <si>
    <t>Out of Order</t>
  </si>
  <si>
    <t>Under Renovation</t>
  </si>
  <si>
    <t>Upcycle</t>
  </si>
  <si>
    <t>2416 E. 6th Street</t>
  </si>
  <si>
    <t>EverWest</t>
  </si>
  <si>
    <t xml:space="preserve">2021 E. 5th Street </t>
  </si>
  <si>
    <t>Endeavor</t>
  </si>
  <si>
    <t>East 6</t>
  </si>
  <si>
    <t>2010 E. 6th Street</t>
  </si>
  <si>
    <t>Butler Family</t>
  </si>
  <si>
    <t xml:space="preserve">979 Springdale </t>
  </si>
  <si>
    <t>1515 E. Cesar Chavez</t>
  </si>
  <si>
    <t>1500 CC, LLC</t>
  </si>
  <si>
    <t>Eightfold FHJ</t>
  </si>
  <si>
    <t>3443 Ed Bluestein Blvd</t>
  </si>
  <si>
    <t>International Development Management LLC</t>
  </si>
  <si>
    <t>Note: 2400 E Cesar Chavez NNN's listed above are with reassessed taxes; In-place NNN's are $7.81 psf</t>
  </si>
  <si>
    <t>Street</t>
  </si>
  <si>
    <t>TX</t>
  </si>
  <si>
    <t>Updated 9.16.19</t>
  </si>
  <si>
    <t>Leveraged Cash Flow (Post-Distribution Holdback)</t>
  </si>
  <si>
    <t>Exit Fee</t>
  </si>
  <si>
    <t>Rental Abatement Credit</t>
  </si>
  <si>
    <t>TI/LC Credit</t>
  </si>
  <si>
    <t>Replacement Reserves</t>
  </si>
  <si>
    <t xml:space="preserve">  Total Capital Expenditures</t>
  </si>
  <si>
    <t>HC</t>
  </si>
  <si>
    <t>TI/LC Force Funding</t>
  </si>
  <si>
    <t>Former auto repair shop repurposed to flex creative office with mezz space. Tenant occupies entire building</t>
  </si>
  <si>
    <t>1976 / 2015</t>
  </si>
  <si>
    <t>0.5 miles east of subject property. Interior improvements are creative. Exterior is very commodity. $13.26 psf advertised operating expenses. 2.3 / 1,000 parking.</t>
  </si>
  <si>
    <t>Retail</t>
  </si>
  <si>
    <t>1948 / 2016</t>
  </si>
  <si>
    <t>Restaurant that leases 1/3 of the building. Property has outdoor seating and surface parking. Property is located 5 blocks to downtown. CoStar lists recent asking rate for other space at the property at $43.50 NNN</t>
  </si>
  <si>
    <t xml:space="preserve">Tea Cafe. Property has surface parking lot. Property is located 5 blocks to downtown. </t>
  </si>
  <si>
    <t xml:space="preserve">Media company. Part of office condo. </t>
  </si>
  <si>
    <t>1987 / 2004</t>
  </si>
  <si>
    <t>Part of 135,000 newly built, 4-story office building with 3.0/1,000 underground parking. $40 psf in Tis</t>
  </si>
  <si>
    <t>Single story office property. Location is closer to downtown than 2400 ECC although 7th street is less desirable than 6th street. Exterior of property is dated. $0 in Tis, 0 months free, 4 year term</t>
  </si>
  <si>
    <t>1975 / 2018</t>
  </si>
  <si>
    <t>Property's location is on the outskirts of East Austin and is inferior to 2400 ECC. Recently renovated with 4.0 / 1,000 parking. Turnkey TI (est. $55.00 psf), 0 months free, 6.5 year term. Current asking rents at the property are now $33.00 to $36.00 NNN.</t>
  </si>
  <si>
    <t>Part of 135,000 newly built, 4-story office building with 3.0/1,000 underground parking. $50 psf in Tis, 0 months free, 8 year term</t>
  </si>
  <si>
    <t>Property was completely renovated in 2018 and then fully leased to HEB/Favor</t>
  </si>
  <si>
    <t>CapEx Force Funding</t>
  </si>
  <si>
    <t>Balance with Force Funding</t>
  </si>
  <si>
    <t>Current</t>
  </si>
  <si>
    <t>Updated 10.23.19</t>
  </si>
  <si>
    <t>Servicing Fee</t>
  </si>
  <si>
    <t>Updated 11.27.19</t>
  </si>
  <si>
    <t>Year 1 Debt Service</t>
  </si>
  <si>
    <t>Year 4 Debt Service</t>
  </si>
  <si>
    <t>DSCR Cash Management Test (Yr 1 NOI) (1.15x Requirement)</t>
  </si>
  <si>
    <t>DSCR Test (Extension) (1.35x Requirement)</t>
  </si>
  <si>
    <t>Extension Term</t>
  </si>
  <si>
    <t>Extension (Req. 8.0%)</t>
  </si>
  <si>
    <t>Updated 12.16.19</t>
  </si>
  <si>
    <t>Debit</t>
  </si>
  <si>
    <t>Credit</t>
  </si>
  <si>
    <t>Utilities</t>
  </si>
  <si>
    <t>Insurance</t>
  </si>
  <si>
    <t>Management Fee</t>
  </si>
  <si>
    <t>Real Estate Taxes</t>
  </si>
  <si>
    <t>Actuals</t>
  </si>
  <si>
    <t>Proforma</t>
  </si>
  <si>
    <t>SET DATE</t>
  </si>
  <si>
    <t>NET INCOME (LOSS)</t>
  </si>
  <si>
    <t>89999-999</t>
  </si>
  <si>
    <t>TOTAL NON-OP INCOME (LOSS)</t>
  </si>
  <si>
    <t>89999-990</t>
  </si>
  <si>
    <t>TOTAL NON-OPERATING EXPENSES</t>
  </si>
  <si>
    <t>83519-999</t>
  </si>
  <si>
    <t xml:space="preserve">  Total Unrealized Gain (Loss)</t>
  </si>
  <si>
    <t>82539-999</t>
  </si>
  <si>
    <t xml:space="preserve">    Total Unrealized Gain (Loss)-Property</t>
  </si>
  <si>
    <t>82529-999</t>
  </si>
  <si>
    <t xml:space="preserve">      Unrlzd Gain (Loss)-Operating Property</t>
  </si>
  <si>
    <t>82524-000</t>
  </si>
  <si>
    <t xml:space="preserve">    Unrealized Gain (Loss)-Property</t>
  </si>
  <si>
    <t>82520-000</t>
  </si>
  <si>
    <t xml:space="preserve">  Total Hedging Instruments</t>
  </si>
  <si>
    <t>81909-999</t>
  </si>
  <si>
    <t xml:space="preserve">    Total Hedging Instruments</t>
  </si>
  <si>
    <t>81909-900</t>
  </si>
  <si>
    <t xml:space="preserve">      Rate Cap Valuation/Amort</t>
  </si>
  <si>
    <t>81901-000</t>
  </si>
  <si>
    <t xml:space="preserve">    Hedging Instruments</t>
  </si>
  <si>
    <t>81900-100</t>
  </si>
  <si>
    <t xml:space="preserve">  Hedging Instruments</t>
  </si>
  <si>
    <t>81900-000</t>
  </si>
  <si>
    <t xml:space="preserve">  Total Interest Exp &amp; Fin Fees</t>
  </si>
  <si>
    <t>81599-999</t>
  </si>
  <si>
    <t xml:space="preserve">    Total Loan Fee Amortization</t>
  </si>
  <si>
    <t>81539-999</t>
  </si>
  <si>
    <t xml:space="preserve">      Loan Fee Amort-N/P-Promissory</t>
  </si>
  <si>
    <t>81531-000</t>
  </si>
  <si>
    <t xml:space="preserve">    Loan Fee Amortization</t>
  </si>
  <si>
    <t>81530-000</t>
  </si>
  <si>
    <t xml:space="preserve">    Total Interest Exp-N/P &amp; LOC</t>
  </si>
  <si>
    <t>81519-999</t>
  </si>
  <si>
    <t xml:space="preserve">      Int Exp-N/P-Promissory</t>
  </si>
  <si>
    <t>81511-000</t>
  </si>
  <si>
    <t xml:space="preserve">    Interest Expense-N/P &amp; LOC</t>
  </si>
  <si>
    <t>81510-000</t>
  </si>
  <si>
    <t xml:space="preserve">  Interest Expense &amp; Finan Fees</t>
  </si>
  <si>
    <t>81501-000</t>
  </si>
  <si>
    <t>NON-OPERATING EXPENSES</t>
  </si>
  <si>
    <t>81500-100</t>
  </si>
  <si>
    <t>NON-OPERATING INCOME (LOSS)</t>
  </si>
  <si>
    <t>80000-000</t>
  </si>
  <si>
    <t>NET OPERATING INCOME (LOSS)</t>
  </si>
  <si>
    <t>79999-999</t>
  </si>
  <si>
    <t>TOTAL OPERATING EXPENSES</t>
  </si>
  <si>
    <t>79999-998</t>
  </si>
  <si>
    <t xml:space="preserve">    Professional Service Expense</t>
  </si>
  <si>
    <t xml:space="preserve">    Administrative Expense</t>
  </si>
  <si>
    <t xml:space="preserve">  Total Cost of RE Operations</t>
  </si>
  <si>
    <t>59599-999</t>
  </si>
  <si>
    <t xml:space="preserve">    Non-Capitalized Expenditure</t>
  </si>
  <si>
    <t>59000-000</t>
  </si>
  <si>
    <t xml:space="preserve">    Total Professional Service Exp</t>
  </si>
  <si>
    <t>57099-999</t>
  </si>
  <si>
    <t xml:space="preserve">      Total Other Professional Fees</t>
  </si>
  <si>
    <t>57039-999</t>
  </si>
  <si>
    <t xml:space="preserve">        Third-Party Consultant</t>
  </si>
  <si>
    <t>57031-000</t>
  </si>
  <si>
    <t xml:space="preserve">      Other Professional Fees</t>
  </si>
  <si>
    <t>57030-000</t>
  </si>
  <si>
    <t>57000-000</t>
  </si>
  <si>
    <t xml:space="preserve">    Total Administrative Expense</t>
  </si>
  <si>
    <t>55099-999</t>
  </si>
  <si>
    <t xml:space="preserve">      Total Prop Mgmt Administrative</t>
  </si>
  <si>
    <t>55029-999</t>
  </si>
  <si>
    <t xml:space="preserve">        Bank Fees</t>
  </si>
  <si>
    <t>55024-000</t>
  </si>
  <si>
    <t xml:space="preserve">        Postage &amp; Delivery</t>
  </si>
  <si>
    <t>55023-000</t>
  </si>
  <si>
    <t xml:space="preserve">        Office Supplies</t>
  </si>
  <si>
    <t>55022-000</t>
  </si>
  <si>
    <t xml:space="preserve">      Prop Mgmt Administrative</t>
  </si>
  <si>
    <t>55020-000</t>
  </si>
  <si>
    <t>55000-000</t>
  </si>
  <si>
    <t xml:space="preserve">    Total Property Management Exp</t>
  </si>
  <si>
    <t>54099-999</t>
  </si>
  <si>
    <t xml:space="preserve">      Total Prop Mgmt Fees</t>
  </si>
  <si>
    <t>54029-999</t>
  </si>
  <si>
    <t xml:space="preserve">        Prop Mgmt Fees</t>
  </si>
  <si>
    <t>54021-000</t>
  </si>
  <si>
    <t xml:space="preserve">      Prop Mgmt Fees</t>
  </si>
  <si>
    <t>54020-000</t>
  </si>
  <si>
    <t xml:space="preserve">      Total Prop Mgmt Salaries/Wages</t>
  </si>
  <si>
    <t>54019-999</t>
  </si>
  <si>
    <t xml:space="preserve">        Prop Mgmt Other Costs</t>
  </si>
  <si>
    <t>54012-000</t>
  </si>
  <si>
    <t xml:space="preserve">        Prop Mgmt Salaries/Wages</t>
  </si>
  <si>
    <t>54011-000</t>
  </si>
  <si>
    <t xml:space="preserve">      Prop Mgmt Salaries/Wages</t>
  </si>
  <si>
    <t>54010-000</t>
  </si>
  <si>
    <t xml:space="preserve">    Property Management Expense</t>
  </si>
  <si>
    <t>54000-000</t>
  </si>
  <si>
    <t xml:space="preserve">    Total Property Insurance Exp</t>
  </si>
  <si>
    <t>53099-999</t>
  </si>
  <si>
    <t xml:space="preserve">      Total Property Insurance</t>
  </si>
  <si>
    <t>53039-999</t>
  </si>
  <si>
    <t xml:space="preserve">        Property Insurance</t>
  </si>
  <si>
    <t>53031-000</t>
  </si>
  <si>
    <t xml:space="preserve">      Property Insurance</t>
  </si>
  <si>
    <t>53030-001</t>
  </si>
  <si>
    <t xml:space="preserve">    Property Insurance Expense</t>
  </si>
  <si>
    <t>53030-000</t>
  </si>
  <si>
    <t xml:space="preserve">    Total Property Tax Expense</t>
  </si>
  <si>
    <t>53029-999</t>
  </si>
  <si>
    <t xml:space="preserve">      Total Business Tax &amp; License</t>
  </si>
  <si>
    <t>53029-900</t>
  </si>
  <si>
    <t xml:space="preserve">        State Franchise Tax</t>
  </si>
  <si>
    <t>53021-000</t>
  </si>
  <si>
    <t xml:space="preserve">      Business Tax &amp; License</t>
  </si>
  <si>
    <t>53020-000</t>
  </si>
  <si>
    <t xml:space="preserve">      Total Property Tax</t>
  </si>
  <si>
    <t>53019-999</t>
  </si>
  <si>
    <t xml:space="preserve">        Property Tax</t>
  </si>
  <si>
    <t>53011-000</t>
  </si>
  <si>
    <t xml:space="preserve">      Property Tax</t>
  </si>
  <si>
    <t>53010-000</t>
  </si>
  <si>
    <t xml:space="preserve">    Property Tax Expense</t>
  </si>
  <si>
    <t>53000-000</t>
  </si>
  <si>
    <t xml:space="preserve">    Total Utilities Expense</t>
  </si>
  <si>
    <t>52099-999</t>
  </si>
  <si>
    <t xml:space="preserve">      Total Utilities</t>
  </si>
  <si>
    <t>52019-999</t>
  </si>
  <si>
    <t xml:space="preserve">        Utilities-Water &amp; Sewer</t>
  </si>
  <si>
    <t>52016-000</t>
  </si>
  <si>
    <t xml:space="preserve">        Utilities-Trash</t>
  </si>
  <si>
    <t>52013-000</t>
  </si>
  <si>
    <t xml:space="preserve">        Utilities-Electric</t>
  </si>
  <si>
    <t>52011-000</t>
  </si>
  <si>
    <t xml:space="preserve">      Utilities</t>
  </si>
  <si>
    <t>52010-000</t>
  </si>
  <si>
    <t xml:space="preserve">    Utilities Expense</t>
  </si>
  <si>
    <t>52000-000</t>
  </si>
  <si>
    <t xml:space="preserve">    Total Repair &amp; Maintenance Exp</t>
  </si>
  <si>
    <t>51099-999</t>
  </si>
  <si>
    <t xml:space="preserve">      Total R&amp;M-Janitorial</t>
  </si>
  <si>
    <t>51059-999</t>
  </si>
  <si>
    <t xml:space="preserve">        R&amp;M-Pest Control</t>
  </si>
  <si>
    <t>51058-000</t>
  </si>
  <si>
    <t xml:space="preserve">        R&amp;M-Janitorial</t>
  </si>
  <si>
    <t>51051-000</t>
  </si>
  <si>
    <t xml:space="preserve">      R&amp;M-Janitorial</t>
  </si>
  <si>
    <t>51050-000</t>
  </si>
  <si>
    <t xml:space="preserve">      Total R&amp;M-Parking Lot</t>
  </si>
  <si>
    <t>51049-999</t>
  </si>
  <si>
    <t xml:space="preserve">        R&amp;M-Parking Mgmt and Maint</t>
  </si>
  <si>
    <t>51046-000</t>
  </si>
  <si>
    <t xml:space="preserve">      R&amp;M-Parking Lot</t>
  </si>
  <si>
    <t>51040-000</t>
  </si>
  <si>
    <t xml:space="preserve">      Total R&amp;M-Landscape</t>
  </si>
  <si>
    <t>51039-999</t>
  </si>
  <si>
    <t xml:space="preserve">        R&amp;M-Landscape Contract</t>
  </si>
  <si>
    <t>51031-500</t>
  </si>
  <si>
    <t xml:space="preserve">      R&amp;M-Landscape</t>
  </si>
  <si>
    <t>51030-000</t>
  </si>
  <si>
    <t xml:space="preserve">      Total R&amp;M-Machinery</t>
  </si>
  <si>
    <t>51029-999</t>
  </si>
  <si>
    <t xml:space="preserve">        R&amp;M-Security &amp; Alarm</t>
  </si>
  <si>
    <t>51025-000</t>
  </si>
  <si>
    <t xml:space="preserve">        R&amp;M-HVAC</t>
  </si>
  <si>
    <t>51022-000</t>
  </si>
  <si>
    <t xml:space="preserve">        R&amp;M-Elec Supplies/Installation</t>
  </si>
  <si>
    <t>51021-000</t>
  </si>
  <si>
    <t xml:space="preserve">      R&amp;M-Machinery</t>
  </si>
  <si>
    <t>51020-000</t>
  </si>
  <si>
    <t xml:space="preserve">      Total R&amp;M-Building</t>
  </si>
  <si>
    <t>51019-999</t>
  </si>
  <si>
    <t xml:space="preserve">        R&amp;M-Exterior</t>
  </si>
  <si>
    <t>51016-500</t>
  </si>
  <si>
    <t xml:space="preserve">        R&amp;M-Plumbing</t>
  </si>
  <si>
    <t>51015-000</t>
  </si>
  <si>
    <t xml:space="preserve">      R&amp;M-Building</t>
  </si>
  <si>
    <t>51010-000</t>
  </si>
  <si>
    <t xml:space="preserve">    Repair &amp; Maintenance Expense</t>
  </si>
  <si>
    <t>51000-000</t>
  </si>
  <si>
    <t xml:space="preserve">  Cost of Real Estate Operations</t>
  </si>
  <si>
    <t>50001-000</t>
  </si>
  <si>
    <t>OPERATING EXPENSES</t>
  </si>
  <si>
    <t>50000-000</t>
  </si>
  <si>
    <t>TOTAL OPERATING REVENUE</t>
  </si>
  <si>
    <t>49999-999</t>
  </si>
  <si>
    <t xml:space="preserve">  Total Tenant Recovery Revenue</t>
  </si>
  <si>
    <t>41999-999</t>
  </si>
  <si>
    <t xml:space="preserve">    Total T/R-Common Area Maint</t>
  </si>
  <si>
    <t>41019-999</t>
  </si>
  <si>
    <t xml:space="preserve">      T/R-Common Area Maintenance</t>
  </si>
  <si>
    <t>41011-000</t>
  </si>
  <si>
    <t xml:space="preserve">    T/R-Common Area Maintenance</t>
  </si>
  <si>
    <t>41010-000</t>
  </si>
  <si>
    <t xml:space="preserve">  Tenant Recovery Revenue</t>
  </si>
  <si>
    <t>41000-000</t>
  </si>
  <si>
    <t xml:space="preserve">  Total Rent Revenue</t>
  </si>
  <si>
    <t>40999-999</t>
  </si>
  <si>
    <t xml:space="preserve">    Total Base Rent</t>
  </si>
  <si>
    <t>40909-999</t>
  </si>
  <si>
    <t xml:space="preserve">      Rent-Base</t>
  </si>
  <si>
    <t>40011-000</t>
  </si>
  <si>
    <t xml:space="preserve">    Base Rent</t>
  </si>
  <si>
    <t>40010-000</t>
  </si>
  <si>
    <t xml:space="preserve">  Rent Revenue</t>
  </si>
  <si>
    <t>40001-000</t>
  </si>
  <si>
    <t>OPERATING REVENUE</t>
  </si>
  <si>
    <t>40000-100</t>
  </si>
  <si>
    <t>40000-010</t>
  </si>
  <si>
    <t>INCOME (LOSS) STATEMENT</t>
  </si>
  <si>
    <t>40000-000</t>
  </si>
  <si>
    <t>Statement (12 months)</t>
  </si>
  <si>
    <t>Historicals</t>
  </si>
  <si>
    <t>Prepaid Interest</t>
  </si>
  <si>
    <t>51012-500</t>
  </si>
  <si>
    <t xml:space="preserve">        R&amp;M-Doors &amp; Windows</t>
  </si>
  <si>
    <t>51013-000</t>
  </si>
  <si>
    <t xml:space="preserve">        R&amp;M-Roof</t>
  </si>
  <si>
    <t>51014-000</t>
  </si>
  <si>
    <t xml:space="preserve">        R&amp;M-Painting</t>
  </si>
  <si>
    <t>51018-000</t>
  </si>
  <si>
    <t xml:space="preserve">        R&amp;M-Locks &amp; Keys</t>
  </si>
  <si>
    <t>51059-000</t>
  </si>
  <si>
    <t xml:space="preserve">        R&amp;M-Cleaning Supplies</t>
  </si>
  <si>
    <t>56020-000</t>
  </si>
  <si>
    <t xml:space="preserve">      Advertising &amp; Marketing</t>
  </si>
  <si>
    <t>56021-000</t>
  </si>
  <si>
    <t xml:space="preserve">        Advertising</t>
  </si>
  <si>
    <t>56029-999</t>
  </si>
  <si>
    <t xml:space="preserve">      Total Advertising &amp; Marketing</t>
  </si>
  <si>
    <t>56099-999</t>
  </si>
  <si>
    <t xml:space="preserve">    Total Lease &amp; Marketing Exp</t>
  </si>
  <si>
    <t>59010-000</t>
  </si>
  <si>
    <t xml:space="preserve">      NCAP-Building</t>
  </si>
  <si>
    <t>59019-999</t>
  </si>
  <si>
    <t xml:space="preserve">      Total NCAP-Building</t>
  </si>
  <si>
    <t>59099-999</t>
  </si>
  <si>
    <t xml:space="preserve">    Total Non-Cap Expenditure</t>
  </si>
  <si>
    <t>Updated 1.6.20</t>
  </si>
  <si>
    <t>Updated 2.5.20</t>
  </si>
  <si>
    <t>Updated 3.2.20</t>
  </si>
  <si>
    <t>Updated 4.13.20</t>
  </si>
  <si>
    <t>Updated 5.4.20</t>
  </si>
  <si>
    <t>Updated 6.1.20</t>
  </si>
  <si>
    <t>Updated 7.6.20</t>
  </si>
  <si>
    <t>Updated 8.3.20</t>
  </si>
  <si>
    <t>Updated 9.8.20</t>
  </si>
  <si>
    <t>Updated 10.5.20</t>
  </si>
  <si>
    <t>Updated 11.15.20</t>
  </si>
  <si>
    <t>Soft Costs</t>
  </si>
  <si>
    <t>Free Cash Flow Hold Back</t>
  </si>
  <si>
    <t>Holdback</t>
  </si>
  <si>
    <t>Fixed Rate</t>
  </si>
  <si>
    <t>Capital Calls</t>
  </si>
  <si>
    <t>Beginning Cash Balances (excluding Security Deposits)</t>
  </si>
  <si>
    <t>Cash In/(Out)</t>
  </si>
  <si>
    <t>Ending Cash Balance</t>
  </si>
  <si>
    <t>Year 0</t>
  </si>
  <si>
    <t>(-) Free Cash Flow Holdback</t>
  </si>
  <si>
    <t>(+) Shortfall Paid with Cash on Hand</t>
  </si>
  <si>
    <t>Forward NOI (add back free rent)</t>
  </si>
  <si>
    <t>(+) Capital Calls</t>
  </si>
  <si>
    <t>Interest Reserve</t>
  </si>
  <si>
    <r>
      <t xml:space="preserve">Capitalized Interest </t>
    </r>
    <r>
      <rPr>
        <b/>
        <sz val="10"/>
        <color theme="1"/>
        <rFont val="Calibri"/>
        <family val="2"/>
        <scheme val="minor"/>
      </rPr>
      <t>(no Capitalized Interest - all debt service paid with cash on hand)</t>
    </r>
  </si>
  <si>
    <t>CapEx</t>
  </si>
  <si>
    <t>General &amp; Administrative</t>
  </si>
  <si>
    <t>Contract Services</t>
  </si>
  <si>
    <t xml:space="preserve"> General &amp; Administrative</t>
  </si>
  <si>
    <t xml:space="preserve"> Common Area Maintenance</t>
  </si>
  <si>
    <t>Total Other Revenue</t>
  </si>
  <si>
    <t>55040-000</t>
  </si>
  <si>
    <t xml:space="preserve">      Bad Debt</t>
  </si>
  <si>
    <t>55041-000</t>
  </si>
  <si>
    <t xml:space="preserve">        Bad Debt Expense</t>
  </si>
  <si>
    <t>55049-999</t>
  </si>
  <si>
    <t xml:space="preserve">      Total Bad Debt</t>
  </si>
  <si>
    <t>Oct-2020</t>
  </si>
  <si>
    <t>Nov-2020</t>
  </si>
  <si>
    <t>Dec-2020</t>
  </si>
  <si>
    <t>Jan-2021</t>
  </si>
  <si>
    <t>Mar-2021</t>
  </si>
  <si>
    <t>May-2021</t>
  </si>
  <si>
    <t>Jun-2021</t>
  </si>
  <si>
    <t>Aug-2021</t>
  </si>
  <si>
    <t>Oct-2021</t>
  </si>
  <si>
    <t>Jan-2022</t>
  </si>
  <si>
    <t>Mar-2022</t>
  </si>
  <si>
    <t>May-2022</t>
  </si>
  <si>
    <t>Jun-2022</t>
  </si>
  <si>
    <t>Aug-2022</t>
  </si>
  <si>
    <t>Oct-2022</t>
  </si>
  <si>
    <t>Nov-2022</t>
  </si>
  <si>
    <t>Dec-2022</t>
  </si>
  <si>
    <t>Jan-2023</t>
  </si>
  <si>
    <t>Feb-2023</t>
  </si>
  <si>
    <t>Mar-2023</t>
  </si>
  <si>
    <t>Apr-2023</t>
  </si>
  <si>
    <t>May-2023</t>
  </si>
  <si>
    <t>Jun-2023</t>
  </si>
  <si>
    <t>Jul-2023</t>
  </si>
  <si>
    <t>Aug-2023</t>
  </si>
  <si>
    <t>Sep-2023</t>
  </si>
  <si>
    <t>Oct-2023</t>
  </si>
  <si>
    <t>Nov-2023</t>
  </si>
  <si>
    <t>Dec-2023</t>
  </si>
  <si>
    <t>Jan-2024</t>
  </si>
  <si>
    <t>Feb-2024</t>
  </si>
  <si>
    <t>Mar-2024</t>
  </si>
  <si>
    <t>Apr-2024</t>
  </si>
  <si>
    <t>May-2024</t>
  </si>
  <si>
    <t>Jun-2024</t>
  </si>
  <si>
    <t>Jul-2024</t>
  </si>
  <si>
    <t>Aug-2024</t>
  </si>
  <si>
    <t>Sep-2024</t>
  </si>
  <si>
    <t>Oct-2024</t>
  </si>
  <si>
    <t>Nov-2024</t>
  </si>
  <si>
    <t>Dec-2024</t>
  </si>
  <si>
    <t>Jan-2025</t>
  </si>
  <si>
    <t>Feb-2025</t>
  </si>
  <si>
    <t>Mar-2025</t>
  </si>
  <si>
    <t>Apr-2025</t>
  </si>
  <si>
    <t>May-2025</t>
  </si>
  <si>
    <t>Jun-2025</t>
  </si>
  <si>
    <t>Jul-2025</t>
  </si>
  <si>
    <t>Aug-2025</t>
  </si>
  <si>
    <t>Sep-2025</t>
  </si>
  <si>
    <t>Oct-2025</t>
  </si>
  <si>
    <t>Nov-2025</t>
  </si>
  <si>
    <t>Dec-2025</t>
  </si>
  <si>
    <t>Jan-2026</t>
  </si>
  <si>
    <t>Feb-2026</t>
  </si>
  <si>
    <t>Mar-2026</t>
  </si>
  <si>
    <t>Apr-2026</t>
  </si>
  <si>
    <t>May-2026</t>
  </si>
  <si>
    <t>Jun-2026</t>
  </si>
  <si>
    <t>Jul-2026</t>
  </si>
  <si>
    <t>Aug-2026</t>
  </si>
  <si>
    <t>Sep-2026</t>
  </si>
  <si>
    <t>Oct-2026</t>
  </si>
  <si>
    <t>Nov-2026</t>
  </si>
  <si>
    <t>Dec-2026</t>
  </si>
  <si>
    <t>Jan-2027</t>
  </si>
  <si>
    <t>Feb-2027</t>
  </si>
  <si>
    <t>Mar-2027</t>
  </si>
  <si>
    <t>Apr-2027</t>
  </si>
  <si>
    <t>May-2027</t>
  </si>
  <si>
    <t>Jun-2027</t>
  </si>
  <si>
    <t>Jul-2027</t>
  </si>
  <si>
    <t>Aug-2027</t>
  </si>
  <si>
    <t>Sep-2027</t>
  </si>
  <si>
    <t>Oct-2027</t>
  </si>
  <si>
    <t>Nov-2027</t>
  </si>
  <si>
    <t>Dec-2027</t>
  </si>
  <si>
    <t>Jan-2028</t>
  </si>
  <si>
    <t>Feb-2028</t>
  </si>
  <si>
    <t>Mar-2028</t>
  </si>
  <si>
    <t>Apr-2028</t>
  </si>
  <si>
    <t>May-2028</t>
  </si>
  <si>
    <t>Jun-2028</t>
  </si>
  <si>
    <t>Jul-2028</t>
  </si>
  <si>
    <t>Aug-2028</t>
  </si>
  <si>
    <t>Sep-2028</t>
  </si>
  <si>
    <t>Oct-2028</t>
  </si>
  <si>
    <t>Nov-2028</t>
  </si>
  <si>
    <t>Dec-2028</t>
  </si>
  <si>
    <t>Jan-2029</t>
  </si>
  <si>
    <t>Feb-2029</t>
  </si>
  <si>
    <t>Mar-2029</t>
  </si>
  <si>
    <t>Apr-2029</t>
  </si>
  <si>
    <t>May-2029</t>
  </si>
  <si>
    <t>Jun-2029</t>
  </si>
  <si>
    <t>Jul-2029</t>
  </si>
  <si>
    <t>Aug-2029</t>
  </si>
  <si>
    <t>Sep-2029</t>
  </si>
  <si>
    <t>Oct-2029</t>
  </si>
  <si>
    <t>Nov-2029</t>
  </si>
  <si>
    <t>Dec-2029</t>
  </si>
  <si>
    <t>Jan-2030</t>
  </si>
  <si>
    <t>Feb-2030</t>
  </si>
  <si>
    <t>Mar-2030</t>
  </si>
  <si>
    <t>Apr-2030</t>
  </si>
  <si>
    <t>May-2030</t>
  </si>
  <si>
    <t>Jun-2030</t>
  </si>
  <si>
    <t>Jul-2030</t>
  </si>
  <si>
    <t>Aug-2030</t>
  </si>
  <si>
    <t>Sep-2030</t>
  </si>
  <si>
    <t>Oct-2030</t>
  </si>
  <si>
    <t>Nov-2030</t>
  </si>
  <si>
    <t>Dec-2030</t>
  </si>
  <si>
    <t>Jan-2031</t>
  </si>
  <si>
    <t>Feb-2031</t>
  </si>
  <si>
    <t>Mar-2031</t>
  </si>
  <si>
    <t>Apr-2031</t>
  </si>
  <si>
    <t>May-2031</t>
  </si>
  <si>
    <t>Jun-2031</t>
  </si>
  <si>
    <t>Jul-2031</t>
  </si>
  <si>
    <t>Aug-2031</t>
  </si>
  <si>
    <t>Sep-2031</t>
  </si>
  <si>
    <t xml:space="preserve">  Event/Kiosk Income</t>
  </si>
  <si>
    <t xml:space="preserve">  Parking Revenue</t>
  </si>
  <si>
    <t xml:space="preserve">  Management Fee</t>
  </si>
  <si>
    <t xml:space="preserve">  Noble Accounting Fee</t>
  </si>
  <si>
    <t>Parking Revenue</t>
  </si>
  <si>
    <t>Noble Fee</t>
  </si>
  <si>
    <t>Noble</t>
  </si>
  <si>
    <t>Hard Costs</t>
  </si>
  <si>
    <t>Soft</t>
  </si>
  <si>
    <t>Patio</t>
  </si>
  <si>
    <t>Chapman Plaza</t>
  </si>
  <si>
    <t>Working Capital &amp; Reserves</t>
  </si>
  <si>
    <t xml:space="preserve">    Total Unrlzd Gain (Loss)-Nonco Partnr Invest</t>
  </si>
  <si>
    <t>82539-900</t>
  </si>
  <si>
    <t xml:space="preserve">      Unrlzd Gain (Loss)-Nonco Partner Invest</t>
  </si>
  <si>
    <t>82531-000</t>
  </si>
  <si>
    <t xml:space="preserve">    Unrlzd Gain (Loss)-Nonco Partnr Invest</t>
  </si>
  <si>
    <t>82530-000</t>
  </si>
  <si>
    <t xml:space="preserve">      Unrealized Gain (Loss)-Fixed Assets</t>
  </si>
  <si>
    <t>82525-000</t>
  </si>
  <si>
    <t xml:space="preserve">      Rate Swap Valuation</t>
  </si>
  <si>
    <t>81902-000</t>
  </si>
  <si>
    <t xml:space="preserve">    Total Financing Fee Expense</t>
  </si>
  <si>
    <t>81549-999</t>
  </si>
  <si>
    <t xml:space="preserve">      Commitment Fee</t>
  </si>
  <si>
    <t>81542-000</t>
  </si>
  <si>
    <t xml:space="preserve">    Financing Fee Expense</t>
  </si>
  <si>
    <t>81540-000</t>
  </si>
  <si>
    <t>LoanFee</t>
  </si>
  <si>
    <t>Int</t>
  </si>
  <si>
    <t>TOTAL NON-OPERATING REVENUE</t>
  </si>
  <si>
    <t>81019-999</t>
  </si>
  <si>
    <t xml:space="preserve">  Total Interest Income</t>
  </si>
  <si>
    <t>80039-999</t>
  </si>
  <si>
    <t xml:space="preserve">    Total Interest Inc-Checking&amp;MM</t>
  </si>
  <si>
    <t>80019-999</t>
  </si>
  <si>
    <t xml:space="preserve">      Int Inc-Checking &amp; MM</t>
  </si>
  <si>
    <t>80011-000</t>
  </si>
  <si>
    <t xml:space="preserve">    Interest Income-Checking &amp; MM</t>
  </si>
  <si>
    <t>80010-000</t>
  </si>
  <si>
    <t xml:space="preserve">  Interest Income</t>
  </si>
  <si>
    <t>80001-000</t>
  </si>
  <si>
    <t>NON-OPERATING REVENUE</t>
  </si>
  <si>
    <t>80000-100</t>
  </si>
  <si>
    <t>CAM</t>
  </si>
  <si>
    <t xml:space="preserve">    Total Direct Billable Expense</t>
  </si>
  <si>
    <t>59599-900</t>
  </si>
  <si>
    <t xml:space="preserve">      Total Direct Billable-Prof Svc</t>
  </si>
  <si>
    <t>59579-999</t>
  </si>
  <si>
    <t xml:space="preserve">        Direct Bill-Litigation&amp;Dispute</t>
  </si>
  <si>
    <t>59570-120</t>
  </si>
  <si>
    <t xml:space="preserve">      Direct Billable-Prof Service</t>
  </si>
  <si>
    <t>59570-000</t>
  </si>
  <si>
    <t xml:space="preserve">      Total Direct Billable-R&amp;M</t>
  </si>
  <si>
    <t>59519-999</t>
  </si>
  <si>
    <t xml:space="preserve">        Direct Bill-Janitorial</t>
  </si>
  <si>
    <t>59510-510</t>
  </si>
  <si>
    <t xml:space="preserve">        Direct Bill-HVAC</t>
  </si>
  <si>
    <t>59510-220</t>
  </si>
  <si>
    <t xml:space="preserve">        Direct Bill-Elec Suppl/Install</t>
  </si>
  <si>
    <t>59510-210</t>
  </si>
  <si>
    <t xml:space="preserve">        Direct Bill-Tools &amp; Supplies</t>
  </si>
  <si>
    <t>59510-190</t>
  </si>
  <si>
    <t xml:space="preserve">        Direct Bill-Locks &amp; Keys</t>
  </si>
  <si>
    <t>59510-180</t>
  </si>
  <si>
    <t xml:space="preserve">        Direct Bill-Signage</t>
  </si>
  <si>
    <t>59510-170</t>
  </si>
  <si>
    <t xml:space="preserve">        Direct Bill-Plumbing</t>
  </si>
  <si>
    <t>59510-150</t>
  </si>
  <si>
    <t xml:space="preserve">      Direct Billable-R&amp;M</t>
  </si>
  <si>
    <t>59510-000</t>
  </si>
  <si>
    <t xml:space="preserve">    Direct Billable Expense</t>
  </si>
  <si>
    <t>59500-000</t>
  </si>
  <si>
    <t xml:space="preserve">      Total NCAP-Construct Mgmt Fee</t>
  </si>
  <si>
    <t>59069-999</t>
  </si>
  <si>
    <t xml:space="preserve">        NCAP-Construction Mgmt Fee</t>
  </si>
  <si>
    <t>59061-000</t>
  </si>
  <si>
    <t xml:space="preserve">      NCAP-Construction Mgmt Fee</t>
  </si>
  <si>
    <t>59060-000</t>
  </si>
  <si>
    <t xml:space="preserve">      Total NCAP-Machinery</t>
  </si>
  <si>
    <t>59029-999</t>
  </si>
  <si>
    <t xml:space="preserve">        NCAP-Elec Supplies/Installation</t>
  </si>
  <si>
    <t>59021-000</t>
  </si>
  <si>
    <t xml:space="preserve">      NCAP-Machinery</t>
  </si>
  <si>
    <t>59020-000</t>
  </si>
  <si>
    <t xml:space="preserve">        NCAP-Architectural</t>
  </si>
  <si>
    <t>59013-000</t>
  </si>
  <si>
    <t xml:space="preserve">    Total Lessee Expense</t>
  </si>
  <si>
    <t>58099-999</t>
  </si>
  <si>
    <t>G&amp;A</t>
  </si>
  <si>
    <t xml:space="preserve">      Total Lessee Rent</t>
  </si>
  <si>
    <t>58019-999</t>
  </si>
  <si>
    <t xml:space="preserve">        Lessee Rent</t>
  </si>
  <si>
    <t>58011-000</t>
  </si>
  <si>
    <t xml:space="preserve">      Lessee Rent</t>
  </si>
  <si>
    <t>58010-000</t>
  </si>
  <si>
    <t xml:space="preserve">    Lessee Expense</t>
  </si>
  <si>
    <t>58000-000</t>
  </si>
  <si>
    <t xml:space="preserve">      Total Audit &amp; Tax Fees</t>
  </si>
  <si>
    <t>57029-999</t>
  </si>
  <si>
    <t xml:space="preserve">        Bookkeeping Fees</t>
  </si>
  <si>
    <t>57024-000</t>
  </si>
  <si>
    <t xml:space="preserve">        Tax Consulting Fee</t>
  </si>
  <si>
    <t>57023-000</t>
  </si>
  <si>
    <t xml:space="preserve">        Tax Compliance Fee</t>
  </si>
  <si>
    <t>57022-000</t>
  </si>
  <si>
    <t xml:space="preserve">      Audit &amp; Tax Fees</t>
  </si>
  <si>
    <t>57020-000</t>
  </si>
  <si>
    <t xml:space="preserve">      Total Legal Fees</t>
  </si>
  <si>
    <t>57019-999</t>
  </si>
  <si>
    <t xml:space="preserve">        Legal-Agreement/Contract Review</t>
  </si>
  <si>
    <t>57019-000</t>
  </si>
  <si>
    <t xml:space="preserve">        Legal-Land Planning/Zoning</t>
  </si>
  <si>
    <t>57018-000</t>
  </si>
  <si>
    <t xml:space="preserve">        Legal-Litigation/Dispute</t>
  </si>
  <si>
    <t>57017-000</t>
  </si>
  <si>
    <t xml:space="preserve">        Legal-Easement/Right of Way</t>
  </si>
  <si>
    <t>57015-000</t>
  </si>
  <si>
    <t xml:space="preserve">        Legal-CC&amp;R/Owner Association</t>
  </si>
  <si>
    <t>57013-000</t>
  </si>
  <si>
    <t xml:space="preserve">        Legal-Entity Formation</t>
  </si>
  <si>
    <t>57011-000</t>
  </si>
  <si>
    <t xml:space="preserve">      Legal Fees</t>
  </si>
  <si>
    <t>57010-000</t>
  </si>
  <si>
    <t xml:space="preserve">        Promotional</t>
  </si>
  <si>
    <t>56022-000</t>
  </si>
  <si>
    <t xml:space="preserve">      Total Prop Mgmt Travel &amp; Meals</t>
  </si>
  <si>
    <t>55039-999</t>
  </si>
  <si>
    <t xml:space="preserve">        Travel Meals</t>
  </si>
  <si>
    <t>55034-000</t>
  </si>
  <si>
    <t xml:space="preserve">        Ground Transportation</t>
  </si>
  <si>
    <t>55031-000</t>
  </si>
  <si>
    <t xml:space="preserve">      Prop Mgmt Travel &amp; Meals</t>
  </si>
  <si>
    <t>55030-000</t>
  </si>
  <si>
    <t xml:space="preserve">        Technology Services</t>
  </si>
  <si>
    <t>55025-000</t>
  </si>
  <si>
    <t>Mgmt</t>
  </si>
  <si>
    <t>Ins</t>
  </si>
  <si>
    <t xml:space="preserve">        Earthquake Insurance</t>
  </si>
  <si>
    <t>53034-000</t>
  </si>
  <si>
    <t xml:space="preserve">        Flood Insurance</t>
  </si>
  <si>
    <t>53033-000</t>
  </si>
  <si>
    <t xml:space="preserve">        Environmental Insurance</t>
  </si>
  <si>
    <t>53032-000</t>
  </si>
  <si>
    <t>Tax</t>
  </si>
  <si>
    <t xml:space="preserve">        License &amp; Permit</t>
  </si>
  <si>
    <t>53028-000</t>
  </si>
  <si>
    <t xml:space="preserve">        Statutory Compliance</t>
  </si>
  <si>
    <t>53026-000</t>
  </si>
  <si>
    <t xml:space="preserve">        Business Tax</t>
  </si>
  <si>
    <t>53022-000</t>
  </si>
  <si>
    <t xml:space="preserve">        Property Tax Appeal</t>
  </si>
  <si>
    <t>53013-000</t>
  </si>
  <si>
    <t xml:space="preserve">        Property Tax Refund</t>
  </si>
  <si>
    <t>53012-000</t>
  </si>
  <si>
    <t>Util</t>
  </si>
  <si>
    <t xml:space="preserve">        Utilities-Fire Service Meter</t>
  </si>
  <si>
    <t>52019-000</t>
  </si>
  <si>
    <t xml:space="preserve">        R&amp;M-Power Washing</t>
  </si>
  <si>
    <t>51057-000</t>
  </si>
  <si>
    <t xml:space="preserve">        R&amp;M-Window Washing</t>
  </si>
  <si>
    <t>51056-000</t>
  </si>
  <si>
    <t xml:space="preserve">        R&amp;M-Day Porter</t>
  </si>
  <si>
    <t>51053-000</t>
  </si>
  <si>
    <t xml:space="preserve">        R&amp;M-Concrete &amp; Asphalt</t>
  </si>
  <si>
    <t>51044-000</t>
  </si>
  <si>
    <t xml:space="preserve">        R&amp;M-Sweeping</t>
  </si>
  <si>
    <t>51041-000</t>
  </si>
  <si>
    <t xml:space="preserve">        R&amp;M-Water Feature</t>
  </si>
  <si>
    <t>51036-000</t>
  </si>
  <si>
    <t xml:space="preserve">        R&amp;M-Irrigation/Drainage</t>
  </si>
  <si>
    <t>51035-000</t>
  </si>
  <si>
    <t xml:space="preserve">        R&amp;M-Landscape Planting/Removal</t>
  </si>
  <si>
    <t>51032-000</t>
  </si>
  <si>
    <t xml:space="preserve">        R&amp;M-Tools &amp; Supplies</t>
  </si>
  <si>
    <t>51019-000</t>
  </si>
  <si>
    <t xml:space="preserve">        R&amp;M-Signage</t>
  </si>
  <si>
    <t>51017-000</t>
  </si>
  <si>
    <t xml:space="preserve">        R&amp;M-Interior</t>
  </si>
  <si>
    <t>51016-000</t>
  </si>
  <si>
    <t xml:space="preserve">        R&amp;M-Structural</t>
  </si>
  <si>
    <t>51012-000</t>
  </si>
  <si>
    <t xml:space="preserve">        R&amp;M-Building Engineer</t>
  </si>
  <si>
    <t>51011-000</t>
  </si>
  <si>
    <t xml:space="preserve">  Total N/R-Interest Income</t>
  </si>
  <si>
    <t>48099-999</t>
  </si>
  <si>
    <t xml:space="preserve">  Total Other Operating Revenue</t>
  </si>
  <si>
    <t>42099-999</t>
  </si>
  <si>
    <t xml:space="preserve">    Total Other Tenant Revenue</t>
  </si>
  <si>
    <t>42029-999</t>
  </si>
  <si>
    <t>OtherRev</t>
  </si>
  <si>
    <t xml:space="preserve">      Other Tenant Revenue</t>
  </si>
  <si>
    <t>42023-000</t>
  </si>
  <si>
    <t xml:space="preserve">      Early Termination Fee Revenue</t>
  </si>
  <si>
    <t>42022-000</t>
  </si>
  <si>
    <t xml:space="preserve">      Forfeited Security Dep Revenue</t>
  </si>
  <si>
    <t>42021-000</t>
  </si>
  <si>
    <t xml:space="preserve">      NSF Fee Revenue</t>
  </si>
  <si>
    <t>42020-000</t>
  </si>
  <si>
    <t xml:space="preserve">      Late Fee Revenue</t>
  </si>
  <si>
    <t>42019-000</t>
  </si>
  <si>
    <t xml:space="preserve">      Parking Revenue</t>
  </si>
  <si>
    <t>42011-000</t>
  </si>
  <si>
    <t>Park</t>
  </si>
  <si>
    <t xml:space="preserve">    Other Tenant Revenue</t>
  </si>
  <si>
    <t>42010-000</t>
  </si>
  <si>
    <t xml:space="preserve">  Other Operating Revenue</t>
  </si>
  <si>
    <t>42000-000</t>
  </si>
  <si>
    <t>ExpRec</t>
  </si>
  <si>
    <t xml:space="preserve">    Total Direct Billable Revenue</t>
  </si>
  <si>
    <t>41599-000</t>
  </si>
  <si>
    <t xml:space="preserve">      Total Direct Bill Rev-Prof Svc</t>
  </si>
  <si>
    <t>41579-999</t>
  </si>
  <si>
    <t xml:space="preserve">        Direct Bill Abate-Litigat&amp;Dispute</t>
  </si>
  <si>
    <t>41570-129</t>
  </si>
  <si>
    <t xml:space="preserve">        Direct Bill Rev-Litigat&amp;Dispute</t>
  </si>
  <si>
    <t>41570-120</t>
  </si>
  <si>
    <t xml:space="preserve">      Direct Bill Revenue-Prof Service</t>
  </si>
  <si>
    <t>41570-000</t>
  </si>
  <si>
    <t xml:space="preserve">      Total Direct Bill Revenue-R&amp;M</t>
  </si>
  <si>
    <t>41519-999</t>
  </si>
  <si>
    <t xml:space="preserve">        Direct Bill Rev-Janitorial</t>
  </si>
  <si>
    <t>41510-510</t>
  </si>
  <si>
    <t xml:space="preserve">        Direct Bill Rev-HVAC</t>
  </si>
  <si>
    <t>41510-220</t>
  </si>
  <si>
    <t xml:space="preserve">        Direct Bill Rev-Signage</t>
  </si>
  <si>
    <t>41510-170</t>
  </si>
  <si>
    <t xml:space="preserve">        Direct Bill Rev-Plumbing</t>
  </si>
  <si>
    <t>41510-150</t>
  </si>
  <si>
    <t xml:space="preserve">      Direct Bill Revenue-R&amp;M</t>
  </si>
  <si>
    <t>41510-000</t>
  </si>
  <si>
    <t xml:space="preserve">    Direct Billable Revenue</t>
  </si>
  <si>
    <t>41500-000</t>
  </si>
  <si>
    <t xml:space="preserve">      T/R-CAM Abatement</t>
  </si>
  <si>
    <t>41013-000</t>
  </si>
  <si>
    <t xml:space="preserve">      T/R-Prior Year CAM</t>
  </si>
  <si>
    <t>41012-000</t>
  </si>
  <si>
    <t>PGR</t>
  </si>
  <si>
    <t xml:space="preserve">      Rent-Percent</t>
  </si>
  <si>
    <t>40019-000</t>
  </si>
  <si>
    <t xml:space="preserve">      Rent-Reduction</t>
  </si>
  <si>
    <t>40015-000</t>
  </si>
  <si>
    <t xml:space="preserve">      Rent-Abatement</t>
  </si>
  <si>
    <t>40014-000</t>
  </si>
  <si>
    <t>Book = Accrual,External,FMV ; Tree = ysi_is</t>
  </si>
  <si>
    <t>Period = Jul 2016-Jun 2017</t>
  </si>
  <si>
    <t>Chapman-Arc LLC (14890)</t>
  </si>
  <si>
    <t>Loan Fee</t>
  </si>
  <si>
    <t>ParkExp</t>
  </si>
  <si>
    <t>EGR</t>
  </si>
  <si>
    <t>Vac</t>
  </si>
  <si>
    <t>Free</t>
  </si>
  <si>
    <t>Abs</t>
  </si>
  <si>
    <t>General Ledger</t>
  </si>
  <si>
    <t>Period = Jun 2016-Sep 2016</t>
  </si>
  <si>
    <t>Book = Accrual,External</t>
  </si>
  <si>
    <t xml:space="preserve">Sort On = </t>
  </si>
  <si>
    <t>Period</t>
  </si>
  <si>
    <t>Person/Description</t>
  </si>
  <si>
    <t>Control</t>
  </si>
  <si>
    <t>Reference</t>
  </si>
  <si>
    <t>BASED ON STATEMENT</t>
  </si>
  <si>
    <t>VARIANCE</t>
  </si>
  <si>
    <t>Balance</t>
  </si>
  <si>
    <t>Remarks</t>
  </si>
  <si>
    <t>81712-000</t>
  </si>
  <si>
    <t>Acquisition Costs-Closing</t>
  </si>
  <si>
    <t>= Beginning Balance =</t>
  </si>
  <si>
    <t>14890</t>
  </si>
  <si>
    <t>Chapman-Arc LLC</t>
  </si>
  <si>
    <t>To record property acquisition</t>
  </si>
  <si>
    <t>J-31164</t>
  </si>
  <si>
    <t>U.E. Express Mail Acct for Overnight/Messenger/Handling</t>
  </si>
  <si>
    <t>Law Offices of Rober P. Friedman for Transaction Legal &amp; PZR</t>
  </si>
  <si>
    <t>Archeon Group</t>
  </si>
  <si>
    <t>Perkowitz + Ruth Architects</t>
  </si>
  <si>
    <t>Rios Clementi Hale Studios</t>
  </si>
  <si>
    <t>Larcon O'Herlihy Architects</t>
  </si>
  <si>
    <t>Partner Assessment Corp. for ALTA Survey</t>
  </si>
  <si>
    <t>Per closing stmt attached</t>
  </si>
  <si>
    <t>Morris, Manning &amp; Martin, LLP for PM Review</t>
  </si>
  <si>
    <t>Liner LLP for Zoing Legal</t>
  </si>
  <si>
    <t>Hmburg, Karic, Edwards &amp; Mrtin LLP for PM Review</t>
  </si>
  <si>
    <t>Greenberg Traurig for Belay Legal</t>
  </si>
  <si>
    <t>See attached closing workbook for GT fee allocation</t>
  </si>
  <si>
    <t>Southern California Geotechnical</t>
  </si>
  <si>
    <t>Title - Lender's Title Insurance</t>
  </si>
  <si>
    <t>Title - Sub Escrow Fee</t>
  </si>
  <si>
    <t>Recording Service Fee</t>
  </si>
  <si>
    <t>Inspection Fees</t>
  </si>
  <si>
    <t>Loan Policy (ALTA Loan Policy 2006)</t>
  </si>
  <si>
    <t>ALTA 17.2-06 - Utility Access</t>
  </si>
  <si>
    <t>ALTA 3.1-06 - "M" - Zoning - Improved Land</t>
  </si>
  <si>
    <t>ALTA 9.2-06 - Restrictions, Encroachments, Mi</t>
  </si>
  <si>
    <t>ALTA 9.6-06 - Private Rights 2013</t>
  </si>
  <si>
    <t>ALTA 27-06 - "M" - Usury</t>
  </si>
  <si>
    <t>ALTA 24-06 - "M" - Doing Business</t>
  </si>
  <si>
    <t>ALTA 8.2-06 - Commercial Envir Protect Lien</t>
  </si>
  <si>
    <t>ALTA 18.1-06 - Multiple Tax Parcel</t>
  </si>
  <si>
    <t>ALTA 17-06 - Access and Entry</t>
  </si>
  <si>
    <t>CLTA 104.6-06 - Assignmt of Rents/Leases 2010</t>
  </si>
  <si>
    <t>CLTA 100.19-06 - CC&amp;Rs, Violations</t>
  </si>
  <si>
    <t>CLTA 103.5-06 - Water Rights, Surface Damage</t>
  </si>
  <si>
    <t>Recording Grant Deed</t>
  </si>
  <si>
    <t>Recording Trust Deed</t>
  </si>
  <si>
    <t>Recording Assignment of Leases and Rents</t>
  </si>
  <si>
    <t>Recording Asgmt of Asgmt of Lease &amp; Rent</t>
  </si>
  <si>
    <t>Recording Assignment of Deed of Trust</t>
  </si>
  <si>
    <t>Recording UCC-1</t>
  </si>
  <si>
    <t>Recording UCC-3</t>
  </si>
  <si>
    <t>Title - Escrow Fee</t>
  </si>
  <si>
    <t>Title - Wire Fee(s) approx 30 Wires</t>
  </si>
  <si>
    <t>Document Compliance Fee</t>
  </si>
  <si>
    <t>Pre-closing funded by Arc (DD/Legal/Soft Cost)</t>
  </si>
  <si>
    <t>Paid outside of closing</t>
  </si>
  <si>
    <t xml:space="preserve">  Net Change=202,763.30</t>
  </si>
  <si>
    <t>0.00</t>
  </si>
  <si>
    <t xml:space="preserve">  202,763.30</t>
  </si>
  <si>
    <t>= Ending Balance =</t>
  </si>
  <si>
    <t>Total Greenburg Traurig</t>
  </si>
  <si>
    <t>Book = Accrual,FMV</t>
  </si>
  <si>
    <t>17510-200</t>
  </si>
  <si>
    <t>Loan Fee-N/P-Promissory-Addn</t>
  </si>
  <si>
    <t>To reclass Thoroughofare underwriting fee paid outside of escrow by Arc Capital Partners</t>
  </si>
  <si>
    <t>J-30921</t>
  </si>
  <si>
    <t>Thoroughfare underwriting fee paid outside escrow by Arc</t>
  </si>
  <si>
    <t>Deposit to Thorofare, see attached capital call notice</t>
  </si>
  <si>
    <t>Deposit from Chatham Hedging Advisors LLC for Buyer, Chapman-Arc LLC</t>
  </si>
  <si>
    <t>Origination Charge</t>
  </si>
  <si>
    <t>Brokerage Fee CBRE</t>
  </si>
  <si>
    <t>Underwriting Fee</t>
  </si>
  <si>
    <t>Lender Legal Fees</t>
  </si>
  <si>
    <t>Processing Fee</t>
  </si>
  <si>
    <t>Servicer Set-Up Fee Cohen Financial</t>
  </si>
  <si>
    <t>Pircher, Nichols &amp; Meeks for Loan Doc Review</t>
  </si>
  <si>
    <t>Greenberg Traurig for Belay Legal-Def Fin Fees</t>
  </si>
  <si>
    <t>SMBC Capital Markets, Inc for Chapman-Arc LLC</t>
  </si>
  <si>
    <t>To record reclass of Thorofare Capital deposit refund</t>
  </si>
  <si>
    <t>J-32549</t>
  </si>
  <si>
    <t>Thorofare Capital deposit refund</t>
  </si>
  <si>
    <t>See attached refund from Thorofare</t>
  </si>
  <si>
    <t>Chatham Interest Rate Cap</t>
  </si>
  <si>
    <t xml:space="preserve">  Net Change=553,027.92</t>
  </si>
  <si>
    <t>7,968.36</t>
  </si>
  <si>
    <t xml:space="preserve">  553,027.92</t>
  </si>
  <si>
    <t>USES OF CAPITAL</t>
  </si>
  <si>
    <t>Total Capitalization</t>
  </si>
  <si>
    <t>Closing Costs (Property + Loan)</t>
  </si>
  <si>
    <t>Total Acquisition Cost</t>
  </si>
  <si>
    <t>Development/Major Renovation/CapEx</t>
  </si>
  <si>
    <t>TI's &amp; LC's</t>
  </si>
  <si>
    <t>Reserves</t>
  </si>
  <si>
    <t>Net Operating Loss</t>
  </si>
  <si>
    <t>SOURCES OF CAPITAL</t>
  </si>
  <si>
    <t>First Loan</t>
  </si>
  <si>
    <t>Second Loan</t>
  </si>
  <si>
    <t>10519-999</t>
  </si>
  <si>
    <t>10520-000</t>
  </si>
  <si>
    <t>Impound Tax Reserve</t>
  </si>
  <si>
    <t>Insurance Impound</t>
  </si>
  <si>
    <t xml:space="preserve">Wells Fargo Min Bal. </t>
  </si>
  <si>
    <t>Immediate Repair Impound</t>
  </si>
  <si>
    <t xml:space="preserve"> Interest Reserve</t>
  </si>
  <si>
    <t xml:space="preserve"> TI/LC Reserve</t>
  </si>
  <si>
    <t>Working Capital</t>
  </si>
  <si>
    <t>TOTAL</t>
  </si>
  <si>
    <t>Additional Since Close</t>
  </si>
  <si>
    <t>Capital Call #</t>
  </si>
  <si>
    <t>Belay</t>
  </si>
  <si>
    <t>Arc GP</t>
  </si>
  <si>
    <t>Deal</t>
  </si>
  <si>
    <t>Chapman</t>
  </si>
  <si>
    <t>Deposit</t>
  </si>
  <si>
    <t>Reimbursement request</t>
  </si>
  <si>
    <t>Purchase of Chapman</t>
  </si>
  <si>
    <t>Invoices + Origination Fee</t>
  </si>
  <si>
    <t>15 / 7- True Up</t>
  </si>
  <si>
    <t>Chapman Invoices - Shorfall</t>
  </si>
  <si>
    <t>Bliss Payout</t>
  </si>
  <si>
    <t>Working Capital and Capex</t>
  </si>
  <si>
    <t>Loan refinancing expense deposit and working capital</t>
  </si>
  <si>
    <t>Working capital</t>
  </si>
  <si>
    <t>Interest Reserve Funding, Extension Fee, &amp; Interest Rate Cap</t>
  </si>
  <si>
    <t>(-) Additional Reserves Funded at Close</t>
  </si>
  <si>
    <t>Adjustment - Historical Cash Flow</t>
  </si>
  <si>
    <t>Vlookup</t>
  </si>
  <si>
    <t>Max Loan Dollars Adjustment</t>
  </si>
  <si>
    <t>Capital Contributions Post Closing</t>
  </si>
  <si>
    <t>Reserves Funded at Close</t>
  </si>
  <si>
    <t>Koreatown</t>
  </si>
  <si>
    <t>Los Angeles</t>
  </si>
  <si>
    <t>1928/2017</t>
  </si>
  <si>
    <t>Original UW (2017 Business Plan)</t>
  </si>
  <si>
    <t>Sales Date</t>
  </si>
  <si>
    <t>Loan Origination/Broker Fee &amp; Exit Fee</t>
  </si>
  <si>
    <t>Pricing</t>
  </si>
  <si>
    <t>Approx. proceeds expected</t>
  </si>
  <si>
    <t>CapEx Reserve</t>
  </si>
  <si>
    <t>TI/LC Reserve</t>
  </si>
  <si>
    <t>Includes Silver Lake Ramen patio</t>
  </si>
  <si>
    <t>Patio SF (BOMA)</t>
  </si>
  <si>
    <t>Revised $5k/mo event assumption &amp; removed kiosk income</t>
  </si>
  <si>
    <t>Event &amp; Kiosk Income (annual)</t>
  </si>
  <si>
    <t>Signed license agreement with PCAM</t>
  </si>
  <si>
    <t>Net Parking Income (annual)</t>
  </si>
  <si>
    <t>Current broker feedback is 4.50% - 5.25%</t>
  </si>
  <si>
    <t>Assumptions ($'s in 000's)</t>
  </si>
  <si>
    <t>Total/Weighted Average</t>
  </si>
  <si>
    <t>Shibuyala</t>
  </si>
  <si>
    <t>120,  140</t>
  </si>
  <si>
    <t>010,  020</t>
  </si>
  <si>
    <t>GER Bar</t>
  </si>
  <si>
    <t>Quarters</t>
  </si>
  <si>
    <t>Escala</t>
  </si>
  <si>
    <t>VACANT</t>
  </si>
  <si>
    <t>Toe Bang</t>
  </si>
  <si>
    <t>Silver Lake Ramen</t>
  </si>
  <si>
    <t>Starbucks</t>
  </si>
  <si>
    <t>Lease Expiration</t>
  </si>
  <si>
    <t>Suite #</t>
  </si>
  <si>
    <t>This is transferred to Building Improvements</t>
  </si>
  <si>
    <t xml:space="preserve">  -1,665,225.69</t>
  </si>
  <si>
    <t>1,665,225.69</t>
  </si>
  <si>
    <t xml:space="preserve">  Net Change=-1,665,225.69</t>
  </si>
  <si>
    <t>PNT/INST BIG LOVE ICON MURAL BAL</t>
  </si>
  <si>
    <t>P-34203</t>
  </si>
  <si>
    <t>J-74466</t>
  </si>
  <si>
    <t>Ruben Rojas (v0002562)</t>
  </si>
  <si>
    <t>PNT/INST BIG LOVE ICON MURAL DEP</t>
  </si>
  <si>
    <t>J-73663</t>
  </si>
  <si>
    <t>J-74465</t>
  </si>
  <si>
    <t>To place in service True Up difference in accrual vs reimbursement for P-23975</t>
  </si>
  <si>
    <t>J-61504</t>
  </si>
  <si>
    <t>Completion of Courtyard Renovation</t>
  </si>
  <si>
    <t>J-55414</t>
  </si>
  <si>
    <t>OP-CIP-BI-Transfer Out-BI</t>
  </si>
  <si>
    <t>16120-700</t>
  </si>
  <si>
    <t xml:space="preserve">  255,043.00</t>
  </si>
  <si>
    <t>255,043.00</t>
  </si>
  <si>
    <t xml:space="preserve">  Net Change=255,043.00</t>
  </si>
  <si>
    <t>Installed heat pump units to the roof</t>
  </si>
  <si>
    <t>5465</t>
  </si>
  <si>
    <t>P-42422</t>
  </si>
  <si>
    <t>LA PROS Inc (v0002881)</t>
  </si>
  <si>
    <t>Installed 2 drains above Suite 20</t>
  </si>
  <si>
    <t>156026</t>
  </si>
  <si>
    <t>P-41392</t>
  </si>
  <si>
    <t>Sadler Roofing Inc (v0002729)</t>
  </si>
  <si>
    <t>Load Meters for 30 Days</t>
  </si>
  <si>
    <t>2136</t>
  </si>
  <si>
    <t>P-40697</t>
  </si>
  <si>
    <t>ESR, Inc. (v0002817)</t>
  </si>
  <si>
    <t>Load Meters for a 7 Day reading off of 30 day meter</t>
  </si>
  <si>
    <t>Project 2019-0681.01 Site Visit for Electrical and Plumbing; Services through 02.29.20</t>
  </si>
  <si>
    <t>2019-0681.01-1</t>
  </si>
  <si>
    <t>P-41144</t>
  </si>
  <si>
    <t>tk1sc (v0002599)</t>
  </si>
  <si>
    <t>Survey Site Domestic Water System</t>
  </si>
  <si>
    <t>2237</t>
  </si>
  <si>
    <t>P-40571</t>
  </si>
  <si>
    <t>Neptune Plumbing Co (v0002584)</t>
  </si>
  <si>
    <t>Final Invoice</t>
  </si>
  <si>
    <t>Invoice#3</t>
  </si>
  <si>
    <t>P-40626</t>
  </si>
  <si>
    <t>Pieper's Construction (v0002736)</t>
  </si>
  <si>
    <t>Market Investigation</t>
  </si>
  <si>
    <t>20-0103-1</t>
  </si>
  <si>
    <t>P-40565</t>
  </si>
  <si>
    <t>Triple C Electric, Inc. (v0002743)</t>
  </si>
  <si>
    <t>DCP - 90% work complete</t>
  </si>
  <si>
    <t>Invoice#2</t>
  </si>
  <si>
    <t>P-40004</t>
  </si>
  <si>
    <t>Furnish and install grease pan, wire mesh screen, curb caps</t>
  </si>
  <si>
    <t>44293</t>
  </si>
  <si>
    <t>P-39996</t>
  </si>
  <si>
    <t>C.E Mechanical, Inc (v0002765)</t>
  </si>
  <si>
    <t>Remove old HVAC rooftop equipment; Installed 7 new curb caps</t>
  </si>
  <si>
    <t>Project 2019-0681A; Services through 01.31.20</t>
  </si>
  <si>
    <t>2019-0681A-1</t>
  </si>
  <si>
    <t>P-39165</t>
  </si>
  <si>
    <t>Demolition of existing restaurant(unit 50), empty space (unit 170) and Upstairs space (unit 200)</t>
  </si>
  <si>
    <t>Invoice#1</t>
  </si>
  <si>
    <t>P-38767</t>
  </si>
  <si>
    <t>Instaled Polyglass Turbo Set &amp; 10% retention billing</t>
  </si>
  <si>
    <t>155686</t>
  </si>
  <si>
    <t>P-39168</t>
  </si>
  <si>
    <t>Installed Polyglass turbo set</t>
  </si>
  <si>
    <t>155684</t>
  </si>
  <si>
    <t>P-38764</t>
  </si>
  <si>
    <t>Repaired gutters on tower roofs on 12.13.19</t>
  </si>
  <si>
    <t>155532</t>
  </si>
  <si>
    <t>P-38763</t>
  </si>
  <si>
    <t>RE: Chapman Market Paint; Job No. 2451</t>
  </si>
  <si>
    <t>20191211</t>
  </si>
  <si>
    <t>P-39167</t>
  </si>
  <si>
    <t>Smith and Severson Builders, LLC (v0002628)</t>
  </si>
  <si>
    <t>OP-CIP-BI-Addition</t>
  </si>
  <si>
    <t>16120-200</t>
  </si>
  <si>
    <t xml:space="preserve">  1,665,225.69</t>
  </si>
  <si>
    <t>2,876,505.43</t>
  </si>
  <si>
    <t xml:space="preserve">  Net Change=1,665,225.69</t>
  </si>
  <si>
    <t>:Reclass P-33807</t>
  </si>
  <si>
    <t>:Reclass Expense P-33807</t>
  </si>
  <si>
    <t>6636-101719-2</t>
  </si>
  <si>
    <t>True Up difference in accrual vs reimbursement for P-23975</t>
  </si>
  <si>
    <t>J-61428</t>
  </si>
  <si>
    <t>01.19 Intercompany payments - Chapman (14890)</t>
  </si>
  <si>
    <t>Accrue Arc Capital Partners Developer Fee</t>
  </si>
  <si>
    <t>J-54714</t>
  </si>
  <si>
    <t>Accrue Development Assets &amp; Intangible Lease Assets</t>
  </si>
  <si>
    <t>DEVELOPER FEE</t>
  </si>
  <si>
    <t>1006-26051</t>
  </si>
  <si>
    <t>P-26051</t>
  </si>
  <si>
    <t>Arc Capital Partners (v0001806)</t>
  </si>
  <si>
    <t>CBRE #V71115524 Project #4</t>
  </si>
  <si>
    <t>J-53523</t>
  </si>
  <si>
    <t>Record Capital Improv Reserve Disbursement by Cohen Financial</t>
  </si>
  <si>
    <t>Reimb for dbl pymt on inv# 37514 according to Vendor Harris Winick Harris LLP.</t>
  </si>
  <si>
    <t>472</t>
  </si>
  <si>
    <t>R-6677</t>
  </si>
  <si>
    <t>Harris Winick Harris LLP</t>
  </si>
  <si>
    <t>1006</t>
  </si>
  <si>
    <t>P-24667</t>
  </si>
  <si>
    <t>COURTYARD PROJECT</t>
  </si>
  <si>
    <t>3585919</t>
  </si>
  <si>
    <t>P-24670</t>
  </si>
  <si>
    <t>DLA Piper LLP  (v0002025)</t>
  </si>
  <si>
    <t>RUSH PROJECT WINDOW INSTL</t>
  </si>
  <si>
    <t>4249</t>
  </si>
  <si>
    <t>P-24668</t>
  </si>
  <si>
    <t>CheshireBeane Inc (v0001698)</t>
  </si>
  <si>
    <t>02-R11 COURTYARD RENOV</t>
  </si>
  <si>
    <t>0108959</t>
  </si>
  <si>
    <t>P-24717</t>
  </si>
  <si>
    <t>Perkowitz and Ruth Architects (v0001704)</t>
  </si>
  <si>
    <t>3572314</t>
  </si>
  <si>
    <t>P-24669</t>
  </si>
  <si>
    <t>18-022</t>
  </si>
  <si>
    <t>P-24676</t>
  </si>
  <si>
    <t>Hansen Project Management Inc. (v0001830)</t>
  </si>
  <si>
    <t>COURTYARD RENOV</t>
  </si>
  <si>
    <t>172246-7</t>
  </si>
  <si>
    <t>P-24675</t>
  </si>
  <si>
    <t>Pinnacle Contracting Corporation (v0001958)</t>
  </si>
  <si>
    <t>0108614</t>
  </si>
  <si>
    <t>P-24674</t>
  </si>
  <si>
    <t>02-R03 COURTYARD RENOV</t>
  </si>
  <si>
    <t>0108613</t>
  </si>
  <si>
    <t>P-24673</t>
  </si>
  <si>
    <t>3/27/18 Disbursement from Reserve to pay CBRE</t>
  </si>
  <si>
    <t>J-49589</t>
  </si>
  <si>
    <t>MASTER CUP</t>
  </si>
  <si>
    <t>122495</t>
  </si>
  <si>
    <t>P-24107</t>
  </si>
  <si>
    <t>City of Los Angeles, Dept. of Building &amp; Safety (v0000596)</t>
  </si>
  <si>
    <t>Recl Fr 56022 to 16120-050 Lucent Wrap #1627 Site survey-Measurement Windows</t>
  </si>
  <si>
    <t>J-47995</t>
  </si>
  <si>
    <t>Recl Fr 56022 to 16120-050 Lucent Wrap #801 Print &amp; installation Window Wraps</t>
  </si>
  <si>
    <t>Rev Recl Fr 56022 to 16120-050 Chapman Arc New Year Decor</t>
  </si>
  <si>
    <t>NEW YEAR DECOR COCKTAIL PARTY</t>
  </si>
  <si>
    <t>20180223</t>
  </si>
  <si>
    <t>P-23976</t>
  </si>
  <si>
    <t>NEW YEARS DECOR CHAMPMAN</t>
  </si>
  <si>
    <t>20180221</t>
  </si>
  <si>
    <t>P-23975</t>
  </si>
  <si>
    <t>3559380</t>
  </si>
  <si>
    <t>P-24290</t>
  </si>
  <si>
    <t>18-013</t>
  </si>
  <si>
    <t>P-24294</t>
  </si>
  <si>
    <t>1722465-2</t>
  </si>
  <si>
    <t>P-24298</t>
  </si>
  <si>
    <t>172246-5</t>
  </si>
  <si>
    <t>P-24297</t>
  </si>
  <si>
    <t>0108453</t>
  </si>
  <si>
    <t>P-24296</t>
  </si>
  <si>
    <t>3550320</t>
  </si>
  <si>
    <t>P-24291</t>
  </si>
  <si>
    <t>0108339</t>
  </si>
  <si>
    <t>P-24295</t>
  </si>
  <si>
    <t>To capitalize CheshireBeane Inc inv. #4153 - FINAL PYMNT CHAMPMAN WEB DEVELOPMENT</t>
  </si>
  <si>
    <t>J-47142</t>
  </si>
  <si>
    <t>Recl fr 56022 to 16120-050 Chapman ARC New Year Decor Cocktail Party</t>
  </si>
  <si>
    <t>J-46732</t>
  </si>
  <si>
    <t>COURTYARD RENOVATION</t>
  </si>
  <si>
    <t>9534889</t>
  </si>
  <si>
    <t>P-23369</t>
  </si>
  <si>
    <t>ARC Document Solutions, LLC  (v0001996)</t>
  </si>
  <si>
    <t>172246-4A</t>
  </si>
  <si>
    <t>P-22813</t>
  </si>
  <si>
    <t>172246-4</t>
  </si>
  <si>
    <t>P-22812</t>
  </si>
  <si>
    <t>Recl fr 56022 to 16120-050 Ahimsa Coll #123456 New Years Decor</t>
  </si>
  <si>
    <t>J-46002</t>
  </si>
  <si>
    <t>Recl fr 56022 to 16120-050 Ahimsa Coll #0002-2 New Years Decor Cocktail Party</t>
  </si>
  <si>
    <t>172246-3A-22651</t>
  </si>
  <si>
    <t>P-22651</t>
  </si>
  <si>
    <t>CHAPMAN MARKET SIGNAGE</t>
  </si>
  <si>
    <t>1599</t>
  </si>
  <si>
    <t>P-22579</t>
  </si>
  <si>
    <t>Newsom Gonzalez LLC (v0001829)</t>
  </si>
  <si>
    <t>Site visit 01/16/2018</t>
  </si>
  <si>
    <t>V71115524-2</t>
  </si>
  <si>
    <t>P-22785</t>
  </si>
  <si>
    <t>CBRE, Inc. (v0000468)</t>
  </si>
  <si>
    <t>18-001</t>
  </si>
  <si>
    <t>P-22574</t>
  </si>
  <si>
    <t>To record accrual of Pinnacle Contracting Corporation PayApp #3</t>
  </si>
  <si>
    <t>:Reversal of J-45096</t>
  </si>
  <si>
    <t>J-45097</t>
  </si>
  <si>
    <t>Site visit 12/12/2017</t>
  </si>
  <si>
    <t>V71115524</t>
  </si>
  <si>
    <t>P-22835</t>
  </si>
  <si>
    <t>V71115524-22834</t>
  </si>
  <si>
    <t>P-22834</t>
  </si>
  <si>
    <t>P-22784</t>
  </si>
  <si>
    <t>0172246-3A</t>
  </si>
  <si>
    <t>P-22786</t>
  </si>
  <si>
    <t>0172246-03</t>
  </si>
  <si>
    <t>P-22678</t>
  </si>
  <si>
    <t>172246-3A</t>
  </si>
  <si>
    <t>P-22335</t>
  </si>
  <si>
    <t>210155</t>
  </si>
  <si>
    <t>P-22578</t>
  </si>
  <si>
    <t>Liner Grodestein Yankelevitz Sunshine Regenstreif and Taylor LLP (v0001705)</t>
  </si>
  <si>
    <t>208668</t>
  </si>
  <si>
    <t>P-22577</t>
  </si>
  <si>
    <t>207317</t>
  </si>
  <si>
    <t>P-22576</t>
  </si>
  <si>
    <t>205982</t>
  </si>
  <si>
    <t>P-22575</t>
  </si>
  <si>
    <t>172246-2A-22254</t>
  </si>
  <si>
    <t>P-22254</t>
  </si>
  <si>
    <t>To capitalize certain marketing costs - increase future value of property per M.D.</t>
  </si>
  <si>
    <t>J-45875</t>
  </si>
  <si>
    <t>J-45096</t>
  </si>
  <si>
    <t>To record accrual of Pinnacle Contracting Corporation PayApp #3 :Reversed by J-45097</t>
  </si>
  <si>
    <t>Hansen Project Management inv. # 17-105 SHIBUYALA CM FEE</t>
  </si>
  <si>
    <t>J-45083</t>
  </si>
  <si>
    <t>To reclass of Hansen Project Management inv. 17-105</t>
  </si>
  <si>
    <t>0108087</t>
  </si>
  <si>
    <t>P-22113</t>
  </si>
  <si>
    <t>02-R10 COURTYARD RENOV</t>
  </si>
  <si>
    <t>0108086</t>
  </si>
  <si>
    <t>P-22112</t>
  </si>
  <si>
    <t>3536390</t>
  </si>
  <si>
    <t>P-22105</t>
  </si>
  <si>
    <t>3531245</t>
  </si>
  <si>
    <t>P-21805</t>
  </si>
  <si>
    <t>17-135</t>
  </si>
  <si>
    <t>P-21627</t>
  </si>
  <si>
    <t>02-R13 COURTYARD RENOV</t>
  </si>
  <si>
    <t>0107817</t>
  </si>
  <si>
    <t>P-22111</t>
  </si>
  <si>
    <t>0107816</t>
  </si>
  <si>
    <t>P-22110</t>
  </si>
  <si>
    <t>0107815</t>
  </si>
  <si>
    <t>P-22109</t>
  </si>
  <si>
    <t>0107814</t>
  </si>
  <si>
    <t>P-22108</t>
  </si>
  <si>
    <t>17-122</t>
  </si>
  <si>
    <t>P-21903</t>
  </si>
  <si>
    <t>SIGNAGE COURTYARD</t>
  </si>
  <si>
    <t>1590</t>
  </si>
  <si>
    <t>P-21906</t>
  </si>
  <si>
    <t>SIGNAGE COURTYARD TENANT GUIDELINES</t>
  </si>
  <si>
    <t>1589</t>
  </si>
  <si>
    <t>P-21905</t>
  </si>
  <si>
    <t>212289</t>
  </si>
  <si>
    <t>P-21803</t>
  </si>
  <si>
    <t>1722462A</t>
  </si>
  <si>
    <t>P-22257</t>
  </si>
  <si>
    <t>211057</t>
  </si>
  <si>
    <t>P-21628</t>
  </si>
  <si>
    <t>37514</t>
  </si>
  <si>
    <t>P-21904</t>
  </si>
  <si>
    <t>Harris Winick Harris  LLP (v0000739)</t>
  </si>
  <si>
    <t>RETENTION COURTYARD RENOVATION</t>
  </si>
  <si>
    <t>172246-2B</t>
  </si>
  <si>
    <t>P-21569</t>
  </si>
  <si>
    <t>172246-2A</t>
  </si>
  <si>
    <t>P-21568</t>
  </si>
  <si>
    <t>172246-1A</t>
  </si>
  <si>
    <t>P-21566</t>
  </si>
  <si>
    <t>CONSTRUCTION MANAGEMENT SVC</t>
  </si>
  <si>
    <t>17-109</t>
  </si>
  <si>
    <t>P-20414</t>
  </si>
  <si>
    <t>02-R12 COURTYARD RENOV.</t>
  </si>
  <si>
    <t>0107365</t>
  </si>
  <si>
    <t>P-20743</t>
  </si>
  <si>
    <t>02-R11 COURTYARD RENOV.</t>
  </si>
  <si>
    <t>0107364</t>
  </si>
  <si>
    <t>P-20742</t>
  </si>
  <si>
    <t>0107363</t>
  </si>
  <si>
    <t>P-20741</t>
  </si>
  <si>
    <t>MASTER CUP APPLICATION</t>
  </si>
  <si>
    <t>1011</t>
  </si>
  <si>
    <t>P-20418</t>
  </si>
  <si>
    <t>Irvine and Associates, Inc.  (v0001974)</t>
  </si>
  <si>
    <t>0107124</t>
  </si>
  <si>
    <t>P-20740</t>
  </si>
  <si>
    <t>0107123</t>
  </si>
  <si>
    <t>P-20739</t>
  </si>
  <si>
    <t>0107122</t>
  </si>
  <si>
    <t>P-20738</t>
  </si>
  <si>
    <t>17-94</t>
  </si>
  <si>
    <t>P-20413</t>
  </si>
  <si>
    <t>02-R10 COURTYARD RENOV.</t>
  </si>
  <si>
    <t>0106950</t>
  </si>
  <si>
    <t>P-20737</t>
  </si>
  <si>
    <t>02-R09 COURTYARD RENOV.</t>
  </si>
  <si>
    <t>0106949</t>
  </si>
  <si>
    <t>P-20736</t>
  </si>
  <si>
    <t>02-R03 COURTYARD RENOV.</t>
  </si>
  <si>
    <t>0106948</t>
  </si>
  <si>
    <t>P-20735</t>
  </si>
  <si>
    <t>Recl fr 16530-2 to 16120-05 37058 Harris Winick Harris LLP CM Agreement Arc Chapman</t>
  </si>
  <si>
    <t>J-42924</t>
  </si>
  <si>
    <t>1722461-REV.2</t>
  </si>
  <si>
    <t>P-20004</t>
  </si>
  <si>
    <t>DRAFT REVISE A/A 107</t>
  </si>
  <si>
    <t>37372</t>
  </si>
  <si>
    <t>P-20003</t>
  </si>
  <si>
    <t>Recl fr 16120-050 to 59013 #205114 4/11/17 Liner</t>
  </si>
  <si>
    <t>J-40195</t>
  </si>
  <si>
    <t>Reclass to 59013-000</t>
  </si>
  <si>
    <t>Recl fr 16120-050 to 59013 #203906 3/9/17 Liner</t>
  </si>
  <si>
    <t>Recl fr 16120-050 to 59013 #203058 1/31/17 Liner</t>
  </si>
  <si>
    <t>Recl fr 16120-050 to 59013 #117.3023 4/6/17 Choate Parking</t>
  </si>
  <si>
    <t>Recl fr 16120-050 to 59013 #117.201 3/3/17 Choate Parking</t>
  </si>
  <si>
    <t>Recl fr 16120-050 to 59013 #199640 10/31/16 Liner</t>
  </si>
  <si>
    <t>Recl fr 16120-050 to 59013 #198571 9/30/16 Liner</t>
  </si>
  <si>
    <t>Recl fr 16120-050 to 59013 #102949 9/16/16 Perkowitz</t>
  </si>
  <si>
    <t>17-73</t>
  </si>
  <si>
    <t>P-19045</t>
  </si>
  <si>
    <t>0106200</t>
  </si>
  <si>
    <t>P-19140</t>
  </si>
  <si>
    <t>0105806</t>
  </si>
  <si>
    <t>P-18869</t>
  </si>
  <si>
    <t>PARKING CONSULTING PROPOSAL</t>
  </si>
  <si>
    <t>117.3023</t>
  </si>
  <si>
    <t>P-18004</t>
  </si>
  <si>
    <t>Choate Parking Consultants, Inc. (v0001863)</t>
  </si>
  <si>
    <t>0105015</t>
  </si>
  <si>
    <t>P-18102</t>
  </si>
  <si>
    <t>0105016</t>
  </si>
  <si>
    <t>P-18100</t>
  </si>
  <si>
    <t>117.2010</t>
  </si>
  <si>
    <t>P-18003</t>
  </si>
  <si>
    <t>0104840</t>
  </si>
  <si>
    <t>P-18103</t>
  </si>
  <si>
    <t>0104838</t>
  </si>
  <si>
    <t>P-18101</t>
  </si>
  <si>
    <t>104839</t>
  </si>
  <si>
    <t>P-18099</t>
  </si>
  <si>
    <t>0104837</t>
  </si>
  <si>
    <t>P-18098</t>
  </si>
  <si>
    <t>PARKING PLAN</t>
  </si>
  <si>
    <t>205114</t>
  </si>
  <si>
    <t>P-17430</t>
  </si>
  <si>
    <t>203906</t>
  </si>
  <si>
    <t>P-17429</t>
  </si>
  <si>
    <t>203058</t>
  </si>
  <si>
    <t>P-17428</t>
  </si>
  <si>
    <t>COURTYARD PRELIM BUDGET</t>
  </si>
  <si>
    <t>17-42</t>
  </si>
  <si>
    <t>P-17312</t>
  </si>
  <si>
    <t>16241 CHAPMAN MARKET</t>
  </si>
  <si>
    <t>0104510</t>
  </si>
  <si>
    <t>P-17126</t>
  </si>
  <si>
    <t>0104509</t>
  </si>
  <si>
    <t>P-17125</t>
  </si>
  <si>
    <t>COURTYARD PROJ</t>
  </si>
  <si>
    <t>0104198</t>
  </si>
  <si>
    <t>P-16663</t>
  </si>
  <si>
    <t>0104197</t>
  </si>
  <si>
    <t>P-16662</t>
  </si>
  <si>
    <t>0104196</t>
  </si>
  <si>
    <t>P-16661</t>
  </si>
  <si>
    <t>Rcl Perkowitz &amp; Ruth Architect 09/16/2016 #0102949</t>
  </si>
  <si>
    <t>J-33991</t>
  </si>
  <si>
    <t>Reclass</t>
  </si>
  <si>
    <t>0103704</t>
  </si>
  <si>
    <t>P-15404</t>
  </si>
  <si>
    <t>0103705</t>
  </si>
  <si>
    <t>P-15403</t>
  </si>
  <si>
    <t>0103706</t>
  </si>
  <si>
    <t>P-15402</t>
  </si>
  <si>
    <t>REVIEW PARKING STUDY</t>
  </si>
  <si>
    <t>199640</t>
  </si>
  <si>
    <t>P-15407</t>
  </si>
  <si>
    <t>0103287</t>
  </si>
  <si>
    <t>P-15405</t>
  </si>
  <si>
    <t>PROJECT STATUS,HISTORIC &amp; DESIGN</t>
  </si>
  <si>
    <t>198571</t>
  </si>
  <si>
    <t>P-15408</t>
  </si>
  <si>
    <t>0102950</t>
  </si>
  <si>
    <t>P-15406</t>
  </si>
  <si>
    <t>OP-CIP-BI-Clearing</t>
  </si>
  <si>
    <t>16120-050</t>
  </si>
  <si>
    <t>Book = Accrual,External,FMV</t>
  </si>
  <si>
    <t>Period = Jan 2001-Nov 2020</t>
  </si>
  <si>
    <t>Roof</t>
  </si>
  <si>
    <t>Total Hard Costs</t>
  </si>
  <si>
    <t>Total Soft Costs</t>
  </si>
  <si>
    <t>170/200</t>
  </si>
  <si>
    <t>Sub</t>
  </si>
  <si>
    <t>Gen</t>
  </si>
  <si>
    <t>Linked to 2020 Sheet</t>
  </si>
  <si>
    <t xml:space="preserve">Leveraged Cash Flow </t>
  </si>
  <si>
    <t>Proforma Occupancy %</t>
  </si>
  <si>
    <t>Current Month</t>
  </si>
  <si>
    <t>New Budget</t>
  </si>
  <si>
    <t>-</t>
  </si>
  <si>
    <t>10/180</t>
  </si>
  <si>
    <t>CapEx Budget (2021 Forecast)</t>
  </si>
  <si>
    <t>Project 11 11 (LOI)</t>
  </si>
  <si>
    <t>Kazunori (LOI)</t>
  </si>
  <si>
    <t>Tiger Sugar Boba</t>
  </si>
  <si>
    <t>1.0% / 0.50%</t>
  </si>
  <si>
    <t xml:space="preserve">    * Results displayed are based on Forecast data only</t>
  </si>
  <si>
    <t>Freehold</t>
  </si>
  <si>
    <t>5 Years</t>
  </si>
  <si>
    <t>Speculative</t>
  </si>
  <si>
    <t>Suite: 65</t>
  </si>
  <si>
    <t>None</t>
  </si>
  <si>
    <t>Contract</t>
  </si>
  <si>
    <t>NNN - 15% Admin - Project 11 11</t>
  </si>
  <si>
    <t>Base</t>
  </si>
  <si>
    <t>Sep-2034</t>
  </si>
  <si>
    <t>15 Years</t>
  </si>
  <si>
    <t>Suite: 50</t>
  </si>
  <si>
    <t>NNN - 15% Admin</t>
  </si>
  <si>
    <t>10 Years</t>
  </si>
  <si>
    <t>Suite: 200</t>
  </si>
  <si>
    <t>Jul-2033</t>
  </si>
  <si>
    <t>Suite: 170</t>
  </si>
  <si>
    <t>Jul-2032</t>
  </si>
  <si>
    <t>(varies)</t>
  </si>
  <si>
    <t>Suite: 300</t>
  </si>
  <si>
    <t>10/1/2021 - 9/30/2026</t>
  </si>
  <si>
    <t>May-2032</t>
  </si>
  <si>
    <t>Suite: 110</t>
  </si>
  <si>
    <t>Mar-2020</t>
  </si>
  <si>
    <t>Mar-2019</t>
  </si>
  <si>
    <t>8 Years 4 Months</t>
  </si>
  <si>
    <t>1/1/2017 - 4/30/2025</t>
  </si>
  <si>
    <t>1 Month</t>
  </si>
  <si>
    <t>May-2020</t>
  </si>
  <si>
    <t>May-2019</t>
  </si>
  <si>
    <t>Oct-2031</t>
  </si>
  <si>
    <t>Suite: 130</t>
  </si>
  <si>
    <t>9/1/2023 - 8/31/2028</t>
  </si>
  <si>
    <t>8/1/2013 - 7/31/2023</t>
  </si>
  <si>
    <t>Aug-2020</t>
  </si>
  <si>
    <t>NNN - 10% Admin Exl. PTax</t>
  </si>
  <si>
    <t>Aug-2019</t>
  </si>
  <si>
    <t>Dec-2031</t>
  </si>
  <si>
    <t>Suite: 10/180</t>
  </si>
  <si>
    <t>Oct-2019</t>
  </si>
  <si>
    <t>7/1/2028 - 6/30/2033</t>
  </si>
  <si>
    <t>Suite: 40</t>
  </si>
  <si>
    <t>6/1/2018 - 5/31/2028</t>
  </si>
  <si>
    <t>NNN - 10% Admin Exl. PTax/Ins</t>
  </si>
  <si>
    <t>7/1/2029 - 6/30/2034</t>
  </si>
  <si>
    <t>Suite: 160</t>
  </si>
  <si>
    <t>9 Years 7 Months</t>
  </si>
  <si>
    <t>11/1/2019 - 5/31/2029</t>
  </si>
  <si>
    <t>Jun-2020</t>
  </si>
  <si>
    <t>Sep-2032</t>
  </si>
  <si>
    <t>Suite: 150</t>
  </si>
  <si>
    <t>7/1/2013 - 6/30/2023</t>
  </si>
  <si>
    <t>Suite: 80</t>
  </si>
  <si>
    <t>Nov-2019</t>
  </si>
  <si>
    <t>Suite: 20</t>
  </si>
  <si>
    <t>Mar-2033</t>
  </si>
  <si>
    <t>Mar-2032</t>
  </si>
  <si>
    <t>Suite: 70</t>
  </si>
  <si>
    <t>1. Escala</t>
  </si>
  <si>
    <t>10 Years 5 Months</t>
  </si>
  <si>
    <t>8/1/2013 - 12/31/2023</t>
  </si>
  <si>
    <t>Jan-2020</t>
  </si>
  <si>
    <t>Jan-2019</t>
  </si>
  <si>
    <t>Rental Value Per Year</t>
  </si>
  <si>
    <t>Lease Type</t>
  </si>
  <si>
    <t>Tenure</t>
  </si>
  <si>
    <t>Option</t>
  </si>
  <si>
    <t>Non-Refundable Deposit</t>
  </si>
  <si>
    <t>Total Amount</t>
  </si>
  <si>
    <t>Input Amount</t>
  </si>
  <si>
    <t>Overage % / Cap</t>
  </si>
  <si>
    <t>Months</t>
  </si>
  <si>
    <t>Inflation Rate/Index</t>
  </si>
  <si>
    <t>$/SF-Monthly</t>
  </si>
  <si>
    <t>$/SF-Annual</t>
  </si>
  <si>
    <t>Amount Per Month</t>
  </si>
  <si>
    <t>Market Leasing</t>
  </si>
  <si>
    <t>Building Share %</t>
  </si>
  <si>
    <t>Lease Term</t>
  </si>
  <si>
    <t>Reabsorb</t>
  </si>
  <si>
    <t>Percent to Refund</t>
  </si>
  <si>
    <t>Rate $/SF</t>
  </si>
  <si>
    <t>Breakpoint</t>
  </si>
  <si>
    <t>Timing</t>
  </si>
  <si>
    <t>Changes To</t>
  </si>
  <si>
    <t>Changes On</t>
  </si>
  <si>
    <t>Rate Per Month</t>
  </si>
  <si>
    <t>Lease Status</t>
  </si>
  <si>
    <t>Initial Area</t>
  </si>
  <si>
    <t>Lease Dates</t>
  </si>
  <si>
    <t>Market - %</t>
  </si>
  <si>
    <t>Security Deposit @ %</t>
  </si>
  <si>
    <t>Name</t>
  </si>
  <si>
    <t>Structure Name</t>
  </si>
  <si>
    <t>Sales Volume</t>
  </si>
  <si>
    <t>Rent</t>
  </si>
  <si>
    <t>Amount Per Year</t>
  </si>
  <si>
    <t>Lease Period</t>
  </si>
  <si>
    <t>Suite Number</t>
  </si>
  <si>
    <t>Rate Per Year</t>
  </si>
  <si>
    <t>Tenant Name</t>
  </si>
  <si>
    <t>Renewal Assumption</t>
  </si>
  <si>
    <t>Security Deposits</t>
  </si>
  <si>
    <t>Incentives</t>
  </si>
  <si>
    <t>Recovery</t>
  </si>
  <si>
    <t>Miscellaneous Rent</t>
  </si>
  <si>
    <t>% Rent</t>
  </si>
  <si>
    <t>Free Rent</t>
  </si>
  <si>
    <t>CPI</t>
  </si>
  <si>
    <t>Rent Details</t>
  </si>
  <si>
    <t>General Tenant Information</t>
  </si>
  <si>
    <t>All Tenants/ All Lease Periods</t>
  </si>
  <si>
    <t>Lease Summary Report</t>
  </si>
  <si>
    <t>Incl. above</t>
  </si>
  <si>
    <t>Refinance (June 2021)</t>
  </si>
  <si>
    <t>(1) Tenant Improvements for new leases are blended at $50/sf for new leases and $0/sf for renewals, with 65% renewal probability</t>
  </si>
  <si>
    <t>Baekjeong</t>
  </si>
  <si>
    <t>Hikari</t>
  </si>
  <si>
    <t>Financing Assumptions  (Refi Loan)</t>
  </si>
  <si>
    <t>Sensitivity Chart - Sales Date vs Cap Rate</t>
  </si>
  <si>
    <t>Yr. 5 includes large bad debt expense</t>
  </si>
  <si>
    <t>Signed lease expected week of 12/7/2020</t>
  </si>
  <si>
    <t>Interested in the Gaam #300 space</t>
  </si>
  <si>
    <t>CapEx (with optionality) planned for 2021</t>
  </si>
  <si>
    <t>Expansion space buildout completed</t>
  </si>
  <si>
    <t>TI buildout approved, construction to commence Dec-2020</t>
  </si>
  <si>
    <t>ArcWest PJV</t>
  </si>
  <si>
    <t>Chapman Market Rent Roll</t>
  </si>
  <si>
    <t>As of 12/9/2020</t>
  </si>
  <si>
    <t>Unit(s)</t>
  </si>
  <si>
    <t>Lease</t>
  </si>
  <si>
    <t>Occupied</t>
  </si>
  <si>
    <t>Lease From</t>
  </si>
  <si>
    <t>Lease To</t>
  </si>
  <si>
    <t xml:space="preserve"> Monthly</t>
  </si>
  <si>
    <t>Monthly</t>
  </si>
  <si>
    <t>Annual</t>
  </si>
  <si>
    <t>Kang Ho-dong Baekjeong</t>
  </si>
  <si>
    <t>EsCala</t>
  </si>
  <si>
    <t>110</t>
  </si>
  <si>
    <r>
      <t xml:space="preserve">Tigar Sugar Boba </t>
    </r>
    <r>
      <rPr>
        <vertAlign val="superscript"/>
        <sz val="11"/>
        <rFont val="Calibri"/>
        <family val="2"/>
        <scheme val="minor"/>
      </rPr>
      <t>(2)</t>
    </r>
  </si>
  <si>
    <t>130</t>
  </si>
  <si>
    <t>150</t>
  </si>
  <si>
    <t>Sake House by Hikari</t>
  </si>
  <si>
    <r>
      <t xml:space="preserve">Shibuyala </t>
    </r>
    <r>
      <rPr>
        <vertAlign val="superscript"/>
        <sz val="11"/>
        <rFont val="Calibri"/>
        <family val="2"/>
        <scheme val="minor"/>
      </rPr>
      <t>(3)</t>
    </r>
  </si>
  <si>
    <t xml:space="preserve">GER Bar </t>
  </si>
  <si>
    <t>160</t>
  </si>
  <si>
    <r>
      <t>Kazunori</t>
    </r>
    <r>
      <rPr>
        <vertAlign val="superscript"/>
        <sz val="11"/>
        <rFont val="Calibri"/>
        <family val="2"/>
        <scheme val="minor"/>
      </rPr>
      <t>(4)</t>
    </r>
  </si>
  <si>
    <t>Vacant</t>
  </si>
  <si>
    <t>170</t>
  </si>
  <si>
    <t>200</t>
  </si>
  <si>
    <t>300</t>
  </si>
  <si>
    <t>Totals / Averages</t>
  </si>
  <si>
    <t>Occupancy</t>
  </si>
  <si>
    <t>Tenant Patios</t>
  </si>
  <si>
    <t>Retail - NNN</t>
  </si>
  <si>
    <r>
      <t>Quarters</t>
    </r>
    <r>
      <rPr>
        <vertAlign val="superscript"/>
        <sz val="11"/>
        <rFont val="Calibri"/>
        <family val="2"/>
        <scheme val="minor"/>
      </rPr>
      <t>(5)</t>
    </r>
  </si>
  <si>
    <t>Grand Total</t>
  </si>
  <si>
    <t>(1)</t>
  </si>
  <si>
    <t>Notes:</t>
  </si>
  <si>
    <t>(1) Total sf is less than BOMA total psf due to in-place leases at historical measurements</t>
  </si>
  <si>
    <t>(2) The previous tenant, Snow Monster, assigned its lease to Tiger Sugar Boba in 1Q2020</t>
  </si>
  <si>
    <t>(3) Shibuyala executed a lease amendment to expand into Suite 10</t>
  </si>
  <si>
    <t>(4) Kazunori is expected to execute a lease in December 2020, reflects Year 1 average rent</t>
  </si>
  <si>
    <t>(5) The tenant has 1,078 sf of patio space but only pays on 700 sf</t>
  </si>
  <si>
    <t>(000)</t>
  </si>
  <si>
    <t>New stabilization period, optionality for early sale</t>
  </si>
  <si>
    <t>Payment plan in progress for $133k+ in A/R</t>
  </si>
  <si>
    <t>Payment plan has been accepted by tenant</t>
  </si>
  <si>
    <t>Chapman Market Leasing Activity Since Inception</t>
  </si>
  <si>
    <t>UPDATED AS OF 10/8 - Includes Project11 11 LOI</t>
  </si>
  <si>
    <t>As of September 30, 2020</t>
  </si>
  <si>
    <t>Initial In-Place</t>
  </si>
  <si>
    <t>Current/New</t>
  </si>
  <si>
    <t>Suite No.</t>
  </si>
  <si>
    <t>% Increase</t>
  </si>
  <si>
    <t>Renewal/New</t>
  </si>
  <si>
    <t>Former Tenant</t>
  </si>
  <si>
    <t>Executed Leases:</t>
  </si>
  <si>
    <t>Kang Ho Dong</t>
  </si>
  <si>
    <t>20</t>
  </si>
  <si>
    <t>Renewal</t>
  </si>
  <si>
    <t>120-140</t>
  </si>
  <si>
    <t>New</t>
  </si>
  <si>
    <t>Et Collette &amp; Whisper</t>
  </si>
  <si>
    <t>Dazen Express</t>
  </si>
  <si>
    <t>ToeBang</t>
  </si>
  <si>
    <t>30-40</t>
  </si>
  <si>
    <t>Vape &amp; Fashion Rialto</t>
  </si>
  <si>
    <t>Drenic</t>
  </si>
  <si>
    <t>10</t>
  </si>
  <si>
    <t>Collette</t>
  </si>
  <si>
    <t>Does this need to be removed</t>
  </si>
  <si>
    <r>
      <t xml:space="preserve">Silver Lake Ramen </t>
    </r>
    <r>
      <rPr>
        <vertAlign val="superscript"/>
        <sz val="11"/>
        <color theme="1"/>
        <rFont val="Calibri"/>
        <family val="2"/>
        <scheme val="minor"/>
      </rPr>
      <t>(1)</t>
    </r>
  </si>
  <si>
    <t>Antique Coffee</t>
  </si>
  <si>
    <r>
      <t xml:space="preserve">GER Bar </t>
    </r>
    <r>
      <rPr>
        <vertAlign val="superscript"/>
        <sz val="11"/>
        <color theme="1"/>
        <rFont val="Calibri"/>
        <family val="2"/>
        <scheme val="minor"/>
      </rPr>
      <t>(1)</t>
    </r>
  </si>
  <si>
    <t>Coffee Kkot</t>
  </si>
  <si>
    <r>
      <t xml:space="preserve">Shibuyala (Expansion) </t>
    </r>
    <r>
      <rPr>
        <vertAlign val="superscript"/>
        <sz val="11"/>
        <color theme="1"/>
        <rFont val="Calibri"/>
        <family val="2"/>
        <scheme val="minor"/>
      </rPr>
      <t>(2)</t>
    </r>
  </si>
  <si>
    <t>Subtotal / Averages</t>
  </si>
  <si>
    <t>LOIs:</t>
  </si>
  <si>
    <r>
      <t xml:space="preserve">Wells Fargo ATM </t>
    </r>
    <r>
      <rPr>
        <vertAlign val="superscript"/>
        <sz val="11"/>
        <color theme="1"/>
        <rFont val="Calibri"/>
        <family val="2"/>
        <scheme val="minor"/>
      </rPr>
      <t>(3)</t>
    </r>
  </si>
  <si>
    <t>16 - 40</t>
  </si>
  <si>
    <r>
      <t xml:space="preserve">N/A </t>
    </r>
    <r>
      <rPr>
        <vertAlign val="superscript"/>
        <sz val="11"/>
        <color theme="1"/>
        <rFont val="Calibri"/>
        <family val="2"/>
        <scheme val="minor"/>
      </rPr>
      <t>(3)</t>
    </r>
  </si>
  <si>
    <t>Round Table</t>
  </si>
  <si>
    <r>
      <t xml:space="preserve">Kazunori </t>
    </r>
    <r>
      <rPr>
        <vertAlign val="superscript"/>
        <sz val="11"/>
        <color theme="1"/>
        <rFont val="Calibri"/>
        <family val="2"/>
        <scheme val="minor"/>
      </rPr>
      <t>(4)</t>
    </r>
  </si>
  <si>
    <r>
      <t xml:space="preserve">Project Eleven Eleven </t>
    </r>
    <r>
      <rPr>
        <vertAlign val="superscript"/>
        <sz val="11"/>
        <color theme="1"/>
        <rFont val="Calibri"/>
        <family val="2"/>
        <scheme val="minor"/>
      </rPr>
      <t>(5)</t>
    </r>
  </si>
  <si>
    <t>Jokbal</t>
  </si>
  <si>
    <t>Northern Café</t>
  </si>
  <si>
    <t>Uncle Tetsu</t>
  </si>
  <si>
    <t>Advision Communication</t>
  </si>
  <si>
    <r>
      <t xml:space="preserve">Project Eleven Eleven </t>
    </r>
    <r>
      <rPr>
        <vertAlign val="superscript"/>
        <sz val="11"/>
        <color theme="1"/>
        <rFont val="Calibri"/>
        <family val="2"/>
        <scheme val="minor"/>
      </rPr>
      <t>(6)</t>
    </r>
  </si>
  <si>
    <t>Gaam</t>
  </si>
  <si>
    <t>new 12/11/20</t>
  </si>
  <si>
    <t>Total / Averages</t>
  </si>
  <si>
    <t>(1) Does not include rent and sf attributable to patio space</t>
  </si>
  <si>
    <t>(2) Drenic was granted an early termination &amp; Shibuyala executed a lease amendment to expand into the space</t>
  </si>
  <si>
    <t>(3) Wells Fargo will pay $21,600 annually for an ATM within Suite 50 facing 6th Street</t>
  </si>
  <si>
    <t>(4) Rent PSF starts at $4.50 and increases to $5.25 from Mo. 6 to Mo. 12 before increasing by 9% every 36 Mo.</t>
  </si>
  <si>
    <t>(5) Rent PSF starts at $3.75 then increases to $4.75 in Yr. 3, then growing 3%, averaging $4.44 over 5 Yr.</t>
  </si>
  <si>
    <t>(6) 5-year term, 6% percentage rent Year 1, &gt; of 6% rent or $2.50 Year 2, 3% rent increase after</t>
  </si>
  <si>
    <t>Removed</t>
  </si>
  <si>
    <t>Arirang Hotdog</t>
  </si>
  <si>
    <t>Verizon</t>
  </si>
  <si>
    <t>CPN/ Myungrang Hotdog</t>
  </si>
  <si>
    <t>Afters Ice Cream</t>
  </si>
  <si>
    <t>Dosan Bunsik</t>
  </si>
  <si>
    <t>Dong Dae Moon (Sung Bum Kang)</t>
  </si>
  <si>
    <t>Brian Clark (Coworking)</t>
  </si>
  <si>
    <t>Verizon / Bliss</t>
  </si>
  <si>
    <t>90-100</t>
  </si>
  <si>
    <t>Vacant &amp; Red Door Hair</t>
  </si>
  <si>
    <t>Rent PSF</t>
  </si>
  <si>
    <t>Change from UBS terms to new lender post-Covid</t>
  </si>
  <si>
    <t>Feb-2032</t>
  </si>
  <si>
    <t>Nov-2031</t>
  </si>
  <si>
    <t>Jan-2032</t>
  </si>
  <si>
    <t xml:space="preserve">  Capital Reserves</t>
  </si>
  <si>
    <t>Argus Check</t>
  </si>
  <si>
    <t>Period = Jan 2020-Dec 2020</t>
  </si>
  <si>
    <t>Jan 2020</t>
  </si>
  <si>
    <t>Feb 2020</t>
  </si>
  <si>
    <t>Mar 2020</t>
  </si>
  <si>
    <t>Apr 2020</t>
  </si>
  <si>
    <t>May 2020</t>
  </si>
  <si>
    <t>Jun 2020</t>
  </si>
  <si>
    <t>Jul 2020</t>
  </si>
  <si>
    <t>Aug 2020</t>
  </si>
  <si>
    <t>Sep 2020</t>
  </si>
  <si>
    <t>Oct 2020</t>
  </si>
  <si>
    <t>Nov 2020</t>
  </si>
  <si>
    <t>Dec 2020</t>
  </si>
  <si>
    <t>40920-000</t>
  </si>
  <si>
    <t xml:space="preserve">    Leveling Revenue</t>
  </si>
  <si>
    <t>40940-000</t>
  </si>
  <si>
    <t xml:space="preserve">      Intangible Lease Revenue</t>
  </si>
  <si>
    <t>40942-000</t>
  </si>
  <si>
    <t xml:space="preserve">        Amort-Below Market Rents</t>
  </si>
  <si>
    <t>40949-999</t>
  </si>
  <si>
    <t xml:space="preserve">      Total Intangible Lease Revenue</t>
  </si>
  <si>
    <t>40959-900</t>
  </si>
  <si>
    <t xml:space="preserve">    Total Leveling Revenue</t>
  </si>
  <si>
    <t>41510-130</t>
  </si>
  <si>
    <t xml:space="preserve">        Direct Bill Rev-Roof</t>
  </si>
  <si>
    <t>56000-000</t>
  </si>
  <si>
    <t xml:space="preserve">    Lease &amp; Marketing Expense</t>
  </si>
  <si>
    <t>59510-130</t>
  </si>
  <si>
    <t xml:space="preserve">        Direct Bill-Roof</t>
  </si>
  <si>
    <t>82501-000</t>
  </si>
  <si>
    <t xml:space="preserve">  Unrealized Gain (Loss)</t>
  </si>
  <si>
    <t>Jan 2021</t>
  </si>
  <si>
    <t>Feb 2021</t>
  </si>
  <si>
    <t>Mar 2021</t>
  </si>
  <si>
    <t>41060-000</t>
  </si>
  <si>
    <t xml:space="preserve">    T/R-Administrative Expense</t>
  </si>
  <si>
    <t>41062-000</t>
  </si>
  <si>
    <t xml:space="preserve">      T/R-Other Recoveries</t>
  </si>
  <si>
    <t>41069-999</t>
  </si>
  <si>
    <t xml:space="preserve">    Total T/R-Administrative Exp</t>
  </si>
  <si>
    <t>52012-000</t>
  </si>
  <si>
    <t xml:space="preserve">        Utilities-Gas</t>
  </si>
  <si>
    <t>Period = Jan 2021-Mar 2021</t>
  </si>
  <si>
    <t xml:space="preserve">  Real Estate Tax</t>
  </si>
  <si>
    <t>Contributions - ITD BUDGET</t>
  </si>
  <si>
    <t>Distributions - ITD BUDGET</t>
  </si>
  <si>
    <t>Occ - ITD BUDGET</t>
  </si>
  <si>
    <t>Rent PSF - ITD BUDGET</t>
  </si>
  <si>
    <t>NOI - ITD BUDGET</t>
  </si>
  <si>
    <t>OpEx - ITD BUDGET</t>
  </si>
  <si>
    <t>DSCR - ITD BUDGET</t>
  </si>
  <si>
    <t>40013-000</t>
  </si>
  <si>
    <t xml:space="preserve">      Rent-Additional</t>
  </si>
  <si>
    <t>Apr 2021</t>
  </si>
  <si>
    <t>May 2021</t>
  </si>
  <si>
    <t>Jun 2021</t>
  </si>
  <si>
    <t>Jul 2021</t>
  </si>
  <si>
    <t>Aug 2021</t>
  </si>
  <si>
    <t>52014-000</t>
  </si>
  <si>
    <t xml:space="preserve">        Utilities-Telephone &amp; Data</t>
  </si>
  <si>
    <t>60000-000</t>
  </si>
  <si>
    <t xml:space="preserve">  General &amp; Administrative Exp</t>
  </si>
  <si>
    <t>67000-000</t>
  </si>
  <si>
    <t>67010-000</t>
  </si>
  <si>
    <t>67017-000</t>
  </si>
  <si>
    <t xml:space="preserve">        Legal-Notary Fees</t>
  </si>
  <si>
    <t>67019-999</t>
  </si>
  <si>
    <t>67099-999</t>
  </si>
  <si>
    <t>69999-999</t>
  </si>
  <si>
    <t xml:space="preserve">  Total General &amp; Admin Expense</t>
  </si>
  <si>
    <t>Apr-2032</t>
  </si>
  <si>
    <t>Jun-2032</t>
  </si>
  <si>
    <t>Aug-2032</t>
  </si>
  <si>
    <t>Sales Value</t>
  </si>
  <si>
    <t>9% Unlevered Return</t>
  </si>
  <si>
    <t>$61.8M</t>
  </si>
  <si>
    <t>Exit Timing</t>
  </si>
  <si>
    <t>1.7x</t>
  </si>
  <si>
    <t>Cap</t>
  </si>
  <si>
    <t>1.63x</t>
  </si>
  <si>
    <t>$2.21M</t>
  </si>
  <si>
    <t>Initla LTC</t>
  </si>
  <si>
    <t>EO Month</t>
  </si>
  <si>
    <t>Total Debt Service (Re-Fi)</t>
  </si>
  <si>
    <t xml:space="preserve">Total Debt Service </t>
  </si>
  <si>
    <t>Re-Fi Debt</t>
  </si>
  <si>
    <t>5/1/2029 - 4/30/2034</t>
  </si>
  <si>
    <t>May-2033</t>
  </si>
  <si>
    <t>11/1/2011 - 10/31/2026</t>
  </si>
  <si>
    <t>Mar-2034</t>
  </si>
  <si>
    <t>Nov-2032</t>
  </si>
  <si>
    <t>Nov-2033</t>
  </si>
  <si>
    <t>8/1/2029 - 7/31/2034</t>
  </si>
  <si>
    <t>Aug-2033</t>
  </si>
  <si>
    <t>Dec-2032</t>
  </si>
  <si>
    <t>Suite: 120, 140</t>
  </si>
  <si>
    <t>Sep-2033</t>
  </si>
  <si>
    <t>3/1/2018 - 2/28/2024</t>
  </si>
  <si>
    <t>5 Years 11 Months 28 Days</t>
  </si>
  <si>
    <t>12/9/2021 - 12/8/2036</t>
  </si>
  <si>
    <t>Dec-2033</t>
  </si>
  <si>
    <t>12/1/2026 - 11/30/2031</t>
  </si>
  <si>
    <t>Feb-2033</t>
  </si>
  <si>
    <t>Feb-2034</t>
  </si>
  <si>
    <t>Net</t>
  </si>
  <si>
    <t>2.18M</t>
  </si>
  <si>
    <t>$59.5M</t>
  </si>
  <si>
    <t>Rent Renewal</t>
  </si>
  <si>
    <t>Current Rent Roll</t>
  </si>
  <si>
    <t>Lease up Assumption</t>
  </si>
  <si>
    <t>Other Major Revisions (2022 vs 2021 Business Plan)</t>
  </si>
  <si>
    <t>Lease Up Revisions (2020, 2021 and 2022)</t>
  </si>
  <si>
    <t>5 years</t>
  </si>
  <si>
    <t>Base Rent Assumptions</t>
  </si>
  <si>
    <t xml:space="preserve">TIs PSF Assumption </t>
  </si>
  <si>
    <t>Base Rent (PSF)</t>
  </si>
  <si>
    <t>Renewal TI Assumptions</t>
  </si>
  <si>
    <t>Month 133</t>
  </si>
  <si>
    <t>Month 134</t>
  </si>
  <si>
    <t>Month 135</t>
  </si>
  <si>
    <t>Month 136</t>
  </si>
  <si>
    <t>Month 137</t>
  </si>
  <si>
    <t>Month 138</t>
  </si>
  <si>
    <t>Month 139</t>
  </si>
  <si>
    <t>Month 140</t>
  </si>
  <si>
    <t>Month 141</t>
  </si>
  <si>
    <t>Month 142</t>
  </si>
  <si>
    <t>Month 143</t>
  </si>
  <si>
    <t>Month 144</t>
  </si>
  <si>
    <t>Oct-2032</t>
  </si>
  <si>
    <t>Jan-2033</t>
  </si>
  <si>
    <t>Apr-2033</t>
  </si>
  <si>
    <t>Jun-2033</t>
  </si>
  <si>
    <t>Suite 200 LL Work</t>
  </si>
  <si>
    <t>Suite 200 Elevator</t>
  </si>
  <si>
    <t>Courtyard</t>
  </si>
  <si>
    <t>Projected Returns Summary</t>
  </si>
  <si>
    <t>Sales Price/SF</t>
  </si>
  <si>
    <t>Capped NOI</t>
  </si>
  <si>
    <t>2021 Returns: Chapman Plaza - 2021 Business Plan Model</t>
  </si>
  <si>
    <t>2020 Returns: Chapman Plaza - 2020 Business Plan Model - VF Belay 5 Cap</t>
  </si>
  <si>
    <t>2019 Returns: Chapman Plaza - 2019 Business Plan Model v2</t>
  </si>
  <si>
    <t>Original UW: Chapman Plaza Model_2016-11-04_v97</t>
  </si>
  <si>
    <t>2022 Returns: Chapman Plaza - 2022 Business Plan Model</t>
  </si>
  <si>
    <t>Source</t>
  </si>
  <si>
    <t xml:space="preserve">CapEx Forecast </t>
  </si>
  <si>
    <t>Courtyard Refresh</t>
  </si>
  <si>
    <t>Hard Cost</t>
  </si>
  <si>
    <t>Soft Cost</t>
  </si>
  <si>
    <t>Suite 200 Budget (Unused)</t>
  </si>
  <si>
    <t>Suite 300</t>
  </si>
  <si>
    <t xml:space="preserve">Suite 170 </t>
  </si>
  <si>
    <t>Historical CapEx Spends</t>
  </si>
  <si>
    <t>Sensitivity Chart - Sales Date / Sales Price</t>
  </si>
  <si>
    <t>Note:</t>
  </si>
  <si>
    <t>Suite 200</t>
  </si>
  <si>
    <t>DSCR</t>
  </si>
  <si>
    <t>51023-000</t>
  </si>
  <si>
    <t xml:space="preserve">        R&amp;M-Elevator &amp; Escalator</t>
  </si>
  <si>
    <t>51033-000</t>
  </si>
  <si>
    <t xml:space="preserve">        R&amp;M-Tree &amp; Shrub</t>
  </si>
  <si>
    <t>Period = Jan 2022-Sep 2022</t>
  </si>
  <si>
    <t>Book = Accrual,External ; Tree = ysi_is</t>
  </si>
  <si>
    <t>Jan 2022</t>
  </si>
  <si>
    <t>Feb 2022</t>
  </si>
  <si>
    <t>Mar 2022</t>
  </si>
  <si>
    <t>Apr 2022</t>
  </si>
  <si>
    <t>May 2022</t>
  </si>
  <si>
    <t>Jun 2022</t>
  </si>
  <si>
    <t>Jul 2022</t>
  </si>
  <si>
    <t>Aug 2022</t>
  </si>
  <si>
    <t>Sep 2022</t>
  </si>
  <si>
    <t>OPERATING INCOME (LOSS)</t>
  </si>
  <si>
    <t xml:space="preserve">  Hedging Instrument</t>
  </si>
  <si>
    <t xml:space="preserve">  Total Hedging Instrument</t>
  </si>
  <si>
    <t>Month 145</t>
  </si>
  <si>
    <t>Month 146</t>
  </si>
  <si>
    <t>Month 147</t>
  </si>
  <si>
    <t>Oct-2033</t>
  </si>
  <si>
    <t>Jan-2034</t>
  </si>
  <si>
    <t>Apr-2034</t>
  </si>
  <si>
    <t>May-2034</t>
  </si>
  <si>
    <t>Jun-2034</t>
  </si>
  <si>
    <t>Jul-2034</t>
  </si>
  <si>
    <t>Aug-2034</t>
  </si>
  <si>
    <t>Oct-2034</t>
  </si>
  <si>
    <t>Nov-2034</t>
  </si>
  <si>
    <t>Dec-2034</t>
  </si>
  <si>
    <t xml:space="preserve">  Toe Bang COVID AR</t>
  </si>
  <si>
    <t xml:space="preserve">  Recoverable Operating Expenses</t>
  </si>
  <si>
    <t xml:space="preserve">  Non Recoverable Operating Expenses</t>
  </si>
  <si>
    <t>Chapman Market (10.21.2022_2023 Business Plan) (Amounts in USD, Measures in SF)</t>
  </si>
  <si>
    <t>As of Oct, 2022</t>
  </si>
  <si>
    <t>11/10/2022 9:15:14 PM</t>
  </si>
  <si>
    <t>Market - 70.00%</t>
  </si>
  <si>
    <t>$6.50 NNN - 5yr</t>
  </si>
  <si>
    <t>2/1/2024 - 1/31/2029</t>
  </si>
  <si>
    <t>3/1/2029 - 2/28/2034</t>
  </si>
  <si>
    <t>Apr-2035</t>
  </si>
  <si>
    <t>Apr-2036</t>
  </si>
  <si>
    <t>4/1/2034 - 3/31/2039</t>
  </si>
  <si>
    <t>Apr-2037</t>
  </si>
  <si>
    <t>Apr-2038</t>
  </si>
  <si>
    <t>2. Baekjeong (20)</t>
  </si>
  <si>
    <t>1/1/2032 - 12/31/2036</t>
  </si>
  <si>
    <t>Jan-2035</t>
  </si>
  <si>
    <t>Jan-2036</t>
  </si>
  <si>
    <t>3. BHC (80) - Patio</t>
  </si>
  <si>
    <t>5/1/2023 - 4/30/2028</t>
  </si>
  <si>
    <t>$5.75 NNN - 5 yr - Patio</t>
  </si>
  <si>
    <t>6/1/2028 - 5/31/2033</t>
  </si>
  <si>
    <t>Jul-2035</t>
  </si>
  <si>
    <t>7/1/2033 - 6/30/2038</t>
  </si>
  <si>
    <t>Jul-2036</t>
  </si>
  <si>
    <t>Jul-2037</t>
  </si>
  <si>
    <t>4. BHC (80)</t>
  </si>
  <si>
    <t>$5.75 NNN - 5 yr</t>
  </si>
  <si>
    <t>5. Silver Lake Ramen - Patio</t>
  </si>
  <si>
    <t>Aug-2035</t>
  </si>
  <si>
    <t>Aug-2036</t>
  </si>
  <si>
    <t>8/1/2034 - 7/31/2039</t>
  </si>
  <si>
    <t>Aug-2037</t>
  </si>
  <si>
    <t>Aug-2038</t>
  </si>
  <si>
    <t>6. Silver Lake Ramen</t>
  </si>
  <si>
    <t>7. Starbucks</t>
  </si>
  <si>
    <t>8/1/2033 - 7/31/2038</t>
  </si>
  <si>
    <t>8. STSK INC (Shibuyala)</t>
  </si>
  <si>
    <t>4/1/2017 - 9/30/2027</t>
  </si>
  <si>
    <t>10 Years 6 Months</t>
  </si>
  <si>
    <t>11/1/2027 - 10/31/2032</t>
  </si>
  <si>
    <t>12/1/2032 - 11/30/2037</t>
  </si>
  <si>
    <t>Dec-2035</t>
  </si>
  <si>
    <t>Dec-2036</t>
  </si>
  <si>
    <t>9. The Quarter Pound House Inc</t>
  </si>
  <si>
    <t>10/1/2028 - 9/30/2033</t>
  </si>
  <si>
    <t>Nov-2035</t>
  </si>
  <si>
    <t>11/1/2033 - 10/31/2038</t>
  </si>
  <si>
    <t>Nov-2036</t>
  </si>
  <si>
    <t>Nov-2037</t>
  </si>
  <si>
    <t>10. The Quarter Pound House Inc - Patio</t>
  </si>
  <si>
    <t>Aug-2018</t>
  </si>
  <si>
    <t>$6.50 NNN - 5yr - Patio</t>
  </si>
  <si>
    <t>11. Tiger Sugar Boba</t>
  </si>
  <si>
    <t>6/1/2025 - 5/31/2030</t>
  </si>
  <si>
    <t>7/1/2030 - 6/30/2035</t>
  </si>
  <si>
    <t>12. Toe Bang</t>
  </si>
  <si>
    <t>4/1/2024 - 3/31/2029</t>
  </si>
  <si>
    <t>Jun-2035</t>
  </si>
  <si>
    <t>Jun-2036</t>
  </si>
  <si>
    <t>6/1/2034 - 5/31/2039</t>
  </si>
  <si>
    <t>Jun-2037</t>
  </si>
  <si>
    <t>Jun-2038</t>
  </si>
  <si>
    <t>13. VACANT (300)</t>
  </si>
  <si>
    <t>6/1/2024 - 5/31/2029</t>
  </si>
  <si>
    <t>$2.25 NNN - 5 yr</t>
  </si>
  <si>
    <t>Oct-2035</t>
  </si>
  <si>
    <t>Oct-2036</t>
  </si>
  <si>
    <t>10/1/2034 - 9/30/2039</t>
  </si>
  <si>
    <t>Oct-2037</t>
  </si>
  <si>
    <t>Oct-2038</t>
  </si>
  <si>
    <t>14. VACANT (300) - Patio</t>
  </si>
  <si>
    <t>$2.25 NNN - 5 yr - Patio</t>
  </si>
  <si>
    <t>15. Uncle Tetsu</t>
  </si>
  <si>
    <t>9/1/2022 - 8/31/2032</t>
  </si>
  <si>
    <t>10/1/2032 - 9/30/2037</t>
  </si>
  <si>
    <t>16. Chapman Lounge (200)</t>
  </si>
  <si>
    <t>5/10/2024 - 5/9/2034</t>
  </si>
  <si>
    <t>7/1/2034 - 6/30/2039</t>
  </si>
  <si>
    <t>Jul-2038</t>
  </si>
  <si>
    <t>17. Chapman Lounge (200-E)</t>
  </si>
  <si>
    <t>Suite: 200-E</t>
  </si>
  <si>
    <t>18. Kazunori (50)</t>
  </si>
  <si>
    <t>19. Tokki (65)</t>
  </si>
  <si>
    <t>11/1/2026 - 10/31/2031</t>
  </si>
  <si>
    <t>12/1/2031 - 11/30/2036</t>
  </si>
  <si>
    <t>20. Hikari (150)</t>
  </si>
  <si>
    <t>Jul-2015</t>
  </si>
  <si>
    <t>Jul-2018</t>
  </si>
  <si>
    <t>Jul-2019</t>
  </si>
  <si>
    <t>Jul-2020</t>
  </si>
  <si>
    <t>Jul-2021</t>
  </si>
  <si>
    <t>Jul-2022</t>
  </si>
  <si>
    <t>8/1/2023 - 7/31/2028</t>
  </si>
  <si>
    <t>9/1/2028 - 8/31/2033</t>
  </si>
  <si>
    <t>10/1/2033 - 9/30/2038</t>
  </si>
  <si>
    <t>CapEx 2023</t>
  </si>
  <si>
    <t>Refi</t>
  </si>
  <si>
    <t>Initial Debt Draws (Re-Fi)</t>
  </si>
  <si>
    <t>CapEx Draws</t>
  </si>
  <si>
    <t>TI/LC Draws</t>
  </si>
  <si>
    <t>Total Debt Draws (Re-Fi)</t>
  </si>
  <si>
    <t>Leveraged Cash Flow</t>
  </si>
  <si>
    <t>Updated 11/12/2022</t>
  </si>
  <si>
    <t>Cap Protection</t>
  </si>
  <si>
    <t>TEXT(V8,"0.0%")&amp;" / "&amp;TEXT(V19,"0.0x")</t>
  </si>
  <si>
    <t xml:space="preserve"> 1. 2022 and 2023 sales price includes $3MM land price added to the value of improvements</t>
  </si>
  <si>
    <t>Budget (2023)</t>
  </si>
  <si>
    <t>ULA Tax</t>
  </si>
  <si>
    <t>Gross Exit Value (Post Abatement/TI/LC Credit, ULA)</t>
  </si>
  <si>
    <t>Sensitivity Chart - Levered IRR and EM</t>
  </si>
  <si>
    <t>Sensitivity Chart - Sales Price ('000)</t>
  </si>
  <si>
    <r>
      <t>Assumptions</t>
    </r>
    <r>
      <rPr>
        <b/>
        <vertAlign val="superscript"/>
        <sz val="11"/>
        <color theme="1"/>
        <rFont val="Calibri"/>
        <family val="2"/>
        <scheme val="minor"/>
      </rPr>
      <t>1,2</t>
    </r>
  </si>
  <si>
    <t>Sales Price</t>
  </si>
  <si>
    <t>2. 2023 net exit proceeds include 5% of ULA tax to the sales price</t>
  </si>
  <si>
    <t>Common Area</t>
  </si>
  <si>
    <t>Suite 300 Elevator</t>
  </si>
  <si>
    <t>2023 Soft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</si>
</sst>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8">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mmm\-yy;@"/>
    <numFmt numFmtId="165" formatCode="&quot;Mo.&quot;\ 0"/>
    <numFmt numFmtId="166" formatCode="&quot;Mo.&quot;\ ##0"/>
    <numFmt numFmtId="167" formatCode="0.00\x"/>
    <numFmt numFmtId="168" formatCode="0.0000"/>
    <numFmt numFmtId="169" formatCode="#,##0.0000_);\(#,##0.0000\)"/>
    <numFmt numFmtId="170" formatCode="&quot;Yr. &quot;0"/>
    <numFmt numFmtId="171" formatCode="&quot;Closing Costs @&quot;\ 0.0%"/>
    <numFmt numFmtId="172" formatCode="0.0%"/>
    <numFmt numFmtId="173" formatCode="##0\ &quot;Mos.&quot;"/>
    <numFmt numFmtId="174" formatCode="&quot;$&quot;0.00\ &quot;PSF&quot;"/>
    <numFmt numFmtId="175" formatCode="&quot;FSG&quot;;;&quot;NNN&quot;"/>
    <numFmt numFmtId="176" formatCode="\L\+0"/>
    <numFmt numFmtId="177" formatCode="&quot;LIBOR @&quot;\ #0.##%"/>
    <numFmt numFmtId="178" formatCode="#,##0&quot; sf&quot;"/>
    <numFmt numFmtId="179" formatCode="&quot;Mo.&quot;\ ####0"/>
    <numFmt numFmtId="180" formatCode="0\ &quot;Mos.&quot;"/>
    <numFmt numFmtId="181" formatCode="#,##0\ &quot;Yrs.&quot;"/>
    <numFmt numFmtId="182" formatCode="&quot;$&quot;###,##0\ &quot;PSF&quot;"/>
    <numFmt numFmtId="183" formatCode="&quot;Floating&quot;;;&quot;Fixed&quot;"/>
    <numFmt numFmtId="184" formatCode="&quot;$&quot;#,##0.000_);\(&quot;$&quot;#,##0.000\)"/>
    <numFmt numFmtId="185" formatCode="&quot;$&quot;#,##0_);\(&quot;$&quot;#,##0\);\–_);&quot;–&quot;_)"/>
    <numFmt numFmtId="186" formatCode="&quot;Yes&quot;;;&quot;No&quot;"/>
    <numFmt numFmtId="187" formatCode="&quot;Equity First&quot;;;&quot;Pari Passu&quot;"/>
    <numFmt numFmtId="188" formatCode="#,##0.0_);\(#,##0.0\)"/>
    <numFmt numFmtId="189" formatCode="0%_);\(0%\);&quot;–&quot;_)"/>
    <numFmt numFmtId="190" formatCode="&quot;Mo. &quot;0"/>
    <numFmt numFmtId="191" formatCode="#,##0.0000"/>
    <numFmt numFmtId="192" formatCode="&quot;Yr.&quot;\ ####0"/>
    <numFmt numFmtId="193" formatCode="&quot;$&quot;#,##0"/>
    <numFmt numFmtId="194" formatCode="#,##0\ &quot;sf&quot;"/>
    <numFmt numFmtId="195" formatCode="#,##0\ &quot;sf per mo.&quot;"/>
    <numFmt numFmtId="196" formatCode="#,##0.0_);\(#,##0.0\);\–_);&quot;–&quot;_)"/>
    <numFmt numFmtId="197" formatCode="&quot;$&quot;#,##0.0_);\(&quot;$&quot;#,##0.0\);\–_);&quot;–&quot;_)"/>
    <numFmt numFmtId="198" formatCode="0.00%_);\(0.00%\);&quot;–&quot;_)"/>
    <numFmt numFmtId="199" formatCode="&quot;$&quot;#,##0.00_);\(&quot;$&quot;#,##0.00\);\–_);&quot;–&quot;_)"/>
    <numFmt numFmtId="200" formatCode="0\ &quot;Yrs.&quot;"/>
    <numFmt numFmtId="201" formatCode="0.000%"/>
    <numFmt numFmtId="202" formatCode="[$-409]mmmm\ d\,\ yyyy;@"/>
    <numFmt numFmtId="203" formatCode="&quot;$&quot;#,##0.0"/>
    <numFmt numFmtId="204" formatCode="_-&quot;£&quot;* #,##0_-;\-&quot;£&quot;* #,##0_-;_-&quot;£&quot;* &quot;-&quot;_-;_-@_-"/>
    <numFmt numFmtId="205" formatCode="_-* #,##0_-;\-* #,##0_-;_-* &quot;-&quot;_-;_-@_-"/>
    <numFmt numFmtId="206" formatCode="_-&quot;£&quot;* #,##0.00_-;\-&quot;£&quot;* #,##0.00_-;_-&quot;£&quot;* &quot;-&quot;??_-;_-@_-"/>
    <numFmt numFmtId="207" formatCode="_-* #,##0.00_-;\-* #,##0.00_-;_-* &quot;-&quot;??_-;_-@_-"/>
    <numFmt numFmtId="208" formatCode="\$#"/>
    <numFmt numFmtId="209" formatCode="_([$€-2]* #,##0.00_);_([$€-2]* \(#,##0.00\);_([$€-2]* &quot;-&quot;??_)"/>
    <numFmt numFmtId="210" formatCode="#.00"/>
    <numFmt numFmtId="211" formatCode="#,##0.0%_);\(#,##0.0%\)"/>
    <numFmt numFmtId="212" formatCode="#,##0.00\x"/>
    <numFmt numFmtId="213" formatCode="_(#,##0_);_(\(#,##0\);_(&quot;-&quot;_);_(@_)"/>
    <numFmt numFmtId="214" formatCode="#,##0.0\x"/>
    <numFmt numFmtId="215" formatCode="0.0%_);\(0.0%\);&quot;–&quot;_)"/>
    <numFmt numFmtId="216" formatCode="#,##0%_);\(#,##0%\)"/>
    <numFmt numFmtId="217" formatCode="#0.0#\ &quot;Acres&quot;"/>
    <numFmt numFmtId="218" formatCode="&quot;Mo. &quot;0\ "/>
    <numFmt numFmtId="219" formatCode="_(&quot;$&quot;#,##0_);_(\(&quot;$&quot;#,##0\);_(&quot;-&quot;_);_(@_)"/>
    <numFmt numFmtId="220" formatCode="&quot;Yr&quot;\ 0"/>
    <numFmt numFmtId="221" formatCode="&quot;L+&quot;\ 0"/>
    <numFmt numFmtId="222" formatCode="0&quot; Mos.&quot;\ "/>
    <numFmt numFmtId="223" formatCode="_(* #,##0_);_(* \(#,##0\);_(* &quot;-&quot;??_);_(@_)"/>
    <numFmt numFmtId="224" formatCode="&quot;$&quot;#,##0.00"/>
    <numFmt numFmtId="225" formatCode="_(&quot;$&quot;* #,##0_);_(&quot;$&quot;* \(#,##0\);_(&quot;$&quot;* &quot;-&quot;??_);_(@_)"/>
    <numFmt numFmtId="226" formatCode="0.00000"/>
    <numFmt numFmtId="227" formatCode="&quot;Month&quot;\ 0"/>
    <numFmt numFmtId="228" formatCode="#\ &quot;Years&quot;"/>
    <numFmt numFmtId="229" formatCode="0.00&quot;x&quot;"/>
    <numFmt numFmtId="230" formatCode="#,##0.000_);\(#,##0.000\)"/>
    <numFmt numFmtId="231" formatCode="0.00\ &quot;bps&quot;"/>
    <numFmt numFmtId="232" formatCode="&quot;Year&quot;\ 0"/>
    <numFmt numFmtId="233" formatCode="mm\-yyyy"/>
    <numFmt numFmtId="234" formatCode="&quot;L+&quot;\ 0\ "/>
    <numFmt numFmtId="235" formatCode="#&quot; mo.&quot;;\(#\)&quot; mo.&quot;;\-"/>
    <numFmt numFmtId="236" formatCode="0.00%;\(0.00%\)"/>
    <numFmt numFmtId="237" formatCode="&quot;Yes&quot;;&quot;No&quot;"/>
    <numFmt numFmtId="238" formatCode="###,##0.######"/>
    <numFmt numFmtId="239" formatCode="_(&quot;$&quot;* #,##0.00_);_(&quot;$&quot;* \(#,##0.00\);_(&quot;$&quot;* &quot;-&quot;_);_(@_)"/>
    <numFmt numFmtId="240" formatCode="_(#,##0.00_);_(\(#,##0.00\);_(&quot;-&quot;_);_(@_)"/>
    <numFmt numFmtId="241" formatCode="0.0%_);\(0.0%\)"/>
    <numFmt numFmtId="242" formatCode="0.0000%"/>
    <numFmt numFmtId="243" formatCode="00000"/>
  </numFmts>
  <fonts count="167">
    <font>
      <sz val="11"/>
      <color theme="1"/>
      <name val="Calibri"/>
      <family val="2"/>
      <scheme val="minor"/>
    </font>
    <font>
      <sz val="11"/>
      <color theme="1"/>
      <name val="Calibri"/>
      <family val="2"/>
      <scheme val="minor"/>
    </font>
    <font>
      <sz val="10"/>
      <color theme="1"/>
      <name val="Calibri"/>
      <family val="2"/>
      <scheme val="minor"/>
    </font>
    <font>
      <sz val="10"/>
      <color rgb="FFFF0000"/>
      <name val="Calibri"/>
      <family val="2"/>
      <scheme val="minor"/>
    </font>
    <font>
      <i/>
      <sz val="10"/>
      <color theme="1"/>
      <name val="Calibri"/>
      <family val="2"/>
      <scheme val="minor"/>
    </font>
    <font>
      <b/>
      <sz val="10"/>
      <color theme="1"/>
      <name val="Calibri"/>
      <family val="2"/>
      <scheme val="minor"/>
    </font>
    <font>
      <sz val="10"/>
      <name val="Times New Roman"/>
      <family val="1"/>
    </font>
    <font>
      <b/>
      <sz val="10"/>
      <name val="Calibri"/>
      <family val="2"/>
      <scheme val="minor"/>
    </font>
    <font>
      <sz val="10"/>
      <name val="Calibri"/>
      <family val="2"/>
      <scheme val="minor"/>
    </font>
    <font>
      <sz val="10"/>
      <color rgb="FF000000"/>
      <name val="Calibri"/>
      <family val="2"/>
      <scheme val="minor"/>
    </font>
    <font>
      <sz val="10"/>
      <color rgb="FF0000FF"/>
      <name val="Calibri"/>
      <family val="2"/>
      <scheme val="minor"/>
    </font>
    <font>
      <b/>
      <u/>
      <sz val="10"/>
      <color theme="1"/>
      <name val="Calibri"/>
      <family val="2"/>
      <scheme val="minor"/>
    </font>
    <font>
      <b/>
      <i/>
      <u/>
      <sz val="10"/>
      <color theme="1"/>
      <name val="Calibri"/>
      <family val="2"/>
      <scheme val="minor"/>
    </font>
    <font>
      <b/>
      <i/>
      <sz val="10"/>
      <color theme="1"/>
      <name val="Calibri"/>
      <family val="2"/>
      <scheme val="minor"/>
    </font>
    <font>
      <b/>
      <sz val="10"/>
      <color rgb="FF0000FF"/>
      <name val="Calibri"/>
      <family val="2"/>
      <scheme val="minor"/>
    </font>
    <font>
      <sz val="10"/>
      <color rgb="FF008000"/>
      <name val="Calibri"/>
      <family val="2"/>
      <scheme val="minor"/>
    </font>
    <font>
      <sz val="10"/>
      <color theme="0"/>
      <name val="Calibri"/>
      <family val="2"/>
      <scheme val="minor"/>
    </font>
    <font>
      <b/>
      <sz val="10"/>
      <color rgb="FF000000"/>
      <name val="Calibri"/>
      <family val="2"/>
      <scheme val="minor"/>
    </font>
    <font>
      <b/>
      <sz val="10"/>
      <color rgb="FF008000"/>
      <name val="Calibri"/>
      <family val="2"/>
      <scheme val="minor"/>
    </font>
    <font>
      <u/>
      <sz val="10"/>
      <color theme="1"/>
      <name val="Calibri"/>
      <family val="2"/>
      <scheme val="minor"/>
    </font>
    <font>
      <i/>
      <sz val="10"/>
      <color rgb="FF008000"/>
      <name val="Calibri"/>
      <family val="2"/>
      <scheme val="minor"/>
    </font>
    <font>
      <sz val="10"/>
      <color rgb="FF008000"/>
      <name val="Calibri"/>
      <family val="2"/>
    </font>
    <font>
      <i/>
      <sz val="10"/>
      <color rgb="FF008000"/>
      <name val="Calibri"/>
      <family val="2"/>
    </font>
    <font>
      <i/>
      <sz val="10"/>
      <color theme="1"/>
      <name val="Calibri"/>
      <family val="2"/>
    </font>
    <font>
      <i/>
      <sz val="10"/>
      <color rgb="FF008000"/>
      <name val="Times New Roman"/>
      <family val="1"/>
    </font>
    <font>
      <sz val="10"/>
      <color theme="1"/>
      <name val="Calibri"/>
      <family val="2"/>
    </font>
    <font>
      <sz val="10"/>
      <name val="Arial"/>
      <family val="2"/>
    </font>
    <font>
      <sz val="11"/>
      <name val="Arial"/>
      <family val="2"/>
    </font>
    <font>
      <b/>
      <sz val="10"/>
      <color indexed="9"/>
      <name val="Verdana"/>
      <family val="2"/>
    </font>
    <font>
      <sz val="10"/>
      <name val="Verdana"/>
      <family val="2"/>
    </font>
    <font>
      <b/>
      <sz val="14"/>
      <name val="Verdana"/>
      <family val="2"/>
    </font>
    <font>
      <sz val="10"/>
      <color indexed="38"/>
      <name val="Verdana"/>
      <family val="2"/>
    </font>
    <font>
      <sz val="8"/>
      <name val="Verdana"/>
      <family val="2"/>
    </font>
    <font>
      <sz val="8"/>
      <color indexed="38"/>
      <name val="Verdana"/>
      <family val="2"/>
    </font>
    <font>
      <sz val="8"/>
      <name val="Arial"/>
      <family val="2"/>
    </font>
    <font>
      <b/>
      <sz val="10"/>
      <color theme="0"/>
      <name val="Calibri"/>
      <family val="2"/>
      <scheme val="minor"/>
    </font>
    <font>
      <sz val="12"/>
      <color indexed="8"/>
      <name val="Courier"/>
      <family val="3"/>
    </font>
    <font>
      <sz val="12"/>
      <name val="Times New Roman"/>
      <family val="1"/>
    </font>
    <font>
      <sz val="18"/>
      <name val="Arial"/>
      <family val="2"/>
    </font>
    <font>
      <i/>
      <sz val="12"/>
      <name val="Arial"/>
      <family val="2"/>
    </font>
    <font>
      <sz val="18"/>
      <name val="Times New Roman"/>
      <family val="1"/>
    </font>
    <font>
      <sz val="8"/>
      <name val="Times New Roman"/>
      <family val="1"/>
    </font>
    <font>
      <i/>
      <sz val="12"/>
      <name val="Times New Roman"/>
      <family val="1"/>
    </font>
    <font>
      <sz val="18"/>
      <color indexed="8"/>
      <name val="Courier"/>
      <family val="3"/>
    </font>
    <font>
      <sz val="8"/>
      <color indexed="8"/>
      <name val="Courier"/>
      <family val="3"/>
    </font>
    <font>
      <b/>
      <sz val="10"/>
      <name val="Verdana"/>
      <family val="2"/>
    </font>
    <font>
      <sz val="10"/>
      <color indexed="9"/>
      <name val="Verdana"/>
      <family val="2"/>
    </font>
    <font>
      <sz val="10"/>
      <color theme="1"/>
      <name val="Arial"/>
      <family val="2"/>
    </font>
    <font>
      <sz val="10"/>
      <name val="Calibri"/>
      <family val="2"/>
    </font>
    <font>
      <b/>
      <sz val="14"/>
      <color theme="1"/>
      <name val="Calibri"/>
      <family val="2"/>
      <scheme val="minor"/>
    </font>
    <font>
      <sz val="14"/>
      <name val="Calibri"/>
      <family val="2"/>
    </font>
    <font>
      <b/>
      <sz val="14"/>
      <name val="Calibri"/>
      <family val="2"/>
    </font>
    <font>
      <sz val="14"/>
      <color rgb="FF000000"/>
      <name val="Calibri"/>
      <family val="2"/>
    </font>
    <font>
      <sz val="10"/>
      <color indexed="17"/>
      <name val="Calibri"/>
      <family val="2"/>
      <scheme val="minor"/>
    </font>
    <font>
      <b/>
      <sz val="10"/>
      <color indexed="12"/>
      <name val="Calibri"/>
      <family val="2"/>
      <scheme val="minor"/>
    </font>
    <font>
      <b/>
      <sz val="10"/>
      <color indexed="8"/>
      <name val="Calibri"/>
      <family val="2"/>
      <scheme val="minor"/>
    </font>
    <font>
      <b/>
      <sz val="10"/>
      <color rgb="FFFFFFFF"/>
      <name val="Calibri"/>
      <family val="2"/>
      <scheme val="minor"/>
    </font>
    <font>
      <u val="singleAccounting"/>
      <sz val="10"/>
      <color theme="1"/>
      <name val="Calibri"/>
      <family val="2"/>
      <scheme val="minor"/>
    </font>
    <font>
      <sz val="10"/>
      <color indexed="12"/>
      <name val="Calibri"/>
      <family val="2"/>
      <scheme val="minor"/>
    </font>
    <font>
      <sz val="10"/>
      <color indexed="8"/>
      <name val="Calibri"/>
      <family val="2"/>
      <scheme val="minor"/>
    </font>
    <font>
      <i/>
      <sz val="10"/>
      <color indexed="8"/>
      <name val="Calibri"/>
      <family val="2"/>
      <scheme val="minor"/>
    </font>
    <font>
      <i/>
      <sz val="10"/>
      <color indexed="17"/>
      <name val="Calibri"/>
      <family val="2"/>
      <scheme val="minor"/>
    </font>
    <font>
      <sz val="10"/>
      <color indexed="12"/>
      <name val="Calibri"/>
      <family val="2"/>
    </font>
    <font>
      <i/>
      <sz val="10"/>
      <color rgb="FF000000"/>
      <name val="Calibri"/>
      <family val="2"/>
      <scheme val="minor"/>
    </font>
    <font>
      <i/>
      <sz val="10"/>
      <color rgb="FF008000"/>
      <name val="Calibri "/>
    </font>
    <font>
      <b/>
      <sz val="12"/>
      <color theme="1"/>
      <name val="Calibri"/>
      <family val="2"/>
    </font>
    <font>
      <b/>
      <u val="singleAccounting"/>
      <sz val="10"/>
      <color rgb="FFFFFFFF"/>
      <name val="Calibri"/>
      <family val="2"/>
      <scheme val="minor"/>
    </font>
    <font>
      <b/>
      <sz val="11"/>
      <color theme="1"/>
      <name val="Calibri"/>
      <family val="2"/>
      <scheme val="minor"/>
    </font>
    <font>
      <b/>
      <u/>
      <sz val="11"/>
      <color theme="1"/>
      <name val="Calibri"/>
      <family val="2"/>
      <scheme val="minor"/>
    </font>
    <font>
      <u/>
      <sz val="10"/>
      <color theme="10"/>
      <name val="Arial"/>
      <family val="2"/>
    </font>
    <font>
      <sz val="10"/>
      <color rgb="FF000000"/>
      <name val="Times New Roman"/>
      <family val="1"/>
    </font>
    <font>
      <i/>
      <u val="singleAccounting"/>
      <sz val="10"/>
      <name val="Calibri"/>
      <family val="2"/>
      <scheme val="minor"/>
    </font>
    <font>
      <sz val="8"/>
      <color theme="1"/>
      <name val="Calibri"/>
      <family val="2"/>
      <scheme val="minor"/>
    </font>
    <font>
      <sz val="8"/>
      <color rgb="FF000000"/>
      <name val="Tahoma"/>
      <family val="2"/>
    </font>
    <font>
      <u/>
      <sz val="8"/>
      <color rgb="FF000000"/>
      <name val="Tahoma"/>
      <family val="2"/>
    </font>
    <font>
      <b/>
      <sz val="8"/>
      <color rgb="FF000000"/>
      <name val="Tahoma"/>
      <family val="2"/>
    </font>
    <font>
      <sz val="8"/>
      <color rgb="FF808080"/>
      <name val="Tahoma"/>
      <family val="2"/>
    </font>
    <font>
      <sz val="9"/>
      <color indexed="81"/>
      <name val="Tahoma"/>
      <family val="2"/>
    </font>
    <font>
      <b/>
      <sz val="9"/>
      <color indexed="81"/>
      <name val="Tahoma"/>
      <family val="2"/>
    </font>
    <font>
      <b/>
      <sz val="10"/>
      <color rgb="FFFF0000"/>
      <name val="Calibri"/>
      <family val="2"/>
      <scheme val="minor"/>
    </font>
    <font>
      <b/>
      <sz val="11"/>
      <color theme="4"/>
      <name val="Calibri"/>
      <family val="2"/>
      <scheme val="minor"/>
    </font>
    <font>
      <sz val="11"/>
      <color rgb="FFFF0000"/>
      <name val="Calibri"/>
      <family val="2"/>
      <scheme val="minor"/>
    </font>
    <font>
      <sz val="10"/>
      <color rgb="FF132BDD"/>
      <name val="Calibri"/>
      <family val="2"/>
      <scheme val="minor"/>
    </font>
    <font>
      <i/>
      <sz val="10"/>
      <color rgb="FF132BDD"/>
      <name val="Calibri"/>
      <family val="2"/>
      <scheme val="minor"/>
    </font>
    <font>
      <b/>
      <sz val="10"/>
      <color rgb="FF132BDD"/>
      <name val="Calibri"/>
      <family val="2"/>
      <scheme val="minor"/>
    </font>
    <font>
      <i/>
      <sz val="10"/>
      <name val="Calibri"/>
      <family val="2"/>
      <scheme val="minor"/>
    </font>
    <font>
      <b/>
      <sz val="11"/>
      <color theme="0"/>
      <name val="Calibri"/>
      <family val="2"/>
      <scheme val="minor"/>
    </font>
    <font>
      <sz val="11"/>
      <name val="Calibri"/>
      <family val="2"/>
      <scheme val="minor"/>
    </font>
    <font>
      <u/>
      <sz val="11"/>
      <name val="Calibri"/>
      <family val="2"/>
      <scheme val="minor"/>
    </font>
    <font>
      <b/>
      <sz val="11"/>
      <name val="Calibri"/>
      <family val="2"/>
      <scheme val="minor"/>
    </font>
    <font>
      <sz val="12"/>
      <color theme="1"/>
      <name val="Calibri"/>
      <family val="2"/>
      <scheme val="minor"/>
    </font>
    <font>
      <sz val="11"/>
      <color theme="1"/>
      <name val="Calibri"/>
      <family val="2"/>
    </font>
    <font>
      <i/>
      <sz val="11"/>
      <color theme="1"/>
      <name val="Calibri"/>
      <family val="2"/>
      <scheme val="minor"/>
    </font>
    <font>
      <u/>
      <sz val="8"/>
      <color rgb="FF132BDD"/>
      <name val="Tahoma"/>
      <family val="2"/>
    </font>
    <font>
      <sz val="9"/>
      <color theme="1"/>
      <name val="Arial"/>
      <family val="2"/>
    </font>
    <font>
      <b/>
      <sz val="10"/>
      <color theme="1"/>
      <name val="Arial"/>
      <family val="2"/>
    </font>
    <font>
      <b/>
      <sz val="10"/>
      <name val="Arial"/>
      <family val="2"/>
    </font>
    <font>
      <b/>
      <sz val="9"/>
      <color theme="1"/>
      <name val="Arial"/>
      <family val="2"/>
    </font>
    <font>
      <i/>
      <sz val="9"/>
      <color theme="1"/>
      <name val="Calibri"/>
      <family val="2"/>
      <scheme val="minor"/>
    </font>
    <font>
      <b/>
      <sz val="12"/>
      <color theme="0"/>
      <name val="Calibri"/>
      <family val="2"/>
      <scheme val="minor"/>
    </font>
    <font>
      <sz val="9"/>
      <color theme="1"/>
      <name val="Calibri"/>
      <family val="2"/>
      <scheme val="minor"/>
    </font>
    <font>
      <sz val="11"/>
      <color theme="0"/>
      <name val="Calibri"/>
      <family val="2"/>
      <scheme val="minor"/>
    </font>
    <font>
      <sz val="10"/>
      <name val="Arial"/>
      <family val="2"/>
    </font>
    <font>
      <b/>
      <sz val="11"/>
      <color rgb="FF000000"/>
      <name val="Tahoma"/>
      <family val="2"/>
    </font>
    <font>
      <b/>
      <u/>
      <sz val="12"/>
      <color indexed="12"/>
      <name val="Calibri"/>
      <family val="2"/>
      <scheme val="minor"/>
    </font>
    <font>
      <sz val="8"/>
      <color rgb="FF505050"/>
      <name val="Tahoma"/>
      <family val="2"/>
    </font>
    <font>
      <b/>
      <sz val="12"/>
      <name val="Tahoma"/>
      <family val="2"/>
    </font>
    <font>
      <b/>
      <u/>
      <sz val="10"/>
      <color indexed="12"/>
      <name val="Calibri"/>
      <family val="2"/>
      <scheme val="minor"/>
    </font>
    <font>
      <b/>
      <sz val="11"/>
      <color indexed="12"/>
      <name val="Calibri"/>
      <family val="2"/>
      <scheme val="minor"/>
    </font>
    <font>
      <sz val="9"/>
      <color rgb="FF132BDD"/>
      <name val="Calibri"/>
      <family val="2"/>
      <scheme val="minor"/>
    </font>
    <font>
      <sz val="11"/>
      <color indexed="12"/>
      <name val="Calibri"/>
      <family val="2"/>
      <scheme val="minor"/>
    </font>
    <font>
      <b/>
      <u/>
      <sz val="11"/>
      <color indexed="12"/>
      <name val="Calibri"/>
      <family val="2"/>
      <scheme val="minor"/>
    </font>
    <font>
      <b/>
      <sz val="10"/>
      <color indexed="17"/>
      <name val="Calibri"/>
      <family val="2"/>
      <scheme val="minor"/>
    </font>
    <font>
      <sz val="10"/>
      <color indexed="12"/>
      <name val="Arial"/>
      <family val="2"/>
    </font>
    <font>
      <b/>
      <sz val="8"/>
      <name val="Tahoma"/>
      <family val="2"/>
    </font>
    <font>
      <sz val="8"/>
      <name val="Tahoma"/>
      <family val="2"/>
    </font>
    <font>
      <i/>
      <sz val="8"/>
      <color indexed="10"/>
      <name val="Arial"/>
      <family val="2"/>
    </font>
    <font>
      <i/>
      <sz val="10"/>
      <color indexed="12"/>
      <name val="Calibri"/>
      <family val="2"/>
      <scheme val="minor"/>
    </font>
    <font>
      <b/>
      <sz val="8"/>
      <color rgb="FF0000FF"/>
      <name val="Tahoma"/>
      <family val="2"/>
    </font>
    <font>
      <sz val="8"/>
      <color rgb="FF0000FF"/>
      <name val="Tahoma"/>
      <family val="2"/>
    </font>
    <font>
      <sz val="12"/>
      <color indexed="9"/>
      <name val="Gotham Narrow Book"/>
      <family val="3"/>
    </font>
    <font>
      <b/>
      <sz val="12"/>
      <color indexed="9"/>
      <name val="Gotham Narrow Book"/>
      <family val="3"/>
    </font>
    <font>
      <sz val="11"/>
      <color theme="1"/>
      <name val="Gotham Narrow Book"/>
      <family val="3"/>
    </font>
    <font>
      <u/>
      <sz val="11"/>
      <color theme="1"/>
      <name val="Gotham Narrow Book"/>
      <family val="3"/>
    </font>
    <font>
      <sz val="11"/>
      <color indexed="12"/>
      <name val="Gotham Narrow Book"/>
      <family val="3"/>
    </font>
    <font>
      <sz val="11"/>
      <name val="Gotham Narrow Book"/>
      <family val="3"/>
    </font>
    <font>
      <b/>
      <sz val="11"/>
      <color theme="1"/>
      <name val="Gotham Narrow Book"/>
      <family val="3"/>
    </font>
    <font>
      <sz val="11"/>
      <color indexed="10"/>
      <name val="Calibri"/>
      <family val="2"/>
      <scheme val="minor"/>
    </font>
    <font>
      <u val="singleAccounting"/>
      <sz val="10"/>
      <color rgb="FF000000"/>
      <name val="Calibri"/>
      <family val="2"/>
      <scheme val="minor"/>
    </font>
    <font>
      <sz val="11"/>
      <color rgb="FF000000"/>
      <name val="Calibri"/>
      <family val="2"/>
      <scheme val="minor"/>
    </font>
    <font>
      <b/>
      <i/>
      <sz val="11"/>
      <color theme="1"/>
      <name val="Calibri"/>
      <family val="2"/>
      <scheme val="minor"/>
    </font>
    <font>
      <b/>
      <u val="singleAccounting"/>
      <sz val="11"/>
      <color rgb="FF000000"/>
      <name val="Calibri"/>
      <family val="2"/>
      <scheme val="minor"/>
    </font>
    <font>
      <b/>
      <sz val="11"/>
      <color rgb="FFFFFFFF"/>
      <name val="Calibri"/>
      <family val="2"/>
      <scheme val="minor"/>
    </font>
    <font>
      <b/>
      <sz val="11"/>
      <name val="Calibri"/>
      <family val="2"/>
    </font>
    <font>
      <sz val="11"/>
      <name val="Calibri"/>
      <family val="2"/>
    </font>
    <font>
      <sz val="10"/>
      <color rgb="FFFF0000"/>
      <name val="Arial"/>
      <family val="2"/>
    </font>
    <font>
      <b/>
      <i/>
      <u/>
      <sz val="10"/>
      <name val="Arial"/>
      <family val="2"/>
    </font>
    <font>
      <i/>
      <sz val="10"/>
      <name val="Arial"/>
      <family val="2"/>
    </font>
    <font>
      <i/>
      <sz val="10"/>
      <color indexed="12"/>
      <name val="Arial"/>
      <family val="2"/>
    </font>
    <font>
      <sz val="10"/>
      <color indexed="10"/>
      <name val="Arial"/>
      <family val="2"/>
    </font>
    <font>
      <sz val="9"/>
      <color theme="0"/>
      <name val="Calibri"/>
      <family val="2"/>
      <scheme val="minor"/>
    </font>
    <font>
      <b/>
      <sz val="11"/>
      <color rgb="FF00B050"/>
      <name val="Calibri"/>
      <family val="2"/>
      <scheme val="minor"/>
    </font>
    <font>
      <b/>
      <sz val="11"/>
      <color rgb="FFFF0000"/>
      <name val="Calibri"/>
      <family val="2"/>
      <scheme val="minor"/>
    </font>
    <font>
      <vertAlign val="superscript"/>
      <sz val="11"/>
      <color theme="1"/>
      <name val="Calibri"/>
      <family val="2"/>
      <scheme val="minor"/>
    </font>
    <font>
      <vertAlign val="superscript"/>
      <sz val="11"/>
      <name val="Calibri"/>
      <family val="2"/>
      <scheme val="minor"/>
    </font>
    <font>
      <b/>
      <vertAlign val="superscript"/>
      <sz val="11"/>
      <name val="Calibri"/>
      <family val="2"/>
      <scheme val="minor"/>
    </font>
    <font>
      <b/>
      <i/>
      <sz val="11"/>
      <name val="Calibri"/>
      <family val="2"/>
      <scheme val="minor"/>
    </font>
    <font>
      <i/>
      <sz val="11"/>
      <name val="Calibri"/>
      <family val="2"/>
      <scheme val="minor"/>
    </font>
    <font>
      <sz val="11"/>
      <color rgb="FF00B050"/>
      <name val="Calibri"/>
      <family val="2"/>
      <scheme val="minor"/>
    </font>
    <font>
      <b/>
      <sz val="11"/>
      <color indexed="10"/>
      <name val="Calibri"/>
      <family val="2"/>
      <scheme val="minor"/>
    </font>
    <font>
      <sz val="11"/>
      <color rgb="FF0000CC"/>
      <name val="Calibri"/>
      <family val="2"/>
      <scheme val="minor"/>
    </font>
    <font>
      <i/>
      <sz val="11"/>
      <color indexed="10"/>
      <name val="Calibri"/>
      <family val="2"/>
      <scheme val="minor"/>
    </font>
    <font>
      <b/>
      <u/>
      <sz val="11"/>
      <name val="Calibri"/>
      <family val="2"/>
      <scheme val="minor"/>
    </font>
    <font>
      <b/>
      <i/>
      <sz val="11"/>
      <name val="Calibri"/>
      <family val="2"/>
    </font>
    <font>
      <i/>
      <sz val="10"/>
      <color theme="0" tint="-0.14999847407452621"/>
      <name val="Calibri"/>
      <family val="2"/>
      <scheme val="minor"/>
    </font>
    <font>
      <sz val="10"/>
      <color theme="2" tint="-0.249977111117893"/>
      <name val="Calibri"/>
      <family val="2"/>
      <scheme val="minor"/>
    </font>
    <font>
      <b/>
      <sz val="10"/>
      <color theme="2" tint="-0.249977111117893"/>
      <name val="Calibri"/>
      <family val="2"/>
      <scheme val="minor"/>
    </font>
    <font>
      <u val="singleAccounting"/>
      <sz val="11"/>
      <color rgb="FF000000"/>
      <name val="Calibri"/>
      <family val="2"/>
      <scheme val="minor"/>
    </font>
    <font>
      <sz val="8"/>
      <name val="Calibri"/>
      <family val="2"/>
      <scheme val="minor"/>
    </font>
    <font>
      <sz val="10"/>
      <color rgb="FF000000"/>
      <name val="Tahoma"/>
      <family val="2"/>
    </font>
    <font>
      <b/>
      <sz val="8"/>
      <color theme="1"/>
      <name val="Tahoma"/>
      <family val="2"/>
    </font>
    <font>
      <sz val="8"/>
      <color theme="1"/>
      <name val="Tahoma"/>
      <family val="2"/>
    </font>
    <font>
      <b/>
      <sz val="11"/>
      <color rgb="FF000000"/>
      <name val="Tahoma"/>
      <family val="2"/>
    </font>
    <font>
      <sz val="8"/>
      <color rgb="FF000000"/>
      <name val="Tahoma"/>
      <family val="2"/>
    </font>
    <font>
      <sz val="8"/>
      <color rgb="FF00156E"/>
      <name val="Tahoma"/>
      <family val="2"/>
    </font>
    <font>
      <u/>
      <sz val="8"/>
      <color rgb="FF000000"/>
      <name val="Tahoma"/>
      <family val="2"/>
    </font>
    <font>
      <b/>
      <vertAlign val="superscript"/>
      <sz val="11"/>
      <color theme="1"/>
      <name val="Calibri"/>
      <family val="2"/>
      <scheme val="minor"/>
    </font>
  </fonts>
  <fills count="28">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indexed="9"/>
        <bgColor indexed="64"/>
      </patternFill>
    </fill>
    <fill>
      <patternFill patternType="solid">
        <fgColor indexed="63"/>
        <bgColor indexed="64"/>
      </patternFill>
    </fill>
    <fill>
      <patternFill patternType="solid">
        <fgColor indexed="19"/>
        <bgColor indexed="64"/>
      </patternFill>
    </fill>
    <fill>
      <patternFill patternType="solid">
        <fgColor theme="1"/>
        <bgColor indexed="64"/>
      </patternFill>
    </fill>
    <fill>
      <patternFill patternType="solid">
        <fgColor indexed="34"/>
        <bgColor indexed="64"/>
      </patternFill>
    </fill>
    <fill>
      <patternFill patternType="solid">
        <fgColor indexed="51"/>
        <bgColor indexed="64"/>
      </patternFill>
    </fill>
    <fill>
      <patternFill patternType="solid">
        <fgColor indexed="13"/>
        <bgColor indexed="64"/>
      </patternFill>
    </fill>
    <fill>
      <patternFill patternType="solid">
        <fgColor indexed="15"/>
        <bgColor indexed="64"/>
      </patternFill>
    </fill>
    <fill>
      <patternFill patternType="solid">
        <fgColor indexed="58"/>
        <bgColor indexed="64"/>
      </patternFill>
    </fill>
    <fill>
      <patternFill patternType="solid">
        <fgColor theme="0" tint="0.79998168889431442"/>
        <bgColor indexed="64"/>
      </patternFill>
    </fill>
    <fill>
      <patternFill patternType="solid">
        <fgColor indexed="65"/>
        <bgColor indexed="64"/>
      </patternFill>
    </fill>
    <fill>
      <patternFill patternType="solid">
        <fgColor indexed="22"/>
        <bgColor indexed="64"/>
      </patternFill>
    </fill>
    <fill>
      <patternFill patternType="solid">
        <fgColor theme="9" tint="-0.499984740745262"/>
        <bgColor indexed="64"/>
      </patternFill>
    </fill>
    <fill>
      <patternFill patternType="solid">
        <fgColor rgb="FFD3D3D3"/>
        <bgColor indexed="64"/>
      </patternFill>
    </fill>
    <fill>
      <patternFill patternType="solid">
        <fgColor rgb="FFFF0000"/>
        <bgColor indexed="64"/>
      </patternFill>
    </fill>
    <fill>
      <patternFill patternType="solid">
        <fgColor rgb="FFEEEEEE"/>
        <bgColor indexed="64"/>
      </patternFill>
    </fill>
    <fill>
      <patternFill patternType="solid">
        <fgColor indexed="56"/>
        <bgColor indexed="64"/>
      </patternFill>
    </fill>
    <fill>
      <patternFill patternType="solid">
        <fgColor theme="6" tint="0.39994506668294322"/>
        <bgColor indexed="64"/>
      </patternFill>
    </fill>
    <fill>
      <patternFill patternType="solid">
        <fgColor theme="0" tint="-0.24994659260841701"/>
        <bgColor indexed="64"/>
      </patternFill>
    </fill>
    <fill>
      <patternFill patternType="solid">
        <fgColor rgb="FF00B050"/>
        <bgColor indexed="64"/>
      </patternFill>
    </fill>
    <fill>
      <patternFill patternType="solid">
        <fgColor rgb="FFC8DFFF"/>
      </patternFill>
    </fill>
    <fill>
      <patternFill patternType="solid">
        <fgColor theme="0" tint="-0.499984740745262"/>
        <bgColor indexed="64"/>
      </patternFill>
    </fill>
    <fill>
      <patternFill patternType="solid">
        <fgColor theme="0" tint="-0.249977111117893"/>
        <bgColor indexed="64"/>
      </patternFill>
    </fill>
  </fills>
  <borders count="102">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
      <left style="thin">
        <color auto="1"/>
      </left>
      <right style="thin">
        <color auto="1"/>
      </right>
      <top style="thin">
        <color auto="1"/>
      </top>
      <bottom style="medium">
        <color auto="1"/>
      </bottom>
      <diagonal/>
    </border>
    <border>
      <left/>
      <right/>
      <top style="medium">
        <color auto="1"/>
      </top>
      <bottom/>
      <diagonal/>
    </border>
    <border>
      <left/>
      <right/>
      <top style="medium">
        <color auto="1"/>
      </top>
      <bottom style="thin">
        <color auto="1"/>
      </bottom>
      <diagonal/>
    </border>
    <border>
      <left/>
      <right/>
      <top style="thin">
        <color auto="1"/>
      </top>
      <bottom/>
      <diagonal/>
    </border>
    <border>
      <left/>
      <right/>
      <top style="thin">
        <color auto="1"/>
      </top>
      <bottom style="thin">
        <color auto="1"/>
      </bottom>
      <diagonal/>
    </border>
    <border>
      <left style="medium">
        <color auto="1"/>
      </left>
      <right/>
      <top/>
      <bottom/>
      <diagonal/>
    </border>
    <border>
      <left/>
      <right style="medium">
        <color auto="1"/>
      </right>
      <top/>
      <bottom/>
      <diagonal/>
    </border>
    <border>
      <left/>
      <right style="thin">
        <color auto="1"/>
      </right>
      <top style="thin">
        <color auto="1"/>
      </top>
      <bottom/>
      <diagonal/>
    </border>
    <border>
      <left/>
      <right style="thin">
        <color auto="1"/>
      </right>
      <top/>
      <bottom/>
      <diagonal/>
    </border>
    <border>
      <left style="medium">
        <color auto="1"/>
      </left>
      <right/>
      <top/>
      <bottom style="medium">
        <color auto="1"/>
      </bottom>
      <diagonal/>
    </border>
    <border>
      <left/>
      <right style="medium">
        <color auto="1"/>
      </right>
      <top/>
      <bottom style="medium">
        <color auto="1"/>
      </bottom>
      <diagonal/>
    </border>
    <border>
      <left/>
      <right/>
      <top/>
      <bottom style="thin">
        <color auto="1"/>
      </bottom>
      <diagonal/>
    </border>
    <border>
      <left style="thin">
        <color theme="0" tint="-0.24994659260841701"/>
      </left>
      <right/>
      <top style="thin">
        <color auto="1"/>
      </top>
      <bottom/>
      <diagonal/>
    </border>
    <border>
      <left/>
      <right/>
      <top style="thin">
        <color auto="1"/>
      </top>
      <bottom style="medium">
        <color auto="1"/>
      </bottom>
      <diagonal/>
    </border>
    <border>
      <left style="thin">
        <color theme="0" tint="-0.24994659260841701"/>
      </left>
      <right/>
      <top/>
      <bottom/>
      <diagonal/>
    </border>
    <border>
      <left/>
      <right style="thin">
        <color theme="0" tint="-0.24994659260841701"/>
      </right>
      <top style="thin">
        <color auto="1"/>
      </top>
      <bottom/>
      <diagonal/>
    </border>
    <border>
      <left/>
      <right style="thin">
        <color theme="0" tint="-0.24994659260841701"/>
      </right>
      <top/>
      <bottom/>
      <diagonal/>
    </border>
    <border>
      <left/>
      <right/>
      <top style="thin">
        <color auto="1"/>
      </top>
      <bottom style="thin">
        <color theme="0" tint="-0.24994659260841701"/>
      </bottom>
      <diagonal/>
    </border>
    <border>
      <left/>
      <right style="thin">
        <color theme="0" tint="-0.24994659260841701"/>
      </right>
      <top/>
      <bottom style="thin">
        <color auto="1"/>
      </bottom>
      <diagonal/>
    </border>
    <border>
      <left/>
      <right style="thin">
        <color theme="0" tint="-0.24994659260841701"/>
      </right>
      <top style="thin">
        <color auto="1"/>
      </top>
      <bottom style="medium">
        <color auto="1"/>
      </bottom>
      <diagonal/>
    </border>
    <border>
      <left/>
      <right style="thin">
        <color theme="0" tint="-0.24994659260841701"/>
      </right>
      <top style="medium">
        <color auto="1"/>
      </top>
      <bottom/>
      <diagonal/>
    </border>
    <border>
      <left/>
      <right/>
      <top style="medium">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top/>
      <bottom style="thin">
        <color theme="0" tint="-0.14996795556505021"/>
      </bottom>
      <diagonal/>
    </border>
    <border>
      <left/>
      <right style="thin">
        <color auto="1"/>
      </right>
      <top/>
      <bottom style="thin">
        <color auto="1"/>
      </bottom>
      <diagonal/>
    </border>
    <border>
      <left/>
      <right/>
      <top style="thin">
        <color theme="0" tint="-0.14996795556505021"/>
      </top>
      <bottom style="medium">
        <color auto="1"/>
      </bottom>
      <diagonal/>
    </border>
    <border>
      <left style="thin">
        <color auto="1"/>
      </left>
      <right/>
      <top/>
      <bottom style="thin">
        <color auto="1"/>
      </bottom>
      <diagonal/>
    </border>
    <border>
      <left/>
      <right style="thin">
        <color auto="1"/>
      </right>
      <top/>
      <bottom style="medium">
        <color auto="1"/>
      </bottom>
      <diagonal/>
    </border>
    <border>
      <left/>
      <right style="hair">
        <color theme="0" tint="-0.24994659260841701"/>
      </right>
      <top/>
      <bottom/>
      <diagonal/>
    </border>
    <border>
      <left style="hair">
        <color theme="0" tint="-0.24994659260841701"/>
      </left>
      <right/>
      <top/>
      <bottom/>
      <diagonal/>
    </border>
    <border>
      <left/>
      <right style="hair">
        <color theme="0" tint="-0.24994659260841701"/>
      </right>
      <top/>
      <bottom style="medium">
        <color auto="1"/>
      </bottom>
      <diagonal/>
    </border>
    <border>
      <left/>
      <right style="hair">
        <color theme="0" tint="-0.24994659260841701"/>
      </right>
      <top/>
      <bottom style="thin">
        <color auto="1"/>
      </bottom>
      <diagonal/>
    </border>
    <border>
      <left/>
      <right style="hair">
        <color theme="0" tint="-0.24994659260841701"/>
      </right>
      <top style="thin">
        <color auto="1"/>
      </top>
      <bottom/>
      <diagonal/>
    </border>
    <border>
      <left/>
      <right style="hair">
        <color theme="0" tint="-0.24994659260841701"/>
      </right>
      <top style="thin">
        <color auto="1"/>
      </top>
      <bottom style="medium">
        <color auto="1"/>
      </bottom>
      <diagonal/>
    </border>
    <border>
      <left/>
      <right style="hair">
        <color theme="0" tint="-0.24994659260841701"/>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right/>
      <top style="thin">
        <color rgb="FF000000"/>
      </top>
      <bottom style="thin">
        <color rgb="FF000000"/>
      </bottom>
      <diagonal/>
    </border>
    <border>
      <left/>
      <right/>
      <top style="thin">
        <color rgb="FF000000"/>
      </top>
      <bottom/>
      <diagonal/>
    </border>
    <border>
      <left/>
      <right/>
      <top style="double">
        <color auto="1"/>
      </top>
      <bottom/>
      <diagonal/>
    </border>
    <border>
      <left style="medium">
        <color rgb="FF000000"/>
      </left>
      <right style="medium">
        <color rgb="FF000000"/>
      </right>
      <top style="medium">
        <color rgb="FF000000"/>
      </top>
      <bottom style="medium">
        <color rgb="FF000000"/>
      </bottom>
      <diagonal/>
    </border>
    <border>
      <left/>
      <right style="thin">
        <color theme="0" tint="-0.14996795556505021"/>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right/>
      <top/>
      <bottom style="medium">
        <color rgb="FF6593CF"/>
      </bottom>
      <diagonal/>
    </border>
    <border>
      <left/>
      <right/>
      <top style="thin">
        <color rgb="FF6593CF"/>
      </top>
      <bottom/>
      <diagonal/>
    </border>
    <border>
      <left/>
      <right/>
      <top style="thin">
        <color rgb="FF6593CF"/>
      </top>
      <bottom style="thin">
        <color rgb="FF6593CF"/>
      </bottom>
      <diagonal/>
    </border>
    <border>
      <left/>
      <right/>
      <top/>
      <bottom style="thin">
        <color rgb="FF6593CF"/>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bottom style="dotted">
        <color auto="1"/>
      </bottom>
      <diagonal/>
    </border>
    <border>
      <left/>
      <right/>
      <top style="dotted">
        <color auto="1"/>
      </top>
      <bottom style="dotted">
        <color auto="1"/>
      </bottom>
      <diagonal/>
    </border>
    <border>
      <left/>
      <right/>
      <top style="dotted">
        <color auto="1"/>
      </top>
      <bottom style="thin">
        <color auto="1"/>
      </bottom>
      <diagonal/>
    </border>
    <border>
      <left/>
      <right/>
      <top/>
      <bottom style="thin">
        <color rgb="FF000000"/>
      </bottom>
      <diagonal/>
    </border>
    <border>
      <left style="hair">
        <color theme="0" tint="-0.24994659260841701"/>
      </left>
      <right/>
      <top style="thin">
        <color indexed="64"/>
      </top>
      <bottom/>
      <diagonal/>
    </border>
    <border>
      <left/>
      <right/>
      <top style="thin">
        <color rgb="FFCCCCCC"/>
      </top>
      <bottom style="double">
        <color rgb="FFCCCCCC"/>
      </bottom>
      <diagonal/>
    </border>
    <border>
      <left/>
      <right/>
      <top style="thin">
        <color rgb="FF000000"/>
      </top>
      <bottom style="thin">
        <color rgb="FFCCCCCC"/>
      </bottom>
      <diagonal/>
    </border>
    <border>
      <left/>
      <right/>
      <top/>
      <bottom style="thin">
        <color indexed="8"/>
      </bottom>
      <diagonal/>
    </border>
    <border>
      <left/>
      <right/>
      <top style="thin">
        <color indexed="8"/>
      </top>
      <bottom/>
      <diagonal/>
    </border>
    <border>
      <left/>
      <right/>
      <top/>
      <bottom style="thin">
        <color rgb="FFCCCCCC"/>
      </bottom>
      <diagonal/>
    </border>
    <border>
      <left/>
      <right/>
      <top style="thin">
        <color rgb="FFCCCCCC"/>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top/>
      <bottom style="thin">
        <color theme="0" tint="-0.249977111117893"/>
      </bottom>
      <diagonal/>
    </border>
    <border>
      <left style="thin">
        <color indexed="64"/>
      </left>
      <right/>
      <top/>
      <bottom style="thin">
        <color theme="0" tint="-0.249977111117893"/>
      </bottom>
      <diagonal/>
    </border>
    <border>
      <left/>
      <right style="thin">
        <color indexed="64"/>
      </right>
      <top style="thin">
        <color indexed="64"/>
      </top>
      <bottom style="thin">
        <color theme="0" tint="-0.249977111117893"/>
      </bottom>
      <diagonal/>
    </border>
    <border>
      <left style="thin">
        <color indexed="64"/>
      </left>
      <right/>
      <top/>
      <bottom style="thin">
        <color indexed="64"/>
      </bottom>
      <diagonal/>
    </border>
    <border>
      <left/>
      <right/>
      <top/>
      <bottom style="thin">
        <color indexed="64"/>
      </bottom>
      <diagonal/>
    </border>
    <border>
      <left style="thin">
        <color rgb="FF6593CF"/>
      </left>
      <right style="thin">
        <color rgb="FF6593CF"/>
      </right>
      <top/>
      <bottom style="thin">
        <color rgb="FF6593CF"/>
      </bottom>
      <diagonal/>
    </border>
    <border>
      <left style="thin">
        <color rgb="FF6593CF"/>
      </left>
      <right style="thin">
        <color rgb="FF6593CF"/>
      </right>
      <top/>
      <bottom/>
      <diagonal/>
    </border>
    <border>
      <left style="thin">
        <color rgb="FF6593CF"/>
      </left>
      <right style="thin">
        <color rgb="FF6593CF"/>
      </right>
      <top style="thin">
        <color rgb="FF6593CF"/>
      </top>
      <bottom/>
      <diagonal/>
    </border>
    <border>
      <left style="thin">
        <color rgb="FF6593CF"/>
      </left>
      <right style="thin">
        <color rgb="FF6593CF"/>
      </right>
      <top style="thin">
        <color rgb="FF6593CF"/>
      </top>
      <bottom style="thin">
        <color rgb="FF6593CF"/>
      </bottom>
      <diagonal/>
    </border>
    <border>
      <left style="thin">
        <color indexed="64"/>
      </left>
      <right/>
      <top style="thin">
        <color indexed="64"/>
      </top>
      <bottom/>
      <diagonal/>
    </border>
    <border>
      <left/>
      <right style="thin">
        <color indexed="64"/>
      </right>
      <top/>
      <bottom style="thin">
        <color indexed="64"/>
      </bottom>
      <diagonal/>
    </border>
    <border>
      <left/>
      <right/>
      <top style="thin">
        <color indexed="64"/>
      </top>
      <bottom style="thin">
        <color theme="0" tint="-0.249977111117893"/>
      </bottom>
      <diagonal/>
    </border>
    <border>
      <left style="thin">
        <color indexed="64"/>
      </left>
      <right/>
      <top style="thin">
        <color indexed="64"/>
      </top>
      <bottom style="thin">
        <color theme="0" tint="-0.249977111117893"/>
      </bottom>
      <diagonal/>
    </border>
    <border>
      <left style="thin">
        <color indexed="64"/>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indexed="64"/>
      </right>
      <top style="thin">
        <color theme="0" tint="-0.249977111117893"/>
      </top>
      <bottom style="thin">
        <color theme="0" tint="-0.249977111117893"/>
      </bottom>
      <diagonal/>
    </border>
    <border>
      <left/>
      <right style="thin">
        <color indexed="64"/>
      </right>
      <top/>
      <bottom style="thin">
        <color theme="0" tint="-0.249977111117893"/>
      </bottom>
      <diagonal/>
    </border>
    <border>
      <left/>
      <right style="thin">
        <color indexed="64"/>
      </right>
      <top style="thin">
        <color theme="0" tint="-0.249977111117893"/>
      </top>
      <bottom style="thin">
        <color indexed="64"/>
      </bottom>
      <diagonal/>
    </border>
    <border>
      <left/>
      <right/>
      <top style="thin">
        <color theme="0" tint="-0.249977111117893"/>
      </top>
      <bottom style="thin">
        <color indexed="64"/>
      </bottom>
      <diagonal/>
    </border>
    <border>
      <left style="thin">
        <color auto="1"/>
      </left>
      <right/>
      <top style="thin">
        <color theme="0" tint="-0.249977111117893"/>
      </top>
      <bottom style="thin">
        <color indexed="64"/>
      </bottom>
      <diagonal/>
    </border>
    <border>
      <left style="medium">
        <color rgb="FF3E3E3E"/>
      </left>
      <right/>
      <top/>
      <bottom/>
      <diagonal/>
    </border>
    <border>
      <left/>
      <right style="medium">
        <color rgb="FF3E3E3E"/>
      </right>
      <top/>
      <bottom/>
      <diagonal/>
    </border>
    <border>
      <left style="medium">
        <color rgb="FF3E3E3E"/>
      </left>
      <right/>
      <top/>
      <bottom style="medium">
        <color rgb="FF3E3E3E"/>
      </bottom>
      <diagonal/>
    </border>
    <border>
      <left/>
      <right style="medium">
        <color rgb="FF3E3E3E"/>
      </right>
      <top/>
      <bottom style="medium">
        <color rgb="FF3E3E3E"/>
      </bottom>
      <diagonal/>
    </border>
    <border>
      <left style="thin">
        <color indexed="64"/>
      </left>
      <right/>
      <top/>
      <bottom style="medium">
        <color auto="1"/>
      </bottom>
      <diagonal/>
    </border>
  </borders>
  <cellStyleXfs count="126">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6" fillId="0" borderId="0"/>
    <xf numFmtId="0" fontId="26" fillId="0" borderId="0"/>
    <xf numFmtId="9" fontId="26" fillId="0" borderId="0" applyFont="0" applyFill="0" applyBorder="0" applyAlignment="0" applyProtection="0"/>
    <xf numFmtId="0" fontId="29" fillId="7" borderId="0" applyNumberFormat="0" applyBorder="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3" fontId="36" fillId="0" borderId="0">
      <protection locked="0"/>
    </xf>
    <xf numFmtId="208" fontId="36" fillId="0" borderId="0">
      <protection locked="0"/>
    </xf>
    <xf numFmtId="0" fontId="36" fillId="0" borderId="0">
      <protection locked="0"/>
    </xf>
    <xf numFmtId="205" fontId="26" fillId="0" borderId="0" applyFont="0" applyFill="0" applyBorder="0" applyAlignment="0" applyProtection="0"/>
    <xf numFmtId="207" fontId="26" fillId="0" borderId="0" applyFont="0" applyFill="0" applyBorder="0" applyAlignment="0" applyProtection="0"/>
    <xf numFmtId="209" fontId="26" fillId="0" borderId="0" applyFont="0" applyFill="0" applyBorder="0" applyAlignment="0" applyProtection="0"/>
    <xf numFmtId="0" fontId="37" fillId="0" borderId="0" applyNumberFormat="0" applyFill="0" applyBorder="0" applyAlignment="0" applyProtection="0"/>
    <xf numFmtId="0" fontId="38" fillId="0" borderId="0" applyProtection="0"/>
    <xf numFmtId="0" fontId="34" fillId="0" borderId="0" applyProtection="0"/>
    <xf numFmtId="0" fontId="39" fillId="0" borderId="0" applyProtection="0"/>
    <xf numFmtId="0" fontId="37" fillId="0" borderId="0" applyProtection="0"/>
    <xf numFmtId="0" fontId="40" fillId="0" borderId="0" applyProtection="0"/>
    <xf numFmtId="0" fontId="41" fillId="0" borderId="0" applyProtection="0"/>
    <xf numFmtId="0" fontId="42" fillId="0" borderId="0" applyProtection="0"/>
    <xf numFmtId="210" fontId="36" fillId="0" borderId="0">
      <protection locked="0"/>
    </xf>
    <xf numFmtId="0" fontId="43" fillId="0" borderId="0">
      <protection locked="0"/>
    </xf>
    <xf numFmtId="0" fontId="44" fillId="0" borderId="0">
      <protection locked="0"/>
    </xf>
    <xf numFmtId="41" fontId="26" fillId="0" borderId="0" applyFont="0" applyFill="0" applyBorder="0" applyAlignment="0" applyProtection="0"/>
    <xf numFmtId="43" fontId="26" fillId="0" borderId="0" applyFont="0" applyFill="0" applyBorder="0" applyAlignment="0" applyProtection="0"/>
    <xf numFmtId="0" fontId="45" fillId="9" borderId="0" applyNumberFormat="0" applyBorder="0"/>
    <xf numFmtId="42" fontId="26" fillId="0" borderId="0" applyFont="0" applyFill="0" applyBorder="0" applyAlignment="0" applyProtection="0"/>
    <xf numFmtId="44" fontId="26" fillId="0" borderId="0" applyFont="0" applyFill="0" applyBorder="0" applyAlignment="0" applyProtection="0"/>
    <xf numFmtId="0" fontId="26" fillId="0" borderId="0"/>
    <xf numFmtId="0" fontId="26" fillId="0" borderId="0">
      <alignment vertical="center"/>
    </xf>
    <xf numFmtId="9" fontId="6" fillId="0" borderId="0" applyFont="0" applyFill="0" applyBorder="0" applyAlignment="0" applyProtection="0"/>
    <xf numFmtId="10" fontId="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0" fontId="29" fillId="0" borderId="0" applyNumberFormat="0" applyBorder="0"/>
    <xf numFmtId="0" fontId="46" fillId="10" borderId="0" applyNumberFormat="0" applyBorder="0"/>
    <xf numFmtId="0" fontId="46" fillId="11" borderId="0" applyNumberFormat="0" applyBorder="0"/>
    <xf numFmtId="0" fontId="46" fillId="12" borderId="0" applyNumberFormat="0" applyBorder="0"/>
    <xf numFmtId="0" fontId="26" fillId="13" borderId="0"/>
    <xf numFmtId="0" fontId="36" fillId="0" borderId="45">
      <protection locked="0"/>
    </xf>
    <xf numFmtId="204" fontId="26" fillId="0" borderId="0" applyFont="0" applyFill="0" applyBorder="0" applyAlignment="0" applyProtection="0"/>
    <xf numFmtId="206" fontId="26" fillId="0" borderId="0" applyFont="0" applyFill="0" applyBorder="0" applyAlignment="0" applyProtection="0"/>
    <xf numFmtId="0" fontId="47" fillId="0" borderId="0"/>
    <xf numFmtId="0" fontId="26" fillId="0" borderId="0"/>
    <xf numFmtId="0" fontId="25" fillId="0" borderId="0"/>
    <xf numFmtId="43" fontId="47" fillId="0" borderId="0" applyFont="0" applyFill="0" applyBorder="0" applyAlignment="0" applyProtection="0"/>
    <xf numFmtId="9" fontId="47" fillId="0" borderId="0" applyFont="0" applyFill="0" applyBorder="0" applyAlignment="0" applyProtection="0"/>
    <xf numFmtId="0" fontId="69" fillId="0" borderId="0" applyNumberFormat="0" applyFill="0" applyBorder="0" applyAlignment="0" applyProtection="0"/>
    <xf numFmtId="0" fontId="70" fillId="0" borderId="0"/>
    <xf numFmtId="44" fontId="1" fillId="0" borderId="0" applyFont="0" applyFill="0" applyBorder="0" applyAlignment="0" applyProtection="0"/>
    <xf numFmtId="0" fontId="72" fillId="0" borderId="0"/>
    <xf numFmtId="0" fontId="26" fillId="0" borderId="0"/>
    <xf numFmtId="0" fontId="90" fillId="0" borderId="0"/>
    <xf numFmtId="0" fontId="47" fillId="0" borderId="0"/>
    <xf numFmtId="0" fontId="1" fillId="0" borderId="0"/>
    <xf numFmtId="9" fontId="26" fillId="0" borderId="0"/>
    <xf numFmtId="44" fontId="26" fillId="0" borderId="0"/>
    <xf numFmtId="42" fontId="26" fillId="0" borderId="0"/>
    <xf numFmtId="43" fontId="26" fillId="0" borderId="0"/>
    <xf numFmtId="41" fontId="26" fillId="0" borderId="0"/>
    <xf numFmtId="9" fontId="26" fillId="0" borderId="0"/>
    <xf numFmtId="44" fontId="26" fillId="0" borderId="0"/>
    <xf numFmtId="43" fontId="26" fillId="0" borderId="0"/>
    <xf numFmtId="9" fontId="26" fillId="0" borderId="0"/>
    <xf numFmtId="44" fontId="26" fillId="0" borderId="0"/>
    <xf numFmtId="9" fontId="26" fillId="0" borderId="0"/>
    <xf numFmtId="43" fontId="26" fillId="0" borderId="0"/>
    <xf numFmtId="44" fontId="26" fillId="0" borderId="0"/>
    <xf numFmtId="43" fontId="26" fillId="0" borderId="0"/>
    <xf numFmtId="9" fontId="26" fillId="0" borderId="0"/>
    <xf numFmtId="44" fontId="26" fillId="0" borderId="0"/>
    <xf numFmtId="43" fontId="26" fillId="0" borderId="0"/>
    <xf numFmtId="9" fontId="26" fillId="0" borderId="0"/>
    <xf numFmtId="44" fontId="26" fillId="0" borderId="0"/>
    <xf numFmtId="43" fontId="26" fillId="0" borderId="0"/>
    <xf numFmtId="0" fontId="102" fillId="0" borderId="0">
      <alignment vertical="center"/>
    </xf>
    <xf numFmtId="9" fontId="102" fillId="0" borderId="0"/>
    <xf numFmtId="44" fontId="102" fillId="0" borderId="0"/>
    <xf numFmtId="42" fontId="102" fillId="0" borderId="0"/>
    <xf numFmtId="43" fontId="102" fillId="0" borderId="0"/>
    <xf numFmtId="41" fontId="102" fillId="0" borderId="0"/>
    <xf numFmtId="0" fontId="26" fillId="0" borderId="0">
      <alignment vertical="center"/>
    </xf>
    <xf numFmtId="9" fontId="26" fillId="0" borderId="0"/>
    <xf numFmtId="44" fontId="26" fillId="0" borderId="0"/>
    <xf numFmtId="43" fontId="26" fillId="0" borderId="0"/>
    <xf numFmtId="0" fontId="124" fillId="22" borderId="74" applyNumberFormat="0" applyFont="0" applyBorder="0" applyAlignment="0">
      <alignment horizontal="center"/>
    </xf>
    <xf numFmtId="0" fontId="124" fillId="23" borderId="42" applyNumberFormat="0" applyFont="0" applyBorder="0" applyAlignment="0">
      <alignment horizontal="center"/>
    </xf>
    <xf numFmtId="0" fontId="1" fillId="0" borderId="0"/>
    <xf numFmtId="43" fontId="1" fillId="0" borderId="0" applyFont="0" applyFill="0" applyBorder="0" applyAlignment="0" applyProtection="0"/>
    <xf numFmtId="0" fontId="26" fillId="0" borderId="0"/>
    <xf numFmtId="0" fontId="37" fillId="0" borderId="0"/>
    <xf numFmtId="9" fontId="26" fillId="0" borderId="0" applyFont="0" applyFill="0" applyBorder="0" applyAlignment="0" applyProtection="0"/>
    <xf numFmtId="9" fontId="26" fillId="0" borderId="0"/>
    <xf numFmtId="44" fontId="26" fillId="0" borderId="0"/>
    <xf numFmtId="9" fontId="26" fillId="0" borderId="0"/>
    <xf numFmtId="43" fontId="26" fillId="0" borderId="0"/>
    <xf numFmtId="44" fontId="26" fillId="0" borderId="0"/>
    <xf numFmtId="43" fontId="26" fillId="0" borderId="0"/>
    <xf numFmtId="9" fontId="26" fillId="0" borderId="0"/>
    <xf numFmtId="44" fontId="26" fillId="0" borderId="0"/>
    <xf numFmtId="43" fontId="26" fillId="0" borderId="0"/>
  </cellStyleXfs>
  <cellXfs count="1649">
    <xf numFmtId="0" fontId="0" fillId="0" borderId="0" xfId="0"/>
    <xf numFmtId="0" fontId="2" fillId="0" borderId="0" xfId="0" applyFont="1"/>
    <xf numFmtId="0" fontId="2" fillId="0" borderId="1" xfId="0" applyFont="1" applyBorder="1"/>
    <xf numFmtId="0" fontId="2" fillId="0" borderId="2" xfId="0" applyFont="1" applyBorder="1"/>
    <xf numFmtId="22" fontId="3" fillId="0" borderId="3" xfId="0" applyNumberFormat="1" applyFont="1" applyBorder="1"/>
    <xf numFmtId="0" fontId="4" fillId="0" borderId="4" xfId="0" applyFont="1" applyBorder="1"/>
    <xf numFmtId="0" fontId="2" fillId="0" borderId="4" xfId="0" applyFont="1" applyBorder="1"/>
    <xf numFmtId="0" fontId="2" fillId="0" borderId="0" xfId="3" applyFont="1"/>
    <xf numFmtId="0" fontId="2" fillId="0" borderId="6" xfId="0" applyFont="1" applyBorder="1"/>
    <xf numFmtId="0" fontId="2" fillId="0" borderId="0" xfId="0" applyFont="1" applyAlignment="1">
      <alignment horizontal="left" indent="1"/>
    </xf>
    <xf numFmtId="0" fontId="8" fillId="0" borderId="0" xfId="5" applyFont="1"/>
    <xf numFmtId="0" fontId="5" fillId="0" borderId="2" xfId="0" applyFont="1" applyBorder="1"/>
    <xf numFmtId="4" fontId="5" fillId="0" borderId="2" xfId="0" applyNumberFormat="1" applyFont="1" applyBorder="1"/>
    <xf numFmtId="0" fontId="2" fillId="0" borderId="0" xfId="0" applyFont="1" applyAlignment="1">
      <alignment horizontal="left" indent="2"/>
    </xf>
    <xf numFmtId="168" fontId="2" fillId="0" borderId="0" xfId="0" applyNumberFormat="1" applyFont="1"/>
    <xf numFmtId="0" fontId="2" fillId="0" borderId="0" xfId="3" applyFont="1" applyAlignment="1">
      <alignment horizontal="left" indent="1"/>
    </xf>
    <xf numFmtId="0" fontId="11" fillId="0" borderId="0" xfId="0" applyFont="1"/>
    <xf numFmtId="6" fontId="2" fillId="0" borderId="0" xfId="0" applyNumberFormat="1" applyFont="1"/>
    <xf numFmtId="5" fontId="2" fillId="0" borderId="0" xfId="0" applyNumberFormat="1" applyFont="1"/>
    <xf numFmtId="0" fontId="11" fillId="0" borderId="0" xfId="0" applyFont="1" applyAlignment="1">
      <alignment horizontal="center"/>
    </xf>
    <xf numFmtId="0" fontId="12" fillId="0" borderId="0" xfId="0" applyFont="1" applyAlignment="1">
      <alignment horizontal="center"/>
    </xf>
    <xf numFmtId="0" fontId="11" fillId="0" borderId="15" xfId="0" applyFont="1" applyBorder="1" applyAlignment="1">
      <alignment horizontal="center"/>
    </xf>
    <xf numFmtId="164" fontId="8" fillId="0" borderId="0" xfId="4" applyNumberFormat="1" applyFont="1"/>
    <xf numFmtId="170" fontId="8" fillId="0" borderId="6" xfId="3" applyNumberFormat="1" applyFont="1" applyBorder="1"/>
    <xf numFmtId="165" fontId="8" fillId="0" borderId="0" xfId="5" applyNumberFormat="1" applyFont="1"/>
    <xf numFmtId="10" fontId="2" fillId="0" borderId="0" xfId="0" applyNumberFormat="1" applyFont="1"/>
    <xf numFmtId="37" fontId="2" fillId="0" borderId="0" xfId="0" applyNumberFormat="1" applyFont="1"/>
    <xf numFmtId="37" fontId="4" fillId="0" borderId="0" xfId="0" applyNumberFormat="1" applyFont="1"/>
    <xf numFmtId="0" fontId="5" fillId="0" borderId="6" xfId="3" applyFont="1" applyBorder="1"/>
    <xf numFmtId="5" fontId="5" fillId="0" borderId="6" xfId="3" applyNumberFormat="1" applyFont="1" applyBorder="1"/>
    <xf numFmtId="37" fontId="2" fillId="0" borderId="6" xfId="0" applyNumberFormat="1" applyFont="1" applyBorder="1"/>
    <xf numFmtId="0" fontId="5" fillId="0" borderId="6" xfId="0" applyFont="1" applyBorder="1"/>
    <xf numFmtId="5" fontId="5" fillId="0" borderId="6" xfId="0" applyNumberFormat="1" applyFont="1" applyBorder="1"/>
    <xf numFmtId="0" fontId="5" fillId="0" borderId="0" xfId="0" applyFont="1"/>
    <xf numFmtId="5" fontId="5" fillId="0" borderId="0" xfId="0" applyNumberFormat="1" applyFont="1"/>
    <xf numFmtId="5" fontId="13" fillId="0" borderId="18" xfId="0" applyNumberFormat="1" applyFont="1" applyBorder="1"/>
    <xf numFmtId="0" fontId="5" fillId="0" borderId="0" xfId="3" applyFont="1"/>
    <xf numFmtId="0" fontId="5" fillId="0" borderId="20" xfId="0" applyFont="1" applyBorder="1"/>
    <xf numFmtId="14" fontId="14" fillId="0" borderId="20" xfId="0" applyNumberFormat="1" applyFont="1" applyBorder="1"/>
    <xf numFmtId="166" fontId="10" fillId="0" borderId="0" xfId="0" applyNumberFormat="1" applyFont="1"/>
    <xf numFmtId="0" fontId="5" fillId="0" borderId="16" xfId="3" applyFont="1" applyBorder="1"/>
    <xf numFmtId="6" fontId="5" fillId="0" borderId="16" xfId="3" applyNumberFormat="1" applyFont="1" applyBorder="1"/>
    <xf numFmtId="5" fontId="5" fillId="0" borderId="16" xfId="3" applyNumberFormat="1" applyFont="1" applyBorder="1"/>
    <xf numFmtId="0" fontId="2" fillId="0" borderId="14" xfId="0" applyFont="1" applyBorder="1" applyAlignment="1">
      <alignment horizontal="left" indent="1"/>
    </xf>
    <xf numFmtId="0" fontId="2" fillId="0" borderId="0" xfId="0" applyFont="1" applyAlignment="1">
      <alignment horizontal="left"/>
    </xf>
    <xf numFmtId="6" fontId="5" fillId="0" borderId="0" xfId="3" applyNumberFormat="1" applyFont="1"/>
    <xf numFmtId="0" fontId="2" fillId="0" borderId="2" xfId="3" applyFont="1" applyBorder="1" applyAlignment="1">
      <alignment horizontal="left" indent="1"/>
    </xf>
    <xf numFmtId="0" fontId="5" fillId="0" borderId="2" xfId="3" applyFont="1" applyBorder="1"/>
    <xf numFmtId="10" fontId="10" fillId="0" borderId="2" xfId="3" applyNumberFormat="1" applyFont="1" applyBorder="1"/>
    <xf numFmtId="37" fontId="2" fillId="0" borderId="2" xfId="3" applyNumberFormat="1" applyFont="1" applyBorder="1"/>
    <xf numFmtId="0" fontId="3" fillId="0" borderId="0" xfId="0" applyFont="1"/>
    <xf numFmtId="6" fontId="2" fillId="0" borderId="0" xfId="3" applyNumberFormat="1" applyFont="1"/>
    <xf numFmtId="0" fontId="2" fillId="0" borderId="6" xfId="3" applyFont="1" applyBorder="1" applyAlignment="1">
      <alignment horizontal="left"/>
    </xf>
    <xf numFmtId="0" fontId="2" fillId="0" borderId="25" xfId="3" applyFont="1" applyBorder="1" applyAlignment="1">
      <alignment horizontal="right"/>
    </xf>
    <xf numFmtId="177" fontId="15" fillId="0" borderId="6" xfId="3" applyNumberFormat="1" applyFont="1" applyBorder="1"/>
    <xf numFmtId="0" fontId="5" fillId="0" borderId="7" xfId="3" applyFont="1" applyBorder="1"/>
    <xf numFmtId="0" fontId="5" fillId="0" borderId="7" xfId="3" applyFont="1" applyBorder="1" applyAlignment="1">
      <alignment horizontal="right"/>
    </xf>
    <xf numFmtId="10" fontId="10" fillId="0" borderId="0" xfId="3" applyNumberFormat="1" applyFont="1"/>
    <xf numFmtId="6" fontId="8" fillId="0" borderId="0" xfId="5" applyNumberFormat="1" applyFont="1"/>
    <xf numFmtId="37" fontId="15" fillId="0" borderId="0" xfId="3" applyNumberFormat="1" applyFont="1"/>
    <xf numFmtId="172" fontId="8" fillId="0" borderId="0" xfId="5" applyNumberFormat="1" applyFont="1"/>
    <xf numFmtId="172" fontId="2" fillId="0" borderId="0" xfId="3" applyNumberFormat="1" applyFont="1"/>
    <xf numFmtId="6" fontId="10" fillId="0" borderId="0" xfId="3" applyNumberFormat="1" applyFont="1"/>
    <xf numFmtId="179" fontId="10" fillId="0" borderId="0" xfId="0" applyNumberFormat="1" applyFont="1"/>
    <xf numFmtId="10" fontId="10" fillId="0" borderId="0" xfId="0" applyNumberFormat="1" applyFont="1"/>
    <xf numFmtId="38" fontId="10" fillId="0" borderId="0" xfId="3" applyNumberFormat="1" applyFont="1"/>
    <xf numFmtId="181" fontId="10" fillId="0" borderId="0" xfId="3" applyNumberFormat="1" applyFont="1"/>
    <xf numFmtId="38" fontId="9" fillId="0" borderId="0" xfId="3" applyNumberFormat="1" applyFont="1"/>
    <xf numFmtId="0" fontId="2" fillId="0" borderId="29" xfId="3" applyFont="1" applyBorder="1" applyAlignment="1">
      <alignment horizontal="left" indent="1"/>
    </xf>
    <xf numFmtId="183" fontId="10" fillId="0" borderId="0" xfId="0" applyNumberFormat="1" applyFont="1"/>
    <xf numFmtId="0" fontId="5" fillId="0" borderId="14" xfId="3" applyFont="1" applyBorder="1"/>
    <xf numFmtId="6" fontId="5" fillId="0" borderId="14" xfId="3" applyNumberFormat="1" applyFont="1" applyBorder="1"/>
    <xf numFmtId="172" fontId="5" fillId="0" borderId="14" xfId="3" applyNumberFormat="1" applyFont="1" applyBorder="1"/>
    <xf numFmtId="0" fontId="2" fillId="0" borderId="7" xfId="0" applyFont="1" applyBorder="1"/>
    <xf numFmtId="0" fontId="5" fillId="0" borderId="7" xfId="3" applyFont="1" applyBorder="1" applyAlignment="1">
      <alignment horizontal="left"/>
    </xf>
    <xf numFmtId="38" fontId="2" fillId="0" borderId="0" xfId="3" applyNumberFormat="1" applyFont="1"/>
    <xf numFmtId="38" fontId="15" fillId="0" borderId="29" xfId="3" applyNumberFormat="1" applyFont="1" applyBorder="1"/>
    <xf numFmtId="172" fontId="2" fillId="0" borderId="29" xfId="3" applyNumberFormat="1" applyFont="1" applyBorder="1"/>
    <xf numFmtId="38" fontId="2" fillId="0" borderId="29" xfId="3" applyNumberFormat="1" applyFont="1" applyBorder="1"/>
    <xf numFmtId="0" fontId="5" fillId="0" borderId="31" xfId="3" applyFont="1" applyBorder="1"/>
    <xf numFmtId="6" fontId="5" fillId="0" borderId="31" xfId="3" applyNumberFormat="1" applyFont="1" applyBorder="1"/>
    <xf numFmtId="172" fontId="5" fillId="0" borderId="31" xfId="3" applyNumberFormat="1" applyFont="1" applyBorder="1"/>
    <xf numFmtId="0" fontId="7" fillId="0" borderId="6" xfId="5" applyFont="1" applyBorder="1"/>
    <xf numFmtId="0" fontId="8" fillId="0" borderId="7" xfId="5" applyFont="1" applyBorder="1"/>
    <xf numFmtId="0" fontId="2" fillId="0" borderId="14" xfId="0" applyFont="1" applyBorder="1"/>
    <xf numFmtId="6" fontId="2" fillId="0" borderId="14" xfId="0" applyNumberFormat="1" applyFont="1" applyBorder="1"/>
    <xf numFmtId="0" fontId="2" fillId="0" borderId="0" xfId="3" applyFont="1" applyAlignment="1">
      <alignment horizontal="left"/>
    </xf>
    <xf numFmtId="0" fontId="2" fillId="0" borderId="32" xfId="3" applyFont="1" applyBorder="1" applyAlignment="1">
      <alignment horizontal="right"/>
    </xf>
    <xf numFmtId="176" fontId="10" fillId="4" borderId="30" xfId="3" applyNumberFormat="1" applyFont="1" applyFill="1" applyBorder="1" applyAlignment="1">
      <alignment horizontal="left"/>
    </xf>
    <xf numFmtId="177" fontId="15" fillId="0" borderId="0" xfId="3" applyNumberFormat="1" applyFont="1"/>
    <xf numFmtId="172" fontId="5" fillId="0" borderId="31" xfId="2" applyNumberFormat="1" applyFont="1" applyFill="1" applyBorder="1"/>
    <xf numFmtId="6" fontId="18" fillId="0" borderId="6" xfId="3" applyNumberFormat="1" applyFont="1" applyBorder="1"/>
    <xf numFmtId="167" fontId="10" fillId="0" borderId="0" xfId="0" applyNumberFormat="1" applyFont="1"/>
    <xf numFmtId="0" fontId="11" fillId="0" borderId="0" xfId="0" applyFont="1" applyAlignment="1">
      <alignment horizontal="right"/>
    </xf>
    <xf numFmtId="0" fontId="5" fillId="0" borderId="16" xfId="0" applyFont="1" applyBorder="1"/>
    <xf numFmtId="0" fontId="2" fillId="0" borderId="16" xfId="0" applyFont="1" applyBorder="1"/>
    <xf numFmtId="164" fontId="2" fillId="0" borderId="0" xfId="0" applyNumberFormat="1" applyFont="1"/>
    <xf numFmtId="0" fontId="2" fillId="0" borderId="11" xfId="0" applyFont="1" applyBorder="1"/>
    <xf numFmtId="9" fontId="15" fillId="0" borderId="0" xfId="0" applyNumberFormat="1" applyFont="1"/>
    <xf numFmtId="191" fontId="10" fillId="0" borderId="34" xfId="0" applyNumberFormat="1" applyFont="1" applyBorder="1"/>
    <xf numFmtId="10" fontId="2" fillId="0" borderId="34" xfId="0" applyNumberFormat="1" applyFont="1" applyBorder="1"/>
    <xf numFmtId="10" fontId="2" fillId="0" borderId="35" xfId="0" applyNumberFormat="1" applyFont="1" applyBorder="1"/>
    <xf numFmtId="0" fontId="2" fillId="0" borderId="34" xfId="0" applyFont="1" applyBorder="1"/>
    <xf numFmtId="0" fontId="2" fillId="0" borderId="33" xfId="0" applyFont="1" applyBorder="1"/>
    <xf numFmtId="0" fontId="2" fillId="0" borderId="36" xfId="0" applyFont="1" applyBorder="1"/>
    <xf numFmtId="179" fontId="2" fillId="0" borderId="34" xfId="0" applyNumberFormat="1" applyFont="1" applyBorder="1"/>
    <xf numFmtId="179" fontId="2" fillId="0" borderId="0" xfId="0" applyNumberFormat="1" applyFont="1"/>
    <xf numFmtId="1" fontId="2" fillId="0" borderId="0" xfId="0" applyNumberFormat="1" applyFont="1"/>
    <xf numFmtId="179" fontId="5" fillId="0" borderId="2" xfId="0" applyNumberFormat="1" applyFont="1" applyBorder="1"/>
    <xf numFmtId="179" fontId="2" fillId="0" borderId="2" xfId="0" applyNumberFormat="1" applyFont="1" applyBorder="1"/>
    <xf numFmtId="192" fontId="2" fillId="0" borderId="34" xfId="0" applyNumberFormat="1" applyFont="1" applyBorder="1"/>
    <xf numFmtId="192" fontId="2" fillId="0" borderId="0" xfId="0" applyNumberFormat="1" applyFont="1"/>
    <xf numFmtId="192" fontId="10" fillId="0" borderId="0" xfId="0" applyNumberFormat="1" applyFont="1"/>
    <xf numFmtId="164" fontId="2" fillId="0" borderId="2" xfId="0" applyNumberFormat="1" applyFont="1" applyBorder="1"/>
    <xf numFmtId="0" fontId="11" fillId="0" borderId="11" xfId="0" applyFont="1" applyBorder="1" applyAlignment="1">
      <alignment horizontal="center"/>
    </xf>
    <xf numFmtId="5" fontId="15" fillId="0" borderId="34" xfId="0" applyNumberFormat="1" applyFont="1" applyBorder="1"/>
    <xf numFmtId="5" fontId="2" fillId="0" borderId="11" xfId="0" applyNumberFormat="1" applyFont="1" applyBorder="1"/>
    <xf numFmtId="5" fontId="9" fillId="0" borderId="0" xfId="0" applyNumberFormat="1" applyFont="1"/>
    <xf numFmtId="171" fontId="15" fillId="0" borderId="14" xfId="0" applyNumberFormat="1" applyFont="1" applyBorder="1" applyAlignment="1">
      <alignment horizontal="left" indent="1"/>
    </xf>
    <xf numFmtId="37" fontId="2" fillId="0" borderId="30" xfId="0" applyNumberFormat="1" applyFont="1" applyBorder="1"/>
    <xf numFmtId="37" fontId="2" fillId="0" borderId="14" xfId="0" applyNumberFormat="1" applyFont="1" applyBorder="1"/>
    <xf numFmtId="37" fontId="15" fillId="0" borderId="37" xfId="0" applyNumberFormat="1" applyFont="1" applyBorder="1"/>
    <xf numFmtId="37" fontId="10" fillId="0" borderId="14" xfId="0" applyNumberFormat="1" applyFont="1" applyBorder="1"/>
    <xf numFmtId="5" fontId="5" fillId="0" borderId="11" xfId="0" applyNumberFormat="1" applyFont="1" applyBorder="1"/>
    <xf numFmtId="5" fontId="5" fillId="0" borderId="34" xfId="0" applyNumberFormat="1" applyFont="1" applyBorder="1"/>
    <xf numFmtId="185" fontId="2" fillId="0" borderId="11" xfId="0" applyNumberFormat="1" applyFont="1" applyBorder="1"/>
    <xf numFmtId="185" fontId="2" fillId="0" borderId="34" xfId="0" applyNumberFormat="1" applyFont="1" applyBorder="1"/>
    <xf numFmtId="193" fontId="2" fillId="0" borderId="0" xfId="0" applyNumberFormat="1" applyFont="1"/>
    <xf numFmtId="185" fontId="2" fillId="0" borderId="0" xfId="0" applyNumberFormat="1" applyFont="1"/>
    <xf numFmtId="180" fontId="15" fillId="0" borderId="0" xfId="0" applyNumberFormat="1" applyFont="1"/>
    <xf numFmtId="182" fontId="15" fillId="0" borderId="0" xfId="0" applyNumberFormat="1" applyFont="1"/>
    <xf numFmtId="5" fontId="2" fillId="0" borderId="34" xfId="0" applyNumberFormat="1" applyFont="1" applyBorder="1"/>
    <xf numFmtId="37" fontId="2" fillId="0" borderId="11" xfId="0" applyNumberFormat="1" applyFont="1" applyBorder="1"/>
    <xf numFmtId="37" fontId="2" fillId="0" borderId="34" xfId="0" applyNumberFormat="1" applyFont="1" applyBorder="1"/>
    <xf numFmtId="5" fontId="5" fillId="0" borderId="10" xfId="0" applyNumberFormat="1" applyFont="1" applyBorder="1"/>
    <xf numFmtId="5" fontId="5" fillId="0" borderId="38" xfId="0" applyNumberFormat="1" applyFont="1" applyBorder="1"/>
    <xf numFmtId="5" fontId="5" fillId="0" borderId="27" xfId="0" applyNumberFormat="1" applyFont="1" applyBorder="1"/>
    <xf numFmtId="5" fontId="5" fillId="0" borderId="16" xfId="0" applyNumberFormat="1" applyFont="1" applyBorder="1"/>
    <xf numFmtId="5" fontId="5" fillId="0" borderId="39" xfId="0" applyNumberFormat="1" applyFont="1" applyBorder="1"/>
    <xf numFmtId="0" fontId="4" fillId="0" borderId="0" xfId="0" applyFont="1"/>
    <xf numFmtId="37" fontId="2" fillId="0" borderId="37" xfId="0" applyNumberFormat="1" applyFont="1" applyBorder="1"/>
    <xf numFmtId="0" fontId="4" fillId="0" borderId="0" xfId="0" applyFont="1" applyAlignment="1">
      <alignment horizontal="left" indent="1"/>
    </xf>
    <xf numFmtId="9" fontId="4" fillId="0" borderId="34" xfId="0" applyNumberFormat="1" applyFont="1" applyBorder="1"/>
    <xf numFmtId="9" fontId="4" fillId="0" borderId="0" xfId="0" applyNumberFormat="1" applyFont="1"/>
    <xf numFmtId="178" fontId="15" fillId="0" borderId="0" xfId="0" applyNumberFormat="1" applyFont="1"/>
    <xf numFmtId="179" fontId="9" fillId="0" borderId="0" xfId="0" applyNumberFormat="1" applyFont="1"/>
    <xf numFmtId="5" fontId="5" fillId="0" borderId="26" xfId="0" applyNumberFormat="1" applyFont="1" applyBorder="1"/>
    <xf numFmtId="5" fontId="5" fillId="0" borderId="7" xfId="0" applyNumberFormat="1" applyFont="1" applyBorder="1"/>
    <xf numFmtId="196" fontId="2" fillId="0" borderId="0" xfId="0" applyNumberFormat="1" applyFont="1"/>
    <xf numFmtId="180" fontId="21" fillId="0" borderId="0" xfId="0" applyNumberFormat="1" applyFont="1"/>
    <xf numFmtId="174" fontId="15" fillId="0" borderId="0" xfId="3" applyNumberFormat="1" applyFont="1"/>
    <xf numFmtId="180" fontId="8" fillId="4" borderId="0" xfId="5" applyNumberFormat="1" applyFont="1" applyFill="1"/>
    <xf numFmtId="172" fontId="15" fillId="0" borderId="0" xfId="0" applyNumberFormat="1" applyFont="1"/>
    <xf numFmtId="0" fontId="5" fillId="0" borderId="6" xfId="0" applyFont="1" applyBorder="1" applyAlignment="1">
      <alignment horizontal="left"/>
    </xf>
    <xf numFmtId="1" fontId="2" fillId="0" borderId="11" xfId="0" applyNumberFormat="1" applyFont="1" applyBorder="1"/>
    <xf numFmtId="1" fontId="2" fillId="0" borderId="34" xfId="0" applyNumberFormat="1" applyFont="1" applyBorder="1"/>
    <xf numFmtId="8" fontId="15" fillId="0" borderId="0" xfId="0" applyNumberFormat="1" applyFont="1"/>
    <xf numFmtId="6" fontId="15" fillId="0" borderId="0" xfId="0" applyNumberFormat="1" applyFont="1"/>
    <xf numFmtId="179" fontId="15" fillId="0" borderId="0" xfId="0" applyNumberFormat="1" applyFont="1"/>
    <xf numFmtId="193" fontId="2" fillId="0" borderId="30" xfId="0" applyNumberFormat="1" applyFont="1" applyBorder="1"/>
    <xf numFmtId="193" fontId="2" fillId="0" borderId="14" xfId="0" applyNumberFormat="1" applyFont="1" applyBorder="1"/>
    <xf numFmtId="193" fontId="5" fillId="0" borderId="37" xfId="0" applyNumberFormat="1" applyFont="1" applyBorder="1"/>
    <xf numFmtId="0" fontId="5" fillId="0" borderId="7" xfId="0" applyFont="1" applyBorder="1"/>
    <xf numFmtId="5" fontId="5" fillId="0" borderId="40" xfId="0" applyNumberFormat="1" applyFont="1" applyBorder="1"/>
    <xf numFmtId="0" fontId="2" fillId="0" borderId="30" xfId="0" applyFont="1" applyBorder="1"/>
    <xf numFmtId="172" fontId="4" fillId="0" borderId="34" xfId="0" applyNumberFormat="1" applyFont="1" applyBorder="1"/>
    <xf numFmtId="172" fontId="4" fillId="0" borderId="0" xfId="0" applyNumberFormat="1" applyFont="1"/>
    <xf numFmtId="37" fontId="4" fillId="0" borderId="34" xfId="0" applyNumberFormat="1" applyFont="1" applyBorder="1"/>
    <xf numFmtId="5" fontId="2" fillId="0" borderId="14" xfId="0" applyNumberFormat="1" applyFont="1" applyBorder="1"/>
    <xf numFmtId="5" fontId="2" fillId="0" borderId="30" xfId="0" applyNumberFormat="1" applyFont="1" applyBorder="1"/>
    <xf numFmtId="5" fontId="2" fillId="0" borderId="37" xfId="0" applyNumberFormat="1" applyFont="1" applyBorder="1"/>
    <xf numFmtId="0" fontId="5" fillId="0" borderId="41" xfId="0" applyFont="1" applyBorder="1"/>
    <xf numFmtId="0" fontId="5" fillId="0" borderId="4" xfId="0" applyFont="1" applyBorder="1"/>
    <xf numFmtId="5" fontId="5" fillId="0" borderId="42" xfId="0" applyNumberFormat="1" applyFont="1" applyBorder="1"/>
    <xf numFmtId="0" fontId="5" fillId="0" borderId="8" xfId="0" applyFont="1" applyBorder="1"/>
    <xf numFmtId="6" fontId="5" fillId="0" borderId="9" xfId="0" applyNumberFormat="1" applyFont="1" applyBorder="1"/>
    <xf numFmtId="5" fontId="5" fillId="0" borderId="9" xfId="0" applyNumberFormat="1" applyFont="1" applyBorder="1"/>
    <xf numFmtId="167" fontId="5" fillId="0" borderId="9" xfId="0" applyNumberFormat="1" applyFont="1" applyBorder="1"/>
    <xf numFmtId="0" fontId="5" fillId="0" borderId="12" xfId="0" applyFont="1" applyBorder="1"/>
    <xf numFmtId="10" fontId="5" fillId="0" borderId="13" xfId="0" applyNumberFormat="1" applyFont="1" applyBorder="1"/>
    <xf numFmtId="1" fontId="2" fillId="0" borderId="11" xfId="0" applyNumberFormat="1" applyFont="1" applyBorder="1" applyAlignment="1">
      <alignment horizontal="right"/>
    </xf>
    <xf numFmtId="1" fontId="2" fillId="0" borderId="0" xfId="0" applyNumberFormat="1" applyFont="1" applyAlignment="1">
      <alignment horizontal="right"/>
    </xf>
    <xf numFmtId="1" fontId="2" fillId="0" borderId="34" xfId="0" applyNumberFormat="1" applyFont="1" applyBorder="1" applyAlignment="1">
      <alignment horizontal="right"/>
    </xf>
    <xf numFmtId="1" fontId="2" fillId="0" borderId="11" xfId="0" applyNumberFormat="1" applyFont="1" applyBorder="1" applyAlignment="1">
      <alignment horizontal="right" indent="1"/>
    </xf>
    <xf numFmtId="1" fontId="2" fillId="0" borderId="0" xfId="0" applyNumberFormat="1" applyFont="1" applyAlignment="1">
      <alignment horizontal="right" indent="1"/>
    </xf>
    <xf numFmtId="1" fontId="2" fillId="0" borderId="34" xfId="0" applyNumberFormat="1" applyFont="1" applyBorder="1" applyAlignment="1">
      <alignment horizontal="right" indent="1"/>
    </xf>
    <xf numFmtId="166" fontId="15" fillId="0" borderId="0" xfId="0" applyNumberFormat="1" applyFont="1"/>
    <xf numFmtId="197" fontId="2" fillId="0" borderId="11" xfId="0" applyNumberFormat="1" applyFont="1" applyBorder="1"/>
    <xf numFmtId="197" fontId="2" fillId="0" borderId="0" xfId="0" applyNumberFormat="1" applyFont="1"/>
    <xf numFmtId="197" fontId="2" fillId="0" borderId="34" xfId="0" applyNumberFormat="1" applyFont="1" applyBorder="1"/>
    <xf numFmtId="185" fontId="5" fillId="0" borderId="11" xfId="0" applyNumberFormat="1" applyFont="1" applyBorder="1"/>
    <xf numFmtId="185" fontId="5" fillId="0" borderId="0" xfId="0" applyNumberFormat="1" applyFont="1"/>
    <xf numFmtId="197" fontId="2" fillId="0" borderId="10" xfId="0" applyNumberFormat="1" applyFont="1" applyBorder="1"/>
    <xf numFmtId="197" fontId="2" fillId="0" borderId="6" xfId="0" applyNumberFormat="1" applyFont="1" applyBorder="1"/>
    <xf numFmtId="197" fontId="2" fillId="0" borderId="38" xfId="0" applyNumberFormat="1" applyFont="1" applyBorder="1"/>
    <xf numFmtId="164" fontId="2" fillId="0" borderId="34" xfId="0" applyNumberFormat="1" applyFont="1" applyBorder="1"/>
    <xf numFmtId="198" fontId="2" fillId="0" borderId="0" xfId="0" applyNumberFormat="1" applyFont="1"/>
    <xf numFmtId="10" fontId="2" fillId="0" borderId="37" xfId="0" applyNumberFormat="1" applyFont="1" applyBorder="1"/>
    <xf numFmtId="198" fontId="2" fillId="0" borderId="14" xfId="0" applyNumberFormat="1" applyFont="1" applyBorder="1"/>
    <xf numFmtId="10" fontId="20" fillId="0" borderId="25" xfId="0" applyNumberFormat="1" applyFont="1" applyBorder="1" applyAlignment="1">
      <alignment horizontal="right"/>
    </xf>
    <xf numFmtId="10" fontId="20" fillId="0" borderId="26" xfId="0" applyNumberFormat="1" applyFont="1" applyBorder="1" applyAlignment="1">
      <alignment horizontal="left"/>
    </xf>
    <xf numFmtId="198" fontId="2" fillId="0" borderId="34" xfId="0" applyNumberFormat="1" applyFont="1" applyBorder="1"/>
    <xf numFmtId="0" fontId="2" fillId="0" borderId="0" xfId="0" applyFont="1" applyAlignment="1">
      <alignment horizontal="right"/>
    </xf>
    <xf numFmtId="0" fontId="5" fillId="0" borderId="0" xfId="0" applyFont="1" applyAlignment="1">
      <alignment horizontal="left"/>
    </xf>
    <xf numFmtId="200" fontId="15" fillId="0" borderId="0" xfId="0" applyNumberFormat="1" applyFont="1"/>
    <xf numFmtId="0" fontId="2" fillId="0" borderId="14" xfId="0" applyFont="1" applyBorder="1" applyAlignment="1">
      <alignment horizontal="left" indent="2"/>
    </xf>
    <xf numFmtId="37" fontId="5" fillId="0" borderId="11" xfId="0" applyNumberFormat="1" applyFont="1" applyBorder="1"/>
    <xf numFmtId="5" fontId="2" fillId="0" borderId="6" xfId="0" applyNumberFormat="1" applyFont="1" applyBorder="1"/>
    <xf numFmtId="0" fontId="5" fillId="0" borderId="11" xfId="0" applyFont="1" applyBorder="1"/>
    <xf numFmtId="37" fontId="5" fillId="0" borderId="0" xfId="0" applyNumberFormat="1" applyFont="1"/>
    <xf numFmtId="0" fontId="2" fillId="0" borderId="6" xfId="0" applyFont="1" applyBorder="1" applyAlignment="1">
      <alignment horizontal="left" indent="1"/>
    </xf>
    <xf numFmtId="6" fontId="5" fillId="0" borderId="7" xfId="0" applyNumberFormat="1" applyFont="1" applyBorder="1"/>
    <xf numFmtId="5" fontId="2" fillId="0" borderId="7" xfId="0" applyNumberFormat="1" applyFont="1" applyBorder="1"/>
    <xf numFmtId="9" fontId="2" fillId="0" borderId="0" xfId="0" applyNumberFormat="1" applyFont="1"/>
    <xf numFmtId="196" fontId="15" fillId="0" borderId="0" xfId="0" applyNumberFormat="1" applyFont="1"/>
    <xf numFmtId="37" fontId="8" fillId="0" borderId="0" xfId="0" applyNumberFormat="1" applyFont="1"/>
    <xf numFmtId="37" fontId="2" fillId="0" borderId="10" xfId="0" applyNumberFormat="1" applyFont="1" applyBorder="1"/>
    <xf numFmtId="37" fontId="2" fillId="0" borderId="38" xfId="0" applyNumberFormat="1" applyFont="1" applyBorder="1"/>
    <xf numFmtId="0" fontId="2" fillId="0" borderId="6" xfId="0" applyFont="1" applyBorder="1" applyAlignment="1">
      <alignment horizontal="left" indent="2"/>
    </xf>
    <xf numFmtId="6" fontId="5" fillId="0" borderId="26" xfId="0" applyNumberFormat="1" applyFont="1" applyBorder="1"/>
    <xf numFmtId="0" fontId="2" fillId="0" borderId="14" xfId="0" applyFont="1" applyBorder="1" applyAlignment="1">
      <alignment horizontal="left"/>
    </xf>
    <xf numFmtId="0" fontId="5" fillId="0" borderId="0" xfId="0" applyFont="1" applyAlignment="1">
      <alignment horizontal="left" indent="1"/>
    </xf>
    <xf numFmtId="7" fontId="2" fillId="0" borderId="34" xfId="0" applyNumberFormat="1" applyFont="1" applyBorder="1"/>
    <xf numFmtId="188" fontId="2" fillId="0" borderId="0" xfId="0" applyNumberFormat="1" applyFont="1"/>
    <xf numFmtId="0" fontId="26" fillId="5" borderId="0" xfId="6" applyFill="1"/>
    <xf numFmtId="14" fontId="26" fillId="5" borderId="0" xfId="6" applyNumberFormat="1" applyFill="1" applyAlignment="1">
      <alignment horizontal="center"/>
    </xf>
    <xf numFmtId="201" fontId="27" fillId="5" borderId="0" xfId="7" applyNumberFormat="1" applyFont="1" applyFill="1" applyBorder="1" applyAlignment="1">
      <alignment horizontal="center"/>
    </xf>
    <xf numFmtId="14" fontId="28" fillId="6" borderId="41" xfId="6" applyNumberFormat="1" applyFont="1" applyFill="1" applyBorder="1" applyAlignment="1">
      <alignment horizontal="center"/>
    </xf>
    <xf numFmtId="201" fontId="28" fillId="6" borderId="42" xfId="7" applyNumberFormat="1" applyFont="1" applyFill="1" applyBorder="1" applyAlignment="1">
      <alignment horizontal="center"/>
    </xf>
    <xf numFmtId="10" fontId="26" fillId="0" borderId="0" xfId="6" applyNumberFormat="1" applyAlignment="1">
      <alignment vertical="center" wrapText="1"/>
    </xf>
    <xf numFmtId="0" fontId="30" fillId="5" borderId="0" xfId="6" applyFont="1" applyFill="1"/>
    <xf numFmtId="14" fontId="31" fillId="5" borderId="0" xfId="6" applyNumberFormat="1" applyFont="1" applyFill="1"/>
    <xf numFmtId="0" fontId="31" fillId="5" borderId="0" xfId="6" applyFont="1" applyFill="1"/>
    <xf numFmtId="202" fontId="32" fillId="5" borderId="0" xfId="6" applyNumberFormat="1" applyFont="1" applyFill="1" applyAlignment="1">
      <alignment horizontal="center"/>
    </xf>
    <xf numFmtId="202" fontId="33" fillId="5" borderId="0" xfId="6" applyNumberFormat="1" applyFont="1" applyFill="1" applyAlignment="1">
      <alignment horizontal="left"/>
    </xf>
    <xf numFmtId="0" fontId="26" fillId="0" borderId="0" xfId="6" applyAlignment="1">
      <alignment wrapText="1"/>
    </xf>
    <xf numFmtId="0" fontId="35" fillId="8" borderId="5" xfId="0" applyFont="1" applyFill="1" applyBorder="1"/>
    <xf numFmtId="0" fontId="16" fillId="8" borderId="5" xfId="0" applyFont="1" applyFill="1" applyBorder="1"/>
    <xf numFmtId="0" fontId="35" fillId="8" borderId="5" xfId="0" applyFont="1" applyFill="1" applyBorder="1" applyAlignment="1">
      <alignment horizontal="center"/>
    </xf>
    <xf numFmtId="0" fontId="35" fillId="8" borderId="5" xfId="3" applyFont="1" applyFill="1" applyBorder="1"/>
    <xf numFmtId="0" fontId="16" fillId="8" borderId="5" xfId="3" applyFont="1" applyFill="1" applyBorder="1"/>
    <xf numFmtId="0" fontId="35" fillId="8" borderId="5" xfId="3" applyFont="1" applyFill="1" applyBorder="1" applyAlignment="1">
      <alignment horizontal="right"/>
    </xf>
    <xf numFmtId="0" fontId="35" fillId="8" borderId="4" xfId="3" applyFont="1" applyFill="1" applyBorder="1"/>
    <xf numFmtId="0" fontId="35" fillId="8" borderId="4" xfId="3" applyFont="1" applyFill="1" applyBorder="1" applyAlignment="1">
      <alignment horizontal="right"/>
    </xf>
    <xf numFmtId="186" fontId="16" fillId="8" borderId="5" xfId="3" applyNumberFormat="1" applyFont="1" applyFill="1" applyBorder="1"/>
    <xf numFmtId="5" fontId="13" fillId="0" borderId="22" xfId="0" applyNumberFormat="1" applyFont="1" applyBorder="1"/>
    <xf numFmtId="5" fontId="13" fillId="0" borderId="16" xfId="0" applyNumberFormat="1" applyFont="1" applyBorder="1"/>
    <xf numFmtId="0" fontId="2" fillId="0" borderId="4" xfId="0" applyFont="1" applyBorder="1" applyAlignment="1">
      <alignment horizontal="left" indent="1"/>
    </xf>
    <xf numFmtId="0" fontId="5" fillId="0" borderId="24" xfId="3" applyFont="1" applyBorder="1"/>
    <xf numFmtId="6" fontId="5" fillId="0" borderId="24" xfId="3" applyNumberFormat="1" applyFont="1" applyBorder="1"/>
    <xf numFmtId="5" fontId="5" fillId="0" borderId="24" xfId="3" applyNumberFormat="1" applyFont="1" applyBorder="1"/>
    <xf numFmtId="0" fontId="9" fillId="0" borderId="0" xfId="0" applyFont="1"/>
    <xf numFmtId="166" fontId="2" fillId="0" borderId="0" xfId="0" applyNumberFormat="1" applyFont="1"/>
    <xf numFmtId="0" fontId="5" fillId="0" borderId="31" xfId="0" applyFont="1" applyBorder="1"/>
    <xf numFmtId="166" fontId="5" fillId="0" borderId="31" xfId="0" applyNumberFormat="1" applyFont="1" applyBorder="1"/>
    <xf numFmtId="173" fontId="14" fillId="0" borderId="31" xfId="0" applyNumberFormat="1" applyFont="1" applyBorder="1"/>
    <xf numFmtId="203" fontId="2" fillId="0" borderId="0" xfId="0" applyNumberFormat="1" applyFont="1"/>
    <xf numFmtId="10" fontId="2" fillId="0" borderId="0" xfId="0" applyNumberFormat="1" applyFont="1" applyAlignment="1">
      <alignment horizontal="right"/>
    </xf>
    <xf numFmtId="0" fontId="48" fillId="0" borderId="0" xfId="67" applyFont="1"/>
    <xf numFmtId="0" fontId="47" fillId="0" borderId="0" xfId="67"/>
    <xf numFmtId="0" fontId="49" fillId="0" borderId="14" xfId="67" applyFont="1" applyBorder="1"/>
    <xf numFmtId="14" fontId="50" fillId="0" borderId="0" xfId="67" applyNumberFormat="1" applyFont="1" applyAlignment="1">
      <alignment horizontal="left"/>
    </xf>
    <xf numFmtId="0" fontId="51" fillId="0" borderId="0" xfId="67" applyFont="1"/>
    <xf numFmtId="0" fontId="52" fillId="0" borderId="0" xfId="67" quotePrefix="1" applyFont="1" applyAlignment="1">
      <alignment horizontal="justify" vertical="top" wrapText="1"/>
    </xf>
    <xf numFmtId="0" fontId="50" fillId="0" borderId="0" xfId="67" applyFont="1"/>
    <xf numFmtId="0" fontId="2" fillId="0" borderId="0" xfId="67" applyFont="1"/>
    <xf numFmtId="211" fontId="2" fillId="0" borderId="0" xfId="67" applyNumberFormat="1" applyFont="1"/>
    <xf numFmtId="212" fontId="2" fillId="0" borderId="0" xfId="67" applyNumberFormat="1" applyFont="1"/>
    <xf numFmtId="211" fontId="53" fillId="0" borderId="0" xfId="67" applyNumberFormat="1" applyFont="1"/>
    <xf numFmtId="5" fontId="53" fillId="0" borderId="0" xfId="67" applyNumberFormat="1" applyFont="1"/>
    <xf numFmtId="0" fontId="2" fillId="0" borderId="14" xfId="67" applyFont="1" applyBorder="1"/>
    <xf numFmtId="0" fontId="5" fillId="0" borderId="0" xfId="67" applyFont="1"/>
    <xf numFmtId="0" fontId="5" fillId="0" borderId="0" xfId="67" applyFont="1" applyAlignment="1">
      <alignment horizontal="center"/>
    </xf>
    <xf numFmtId="0" fontId="54" fillId="0" borderId="0" xfId="67" applyFont="1"/>
    <xf numFmtId="0" fontId="55" fillId="0" borderId="0" xfId="67" applyFont="1"/>
    <xf numFmtId="1" fontId="5" fillId="0" borderId="0" xfId="67" applyNumberFormat="1" applyFont="1"/>
    <xf numFmtId="0" fontId="5" fillId="0" borderId="14" xfId="67" applyFont="1" applyBorder="1"/>
    <xf numFmtId="164" fontId="15" fillId="0" borderId="0" xfId="67" applyNumberFormat="1" applyFont="1"/>
    <xf numFmtId="164" fontId="2" fillId="0" borderId="0" xfId="67" applyNumberFormat="1" applyFont="1"/>
    <xf numFmtId="0" fontId="5" fillId="0" borderId="14" xfId="67" applyFont="1" applyBorder="1" applyAlignment="1">
      <alignment horizontal="center"/>
    </xf>
    <xf numFmtId="164" fontId="18" fillId="0" borderId="14" xfId="67" applyNumberFormat="1" applyFont="1" applyBorder="1"/>
    <xf numFmtId="164" fontId="5" fillId="0" borderId="14" xfId="67" applyNumberFormat="1" applyFont="1" applyBorder="1"/>
    <xf numFmtId="164" fontId="10" fillId="0" borderId="0" xfId="67" applyNumberFormat="1" applyFont="1"/>
    <xf numFmtId="164" fontId="14" fillId="0" borderId="0" xfId="67" applyNumberFormat="1" applyFont="1"/>
    <xf numFmtId="164" fontId="5" fillId="0" borderId="0" xfId="67" applyNumberFormat="1" applyFont="1"/>
    <xf numFmtId="0" fontId="56" fillId="8" borderId="0" xfId="67" applyFont="1" applyFill="1" applyAlignment="1">
      <alignment horizontal="centerContinuous"/>
    </xf>
    <xf numFmtId="0" fontId="57" fillId="8" borderId="0" xfId="67" applyFont="1" applyFill="1" applyAlignment="1">
      <alignment horizontal="centerContinuous"/>
    </xf>
    <xf numFmtId="10" fontId="57" fillId="8" borderId="0" xfId="67" applyNumberFormat="1" applyFont="1" applyFill="1" applyAlignment="1">
      <alignment horizontal="centerContinuous"/>
    </xf>
    <xf numFmtId="172" fontId="15" fillId="0" borderId="0" xfId="67" applyNumberFormat="1" applyFont="1"/>
    <xf numFmtId="0" fontId="2" fillId="0" borderId="0" xfId="67" applyFont="1" applyAlignment="1">
      <alignment horizontal="centerContinuous"/>
    </xf>
    <xf numFmtId="0" fontId="57" fillId="0" borderId="0" xfId="67" applyFont="1" applyAlignment="1">
      <alignment horizontal="centerContinuous"/>
    </xf>
    <xf numFmtId="0" fontId="4" fillId="0" borderId="0" xfId="67" applyFont="1"/>
    <xf numFmtId="211" fontId="15" fillId="0" borderId="0" xfId="67" applyNumberFormat="1" applyFont="1"/>
    <xf numFmtId="172" fontId="2" fillId="0" borderId="0" xfId="67" applyNumberFormat="1" applyFont="1"/>
    <xf numFmtId="0" fontId="2" fillId="0" borderId="0" xfId="67" applyFont="1" applyAlignment="1">
      <alignment horizontal="left" indent="1"/>
    </xf>
    <xf numFmtId="212" fontId="58" fillId="0" borderId="0" xfId="67" applyNumberFormat="1" applyFont="1"/>
    <xf numFmtId="211" fontId="59" fillId="0" borderId="0" xfId="67" applyNumberFormat="1" applyFont="1"/>
    <xf numFmtId="172" fontId="15" fillId="0" borderId="0" xfId="2" applyNumberFormat="1" applyFont="1" applyFill="1"/>
    <xf numFmtId="0" fontId="2" fillId="0" borderId="14" xfId="67" applyFont="1" applyBorder="1" applyAlignment="1">
      <alignment horizontal="left" indent="1"/>
    </xf>
    <xf numFmtId="211" fontId="59" fillId="0" borderId="14" xfId="67" applyNumberFormat="1" applyFont="1" applyBorder="1"/>
    <xf numFmtId="172" fontId="15" fillId="0" borderId="14" xfId="67" applyNumberFormat="1" applyFont="1" applyBorder="1"/>
    <xf numFmtId="213" fontId="2" fillId="0" borderId="0" xfId="67" applyNumberFormat="1" applyFont="1"/>
    <xf numFmtId="213" fontId="5" fillId="0" borderId="0" xfId="67" applyNumberFormat="1" applyFont="1"/>
    <xf numFmtId="213" fontId="18" fillId="0" borderId="0" xfId="67" applyNumberFormat="1" applyFont="1"/>
    <xf numFmtId="213" fontId="14" fillId="0" borderId="0" xfId="67" applyNumberFormat="1" applyFont="1"/>
    <xf numFmtId="0" fontId="5" fillId="0" borderId="6" xfId="67" applyFont="1" applyBorder="1"/>
    <xf numFmtId="213" fontId="5" fillId="0" borderId="6" xfId="67" applyNumberFormat="1" applyFont="1" applyBorder="1"/>
    <xf numFmtId="213" fontId="7" fillId="0" borderId="6" xfId="67" applyNumberFormat="1" applyFont="1" applyBorder="1"/>
    <xf numFmtId="211" fontId="2" fillId="14" borderId="0" xfId="67" applyNumberFormat="1" applyFont="1" applyFill="1"/>
    <xf numFmtId="0" fontId="2" fillId="0" borderId="0" xfId="67" applyFont="1" applyAlignment="1">
      <alignment horizontal="left"/>
    </xf>
    <xf numFmtId="211" fontId="8" fillId="0" borderId="0" xfId="67" applyNumberFormat="1" applyFont="1"/>
    <xf numFmtId="5" fontId="59" fillId="0" borderId="0" xfId="67" applyNumberFormat="1" applyFont="1"/>
    <xf numFmtId="213" fontId="58" fillId="0" borderId="0" xfId="67" applyNumberFormat="1" applyFont="1"/>
    <xf numFmtId="0" fontId="2" fillId="0" borderId="6" xfId="67" applyFont="1" applyBorder="1" applyAlignment="1">
      <alignment horizontal="left"/>
    </xf>
    <xf numFmtId="0" fontId="2" fillId="0" borderId="6" xfId="67" applyFont="1" applyBorder="1"/>
    <xf numFmtId="213" fontId="2" fillId="0" borderId="6" xfId="67" applyNumberFormat="1" applyFont="1" applyBorder="1"/>
    <xf numFmtId="214" fontId="53" fillId="0" borderId="0" xfId="67" applyNumberFormat="1" applyFont="1"/>
    <xf numFmtId="172" fontId="8" fillId="0" borderId="0" xfId="67" applyNumberFormat="1" applyFont="1"/>
    <xf numFmtId="213" fontId="59" fillId="0" borderId="0" xfId="67" applyNumberFormat="1" applyFont="1"/>
    <xf numFmtId="0" fontId="2" fillId="14" borderId="0" xfId="67" applyFont="1" applyFill="1"/>
    <xf numFmtId="212" fontId="10" fillId="0" borderId="0" xfId="67" applyNumberFormat="1" applyFont="1"/>
    <xf numFmtId="212" fontId="53" fillId="0" borderId="0" xfId="67" applyNumberFormat="1" applyFont="1"/>
    <xf numFmtId="211" fontId="2" fillId="14" borderId="0" xfId="67" applyNumberFormat="1" applyFont="1" applyFill="1" applyAlignment="1">
      <alignment horizontal="right"/>
    </xf>
    <xf numFmtId="5" fontId="60" fillId="0" borderId="0" xfId="67" applyNumberFormat="1" applyFont="1"/>
    <xf numFmtId="212" fontId="61" fillId="0" borderId="0" xfId="67" applyNumberFormat="1" applyFont="1"/>
    <xf numFmtId="213" fontId="4" fillId="0" borderId="0" xfId="67" applyNumberFormat="1" applyFont="1"/>
    <xf numFmtId="0" fontId="19" fillId="0" borderId="0" xfId="67" applyFont="1"/>
    <xf numFmtId="37" fontId="2" fillId="14" borderId="0" xfId="67" applyNumberFormat="1" applyFont="1" applyFill="1"/>
    <xf numFmtId="212" fontId="2" fillId="14" borderId="0" xfId="67" applyNumberFormat="1" applyFont="1" applyFill="1"/>
    <xf numFmtId="215" fontId="4" fillId="0" borderId="0" xfId="67" applyNumberFormat="1" applyFont="1"/>
    <xf numFmtId="0" fontId="11" fillId="0" borderId="41" xfId="67" applyFont="1" applyBorder="1" applyAlignment="1">
      <alignment horizontal="center"/>
    </xf>
    <xf numFmtId="0" fontId="2" fillId="0" borderId="4" xfId="67" applyFont="1" applyBorder="1"/>
    <xf numFmtId="213" fontId="2" fillId="0" borderId="4" xfId="67" applyNumberFormat="1" applyFont="1" applyBorder="1"/>
    <xf numFmtId="213" fontId="2" fillId="0" borderId="42" xfId="67" applyNumberFormat="1" applyFont="1" applyBorder="1"/>
    <xf numFmtId="9" fontId="10" fillId="0" borderId="8" xfId="67" applyNumberFormat="1" applyFont="1" applyBorder="1" applyAlignment="1">
      <alignment horizontal="center"/>
    </xf>
    <xf numFmtId="213" fontId="2" fillId="0" borderId="9" xfId="67" applyNumberFormat="1" applyFont="1" applyBorder="1"/>
    <xf numFmtId="0" fontId="2" fillId="0" borderId="8" xfId="67" applyFont="1" applyBorder="1"/>
    <xf numFmtId="0" fontId="2" fillId="0" borderId="12" xfId="67" applyFont="1" applyBorder="1"/>
    <xf numFmtId="0" fontId="2" fillId="0" borderId="2" xfId="67" applyFont="1" applyBorder="1"/>
    <xf numFmtId="213" fontId="2" fillId="0" borderId="2" xfId="67" applyNumberFormat="1" applyFont="1" applyBorder="1"/>
    <xf numFmtId="213" fontId="2" fillId="0" borderId="13" xfId="67" applyNumberFormat="1" applyFont="1" applyBorder="1"/>
    <xf numFmtId="37" fontId="2" fillId="0" borderId="0" xfId="67" applyNumberFormat="1" applyFont="1"/>
    <xf numFmtId="172" fontId="58" fillId="0" borderId="0" xfId="67" applyNumberFormat="1" applyFont="1"/>
    <xf numFmtId="211" fontId="10" fillId="0" borderId="0" xfId="67" applyNumberFormat="1" applyFont="1"/>
    <xf numFmtId="211" fontId="58" fillId="0" borderId="0" xfId="67" applyNumberFormat="1" applyFont="1"/>
    <xf numFmtId="211" fontId="58" fillId="0" borderId="14" xfId="67" applyNumberFormat="1" applyFont="1" applyBorder="1"/>
    <xf numFmtId="172" fontId="2" fillId="0" borderId="14" xfId="67" applyNumberFormat="1" applyFont="1" applyBorder="1"/>
    <xf numFmtId="0" fontId="2" fillId="0" borderId="0" xfId="0" applyFont="1" applyAlignment="1">
      <alignment horizontal="center"/>
    </xf>
    <xf numFmtId="37" fontId="2" fillId="0" borderId="0" xfId="0" applyNumberFormat="1" applyFont="1" applyAlignment="1">
      <alignment horizontal="center"/>
    </xf>
    <xf numFmtId="5" fontId="4" fillId="0" borderId="0" xfId="0" applyNumberFormat="1" applyFont="1"/>
    <xf numFmtId="5" fontId="2" fillId="0" borderId="17" xfId="0" applyNumberFormat="1" applyFont="1" applyBorder="1"/>
    <xf numFmtId="37" fontId="4" fillId="0" borderId="19" xfId="0" applyNumberFormat="1" applyFont="1" applyBorder="1"/>
    <xf numFmtId="37" fontId="4" fillId="0" borderId="23" xfId="0" applyNumberFormat="1" applyFont="1" applyBorder="1"/>
    <xf numFmtId="37" fontId="4" fillId="0" borderId="4" xfId="0" applyNumberFormat="1" applyFont="1" applyBorder="1"/>
    <xf numFmtId="216" fontId="4" fillId="0" borderId="34" xfId="0" applyNumberFormat="1" applyFont="1" applyBorder="1"/>
    <xf numFmtId="216" fontId="4" fillId="0" borderId="0" xfId="0" applyNumberFormat="1" applyFont="1"/>
    <xf numFmtId="0" fontId="10" fillId="0" borderId="1" xfId="0" applyFont="1" applyBorder="1"/>
    <xf numFmtId="0" fontId="2" fillId="2" borderId="0" xfId="0" applyFont="1" applyFill="1" applyAlignment="1">
      <alignment horizontal="center"/>
    </xf>
    <xf numFmtId="37" fontId="15" fillId="0" borderId="4" xfId="0" applyNumberFormat="1" applyFont="1" applyBorder="1"/>
    <xf numFmtId="164" fontId="29" fillId="5" borderId="0" xfId="6" applyNumberFormat="1" applyFont="1" applyFill="1"/>
    <xf numFmtId="0" fontId="45" fillId="5" borderId="0" xfId="6" applyFont="1" applyFill="1"/>
    <xf numFmtId="5" fontId="15" fillId="0" borderId="0" xfId="0" applyNumberFormat="1" applyFont="1"/>
    <xf numFmtId="175" fontId="15" fillId="0" borderId="0" xfId="0" applyNumberFormat="1" applyFont="1" applyAlignment="1">
      <alignment horizontal="right"/>
    </xf>
    <xf numFmtId="0" fontId="65" fillId="0" borderId="14" xfId="69" applyFont="1" applyBorder="1"/>
    <xf numFmtId="0" fontId="57" fillId="0" borderId="0" xfId="67" applyFont="1" applyAlignment="1">
      <alignment horizontal="center"/>
    </xf>
    <xf numFmtId="211" fontId="59" fillId="4" borderId="0" xfId="67" applyNumberFormat="1" applyFont="1" applyFill="1"/>
    <xf numFmtId="213" fontId="59" fillId="0" borderId="14" xfId="67" applyNumberFormat="1" applyFont="1" applyBorder="1"/>
    <xf numFmtId="220" fontId="57" fillId="0" borderId="0" xfId="67" applyNumberFormat="1" applyFont="1" applyAlignment="1">
      <alignment horizontal="center"/>
    </xf>
    <xf numFmtId="219" fontId="2" fillId="0" borderId="0" xfId="67" applyNumberFormat="1" applyFont="1"/>
    <xf numFmtId="219" fontId="2" fillId="0" borderId="6" xfId="67" applyNumberFormat="1" applyFont="1" applyBorder="1"/>
    <xf numFmtId="213" fontId="2" fillId="0" borderId="14" xfId="67" applyNumberFormat="1" applyFont="1" applyBorder="1"/>
    <xf numFmtId="0" fontId="2" fillId="0" borderId="7" xfId="67" applyFont="1" applyBorder="1"/>
    <xf numFmtId="219" fontId="2" fillId="0" borderId="7" xfId="67" applyNumberFormat="1" applyFont="1" applyBorder="1"/>
    <xf numFmtId="0" fontId="4" fillId="0" borderId="0" xfId="67" applyFont="1" applyAlignment="1">
      <alignment horizontal="left" indent="1"/>
    </xf>
    <xf numFmtId="211" fontId="4" fillId="0" borderId="0" xfId="67" applyNumberFormat="1" applyFont="1" applyAlignment="1">
      <alignment horizontal="right"/>
    </xf>
    <xf numFmtId="211" fontId="4" fillId="0" borderId="14" xfId="67" applyNumberFormat="1" applyFont="1" applyBorder="1" applyAlignment="1">
      <alignment horizontal="right"/>
    </xf>
    <xf numFmtId="37" fontId="59" fillId="0" borderId="0" xfId="67" applyNumberFormat="1" applyFont="1"/>
    <xf numFmtId="211" fontId="60" fillId="0" borderId="0" xfId="67" applyNumberFormat="1" applyFont="1" applyAlignment="1">
      <alignment horizontal="right"/>
    </xf>
    <xf numFmtId="213" fontId="60" fillId="0" borderId="0" xfId="67" applyNumberFormat="1" applyFont="1" applyAlignment="1">
      <alignment horizontal="right"/>
    </xf>
    <xf numFmtId="5" fontId="59" fillId="0" borderId="14" xfId="67" applyNumberFormat="1" applyFont="1" applyBorder="1"/>
    <xf numFmtId="5" fontId="8" fillId="0" borderId="0" xfId="0" applyNumberFormat="1" applyFont="1" applyAlignment="1">
      <alignment horizontal="right"/>
    </xf>
    <xf numFmtId="194" fontId="8" fillId="0" borderId="0" xfId="0" applyNumberFormat="1" applyFont="1"/>
    <xf numFmtId="6" fontId="15" fillId="0" borderId="0" xfId="0" applyNumberFormat="1" applyFont="1" applyAlignment="1">
      <alignment horizontal="right" indent="1"/>
    </xf>
    <xf numFmtId="215" fontId="2" fillId="0" borderId="0" xfId="0" applyNumberFormat="1" applyFont="1"/>
    <xf numFmtId="187" fontId="15" fillId="0" borderId="28" xfId="5" applyNumberFormat="1" applyFont="1" applyBorder="1" applyAlignment="1">
      <alignment horizontal="center"/>
    </xf>
    <xf numFmtId="183" fontId="15" fillId="0" borderId="28" xfId="0" applyNumberFormat="1" applyFont="1" applyBorder="1" applyAlignment="1">
      <alignment horizontal="center"/>
    </xf>
    <xf numFmtId="38" fontId="15" fillId="0" borderId="0" xfId="0" applyNumberFormat="1" applyFont="1"/>
    <xf numFmtId="183" fontId="18" fillId="0" borderId="46" xfId="0" applyNumberFormat="1" applyFont="1" applyBorder="1" applyAlignment="1">
      <alignment horizontal="center"/>
    </xf>
    <xf numFmtId="10" fontId="15" fillId="0" borderId="0" xfId="0" applyNumberFormat="1" applyFont="1" applyAlignment="1">
      <alignment horizontal="center"/>
    </xf>
    <xf numFmtId="221" fontId="15" fillId="0" borderId="0" xfId="0" applyNumberFormat="1" applyFont="1" applyAlignment="1">
      <alignment horizontal="center"/>
    </xf>
    <xf numFmtId="0" fontId="35" fillId="8" borderId="0" xfId="0" applyFont="1" applyFill="1" applyAlignment="1">
      <alignment horizontal="centerContinuous"/>
    </xf>
    <xf numFmtId="0" fontId="11" fillId="0" borderId="47" xfId="0" applyFont="1" applyBorder="1" applyAlignment="1">
      <alignment horizontal="center"/>
    </xf>
    <xf numFmtId="164" fontId="2" fillId="0" borderId="0" xfId="0" applyNumberFormat="1" applyFont="1" applyAlignment="1">
      <alignment horizontal="center"/>
    </xf>
    <xf numFmtId="5" fontId="2" fillId="0" borderId="47" xfId="0" applyNumberFormat="1" applyFont="1" applyBorder="1"/>
    <xf numFmtId="10" fontId="8" fillId="0" borderId="0" xfId="0" applyNumberFormat="1" applyFont="1" applyAlignment="1">
      <alignment horizontal="center"/>
    </xf>
    <xf numFmtId="0" fontId="56" fillId="8" borderId="0" xfId="67" applyFont="1" applyFill="1"/>
    <xf numFmtId="164" fontId="2" fillId="2" borderId="0" xfId="0" applyNumberFormat="1" applyFont="1" applyFill="1" applyAlignment="1">
      <alignment horizontal="center"/>
    </xf>
    <xf numFmtId="5" fontId="2" fillId="2" borderId="0" xfId="0" applyNumberFormat="1" applyFont="1" applyFill="1"/>
    <xf numFmtId="5" fontId="2" fillId="2" borderId="47" xfId="0" applyNumberFormat="1" applyFont="1" applyFill="1" applyBorder="1"/>
    <xf numFmtId="10" fontId="15" fillId="2" borderId="0" xfId="0" applyNumberFormat="1" applyFont="1" applyFill="1" applyAlignment="1">
      <alignment horizontal="center"/>
    </xf>
    <xf numFmtId="10" fontId="8" fillId="2" borderId="0" xfId="0" applyNumberFormat="1" applyFont="1" applyFill="1" applyAlignment="1">
      <alignment horizontal="center"/>
    </xf>
    <xf numFmtId="222" fontId="15" fillId="0" borderId="0" xfId="5" applyNumberFormat="1" applyFont="1"/>
    <xf numFmtId="172" fontId="2" fillId="0" borderId="34" xfId="0" applyNumberFormat="1" applyFont="1" applyBorder="1"/>
    <xf numFmtId="172" fontId="2" fillId="0" borderId="0" xfId="0" applyNumberFormat="1" applyFont="1"/>
    <xf numFmtId="3" fontId="15" fillId="0" borderId="0" xfId="0" applyNumberFormat="1" applyFont="1" applyAlignment="1">
      <alignment horizontal="center"/>
    </xf>
    <xf numFmtId="0" fontId="57" fillId="0" borderId="0" xfId="0" applyFont="1" applyAlignment="1">
      <alignment horizontal="center"/>
    </xf>
    <xf numFmtId="7" fontId="2" fillId="0" borderId="6" xfId="0" applyNumberFormat="1" applyFont="1" applyBorder="1"/>
    <xf numFmtId="164" fontId="5" fillId="0" borderId="31" xfId="0" applyNumberFormat="1" applyFont="1" applyBorder="1" applyAlignment="1">
      <alignment horizontal="center"/>
    </xf>
    <xf numFmtId="10" fontId="26" fillId="0" borderId="9" xfId="41" applyNumberFormat="1" applyBorder="1">
      <alignment vertical="center"/>
    </xf>
    <xf numFmtId="0" fontId="16" fillId="4" borderId="0" xfId="0" applyFont="1" applyFill="1"/>
    <xf numFmtId="225" fontId="59" fillId="0" borderId="0" xfId="74" applyNumberFormat="1" applyFont="1" applyFill="1" applyBorder="1"/>
    <xf numFmtId="225" fontId="59" fillId="0" borderId="0" xfId="74" applyNumberFormat="1" applyFont="1" applyFill="1"/>
    <xf numFmtId="225" fontId="55" fillId="0" borderId="0" xfId="74" applyNumberFormat="1" applyFont="1" applyFill="1" applyBorder="1"/>
    <xf numFmtId="225" fontId="55" fillId="0" borderId="14" xfId="74" applyNumberFormat="1" applyFont="1" applyFill="1" applyBorder="1"/>
    <xf numFmtId="218" fontId="15" fillId="0" borderId="0" xfId="0" applyNumberFormat="1" applyFont="1" applyAlignment="1">
      <alignment horizontal="center"/>
    </xf>
    <xf numFmtId="5" fontId="15" fillId="0" borderId="0" xfId="0" applyNumberFormat="1" applyFont="1" applyAlignment="1">
      <alignment horizontal="center"/>
    </xf>
    <xf numFmtId="172" fontId="2" fillId="0" borderId="0" xfId="3" applyNumberFormat="1" applyFont="1" applyAlignment="1">
      <alignment horizontal="center"/>
    </xf>
    <xf numFmtId="167" fontId="2" fillId="0" borderId="0" xfId="3" applyNumberFormat="1" applyFont="1" applyAlignment="1">
      <alignment horizontal="center"/>
    </xf>
    <xf numFmtId="6" fontId="2" fillId="0" borderId="0" xfId="0" applyNumberFormat="1" applyFont="1" applyAlignment="1">
      <alignment horizontal="center"/>
    </xf>
    <xf numFmtId="5" fontId="2" fillId="0" borderId="0" xfId="3" applyNumberFormat="1" applyFont="1" applyAlignment="1">
      <alignment horizontal="center"/>
    </xf>
    <xf numFmtId="193" fontId="2" fillId="0" borderId="14" xfId="1" applyNumberFormat="1" applyFont="1" applyBorder="1" applyAlignment="1">
      <alignment horizontal="left" vertical="top" indent="1"/>
    </xf>
    <xf numFmtId="172" fontId="2" fillId="0" borderId="14" xfId="3" applyNumberFormat="1" applyFont="1" applyBorder="1" applyAlignment="1">
      <alignment horizontal="center"/>
    </xf>
    <xf numFmtId="167" fontId="2" fillId="0" borderId="14" xfId="3" applyNumberFormat="1" applyFont="1" applyBorder="1" applyAlignment="1">
      <alignment horizontal="center"/>
    </xf>
    <xf numFmtId="6" fontId="2" fillId="0" borderId="14" xfId="0" applyNumberFormat="1" applyFont="1" applyBorder="1" applyAlignment="1">
      <alignment horizontal="center"/>
    </xf>
    <xf numFmtId="5" fontId="2" fillId="0" borderId="14" xfId="3" applyNumberFormat="1" applyFont="1" applyBorder="1" applyAlignment="1">
      <alignment horizontal="center"/>
    </xf>
    <xf numFmtId="37" fontId="15" fillId="4" borderId="0" xfId="0" applyNumberFormat="1" applyFont="1" applyFill="1"/>
    <xf numFmtId="0" fontId="7" fillId="4" borderId="6" xfId="5" applyFont="1" applyFill="1" applyBorder="1"/>
    <xf numFmtId="38" fontId="8" fillId="0" borderId="0" xfId="3" applyNumberFormat="1" applyFont="1"/>
    <xf numFmtId="38" fontId="8" fillId="0" borderId="29" xfId="3" applyNumberFormat="1" applyFont="1" applyBorder="1"/>
    <xf numFmtId="6" fontId="7" fillId="0" borderId="31" xfId="3" applyNumberFormat="1" applyFont="1" applyBorder="1"/>
    <xf numFmtId="0" fontId="8" fillId="0" borderId="0" xfId="0" applyFont="1"/>
    <xf numFmtId="172" fontId="2" fillId="0" borderId="0" xfId="2" applyNumberFormat="1" applyFont="1"/>
    <xf numFmtId="0" fontId="73" fillId="0" borderId="0" xfId="0" applyFont="1" applyAlignment="1">
      <alignment horizontal="right" vertical="center" wrapText="1" readingOrder="1"/>
    </xf>
    <xf numFmtId="0" fontId="73" fillId="0" borderId="0" xfId="0" applyFont="1" applyAlignment="1">
      <alignment horizontal="left" vertical="center" wrapText="1" readingOrder="1"/>
    </xf>
    <xf numFmtId="0" fontId="75" fillId="0" borderId="0" xfId="0" applyFont="1" applyAlignment="1">
      <alignment horizontal="left" vertical="center" wrapText="1" readingOrder="1"/>
    </xf>
    <xf numFmtId="0" fontId="76" fillId="0" borderId="0" xfId="0" applyFont="1" applyAlignment="1">
      <alignment horizontal="left" vertical="center" wrapText="1" readingOrder="1"/>
    </xf>
    <xf numFmtId="0" fontId="67" fillId="0" borderId="0" xfId="0" applyFont="1" applyAlignment="1">
      <alignment horizontal="center"/>
    </xf>
    <xf numFmtId="5" fontId="5" fillId="0" borderId="33" xfId="0" applyNumberFormat="1" applyFont="1" applyBorder="1"/>
    <xf numFmtId="5" fontId="5" fillId="0" borderId="2" xfId="0" applyNumberFormat="1" applyFont="1" applyBorder="1"/>
    <xf numFmtId="5" fontId="5" fillId="0" borderId="36" xfId="0" applyNumberFormat="1" applyFont="1" applyBorder="1"/>
    <xf numFmtId="37" fontId="0" fillId="0" borderId="0" xfId="0" applyNumberFormat="1"/>
    <xf numFmtId="0" fontId="5" fillId="0" borderId="0" xfId="0" applyFont="1" applyAlignment="1">
      <alignment horizontal="center"/>
    </xf>
    <xf numFmtId="5" fontId="79" fillId="0" borderId="0" xfId="0" applyNumberFormat="1" applyFont="1" applyAlignment="1">
      <alignment horizontal="center"/>
    </xf>
    <xf numFmtId="5" fontId="5" fillId="0" borderId="0" xfId="0" applyNumberFormat="1" applyFont="1" applyAlignment="1">
      <alignment horizontal="center"/>
    </xf>
    <xf numFmtId="0" fontId="2" fillId="8" borderId="0" xfId="67" applyFont="1" applyFill="1" applyAlignment="1">
      <alignment horizontal="center"/>
    </xf>
    <xf numFmtId="0" fontId="2" fillId="0" borderId="0" xfId="67" applyFont="1" applyAlignment="1">
      <alignment horizontal="center"/>
    </xf>
    <xf numFmtId="0" fontId="71" fillId="0" borderId="0" xfId="0" applyFont="1" applyAlignment="1">
      <alignment horizontal="center"/>
    </xf>
    <xf numFmtId="0" fontId="66" fillId="0" borderId="0" xfId="0" applyFont="1" applyAlignment="1">
      <alignment horizontal="center"/>
    </xf>
    <xf numFmtId="0" fontId="80" fillId="0" borderId="0" xfId="0" applyFont="1" applyAlignment="1">
      <alignment horizontal="center"/>
    </xf>
    <xf numFmtId="0" fontId="0" fillId="0" borderId="0" xfId="0" applyAlignment="1">
      <alignment horizontal="center"/>
    </xf>
    <xf numFmtId="37" fontId="59" fillId="0" borderId="14" xfId="67" applyNumberFormat="1" applyFont="1" applyBorder="1"/>
    <xf numFmtId="173" fontId="10" fillId="0" borderId="0" xfId="0" applyNumberFormat="1" applyFont="1"/>
    <xf numFmtId="226" fontId="2" fillId="0" borderId="0" xfId="67" applyNumberFormat="1" applyFont="1"/>
    <xf numFmtId="188" fontId="2" fillId="0" borderId="11" xfId="0" applyNumberFormat="1" applyFont="1" applyBorder="1"/>
    <xf numFmtId="223" fontId="55" fillId="0" borderId="14" xfId="1" applyNumberFormat="1" applyFont="1" applyFill="1" applyBorder="1"/>
    <xf numFmtId="0" fontId="79" fillId="0" borderId="0" xfId="0" applyFont="1" applyAlignment="1">
      <alignment horizontal="center"/>
    </xf>
    <xf numFmtId="37" fontId="3" fillId="0" borderId="11" xfId="0" applyNumberFormat="1" applyFont="1" applyBorder="1"/>
    <xf numFmtId="37" fontId="3" fillId="0" borderId="0" xfId="0" applyNumberFormat="1" applyFont="1"/>
    <xf numFmtId="37" fontId="3" fillId="0" borderId="34" xfId="0" applyNumberFormat="1" applyFont="1" applyBorder="1"/>
    <xf numFmtId="0" fontId="81" fillId="0" borderId="0" xfId="0" applyFont="1"/>
    <xf numFmtId="0" fontId="3" fillId="0" borderId="14" xfId="0" applyFont="1" applyBorder="1" applyAlignment="1">
      <alignment horizontal="left" indent="1"/>
    </xf>
    <xf numFmtId="37" fontId="3" fillId="0" borderId="30" xfId="0" applyNumberFormat="1" applyFont="1" applyBorder="1"/>
    <xf numFmtId="37" fontId="3" fillId="0" borderId="14" xfId="0" applyNumberFormat="1" applyFont="1" applyBorder="1"/>
    <xf numFmtId="37" fontId="3" fillId="0" borderId="37" xfId="0" applyNumberFormat="1" applyFont="1" applyBorder="1"/>
    <xf numFmtId="14" fontId="26" fillId="0" borderId="8" xfId="41" applyNumberFormat="1" applyBorder="1">
      <alignment vertical="center"/>
    </xf>
    <xf numFmtId="44" fontId="2" fillId="0" borderId="0" xfId="74" applyFont="1"/>
    <xf numFmtId="194" fontId="62" fillId="0" borderId="0" xfId="3" applyNumberFormat="1" applyFont="1"/>
    <xf numFmtId="194" fontId="21" fillId="0" borderId="14" xfId="3" applyNumberFormat="1" applyFont="1" applyBorder="1"/>
    <xf numFmtId="0" fontId="25" fillId="0" borderId="14" xfId="3" applyFont="1" applyBorder="1" applyAlignment="1">
      <alignment horizontal="left"/>
    </xf>
    <xf numFmtId="180" fontId="21" fillId="0" borderId="14" xfId="0" applyNumberFormat="1" applyFont="1" applyBorder="1"/>
    <xf numFmtId="37" fontId="5" fillId="0" borderId="34" xfId="0" applyNumberFormat="1" applyFont="1" applyBorder="1"/>
    <xf numFmtId="195" fontId="22" fillId="0" borderId="0" xfId="3" applyNumberFormat="1" applyFont="1"/>
    <xf numFmtId="37" fontId="23" fillId="0" borderId="0" xfId="3" applyNumberFormat="1" applyFont="1" applyAlignment="1">
      <alignment horizontal="right"/>
    </xf>
    <xf numFmtId="190" fontId="64" fillId="0" borderId="0" xfId="3" applyNumberFormat="1" applyFont="1" applyAlignment="1">
      <alignment horizontal="left"/>
    </xf>
    <xf numFmtId="190" fontId="24" fillId="0" borderId="0" xfId="3" applyNumberFormat="1" applyFont="1" applyAlignment="1">
      <alignment horizontal="left"/>
    </xf>
    <xf numFmtId="212" fontId="59" fillId="0" borderId="14" xfId="67" applyNumberFormat="1" applyFont="1" applyBorder="1"/>
    <xf numFmtId="212" fontId="59" fillId="0" borderId="0" xfId="67" applyNumberFormat="1" applyFont="1"/>
    <xf numFmtId="5" fontId="10" fillId="0" borderId="0" xfId="0" applyNumberFormat="1" applyFont="1"/>
    <xf numFmtId="10" fontId="10" fillId="0" borderId="26" xfId="3" applyNumberFormat="1" applyFont="1" applyBorder="1" applyAlignment="1">
      <alignment horizontal="left"/>
    </xf>
    <xf numFmtId="166" fontId="14" fillId="0" borderId="31" xfId="0" applyNumberFormat="1" applyFont="1" applyBorder="1"/>
    <xf numFmtId="0" fontId="2" fillId="0" borderId="14" xfId="3" applyFont="1" applyBorder="1"/>
    <xf numFmtId="10" fontId="14" fillId="0" borderId="14" xfId="3" applyNumberFormat="1" applyFont="1" applyBorder="1"/>
    <xf numFmtId="0" fontId="68" fillId="0" borderId="0" xfId="0" applyFont="1" applyAlignment="1">
      <alignment horizontal="center"/>
    </xf>
    <xf numFmtId="9" fontId="55" fillId="0" borderId="0" xfId="2" applyFont="1" applyFill="1"/>
    <xf numFmtId="9" fontId="55" fillId="0" borderId="14" xfId="2" applyFont="1" applyFill="1" applyBorder="1"/>
    <xf numFmtId="219" fontId="4" fillId="0" borderId="0" xfId="67" applyNumberFormat="1" applyFont="1"/>
    <xf numFmtId="0" fontId="4" fillId="0" borderId="14" xfId="67" applyFont="1" applyBorder="1" applyAlignment="1">
      <alignment horizontal="left" indent="1"/>
    </xf>
    <xf numFmtId="0" fontId="4" fillId="0" borderId="14" xfId="67" applyFont="1" applyBorder="1"/>
    <xf numFmtId="219" fontId="4" fillId="0" borderId="14" xfId="67" applyNumberFormat="1" applyFont="1" applyBorder="1"/>
    <xf numFmtId="199" fontId="2" fillId="0" borderId="0" xfId="0" applyNumberFormat="1" applyFont="1" applyAlignment="1">
      <alignment horizontal="left"/>
    </xf>
    <xf numFmtId="0" fontId="8" fillId="0" borderId="0" xfId="0" applyFont="1" applyAlignment="1">
      <alignment horizontal="left" indent="1"/>
    </xf>
    <xf numFmtId="0" fontId="8" fillId="0" borderId="0" xfId="0" applyFont="1" applyAlignment="1">
      <alignment horizontal="left" indent="2"/>
    </xf>
    <xf numFmtId="0" fontId="8" fillId="0" borderId="14" xfId="0" applyFont="1" applyBorder="1" applyAlignment="1">
      <alignment horizontal="left" indent="1"/>
    </xf>
    <xf numFmtId="0" fontId="8" fillId="0" borderId="14" xfId="0" applyFont="1" applyBorder="1"/>
    <xf numFmtId="185" fontId="8" fillId="0" borderId="11" xfId="0" applyNumberFormat="1" applyFont="1" applyBorder="1"/>
    <xf numFmtId="197" fontId="8" fillId="0" borderId="0" xfId="0" applyNumberFormat="1" applyFont="1"/>
    <xf numFmtId="5" fontId="8" fillId="0" borderId="34" xfId="0" applyNumberFormat="1" applyFont="1" applyBorder="1"/>
    <xf numFmtId="5" fontId="8" fillId="0" borderId="0" xfId="0" applyNumberFormat="1" applyFont="1"/>
    <xf numFmtId="0" fontId="8" fillId="0" borderId="0" xfId="0" applyFont="1" applyAlignment="1">
      <alignment horizontal="right"/>
    </xf>
    <xf numFmtId="9" fontId="8" fillId="0" borderId="0" xfId="0" applyNumberFormat="1" applyFont="1"/>
    <xf numFmtId="0" fontId="8" fillId="0" borderId="0" xfId="0" applyFont="1" applyAlignment="1">
      <alignment horizontal="left"/>
    </xf>
    <xf numFmtId="37" fontId="8" fillId="0" borderId="11" xfId="0" applyNumberFormat="1" applyFont="1" applyBorder="1"/>
    <xf numFmtId="37" fontId="8" fillId="0" borderId="34" xfId="0" applyNumberFormat="1" applyFont="1" applyBorder="1"/>
    <xf numFmtId="186" fontId="8" fillId="0" borderId="0" xfId="3" applyNumberFormat="1" applyFont="1" applyAlignment="1">
      <alignment horizontal="center"/>
    </xf>
    <xf numFmtId="0" fontId="8" fillId="0" borderId="0" xfId="0" applyFont="1" applyAlignment="1">
      <alignment horizontal="center"/>
    </xf>
    <xf numFmtId="37" fontId="8" fillId="0" borderId="14" xfId="0" applyNumberFormat="1" applyFont="1" applyBorder="1" applyAlignment="1">
      <alignment horizontal="right"/>
    </xf>
    <xf numFmtId="9" fontId="8" fillId="0" borderId="14" xfId="0" applyNumberFormat="1" applyFont="1" applyBorder="1"/>
    <xf numFmtId="37" fontId="8" fillId="0" borderId="30" xfId="0" applyNumberFormat="1" applyFont="1" applyBorder="1"/>
    <xf numFmtId="37" fontId="8" fillId="0" borderId="14" xfId="0" applyNumberFormat="1" applyFont="1" applyBorder="1"/>
    <xf numFmtId="37" fontId="8" fillId="0" borderId="37" xfId="0" applyNumberFormat="1" applyFont="1" applyBorder="1"/>
    <xf numFmtId="14" fontId="74" fillId="0" borderId="0" xfId="0" applyNumberFormat="1" applyFont="1" applyAlignment="1">
      <alignment horizontal="right" vertical="center" wrapText="1" readingOrder="1"/>
    </xf>
    <xf numFmtId="2" fontId="2" fillId="0" borderId="0" xfId="0" applyNumberFormat="1" applyFont="1"/>
    <xf numFmtId="0" fontId="2" fillId="0" borderId="48" xfId="0" applyFont="1" applyBorder="1"/>
    <xf numFmtId="0" fontId="2" fillId="4" borderId="0" xfId="0" applyFont="1" applyFill="1" applyAlignment="1">
      <alignment horizontal="left" indent="1"/>
    </xf>
    <xf numFmtId="37" fontId="10" fillId="4" borderId="0" xfId="0" applyNumberFormat="1" applyFont="1" applyFill="1"/>
    <xf numFmtId="37" fontId="4" fillId="4" borderId="19" xfId="0" applyNumberFormat="1" applyFont="1" applyFill="1" applyBorder="1"/>
    <xf numFmtId="37" fontId="20" fillId="4" borderId="0" xfId="0" applyNumberFormat="1" applyFont="1" applyFill="1"/>
    <xf numFmtId="37" fontId="8" fillId="4" borderId="0" xfId="0" applyNumberFormat="1" applyFont="1" applyFill="1"/>
    <xf numFmtId="0" fontId="2" fillId="4" borderId="14" xfId="0" applyFont="1" applyFill="1" applyBorder="1" applyAlignment="1">
      <alignment horizontal="left" indent="1"/>
    </xf>
    <xf numFmtId="37" fontId="10" fillId="4" borderId="14" xfId="0" applyNumberFormat="1" applyFont="1" applyFill="1" applyBorder="1"/>
    <xf numFmtId="37" fontId="4" fillId="4" borderId="21" xfId="0" applyNumberFormat="1" applyFont="1" applyFill="1" applyBorder="1"/>
    <xf numFmtId="0" fontId="2" fillId="4" borderId="14" xfId="3" applyFont="1" applyFill="1" applyBorder="1" applyAlignment="1">
      <alignment horizontal="left" indent="1"/>
    </xf>
    <xf numFmtId="173" fontId="82" fillId="0" borderId="0" xfId="0" applyNumberFormat="1" applyFont="1"/>
    <xf numFmtId="198" fontId="2" fillId="4" borderId="0" xfId="0" applyNumberFormat="1" applyFont="1" applyFill="1"/>
    <xf numFmtId="0" fontId="2" fillId="4" borderId="0" xfId="0" applyFont="1" applyFill="1"/>
    <xf numFmtId="5" fontId="8" fillId="4" borderId="0" xfId="0" applyNumberFormat="1" applyFont="1" applyFill="1"/>
    <xf numFmtId="37" fontId="2" fillId="4" borderId="14" xfId="0" applyNumberFormat="1" applyFont="1" applyFill="1" applyBorder="1"/>
    <xf numFmtId="5" fontId="5" fillId="4" borderId="0" xfId="0" applyNumberFormat="1" applyFont="1" applyFill="1"/>
    <xf numFmtId="1" fontId="2" fillId="4" borderId="0" xfId="0" applyNumberFormat="1" applyFont="1" applyFill="1" applyAlignment="1">
      <alignment horizontal="right"/>
    </xf>
    <xf numFmtId="1" fontId="2" fillId="4" borderId="0" xfId="0" applyNumberFormat="1" applyFont="1" applyFill="1" applyAlignment="1">
      <alignment horizontal="right" indent="1"/>
    </xf>
    <xf numFmtId="5" fontId="2" fillId="4" borderId="0" xfId="0" applyNumberFormat="1" applyFont="1" applyFill="1"/>
    <xf numFmtId="37" fontId="2" fillId="4" borderId="0" xfId="0" applyNumberFormat="1" applyFont="1" applyFill="1"/>
    <xf numFmtId="5" fontId="5" fillId="4" borderId="7" xfId="0" applyNumberFormat="1" applyFont="1" applyFill="1" applyBorder="1"/>
    <xf numFmtId="197" fontId="2" fillId="4" borderId="0" xfId="0" applyNumberFormat="1" applyFont="1" applyFill="1"/>
    <xf numFmtId="9" fontId="4" fillId="4" borderId="0" xfId="0" applyNumberFormat="1" applyFont="1" applyFill="1"/>
    <xf numFmtId="0" fontId="84" fillId="0" borderId="2" xfId="0" applyFont="1" applyBorder="1"/>
    <xf numFmtId="0" fontId="0" fillId="3" borderId="0" xfId="0" applyFill="1"/>
    <xf numFmtId="0" fontId="67" fillId="3" borderId="0" xfId="0" applyFont="1" applyFill="1"/>
    <xf numFmtId="0" fontId="2" fillId="0" borderId="2" xfId="0" applyFont="1" applyBorder="1" applyAlignment="1">
      <alignment horizontal="right"/>
    </xf>
    <xf numFmtId="37" fontId="85" fillId="4" borderId="0" xfId="0" applyNumberFormat="1" applyFont="1" applyFill="1"/>
    <xf numFmtId="37" fontId="85" fillId="4" borderId="14" xfId="0" applyNumberFormat="1" applyFont="1" applyFill="1" applyBorder="1"/>
    <xf numFmtId="8" fontId="2" fillId="0" borderId="0" xfId="0" applyNumberFormat="1" applyFont="1"/>
    <xf numFmtId="0" fontId="5" fillId="0" borderId="49" xfId="0" applyFont="1" applyBorder="1"/>
    <xf numFmtId="14" fontId="7" fillId="0" borderId="20" xfId="0" applyNumberFormat="1" applyFont="1" applyBorder="1"/>
    <xf numFmtId="0" fontId="87" fillId="0" borderId="0" xfId="76" applyFont="1"/>
    <xf numFmtId="0" fontId="86" fillId="8" borderId="48" xfId="76" applyFont="1" applyFill="1" applyBorder="1"/>
    <xf numFmtId="0" fontId="86" fillId="8" borderId="48" xfId="76" applyFont="1" applyFill="1" applyBorder="1" applyAlignment="1">
      <alignment horizontal="centerContinuous"/>
    </xf>
    <xf numFmtId="0" fontId="86" fillId="8" borderId="24" xfId="76" applyFont="1" applyFill="1" applyBorder="1" applyAlignment="1">
      <alignment horizontal="centerContinuous"/>
    </xf>
    <xf numFmtId="0" fontId="86" fillId="8" borderId="49" xfId="76" applyFont="1" applyFill="1" applyBorder="1" applyAlignment="1">
      <alignment horizontal="centerContinuous"/>
    </xf>
    <xf numFmtId="0" fontId="87" fillId="15" borderId="56" xfId="76" applyFont="1" applyFill="1" applyBorder="1" applyAlignment="1">
      <alignment horizontal="left"/>
    </xf>
    <xf numFmtId="0" fontId="88" fillId="15" borderId="0" xfId="76" applyFont="1" applyFill="1" applyAlignment="1">
      <alignment wrapText="1"/>
    </xf>
    <xf numFmtId="0" fontId="88" fillId="15" borderId="9" xfId="76" applyFont="1" applyFill="1" applyBorder="1" applyAlignment="1">
      <alignment wrapText="1"/>
    </xf>
    <xf numFmtId="0" fontId="88" fillId="15" borderId="42" xfId="76" applyFont="1" applyFill="1" applyBorder="1" applyAlignment="1">
      <alignment wrapText="1"/>
    </xf>
    <xf numFmtId="0" fontId="89" fillId="15" borderId="56" xfId="76" applyFont="1" applyFill="1" applyBorder="1" applyAlignment="1">
      <alignment horizontal="left" vertical="center"/>
    </xf>
    <xf numFmtId="0" fontId="87" fillId="15" borderId="0" xfId="76" applyFont="1" applyFill="1" applyAlignment="1">
      <alignment horizontal="centerContinuous" vertical="center"/>
    </xf>
    <xf numFmtId="0" fontId="87" fillId="15" borderId="9" xfId="76" applyFont="1" applyFill="1" applyBorder="1" applyAlignment="1">
      <alignment horizontal="centerContinuous" vertical="center"/>
    </xf>
    <xf numFmtId="0" fontId="87" fillId="0" borderId="0" xfId="76" applyFont="1" applyAlignment="1">
      <alignment vertical="center"/>
    </xf>
    <xf numFmtId="0" fontId="91" fillId="0" borderId="0" xfId="77" applyFont="1" applyAlignment="1">
      <alignment horizontal="centerContinuous" vertical="center"/>
    </xf>
    <xf numFmtId="193" fontId="87" fillId="15" borderId="0" xfId="76" applyNumberFormat="1" applyFont="1" applyFill="1" applyAlignment="1">
      <alignment horizontal="centerContinuous" vertical="center"/>
    </xf>
    <xf numFmtId="193" fontId="87" fillId="15" borderId="9" xfId="76" applyNumberFormat="1" applyFont="1" applyFill="1" applyBorder="1" applyAlignment="1">
      <alignment horizontal="centerContinuous" vertical="center"/>
    </xf>
    <xf numFmtId="6" fontId="87" fillId="4" borderId="0" xfId="76" applyNumberFormat="1" applyFont="1" applyFill="1" applyAlignment="1">
      <alignment horizontal="centerContinuous" vertical="center"/>
    </xf>
    <xf numFmtId="0" fontId="87" fillId="4" borderId="0" xfId="76" applyFont="1" applyFill="1" applyAlignment="1">
      <alignment horizontal="centerContinuous" vertical="center"/>
    </xf>
    <xf numFmtId="0" fontId="87" fillId="4" borderId="9" xfId="76" applyFont="1" applyFill="1" applyBorder="1" applyAlignment="1">
      <alignment horizontal="centerContinuous" vertical="center"/>
    </xf>
    <xf numFmtId="0" fontId="89" fillId="16" borderId="56" xfId="76" applyFont="1" applyFill="1" applyBorder="1" applyAlignment="1">
      <alignment horizontal="center" vertical="center"/>
    </xf>
    <xf numFmtId="0" fontId="87" fillId="16" borderId="0" xfId="76" applyFont="1" applyFill="1" applyAlignment="1">
      <alignment vertical="center"/>
    </xf>
    <xf numFmtId="0" fontId="89" fillId="16" borderId="0" xfId="76" applyFont="1" applyFill="1" applyAlignment="1">
      <alignment vertical="center"/>
    </xf>
    <xf numFmtId="0" fontId="87" fillId="16" borderId="9" xfId="76" applyFont="1" applyFill="1" applyBorder="1" applyAlignment="1">
      <alignment vertical="center"/>
    </xf>
    <xf numFmtId="0" fontId="87" fillId="15" borderId="56" xfId="76" applyFont="1" applyFill="1" applyBorder="1" applyAlignment="1">
      <alignment horizontal="left" vertical="center"/>
    </xf>
    <xf numFmtId="3" fontId="87" fillId="15" borderId="0" xfId="76" applyNumberFormat="1" applyFont="1" applyFill="1" applyAlignment="1">
      <alignment horizontal="centerContinuous" vertical="center"/>
    </xf>
    <xf numFmtId="8" fontId="87" fillId="15" borderId="0" xfId="76" applyNumberFormat="1" applyFont="1" applyFill="1" applyAlignment="1">
      <alignment horizontal="centerContinuous" vertical="center"/>
    </xf>
    <xf numFmtId="0" fontId="87" fillId="0" borderId="0" xfId="76" applyFont="1" applyAlignment="1">
      <alignment horizontal="centerContinuous" vertical="center"/>
    </xf>
    <xf numFmtId="0" fontId="87" fillId="0" borderId="9" xfId="76" applyFont="1" applyBorder="1" applyAlignment="1">
      <alignment horizontal="centerContinuous" vertical="center"/>
    </xf>
    <xf numFmtId="0" fontId="87" fillId="15" borderId="56" xfId="76" applyFont="1" applyFill="1" applyBorder="1" applyAlignment="1">
      <alignment horizontal="left" vertical="center" wrapText="1"/>
    </xf>
    <xf numFmtId="0" fontId="87" fillId="15" borderId="0" xfId="76" applyFont="1" applyFill="1" applyAlignment="1">
      <alignment horizontal="centerContinuous" vertical="center" wrapText="1"/>
    </xf>
    <xf numFmtId="0" fontId="87" fillId="15" borderId="9" xfId="76" applyFont="1" applyFill="1" applyBorder="1" applyAlignment="1">
      <alignment horizontal="centerContinuous" vertical="center" wrapText="1"/>
    </xf>
    <xf numFmtId="0" fontId="87" fillId="0" borderId="0" xfId="76" applyFont="1" applyAlignment="1">
      <alignment vertical="center" wrapText="1"/>
    </xf>
    <xf numFmtId="0" fontId="87" fillId="15" borderId="57" xfId="76" applyFont="1" applyFill="1" applyBorder="1" applyAlignment="1">
      <alignment horizontal="left" vertical="center"/>
    </xf>
    <xf numFmtId="0" fontId="87" fillId="15" borderId="2" xfId="76" applyFont="1" applyFill="1" applyBorder="1" applyAlignment="1">
      <alignment horizontal="centerContinuous" vertical="center" wrapText="1"/>
    </xf>
    <xf numFmtId="0" fontId="87" fillId="15" borderId="13" xfId="76" applyFont="1" applyFill="1" applyBorder="1" applyAlignment="1">
      <alignment horizontal="centerContinuous" vertical="center" wrapText="1"/>
    </xf>
    <xf numFmtId="0" fontId="92" fillId="0" borderId="0" xfId="67" applyFont="1" applyAlignment="1">
      <alignment horizontal="left" vertical="center"/>
    </xf>
    <xf numFmtId="3" fontId="87" fillId="0" borderId="0" xfId="76" quotePrefix="1" applyNumberFormat="1" applyFont="1" applyAlignment="1">
      <alignment vertical="center"/>
    </xf>
    <xf numFmtId="3" fontId="87" fillId="0" borderId="0" xfId="76" applyNumberFormat="1" applyFont="1" applyAlignment="1">
      <alignment vertical="center"/>
    </xf>
    <xf numFmtId="224" fontId="87" fillId="0" borderId="0" xfId="76" applyNumberFormat="1" applyFont="1" applyAlignment="1">
      <alignment horizontal="centerContinuous" vertical="center"/>
    </xf>
    <xf numFmtId="6" fontId="87" fillId="15" borderId="0" xfId="76" applyNumberFormat="1" applyFont="1" applyFill="1" applyAlignment="1">
      <alignment horizontal="centerContinuous" vertical="center"/>
    </xf>
    <xf numFmtId="3" fontId="87" fillId="0" borderId="0" xfId="76" applyNumberFormat="1" applyFont="1" applyAlignment="1">
      <alignment horizontal="centerContinuous" vertical="center"/>
    </xf>
    <xf numFmtId="6" fontId="10" fillId="4" borderId="0" xfId="0" applyNumberFormat="1" applyFont="1" applyFill="1"/>
    <xf numFmtId="8" fontId="4" fillId="0" borderId="0" xfId="0" applyNumberFormat="1" applyFont="1"/>
    <xf numFmtId="8" fontId="87" fillId="4" borderId="0" xfId="76" applyNumberFormat="1" applyFont="1" applyFill="1" applyAlignment="1">
      <alignment horizontal="centerContinuous" vertical="center"/>
    </xf>
    <xf numFmtId="224" fontId="87" fillId="4" borderId="0" xfId="76" applyNumberFormat="1" applyFont="1" applyFill="1" applyAlignment="1">
      <alignment horizontal="centerContinuous" vertical="center"/>
    </xf>
    <xf numFmtId="37" fontId="82" fillId="4" borderId="0" xfId="0" applyNumberFormat="1" applyFont="1" applyFill="1"/>
    <xf numFmtId="8" fontId="2" fillId="4" borderId="0" xfId="0" applyNumberFormat="1" applyFont="1" applyFill="1"/>
    <xf numFmtId="0" fontId="2" fillId="4" borderId="4" xfId="0" applyFont="1" applyFill="1" applyBorder="1"/>
    <xf numFmtId="0" fontId="2" fillId="4" borderId="2" xfId="0" applyFont="1" applyFill="1" applyBorder="1"/>
    <xf numFmtId="14" fontId="8" fillId="0" borderId="36" xfId="0" applyNumberFormat="1" applyFont="1" applyBorder="1"/>
    <xf numFmtId="14" fontId="93" fillId="3" borderId="0" xfId="0" applyNumberFormat="1" applyFont="1" applyFill="1" applyAlignment="1">
      <alignment horizontal="right" vertical="center" wrapText="1" readingOrder="1"/>
    </xf>
    <xf numFmtId="0" fontId="56" fillId="8" borderId="14" xfId="67" applyFont="1" applyFill="1" applyBorder="1" applyAlignment="1">
      <alignment horizontal="centerContinuous"/>
    </xf>
    <xf numFmtId="172" fontId="84" fillId="4" borderId="0" xfId="2" applyNumberFormat="1" applyFont="1" applyFill="1" applyBorder="1"/>
    <xf numFmtId="10" fontId="82" fillId="0" borderId="0" xfId="0" applyNumberFormat="1" applyFont="1"/>
    <xf numFmtId="10" fontId="8" fillId="0" borderId="0" xfId="0" applyNumberFormat="1" applyFont="1"/>
    <xf numFmtId="5" fontId="2" fillId="0" borderId="0" xfId="67" applyNumberFormat="1" applyFont="1"/>
    <xf numFmtId="167" fontId="2" fillId="0" borderId="0" xfId="0" applyNumberFormat="1" applyFont="1"/>
    <xf numFmtId="172" fontId="2" fillId="0" borderId="2" xfId="0" applyNumberFormat="1" applyFont="1" applyBorder="1"/>
    <xf numFmtId="172" fontId="2" fillId="0" borderId="0" xfId="0" applyNumberFormat="1" applyFont="1" applyAlignment="1">
      <alignment horizontal="right"/>
    </xf>
    <xf numFmtId="3" fontId="84" fillId="4" borderId="0" xfId="0" applyNumberFormat="1" applyFont="1" applyFill="1"/>
    <xf numFmtId="172" fontId="8" fillId="0" borderId="0" xfId="0" applyNumberFormat="1" applyFont="1"/>
    <xf numFmtId="0" fontId="94" fillId="4" borderId="0" xfId="78" applyFont="1" applyFill="1"/>
    <xf numFmtId="0" fontId="94" fillId="4" borderId="0" xfId="78" applyFont="1" applyFill="1" applyAlignment="1">
      <alignment vertical="center"/>
    </xf>
    <xf numFmtId="0" fontId="95" fillId="2" borderId="25" xfId="78" applyFont="1" applyFill="1" applyBorder="1" applyAlignment="1">
      <alignment vertical="center"/>
    </xf>
    <xf numFmtId="0" fontId="95" fillId="2" borderId="7" xfId="78" applyFont="1" applyFill="1" applyBorder="1" applyAlignment="1">
      <alignment vertical="center"/>
    </xf>
    <xf numFmtId="0" fontId="95" fillId="2" borderId="26" xfId="78" applyFont="1" applyFill="1" applyBorder="1" applyAlignment="1">
      <alignment horizontal="right" vertical="center"/>
    </xf>
    <xf numFmtId="0" fontId="47" fillId="4" borderId="0" xfId="78" applyFill="1" applyAlignment="1">
      <alignment vertical="center"/>
    </xf>
    <xf numFmtId="0" fontId="96" fillId="2" borderId="25" xfId="78" applyFont="1" applyFill="1" applyBorder="1" applyAlignment="1">
      <alignment vertical="center"/>
    </xf>
    <xf numFmtId="0" fontId="96" fillId="2" borderId="26" xfId="78" applyFont="1" applyFill="1" applyBorder="1" applyAlignment="1">
      <alignment vertical="center"/>
    </xf>
    <xf numFmtId="0" fontId="47" fillId="4" borderId="51" xfId="78" applyFill="1" applyBorder="1" applyAlignment="1">
      <alignment vertical="center"/>
    </xf>
    <xf numFmtId="6" fontId="47" fillId="4" borderId="0" xfId="78" applyNumberFormat="1" applyFill="1" applyAlignment="1">
      <alignment vertical="center"/>
    </xf>
    <xf numFmtId="6" fontId="94" fillId="4" borderId="11" xfId="78" applyNumberFormat="1" applyFont="1" applyFill="1" applyBorder="1" applyAlignment="1">
      <alignment vertical="center"/>
    </xf>
    <xf numFmtId="228" fontId="47" fillId="4" borderId="11" xfId="78" applyNumberFormat="1" applyFill="1" applyBorder="1" applyAlignment="1">
      <alignment horizontal="right" vertical="center"/>
    </xf>
    <xf numFmtId="9" fontId="94" fillId="4" borderId="0" xfId="78" applyNumberFormat="1" applyFont="1" applyFill="1" applyAlignment="1">
      <alignment vertical="center"/>
    </xf>
    <xf numFmtId="10" fontId="94" fillId="4" borderId="0" xfId="78" applyNumberFormat="1" applyFont="1" applyFill="1" applyAlignment="1">
      <alignment vertical="center"/>
    </xf>
    <xf numFmtId="0" fontId="95" fillId="4" borderId="25" xfId="78" applyFont="1" applyFill="1" applyBorder="1" applyAlignment="1">
      <alignment vertical="center"/>
    </xf>
    <xf numFmtId="6" fontId="95" fillId="4" borderId="7" xfId="78" applyNumberFormat="1" applyFont="1" applyFill="1" applyBorder="1" applyAlignment="1">
      <alignment vertical="center"/>
    </xf>
    <xf numFmtId="6" fontId="97" fillId="4" borderId="26" xfId="78" applyNumberFormat="1" applyFont="1" applyFill="1" applyBorder="1" applyAlignment="1">
      <alignment vertical="center"/>
    </xf>
    <xf numFmtId="10" fontId="47" fillId="4" borderId="11" xfId="78" applyNumberFormat="1" applyFill="1" applyBorder="1" applyAlignment="1">
      <alignment horizontal="right" vertical="center"/>
    </xf>
    <xf numFmtId="0" fontId="47" fillId="4" borderId="32" xfId="78" applyFill="1" applyBorder="1" applyAlignment="1">
      <alignment vertical="center"/>
    </xf>
    <xf numFmtId="0" fontId="47" fillId="4" borderId="30" xfId="78" applyFill="1" applyBorder="1" applyAlignment="1">
      <alignment horizontal="right" vertical="center"/>
    </xf>
    <xf numFmtId="0" fontId="95" fillId="2" borderId="50" xfId="78" applyFont="1" applyFill="1" applyBorder="1" applyAlignment="1">
      <alignment vertical="center"/>
    </xf>
    <xf numFmtId="0" fontId="95" fillId="2" borderId="6" xfId="78" applyFont="1" applyFill="1" applyBorder="1" applyAlignment="1">
      <alignment vertical="center"/>
    </xf>
    <xf numFmtId="0" fontId="47" fillId="4" borderId="50" xfId="78" applyFill="1" applyBorder="1" applyAlignment="1">
      <alignment vertical="center"/>
    </xf>
    <xf numFmtId="6" fontId="47" fillId="4" borderId="6" xfId="78" applyNumberFormat="1" applyFill="1" applyBorder="1" applyAlignment="1">
      <alignment vertical="center"/>
    </xf>
    <xf numFmtId="6" fontId="94" fillId="4" borderId="10" xfId="78" applyNumberFormat="1" applyFont="1" applyFill="1" applyBorder="1" applyAlignment="1">
      <alignment vertical="center"/>
    </xf>
    <xf numFmtId="0" fontId="47" fillId="4" borderId="11" xfId="78" applyFill="1" applyBorder="1" applyAlignment="1">
      <alignment horizontal="right" vertical="center"/>
    </xf>
    <xf numFmtId="6" fontId="47" fillId="4" borderId="14" xfId="78" applyNumberFormat="1" applyFill="1" applyBorder="1" applyAlignment="1">
      <alignment vertical="center"/>
    </xf>
    <xf numFmtId="6" fontId="94" fillId="4" borderId="30" xfId="78" applyNumberFormat="1" applyFont="1" applyFill="1" applyBorder="1" applyAlignment="1">
      <alignment vertical="center"/>
    </xf>
    <xf numFmtId="6" fontId="47" fillId="4" borderId="11" xfId="78" applyNumberFormat="1" applyFill="1" applyBorder="1" applyAlignment="1">
      <alignment horizontal="right" vertical="center"/>
    </xf>
    <xf numFmtId="0" fontId="47" fillId="4" borderId="32" xfId="78" applyFill="1" applyBorder="1" applyAlignment="1">
      <alignment horizontal="left" vertical="center"/>
    </xf>
    <xf numFmtId="6" fontId="47" fillId="4" borderId="30" xfId="78" applyNumberFormat="1" applyFill="1" applyBorder="1" applyAlignment="1">
      <alignment horizontal="right" vertical="center"/>
    </xf>
    <xf numFmtId="6" fontId="94" fillId="4" borderId="0" xfId="78" applyNumberFormat="1" applyFont="1" applyFill="1" applyAlignment="1">
      <alignment vertical="center"/>
    </xf>
    <xf numFmtId="0" fontId="1" fillId="0" borderId="0" xfId="79"/>
    <xf numFmtId="0" fontId="67" fillId="0" borderId="0" xfId="79" applyFont="1" applyAlignment="1">
      <alignment horizontal="centerContinuous"/>
    </xf>
    <xf numFmtId="0" fontId="1" fillId="0" borderId="0" xfId="79" applyAlignment="1">
      <alignment horizontal="centerContinuous"/>
    </xf>
    <xf numFmtId="0" fontId="86" fillId="17" borderId="25" xfId="79" applyFont="1" applyFill="1" applyBorder="1"/>
    <xf numFmtId="0" fontId="86" fillId="17" borderId="7" xfId="79" applyFont="1" applyFill="1" applyBorder="1" applyAlignment="1">
      <alignment horizontal="center"/>
    </xf>
    <xf numFmtId="0" fontId="86" fillId="17" borderId="26" xfId="79" applyFont="1" applyFill="1" applyBorder="1" applyAlignment="1">
      <alignment horizontal="center"/>
    </xf>
    <xf numFmtId="0" fontId="0" fillId="0" borderId="50" xfId="79" applyFont="1" applyBorder="1"/>
    <xf numFmtId="0" fontId="0" fillId="0" borderId="6" xfId="79" applyFont="1" applyBorder="1" applyAlignment="1">
      <alignment horizontal="center"/>
    </xf>
    <xf numFmtId="164" fontId="0" fillId="0" borderId="6" xfId="79" applyNumberFormat="1" applyFont="1" applyBorder="1" applyAlignment="1">
      <alignment horizontal="center"/>
    </xf>
    <xf numFmtId="3" fontId="1" fillId="4" borderId="6" xfId="79" applyNumberFormat="1" applyFill="1" applyBorder="1" applyAlignment="1">
      <alignment horizontal="center"/>
    </xf>
    <xf numFmtId="8" fontId="1" fillId="0" borderId="10" xfId="79" applyNumberFormat="1" applyBorder="1" applyAlignment="1">
      <alignment horizontal="center"/>
    </xf>
    <xf numFmtId="0" fontId="0" fillId="0" borderId="51" xfId="79" applyFont="1" applyBorder="1"/>
    <xf numFmtId="0" fontId="0" fillId="0" borderId="0" xfId="79" applyFont="1" applyAlignment="1">
      <alignment horizontal="center"/>
    </xf>
    <xf numFmtId="164" fontId="1" fillId="0" borderId="0" xfId="79" applyNumberFormat="1" applyAlignment="1">
      <alignment horizontal="center"/>
    </xf>
    <xf numFmtId="3" fontId="1" fillId="4" borderId="0" xfId="79" applyNumberFormat="1" applyFill="1" applyAlignment="1">
      <alignment horizontal="center"/>
    </xf>
    <xf numFmtId="8" fontId="1" fillId="0" borderId="11" xfId="79" applyNumberFormat="1" applyBorder="1" applyAlignment="1">
      <alignment horizontal="center"/>
    </xf>
    <xf numFmtId="0" fontId="0" fillId="0" borderId="32" xfId="79" applyFont="1" applyBorder="1"/>
    <xf numFmtId="0" fontId="0" fillId="0" borderId="14" xfId="79" applyFont="1" applyBorder="1" applyAlignment="1">
      <alignment horizontal="center"/>
    </xf>
    <xf numFmtId="164" fontId="1" fillId="0" borderId="14" xfId="79" applyNumberFormat="1" applyBorder="1" applyAlignment="1">
      <alignment horizontal="center"/>
    </xf>
    <xf numFmtId="3" fontId="1" fillId="4" borderId="14" xfId="79" applyNumberFormat="1" applyFill="1" applyBorder="1" applyAlignment="1">
      <alignment horizontal="center"/>
    </xf>
    <xf numFmtId="8" fontId="1" fillId="0" borderId="30" xfId="79" applyNumberFormat="1" applyBorder="1" applyAlignment="1">
      <alignment horizontal="center"/>
    </xf>
    <xf numFmtId="0" fontId="67" fillId="0" borderId="51" xfId="79" applyFont="1" applyBorder="1"/>
    <xf numFmtId="1" fontId="67" fillId="0" borderId="0" xfId="79" applyNumberFormat="1" applyFont="1" applyAlignment="1">
      <alignment horizontal="center"/>
    </xf>
    <xf numFmtId="37" fontId="67" fillId="0" borderId="0" xfId="79" applyNumberFormat="1" applyFont="1" applyAlignment="1">
      <alignment horizontal="center"/>
    </xf>
    <xf numFmtId="8" fontId="67" fillId="0" borderId="11" xfId="79" applyNumberFormat="1" applyFont="1" applyBorder="1" applyAlignment="1">
      <alignment horizontal="center"/>
    </xf>
    <xf numFmtId="0" fontId="92" fillId="2" borderId="25" xfId="79" applyFont="1" applyFill="1" applyBorder="1"/>
    <xf numFmtId="0" fontId="92" fillId="2" borderId="7" xfId="79" applyFont="1" applyFill="1" applyBorder="1" applyAlignment="1">
      <alignment horizontal="center"/>
    </xf>
    <xf numFmtId="37" fontId="92" fillId="2" borderId="7" xfId="79" applyNumberFormat="1" applyFont="1" applyFill="1" applyBorder="1" applyAlignment="1">
      <alignment horizontal="center"/>
    </xf>
    <xf numFmtId="8" fontId="92" fillId="2" borderId="26" xfId="79" applyNumberFormat="1" applyFont="1" applyFill="1" applyBorder="1" applyAlignment="1">
      <alignment horizontal="center"/>
    </xf>
    <xf numFmtId="172" fontId="1" fillId="0" borderId="0" xfId="79" applyNumberFormat="1"/>
    <xf numFmtId="0" fontId="98" fillId="0" borderId="0" xfId="79" applyFont="1"/>
    <xf numFmtId="0" fontId="67" fillId="4" borderId="0" xfId="79" applyFont="1" applyFill="1" applyAlignment="1">
      <alignment horizontal="centerContinuous"/>
    </xf>
    <xf numFmtId="0" fontId="86" fillId="17" borderId="50" xfId="79" applyFont="1" applyFill="1" applyBorder="1"/>
    <xf numFmtId="0" fontId="86" fillId="17" borderId="6" xfId="79" applyFont="1" applyFill="1" applyBorder="1" applyAlignment="1">
      <alignment horizontal="center"/>
    </xf>
    <xf numFmtId="0" fontId="86" fillId="17" borderId="10" xfId="79" applyFont="1" applyFill="1" applyBorder="1" applyAlignment="1">
      <alignment horizontal="center"/>
    </xf>
    <xf numFmtId="0" fontId="0" fillId="4" borderId="51" xfId="79" applyFont="1" applyFill="1" applyBorder="1"/>
    <xf numFmtId="0" fontId="87" fillId="4" borderId="0" xfId="79" applyFont="1" applyFill="1" applyAlignment="1">
      <alignment horizontal="center"/>
    </xf>
    <xf numFmtId="3" fontId="87" fillId="4" borderId="0" xfId="79" applyNumberFormat="1" applyFont="1" applyFill="1" applyAlignment="1">
      <alignment horizontal="center"/>
    </xf>
    <xf numFmtId="164" fontId="87" fillId="4" borderId="0" xfId="79" applyNumberFormat="1" applyFont="1" applyFill="1" applyAlignment="1">
      <alignment horizontal="center"/>
    </xf>
    <xf numFmtId="6" fontId="87" fillId="4" borderId="0" xfId="79" applyNumberFormat="1" applyFont="1" applyFill="1" applyAlignment="1">
      <alignment horizontal="center"/>
    </xf>
    <xf numFmtId="6" fontId="87" fillId="4" borderId="11" xfId="79" applyNumberFormat="1" applyFont="1" applyFill="1" applyBorder="1" applyAlignment="1">
      <alignment horizontal="center"/>
    </xf>
    <xf numFmtId="0" fontId="0" fillId="4" borderId="0" xfId="79" applyFont="1" applyFill="1" applyAlignment="1">
      <alignment horizontal="center"/>
    </xf>
    <xf numFmtId="164" fontId="1" fillId="4" borderId="0" xfId="79" applyNumberFormat="1" applyFill="1" applyAlignment="1">
      <alignment horizontal="center"/>
    </xf>
    <xf numFmtId="6" fontId="1" fillId="4" borderId="0" xfId="79" applyNumberFormat="1" applyFill="1" applyAlignment="1">
      <alignment horizontal="center"/>
    </xf>
    <xf numFmtId="0" fontId="67" fillId="4" borderId="58" xfId="79" applyFont="1" applyFill="1" applyBorder="1"/>
    <xf numFmtId="1" fontId="67" fillId="4" borderId="59" xfId="79" applyNumberFormat="1" applyFont="1" applyFill="1" applyBorder="1" applyAlignment="1">
      <alignment horizontal="center"/>
    </xf>
    <xf numFmtId="37" fontId="67" fillId="4" borderId="59" xfId="79" applyNumberFormat="1" applyFont="1" applyFill="1" applyBorder="1" applyAlignment="1">
      <alignment horizontal="center"/>
    </xf>
    <xf numFmtId="211" fontId="67" fillId="4" borderId="59" xfId="79" applyNumberFormat="1" applyFont="1" applyFill="1" applyBorder="1" applyAlignment="1">
      <alignment horizontal="center"/>
    </xf>
    <xf numFmtId="6" fontId="67" fillId="4" borderId="59" xfId="79" applyNumberFormat="1" applyFont="1" applyFill="1" applyBorder="1" applyAlignment="1">
      <alignment horizontal="center"/>
    </xf>
    <xf numFmtId="6" fontId="67" fillId="0" borderId="60" xfId="79" applyNumberFormat="1" applyFont="1" applyBorder="1" applyAlignment="1">
      <alignment horizontal="center"/>
    </xf>
    <xf numFmtId="0" fontId="92" fillId="2" borderId="14" xfId="79" applyFont="1" applyFill="1" applyBorder="1" applyAlignment="1">
      <alignment horizontal="center"/>
    </xf>
    <xf numFmtId="3" fontId="92" fillId="2" borderId="14" xfId="79" applyNumberFormat="1" applyFont="1" applyFill="1" applyBorder="1" applyAlignment="1">
      <alignment horizontal="center"/>
    </xf>
    <xf numFmtId="211" fontId="92" fillId="2" borderId="14" xfId="79" applyNumberFormat="1" applyFont="1" applyFill="1" applyBorder="1" applyAlignment="1">
      <alignment horizontal="center"/>
    </xf>
    <xf numFmtId="37" fontId="92" fillId="2" borderId="14" xfId="79" applyNumberFormat="1" applyFont="1" applyFill="1" applyBorder="1" applyAlignment="1">
      <alignment horizontal="center"/>
    </xf>
    <xf numFmtId="6" fontId="92" fillId="2" borderId="30" xfId="79" applyNumberFormat="1" applyFont="1" applyFill="1" applyBorder="1" applyAlignment="1">
      <alignment horizontal="center"/>
    </xf>
    <xf numFmtId="0" fontId="98" fillId="4" borderId="0" xfId="79" applyFont="1" applyFill="1"/>
    <xf numFmtId="0" fontId="1" fillId="4" borderId="0" xfId="79" applyFill="1"/>
    <xf numFmtId="184" fontId="1" fillId="0" borderId="0" xfId="79" applyNumberFormat="1"/>
    <xf numFmtId="9" fontId="47" fillId="4" borderId="11" xfId="78" applyNumberFormat="1" applyFill="1" applyBorder="1" applyAlignment="1">
      <alignment vertical="center"/>
    </xf>
    <xf numFmtId="0" fontId="8" fillId="0" borderId="0" xfId="67" applyFont="1"/>
    <xf numFmtId="0" fontId="8" fillId="0" borderId="0" xfId="67" applyFont="1" applyAlignment="1">
      <alignment horizontal="left"/>
    </xf>
    <xf numFmtId="0" fontId="8" fillId="4" borderId="0" xfId="67" applyFont="1" applyFill="1" applyAlignment="1">
      <alignment horizontal="right"/>
    </xf>
    <xf numFmtId="37" fontId="8" fillId="0" borderId="0" xfId="67" applyNumberFormat="1" applyFont="1" applyAlignment="1">
      <alignment horizontal="right"/>
    </xf>
    <xf numFmtId="0" fontId="8" fillId="0" borderId="0" xfId="67" applyFont="1" applyAlignment="1">
      <alignment horizontal="right"/>
    </xf>
    <xf numFmtId="37" fontId="8" fillId="4" borderId="2" xfId="67" quotePrefix="1" applyNumberFormat="1" applyFont="1" applyFill="1" applyBorder="1" applyAlignment="1">
      <alignment horizontal="right"/>
    </xf>
    <xf numFmtId="0" fontId="8" fillId="0" borderId="2" xfId="67" applyFont="1" applyBorder="1"/>
    <xf numFmtId="0" fontId="8" fillId="0" borderId="2" xfId="67" applyFont="1" applyBorder="1" applyAlignment="1">
      <alignment horizontal="left"/>
    </xf>
    <xf numFmtId="0" fontId="8" fillId="0" borderId="2" xfId="67" applyFont="1" applyBorder="1" applyAlignment="1">
      <alignment horizontal="left" indent="4"/>
    </xf>
    <xf numFmtId="0" fontId="8" fillId="0" borderId="2" xfId="67" applyFont="1" applyBorder="1" applyAlignment="1">
      <alignment horizontal="right"/>
    </xf>
    <xf numFmtId="0" fontId="0" fillId="0" borderId="0" xfId="67" applyFont="1"/>
    <xf numFmtId="0" fontId="1" fillId="0" borderId="0" xfId="67" applyFont="1"/>
    <xf numFmtId="223" fontId="1" fillId="0" borderId="0" xfId="1" applyNumberFormat="1" applyFont="1" applyFill="1"/>
    <xf numFmtId="224" fontId="1" fillId="0" borderId="0" xfId="67" applyNumberFormat="1" applyFont="1"/>
    <xf numFmtId="0" fontId="1" fillId="0" borderId="0" xfId="67" applyFont="1" applyAlignment="1">
      <alignment horizontal="left"/>
    </xf>
    <xf numFmtId="0" fontId="1" fillId="0" borderId="0" xfId="67" applyFont="1" applyAlignment="1">
      <alignment horizontal="center"/>
    </xf>
    <xf numFmtId="193" fontId="1" fillId="0" borderId="0" xfId="67" applyNumberFormat="1" applyFont="1" applyAlignment="1">
      <alignment horizontal="center"/>
    </xf>
    <xf numFmtId="223" fontId="1" fillId="0" borderId="0" xfId="70" applyNumberFormat="1" applyFont="1" applyFill="1" applyAlignment="1">
      <alignment horizontal="center"/>
    </xf>
    <xf numFmtId="224" fontId="1" fillId="0" borderId="0" xfId="67" applyNumberFormat="1" applyFont="1" applyAlignment="1">
      <alignment horizontal="center"/>
    </xf>
    <xf numFmtId="0" fontId="67" fillId="0" borderId="14" xfId="67" applyFont="1" applyBorder="1"/>
    <xf numFmtId="223" fontId="67" fillId="0" borderId="14" xfId="1" applyNumberFormat="1" applyFont="1" applyFill="1" applyBorder="1"/>
    <xf numFmtId="224" fontId="67" fillId="0" borderId="14" xfId="67" applyNumberFormat="1" applyFont="1" applyBorder="1"/>
    <xf numFmtId="0" fontId="1" fillId="0" borderId="14" xfId="67" applyFont="1" applyBorder="1"/>
    <xf numFmtId="0" fontId="67" fillId="0" borderId="0" xfId="67" applyFont="1"/>
    <xf numFmtId="223" fontId="67" fillId="0" borderId="0" xfId="1" applyNumberFormat="1" applyFont="1" applyFill="1"/>
    <xf numFmtId="224" fontId="67" fillId="0" borderId="0" xfId="67" applyNumberFormat="1" applyFont="1"/>
    <xf numFmtId="172" fontId="1" fillId="0" borderId="0" xfId="67" applyNumberFormat="1" applyFont="1" applyAlignment="1">
      <alignment horizontal="right"/>
    </xf>
    <xf numFmtId="193" fontId="2" fillId="0" borderId="0" xfId="67" applyNumberFormat="1" applyFont="1" applyAlignment="1">
      <alignment horizontal="center"/>
    </xf>
    <xf numFmtId="223" fontId="1" fillId="0" borderId="0" xfId="70" applyNumberFormat="1" applyFont="1" applyAlignment="1">
      <alignment horizontal="center"/>
    </xf>
    <xf numFmtId="0" fontId="99" fillId="8" borderId="6" xfId="67" applyFont="1" applyFill="1" applyBorder="1"/>
    <xf numFmtId="0" fontId="86" fillId="8" borderId="6" xfId="67" applyFont="1" applyFill="1" applyBorder="1"/>
    <xf numFmtId="0" fontId="1" fillId="8" borderId="6" xfId="67" applyFont="1" applyFill="1" applyBorder="1"/>
    <xf numFmtId="223" fontId="86" fillId="8" borderId="6" xfId="1" applyNumberFormat="1" applyFont="1" applyFill="1" applyBorder="1" applyAlignment="1"/>
    <xf numFmtId="224" fontId="86" fillId="8" borderId="6" xfId="67" applyNumberFormat="1" applyFont="1" applyFill="1" applyBorder="1"/>
    <xf numFmtId="0" fontId="99" fillId="8" borderId="6" xfId="67" applyFont="1" applyFill="1" applyBorder="1" applyAlignment="1">
      <alignment vertical="top"/>
    </xf>
    <xf numFmtId="0" fontId="86" fillId="8" borderId="6" xfId="67" applyFont="1" applyFill="1" applyBorder="1" applyAlignment="1">
      <alignment vertical="top"/>
    </xf>
    <xf numFmtId="0" fontId="86" fillId="8" borderId="6" xfId="67" applyFont="1" applyFill="1" applyBorder="1" applyAlignment="1">
      <alignment horizontal="center" vertical="top"/>
    </xf>
    <xf numFmtId="193" fontId="86" fillId="8" borderId="6" xfId="67" applyNumberFormat="1" applyFont="1" applyFill="1" applyBorder="1" applyAlignment="1">
      <alignment horizontal="center" vertical="top"/>
    </xf>
    <xf numFmtId="223" fontId="86" fillId="8" borderId="6" xfId="70" applyNumberFormat="1" applyFont="1" applyFill="1" applyBorder="1" applyAlignment="1">
      <alignment horizontal="center" vertical="top"/>
    </xf>
    <xf numFmtId="224" fontId="86" fillId="8" borderId="6" xfId="67" applyNumberFormat="1" applyFont="1" applyFill="1" applyBorder="1" applyAlignment="1">
      <alignment horizontal="center" vertical="top"/>
    </xf>
    <xf numFmtId="224" fontId="67" fillId="0" borderId="14" xfId="67" applyNumberFormat="1" applyFont="1" applyBorder="1" applyAlignment="1">
      <alignment horizontal="center"/>
    </xf>
    <xf numFmtId="0" fontId="67" fillId="4" borderId="6" xfId="67" applyFont="1" applyFill="1" applyBorder="1" applyAlignment="1">
      <alignment horizontal="center" vertical="top"/>
    </xf>
    <xf numFmtId="0" fontId="67" fillId="4" borderId="6" xfId="67" applyFont="1" applyFill="1" applyBorder="1" applyAlignment="1">
      <alignment vertical="top"/>
    </xf>
    <xf numFmtId="193" fontId="67" fillId="4" borderId="6" xfId="67" applyNumberFormat="1" applyFont="1" applyFill="1" applyBorder="1" applyAlignment="1">
      <alignment horizontal="center" vertical="top"/>
    </xf>
    <xf numFmtId="223" fontId="67" fillId="4" borderId="6" xfId="70" applyNumberFormat="1" applyFont="1" applyFill="1" applyBorder="1" applyAlignment="1">
      <alignment horizontal="center" vertical="top"/>
    </xf>
    <xf numFmtId="0" fontId="0" fillId="0" borderId="0" xfId="67" applyFont="1" applyAlignment="1">
      <alignment horizontal="center"/>
    </xf>
    <xf numFmtId="0" fontId="1" fillId="0" borderId="0" xfId="0" applyFont="1" applyAlignment="1">
      <alignment horizontal="center"/>
    </xf>
    <xf numFmtId="0" fontId="1" fillId="0" borderId="0" xfId="67" applyFont="1" applyAlignment="1">
      <alignment horizontal="center" vertical="top"/>
    </xf>
    <xf numFmtId="0" fontId="0" fillId="0" borderId="0" xfId="67" applyFont="1" applyAlignment="1">
      <alignment vertical="top"/>
    </xf>
    <xf numFmtId="0" fontId="0" fillId="4" borderId="0" xfId="67" applyFont="1" applyFill="1" applyAlignment="1">
      <alignment horizontal="center"/>
    </xf>
    <xf numFmtId="17" fontId="1" fillId="0" borderId="0" xfId="67" applyNumberFormat="1" applyFont="1" applyAlignment="1">
      <alignment horizontal="center" vertical="top"/>
    </xf>
    <xf numFmtId="193" fontId="1" fillId="0" borderId="0" xfId="1" applyNumberFormat="1" applyFont="1" applyFill="1" applyBorder="1" applyAlignment="1">
      <alignment horizontal="right" vertical="top"/>
    </xf>
    <xf numFmtId="223" fontId="1" fillId="0" borderId="0" xfId="70" applyNumberFormat="1" applyFont="1" applyFill="1" applyBorder="1" applyAlignment="1">
      <alignment horizontal="center" vertical="top"/>
    </xf>
    <xf numFmtId="223" fontId="1" fillId="0" borderId="0" xfId="1" applyNumberFormat="1" applyFont="1" applyFill="1" applyBorder="1" applyAlignment="1">
      <alignment horizontal="center" vertical="top"/>
    </xf>
    <xf numFmtId="0" fontId="0" fillId="0" borderId="0" xfId="67" applyFont="1" applyAlignment="1">
      <alignment horizontal="left"/>
    </xf>
    <xf numFmtId="17" fontId="0" fillId="0" borderId="0" xfId="67" applyNumberFormat="1" applyFont="1" applyAlignment="1">
      <alignment horizontal="center" vertical="top"/>
    </xf>
    <xf numFmtId="223" fontId="1" fillId="4" borderId="0" xfId="1" applyNumberFormat="1" applyFont="1" applyFill="1"/>
    <xf numFmtId="0" fontId="1" fillId="4" borderId="0" xfId="67" applyFont="1" applyFill="1"/>
    <xf numFmtId="0" fontId="0" fillId="4" borderId="14" xfId="67" applyFont="1" applyFill="1" applyBorder="1" applyAlignment="1">
      <alignment horizontal="center"/>
    </xf>
    <xf numFmtId="17" fontId="1" fillId="0" borderId="14" xfId="67" applyNumberFormat="1" applyFont="1" applyBorder="1" applyAlignment="1">
      <alignment horizontal="center" vertical="top"/>
    </xf>
    <xf numFmtId="223" fontId="1" fillId="0" borderId="14" xfId="1" applyNumberFormat="1" applyFont="1" applyFill="1" applyBorder="1" applyAlignment="1">
      <alignment horizontal="center" vertical="top"/>
    </xf>
    <xf numFmtId="0" fontId="67" fillId="4" borderId="14" xfId="67" applyFont="1" applyFill="1" applyBorder="1" applyAlignment="1">
      <alignment vertical="top"/>
    </xf>
    <xf numFmtId="0" fontId="67" fillId="4" borderId="14" xfId="67" applyFont="1" applyFill="1" applyBorder="1" applyAlignment="1">
      <alignment horizontal="center" vertical="top"/>
    </xf>
    <xf numFmtId="164" fontId="67" fillId="4" borderId="14" xfId="67" applyNumberFormat="1" applyFont="1" applyFill="1" applyBorder="1" applyAlignment="1">
      <alignment horizontal="center" vertical="top"/>
    </xf>
    <xf numFmtId="193" fontId="67" fillId="0" borderId="14" xfId="1" applyNumberFormat="1" applyFont="1" applyFill="1" applyBorder="1" applyAlignment="1">
      <alignment horizontal="right"/>
    </xf>
    <xf numFmtId="223" fontId="67" fillId="0" borderId="14" xfId="70" applyNumberFormat="1" applyFont="1" applyFill="1" applyBorder="1" applyAlignment="1">
      <alignment horizontal="right"/>
    </xf>
    <xf numFmtId="0" fontId="1" fillId="0" borderId="0" xfId="67" applyFont="1" applyAlignment="1">
      <alignment vertical="top"/>
    </xf>
    <xf numFmtId="37" fontId="1" fillId="0" borderId="0" xfId="67" applyNumberFormat="1" applyFont="1" applyAlignment="1">
      <alignment horizontal="center" vertical="top"/>
    </xf>
    <xf numFmtId="193" fontId="1" fillId="0" borderId="0" xfId="67" applyNumberFormat="1" applyFont="1" applyAlignment="1">
      <alignment horizontal="right" vertical="top"/>
    </xf>
    <xf numFmtId="223" fontId="1" fillId="0" borderId="0" xfId="70" applyNumberFormat="1" applyFont="1" applyFill="1" applyBorder="1" applyAlignment="1">
      <alignment horizontal="right" vertical="top"/>
    </xf>
    <xf numFmtId="0" fontId="0" fillId="0" borderId="2" xfId="67" applyFont="1" applyBorder="1" applyAlignment="1">
      <alignment vertical="top"/>
    </xf>
    <xf numFmtId="0" fontId="92" fillId="0" borderId="2" xfId="67" applyFont="1" applyBorder="1" applyAlignment="1">
      <alignment vertical="top"/>
    </xf>
    <xf numFmtId="0" fontId="1" fillId="0" borderId="2" xfId="67" applyFont="1" applyBorder="1" applyAlignment="1">
      <alignment horizontal="center" vertical="top"/>
    </xf>
    <xf numFmtId="37" fontId="1" fillId="0" borderId="2" xfId="67" applyNumberFormat="1" applyFont="1" applyBorder="1" applyAlignment="1">
      <alignment horizontal="center" vertical="top"/>
    </xf>
    <xf numFmtId="193" fontId="1" fillId="0" borderId="2" xfId="67" applyNumberFormat="1" applyFont="1" applyBorder="1" applyAlignment="1">
      <alignment horizontal="right" vertical="top"/>
    </xf>
    <xf numFmtId="223" fontId="1" fillId="0" borderId="2" xfId="70" applyNumberFormat="1" applyFont="1" applyFill="1" applyBorder="1" applyAlignment="1">
      <alignment horizontal="right" vertical="top"/>
    </xf>
    <xf numFmtId="0" fontId="92" fillId="0" borderId="0" xfId="67" applyFont="1" applyAlignment="1">
      <alignment vertical="top"/>
    </xf>
    <xf numFmtId="0" fontId="1" fillId="0" borderId="0" xfId="0" applyFont="1"/>
    <xf numFmtId="193" fontId="1" fillId="0" borderId="0" xfId="0" applyNumberFormat="1" applyFont="1"/>
    <xf numFmtId="224" fontId="1" fillId="0" borderId="0" xfId="0" applyNumberFormat="1" applyFont="1"/>
    <xf numFmtId="0" fontId="67" fillId="0" borderId="0" xfId="67" applyFont="1" applyAlignment="1">
      <alignment vertical="top"/>
    </xf>
    <xf numFmtId="0" fontId="67" fillId="0" borderId="0" xfId="67" applyFont="1" applyAlignment="1">
      <alignment horizontal="center" vertical="top"/>
    </xf>
    <xf numFmtId="0" fontId="1" fillId="0" borderId="0" xfId="67" quotePrefix="1" applyFont="1" applyAlignment="1">
      <alignment horizontal="center" vertical="top"/>
    </xf>
    <xf numFmtId="0" fontId="0" fillId="0" borderId="0" xfId="67" quotePrefix="1" applyFont="1" applyAlignment="1">
      <alignment horizontal="center" vertical="top"/>
    </xf>
    <xf numFmtId="224" fontId="67" fillId="0" borderId="14" xfId="70" applyNumberFormat="1" applyFont="1" applyFill="1" applyBorder="1" applyAlignment="1">
      <alignment horizontal="center"/>
    </xf>
    <xf numFmtId="7" fontId="67" fillId="0" borderId="14" xfId="67" applyNumberFormat="1" applyFont="1" applyBorder="1" applyAlignment="1">
      <alignment horizontal="right"/>
    </xf>
    <xf numFmtId="0" fontId="100" fillId="0" borderId="0" xfId="67" applyFont="1"/>
    <xf numFmtId="0" fontId="92" fillId="0" borderId="0" xfId="67" applyFont="1"/>
    <xf numFmtId="223" fontId="1" fillId="0" borderId="0" xfId="1" applyNumberFormat="1" applyFont="1"/>
    <xf numFmtId="37" fontId="1" fillId="0" borderId="0" xfId="67" applyNumberFormat="1" applyFont="1" applyAlignment="1">
      <alignment horizontal="right"/>
    </xf>
    <xf numFmtId="224" fontId="1" fillId="4" borderId="0" xfId="67" applyNumberFormat="1" applyFont="1" applyFill="1"/>
    <xf numFmtId="223" fontId="1" fillId="4" borderId="0" xfId="70" applyNumberFormat="1" applyFont="1" applyFill="1"/>
    <xf numFmtId="184" fontId="5" fillId="0" borderId="0" xfId="0" applyNumberFormat="1" applyFont="1"/>
    <xf numFmtId="0" fontId="0" fillId="0" borderId="14" xfId="67" applyFont="1" applyBorder="1" applyAlignment="1">
      <alignment horizontal="center" vertical="top"/>
    </xf>
    <xf numFmtId="0" fontId="0" fillId="0" borderId="14" xfId="67" applyFont="1" applyBorder="1" applyAlignment="1">
      <alignment vertical="top"/>
    </xf>
    <xf numFmtId="0" fontId="0" fillId="0" borderId="7" xfId="67" applyFont="1" applyBorder="1"/>
    <xf numFmtId="0" fontId="1" fillId="0" borderId="7" xfId="67" applyFont="1" applyBorder="1"/>
    <xf numFmtId="223" fontId="67" fillId="0" borderId="7" xfId="1" applyNumberFormat="1" applyFont="1" applyFill="1" applyBorder="1"/>
    <xf numFmtId="224" fontId="0" fillId="0" borderId="7" xfId="67" applyNumberFormat="1" applyFont="1" applyBorder="1" applyAlignment="1">
      <alignment horizontal="center"/>
    </xf>
    <xf numFmtId="0" fontId="0" fillId="0" borderId="14" xfId="67" applyFont="1" applyBorder="1" applyAlignment="1">
      <alignment horizontal="left"/>
    </xf>
    <xf numFmtId="0" fontId="0" fillId="0" borderId="41" xfId="0" applyBorder="1"/>
    <xf numFmtId="0" fontId="2" fillId="4" borderId="0" xfId="67" applyFont="1" applyFill="1"/>
    <xf numFmtId="0" fontId="8" fillId="4" borderId="0" xfId="67" applyFont="1" applyFill="1"/>
    <xf numFmtId="0" fontId="8" fillId="4" borderId="0" xfId="67" applyFont="1" applyFill="1" applyAlignment="1">
      <alignment horizontal="left"/>
    </xf>
    <xf numFmtId="6" fontId="0" fillId="0" borderId="0" xfId="0" applyNumberFormat="1"/>
    <xf numFmtId="224" fontId="1" fillId="0" borderId="0" xfId="67" applyNumberFormat="1" applyFont="1" applyAlignment="1">
      <alignment horizontal="left"/>
    </xf>
    <xf numFmtId="224" fontId="86" fillId="8" borderId="6" xfId="67" applyNumberFormat="1" applyFont="1" applyFill="1" applyBorder="1" applyAlignment="1">
      <alignment horizontal="left" vertical="top"/>
    </xf>
    <xf numFmtId="224" fontId="67" fillId="4" borderId="6" xfId="67" applyNumberFormat="1" applyFont="1" applyFill="1" applyBorder="1" applyAlignment="1">
      <alignment horizontal="center" vertical="top"/>
    </xf>
    <xf numFmtId="224" fontId="67" fillId="4" borderId="6" xfId="67" applyNumberFormat="1" applyFont="1" applyFill="1" applyBorder="1" applyAlignment="1">
      <alignment horizontal="left" vertical="top"/>
    </xf>
    <xf numFmtId="0" fontId="67" fillId="2" borderId="0" xfId="67" applyFont="1" applyFill="1" applyAlignment="1">
      <alignment horizontal="left"/>
    </xf>
    <xf numFmtId="0" fontId="0" fillId="2" borderId="0" xfId="67" applyFont="1" applyFill="1"/>
    <xf numFmtId="0" fontId="0" fillId="2" borderId="0" xfId="67" applyFont="1" applyFill="1" applyAlignment="1">
      <alignment horizontal="center"/>
    </xf>
    <xf numFmtId="6" fontId="1" fillId="0" borderId="0" xfId="70" applyNumberFormat="1" applyFont="1" applyFill="1" applyBorder="1" applyAlignment="1">
      <alignment horizontal="center" vertical="top"/>
    </xf>
    <xf numFmtId="6" fontId="0" fillId="0" borderId="0" xfId="70" applyNumberFormat="1" applyFont="1" applyFill="1" applyBorder="1" applyAlignment="1">
      <alignment horizontal="left" vertical="top"/>
    </xf>
    <xf numFmtId="0" fontId="67" fillId="0" borderId="7" xfId="67" applyFont="1" applyBorder="1" applyAlignment="1">
      <alignment horizontal="center"/>
    </xf>
    <xf numFmtId="0" fontId="67" fillId="0" borderId="7" xfId="67" applyFont="1" applyBorder="1"/>
    <xf numFmtId="3" fontId="1" fillId="0" borderId="0" xfId="67" applyNumberFormat="1" applyFont="1" applyAlignment="1">
      <alignment horizontal="center"/>
    </xf>
    <xf numFmtId="8" fontId="1" fillId="0" borderId="0" xfId="67" applyNumberFormat="1" applyFont="1" applyAlignment="1">
      <alignment horizontal="center"/>
    </xf>
    <xf numFmtId="8" fontId="0" fillId="0" borderId="0" xfId="67" applyNumberFormat="1" applyFont="1" applyAlignment="1">
      <alignment horizontal="center"/>
    </xf>
    <xf numFmtId="8" fontId="0" fillId="0" borderId="0" xfId="67" quotePrefix="1" applyNumberFormat="1" applyFont="1" applyAlignment="1">
      <alignment horizontal="center"/>
    </xf>
    <xf numFmtId="6" fontId="1" fillId="0" borderId="0" xfId="1" applyNumberFormat="1" applyFont="1" applyFill="1" applyBorder="1" applyAlignment="1">
      <alignment horizontal="center" vertical="top"/>
    </xf>
    <xf numFmtId="6" fontId="0" fillId="0" borderId="0" xfId="1" applyNumberFormat="1" applyFont="1" applyFill="1" applyBorder="1" applyAlignment="1">
      <alignment horizontal="left" vertical="top"/>
    </xf>
    <xf numFmtId="6" fontId="1" fillId="0" borderId="14" xfId="1" applyNumberFormat="1" applyFont="1" applyFill="1" applyBorder="1" applyAlignment="1">
      <alignment horizontal="center" vertical="top"/>
    </xf>
    <xf numFmtId="6" fontId="0" fillId="0" borderId="14" xfId="1" applyNumberFormat="1" applyFont="1" applyFill="1" applyBorder="1" applyAlignment="1">
      <alignment horizontal="left" vertical="top"/>
    </xf>
    <xf numFmtId="193" fontId="67" fillId="0" borderId="14" xfId="70" applyNumberFormat="1" applyFont="1" applyFill="1" applyBorder="1" applyAlignment="1">
      <alignment horizontal="center"/>
    </xf>
    <xf numFmtId="193" fontId="67" fillId="0" borderId="14" xfId="70" applyNumberFormat="1" applyFont="1" applyFill="1" applyBorder="1" applyAlignment="1">
      <alignment horizontal="left"/>
    </xf>
    <xf numFmtId="193" fontId="1" fillId="0" borderId="0" xfId="1" applyNumberFormat="1" applyFont="1" applyFill="1" applyBorder="1" applyAlignment="1">
      <alignment horizontal="center" vertical="top"/>
    </xf>
    <xf numFmtId="193" fontId="1" fillId="0" borderId="0" xfId="1" applyNumberFormat="1" applyFont="1" applyFill="1" applyBorder="1" applyAlignment="1">
      <alignment horizontal="left" vertical="top"/>
    </xf>
    <xf numFmtId="172" fontId="92" fillId="0" borderId="2" xfId="2" applyNumberFormat="1" applyFont="1" applyFill="1" applyBorder="1" applyAlignment="1">
      <alignment horizontal="center" vertical="top"/>
    </xf>
    <xf numFmtId="172" fontId="92" fillId="0" borderId="2" xfId="2" applyNumberFormat="1" applyFont="1" applyFill="1" applyBorder="1" applyAlignment="1">
      <alignment horizontal="left" vertical="top"/>
    </xf>
    <xf numFmtId="0" fontId="1" fillId="0" borderId="0" xfId="0" applyFont="1" applyAlignment="1">
      <alignment horizontal="left"/>
    </xf>
    <xf numFmtId="0" fontId="67" fillId="0" borderId="6" xfId="67" applyFont="1" applyBorder="1"/>
    <xf numFmtId="223" fontId="67" fillId="0" borderId="6" xfId="1" applyNumberFormat="1" applyFont="1" applyFill="1" applyBorder="1"/>
    <xf numFmtId="224" fontId="67" fillId="0" borderId="6" xfId="70" applyNumberFormat="1" applyFont="1" applyFill="1" applyBorder="1" applyAlignment="1">
      <alignment horizontal="center"/>
    </xf>
    <xf numFmtId="7" fontId="67" fillId="0" borderId="6" xfId="67" applyNumberFormat="1" applyFont="1" applyBorder="1" applyAlignment="1">
      <alignment horizontal="center"/>
    </xf>
    <xf numFmtId="8" fontId="1" fillId="0" borderId="6" xfId="67" applyNumberFormat="1" applyFont="1" applyBorder="1" applyAlignment="1">
      <alignment horizontal="center"/>
    </xf>
    <xf numFmtId="0" fontId="1" fillId="0" borderId="7" xfId="67" applyFont="1" applyBorder="1" applyAlignment="1">
      <alignment horizontal="center"/>
    </xf>
    <xf numFmtId="3" fontId="1" fillId="0" borderId="7" xfId="67" applyNumberFormat="1" applyFont="1" applyBorder="1" applyAlignment="1">
      <alignment horizontal="center"/>
    </xf>
    <xf numFmtId="8" fontId="0" fillId="0" borderId="7" xfId="67" applyNumberFormat="1" applyFont="1" applyBorder="1" applyAlignment="1">
      <alignment horizontal="center"/>
    </xf>
    <xf numFmtId="8" fontId="1" fillId="0" borderId="7" xfId="67" applyNumberFormat="1" applyFont="1" applyBorder="1" applyAlignment="1">
      <alignment horizontal="center"/>
    </xf>
    <xf numFmtId="224" fontId="1" fillId="0" borderId="0" xfId="0" applyNumberFormat="1" applyFont="1" applyAlignment="1">
      <alignment horizontal="center"/>
    </xf>
    <xf numFmtId="224" fontId="1" fillId="0" borderId="0" xfId="0" applyNumberFormat="1" applyFont="1" applyAlignment="1">
      <alignment horizontal="left"/>
    </xf>
    <xf numFmtId="0" fontId="0" fillId="4" borderId="0" xfId="67" applyFont="1" applyFill="1"/>
    <xf numFmtId="3" fontId="1" fillId="4" borderId="0" xfId="67" applyNumberFormat="1" applyFont="1" applyFill="1" applyAlignment="1">
      <alignment horizontal="center"/>
    </xf>
    <xf numFmtId="8" fontId="1" fillId="4" borderId="0" xfId="67" applyNumberFormat="1" applyFont="1" applyFill="1" applyAlignment="1">
      <alignment horizontal="center"/>
    </xf>
    <xf numFmtId="0" fontId="1" fillId="4" borderId="0" xfId="67" applyFont="1" applyFill="1" applyAlignment="1">
      <alignment horizontal="center"/>
    </xf>
    <xf numFmtId="0" fontId="1" fillId="4" borderId="0" xfId="67" applyFont="1" applyFill="1" applyAlignment="1">
      <alignment horizontal="left"/>
    </xf>
    <xf numFmtId="172" fontId="0" fillId="0" borderId="0" xfId="0" applyNumberFormat="1"/>
    <xf numFmtId="216" fontId="8" fillId="4" borderId="0" xfId="67" applyNumberFormat="1" applyFont="1" applyFill="1" applyAlignment="1">
      <alignment horizontal="right"/>
    </xf>
    <xf numFmtId="0" fontId="8" fillId="4" borderId="0" xfId="67" quotePrefix="1" applyFont="1" applyFill="1" applyAlignment="1">
      <alignment horizontal="right"/>
    </xf>
    <xf numFmtId="166" fontId="82" fillId="0" borderId="0" xfId="0" applyNumberFormat="1" applyFont="1"/>
    <xf numFmtId="5" fontId="5" fillId="0" borderId="0" xfId="3" applyNumberFormat="1" applyFont="1"/>
    <xf numFmtId="176" fontId="10" fillId="4" borderId="26" xfId="3" applyNumberFormat="1" applyFont="1" applyFill="1" applyBorder="1" applyAlignment="1">
      <alignment horizontal="left"/>
    </xf>
    <xf numFmtId="0" fontId="1" fillId="0" borderId="0" xfId="67" applyFont="1" applyAlignment="1">
      <alignment vertical="center"/>
    </xf>
    <xf numFmtId="224" fontId="1" fillId="0" borderId="0" xfId="67" applyNumberFormat="1" applyFont="1" applyAlignment="1">
      <alignment horizontal="center" vertical="center"/>
    </xf>
    <xf numFmtId="0" fontId="2" fillId="0" borderId="0" xfId="67" applyFont="1" applyAlignment="1">
      <alignment vertical="center"/>
    </xf>
    <xf numFmtId="0" fontId="67" fillId="0" borderId="0" xfId="67" applyFont="1" applyAlignment="1">
      <alignment vertical="center"/>
    </xf>
    <xf numFmtId="0" fontId="1" fillId="0" borderId="61" xfId="67" applyFont="1" applyBorder="1" applyAlignment="1">
      <alignment horizontal="center" vertical="center"/>
    </xf>
    <xf numFmtId="0" fontId="0" fillId="0" borderId="61" xfId="67" applyFont="1" applyBorder="1" applyAlignment="1">
      <alignment horizontal="left" vertical="center"/>
    </xf>
    <xf numFmtId="0" fontId="0" fillId="0" borderId="61" xfId="67" applyFont="1" applyBorder="1" applyAlignment="1">
      <alignment horizontal="center" vertical="center"/>
    </xf>
    <xf numFmtId="17" fontId="1" fillId="0" borderId="61" xfId="67" applyNumberFormat="1" applyFont="1" applyBorder="1" applyAlignment="1">
      <alignment horizontal="center" vertical="center"/>
    </xf>
    <xf numFmtId="223" fontId="1" fillId="0" borderId="61" xfId="1" applyNumberFormat="1" applyFont="1" applyFill="1" applyBorder="1" applyAlignment="1">
      <alignment horizontal="center" vertical="center"/>
    </xf>
    <xf numFmtId="224" fontId="1" fillId="0" borderId="61" xfId="67" applyNumberFormat="1" applyFont="1" applyBorder="1" applyAlignment="1">
      <alignment horizontal="center" vertical="center"/>
    </xf>
    <xf numFmtId="0" fontId="87" fillId="0" borderId="61" xfId="67" applyFont="1" applyBorder="1" applyAlignment="1">
      <alignment horizontal="center" vertical="center" wrapText="1"/>
    </xf>
    <xf numFmtId="0" fontId="0" fillId="0" borderId="61" xfId="67" applyFont="1" applyBorder="1" applyAlignment="1">
      <alignment horizontal="left" vertical="center" wrapText="1"/>
    </xf>
    <xf numFmtId="0" fontId="1" fillId="0" borderId="62" xfId="67" applyFont="1" applyBorder="1" applyAlignment="1">
      <alignment horizontal="center" vertical="center"/>
    </xf>
    <xf numFmtId="0" fontId="0" fillId="0" borderId="62" xfId="67" applyFont="1" applyBorder="1" applyAlignment="1">
      <alignment horizontal="left" vertical="center"/>
    </xf>
    <xf numFmtId="0" fontId="0" fillId="0" borderId="62" xfId="67" applyFont="1" applyBorder="1" applyAlignment="1">
      <alignment horizontal="center" vertical="center"/>
    </xf>
    <xf numFmtId="17" fontId="1" fillId="0" borderId="62" xfId="67" applyNumberFormat="1" applyFont="1" applyBorder="1" applyAlignment="1">
      <alignment horizontal="center" vertical="center"/>
    </xf>
    <xf numFmtId="223" fontId="1" fillId="0" borderId="62" xfId="1" applyNumberFormat="1" applyFont="1" applyFill="1" applyBorder="1" applyAlignment="1">
      <alignment horizontal="center" vertical="center"/>
    </xf>
    <xf numFmtId="2" fontId="1" fillId="0" borderId="62" xfId="1" applyNumberFormat="1" applyFont="1" applyFill="1" applyBorder="1" applyAlignment="1">
      <alignment horizontal="center" vertical="center"/>
    </xf>
    <xf numFmtId="0" fontId="87" fillId="0" borderId="62" xfId="67" applyFont="1" applyBorder="1" applyAlignment="1">
      <alignment horizontal="center" vertical="center" wrapText="1"/>
    </xf>
    <xf numFmtId="0" fontId="0" fillId="0" borderId="62" xfId="67" applyFont="1" applyBorder="1" applyAlignment="1">
      <alignment horizontal="left" vertical="center" wrapText="1"/>
    </xf>
    <xf numFmtId="0" fontId="1" fillId="0" borderId="62" xfId="67" applyFont="1" applyBorder="1" applyAlignment="1">
      <alignment horizontal="left" vertical="center"/>
    </xf>
    <xf numFmtId="7" fontId="0" fillId="0" borderId="62" xfId="67" applyNumberFormat="1" applyFont="1" applyBorder="1" applyAlignment="1">
      <alignment horizontal="left" vertical="center" wrapText="1"/>
    </xf>
    <xf numFmtId="17" fontId="0" fillId="0" borderId="62" xfId="67" applyNumberFormat="1" applyFont="1" applyBorder="1" applyAlignment="1">
      <alignment horizontal="center" vertical="center"/>
    </xf>
    <xf numFmtId="5" fontId="0" fillId="0" borderId="62" xfId="67" applyNumberFormat="1" applyFont="1" applyBorder="1" applyAlignment="1">
      <alignment horizontal="center" vertical="center"/>
    </xf>
    <xf numFmtId="0" fontId="1" fillId="0" borderId="63" xfId="67" applyFont="1" applyBorder="1" applyAlignment="1">
      <alignment horizontal="center" vertical="center"/>
    </xf>
    <xf numFmtId="0" fontId="0" fillId="0" borderId="63" xfId="67" applyFont="1" applyBorder="1" applyAlignment="1">
      <alignment horizontal="left" vertical="center"/>
    </xf>
    <xf numFmtId="0" fontId="0" fillId="0" borderId="63" xfId="67" applyFont="1" applyBorder="1" applyAlignment="1">
      <alignment horizontal="center" vertical="center"/>
    </xf>
    <xf numFmtId="17" fontId="0" fillId="0" borderId="63" xfId="67" applyNumberFormat="1" applyFont="1" applyBorder="1" applyAlignment="1">
      <alignment horizontal="center" vertical="center"/>
    </xf>
    <xf numFmtId="223" fontId="1" fillId="0" borderId="63" xfId="1" applyNumberFormat="1" applyFont="1" applyFill="1" applyBorder="1" applyAlignment="1">
      <alignment horizontal="center" vertical="center"/>
    </xf>
    <xf numFmtId="2" fontId="1" fillId="0" borderId="63" xfId="1" applyNumberFormat="1" applyFont="1" applyFill="1" applyBorder="1" applyAlignment="1">
      <alignment horizontal="center" vertical="center"/>
    </xf>
    <xf numFmtId="5" fontId="0" fillId="0" borderId="63" xfId="67" applyNumberFormat="1" applyFont="1" applyBorder="1" applyAlignment="1">
      <alignment horizontal="center" vertical="center"/>
    </xf>
    <xf numFmtId="7" fontId="0" fillId="0" borderId="63" xfId="67" applyNumberFormat="1" applyFont="1" applyBorder="1" applyAlignment="1">
      <alignment horizontal="left" vertical="center" wrapText="1"/>
    </xf>
    <xf numFmtId="0" fontId="67" fillId="0" borderId="14" xfId="67" applyFont="1" applyBorder="1" applyAlignment="1">
      <alignment horizontal="center"/>
    </xf>
    <xf numFmtId="223" fontId="67" fillId="0" borderId="14" xfId="1" applyNumberFormat="1" applyFont="1" applyFill="1" applyBorder="1" applyAlignment="1">
      <alignment horizontal="right"/>
    </xf>
    <xf numFmtId="0" fontId="89" fillId="0" borderId="14" xfId="67" applyFont="1" applyBorder="1" applyAlignment="1">
      <alignment horizontal="center" wrapText="1"/>
    </xf>
    <xf numFmtId="0" fontId="89" fillId="0" borderId="14" xfId="67" applyFont="1" applyBorder="1" applyAlignment="1">
      <alignment horizontal="left" wrapText="1"/>
    </xf>
    <xf numFmtId="172" fontId="10" fillId="0" borderId="0" xfId="0" applyNumberFormat="1" applyFont="1"/>
    <xf numFmtId="0" fontId="5" fillId="4" borderId="0" xfId="0" applyFont="1" applyFill="1" applyAlignment="1">
      <alignment horizontal="center"/>
    </xf>
    <xf numFmtId="0" fontId="5" fillId="4" borderId="6" xfId="0" applyFont="1" applyFill="1" applyBorder="1"/>
    <xf numFmtId="10" fontId="20" fillId="4" borderId="1" xfId="0" applyNumberFormat="1" applyFont="1" applyFill="1" applyBorder="1" applyAlignment="1">
      <alignment horizontal="left"/>
    </xf>
    <xf numFmtId="10" fontId="20" fillId="4" borderId="26" xfId="0" applyNumberFormat="1" applyFont="1" applyFill="1" applyBorder="1" applyAlignment="1">
      <alignment horizontal="left"/>
    </xf>
    <xf numFmtId="0" fontId="5" fillId="4" borderId="10" xfId="0" applyFont="1" applyFill="1" applyBorder="1"/>
    <xf numFmtId="10" fontId="5" fillId="4" borderId="6" xfId="0" applyNumberFormat="1" applyFont="1" applyFill="1" applyBorder="1"/>
    <xf numFmtId="0" fontId="5" fillId="4" borderId="0" xfId="0" applyFont="1" applyFill="1"/>
    <xf numFmtId="0" fontId="5" fillId="4" borderId="11" xfId="0" applyFont="1" applyFill="1" applyBorder="1"/>
    <xf numFmtId="10" fontId="5" fillId="4" borderId="34" xfId="0" applyNumberFormat="1" applyFont="1" applyFill="1" applyBorder="1"/>
    <xf numFmtId="10" fontId="5" fillId="4" borderId="0" xfId="0" applyNumberFormat="1" applyFont="1" applyFill="1"/>
    <xf numFmtId="0" fontId="0" fillId="4" borderId="0" xfId="0" applyFill="1"/>
    <xf numFmtId="172" fontId="2" fillId="0" borderId="0" xfId="3" applyNumberFormat="1" applyFont="1" applyAlignment="1">
      <alignment horizontal="right"/>
    </xf>
    <xf numFmtId="229" fontId="2" fillId="0" borderId="0" xfId="0" applyNumberFormat="1" applyFont="1"/>
    <xf numFmtId="227" fontId="7" fillId="0" borderId="6" xfId="3" applyNumberFormat="1" applyFont="1" applyBorder="1"/>
    <xf numFmtId="172" fontId="4" fillId="0" borderId="0" xfId="67" applyNumberFormat="1" applyFont="1"/>
    <xf numFmtId="172" fontId="4" fillId="0" borderId="0" xfId="67" applyNumberFormat="1" applyFont="1" applyAlignment="1">
      <alignment horizontal="right"/>
    </xf>
    <xf numFmtId="230" fontId="59" fillId="0" borderId="0" xfId="67" applyNumberFormat="1" applyFont="1"/>
    <xf numFmtId="9" fontId="2" fillId="0" borderId="0" xfId="3" applyNumberFormat="1" applyFont="1"/>
    <xf numFmtId="6" fontId="2" fillId="4" borderId="14" xfId="3" applyNumberFormat="1" applyFont="1" applyFill="1" applyBorder="1"/>
    <xf numFmtId="224" fontId="2" fillId="0" borderId="14" xfId="0" applyNumberFormat="1" applyFont="1" applyBorder="1"/>
    <xf numFmtId="184" fontId="5" fillId="4" borderId="0" xfId="3" applyNumberFormat="1" applyFont="1" applyFill="1"/>
    <xf numFmtId="0" fontId="5" fillId="4" borderId="14" xfId="3" applyFont="1" applyFill="1" applyBorder="1"/>
    <xf numFmtId="186" fontId="14" fillId="4" borderId="0" xfId="3" applyNumberFormat="1" applyFont="1" applyFill="1"/>
    <xf numFmtId="37" fontId="17" fillId="4" borderId="0" xfId="3" applyNumberFormat="1" applyFont="1" applyFill="1"/>
    <xf numFmtId="0" fontId="8" fillId="4" borderId="0" xfId="5" applyFont="1" applyFill="1"/>
    <xf numFmtId="0" fontId="8" fillId="4" borderId="7" xfId="5" applyFont="1" applyFill="1" applyBorder="1"/>
    <xf numFmtId="187" fontId="10" fillId="4" borderId="7" xfId="5" applyNumberFormat="1" applyFont="1" applyFill="1" applyBorder="1" applyAlignment="1">
      <alignment horizontal="right"/>
    </xf>
    <xf numFmtId="172" fontId="9" fillId="4" borderId="0" xfId="2" applyNumberFormat="1" applyFont="1" applyFill="1"/>
    <xf numFmtId="0" fontId="2" fillId="0" borderId="0" xfId="3" applyFont="1" applyAlignment="1">
      <alignment horizontal="right"/>
    </xf>
    <xf numFmtId="10" fontId="10" fillId="0" borderId="0" xfId="3" applyNumberFormat="1" applyFont="1" applyAlignment="1">
      <alignment horizontal="left"/>
    </xf>
    <xf numFmtId="231" fontId="10" fillId="0" borderId="0" xfId="0" applyNumberFormat="1" applyFont="1"/>
    <xf numFmtId="3" fontId="73" fillId="0" borderId="54" xfId="0" applyNumberFormat="1" applyFont="1" applyBorder="1" applyAlignment="1">
      <alignment horizontal="right" vertical="center" wrapText="1" readingOrder="1"/>
    </xf>
    <xf numFmtId="3" fontId="73" fillId="0" borderId="55" xfId="0" applyNumberFormat="1" applyFont="1" applyBorder="1" applyAlignment="1">
      <alignment horizontal="right" vertical="center" wrapText="1" readingOrder="1"/>
    </xf>
    <xf numFmtId="185" fontId="84" fillId="4" borderId="14" xfId="3" applyNumberFormat="1" applyFont="1" applyFill="1" applyBorder="1"/>
    <xf numFmtId="172" fontId="7" fillId="4" borderId="0" xfId="5" applyNumberFormat="1" applyFont="1" applyFill="1"/>
    <xf numFmtId="10" fontId="4" fillId="0" borderId="0" xfId="0" applyNumberFormat="1" applyFont="1"/>
    <xf numFmtId="0" fontId="5" fillId="0" borderId="0" xfId="0" applyFont="1" applyAlignment="1">
      <alignment horizontal="right"/>
    </xf>
    <xf numFmtId="0" fontId="54" fillId="0" borderId="0" xfId="0" applyFont="1" applyAlignment="1">
      <alignment horizontal="right"/>
    </xf>
    <xf numFmtId="0" fontId="103" fillId="0" borderId="0" xfId="0" applyFont="1" applyAlignment="1">
      <alignment vertical="center" wrapText="1" readingOrder="1"/>
    </xf>
    <xf numFmtId="0" fontId="73" fillId="0" borderId="0" xfId="0" applyFont="1" applyAlignment="1">
      <alignment vertical="center" wrapText="1" readingOrder="1"/>
    </xf>
    <xf numFmtId="0" fontId="104" fillId="0" borderId="0" xfId="0" applyFont="1" applyAlignment="1">
      <alignment horizontal="center"/>
    </xf>
    <xf numFmtId="0" fontId="26" fillId="0" borderId="0" xfId="68"/>
    <xf numFmtId="0" fontId="105" fillId="0" borderId="0" xfId="68" applyFont="1" applyAlignment="1">
      <alignment vertical="center"/>
    </xf>
    <xf numFmtId="0" fontId="106" fillId="0" borderId="0" xfId="68" applyFont="1" applyAlignment="1">
      <alignment vertical="center"/>
    </xf>
    <xf numFmtId="5" fontId="53" fillId="0" borderId="0" xfId="0" applyNumberFormat="1" applyFont="1"/>
    <xf numFmtId="0" fontId="107" fillId="0" borderId="0" xfId="0" applyFont="1" applyAlignment="1">
      <alignment horizontal="right"/>
    </xf>
    <xf numFmtId="37" fontId="53" fillId="4" borderId="14" xfId="0" applyNumberFormat="1" applyFont="1" applyFill="1" applyBorder="1"/>
    <xf numFmtId="10" fontId="26" fillId="4" borderId="0" xfId="6" applyNumberFormat="1" applyFill="1" applyAlignment="1">
      <alignment vertical="center"/>
    </xf>
    <xf numFmtId="10" fontId="26" fillId="0" borderId="0" xfId="6" applyNumberFormat="1" applyAlignment="1">
      <alignment vertical="center"/>
    </xf>
    <xf numFmtId="0" fontId="100" fillId="0" borderId="0" xfId="0" applyFont="1" applyAlignment="1">
      <alignment horizontal="left" indent="1"/>
    </xf>
    <xf numFmtId="173" fontId="109" fillId="0" borderId="0" xfId="0" applyNumberFormat="1" applyFont="1"/>
    <xf numFmtId="218" fontId="20" fillId="0" borderId="0" xfId="0" applyNumberFormat="1" applyFont="1" applyAlignment="1">
      <alignment horizontal="center"/>
    </xf>
    <xf numFmtId="5" fontId="83" fillId="0" borderId="0" xfId="0" applyNumberFormat="1" applyFont="1" applyAlignment="1">
      <alignment horizontal="center"/>
    </xf>
    <xf numFmtId="41" fontId="20" fillId="0" borderId="34" xfId="0" applyNumberFormat="1" applyFont="1" applyBorder="1"/>
    <xf numFmtId="37" fontId="85" fillId="0" borderId="0" xfId="0" applyNumberFormat="1" applyFont="1"/>
    <xf numFmtId="0" fontId="85" fillId="0" borderId="0" xfId="0" applyFont="1" applyAlignment="1">
      <alignment horizontal="left" indent="1"/>
    </xf>
    <xf numFmtId="189" fontId="2" fillId="0" borderId="0" xfId="0" applyNumberFormat="1" applyFont="1"/>
    <xf numFmtId="0" fontId="85" fillId="0" borderId="0" xfId="0" applyFont="1"/>
    <xf numFmtId="189" fontId="85" fillId="0" borderId="0" xfId="0" applyNumberFormat="1" applyFont="1"/>
    <xf numFmtId="9" fontId="85" fillId="0" borderId="0" xfId="0" applyNumberFormat="1" applyFont="1"/>
    <xf numFmtId="37" fontId="85" fillId="0" borderId="11" xfId="0" applyNumberFormat="1" applyFont="1" applyBorder="1"/>
    <xf numFmtId="37" fontId="82" fillId="0" borderId="34" xfId="0" applyNumberFormat="1" applyFont="1" applyBorder="1"/>
    <xf numFmtId="185" fontId="5" fillId="0" borderId="26" xfId="0" applyNumberFormat="1" applyFont="1" applyBorder="1"/>
    <xf numFmtId="185" fontId="5" fillId="0" borderId="7" xfId="0" applyNumberFormat="1" applyFont="1" applyBorder="1"/>
    <xf numFmtId="6" fontId="15" fillId="0" borderId="0" xfId="0" applyNumberFormat="1" applyFont="1" applyAlignment="1">
      <alignment horizontal="center"/>
    </xf>
    <xf numFmtId="37" fontId="8" fillId="3" borderId="0" xfId="0" applyNumberFormat="1" applyFont="1" applyFill="1"/>
    <xf numFmtId="0" fontId="8" fillId="3" borderId="14" xfId="0" applyFont="1" applyFill="1" applyBorder="1" applyAlignment="1">
      <alignment horizontal="left"/>
    </xf>
    <xf numFmtId="37" fontId="53" fillId="0" borderId="35" xfId="0" applyNumberFormat="1" applyFont="1" applyBorder="1"/>
    <xf numFmtId="37" fontId="53" fillId="0" borderId="0" xfId="0" applyNumberFormat="1" applyFont="1"/>
    <xf numFmtId="232" fontId="2" fillId="0" borderId="14" xfId="67" applyNumberFormat="1" applyFont="1" applyBorder="1" applyAlignment="1">
      <alignment horizontal="right"/>
    </xf>
    <xf numFmtId="0" fontId="5" fillId="0" borderId="14" xfId="0" applyFont="1" applyBorder="1" applyAlignment="1">
      <alignment horizontal="centerContinuous"/>
    </xf>
    <xf numFmtId="179" fontId="15" fillId="0" borderId="25" xfId="0" applyNumberFormat="1" applyFont="1" applyBorder="1" applyAlignment="1">
      <alignment horizontal="center"/>
    </xf>
    <xf numFmtId="179" fontId="15" fillId="0" borderId="26" xfId="0" applyNumberFormat="1" applyFont="1" applyBorder="1" applyAlignment="1">
      <alignment horizontal="center"/>
    </xf>
    <xf numFmtId="179" fontId="15" fillId="0" borderId="0" xfId="0" applyNumberFormat="1" applyFont="1" applyAlignment="1">
      <alignment horizontal="center"/>
    </xf>
    <xf numFmtId="188" fontId="5" fillId="0" borderId="0" xfId="0" applyNumberFormat="1" applyFont="1"/>
    <xf numFmtId="164" fontId="2" fillId="0" borderId="0" xfId="0" applyNumberFormat="1" applyFont="1" applyAlignment="1">
      <alignment horizontal="right"/>
    </xf>
    <xf numFmtId="3" fontId="8" fillId="4" borderId="6" xfId="0" applyNumberFormat="1" applyFont="1" applyFill="1" applyBorder="1"/>
    <xf numFmtId="217" fontId="82" fillId="0" borderId="6" xfId="0" applyNumberFormat="1" applyFont="1" applyBorder="1"/>
    <xf numFmtId="5" fontId="2" fillId="3" borderId="34" xfId="0" applyNumberFormat="1" applyFont="1" applyFill="1" applyBorder="1"/>
    <xf numFmtId="5" fontId="2" fillId="3" borderId="0" xfId="0" applyNumberFormat="1" applyFont="1" applyFill="1"/>
    <xf numFmtId="165" fontId="15" fillId="0" borderId="0" xfId="5" applyNumberFormat="1" applyFont="1" applyAlignment="1">
      <alignment horizontal="left"/>
    </xf>
    <xf numFmtId="3" fontId="73" fillId="0" borderId="0" xfId="0" applyNumberFormat="1" applyFont="1" applyAlignment="1">
      <alignment horizontal="right" vertical="center" wrapText="1" readingOrder="1"/>
    </xf>
    <xf numFmtId="201" fontId="2" fillId="0" borderId="0" xfId="0" applyNumberFormat="1" applyFont="1"/>
    <xf numFmtId="0" fontId="108" fillId="0" borderId="0" xfId="0" applyFont="1" applyAlignment="1">
      <alignment horizontal="center"/>
    </xf>
    <xf numFmtId="0" fontId="111" fillId="0" borderId="0" xfId="0" applyFont="1" applyAlignment="1">
      <alignment horizontal="center"/>
    </xf>
    <xf numFmtId="171" fontId="9" fillId="0" borderId="0" xfId="0" applyNumberFormat="1" applyFont="1" applyAlignment="1">
      <alignment horizontal="left"/>
    </xf>
    <xf numFmtId="5" fontId="13" fillId="0" borderId="6" xfId="0" applyNumberFormat="1" applyFont="1" applyBorder="1"/>
    <xf numFmtId="37" fontId="58" fillId="0" borderId="0" xfId="0" applyNumberFormat="1" applyFont="1"/>
    <xf numFmtId="14" fontId="2" fillId="0" borderId="0" xfId="3" applyNumberFormat="1" applyFont="1"/>
    <xf numFmtId="164" fontId="112" fillId="0" borderId="6" xfId="3" applyNumberFormat="1" applyFont="1" applyBorder="1"/>
    <xf numFmtId="6" fontId="7" fillId="5" borderId="6" xfId="5" applyNumberFormat="1" applyFont="1" applyFill="1" applyBorder="1"/>
    <xf numFmtId="0" fontId="113" fillId="0" borderId="0" xfId="68" applyFont="1"/>
    <xf numFmtId="4" fontId="26" fillId="0" borderId="0" xfId="68" applyNumberFormat="1"/>
    <xf numFmtId="4" fontId="114" fillId="0" borderId="66" xfId="68" applyNumberFormat="1" applyFont="1" applyBorder="1" applyAlignment="1">
      <alignment horizontal="right" vertical="center"/>
    </xf>
    <xf numFmtId="0" fontId="114" fillId="0" borderId="0" xfId="68" applyFont="1" applyAlignment="1">
      <alignment horizontal="left" vertical="center"/>
    </xf>
    <xf numFmtId="0" fontId="114" fillId="0" borderId="0" xfId="68" applyFont="1" applyAlignment="1">
      <alignment horizontal="center" vertical="center"/>
    </xf>
    <xf numFmtId="4" fontId="114" fillId="0" borderId="67" xfId="68" applyNumberFormat="1" applyFont="1" applyBorder="1" applyAlignment="1">
      <alignment horizontal="right" vertical="center"/>
    </xf>
    <xf numFmtId="0" fontId="115" fillId="0" borderId="0" xfId="68" applyFont="1" applyAlignment="1">
      <alignment horizontal="center" vertical="center"/>
    </xf>
    <xf numFmtId="0" fontId="115" fillId="0" borderId="0" xfId="68" applyFont="1" applyAlignment="1">
      <alignment horizontal="left" vertical="center"/>
    </xf>
    <xf numFmtId="4" fontId="114" fillId="0" borderId="44" xfId="68" applyNumberFormat="1" applyFont="1" applyBorder="1" applyAlignment="1">
      <alignment horizontal="right" vertical="center"/>
    </xf>
    <xf numFmtId="4" fontId="115" fillId="0" borderId="44" xfId="68" applyNumberFormat="1" applyFont="1" applyBorder="1" applyAlignment="1">
      <alignment horizontal="right" vertical="center"/>
    </xf>
    <xf numFmtId="4" fontId="115" fillId="0" borderId="43" xfId="68" applyNumberFormat="1" applyFont="1" applyBorder="1" applyAlignment="1">
      <alignment horizontal="right" vertical="center"/>
    </xf>
    <xf numFmtId="4" fontId="115" fillId="0" borderId="64" xfId="68" applyNumberFormat="1" applyFont="1" applyBorder="1" applyAlignment="1">
      <alignment horizontal="right" vertical="center"/>
    </xf>
    <xf numFmtId="0" fontId="115" fillId="0" borderId="0" xfId="68" applyFont="1" applyAlignment="1">
      <alignment horizontal="right" vertical="center"/>
    </xf>
    <xf numFmtId="4" fontId="115" fillId="0" borderId="0" xfId="68" applyNumberFormat="1" applyFont="1" applyAlignment="1">
      <alignment horizontal="right" vertical="center"/>
    </xf>
    <xf numFmtId="0" fontId="114" fillId="0" borderId="0" xfId="68" applyFont="1" applyAlignment="1">
      <alignment horizontal="right" vertical="center"/>
    </xf>
    <xf numFmtId="4" fontId="114" fillId="0" borderId="43" xfId="68" applyNumberFormat="1" applyFont="1" applyBorder="1" applyAlignment="1">
      <alignment horizontal="right" vertical="center"/>
    </xf>
    <xf numFmtId="0" fontId="114" fillId="0" borderId="44" xfId="68" applyFont="1" applyBorder="1" applyAlignment="1">
      <alignment horizontal="right" vertical="center"/>
    </xf>
    <xf numFmtId="0" fontId="114" fillId="0" borderId="44" xfId="68" applyFont="1" applyBorder="1" applyAlignment="1">
      <alignment horizontal="left" vertical="center"/>
    </xf>
    <xf numFmtId="0" fontId="114" fillId="0" borderId="44" xfId="68" applyFont="1" applyBorder="1" applyAlignment="1">
      <alignment horizontal="center" vertical="center"/>
    </xf>
    <xf numFmtId="17" fontId="114" fillId="18" borderId="64" xfId="68" applyNumberFormat="1" applyFont="1" applyFill="1" applyBorder="1" applyAlignment="1">
      <alignment horizontal="center" vertical="center"/>
    </xf>
    <xf numFmtId="0" fontId="114" fillId="18" borderId="64" xfId="68" applyFont="1" applyFill="1" applyBorder="1" applyAlignment="1">
      <alignment horizontal="left" vertical="center"/>
    </xf>
    <xf numFmtId="0" fontId="114" fillId="18" borderId="64" xfId="68" applyFont="1" applyFill="1" applyBorder="1" applyAlignment="1">
      <alignment horizontal="center" vertical="center"/>
    </xf>
    <xf numFmtId="3" fontId="26" fillId="0" borderId="0" xfId="68" applyNumberFormat="1"/>
    <xf numFmtId="0" fontId="116" fillId="0" borderId="0" xfId="68" applyFont="1" applyAlignment="1">
      <alignment horizontal="right"/>
    </xf>
    <xf numFmtId="14" fontId="96" fillId="0" borderId="0" xfId="68" applyNumberFormat="1" applyFont="1"/>
    <xf numFmtId="0" fontId="96" fillId="0" borderId="0" xfId="68" applyFont="1"/>
    <xf numFmtId="37" fontId="117" fillId="0" borderId="0" xfId="0" applyNumberFormat="1" applyFont="1"/>
    <xf numFmtId="10" fontId="58" fillId="5" borderId="26" xfId="3" applyNumberFormat="1" applyFont="1" applyFill="1" applyBorder="1" applyAlignment="1">
      <alignment horizontal="left"/>
    </xf>
    <xf numFmtId="0" fontId="4" fillId="19" borderId="0" xfId="0" applyFont="1" applyFill="1" applyAlignment="1">
      <alignment horizontal="left" indent="1"/>
    </xf>
    <xf numFmtId="0" fontId="26" fillId="0" borderId="0" xfId="41">
      <alignment vertical="center"/>
    </xf>
    <xf numFmtId="0" fontId="114" fillId="18" borderId="68" xfId="41" applyFont="1" applyFill="1" applyBorder="1" applyAlignment="1">
      <alignment horizontal="left" vertical="center"/>
    </xf>
    <xf numFmtId="0" fontId="114" fillId="18" borderId="68" xfId="41" applyFont="1" applyFill="1" applyBorder="1" applyAlignment="1">
      <alignment horizontal="right" vertical="center"/>
    </xf>
    <xf numFmtId="0" fontId="118" fillId="18" borderId="68" xfId="41" applyFont="1" applyFill="1" applyBorder="1" applyAlignment="1">
      <alignment horizontal="right" vertical="center"/>
    </xf>
    <xf numFmtId="0" fontId="26" fillId="0" borderId="0" xfId="41" applyAlignment="1"/>
    <xf numFmtId="0" fontId="114" fillId="20" borderId="69" xfId="41" applyFont="1" applyFill="1" applyBorder="1" applyAlignment="1">
      <alignment horizontal="left" vertical="center"/>
    </xf>
    <xf numFmtId="0" fontId="115" fillId="20" borderId="69" xfId="41" applyFont="1" applyFill="1" applyBorder="1" applyAlignment="1">
      <alignment horizontal="left" vertical="center"/>
    </xf>
    <xf numFmtId="0" fontId="115" fillId="20" borderId="69" xfId="41" applyFont="1" applyFill="1" applyBorder="1" applyAlignment="1">
      <alignment horizontal="right" vertical="center"/>
    </xf>
    <xf numFmtId="0" fontId="119" fillId="20" borderId="69" xfId="41" applyFont="1" applyFill="1" applyBorder="1" applyAlignment="1">
      <alignment horizontal="right" vertical="center"/>
    </xf>
    <xf numFmtId="4" fontId="114" fillId="20" borderId="69" xfId="41" applyNumberFormat="1" applyFont="1" applyFill="1" applyBorder="1" applyAlignment="1">
      <alignment horizontal="right" vertical="center"/>
    </xf>
    <xf numFmtId="0" fontId="26" fillId="0" borderId="0" xfId="41" applyAlignment="1">
      <alignment vertical="top"/>
    </xf>
    <xf numFmtId="0" fontId="115" fillId="0" borderId="0" xfId="41" applyFont="1" applyAlignment="1">
      <alignment horizontal="left" vertical="center"/>
    </xf>
    <xf numFmtId="14" fontId="115" fillId="0" borderId="0" xfId="41" applyNumberFormat="1" applyFont="1" applyAlignment="1">
      <alignment horizontal="left" vertical="center"/>
    </xf>
    <xf numFmtId="233" fontId="115" fillId="0" borderId="0" xfId="41" applyNumberFormat="1" applyFont="1" applyAlignment="1">
      <alignment horizontal="left" vertical="center"/>
    </xf>
    <xf numFmtId="4" fontId="115" fillId="0" borderId="0" xfId="41" applyNumberFormat="1" applyFont="1" applyAlignment="1">
      <alignment horizontal="right" vertical="center"/>
    </xf>
    <xf numFmtId="4" fontId="119" fillId="0" borderId="0" xfId="41" applyNumberFormat="1" applyFont="1" applyAlignment="1">
      <alignment horizontal="right" vertical="center"/>
    </xf>
    <xf numFmtId="0" fontId="115" fillId="0" borderId="0" xfId="41" applyFont="1" applyAlignment="1">
      <alignment horizontal="left" vertical="center" wrapText="1"/>
    </xf>
    <xf numFmtId="0" fontId="115" fillId="3" borderId="0" xfId="41" applyFont="1" applyFill="1" applyAlignment="1">
      <alignment horizontal="left" vertical="center"/>
    </xf>
    <xf numFmtId="14" fontId="115" fillId="3" borderId="0" xfId="41" applyNumberFormat="1" applyFont="1" applyFill="1" applyAlignment="1">
      <alignment horizontal="left" vertical="center"/>
    </xf>
    <xf numFmtId="233" fontId="115" fillId="3" borderId="0" xfId="41" applyNumberFormat="1" applyFont="1" applyFill="1" applyAlignment="1">
      <alignment horizontal="left" vertical="center"/>
    </xf>
    <xf numFmtId="4" fontId="115" fillId="3" borderId="0" xfId="41" applyNumberFormat="1" applyFont="1" applyFill="1" applyAlignment="1">
      <alignment horizontal="right" vertical="center"/>
    </xf>
    <xf numFmtId="4" fontId="119" fillId="3" borderId="0" xfId="41" applyNumberFormat="1" applyFont="1" applyFill="1" applyAlignment="1">
      <alignment horizontal="right" vertical="center"/>
    </xf>
    <xf numFmtId="0" fontId="115" fillId="3" borderId="0" xfId="41" applyFont="1" applyFill="1" applyAlignment="1">
      <alignment horizontal="left" vertical="center" wrapText="1"/>
    </xf>
    <xf numFmtId="0" fontId="26" fillId="3" borderId="0" xfId="41" applyFill="1" applyAlignment="1">
      <alignment vertical="top"/>
    </xf>
    <xf numFmtId="0" fontId="115" fillId="20" borderId="0" xfId="41" applyFont="1" applyFill="1" applyAlignment="1">
      <alignment horizontal="left" vertical="center"/>
    </xf>
    <xf numFmtId="0" fontId="115" fillId="20" borderId="0" xfId="41" applyFont="1" applyFill="1" applyAlignment="1">
      <alignment horizontal="left" vertical="center" wrapText="1"/>
    </xf>
    <xf numFmtId="0" fontId="114" fillId="20" borderId="0" xfId="41" applyFont="1" applyFill="1" applyAlignment="1">
      <alignment horizontal="left" vertical="center"/>
    </xf>
    <xf numFmtId="39" fontId="114" fillId="20" borderId="0" xfId="41" applyNumberFormat="1" applyFont="1" applyFill="1" applyAlignment="1">
      <alignment horizontal="right" vertical="center"/>
    </xf>
    <xf numFmtId="4" fontId="114" fillId="20" borderId="0" xfId="41" applyNumberFormat="1" applyFont="1" applyFill="1" applyAlignment="1">
      <alignment horizontal="right" vertical="center"/>
    </xf>
    <xf numFmtId="0" fontId="114" fillId="20" borderId="0" xfId="41" applyFont="1" applyFill="1" applyAlignment="1">
      <alignment horizontal="right" vertical="center"/>
    </xf>
    <xf numFmtId="0" fontId="115" fillId="0" borderId="70" xfId="41" applyFont="1" applyBorder="1" applyAlignment="1">
      <alignment horizontal="right" vertical="center"/>
    </xf>
    <xf numFmtId="0" fontId="115" fillId="0" borderId="0" xfId="41" applyFont="1" applyAlignment="1">
      <alignment horizontal="right" vertical="center"/>
    </xf>
    <xf numFmtId="4" fontId="114" fillId="0" borderId="71" xfId="41" applyNumberFormat="1" applyFont="1" applyBorder="1" applyAlignment="1">
      <alignment horizontal="right" vertical="center"/>
    </xf>
    <xf numFmtId="0" fontId="115" fillId="0" borderId="0" xfId="41" applyFont="1" applyAlignment="1">
      <alignment horizontal="right" vertical="center" wrapText="1"/>
    </xf>
    <xf numFmtId="4" fontId="26" fillId="0" borderId="0" xfId="41" applyNumberFormat="1">
      <alignment vertical="center"/>
    </xf>
    <xf numFmtId="0" fontId="120" fillId="21" borderId="72" xfId="0" applyFont="1" applyFill="1" applyBorder="1" applyAlignment="1">
      <alignment horizontal="centerContinuous"/>
    </xf>
    <xf numFmtId="0" fontId="121" fillId="21" borderId="72" xfId="0" applyFont="1" applyFill="1" applyBorder="1" applyAlignment="1">
      <alignment horizontal="centerContinuous"/>
    </xf>
    <xf numFmtId="0" fontId="121" fillId="21" borderId="73" xfId="0" applyFont="1" applyFill="1" applyBorder="1" applyAlignment="1">
      <alignment horizontal="centerContinuous"/>
    </xf>
    <xf numFmtId="0" fontId="122" fillId="0" borderId="0" xfId="0" applyFont="1"/>
    <xf numFmtId="0" fontId="123" fillId="0" borderId="0" xfId="0" applyFont="1" applyAlignment="1">
      <alignment horizontal="center"/>
    </xf>
    <xf numFmtId="0" fontId="123" fillId="0" borderId="0" xfId="0" applyFont="1" applyAlignment="1">
      <alignment horizontal="right"/>
    </xf>
    <xf numFmtId="0" fontId="123" fillId="0" borderId="11" xfId="0" applyFont="1" applyBorder="1" applyAlignment="1">
      <alignment horizontal="right"/>
    </xf>
    <xf numFmtId="193" fontId="122" fillId="0" borderId="0" xfId="0" applyNumberFormat="1" applyFont="1" applyAlignment="1">
      <alignment horizontal="right"/>
    </xf>
    <xf numFmtId="193" fontId="122" fillId="0" borderId="11" xfId="0" applyNumberFormat="1" applyFont="1" applyBorder="1" applyAlignment="1">
      <alignment horizontal="right"/>
    </xf>
    <xf numFmtId="0" fontId="122" fillId="0" borderId="14" xfId="0" applyFont="1" applyBorder="1"/>
    <xf numFmtId="37" fontId="125" fillId="22" borderId="14" xfId="110" applyNumberFormat="1" applyFont="1" applyBorder="1" applyAlignment="1">
      <alignment horizontal="right"/>
    </xf>
    <xf numFmtId="37" fontId="124" fillId="23" borderId="14" xfId="111" applyNumberFormat="1" applyFont="1" applyBorder="1" applyAlignment="1">
      <alignment horizontal="right"/>
    </xf>
    <xf numFmtId="37" fontId="124" fillId="23" borderId="30" xfId="111" applyNumberFormat="1" applyFont="1" applyBorder="1" applyAlignment="1">
      <alignment horizontal="right"/>
    </xf>
    <xf numFmtId="0" fontId="126" fillId="0" borderId="0" xfId="0" applyFont="1"/>
    <xf numFmtId="37" fontId="124" fillId="22" borderId="0" xfId="110" applyNumberFormat="1" applyFont="1" applyBorder="1" applyAlignment="1"/>
    <xf numFmtId="37" fontId="124" fillId="23" borderId="0" xfId="111" applyNumberFormat="1" applyFont="1" applyBorder="1" applyAlignment="1">
      <alignment horizontal="right"/>
    </xf>
    <xf numFmtId="37" fontId="124" fillId="23" borderId="11" xfId="111" applyNumberFormat="1" applyFont="1" applyBorder="1" applyAlignment="1"/>
    <xf numFmtId="37" fontId="124" fillId="22" borderId="0" xfId="110" applyNumberFormat="1" applyFont="1" applyBorder="1" applyAlignment="1">
      <alignment horizontal="right"/>
    </xf>
    <xf numFmtId="37" fontId="124" fillId="23" borderId="11" xfId="111" applyNumberFormat="1" applyFont="1" applyBorder="1" applyAlignment="1">
      <alignment horizontal="right"/>
    </xf>
    <xf numFmtId="37" fontId="124" fillId="22" borderId="14" xfId="110" applyNumberFormat="1" applyFont="1" applyBorder="1" applyAlignment="1">
      <alignment horizontal="right"/>
    </xf>
    <xf numFmtId="5" fontId="126" fillId="0" borderId="0" xfId="0" applyNumberFormat="1" applyFont="1"/>
    <xf numFmtId="5" fontId="122" fillId="0" borderId="0" xfId="0" applyNumberFormat="1" applyFont="1" applyAlignment="1">
      <alignment horizontal="right"/>
    </xf>
    <xf numFmtId="5" fontId="122" fillId="0" borderId="11" xfId="0" applyNumberFormat="1" applyFont="1" applyBorder="1" applyAlignment="1">
      <alignment horizontal="right"/>
    </xf>
    <xf numFmtId="5" fontId="26" fillId="0" borderId="0" xfId="41" applyNumberFormat="1">
      <alignment vertical="center"/>
    </xf>
    <xf numFmtId="0" fontId="120" fillId="21" borderId="6" xfId="0" applyFont="1" applyFill="1" applyBorder="1" applyAlignment="1">
      <alignment horizontal="centerContinuous"/>
    </xf>
    <xf numFmtId="0" fontId="121" fillId="21" borderId="6" xfId="0" applyFont="1" applyFill="1" applyBorder="1" applyAlignment="1">
      <alignment horizontal="centerContinuous"/>
    </xf>
    <xf numFmtId="0" fontId="121" fillId="21" borderId="10" xfId="0" applyFont="1" applyFill="1" applyBorder="1" applyAlignment="1">
      <alignment horizontal="centerContinuous"/>
    </xf>
    <xf numFmtId="193" fontId="122" fillId="0" borderId="0" xfId="0" applyNumberFormat="1" applyFont="1"/>
    <xf numFmtId="37" fontId="125" fillId="0" borderId="0" xfId="110" applyNumberFormat="1" applyFont="1" applyFill="1" applyBorder="1" applyAlignment="1">
      <alignment horizontal="right"/>
    </xf>
    <xf numFmtId="193" fontId="124" fillId="23" borderId="0" xfId="111" applyNumberFormat="1" applyFont="1" applyBorder="1" applyAlignment="1">
      <alignment horizontal="right"/>
    </xf>
    <xf numFmtId="193" fontId="124" fillId="23" borderId="11" xfId="111" applyNumberFormat="1" applyFont="1" applyBorder="1" applyAlignment="1">
      <alignment horizontal="right"/>
    </xf>
    <xf numFmtId="5" fontId="122" fillId="0" borderId="0" xfId="0" applyNumberFormat="1" applyFont="1"/>
    <xf numFmtId="5" fontId="122" fillId="0" borderId="14" xfId="0" applyNumberFormat="1" applyFont="1" applyBorder="1"/>
    <xf numFmtId="0" fontId="26" fillId="0" borderId="0" xfId="41" applyAlignment="1">
      <alignment horizontal="center" vertical="center"/>
    </xf>
    <xf numFmtId="7" fontId="26" fillId="0" borderId="0" xfId="41" applyNumberFormat="1" applyAlignment="1"/>
    <xf numFmtId="0" fontId="126" fillId="0" borderId="0" xfId="41" applyFont="1" applyAlignment="1"/>
    <xf numFmtId="0" fontId="67" fillId="0" borderId="0" xfId="41" applyFont="1" applyAlignment="1">
      <alignment horizontal="center"/>
    </xf>
    <xf numFmtId="0" fontId="122" fillId="0" borderId="0" xfId="41" applyFont="1" applyAlignment="1"/>
    <xf numFmtId="7" fontId="26" fillId="3" borderId="0" xfId="41" applyNumberFormat="1" applyFill="1" applyAlignment="1"/>
    <xf numFmtId="7" fontId="26" fillId="0" borderId="0" xfId="41" applyNumberFormat="1">
      <alignment vertical="center"/>
    </xf>
    <xf numFmtId="0" fontId="67" fillId="0" borderId="6" xfId="41" applyFont="1" applyBorder="1" applyAlignment="1"/>
    <xf numFmtId="7" fontId="67" fillId="0" borderId="6" xfId="41" applyNumberFormat="1" applyFont="1" applyBorder="1" applyAlignment="1"/>
    <xf numFmtId="196" fontId="26" fillId="0" borderId="0" xfId="41" applyNumberFormat="1" applyAlignment="1"/>
    <xf numFmtId="7" fontId="122" fillId="0" borderId="0" xfId="41" applyNumberFormat="1" applyFont="1" applyAlignment="1"/>
    <xf numFmtId="0" fontId="67" fillId="4" borderId="14" xfId="112" applyFont="1" applyFill="1" applyBorder="1" applyAlignment="1">
      <alignment horizontal="center"/>
    </xf>
    <xf numFmtId="43" fontId="67" fillId="4" borderId="14" xfId="113" applyFont="1" applyFill="1" applyBorder="1" applyAlignment="1">
      <alignment horizontal="center"/>
    </xf>
    <xf numFmtId="0" fontId="1" fillId="4" borderId="0" xfId="112" applyFill="1" applyAlignment="1">
      <alignment horizontal="right"/>
    </xf>
    <xf numFmtId="14" fontId="1" fillId="4" borderId="0" xfId="112" applyNumberFormat="1" applyFill="1" applyAlignment="1">
      <alignment horizontal="right"/>
    </xf>
    <xf numFmtId="43" fontId="1" fillId="4" borderId="0" xfId="113" applyFont="1" applyFill="1" applyAlignment="1">
      <alignment horizontal="center"/>
    </xf>
    <xf numFmtId="43" fontId="1" fillId="4" borderId="0" xfId="113" applyFill="1"/>
    <xf numFmtId="0" fontId="1" fillId="4" borderId="0" xfId="112" applyFill="1" applyAlignment="1">
      <alignment horizontal="left"/>
    </xf>
    <xf numFmtId="0" fontId="1" fillId="4" borderId="0" xfId="112" applyFill="1" applyAlignment="1">
      <alignment horizontal="center"/>
    </xf>
    <xf numFmtId="43" fontId="1" fillId="4" borderId="0" xfId="113" applyFont="1" applyFill="1"/>
    <xf numFmtId="0" fontId="1" fillId="4" borderId="0" xfId="112" applyFill="1"/>
    <xf numFmtId="43" fontId="1" fillId="4" borderId="0" xfId="112" applyNumberFormat="1" applyFill="1"/>
    <xf numFmtId="0" fontId="1" fillId="4" borderId="14" xfId="112" applyFill="1" applyBorder="1" applyAlignment="1">
      <alignment horizontal="right"/>
    </xf>
    <xf numFmtId="14" fontId="1" fillId="4" borderId="14" xfId="112" applyNumberFormat="1" applyFill="1" applyBorder="1" applyAlignment="1">
      <alignment horizontal="right"/>
    </xf>
    <xf numFmtId="43" fontId="1" fillId="4" borderId="14" xfId="112" applyNumberFormat="1" applyFill="1" applyBorder="1"/>
    <xf numFmtId="43" fontId="1" fillId="4" borderId="14" xfId="113" applyFont="1" applyFill="1" applyBorder="1" applyAlignment="1">
      <alignment horizontal="center"/>
    </xf>
    <xf numFmtId="43" fontId="1" fillId="4" borderId="14" xfId="113" applyFont="1" applyFill="1" applyBorder="1"/>
    <xf numFmtId="0" fontId="1" fillId="4" borderId="14" xfId="112" applyFill="1" applyBorder="1"/>
    <xf numFmtId="0" fontId="96" fillId="0" borderId="0" xfId="68" applyFont="1" applyAlignment="1">
      <alignment horizontal="right"/>
    </xf>
    <xf numFmtId="43" fontId="96" fillId="0" borderId="0" xfId="68" applyNumberFormat="1" applyFont="1"/>
    <xf numFmtId="37" fontId="58" fillId="0" borderId="34" xfId="0" applyNumberFormat="1" applyFont="1" applyBorder="1"/>
    <xf numFmtId="0" fontId="8" fillId="0" borderId="0" xfId="0" quotePrefix="1" applyFont="1"/>
    <xf numFmtId="9" fontId="5" fillId="0" borderId="16" xfId="2" applyFont="1" applyBorder="1"/>
    <xf numFmtId="37" fontId="58" fillId="4" borderId="0" xfId="0" applyNumberFormat="1" applyFont="1" applyFill="1"/>
    <xf numFmtId="0" fontId="96" fillId="0" borderId="6" xfId="68" applyFont="1" applyBorder="1" applyAlignment="1">
      <alignment horizontal="right"/>
    </xf>
    <xf numFmtId="37" fontId="53" fillId="4" borderId="0" xfId="0" applyNumberFormat="1" applyFont="1" applyFill="1"/>
    <xf numFmtId="37" fontId="54" fillId="4" borderId="0" xfId="3" applyNumberFormat="1" applyFont="1" applyFill="1"/>
    <xf numFmtId="37" fontId="8" fillId="5" borderId="14" xfId="0" applyNumberFormat="1" applyFont="1" applyFill="1" applyBorder="1"/>
    <xf numFmtId="0" fontId="58" fillId="0" borderId="0" xfId="0" applyFont="1"/>
    <xf numFmtId="6" fontId="18" fillId="0" borderId="0" xfId="3" applyNumberFormat="1" applyFont="1"/>
    <xf numFmtId="0" fontId="127" fillId="0" borderId="0" xfId="0" applyFont="1"/>
    <xf numFmtId="219" fontId="9" fillId="0" borderId="2" xfId="67" applyNumberFormat="1" applyFont="1" applyBorder="1"/>
    <xf numFmtId="212" fontId="9" fillId="0" borderId="2" xfId="67" applyNumberFormat="1" applyFont="1" applyBorder="1"/>
    <xf numFmtId="211" fontId="9" fillId="0" borderId="2" xfId="67" applyNumberFormat="1" applyFont="1" applyBorder="1"/>
    <xf numFmtId="219" fontId="63" fillId="0" borderId="0" xfId="67" applyNumberFormat="1" applyFont="1"/>
    <xf numFmtId="211" fontId="63" fillId="0" borderId="0" xfId="67" applyNumberFormat="1" applyFont="1" applyAlignment="1">
      <alignment horizontal="right"/>
    </xf>
    <xf numFmtId="219" fontId="9" fillId="0" borderId="0" xfId="67" applyNumberFormat="1" applyFont="1"/>
    <xf numFmtId="212" fontId="9" fillId="0" borderId="0" xfId="67" applyNumberFormat="1" applyFont="1"/>
    <xf numFmtId="211" fontId="9" fillId="0" borderId="0" xfId="67" applyNumberFormat="1" applyFont="1"/>
    <xf numFmtId="0" fontId="128" fillId="0" borderId="0" xfId="67" applyFont="1" applyAlignment="1">
      <alignment horizontal="right"/>
    </xf>
    <xf numFmtId="0" fontId="131" fillId="0" borderId="0" xfId="67" applyFont="1" applyAlignment="1">
      <alignment horizontal="right"/>
    </xf>
    <xf numFmtId="6" fontId="1" fillId="0" borderId="0" xfId="67" applyNumberFormat="1" applyFont="1"/>
    <xf numFmtId="164" fontId="1" fillId="0" borderId="0" xfId="0" applyNumberFormat="1" applyFont="1"/>
    <xf numFmtId="0" fontId="67" fillId="0" borderId="0" xfId="0" applyFont="1"/>
    <xf numFmtId="10" fontId="1" fillId="0" borderId="0" xfId="0" applyNumberFormat="1" applyFont="1"/>
    <xf numFmtId="0" fontId="1" fillId="8" borderId="0" xfId="67" applyFont="1" applyFill="1" applyAlignment="1">
      <alignment horizontal="centerContinuous"/>
    </xf>
    <xf numFmtId="0" fontId="132" fillId="8" borderId="0" xfId="67" applyFont="1" applyFill="1" applyAlignment="1">
      <alignment horizontal="centerContinuous"/>
    </xf>
    <xf numFmtId="219" fontId="129" fillId="0" borderId="0" xfId="67" applyNumberFormat="1" applyFont="1" applyAlignment="1">
      <alignment horizontal="right"/>
    </xf>
    <xf numFmtId="212" fontId="129" fillId="0" borderId="0" xfId="67" applyNumberFormat="1" applyFont="1" applyAlignment="1">
      <alignment horizontal="right"/>
    </xf>
    <xf numFmtId="211" fontId="129" fillId="0" borderId="0" xfId="67" applyNumberFormat="1" applyFont="1" applyAlignment="1">
      <alignment horizontal="right"/>
    </xf>
    <xf numFmtId="0" fontId="0" fillId="0" borderId="2" xfId="0" applyBorder="1"/>
    <xf numFmtId="221" fontId="87" fillId="4" borderId="0" xfId="3" applyNumberFormat="1" applyFont="1" applyFill="1" applyAlignment="1">
      <alignment horizontal="right"/>
    </xf>
    <xf numFmtId="0" fontId="1" fillId="0" borderId="0" xfId="0" applyFont="1" applyAlignment="1">
      <alignment horizontal="right"/>
    </xf>
    <xf numFmtId="234" fontId="87" fillId="4" borderId="0" xfId="3" applyNumberFormat="1" applyFont="1" applyFill="1" applyAlignment="1">
      <alignment horizontal="right"/>
    </xf>
    <xf numFmtId="6" fontId="1" fillId="0" borderId="0" xfId="0" applyNumberFormat="1" applyFont="1" applyAlignment="1">
      <alignment horizontal="right"/>
    </xf>
    <xf numFmtId="0" fontId="68" fillId="0" borderId="0" xfId="0" applyFont="1"/>
    <xf numFmtId="3" fontId="1" fillId="0" borderId="0" xfId="0" applyNumberFormat="1" applyFont="1" applyAlignment="1">
      <alignment horizontal="right"/>
    </xf>
    <xf numFmtId="37" fontId="1" fillId="0" borderId="0" xfId="0" applyNumberFormat="1" applyFont="1" applyAlignment="1">
      <alignment horizontal="right"/>
    </xf>
    <xf numFmtId="5" fontId="1" fillId="0" borderId="0" xfId="0" applyNumberFormat="1" applyFont="1"/>
    <xf numFmtId="235" fontId="1" fillId="0" borderId="0" xfId="0" applyNumberFormat="1" applyFont="1"/>
    <xf numFmtId="164" fontId="1" fillId="0" borderId="0" xfId="0" applyNumberFormat="1" applyFont="1" applyAlignment="1">
      <alignment horizontal="right"/>
    </xf>
    <xf numFmtId="0" fontId="1" fillId="0" borderId="6" xfId="0" applyFont="1" applyBorder="1"/>
    <xf numFmtId="236" fontId="1" fillId="0" borderId="6" xfId="0" applyNumberFormat="1" applyFont="1" applyBorder="1"/>
    <xf numFmtId="10" fontId="1" fillId="0" borderId="6" xfId="0" applyNumberFormat="1" applyFont="1" applyBorder="1" applyAlignment="1">
      <alignment horizontal="right"/>
    </xf>
    <xf numFmtId="10" fontId="1" fillId="0" borderId="6" xfId="0" applyNumberFormat="1" applyFont="1" applyBorder="1"/>
    <xf numFmtId="0" fontId="67" fillId="0" borderId="0" xfId="0" applyFont="1" applyAlignment="1">
      <alignment horizontal="right"/>
    </xf>
    <xf numFmtId="0" fontId="86" fillId="8" borderId="0" xfId="0" applyFont="1" applyFill="1"/>
    <xf numFmtId="0" fontId="87" fillId="4" borderId="75" xfId="0" applyFont="1" applyFill="1" applyBorder="1"/>
    <xf numFmtId="0" fontId="87" fillId="4" borderId="76" xfId="0" applyFont="1" applyFill="1" applyBorder="1" applyAlignment="1">
      <alignment horizontal="center"/>
    </xf>
    <xf numFmtId="0" fontId="133" fillId="4" borderId="76" xfId="114" applyFont="1" applyFill="1" applyBorder="1"/>
    <xf numFmtId="39" fontId="134" fillId="5" borderId="51" xfId="114" applyNumberFormat="1" applyFont="1" applyFill="1" applyBorder="1" applyAlignment="1">
      <alignment horizontal="right"/>
    </xf>
    <xf numFmtId="164" fontId="134" fillId="5" borderId="51" xfId="114" applyNumberFormat="1" applyFont="1" applyFill="1" applyBorder="1" applyAlignment="1">
      <alignment horizontal="center"/>
    </xf>
    <xf numFmtId="39" fontId="134" fillId="5" borderId="77" xfId="114" applyNumberFormat="1" applyFont="1" applyFill="1" applyBorder="1" applyAlignment="1">
      <alignment horizontal="right"/>
    </xf>
    <xf numFmtId="235" fontId="1" fillId="0" borderId="77" xfId="0" applyNumberFormat="1" applyFont="1" applyBorder="1"/>
    <xf numFmtId="164" fontId="134" fillId="5" borderId="77" xfId="114" applyNumberFormat="1" applyFont="1" applyFill="1" applyBorder="1" applyAlignment="1">
      <alignment horizontal="center"/>
    </xf>
    <xf numFmtId="164" fontId="134" fillId="5" borderId="78" xfId="114" applyNumberFormat="1" applyFont="1" applyFill="1" applyBorder="1" applyAlignment="1">
      <alignment horizontal="center"/>
    </xf>
    <xf numFmtId="164" fontId="1" fillId="0" borderId="77" xfId="0" applyNumberFormat="1" applyFont="1" applyBorder="1" applyAlignment="1">
      <alignment horizontal="center"/>
    </xf>
    <xf numFmtId="0" fontId="134" fillId="5" borderId="77" xfId="114" applyFont="1" applyFill="1" applyBorder="1" applyAlignment="1">
      <alignment horizontal="left"/>
    </xf>
    <xf numFmtId="0" fontId="134" fillId="5" borderId="77" xfId="114" applyFont="1" applyFill="1" applyBorder="1" applyAlignment="1">
      <alignment horizontal="center"/>
    </xf>
    <xf numFmtId="0" fontId="134" fillId="5" borderId="77" xfId="114" quotePrefix="1" applyFont="1" applyFill="1" applyBorder="1" applyAlignment="1">
      <alignment horizontal="center"/>
    </xf>
    <xf numFmtId="235" fontId="0" fillId="0" borderId="77" xfId="0" applyNumberFormat="1" applyBorder="1"/>
    <xf numFmtId="164" fontId="0" fillId="0" borderId="77" xfId="0" applyNumberFormat="1" applyBorder="1" applyAlignment="1">
      <alignment horizontal="center"/>
    </xf>
    <xf numFmtId="0" fontId="133" fillId="5" borderId="81" xfId="114" applyFont="1" applyFill="1" applyBorder="1" applyAlignment="1">
      <alignment horizontal="center"/>
    </xf>
    <xf numFmtId="0" fontId="133" fillId="5" borderId="80" xfId="114" applyFont="1" applyFill="1" applyBorder="1" applyAlignment="1">
      <alignment horizontal="center"/>
    </xf>
    <xf numFmtId="0" fontId="133" fillId="5" borderId="81" xfId="114" applyFont="1" applyFill="1" applyBorder="1" applyAlignment="1">
      <alignment horizontal="left"/>
    </xf>
    <xf numFmtId="0" fontId="67" fillId="0" borderId="51" xfId="0" applyFont="1" applyBorder="1" applyAlignment="1">
      <alignment vertical="justify"/>
    </xf>
    <xf numFmtId="0" fontId="67" fillId="0" borderId="81" xfId="0" applyFont="1" applyBorder="1" applyAlignment="1">
      <alignment horizontal="centerContinuous"/>
    </xf>
    <xf numFmtId="0" fontId="67" fillId="0" borderId="80" xfId="0" applyFont="1" applyBorder="1" applyAlignment="1">
      <alignment horizontal="centerContinuous"/>
    </xf>
    <xf numFmtId="0" fontId="101" fillId="8" borderId="0" xfId="0" applyFont="1" applyFill="1"/>
    <xf numFmtId="0" fontId="115" fillId="0" borderId="0" xfId="68" applyFont="1" applyAlignment="1">
      <alignment horizontal="left" vertical="center" wrapText="1"/>
    </xf>
    <xf numFmtId="0" fontId="115" fillId="0" borderId="0" xfId="68" applyFont="1" applyAlignment="1">
      <alignment horizontal="right" vertical="center" wrapText="1"/>
    </xf>
    <xf numFmtId="4" fontId="114" fillId="0" borderId="71" xfId="68" applyNumberFormat="1" applyFont="1" applyBorder="1" applyAlignment="1">
      <alignment horizontal="right" vertical="center"/>
    </xf>
    <xf numFmtId="0" fontId="115" fillId="0" borderId="70" xfId="68" applyFont="1" applyBorder="1" applyAlignment="1">
      <alignment horizontal="right" vertical="center"/>
    </xf>
    <xf numFmtId="0" fontId="26" fillId="0" borderId="0" xfId="68" applyAlignment="1">
      <alignment vertical="top"/>
    </xf>
    <xf numFmtId="0" fontId="135" fillId="0" borderId="0" xfId="68" applyFont="1" applyAlignment="1">
      <alignment vertical="top"/>
    </xf>
    <xf numFmtId="0" fontId="114" fillId="20" borderId="0" xfId="68" applyFont="1" applyFill="1" applyAlignment="1">
      <alignment horizontal="left" vertical="center"/>
    </xf>
    <xf numFmtId="0" fontId="114" fillId="24" borderId="0" xfId="68" applyFont="1" applyFill="1" applyAlignment="1">
      <alignment horizontal="right" vertical="center"/>
    </xf>
    <xf numFmtId="0" fontId="114" fillId="20" borderId="0" xfId="68" applyFont="1" applyFill="1" applyAlignment="1">
      <alignment horizontal="right" vertical="center"/>
    </xf>
    <xf numFmtId="0" fontId="115" fillId="20" borderId="0" xfId="68" applyFont="1" applyFill="1" applyAlignment="1">
      <alignment horizontal="left" vertical="center"/>
    </xf>
    <xf numFmtId="0" fontId="115" fillId="20" borderId="0" xfId="68" applyFont="1" applyFill="1" applyAlignment="1">
      <alignment horizontal="left" vertical="center" wrapText="1"/>
    </xf>
    <xf numFmtId="233" fontId="115" fillId="0" borderId="0" xfId="68" applyNumberFormat="1" applyFont="1" applyAlignment="1">
      <alignment horizontal="left" vertical="center"/>
    </xf>
    <xf numFmtId="14" fontId="115" fillId="0" borderId="0" xfId="68" applyNumberFormat="1" applyFont="1" applyAlignment="1">
      <alignment horizontal="left" vertical="center"/>
    </xf>
    <xf numFmtId="4" fontId="114" fillId="20" borderId="0" xfId="68" applyNumberFormat="1" applyFont="1" applyFill="1" applyAlignment="1">
      <alignment horizontal="right" vertical="center"/>
    </xf>
    <xf numFmtId="0" fontId="115" fillId="20" borderId="0" xfId="68" applyFont="1" applyFill="1" applyAlignment="1">
      <alignment horizontal="right" vertical="center"/>
    </xf>
    <xf numFmtId="0" fontId="114" fillId="20" borderId="44" xfId="68" applyFont="1" applyFill="1" applyBorder="1" applyAlignment="1">
      <alignment horizontal="left" vertical="center"/>
    </xf>
    <xf numFmtId="4" fontId="114" fillId="20" borderId="44" xfId="68" applyNumberFormat="1" applyFont="1" applyFill="1" applyBorder="1" applyAlignment="1">
      <alignment horizontal="right" vertical="center"/>
    </xf>
    <xf numFmtId="0" fontId="115" fillId="20" borderId="44" xfId="68" applyFont="1" applyFill="1" applyBorder="1" applyAlignment="1">
      <alignment horizontal="right" vertical="center"/>
    </xf>
    <xf numFmtId="0" fontId="115" fillId="20" borderId="44" xfId="68" applyFont="1" applyFill="1" applyBorder="1" applyAlignment="1">
      <alignment horizontal="left" vertical="center"/>
    </xf>
    <xf numFmtId="0" fontId="114" fillId="18" borderId="64" xfId="68" applyFont="1" applyFill="1" applyBorder="1" applyAlignment="1">
      <alignment horizontal="right" vertical="center"/>
    </xf>
    <xf numFmtId="37" fontId="58" fillId="0" borderId="35" xfId="0" applyNumberFormat="1" applyFont="1" applyBorder="1"/>
    <xf numFmtId="0" fontId="5" fillId="0" borderId="72" xfId="0" applyFont="1" applyBorder="1"/>
    <xf numFmtId="225" fontId="5" fillId="0" borderId="72" xfId="0" applyNumberFormat="1" applyFont="1" applyBorder="1"/>
    <xf numFmtId="0" fontId="58" fillId="0" borderId="0" xfId="0" applyFont="1" applyAlignment="1">
      <alignment horizontal="right"/>
    </xf>
    <xf numFmtId="0" fontId="117" fillId="0" borderId="0" xfId="0" applyFont="1" applyAlignment="1">
      <alignment horizontal="right"/>
    </xf>
    <xf numFmtId="10" fontId="58" fillId="0" borderId="0" xfId="0" applyNumberFormat="1" applyFont="1" applyAlignment="1">
      <alignment horizontal="right"/>
    </xf>
    <xf numFmtId="0" fontId="136" fillId="0" borderId="0" xfId="68" applyFont="1" applyAlignment="1">
      <alignment horizontal="center"/>
    </xf>
    <xf numFmtId="0" fontId="137" fillId="0" borderId="0" xfId="68" applyFont="1" applyAlignment="1">
      <alignment horizontal="center"/>
    </xf>
    <xf numFmtId="0" fontId="137" fillId="0" borderId="0" xfId="68" applyFont="1" applyAlignment="1">
      <alignment horizontal="center" vertical="top"/>
    </xf>
    <xf numFmtId="0" fontId="138" fillId="0" borderId="0" xfId="68" applyFont="1" applyAlignment="1">
      <alignment horizontal="center" vertical="top"/>
    </xf>
    <xf numFmtId="223" fontId="2" fillId="0" borderId="0" xfId="3" applyNumberFormat="1" applyFont="1"/>
    <xf numFmtId="42" fontId="2" fillId="0" borderId="0" xfId="3" applyNumberFormat="1" applyFont="1"/>
    <xf numFmtId="213" fontId="2" fillId="0" borderId="0" xfId="3" applyNumberFormat="1" applyFont="1"/>
    <xf numFmtId="0" fontId="139" fillId="0" borderId="0" xfId="68" applyFont="1"/>
    <xf numFmtId="232" fontId="2" fillId="0" borderId="81" xfId="67" applyNumberFormat="1" applyFont="1" applyBorder="1" applyAlignment="1">
      <alignment horizontal="right"/>
    </xf>
    <xf numFmtId="220" fontId="2" fillId="0" borderId="81" xfId="67" applyNumberFormat="1" applyFont="1" applyBorder="1" applyAlignment="1">
      <alignment horizontal="center"/>
    </xf>
    <xf numFmtId="43" fontId="1" fillId="5" borderId="0" xfId="113" applyFont="1" applyFill="1" applyAlignment="1">
      <alignment horizontal="center"/>
    </xf>
    <xf numFmtId="218" fontId="54" fillId="0" borderId="0" xfId="0" applyNumberFormat="1" applyFont="1" applyAlignment="1">
      <alignment horizontal="right"/>
    </xf>
    <xf numFmtId="0" fontId="11" fillId="0" borderId="0" xfId="0" applyFont="1" applyAlignment="1">
      <alignment horizontal="left"/>
    </xf>
    <xf numFmtId="5" fontId="85" fillId="0" borderId="0" xfId="0" applyNumberFormat="1" applyFont="1" applyAlignment="1">
      <alignment horizontal="center"/>
    </xf>
    <xf numFmtId="5" fontId="8" fillId="0" borderId="6" xfId="0" applyNumberFormat="1" applyFont="1" applyBorder="1" applyAlignment="1">
      <alignment horizontal="center"/>
    </xf>
    <xf numFmtId="218" fontId="8" fillId="0" borderId="0" xfId="0" applyNumberFormat="1" applyFont="1" applyAlignment="1">
      <alignment horizontal="center"/>
    </xf>
    <xf numFmtId="0" fontId="134" fillId="5" borderId="0" xfId="114" applyFont="1" applyFill="1" applyAlignment="1">
      <alignment horizontal="center"/>
    </xf>
    <xf numFmtId="39" fontId="134" fillId="5" borderId="0" xfId="114" applyNumberFormat="1" applyFont="1" applyFill="1" applyAlignment="1">
      <alignment horizontal="right"/>
    </xf>
    <xf numFmtId="164" fontId="134" fillId="5" borderId="0" xfId="114" applyNumberFormat="1" applyFont="1" applyFill="1" applyAlignment="1">
      <alignment horizontal="center"/>
    </xf>
    <xf numFmtId="164" fontId="1" fillId="5" borderId="77" xfId="0" applyNumberFormat="1" applyFont="1" applyFill="1" applyBorder="1" applyAlignment="1">
      <alignment horizontal="center"/>
    </xf>
    <xf numFmtId="235" fontId="1" fillId="5" borderId="77" xfId="0" applyNumberFormat="1" applyFont="1" applyFill="1" applyBorder="1"/>
    <xf numFmtId="164" fontId="1" fillId="5" borderId="0" xfId="0" applyNumberFormat="1" applyFont="1" applyFill="1" applyAlignment="1">
      <alignment horizontal="center"/>
    </xf>
    <xf numFmtId="39" fontId="1" fillId="5" borderId="0" xfId="0" applyNumberFormat="1" applyFont="1" applyFill="1"/>
    <xf numFmtId="235" fontId="1" fillId="5" borderId="0" xfId="0" applyNumberFormat="1" applyFont="1" applyFill="1"/>
    <xf numFmtId="0" fontId="0" fillId="5" borderId="0" xfId="0" applyFill="1"/>
    <xf numFmtId="0" fontId="134" fillId="5" borderId="0" xfId="114" applyFont="1" applyFill="1" applyAlignment="1">
      <alignment horizontal="left"/>
    </xf>
    <xf numFmtId="6" fontId="92" fillId="0" borderId="0" xfId="0" applyNumberFormat="1" applyFont="1" applyAlignment="1">
      <alignment horizontal="right"/>
    </xf>
    <xf numFmtId="44" fontId="133" fillId="4" borderId="76" xfId="74" applyFont="1" applyFill="1" applyBorder="1" applyAlignment="1" applyProtection="1">
      <alignment horizontal="right"/>
    </xf>
    <xf numFmtId="44" fontId="89" fillId="4" borderId="76" xfId="74" applyFont="1" applyFill="1" applyBorder="1"/>
    <xf numFmtId="44" fontId="87" fillId="4" borderId="75" xfId="0" applyNumberFormat="1" applyFont="1" applyFill="1" applyBorder="1"/>
    <xf numFmtId="44" fontId="87" fillId="4" borderId="76" xfId="0" applyNumberFormat="1" applyFont="1" applyFill="1" applyBorder="1"/>
    <xf numFmtId="44" fontId="89" fillId="4" borderId="75" xfId="0" applyNumberFormat="1" applyFont="1" applyFill="1" applyBorder="1"/>
    <xf numFmtId="44" fontId="89" fillId="4" borderId="76" xfId="0" applyNumberFormat="1" applyFont="1" applyFill="1" applyBorder="1"/>
    <xf numFmtId="164" fontId="53" fillId="0" borderId="0" xfId="0" applyNumberFormat="1" applyFont="1" applyAlignment="1">
      <alignment horizontal="center"/>
    </xf>
    <xf numFmtId="4" fontId="8" fillId="0" borderId="0" xfId="0" applyNumberFormat="1" applyFont="1"/>
    <xf numFmtId="0" fontId="2" fillId="0" borderId="51" xfId="0" applyFont="1" applyBorder="1"/>
    <xf numFmtId="0" fontId="56" fillId="8" borderId="86" xfId="67" applyFont="1" applyFill="1" applyBorder="1" applyAlignment="1">
      <alignment horizontal="centerContinuous"/>
    </xf>
    <xf numFmtId="0" fontId="56" fillId="8" borderId="6" xfId="67" applyFont="1" applyFill="1" applyBorder="1" applyAlignment="1">
      <alignment horizontal="centerContinuous"/>
    </xf>
    <xf numFmtId="0" fontId="56" fillId="8" borderId="10" xfId="67" applyFont="1" applyFill="1" applyBorder="1" applyAlignment="1">
      <alignment horizontal="centerContinuous"/>
    </xf>
    <xf numFmtId="239" fontId="1" fillId="0" borderId="88" xfId="3" applyNumberFormat="1" applyBorder="1"/>
    <xf numFmtId="239" fontId="1" fillId="0" borderId="89" xfId="3" applyNumberFormat="1" applyBorder="1"/>
    <xf numFmtId="239" fontId="1" fillId="0" borderId="79" xfId="3" applyNumberFormat="1" applyBorder="1"/>
    <xf numFmtId="240" fontId="134" fillId="5" borderId="90" xfId="114" applyNumberFormat="1" applyFont="1" applyFill="1" applyBorder="1" applyAlignment="1">
      <alignment horizontal="right"/>
    </xf>
    <xf numFmtId="240" fontId="134" fillId="5" borderId="91" xfId="114" applyNumberFormat="1" applyFont="1" applyFill="1" applyBorder="1" applyAlignment="1">
      <alignment horizontal="right"/>
    </xf>
    <xf numFmtId="240" fontId="134" fillId="5" borderId="92" xfId="114" applyNumberFormat="1" applyFont="1" applyFill="1" applyBorder="1" applyAlignment="1">
      <alignment horizontal="right"/>
    </xf>
    <xf numFmtId="240" fontId="134" fillId="5" borderId="0" xfId="114" applyNumberFormat="1" applyFont="1" applyFill="1" applyAlignment="1">
      <alignment horizontal="right"/>
    </xf>
    <xf numFmtId="37" fontId="1" fillId="0" borderId="0" xfId="0" applyNumberFormat="1" applyFont="1"/>
    <xf numFmtId="213" fontId="134" fillId="5" borderId="0" xfId="114" applyNumberFormat="1" applyFont="1" applyFill="1" applyAlignment="1">
      <alignment horizontal="right"/>
    </xf>
    <xf numFmtId="223" fontId="0" fillId="0" borderId="0" xfId="1" applyNumberFormat="1" applyFont="1"/>
    <xf numFmtId="0" fontId="141" fillId="4" borderId="0" xfId="0" applyFont="1" applyFill="1"/>
    <xf numFmtId="0" fontId="0" fillId="4" borderId="0" xfId="0" applyFill="1" applyAlignment="1">
      <alignment horizontal="center"/>
    </xf>
    <xf numFmtId="0" fontId="67" fillId="4" borderId="0" xfId="0" applyFont="1" applyFill="1"/>
    <xf numFmtId="0" fontId="92" fillId="5" borderId="77" xfId="0" applyFont="1" applyFill="1" applyBorder="1"/>
    <xf numFmtId="0" fontId="92" fillId="0" borderId="77" xfId="0" applyFont="1" applyBorder="1"/>
    <xf numFmtId="0" fontId="89" fillId="4" borderId="0" xfId="115" applyFont="1" applyFill="1"/>
    <xf numFmtId="0" fontId="127" fillId="4" borderId="0" xfId="0" applyFont="1" applyFill="1"/>
    <xf numFmtId="0" fontId="87" fillId="4" borderId="0" xfId="68" applyFont="1" applyFill="1" applyAlignment="1">
      <alignment horizontal="center" vertical="center" wrapText="1"/>
    </xf>
    <xf numFmtId="0" fontId="87" fillId="4" borderId="0" xfId="68" applyFont="1" applyFill="1" applyAlignment="1">
      <alignment horizontal="left" vertical="center" wrapText="1"/>
    </xf>
    <xf numFmtId="3" fontId="87" fillId="4" borderId="0" xfId="68" applyNumberFormat="1" applyFont="1" applyFill="1" applyAlignment="1">
      <alignment horizontal="right" vertical="center" wrapText="1"/>
    </xf>
    <xf numFmtId="14" fontId="87" fillId="4" borderId="0" xfId="68" applyNumberFormat="1" applyFont="1" applyFill="1" applyAlignment="1">
      <alignment horizontal="right" vertical="center" wrapText="1"/>
    </xf>
    <xf numFmtId="223" fontId="87" fillId="4" borderId="0" xfId="1" applyNumberFormat="1" applyFont="1" applyFill="1" applyAlignment="1">
      <alignment horizontal="right" vertical="center" wrapText="1"/>
    </xf>
    <xf numFmtId="4" fontId="87" fillId="4" borderId="0" xfId="68" applyNumberFormat="1" applyFont="1" applyFill="1" applyAlignment="1">
      <alignment horizontal="right" vertical="center" wrapText="1"/>
    </xf>
    <xf numFmtId="223" fontId="87" fillId="4" borderId="0" xfId="1" applyNumberFormat="1" applyFont="1" applyFill="1" applyBorder="1" applyAlignment="1">
      <alignment horizontal="right" vertical="center" wrapText="1"/>
    </xf>
    <xf numFmtId="14" fontId="87" fillId="4" borderId="0" xfId="1" applyNumberFormat="1" applyFont="1" applyFill="1" applyBorder="1" applyAlignment="1">
      <alignment horizontal="right" vertical="center" wrapText="1"/>
    </xf>
    <xf numFmtId="43" fontId="87" fillId="4" borderId="0" xfId="1" applyFont="1" applyFill="1" applyBorder="1" applyAlignment="1">
      <alignment horizontal="right" vertical="center" wrapText="1"/>
    </xf>
    <xf numFmtId="0" fontId="89" fillId="4" borderId="6" xfId="68" applyFont="1" applyFill="1" applyBorder="1" applyAlignment="1">
      <alignment horizontal="left" vertical="center"/>
    </xf>
    <xf numFmtId="0" fontId="89" fillId="4" borderId="6" xfId="68" applyFont="1" applyFill="1" applyBorder="1" applyAlignment="1">
      <alignment horizontal="center" vertical="center"/>
    </xf>
    <xf numFmtId="3" fontId="89" fillId="4" borderId="6" xfId="68" applyNumberFormat="1" applyFont="1" applyFill="1" applyBorder="1" applyAlignment="1">
      <alignment horizontal="right" vertical="center"/>
    </xf>
    <xf numFmtId="0" fontId="145" fillId="4" borderId="6" xfId="68" quotePrefix="1" applyFont="1" applyFill="1" applyBorder="1" applyAlignment="1">
      <alignment horizontal="right" vertical="center"/>
    </xf>
    <xf numFmtId="0" fontId="89" fillId="4" borderId="6" xfId="68" applyFont="1" applyFill="1" applyBorder="1" applyAlignment="1">
      <alignment horizontal="right" vertical="center"/>
    </xf>
    <xf numFmtId="0" fontId="89" fillId="4" borderId="6" xfId="68" applyFont="1" applyFill="1" applyBorder="1" applyAlignment="1">
      <alignment horizontal="right"/>
    </xf>
    <xf numFmtId="225" fontId="89" fillId="4" borderId="6" xfId="74" applyNumberFormat="1" applyFont="1" applyFill="1" applyBorder="1" applyAlignment="1">
      <alignment horizontal="right" vertical="center"/>
    </xf>
    <xf numFmtId="44" fontId="89" fillId="4" borderId="6" xfId="74" applyFont="1" applyFill="1" applyBorder="1" applyAlignment="1">
      <alignment horizontal="right" vertical="center"/>
    </xf>
    <xf numFmtId="0" fontId="89" fillId="4" borderId="81" xfId="68" applyFont="1" applyFill="1" applyBorder="1" applyAlignment="1">
      <alignment horizontal="left" vertical="center" wrapText="1"/>
    </xf>
    <xf numFmtId="0" fontId="89" fillId="4" borderId="81" xfId="68" applyFont="1" applyFill="1" applyBorder="1" applyAlignment="1">
      <alignment horizontal="right" vertical="center" wrapText="1"/>
    </xf>
    <xf numFmtId="0" fontId="89" fillId="4" borderId="81" xfId="68" applyFont="1" applyFill="1" applyBorder="1" applyAlignment="1">
      <alignment horizontal="center" vertical="center" wrapText="1"/>
    </xf>
    <xf numFmtId="172" fontId="89" fillId="4" borderId="81" xfId="2" applyNumberFormat="1" applyFont="1" applyFill="1" applyBorder="1" applyAlignment="1">
      <alignment horizontal="right" vertical="center"/>
    </xf>
    <xf numFmtId="0" fontId="87" fillId="4" borderId="81" xfId="0" applyFont="1" applyFill="1" applyBorder="1" applyAlignment="1">
      <alignment horizontal="right"/>
    </xf>
    <xf numFmtId="44" fontId="89" fillId="4" borderId="81" xfId="74" applyFont="1" applyFill="1" applyBorder="1" applyAlignment="1">
      <alignment horizontal="right" vertical="center" wrapText="1"/>
    </xf>
    <xf numFmtId="4" fontId="89" fillId="4" borderId="81" xfId="68" applyNumberFormat="1" applyFont="1" applyFill="1" applyBorder="1" applyAlignment="1">
      <alignment horizontal="right" vertical="center" wrapText="1"/>
    </xf>
    <xf numFmtId="0" fontId="89" fillId="4" borderId="0" xfId="68" applyFont="1" applyFill="1" applyAlignment="1">
      <alignment horizontal="left" vertical="center"/>
    </xf>
    <xf numFmtId="0" fontId="89" fillId="4" borderId="0" xfId="68" applyFont="1" applyFill="1" applyAlignment="1">
      <alignment horizontal="right" vertical="center" wrapText="1"/>
    </xf>
    <xf numFmtId="0" fontId="89" fillId="4" borderId="0" xfId="68" applyFont="1" applyFill="1" applyAlignment="1">
      <alignment horizontal="center" vertical="center" wrapText="1"/>
    </xf>
    <xf numFmtId="172" fontId="89" fillId="4" borderId="0" xfId="2" applyNumberFormat="1" applyFont="1" applyFill="1" applyBorder="1" applyAlignment="1">
      <alignment horizontal="right" vertical="center" wrapText="1"/>
    </xf>
    <xf numFmtId="0" fontId="87" fillId="4" borderId="0" xfId="0" applyFont="1" applyFill="1" applyAlignment="1">
      <alignment horizontal="right"/>
    </xf>
    <xf numFmtId="44" fontId="89" fillId="4" borderId="0" xfId="74" applyFont="1" applyFill="1" applyBorder="1" applyAlignment="1">
      <alignment horizontal="right" vertical="center" wrapText="1"/>
    </xf>
    <xf numFmtId="4" fontId="89" fillId="4" borderId="0" xfId="68" applyNumberFormat="1" applyFont="1" applyFill="1" applyAlignment="1">
      <alignment horizontal="right" vertical="center" wrapText="1"/>
    </xf>
    <xf numFmtId="14" fontId="87" fillId="4" borderId="0" xfId="0" applyNumberFormat="1" applyFont="1" applyFill="1" applyAlignment="1">
      <alignment horizontal="right" vertical="center"/>
    </xf>
    <xf numFmtId="0" fontId="87" fillId="4" borderId="6" xfId="68" applyFont="1" applyFill="1" applyBorder="1" applyAlignment="1">
      <alignment horizontal="left" vertical="center" wrapText="1"/>
    </xf>
    <xf numFmtId="0" fontId="89" fillId="4" borderId="6" xfId="68" applyFont="1" applyFill="1" applyBorder="1" applyAlignment="1">
      <alignment horizontal="center" vertical="center" wrapText="1"/>
    </xf>
    <xf numFmtId="3" fontId="89" fillId="4" borderId="6" xfId="2" applyNumberFormat="1" applyFont="1" applyFill="1" applyBorder="1" applyAlignment="1">
      <alignment horizontal="right" vertical="center" wrapText="1"/>
    </xf>
    <xf numFmtId="0" fontId="87" fillId="4" borderId="6" xfId="0" applyFont="1" applyFill="1" applyBorder="1" applyAlignment="1">
      <alignment horizontal="right" vertical="center"/>
    </xf>
    <xf numFmtId="0" fontId="89" fillId="4" borderId="6" xfId="68" applyFont="1" applyFill="1" applyBorder="1" applyAlignment="1">
      <alignment horizontal="right" vertical="center" wrapText="1"/>
    </xf>
    <xf numFmtId="3" fontId="89" fillId="4" borderId="0" xfId="2" applyNumberFormat="1" applyFont="1" applyFill="1" applyBorder="1" applyAlignment="1">
      <alignment horizontal="right" vertical="center" wrapText="1"/>
    </xf>
    <xf numFmtId="0" fontId="87" fillId="4" borderId="0" xfId="0" applyFont="1" applyFill="1" applyAlignment="1">
      <alignment horizontal="right" vertical="center"/>
    </xf>
    <xf numFmtId="225" fontId="89" fillId="4" borderId="0" xfId="74" applyNumberFormat="1" applyFont="1" applyFill="1" applyBorder="1" applyAlignment="1">
      <alignment horizontal="right" vertical="center"/>
    </xf>
    <xf numFmtId="44" fontId="89" fillId="4" borderId="0" xfId="74" applyFont="1" applyFill="1" applyBorder="1" applyAlignment="1">
      <alignment horizontal="right" vertical="center"/>
    </xf>
    <xf numFmtId="0" fontId="89" fillId="4" borderId="76" xfId="68" applyFont="1" applyFill="1" applyBorder="1" applyAlignment="1">
      <alignment horizontal="left" vertical="center"/>
    </xf>
    <xf numFmtId="0" fontId="87" fillId="4" borderId="76" xfId="68" applyFont="1" applyFill="1" applyBorder="1" applyAlignment="1">
      <alignment horizontal="left" vertical="center" wrapText="1"/>
    </xf>
    <xf numFmtId="0" fontId="89" fillId="4" borderId="76" xfId="68" applyFont="1" applyFill="1" applyBorder="1" applyAlignment="1">
      <alignment horizontal="center" vertical="center" wrapText="1"/>
    </xf>
    <xf numFmtId="3" fontId="89" fillId="4" borderId="76" xfId="2" applyNumberFormat="1" applyFont="1" applyFill="1" applyBorder="1" applyAlignment="1">
      <alignment horizontal="right" vertical="center" wrapText="1"/>
    </xf>
    <xf numFmtId="0" fontId="144" fillId="4" borderId="76" xfId="0" quotePrefix="1" applyFont="1" applyFill="1" applyBorder="1" applyAlignment="1">
      <alignment horizontal="right" vertical="center"/>
    </xf>
    <xf numFmtId="0" fontId="89" fillId="4" borderId="76" xfId="68" applyFont="1" applyFill="1" applyBorder="1" applyAlignment="1">
      <alignment horizontal="right" vertical="center" wrapText="1"/>
    </xf>
    <xf numFmtId="225" fontId="89" fillId="4" borderId="76" xfId="74" applyNumberFormat="1" applyFont="1" applyFill="1" applyBorder="1" applyAlignment="1">
      <alignment horizontal="right" vertical="center"/>
    </xf>
    <xf numFmtId="44" fontId="89" fillId="4" borderId="76" xfId="74" applyFont="1" applyFill="1" applyBorder="1" applyAlignment="1">
      <alignment horizontal="right" vertical="center"/>
    </xf>
    <xf numFmtId="0" fontId="146" fillId="4" borderId="0" xfId="68" applyFont="1" applyFill="1" applyAlignment="1">
      <alignment horizontal="left" vertical="center" wrapText="1"/>
    </xf>
    <xf numFmtId="3" fontId="89" fillId="4" borderId="0" xfId="68" applyNumberFormat="1" applyFont="1" applyFill="1" applyAlignment="1">
      <alignment horizontal="right" vertical="center" wrapText="1"/>
    </xf>
    <xf numFmtId="0" fontId="89" fillId="4" borderId="0" xfId="68" applyFont="1" applyFill="1" applyAlignment="1">
      <alignment horizontal="right"/>
    </xf>
    <xf numFmtId="0" fontId="147" fillId="4" borderId="0" xfId="68" quotePrefix="1" applyFont="1" applyFill="1" applyAlignment="1">
      <alignment horizontal="left" vertical="center"/>
    </xf>
    <xf numFmtId="0" fontId="87" fillId="4" borderId="0" xfId="0" applyFont="1" applyFill="1"/>
    <xf numFmtId="4" fontId="87" fillId="4" borderId="0" xfId="0" applyNumberFormat="1" applyFont="1" applyFill="1"/>
    <xf numFmtId="10" fontId="0" fillId="0" borderId="0" xfId="0" applyNumberFormat="1"/>
    <xf numFmtId="37" fontId="85" fillId="0" borderId="0" xfId="3" quotePrefix="1" applyNumberFormat="1" applyFont="1" applyAlignment="1">
      <alignment horizontal="right"/>
    </xf>
    <xf numFmtId="0" fontId="86" fillId="8" borderId="0" xfId="68" applyFont="1" applyFill="1" applyAlignment="1">
      <alignment horizontal="center" vertical="center"/>
    </xf>
    <xf numFmtId="0" fontId="86" fillId="8" borderId="0" xfId="68" applyFont="1" applyFill="1" applyAlignment="1">
      <alignment horizontal="left" vertical="center"/>
    </xf>
    <xf numFmtId="0" fontId="86" fillId="8" borderId="0" xfId="68" applyFont="1" applyFill="1" applyAlignment="1">
      <alignment horizontal="right" vertical="center"/>
    </xf>
    <xf numFmtId="0" fontId="89" fillId="4" borderId="0" xfId="115" applyFont="1" applyFill="1" applyAlignment="1">
      <alignment horizontal="left"/>
    </xf>
    <xf numFmtId="0" fontId="148" fillId="4" borderId="0" xfId="0" applyFont="1" applyFill="1"/>
    <xf numFmtId="0" fontId="149" fillId="4" borderId="0" xfId="0" applyFont="1" applyFill="1"/>
    <xf numFmtId="0" fontId="67" fillId="4" borderId="0" xfId="68" applyFont="1" applyFill="1" applyAlignment="1">
      <alignment horizontal="left" vertical="center" wrapText="1"/>
    </xf>
    <xf numFmtId="0" fontId="86" fillId="4" borderId="0" xfId="68" applyFont="1" applyFill="1" applyAlignment="1">
      <alignment horizontal="center" vertical="center" wrapText="1"/>
    </xf>
    <xf numFmtId="0" fontId="86" fillId="4" borderId="0" xfId="68" applyFont="1" applyFill="1" applyAlignment="1">
      <alignment horizontal="center" vertical="center"/>
    </xf>
    <xf numFmtId="0" fontId="1" fillId="4" borderId="0" xfId="68" applyFont="1" applyFill="1" applyAlignment="1">
      <alignment horizontal="left" vertical="center" wrapText="1"/>
    </xf>
    <xf numFmtId="16" fontId="0" fillId="4" borderId="0" xfId="68" quotePrefix="1" applyNumberFormat="1" applyFont="1" applyFill="1" applyAlignment="1">
      <alignment horizontal="center" vertical="center" wrapText="1"/>
    </xf>
    <xf numFmtId="3" fontId="1" fillId="4" borderId="0" xfId="68" applyNumberFormat="1" applyFont="1" applyFill="1" applyAlignment="1">
      <alignment horizontal="center" vertical="center" wrapText="1"/>
    </xf>
    <xf numFmtId="8" fontId="1" fillId="4" borderId="0" xfId="68" applyNumberFormat="1" applyFont="1" applyFill="1" applyAlignment="1">
      <alignment horizontal="center" vertical="center" wrapText="1"/>
    </xf>
    <xf numFmtId="241" fontId="1" fillId="4" borderId="0" xfId="1" applyNumberFormat="1" applyFont="1" applyFill="1" applyBorder="1" applyAlignment="1">
      <alignment horizontal="center" vertical="center"/>
    </xf>
    <xf numFmtId="4" fontId="0" fillId="4" borderId="0" xfId="68" applyNumberFormat="1" applyFont="1" applyFill="1" applyAlignment="1">
      <alignment horizontal="center" vertical="center"/>
    </xf>
    <xf numFmtId="4" fontId="150" fillId="4" borderId="0" xfId="68" applyNumberFormat="1" applyFont="1" applyFill="1" applyAlignment="1">
      <alignment horizontal="right" vertical="center" wrapText="1"/>
    </xf>
    <xf numFmtId="8" fontId="0" fillId="4" borderId="0" xfId="0" applyNumberFormat="1" applyFill="1"/>
    <xf numFmtId="0" fontId="1" fillId="4" borderId="0" xfId="68" applyFont="1" applyFill="1" applyAlignment="1">
      <alignment horizontal="center" vertical="center" wrapText="1"/>
    </xf>
    <xf numFmtId="223" fontId="1" fillId="4" borderId="0" xfId="1" applyNumberFormat="1" applyFont="1" applyFill="1" applyAlignment="1">
      <alignment horizontal="center" vertical="center" wrapText="1"/>
    </xf>
    <xf numFmtId="43" fontId="1" fillId="4" borderId="0" xfId="1" applyFont="1" applyFill="1" applyAlignment="1">
      <alignment horizontal="center" vertical="center"/>
    </xf>
    <xf numFmtId="0" fontId="1" fillId="4" borderId="0" xfId="68" quotePrefix="1" applyFont="1" applyFill="1" applyAlignment="1">
      <alignment horizontal="center" vertical="center" wrapText="1"/>
    </xf>
    <xf numFmtId="4" fontId="1" fillId="4" borderId="0" xfId="68" applyNumberFormat="1" applyFont="1" applyFill="1" applyAlignment="1">
      <alignment horizontal="center" vertical="center"/>
    </xf>
    <xf numFmtId="3" fontId="1" fillId="4" borderId="0" xfId="1" applyNumberFormat="1" applyFont="1" applyFill="1" applyAlignment="1">
      <alignment horizontal="center" vertical="center" wrapText="1"/>
    </xf>
    <xf numFmtId="0" fontId="0" fillId="4" borderId="0" xfId="68" applyFont="1" applyFill="1" applyAlignment="1">
      <alignment horizontal="left" vertical="center" wrapText="1"/>
    </xf>
    <xf numFmtId="8" fontId="1" fillId="0" borderId="0" xfId="68" applyNumberFormat="1" applyFont="1" applyAlignment="1">
      <alignment horizontal="center" vertical="center" wrapText="1"/>
    </xf>
    <xf numFmtId="3" fontId="0" fillId="4" borderId="0" xfId="68" applyNumberFormat="1" applyFont="1" applyFill="1" applyAlignment="1">
      <alignment horizontal="center" vertical="center" wrapText="1"/>
    </xf>
    <xf numFmtId="0" fontId="0" fillId="19" borderId="0" xfId="0" applyFill="1"/>
    <xf numFmtId="223" fontId="0" fillId="4" borderId="0" xfId="1" applyNumberFormat="1" applyFont="1" applyFill="1" applyBorder="1" applyAlignment="1">
      <alignment horizontal="center" vertical="center" wrapText="1"/>
    </xf>
    <xf numFmtId="43" fontId="0" fillId="4" borderId="0" xfId="1" applyFont="1" applyFill="1" applyBorder="1" applyAlignment="1">
      <alignment horizontal="center" vertical="center"/>
    </xf>
    <xf numFmtId="8" fontId="0" fillId="4" borderId="0" xfId="68" applyNumberFormat="1" applyFont="1" applyFill="1" applyAlignment="1">
      <alignment horizontal="center" vertical="center" wrapText="1"/>
    </xf>
    <xf numFmtId="1" fontId="0" fillId="4" borderId="0" xfId="68" quotePrefix="1" applyNumberFormat="1" applyFont="1" applyFill="1" applyAlignment="1">
      <alignment horizontal="center" vertical="center" wrapText="1"/>
    </xf>
    <xf numFmtId="172" fontId="0" fillId="4" borderId="0" xfId="1" applyNumberFormat="1" applyFont="1" applyFill="1" applyBorder="1" applyAlignment="1">
      <alignment horizontal="center" vertical="center"/>
    </xf>
    <xf numFmtId="0" fontId="89" fillId="4" borderId="16" xfId="68" applyFont="1" applyFill="1" applyBorder="1" applyAlignment="1">
      <alignment horizontal="left" vertical="center"/>
    </xf>
    <xf numFmtId="0" fontId="89" fillId="4" borderId="16" xfId="68" applyFont="1" applyFill="1" applyBorder="1" applyAlignment="1">
      <alignment horizontal="center" vertical="center"/>
    </xf>
    <xf numFmtId="3" fontId="67" fillId="4" borderId="16" xfId="68" applyNumberFormat="1" applyFont="1" applyFill="1" applyBorder="1" applyAlignment="1">
      <alignment horizontal="center" vertical="center"/>
    </xf>
    <xf numFmtId="8" fontId="67" fillId="4" borderId="16" xfId="68" applyNumberFormat="1" applyFont="1" applyFill="1" applyBorder="1" applyAlignment="1">
      <alignment horizontal="center" vertical="center"/>
    </xf>
    <xf numFmtId="172" fontId="67" fillId="4" borderId="16" xfId="68" applyNumberFormat="1" applyFont="1" applyFill="1" applyBorder="1" applyAlignment="1">
      <alignment horizontal="center" vertical="center"/>
    </xf>
    <xf numFmtId="225" fontId="67" fillId="4" borderId="16" xfId="74" applyNumberFormat="1" applyFont="1" applyFill="1" applyBorder="1" applyAlignment="1">
      <alignment horizontal="center" vertical="center"/>
    </xf>
    <xf numFmtId="44" fontId="67" fillId="4" borderId="16" xfId="74" applyFont="1" applyFill="1" applyBorder="1" applyAlignment="1">
      <alignment horizontal="center" vertical="center"/>
    </xf>
    <xf numFmtId="4" fontId="0" fillId="4" borderId="0" xfId="0" applyNumberFormat="1" applyFill="1"/>
    <xf numFmtId="0" fontId="89" fillId="4" borderId="4" xfId="68" applyFont="1" applyFill="1" applyBorder="1" applyAlignment="1">
      <alignment horizontal="left" vertical="center" wrapText="1"/>
    </xf>
    <xf numFmtId="0" fontId="89" fillId="4" borderId="4" xfId="68" applyFont="1" applyFill="1" applyBorder="1" applyAlignment="1">
      <alignment horizontal="center" vertical="center" wrapText="1"/>
    </xf>
    <xf numFmtId="3" fontId="89" fillId="4" borderId="4" xfId="68" applyNumberFormat="1" applyFont="1" applyFill="1" applyBorder="1" applyAlignment="1">
      <alignment horizontal="center" vertical="center" wrapText="1"/>
    </xf>
    <xf numFmtId="0" fontId="142" fillId="4" borderId="4" xfId="68" applyFont="1" applyFill="1" applyBorder="1" applyAlignment="1">
      <alignment horizontal="right"/>
    </xf>
    <xf numFmtId="4" fontId="89" fillId="4" borderId="4" xfId="68" applyNumberFormat="1" applyFont="1" applyFill="1" applyBorder="1" applyAlignment="1">
      <alignment horizontal="center" vertical="center" wrapText="1"/>
    </xf>
    <xf numFmtId="4" fontId="89" fillId="4" borderId="4" xfId="68" applyNumberFormat="1" applyFont="1" applyFill="1" applyBorder="1" applyAlignment="1">
      <alignment horizontal="center" vertical="center"/>
    </xf>
    <xf numFmtId="3" fontId="0" fillId="4" borderId="0" xfId="68" quotePrefix="1" applyNumberFormat="1" applyFont="1" applyFill="1" applyAlignment="1">
      <alignment horizontal="center" vertical="center" wrapText="1"/>
    </xf>
    <xf numFmtId="0" fontId="0" fillId="4" borderId="0" xfId="0" applyFill="1" applyAlignment="1">
      <alignment horizontal="left"/>
    </xf>
    <xf numFmtId="8" fontId="1" fillId="4" borderId="0" xfId="68" applyNumberFormat="1" applyFont="1" applyFill="1" applyAlignment="1">
      <alignment horizontal="center" vertical="center"/>
    </xf>
    <xf numFmtId="0" fontId="0" fillId="4" borderId="0" xfId="0" applyFill="1" applyAlignment="1">
      <alignment wrapText="1"/>
    </xf>
    <xf numFmtId="0" fontId="151" fillId="4" borderId="0" xfId="0" applyFont="1" applyFill="1"/>
    <xf numFmtId="9" fontId="0" fillId="4" borderId="0" xfId="0" applyNumberFormat="1" applyFill="1"/>
    <xf numFmtId="0" fontId="85" fillId="4" borderId="0" xfId="68" quotePrefix="1" applyFont="1" applyFill="1" applyAlignment="1">
      <alignment horizontal="left" vertical="center"/>
    </xf>
    <xf numFmtId="3" fontId="89" fillId="4" borderId="0" xfId="68" applyNumberFormat="1" applyFont="1" applyFill="1" applyAlignment="1">
      <alignment horizontal="center" vertical="center" wrapText="1"/>
    </xf>
    <xf numFmtId="0" fontId="142" fillId="4" borderId="0" xfId="68" applyFont="1" applyFill="1" applyAlignment="1">
      <alignment horizontal="right"/>
    </xf>
    <xf numFmtId="4" fontId="89" fillId="4" borderId="0" xfId="68" applyNumberFormat="1" applyFont="1" applyFill="1" applyAlignment="1">
      <alignment horizontal="center" vertical="center" wrapText="1"/>
    </xf>
    <xf numFmtId="4" fontId="89" fillId="4" borderId="0" xfId="68" applyNumberFormat="1" applyFont="1" applyFill="1" applyAlignment="1">
      <alignment horizontal="center" vertical="center"/>
    </xf>
    <xf numFmtId="0" fontId="152" fillId="4" borderId="0" xfId="68" applyFont="1" applyFill="1" applyAlignment="1">
      <alignment horizontal="left" vertical="center"/>
    </xf>
    <xf numFmtId="172" fontId="1" fillId="4" borderId="0" xfId="1" applyNumberFormat="1" applyFont="1" applyFill="1" applyBorder="1" applyAlignment="1">
      <alignment horizontal="center" vertical="center"/>
    </xf>
    <xf numFmtId="3" fontId="87" fillId="4" borderId="0" xfId="68" applyNumberFormat="1" applyFont="1" applyFill="1" applyAlignment="1">
      <alignment horizontal="center" vertical="center" wrapText="1"/>
    </xf>
    <xf numFmtId="3" fontId="0" fillId="4" borderId="0" xfId="0" applyNumberFormat="1" applyFill="1" applyAlignment="1">
      <alignment horizontal="center"/>
    </xf>
    <xf numFmtId="172" fontId="1" fillId="4" borderId="0" xfId="1" applyNumberFormat="1" applyFont="1" applyFill="1" applyAlignment="1">
      <alignment horizontal="center" vertical="center"/>
    </xf>
    <xf numFmtId="172" fontId="0" fillId="4" borderId="0" xfId="2" applyNumberFormat="1" applyFont="1" applyFill="1" applyAlignment="1">
      <alignment horizontal="center"/>
    </xf>
    <xf numFmtId="0" fontId="86" fillId="8" borderId="0" xfId="68" applyFont="1" applyFill="1" applyAlignment="1">
      <alignment horizontal="left" vertical="center" wrapText="1"/>
    </xf>
    <xf numFmtId="0" fontId="86" fillId="8" borderId="0" xfId="68" applyFont="1" applyFill="1" applyAlignment="1">
      <alignment horizontal="center" vertical="center" wrapText="1"/>
    </xf>
    <xf numFmtId="0" fontId="5" fillId="0" borderId="7" xfId="3" applyFont="1" applyBorder="1" applyAlignment="1">
      <alignment vertical="center" wrapText="1"/>
    </xf>
    <xf numFmtId="0" fontId="5" fillId="0" borderId="7" xfId="3" applyFont="1" applyBorder="1" applyAlignment="1">
      <alignment horizontal="right" vertical="center" wrapText="1"/>
    </xf>
    <xf numFmtId="0" fontId="130" fillId="0" borderId="0" xfId="0" applyFont="1"/>
    <xf numFmtId="0" fontId="92" fillId="0" borderId="6" xfId="0" applyFont="1" applyBorder="1"/>
    <xf numFmtId="0" fontId="92" fillId="0" borderId="0" xfId="0" applyFont="1"/>
    <xf numFmtId="0" fontId="153" fillId="5" borderId="80" xfId="114" applyFont="1" applyFill="1" applyBorder="1" applyAlignment="1">
      <alignment horizontal="left" vertical="justify"/>
    </xf>
    <xf numFmtId="5" fontId="5" fillId="0" borderId="72" xfId="0" applyNumberFormat="1" applyFont="1" applyBorder="1"/>
    <xf numFmtId="5" fontId="5" fillId="4" borderId="72" xfId="0" applyNumberFormat="1" applyFont="1" applyFill="1" applyBorder="1"/>
    <xf numFmtId="44" fontId="58" fillId="0" borderId="0" xfId="0" applyNumberFormat="1" applyFont="1" applyAlignment="1">
      <alignment horizontal="right"/>
    </xf>
    <xf numFmtId="4" fontId="2" fillId="0" borderId="0" xfId="0" applyNumberFormat="1" applyFont="1"/>
    <xf numFmtId="0" fontId="105" fillId="0" borderId="0" xfId="0" applyFont="1" applyAlignment="1">
      <alignment vertical="center"/>
    </xf>
    <xf numFmtId="0" fontId="106" fillId="0" borderId="0" xfId="0" applyFont="1" applyAlignment="1">
      <alignment vertical="center"/>
    </xf>
    <xf numFmtId="0" fontId="114" fillId="18" borderId="64" xfId="0" applyFont="1" applyFill="1" applyBorder="1" applyAlignment="1">
      <alignment horizontal="center" vertical="center"/>
    </xf>
    <xf numFmtId="0" fontId="114" fillId="18" borderId="64" xfId="0" applyFont="1" applyFill="1" applyBorder="1" applyAlignment="1">
      <alignment horizontal="left" vertical="center"/>
    </xf>
    <xf numFmtId="0" fontId="114" fillId="0" borderId="44" xfId="0" applyFont="1" applyBorder="1" applyAlignment="1">
      <alignment horizontal="center" vertical="center"/>
    </xf>
    <xf numFmtId="0" fontId="114" fillId="0" borderId="44" xfId="0" applyFont="1" applyBorder="1" applyAlignment="1">
      <alignment horizontal="left" vertical="center"/>
    </xf>
    <xf numFmtId="0" fontId="114" fillId="0" borderId="44" xfId="0" applyFont="1" applyBorder="1" applyAlignment="1">
      <alignment horizontal="right" vertical="center"/>
    </xf>
    <xf numFmtId="0" fontId="115" fillId="0" borderId="0" xfId="0" applyFont="1" applyAlignment="1">
      <alignment horizontal="center" vertical="center"/>
    </xf>
    <xf numFmtId="0" fontId="115" fillId="0" borderId="0" xfId="0" applyFont="1" applyAlignment="1">
      <alignment horizontal="left" vertical="center"/>
    </xf>
    <xf numFmtId="0" fontId="114" fillId="0" borderId="0" xfId="0" applyFont="1" applyAlignment="1">
      <alignment horizontal="center" vertical="center"/>
    </xf>
    <xf numFmtId="0" fontId="114" fillId="0" borderId="0" xfId="0" applyFont="1" applyAlignment="1">
      <alignment horizontal="left" vertical="center"/>
    </xf>
    <xf numFmtId="0" fontId="114" fillId="0" borderId="0" xfId="0" applyFont="1" applyAlignment="1">
      <alignment horizontal="right" vertical="center"/>
    </xf>
    <xf numFmtId="0" fontId="115" fillId="0" borderId="0" xfId="0" applyFont="1" applyAlignment="1">
      <alignment horizontal="right" vertical="center"/>
    </xf>
    <xf numFmtId="4" fontId="115" fillId="0" borderId="0" xfId="0" applyNumberFormat="1" applyFont="1" applyAlignment="1">
      <alignment horizontal="right" vertical="center"/>
    </xf>
    <xf numFmtId="4" fontId="115" fillId="0" borderId="64" xfId="0" applyNumberFormat="1" applyFont="1" applyBorder="1" applyAlignment="1">
      <alignment horizontal="right" vertical="center"/>
    </xf>
    <xf numFmtId="4" fontId="115" fillId="0" borderId="44" xfId="0" applyNumberFormat="1" applyFont="1" applyBorder="1" applyAlignment="1">
      <alignment horizontal="right" vertical="center"/>
    </xf>
    <xf numFmtId="4" fontId="115" fillId="0" borderId="43" xfId="0" applyNumberFormat="1" applyFont="1" applyBorder="1" applyAlignment="1">
      <alignment horizontal="right" vertical="center"/>
    </xf>
    <xf numFmtId="4" fontId="114" fillId="0" borderId="44" xfId="0" applyNumberFormat="1" applyFont="1" applyBorder="1" applyAlignment="1">
      <alignment horizontal="right" vertical="center"/>
    </xf>
    <xf numFmtId="4" fontId="114" fillId="0" borderId="43" xfId="0" applyNumberFormat="1" applyFont="1" applyBorder="1" applyAlignment="1">
      <alignment horizontal="right" vertical="center"/>
    </xf>
    <xf numFmtId="4" fontId="114" fillId="0" borderId="67" xfId="0" applyNumberFormat="1" applyFont="1" applyBorder="1" applyAlignment="1">
      <alignment horizontal="right" vertical="center"/>
    </xf>
    <xf numFmtId="4" fontId="114" fillId="0" borderId="66" xfId="0" applyNumberFormat="1" applyFont="1" applyBorder="1" applyAlignment="1">
      <alignment horizontal="right" vertical="center"/>
    </xf>
    <xf numFmtId="4" fontId="115" fillId="0" borderId="0" xfId="0" applyNumberFormat="1" applyFont="1" applyAlignment="1">
      <alignment horizontal="center" vertical="center"/>
    </xf>
    <xf numFmtId="0" fontId="2" fillId="3" borderId="0" xfId="0" applyFont="1" applyFill="1"/>
    <xf numFmtId="1" fontId="26" fillId="0" borderId="0" xfId="68" applyNumberFormat="1"/>
    <xf numFmtId="0" fontId="26" fillId="3" borderId="0" xfId="68" applyFill="1"/>
    <xf numFmtId="0" fontId="114" fillId="3" borderId="0" xfId="68" applyFont="1" applyFill="1" applyAlignment="1">
      <alignment horizontal="center" vertical="center"/>
    </xf>
    <xf numFmtId="0" fontId="114" fillId="3" borderId="0" xfId="68" applyFont="1" applyFill="1" applyAlignment="1">
      <alignment horizontal="left" vertical="center"/>
    </xf>
    <xf numFmtId="4" fontId="114" fillId="3" borderId="44" xfId="68" applyNumberFormat="1" applyFont="1" applyFill="1" applyBorder="1" applyAlignment="1">
      <alignment horizontal="right" vertical="center"/>
    </xf>
    <xf numFmtId="0" fontId="110" fillId="0" borderId="0" xfId="0" applyFont="1" applyAlignment="1">
      <alignment horizontal="center"/>
    </xf>
    <xf numFmtId="0" fontId="0" fillId="26" borderId="0" xfId="0" applyFill="1"/>
    <xf numFmtId="0" fontId="73" fillId="26" borderId="0" xfId="0" applyFont="1" applyFill="1" applyAlignment="1">
      <alignment horizontal="right" vertical="center" wrapText="1" readingOrder="1"/>
    </xf>
    <xf numFmtId="14" fontId="74" fillId="26" borderId="0" xfId="0" applyNumberFormat="1" applyFont="1" applyFill="1" applyAlignment="1">
      <alignment horizontal="right" vertical="center" wrapText="1" readingOrder="1"/>
    </xf>
    <xf numFmtId="37" fontId="0" fillId="26" borderId="0" xfId="0" applyNumberFormat="1" applyFill="1"/>
    <xf numFmtId="0" fontId="5" fillId="0" borderId="5" xfId="0" applyFont="1" applyBorder="1"/>
    <xf numFmtId="0" fontId="5" fillId="0" borderId="14" xfId="0" applyFont="1" applyBorder="1"/>
    <xf numFmtId="0" fontId="16" fillId="8" borderId="0" xfId="0" applyFont="1" applyFill="1"/>
    <xf numFmtId="8" fontId="2" fillId="0" borderId="0" xfId="0" applyNumberFormat="1" applyFont="1" applyAlignment="1">
      <alignment horizontal="left"/>
    </xf>
    <xf numFmtId="17" fontId="2" fillId="0" borderId="0" xfId="0" applyNumberFormat="1" applyFont="1" applyAlignment="1">
      <alignment horizontal="right"/>
    </xf>
    <xf numFmtId="8" fontId="2" fillId="0" borderId="0" xfId="0" applyNumberFormat="1" applyFont="1" applyAlignment="1">
      <alignment horizontal="right"/>
    </xf>
    <xf numFmtId="0" fontId="5" fillId="0" borderId="81" xfId="0" applyFont="1" applyBorder="1" applyAlignment="1">
      <alignment horizontal="left"/>
    </xf>
    <xf numFmtId="0" fontId="5" fillId="0" borderId="81" xfId="0" applyFont="1" applyBorder="1" applyAlignment="1">
      <alignment horizontal="right"/>
    </xf>
    <xf numFmtId="5" fontId="8" fillId="3" borderId="0" xfId="0" applyNumberFormat="1" applyFont="1" applyFill="1"/>
    <xf numFmtId="6" fontId="8" fillId="3" borderId="0" xfId="5" applyNumberFormat="1" applyFont="1" applyFill="1"/>
    <xf numFmtId="6" fontId="82" fillId="0" borderId="0" xfId="0" applyNumberFormat="1" applyFont="1"/>
    <xf numFmtId="6" fontId="5" fillId="0" borderId="0" xfId="0" applyNumberFormat="1" applyFont="1"/>
    <xf numFmtId="6" fontId="2" fillId="0" borderId="6" xfId="0" applyNumberFormat="1" applyFont="1" applyBorder="1"/>
    <xf numFmtId="9" fontId="84" fillId="0" borderId="0" xfId="0" applyNumberFormat="1" applyFont="1"/>
    <xf numFmtId="237" fontId="54" fillId="0" borderId="0" xfId="0" applyNumberFormat="1" applyFont="1" applyAlignment="1">
      <alignment horizontal="left"/>
    </xf>
    <xf numFmtId="6" fontId="10" fillId="0" borderId="0" xfId="0" applyNumberFormat="1" applyFont="1"/>
    <xf numFmtId="0" fontId="7" fillId="0" borderId="0" xfId="5" applyFont="1"/>
    <xf numFmtId="0" fontId="7" fillId="4" borderId="0" xfId="5" applyFont="1" applyFill="1"/>
    <xf numFmtId="6" fontId="7" fillId="4" borderId="0" xfId="5" applyNumberFormat="1" applyFont="1" applyFill="1"/>
    <xf numFmtId="187" fontId="10" fillId="0" borderId="0" xfId="5" applyNumberFormat="1" applyFont="1" applyAlignment="1">
      <alignment horizontal="right"/>
    </xf>
    <xf numFmtId="0" fontId="54" fillId="0" borderId="4" xfId="0" applyFont="1" applyBorder="1" applyAlignment="1">
      <alignment horizontal="right"/>
    </xf>
    <xf numFmtId="37" fontId="8" fillId="3" borderId="14" xfId="0" applyNumberFormat="1" applyFont="1" applyFill="1" applyBorder="1"/>
    <xf numFmtId="5" fontId="5" fillId="3" borderId="0" xfId="0" applyNumberFormat="1" applyFont="1" applyFill="1"/>
    <xf numFmtId="10" fontId="155" fillId="0" borderId="34" xfId="0" applyNumberFormat="1" applyFont="1" applyBorder="1"/>
    <xf numFmtId="10" fontId="155" fillId="0" borderId="0" xfId="0" applyNumberFormat="1" applyFont="1"/>
    <xf numFmtId="10" fontId="156" fillId="4" borderId="38" xfId="0" applyNumberFormat="1" applyFont="1" applyFill="1" applyBorder="1"/>
    <xf numFmtId="10" fontId="156" fillId="4" borderId="6" xfId="0" applyNumberFormat="1" applyFont="1" applyFill="1" applyBorder="1"/>
    <xf numFmtId="14" fontId="28" fillId="6" borderId="0" xfId="6" applyNumberFormat="1" applyFont="1" applyFill="1" applyAlignment="1">
      <alignment horizontal="center"/>
    </xf>
    <xf numFmtId="14" fontId="26" fillId="0" borderId="0" xfId="40" applyNumberFormat="1" applyAlignment="1">
      <alignment horizontal="center"/>
    </xf>
    <xf numFmtId="201" fontId="28" fillId="6" borderId="0" xfId="7" applyNumberFormat="1" applyFont="1" applyFill="1" applyBorder="1" applyAlignment="1">
      <alignment horizontal="center"/>
    </xf>
    <xf numFmtId="242" fontId="26" fillId="0" borderId="0" xfId="116" applyNumberFormat="1" applyFont="1" applyBorder="1" applyAlignment="1">
      <alignment horizontal="right"/>
    </xf>
    <xf numFmtId="3" fontId="73" fillId="0" borderId="0" xfId="0" applyNumberFormat="1" applyFont="1" applyAlignment="1">
      <alignment horizontal="right" vertical="center" wrapText="1" shrinkToFit="1" readingOrder="1"/>
    </xf>
    <xf numFmtId="3" fontId="73" fillId="0" borderId="54" xfId="0" applyNumberFormat="1" applyFont="1" applyBorder="1" applyAlignment="1">
      <alignment horizontal="right" vertical="center" wrapText="1" shrinkToFit="1" readingOrder="1"/>
    </xf>
    <xf numFmtId="3" fontId="73" fillId="0" borderId="55" xfId="0" applyNumberFormat="1" applyFont="1" applyBorder="1" applyAlignment="1">
      <alignment horizontal="right" vertical="center" wrapText="1" shrinkToFit="1" readingOrder="1"/>
    </xf>
    <xf numFmtId="7" fontId="2" fillId="0" borderId="0" xfId="0" applyNumberFormat="1" applyFont="1"/>
    <xf numFmtId="239" fontId="1" fillId="0" borderId="77" xfId="3" applyNumberFormat="1" applyBorder="1"/>
    <xf numFmtId="240" fontId="134" fillId="5" borderId="77" xfId="114" applyNumberFormat="1" applyFont="1" applyFill="1" applyBorder="1" applyAlignment="1">
      <alignment horizontal="right"/>
    </xf>
    <xf numFmtId="0" fontId="92" fillId="5" borderId="0" xfId="0" applyFont="1" applyFill="1"/>
    <xf numFmtId="0" fontId="134" fillId="5" borderId="72" xfId="114" applyFont="1" applyFill="1" applyBorder="1" applyAlignment="1">
      <alignment horizontal="center"/>
    </xf>
    <xf numFmtId="0" fontId="134" fillId="5" borderId="72" xfId="114" applyFont="1" applyFill="1" applyBorder="1" applyAlignment="1">
      <alignment horizontal="left"/>
    </xf>
    <xf numFmtId="164" fontId="67" fillId="5" borderId="72" xfId="0" applyNumberFormat="1" applyFont="1" applyFill="1" applyBorder="1" applyAlignment="1">
      <alignment horizontal="center"/>
    </xf>
    <xf numFmtId="0" fontId="133" fillId="5" borderId="72" xfId="114" applyFont="1" applyFill="1" applyBorder="1" applyAlignment="1">
      <alignment horizontal="center"/>
    </xf>
    <xf numFmtId="164" fontId="1" fillId="5" borderId="72" xfId="0" applyNumberFormat="1" applyFont="1" applyFill="1" applyBorder="1" applyAlignment="1">
      <alignment horizontal="center"/>
    </xf>
    <xf numFmtId="0" fontId="67" fillId="0" borderId="72" xfId="0" applyFont="1" applyBorder="1" applyAlignment="1">
      <alignment horizontal="centerContinuous"/>
    </xf>
    <xf numFmtId="243" fontId="67" fillId="0" borderId="72" xfId="0" applyNumberFormat="1" applyFont="1" applyBorder="1" applyAlignment="1">
      <alignment horizontal="centerContinuous"/>
    </xf>
    <xf numFmtId="243" fontId="67" fillId="0" borderId="73" xfId="0" applyNumberFormat="1" applyFont="1" applyBorder="1" applyAlignment="1">
      <alignment horizontal="centerContinuous"/>
    </xf>
    <xf numFmtId="0" fontId="133" fillId="5" borderId="73" xfId="114" applyFont="1" applyFill="1" applyBorder="1" applyAlignment="1">
      <alignment horizontal="center"/>
    </xf>
    <xf numFmtId="243" fontId="67" fillId="0" borderId="25" xfId="0" applyNumberFormat="1" applyFont="1" applyBorder="1" applyAlignment="1">
      <alignment horizontal="centerContinuous"/>
    </xf>
    <xf numFmtId="0" fontId="133" fillId="5" borderId="25" xfId="114" applyFont="1" applyFill="1" applyBorder="1" applyAlignment="1">
      <alignment horizontal="center"/>
    </xf>
    <xf numFmtId="0" fontId="134" fillId="5" borderId="81" xfId="114" applyFont="1" applyFill="1" applyBorder="1" applyAlignment="1">
      <alignment horizontal="center"/>
    </xf>
    <xf numFmtId="0" fontId="134" fillId="5" borderId="81" xfId="114" applyFont="1" applyFill="1" applyBorder="1" applyAlignment="1">
      <alignment horizontal="left"/>
    </xf>
    <xf numFmtId="164" fontId="1" fillId="5" borderId="81" xfId="0" applyNumberFormat="1" applyFont="1" applyFill="1" applyBorder="1" applyAlignment="1">
      <alignment horizontal="center"/>
    </xf>
    <xf numFmtId="164" fontId="134" fillId="5" borderId="81" xfId="114" applyNumberFormat="1" applyFont="1" applyFill="1" applyBorder="1" applyAlignment="1">
      <alignment horizontal="center"/>
    </xf>
    <xf numFmtId="0" fontId="0" fillId="0" borderId="81" xfId="0" applyBorder="1"/>
    <xf numFmtId="0" fontId="92" fillId="5" borderId="81" xfId="0" applyFont="1" applyFill="1" applyBorder="1"/>
    <xf numFmtId="0" fontId="67" fillId="0" borderId="73" xfId="0" applyFont="1" applyBorder="1" applyAlignment="1">
      <alignment horizontal="centerContinuous"/>
    </xf>
    <xf numFmtId="164" fontId="134" fillId="5" borderId="93" xfId="114" applyNumberFormat="1" applyFont="1" applyFill="1" applyBorder="1" applyAlignment="1">
      <alignment horizontal="center"/>
    </xf>
    <xf numFmtId="164" fontId="134" fillId="5" borderId="87" xfId="114" applyNumberFormat="1" applyFont="1" applyFill="1" applyBorder="1" applyAlignment="1">
      <alignment horizontal="center"/>
    </xf>
    <xf numFmtId="0" fontId="67" fillId="0" borderId="25" xfId="0" applyFont="1" applyBorder="1" applyAlignment="1">
      <alignment horizontal="centerContinuous"/>
    </xf>
    <xf numFmtId="0" fontId="67" fillId="0" borderId="80" xfId="0" applyFont="1" applyBorder="1"/>
    <xf numFmtId="0" fontId="101" fillId="8" borderId="81" xfId="0" applyFont="1" applyFill="1" applyBorder="1"/>
    <xf numFmtId="39" fontId="134" fillId="5" borderId="78" xfId="114" applyNumberFormat="1" applyFont="1" applyFill="1" applyBorder="1" applyAlignment="1">
      <alignment horizontal="center"/>
    </xf>
    <xf numFmtId="39" fontId="134" fillId="5" borderId="77" xfId="114" applyNumberFormat="1" applyFont="1" applyFill="1" applyBorder="1" applyAlignment="1">
      <alignment horizontal="center"/>
    </xf>
    <xf numFmtId="39" fontId="134" fillId="5" borderId="80" xfId="114" applyNumberFormat="1" applyFont="1" applyFill="1" applyBorder="1" applyAlignment="1">
      <alignment horizontal="center"/>
    </xf>
    <xf numFmtId="39" fontId="134" fillId="5" borderId="81" xfId="114" applyNumberFormat="1" applyFont="1" applyFill="1" applyBorder="1" applyAlignment="1">
      <alignment horizontal="center"/>
    </xf>
    <xf numFmtId="240" fontId="134" fillId="5" borderId="93" xfId="114" applyNumberFormat="1" applyFont="1" applyFill="1" applyBorder="1" applyAlignment="1">
      <alignment horizontal="center"/>
    </xf>
    <xf numFmtId="240" fontId="134" fillId="5" borderId="94" xfId="114" applyNumberFormat="1" applyFont="1" applyFill="1" applyBorder="1" applyAlignment="1">
      <alignment horizontal="center"/>
    </xf>
    <xf numFmtId="240" fontId="134" fillId="5" borderId="78" xfId="114" applyNumberFormat="1" applyFont="1" applyFill="1" applyBorder="1" applyAlignment="1">
      <alignment horizontal="center"/>
    </xf>
    <xf numFmtId="240" fontId="134" fillId="5" borderId="77" xfId="114" applyNumberFormat="1" applyFont="1" applyFill="1" applyBorder="1" applyAlignment="1">
      <alignment horizontal="center"/>
    </xf>
    <xf numFmtId="240" fontId="134" fillId="5" borderId="96" xfId="114" applyNumberFormat="1" applyFont="1" applyFill="1" applyBorder="1" applyAlignment="1">
      <alignment horizontal="center"/>
    </xf>
    <xf numFmtId="240" fontId="134" fillId="5" borderId="95" xfId="114" applyNumberFormat="1" applyFont="1" applyFill="1" applyBorder="1" applyAlignment="1">
      <alignment horizontal="center"/>
    </xf>
    <xf numFmtId="17" fontId="114" fillId="18" borderId="64" xfId="0" applyNumberFormat="1" applyFont="1" applyFill="1" applyBorder="1" applyAlignment="1">
      <alignment horizontal="center" vertical="center"/>
    </xf>
    <xf numFmtId="172" fontId="3" fillId="0" borderId="0" xfId="0" applyNumberFormat="1" applyFont="1" applyAlignment="1">
      <alignment horizontal="right"/>
    </xf>
    <xf numFmtId="2" fontId="8" fillId="0" borderId="0" xfId="0" applyNumberFormat="1" applyFont="1"/>
    <xf numFmtId="2" fontId="3" fillId="0" borderId="0" xfId="0" applyNumberFormat="1" applyFont="1" applyAlignment="1">
      <alignment horizontal="right"/>
    </xf>
    <xf numFmtId="2" fontId="3" fillId="0" borderId="0" xfId="0" applyNumberFormat="1" applyFont="1"/>
    <xf numFmtId="14" fontId="74" fillId="3" borderId="0" xfId="0" applyNumberFormat="1" applyFont="1" applyFill="1" applyAlignment="1">
      <alignment horizontal="right" vertical="center" wrapText="1" readingOrder="1"/>
    </xf>
    <xf numFmtId="213" fontId="82" fillId="0" borderId="0" xfId="3" applyNumberFormat="1" applyFont="1"/>
    <xf numFmtId="0" fontId="5" fillId="0" borderId="72" xfId="3" applyFont="1" applyBorder="1" applyAlignment="1">
      <alignment horizontal="left"/>
    </xf>
    <xf numFmtId="225" fontId="5" fillId="0" borderId="0" xfId="0" applyNumberFormat="1" applyFont="1"/>
    <xf numFmtId="41" fontId="82" fillId="0" borderId="0" xfId="0" applyNumberFormat="1" applyFont="1"/>
    <xf numFmtId="41" fontId="5" fillId="0" borderId="72" xfId="0" applyNumberFormat="1" applyFont="1" applyBorder="1"/>
    <xf numFmtId="0" fontId="35" fillId="0" borderId="4" xfId="3" applyFont="1" applyBorder="1" applyAlignment="1">
      <alignment horizontal="right"/>
    </xf>
    <xf numFmtId="172" fontId="58" fillId="0" borderId="0" xfId="2" applyNumberFormat="1" applyFont="1" applyFill="1" applyBorder="1" applyAlignment="1">
      <alignment horizontal="right"/>
    </xf>
    <xf numFmtId="172" fontId="2" fillId="0" borderId="0" xfId="2" applyNumberFormat="1" applyFont="1" applyFill="1" applyBorder="1"/>
    <xf numFmtId="5" fontId="4" fillId="0" borderId="0" xfId="0" applyNumberFormat="1" applyFont="1" applyAlignment="1">
      <alignment horizontal="center"/>
    </xf>
    <xf numFmtId="0" fontId="13" fillId="0" borderId="0" xfId="0" applyFont="1"/>
    <xf numFmtId="17" fontId="0" fillId="0" borderId="0" xfId="0" applyNumberFormat="1" applyAlignment="1">
      <alignment horizontal="center"/>
    </xf>
    <xf numFmtId="5" fontId="0" fillId="0" borderId="0" xfId="0" applyNumberFormat="1" applyAlignment="1">
      <alignment horizontal="center"/>
    </xf>
    <xf numFmtId="10" fontId="0" fillId="0" borderId="0" xfId="0" applyNumberFormat="1" applyAlignment="1">
      <alignment horizontal="center"/>
    </xf>
    <xf numFmtId="6" fontId="0" fillId="0" borderId="0" xfId="0" applyNumberFormat="1" applyAlignment="1">
      <alignment horizontal="center"/>
    </xf>
    <xf numFmtId="172" fontId="0" fillId="0" borderId="0" xfId="0" applyNumberFormat="1" applyAlignment="1">
      <alignment horizontal="center"/>
    </xf>
    <xf numFmtId="229" fontId="0" fillId="0" borderId="0" xfId="0" applyNumberFormat="1" applyAlignment="1">
      <alignment horizontal="center"/>
    </xf>
    <xf numFmtId="0" fontId="157" fillId="0" borderId="0" xfId="67" applyFont="1" applyAlignment="1">
      <alignment horizontal="right"/>
    </xf>
    <xf numFmtId="0" fontId="67" fillId="0" borderId="81" xfId="0" applyFont="1" applyBorder="1" applyAlignment="1">
      <alignment horizontal="center"/>
    </xf>
    <xf numFmtId="0" fontId="0" fillId="0" borderId="72" xfId="0" applyBorder="1"/>
    <xf numFmtId="0" fontId="0" fillId="0" borderId="72" xfId="0" applyBorder="1" applyAlignment="1">
      <alignment horizontal="center"/>
    </xf>
    <xf numFmtId="0" fontId="2" fillId="0" borderId="2" xfId="0" applyFont="1" applyBorder="1" applyAlignment="1">
      <alignment horizontal="left" indent="1"/>
    </xf>
    <xf numFmtId="5" fontId="0" fillId="0" borderId="2" xfId="0" applyNumberFormat="1" applyBorder="1" applyAlignment="1">
      <alignment horizontal="center"/>
    </xf>
    <xf numFmtId="0" fontId="0" fillId="0" borderId="0" xfId="0" applyAlignment="1">
      <alignment horizontal="left" indent="1"/>
    </xf>
    <xf numFmtId="0" fontId="67" fillId="0" borderId="72" xfId="0" applyFont="1" applyBorder="1"/>
    <xf numFmtId="0" fontId="67" fillId="0" borderId="72" xfId="0" applyFont="1" applyBorder="1" applyAlignment="1">
      <alignment horizontal="center"/>
    </xf>
    <xf numFmtId="164" fontId="67" fillId="0" borderId="81" xfId="0" applyNumberFormat="1" applyFont="1" applyBorder="1" applyAlignment="1">
      <alignment horizontal="center"/>
    </xf>
    <xf numFmtId="0" fontId="67" fillId="0" borderId="87" xfId="0" applyFont="1" applyBorder="1"/>
    <xf numFmtId="10" fontId="67" fillId="0" borderId="11" xfId="0" applyNumberFormat="1" applyFont="1" applyBorder="1" applyAlignment="1">
      <alignment horizontal="right"/>
    </xf>
    <xf numFmtId="0" fontId="132" fillId="8" borderId="86" xfId="67" applyFont="1" applyFill="1" applyBorder="1" applyAlignment="1">
      <alignment horizontal="centerContinuous"/>
    </xf>
    <xf numFmtId="0" fontId="132" fillId="8" borderId="6" xfId="67" applyFont="1" applyFill="1" applyBorder="1" applyAlignment="1">
      <alignment horizontal="centerContinuous"/>
    </xf>
    <xf numFmtId="0" fontId="132" fillId="8" borderId="10" xfId="67" applyFont="1" applyFill="1" applyBorder="1" applyAlignment="1">
      <alignment horizontal="centerContinuous"/>
    </xf>
    <xf numFmtId="0" fontId="73" fillId="0" borderId="0" xfId="0" applyFont="1" applyAlignment="1">
      <alignment horizontal="left" vertical="center" wrapText="1" shrinkToFit="1" readingOrder="1"/>
    </xf>
    <xf numFmtId="37" fontId="83" fillId="0" borderId="0" xfId="0" applyNumberFormat="1" applyFont="1"/>
    <xf numFmtId="0" fontId="19" fillId="0" borderId="0" xfId="0" applyFont="1"/>
    <xf numFmtId="0" fontId="4" fillId="3" borderId="0" xfId="0" applyFont="1" applyFill="1" applyAlignment="1">
      <alignment horizontal="left" indent="1"/>
    </xf>
    <xf numFmtId="218" fontId="20" fillId="3" borderId="0" xfId="0" applyNumberFormat="1" applyFont="1" applyFill="1" applyAlignment="1">
      <alignment horizontal="center"/>
    </xf>
    <xf numFmtId="0" fontId="2" fillId="3" borderId="0" xfId="0" applyFont="1" applyFill="1" applyAlignment="1">
      <alignment horizontal="left" indent="1"/>
    </xf>
    <xf numFmtId="189" fontId="2" fillId="3" borderId="0" xfId="0" applyNumberFormat="1" applyFont="1" applyFill="1"/>
    <xf numFmtId="9" fontId="8" fillId="3" borderId="0" xfId="0" applyNumberFormat="1" applyFont="1" applyFill="1"/>
    <xf numFmtId="37" fontId="2" fillId="3" borderId="0" xfId="0" applyNumberFormat="1" applyFont="1" applyFill="1"/>
    <xf numFmtId="0" fontId="2" fillId="27" borderId="0" xfId="0" applyFont="1" applyFill="1"/>
    <xf numFmtId="5" fontId="129" fillId="0" borderId="0" xfId="67" applyNumberFormat="1" applyFont="1" applyAlignment="1">
      <alignment horizontal="center"/>
    </xf>
    <xf numFmtId="5" fontId="129" fillId="0" borderId="2" xfId="67" applyNumberFormat="1" applyFont="1" applyBorder="1" applyAlignment="1">
      <alignment horizontal="center"/>
    </xf>
    <xf numFmtId="0" fontId="0" fillId="0" borderId="2" xfId="0" applyBorder="1" applyAlignment="1">
      <alignment horizontal="center"/>
    </xf>
    <xf numFmtId="0" fontId="0" fillId="2" borderId="0" xfId="0" applyFill="1" applyAlignment="1">
      <alignment horizontal="center"/>
    </xf>
    <xf numFmtId="5" fontId="129" fillId="2" borderId="0" xfId="67" applyNumberFormat="1" applyFont="1" applyFill="1" applyAlignment="1">
      <alignment horizontal="center"/>
    </xf>
    <xf numFmtId="6" fontId="82" fillId="4" borderId="0" xfId="0" applyNumberFormat="1" applyFont="1" applyFill="1"/>
    <xf numFmtId="223" fontId="0" fillId="0" borderId="0" xfId="1" applyNumberFormat="1" applyFont="1" applyFill="1" applyBorder="1"/>
    <xf numFmtId="223" fontId="73" fillId="0" borderId="54" xfId="1" applyNumberFormat="1" applyFont="1" applyBorder="1" applyAlignment="1">
      <alignment horizontal="right" vertical="center" wrapText="1" readingOrder="1"/>
    </xf>
    <xf numFmtId="223" fontId="73" fillId="0" borderId="54" xfId="1" applyNumberFormat="1" applyFont="1" applyBorder="1" applyAlignment="1">
      <alignment horizontal="right" vertical="center" wrapText="1" shrinkToFit="1" readingOrder="1"/>
    </xf>
    <xf numFmtId="223" fontId="2" fillId="0" borderId="0" xfId="1" applyNumberFormat="1" applyFont="1"/>
    <xf numFmtId="223" fontId="2" fillId="0" borderId="0" xfId="1" applyNumberFormat="1" applyFont="1" applyFill="1" applyBorder="1"/>
    <xf numFmtId="223" fontId="159" fillId="0" borderId="55" xfId="1" applyNumberFormat="1" applyFont="1" applyBorder="1" applyAlignment="1">
      <alignment horizontal="right" vertical="center" wrapText="1" readingOrder="1"/>
    </xf>
    <xf numFmtId="223" fontId="159" fillId="0" borderId="55" xfId="1" applyNumberFormat="1" applyFont="1" applyBorder="1" applyAlignment="1">
      <alignment horizontal="right" vertical="center" wrapText="1" shrinkToFit="1" readingOrder="1"/>
    </xf>
    <xf numFmtId="223" fontId="159" fillId="0" borderId="54" xfId="1" applyNumberFormat="1" applyFont="1" applyBorder="1" applyAlignment="1">
      <alignment horizontal="right" vertical="center" wrapText="1" readingOrder="1"/>
    </xf>
    <xf numFmtId="223" fontId="159" fillId="0" borderId="54" xfId="1" applyNumberFormat="1" applyFont="1" applyBorder="1" applyAlignment="1">
      <alignment horizontal="right" vertical="center" wrapText="1" shrinkToFit="1" readingOrder="1"/>
    </xf>
    <xf numFmtId="223" fontId="76" fillId="0" borderId="0" xfId="1" applyNumberFormat="1" applyFont="1" applyAlignment="1">
      <alignment horizontal="left" vertical="center" wrapText="1" readingOrder="1"/>
    </xf>
    <xf numFmtId="223" fontId="73" fillId="0" borderId="0" xfId="1" applyNumberFormat="1" applyFont="1" applyAlignment="1">
      <alignment horizontal="left" vertical="center" wrapText="1" readingOrder="1"/>
    </xf>
    <xf numFmtId="223" fontId="67" fillId="0" borderId="0" xfId="1" applyNumberFormat="1" applyFont="1" applyFill="1" applyAlignment="1">
      <alignment horizontal="center"/>
    </xf>
    <xf numFmtId="223" fontId="73" fillId="0" borderId="0" xfId="1" applyNumberFormat="1" applyFont="1" applyAlignment="1">
      <alignment horizontal="left" vertical="center" wrapText="1" shrinkToFit="1" readingOrder="1"/>
    </xf>
    <xf numFmtId="223" fontId="67" fillId="0" borderId="0" xfId="1" applyNumberFormat="1" applyFont="1" applyAlignment="1">
      <alignment horizontal="center"/>
    </xf>
    <xf numFmtId="223" fontId="160" fillId="3" borderId="0" xfId="1" applyNumberFormat="1" applyFont="1" applyFill="1" applyAlignment="1">
      <alignment horizontal="center"/>
    </xf>
    <xf numFmtId="223" fontId="161" fillId="0" borderId="0" xfId="1" applyNumberFormat="1" applyFont="1" applyFill="1"/>
    <xf numFmtId="223" fontId="161" fillId="0" borderId="0" xfId="1" applyNumberFormat="1" applyFont="1" applyFill="1" applyBorder="1"/>
    <xf numFmtId="0" fontId="161" fillId="0" borderId="0" xfId="0" applyFont="1"/>
    <xf numFmtId="0" fontId="164" fillId="25" borderId="85" xfId="0" applyFont="1" applyFill="1" applyBorder="1" applyAlignment="1">
      <alignment horizontal="center" vertical="center" wrapText="1" shrinkToFit="1" readingOrder="1"/>
    </xf>
    <xf numFmtId="0" fontId="163" fillId="0" borderId="84" xfId="0" applyFont="1" applyBorder="1" applyAlignment="1">
      <alignment horizontal="center" vertical="center" wrapText="1" shrinkToFit="1" readingOrder="1"/>
    </xf>
    <xf numFmtId="0" fontId="163" fillId="0" borderId="84" xfId="0" applyFont="1" applyBorder="1" applyAlignment="1">
      <alignment horizontal="left" vertical="center" wrapText="1" shrinkToFit="1" readingOrder="1"/>
    </xf>
    <xf numFmtId="0" fontId="163" fillId="0" borderId="83" xfId="0" applyFont="1" applyBorder="1" applyAlignment="1">
      <alignment horizontal="center" vertical="center" wrapText="1" shrinkToFit="1" readingOrder="1"/>
    </xf>
    <xf numFmtId="0" fontId="163" fillId="0" borderId="83" xfId="0" applyFont="1" applyBorder="1" applyAlignment="1">
      <alignment horizontal="left" vertical="center" wrapText="1" shrinkToFit="1" readingOrder="1"/>
    </xf>
    <xf numFmtId="0" fontId="163" fillId="0" borderId="0" xfId="0" applyFont="1" applyAlignment="1">
      <alignment horizontal="center" vertical="center" wrapText="1" shrinkToFit="1" readingOrder="1"/>
    </xf>
    <xf numFmtId="0" fontId="163" fillId="0" borderId="82" xfId="0" applyFont="1" applyBorder="1" applyAlignment="1">
      <alignment horizontal="center" vertical="center" wrapText="1" shrinkToFit="1" readingOrder="1"/>
    </xf>
    <xf numFmtId="0" fontId="163" fillId="0" borderId="82" xfId="0" applyFont="1" applyBorder="1" applyAlignment="1">
      <alignment horizontal="left" vertical="center" wrapText="1" shrinkToFit="1" readingOrder="1"/>
    </xf>
    <xf numFmtId="238" fontId="163" fillId="0" borderId="83" xfId="0" applyNumberFormat="1" applyFont="1" applyBorder="1" applyAlignment="1">
      <alignment horizontal="center" vertical="center" wrapText="1" shrinkToFit="1" readingOrder="1"/>
    </xf>
    <xf numFmtId="4" fontId="163" fillId="0" borderId="83" xfId="0" applyNumberFormat="1" applyFont="1" applyBorder="1" applyAlignment="1">
      <alignment horizontal="center" vertical="center" wrapText="1" shrinkToFit="1" readingOrder="1"/>
    </xf>
    <xf numFmtId="3" fontId="163" fillId="0" borderId="83" xfId="0" applyNumberFormat="1" applyFont="1" applyBorder="1" applyAlignment="1">
      <alignment horizontal="center" vertical="center" wrapText="1" shrinkToFit="1" readingOrder="1"/>
    </xf>
    <xf numFmtId="10" fontId="163" fillId="0" borderId="83" xfId="0" applyNumberFormat="1" applyFont="1" applyBorder="1" applyAlignment="1">
      <alignment horizontal="center" vertical="center" wrapText="1" shrinkToFit="1" readingOrder="1"/>
    </xf>
    <xf numFmtId="0" fontId="163" fillId="0" borderId="0" xfId="0" applyFont="1" applyAlignment="1">
      <alignment horizontal="left" vertical="center" wrapText="1" shrinkToFit="1" readingOrder="1"/>
    </xf>
    <xf numFmtId="3" fontId="73" fillId="0" borderId="52" xfId="0" applyNumberFormat="1" applyFont="1" applyBorder="1" applyAlignment="1">
      <alignment vertical="center" shrinkToFit="1" readingOrder="1"/>
    </xf>
    <xf numFmtId="3" fontId="73" fillId="0" borderId="52" xfId="0" applyNumberFormat="1" applyFont="1" applyBorder="1" applyAlignment="1">
      <alignment vertical="center" readingOrder="1"/>
    </xf>
    <xf numFmtId="0" fontId="163" fillId="0" borderId="0" xfId="0" applyFont="1" applyAlignment="1">
      <alignment horizontal="right" vertical="center" wrapText="1" shrinkToFit="1" readingOrder="1"/>
    </xf>
    <xf numFmtId="0" fontId="165" fillId="0" borderId="0" xfId="0" applyFont="1" applyAlignment="1">
      <alignment horizontal="right" vertical="center" wrapText="1" shrinkToFit="1" readingOrder="1"/>
    </xf>
    <xf numFmtId="0" fontId="7" fillId="0" borderId="0" xfId="0" applyFont="1" applyAlignment="1">
      <alignment horizontal="right"/>
    </xf>
    <xf numFmtId="0" fontId="154" fillId="0" borderId="0" xfId="0" applyFont="1" applyAlignment="1">
      <alignment horizontal="left"/>
    </xf>
    <xf numFmtId="224" fontId="2" fillId="0" borderId="0" xfId="0" applyNumberFormat="1" applyFont="1"/>
    <xf numFmtId="218" fontId="18" fillId="0" borderId="0" xfId="0" applyNumberFormat="1" applyFont="1" applyAlignment="1">
      <alignment horizontal="center"/>
    </xf>
    <xf numFmtId="5" fontId="7" fillId="0" borderId="6" xfId="0" applyNumberFormat="1" applyFont="1" applyBorder="1" applyAlignment="1">
      <alignment horizontal="center"/>
    </xf>
    <xf numFmtId="41" fontId="5" fillId="0" borderId="38" xfId="0" applyNumberFormat="1" applyFont="1" applyBorder="1"/>
    <xf numFmtId="5" fontId="5" fillId="0" borderId="65" xfId="0" applyNumberFormat="1" applyFont="1" applyBorder="1"/>
    <xf numFmtId="37" fontId="5" fillId="0" borderId="65" xfId="0" applyNumberFormat="1" applyFont="1" applyBorder="1"/>
    <xf numFmtId="37" fontId="5" fillId="0" borderId="6" xfId="0" applyNumberFormat="1" applyFont="1" applyBorder="1"/>
    <xf numFmtId="10" fontId="156" fillId="4" borderId="34" xfId="0" applyNumberFormat="1" applyFont="1" applyFill="1" applyBorder="1"/>
    <xf numFmtId="10" fontId="156" fillId="4" borderId="0" xfId="0" applyNumberFormat="1" applyFont="1" applyFill="1"/>
    <xf numFmtId="0" fontId="2" fillId="0" borderId="25" xfId="0" applyFont="1" applyBorder="1" applyAlignment="1">
      <alignment horizontal="left"/>
    </xf>
    <xf numFmtId="186" fontId="15" fillId="0" borderId="1" xfId="3" applyNumberFormat="1" applyFont="1" applyBorder="1" applyAlignment="1">
      <alignment horizontal="left"/>
    </xf>
    <xf numFmtId="0" fontId="2" fillId="3" borderId="0" xfId="0" applyFont="1" applyFill="1" applyAlignment="1">
      <alignment horizontal="left"/>
    </xf>
    <xf numFmtId="0" fontId="5" fillId="3" borderId="6" xfId="0" applyFont="1" applyFill="1" applyBorder="1"/>
    <xf numFmtId="37" fontId="82" fillId="0" borderId="0" xfId="0" applyNumberFormat="1" applyFont="1"/>
    <xf numFmtId="37" fontId="15" fillId="0" borderId="0" xfId="0" applyNumberFormat="1" applyFont="1"/>
    <xf numFmtId="0" fontId="5" fillId="0" borderId="6" xfId="0" applyFont="1" applyBorder="1" applyAlignment="1">
      <alignment horizontal="left" indent="1"/>
    </xf>
    <xf numFmtId="9" fontId="18" fillId="0" borderId="6" xfId="0" applyNumberFormat="1" applyFont="1" applyBorder="1"/>
    <xf numFmtId="9" fontId="5" fillId="0" borderId="6" xfId="0" applyNumberFormat="1" applyFont="1" applyBorder="1"/>
    <xf numFmtId="196" fontId="18" fillId="0" borderId="6" xfId="0" applyNumberFormat="1" applyFont="1" applyBorder="1"/>
    <xf numFmtId="37" fontId="5" fillId="0" borderId="10" xfId="0" applyNumberFormat="1" applyFont="1" applyBorder="1"/>
    <xf numFmtId="37" fontId="5" fillId="0" borderId="38" xfId="0" applyNumberFormat="1" applyFont="1" applyBorder="1"/>
    <xf numFmtId="37" fontId="82" fillId="4" borderId="34" xfId="0" applyNumberFormat="1" applyFont="1" applyFill="1" applyBorder="1"/>
    <xf numFmtId="164" fontId="29" fillId="3" borderId="0" xfId="6" applyNumberFormat="1" applyFont="1" applyFill="1"/>
    <xf numFmtId="14" fontId="48" fillId="0" borderId="97" xfId="106" applyNumberFormat="1" applyFont="1" applyBorder="1" applyAlignment="1"/>
    <xf numFmtId="10" fontId="48" fillId="0" borderId="98" xfId="106" applyNumberFormat="1" applyFont="1" applyBorder="1" applyAlignment="1">
      <alignment horizontal="center" vertical="center"/>
    </xf>
    <xf numFmtId="14" fontId="48" fillId="0" borderId="99" xfId="106" applyNumberFormat="1" applyFont="1" applyBorder="1" applyAlignment="1"/>
    <xf numFmtId="10" fontId="48" fillId="0" borderId="100" xfId="106" applyNumberFormat="1" applyFont="1" applyBorder="1" applyAlignment="1">
      <alignment horizontal="center" vertical="center"/>
    </xf>
    <xf numFmtId="10" fontId="48" fillId="0" borderId="0" xfId="106" applyNumberFormat="1" applyFont="1" applyAlignment="1">
      <alignment horizontal="center" vertical="center"/>
    </xf>
    <xf numFmtId="0" fontId="82" fillId="0" borderId="0" xfId="0" applyFont="1"/>
    <xf numFmtId="169" fontId="8" fillId="0" borderId="1" xfId="0" applyNumberFormat="1" applyFont="1" applyBorder="1" applyAlignment="1">
      <alignment horizontal="center"/>
    </xf>
    <xf numFmtId="164" fontId="7" fillId="0" borderId="1" xfId="0" applyNumberFormat="1" applyFont="1" applyBorder="1" applyAlignment="1">
      <alignment horizontal="center"/>
    </xf>
    <xf numFmtId="10" fontId="5" fillId="0" borderId="1" xfId="0" applyNumberFormat="1" applyFont="1" applyBorder="1" applyAlignment="1">
      <alignment horizontal="center"/>
    </xf>
    <xf numFmtId="14" fontId="16" fillId="0" borderId="0" xfId="0" applyNumberFormat="1" applyFont="1" applyAlignment="1">
      <alignment horizontal="left"/>
    </xf>
    <xf numFmtId="9" fontId="2" fillId="0" borderId="0" xfId="0" applyNumberFormat="1" applyFont="1" applyAlignment="1">
      <alignment horizontal="right"/>
    </xf>
    <xf numFmtId="0" fontId="35" fillId="4" borderId="0" xfId="67" applyFont="1" applyFill="1"/>
    <xf numFmtId="0" fontId="16" fillId="4" borderId="0" xfId="0" applyFont="1" applyFill="1" applyAlignment="1">
      <alignment horizontal="center"/>
    </xf>
    <xf numFmtId="173" fontId="140" fillId="4" borderId="0" xfId="0" applyNumberFormat="1" applyFont="1" applyFill="1" applyAlignment="1">
      <alignment horizontal="center"/>
    </xf>
    <xf numFmtId="0" fontId="16" fillId="0" borderId="0" xfId="0" applyFont="1"/>
    <xf numFmtId="0" fontId="16" fillId="0" borderId="0" xfId="0" applyFont="1" applyAlignment="1">
      <alignment horizontal="right"/>
    </xf>
    <xf numFmtId="0" fontId="56" fillId="0" borderId="0" xfId="67" applyFont="1" applyAlignment="1">
      <alignment horizontal="centerContinuous"/>
    </xf>
    <xf numFmtId="0" fontId="0" fillId="2" borderId="2" xfId="0" applyFill="1" applyBorder="1" applyAlignment="1">
      <alignment horizontal="center"/>
    </xf>
    <xf numFmtId="5" fontId="129" fillId="2" borderId="2" xfId="67" applyNumberFormat="1" applyFont="1" applyFill="1" applyBorder="1" applyAlignment="1">
      <alignment horizontal="center"/>
    </xf>
    <xf numFmtId="3" fontId="73" fillId="0" borderId="53" xfId="0" applyNumberFormat="1" applyFont="1" applyBorder="1" applyAlignment="1">
      <alignment horizontal="right" vertical="center" wrapText="1" shrinkToFit="1" readingOrder="1"/>
    </xf>
    <xf numFmtId="10" fontId="67" fillId="0" borderId="0" xfId="0" applyNumberFormat="1" applyFont="1" applyAlignment="1">
      <alignment horizontal="right"/>
    </xf>
    <xf numFmtId="10" fontId="67" fillId="0" borderId="2" xfId="0" applyNumberFormat="1" applyFont="1" applyBorder="1" applyAlignment="1">
      <alignment horizontal="right"/>
    </xf>
    <xf numFmtId="5" fontId="129" fillId="0" borderId="51" xfId="67" applyNumberFormat="1" applyFont="1" applyBorder="1" applyAlignment="1">
      <alignment horizontal="center"/>
    </xf>
    <xf numFmtId="5" fontId="129" fillId="0" borderId="101" xfId="67" applyNumberFormat="1" applyFont="1" applyBorder="1" applyAlignment="1">
      <alignment horizontal="center"/>
    </xf>
    <xf numFmtId="0" fontId="0" fillId="0" borderId="51" xfId="0" applyBorder="1" applyAlignment="1">
      <alignment horizontal="center"/>
    </xf>
    <xf numFmtId="0" fontId="0" fillId="0" borderId="101" xfId="0" applyBorder="1" applyAlignment="1">
      <alignment horizontal="center"/>
    </xf>
    <xf numFmtId="0" fontId="4" fillId="0" borderId="0" xfId="67" applyFont="1" applyAlignment="1">
      <alignment horizontal="left" vertical="top" wrapText="1"/>
    </xf>
    <xf numFmtId="0" fontId="5" fillId="0" borderId="14" xfId="0" applyFont="1" applyBorder="1" applyAlignment="1">
      <alignment horizontal="center"/>
    </xf>
    <xf numFmtId="0" fontId="106" fillId="0" borderId="0" xfId="0" applyFont="1" applyAlignment="1">
      <alignment horizontal="center" vertical="center"/>
    </xf>
    <xf numFmtId="0" fontId="105" fillId="0" borderId="0" xfId="0" applyFont="1" applyAlignment="1">
      <alignment horizontal="center" vertical="center"/>
    </xf>
    <xf numFmtId="3" fontId="73" fillId="0" borderId="52" xfId="0" applyNumberFormat="1" applyFont="1" applyBorder="1" applyAlignment="1">
      <alignment horizontal="right" vertical="center" wrapText="1" shrinkToFit="1" readingOrder="1"/>
    </xf>
    <xf numFmtId="0" fontId="163" fillId="0" borderId="0" xfId="0" applyFont="1" applyAlignment="1">
      <alignment horizontal="left" vertical="center" wrapText="1" shrinkToFit="1" readingOrder="1"/>
    </xf>
    <xf numFmtId="0" fontId="164" fillId="25" borderId="85" xfId="0" applyFont="1" applyFill="1" applyBorder="1" applyAlignment="1">
      <alignment horizontal="center" vertical="center" wrapText="1" shrinkToFit="1" readingOrder="1"/>
    </xf>
    <xf numFmtId="0" fontId="162" fillId="0" borderId="0" xfId="0" applyFont="1" applyAlignment="1">
      <alignment horizontal="left" vertical="center" wrapText="1" shrinkToFit="1" readingOrder="1"/>
    </xf>
    <xf numFmtId="0" fontId="163" fillId="3" borderId="0" xfId="0" applyFont="1" applyFill="1" applyAlignment="1">
      <alignment horizontal="left" vertical="center" wrapText="1" shrinkToFit="1" readingOrder="1"/>
    </xf>
    <xf numFmtId="0" fontId="26" fillId="5" borderId="0" xfId="6" applyFill="1" applyAlignment="1">
      <alignment horizontal="left" wrapText="1"/>
    </xf>
    <xf numFmtId="0" fontId="26" fillId="5" borderId="0" xfId="6" applyFill="1" applyAlignment="1">
      <alignment horizontal="left"/>
    </xf>
    <xf numFmtId="0" fontId="89" fillId="4" borderId="81" xfId="68" applyFont="1" applyFill="1" applyBorder="1" applyAlignment="1">
      <alignment horizontal="right" vertical="center" wrapText="1"/>
    </xf>
    <xf numFmtId="0" fontId="105" fillId="0" borderId="0" xfId="68" applyFont="1" applyAlignment="1">
      <alignment horizontal="center" vertical="center"/>
    </xf>
    <xf numFmtId="0" fontId="106" fillId="0" borderId="0" xfId="68" applyFont="1" applyAlignment="1">
      <alignment horizontal="center" vertical="center"/>
    </xf>
    <xf numFmtId="0" fontId="106" fillId="0" borderId="0" xfId="41" applyFont="1" applyAlignment="1">
      <alignment horizontal="center" vertical="center"/>
    </xf>
    <xf numFmtId="0" fontId="105" fillId="0" borderId="0" xfId="41" applyFont="1" applyAlignment="1">
      <alignment horizontal="center" vertical="center"/>
    </xf>
    <xf numFmtId="0" fontId="87" fillId="15" borderId="8" xfId="76" applyFont="1" applyFill="1" applyBorder="1" applyAlignment="1">
      <alignment horizontal="center" vertical="center" wrapText="1"/>
    </xf>
    <xf numFmtId="0" fontId="87" fillId="15" borderId="0" xfId="76" applyFont="1" applyFill="1" applyAlignment="1">
      <alignment horizontal="center" vertical="center" wrapText="1"/>
    </xf>
    <xf numFmtId="0" fontId="87" fillId="15" borderId="9" xfId="76" applyFont="1" applyFill="1" applyBorder="1" applyAlignment="1">
      <alignment horizontal="center" vertical="center" wrapText="1"/>
    </xf>
  </cellXfs>
  <cellStyles count="126">
    <cellStyle name="Comma" xfId="1" builtinId="3"/>
    <cellStyle name="Comma [0] 2" xfId="84" xr:uid="{990AC96A-9EE0-48B1-9C94-F8AD439BE607}"/>
    <cellStyle name="Comma [0] 3" xfId="105" xr:uid="{AB5CC118-DFA7-4440-BD11-E626B7D6CC72}"/>
    <cellStyle name="Comma 10" xfId="70" xr:uid="{00000000-0005-0000-0000-000001000000}"/>
    <cellStyle name="Comma 11" xfId="83" xr:uid="{11ED86DF-381D-46A9-9224-DEB66DE431B4}"/>
    <cellStyle name="Comma 12" xfId="87" xr:uid="{B116D9B9-CA96-4BB2-8F01-E35AFD140BAC}"/>
    <cellStyle name="Comma 13" xfId="91" xr:uid="{430568EC-34A9-428C-A7C8-1CE0ED952C1A}"/>
    <cellStyle name="Comma 14" xfId="93" xr:uid="{BD8FB89C-980E-438F-A41F-5DE70121CA22}"/>
    <cellStyle name="Comma 15" xfId="96" xr:uid="{89909137-B2DA-415C-A3A1-62A29467A27F}"/>
    <cellStyle name="Comma 16" xfId="99" xr:uid="{3CF33C98-1CDD-4BDC-8604-BEC13C5FB97A}"/>
    <cellStyle name="Comma 17" xfId="104" xr:uid="{497CB972-CE38-4822-9711-00BCD69C917F}"/>
    <cellStyle name="Comma 18" xfId="109" xr:uid="{A58C49C7-AB99-48AF-841B-AE1CAC381C2A}"/>
    <cellStyle name="Comma 19" xfId="120" xr:uid="{B78468F2-E020-4280-9C89-BA834BE202D7}"/>
    <cellStyle name="Comma 2" xfId="10" xr:uid="{00000000-0005-0000-0000-000002000000}"/>
    <cellStyle name="Comma 2 2" xfId="113" xr:uid="{C6C52259-C935-4D83-84B9-123C5DDCD959}"/>
    <cellStyle name="Comma 20" xfId="122" xr:uid="{9F2C0F7F-96BA-4040-AE67-867838044B5B}"/>
    <cellStyle name="Comma 21" xfId="125" xr:uid="{046DEAEB-8013-4AD1-944C-D1403171BEF0}"/>
    <cellStyle name="Comma 3" xfId="11" xr:uid="{00000000-0005-0000-0000-000003000000}"/>
    <cellStyle name="Comma 4" xfId="12" xr:uid="{00000000-0005-0000-0000-000004000000}"/>
    <cellStyle name="Comma 5" xfId="13" xr:uid="{00000000-0005-0000-0000-000005000000}"/>
    <cellStyle name="Comma 6" xfId="14" xr:uid="{00000000-0005-0000-0000-000006000000}"/>
    <cellStyle name="Comma 7" xfId="15" xr:uid="{00000000-0005-0000-0000-000007000000}"/>
    <cellStyle name="Comma 8" xfId="16" xr:uid="{00000000-0005-0000-0000-000008000000}"/>
    <cellStyle name="Comma 9" xfId="17" xr:uid="{00000000-0005-0000-0000-000009000000}"/>
    <cellStyle name="Comma0" xfId="18" xr:uid="{00000000-0005-0000-0000-00000A000000}"/>
    <cellStyle name="Currency" xfId="74" builtinId="4"/>
    <cellStyle name="Currency [0] 2" xfId="82" xr:uid="{4221B411-C5CF-41EF-B697-2BB43DF6D18D}"/>
    <cellStyle name="Currency [0] 3" xfId="103" xr:uid="{F4A1178C-896A-4655-8F2A-77F4A0AEFCBD}"/>
    <cellStyle name="Currency 10" xfId="118" xr:uid="{68ED4C2D-9539-4BA3-A51F-5152FA4EDFA8}"/>
    <cellStyle name="Currency 11" xfId="121" xr:uid="{ED280649-E223-46E5-B7F5-AE097A711B9E}"/>
    <cellStyle name="Currency 12" xfId="124" xr:uid="{327CD3EE-1863-485E-BC15-9F99A0F93AF6}"/>
    <cellStyle name="Currency 2" xfId="81" xr:uid="{EEE37921-F8F7-42E1-A669-763099F564DE}"/>
    <cellStyle name="Currency 3" xfId="86" xr:uid="{5AAF97CD-B1EB-4EA4-910B-A648A2BA59FC}"/>
    <cellStyle name="Currency 4" xfId="89" xr:uid="{C1921CE7-F8DF-425F-B233-200402CB613A}"/>
    <cellStyle name="Currency 5" xfId="92" xr:uid="{0159AECC-A4F1-4E0B-BDFA-7348EFAE9A36}"/>
    <cellStyle name="Currency 6" xfId="95" xr:uid="{A58119F6-EEE5-4B50-9EC6-EE8BDC11AF9C}"/>
    <cellStyle name="Currency 7" xfId="98" xr:uid="{75B2BF8C-EF16-4491-B180-98308552B0EA}"/>
    <cellStyle name="Currency 8" xfId="102" xr:uid="{F8BB721D-E205-45C7-A03E-F7904146ED3F}"/>
    <cellStyle name="Currency 9" xfId="108" xr:uid="{2AA27F9A-8F64-42D3-A162-863CDE4511BD}"/>
    <cellStyle name="Currency0" xfId="19" xr:uid="{00000000-0005-0000-0000-00000C000000}"/>
    <cellStyle name="Date" xfId="20" xr:uid="{00000000-0005-0000-0000-00000D000000}"/>
    <cellStyle name="Dezimal [0]_Compiling Utility Macros" xfId="21" xr:uid="{00000000-0005-0000-0000-00000E000000}"/>
    <cellStyle name="Dezimal_Compiling Utility Macros" xfId="22" xr:uid="{00000000-0005-0000-0000-00000F000000}"/>
    <cellStyle name="Euro" xfId="23" xr:uid="{00000000-0005-0000-0000-000010000000}"/>
    <cellStyle name="EY House" xfId="24" xr:uid="{00000000-0005-0000-0000-000011000000}"/>
    <cellStyle name="F2" xfId="25" xr:uid="{00000000-0005-0000-0000-000012000000}"/>
    <cellStyle name="F3" xfId="26" xr:uid="{00000000-0005-0000-0000-000013000000}"/>
    <cellStyle name="F4" xfId="27" xr:uid="{00000000-0005-0000-0000-000014000000}"/>
    <cellStyle name="F5" xfId="28" xr:uid="{00000000-0005-0000-0000-000015000000}"/>
    <cellStyle name="F6" xfId="29" xr:uid="{00000000-0005-0000-0000-000016000000}"/>
    <cellStyle name="F7" xfId="30" xr:uid="{00000000-0005-0000-0000-000017000000}"/>
    <cellStyle name="F8" xfId="31" xr:uid="{00000000-0005-0000-0000-000018000000}"/>
    <cellStyle name="Fixed" xfId="32" xr:uid="{00000000-0005-0000-0000-000019000000}"/>
    <cellStyle name="Heading 1 2" xfId="33" xr:uid="{00000000-0005-0000-0000-00001A000000}"/>
    <cellStyle name="Heading 2 2" xfId="34" xr:uid="{00000000-0005-0000-0000-00001B000000}"/>
    <cellStyle name="Hyperlink 2" xfId="72" xr:uid="{00000000-0005-0000-0000-00001C000000}"/>
    <cellStyle name="Milliers [0]_Open&amp;Close" xfId="35" xr:uid="{00000000-0005-0000-0000-00001D000000}"/>
    <cellStyle name="Milliers_Open&amp;Close" xfId="36" xr:uid="{00000000-0005-0000-0000-00001E000000}"/>
    <cellStyle name="ModifiedCell" xfId="37" xr:uid="{00000000-0005-0000-0000-00001F000000}"/>
    <cellStyle name="Monétaire [0]_Open&amp;Close" xfId="38" xr:uid="{00000000-0005-0000-0000-000020000000}"/>
    <cellStyle name="Monétaire_Open&amp;Close" xfId="39" xr:uid="{00000000-0005-0000-0000-000021000000}"/>
    <cellStyle name="Normal" xfId="0" builtinId="0"/>
    <cellStyle name="Normal 10" xfId="100" xr:uid="{13130D41-2B67-4E1A-A16B-2C9A4471CBEF}"/>
    <cellStyle name="Normal 10 3 2" xfId="68" xr:uid="{00000000-0005-0000-0000-000023000000}"/>
    <cellStyle name="Normal 10 3 2 2" xfId="114" xr:uid="{BE59978D-3197-4557-A157-4061270A521A}"/>
    <cellStyle name="Normal 2" xfId="5" xr:uid="{00000000-0005-0000-0000-000024000000}"/>
    <cellStyle name="Normal 2 2" xfId="40" xr:uid="{00000000-0005-0000-0000-000025000000}"/>
    <cellStyle name="Normal 2 2 2" xfId="67" xr:uid="{00000000-0005-0000-0000-000026000000}"/>
    <cellStyle name="Normal 26" xfId="79" xr:uid="{8E37E311-AA23-4E9A-92BD-34FE56FB59CE}"/>
    <cellStyle name="Normal 27" xfId="106" xr:uid="{076D13EF-1AD7-428F-BE14-B0693C5482F6}"/>
    <cellStyle name="Normal 3" xfId="4" xr:uid="{00000000-0005-0000-0000-000027000000}"/>
    <cellStyle name="Normal 3 2" xfId="41" xr:uid="{00000000-0005-0000-0000-000028000000}"/>
    <cellStyle name="Normal 3 3" xfId="76" xr:uid="{4B4CB6BE-DE06-4EDC-95B4-63CA30B4AFAA}"/>
    <cellStyle name="Normal 4" xfId="6" xr:uid="{00000000-0005-0000-0000-000029000000}"/>
    <cellStyle name="Normal 4 2" xfId="78" xr:uid="{0803B07E-41A1-40D5-ACDD-7F6802FC4576}"/>
    <cellStyle name="Normal 5" xfId="69" xr:uid="{00000000-0005-0000-0000-00002A000000}"/>
    <cellStyle name="Normal 5 2" xfId="112" xr:uid="{2894F4A1-DF06-454B-B0A3-FE49A821DD73}"/>
    <cellStyle name="Normal 6" xfId="3" xr:uid="{00000000-0005-0000-0000-00002B000000}"/>
    <cellStyle name="Normal 7" xfId="9" xr:uid="{00000000-0005-0000-0000-00002C000000}"/>
    <cellStyle name="Normal 8" xfId="73" xr:uid="{00000000-0005-0000-0000-00002D000000}"/>
    <cellStyle name="Normal 8 2" xfId="77" xr:uid="{9E26637E-DB94-446E-8FDB-17873A7D06B8}"/>
    <cellStyle name="Normal 9" xfId="75" xr:uid="{00000000-0005-0000-0000-00002E000000}"/>
    <cellStyle name="Normal_0709-0862117 American Value Partners Fund I Schedules" xfId="115" xr:uid="{E825C40A-BF21-42A1-A32F-0A5B93340A15}"/>
    <cellStyle name="Percent" xfId="2" builtinId="5"/>
    <cellStyle name="Percent [0.00%]" xfId="43" xr:uid="{00000000-0005-0000-0000-000031000000}"/>
    <cellStyle name="Percent [0%]" xfId="42" xr:uid="{00000000-0005-0000-0000-000030000000}"/>
    <cellStyle name="Percent 10" xfId="44" xr:uid="{00000000-0005-0000-0000-000032000000}"/>
    <cellStyle name="Percent 10 2" xfId="45" xr:uid="{00000000-0005-0000-0000-000033000000}"/>
    <cellStyle name="Percent 11" xfId="46" xr:uid="{00000000-0005-0000-0000-000034000000}"/>
    <cellStyle name="Percent 12" xfId="47" xr:uid="{00000000-0005-0000-0000-000035000000}"/>
    <cellStyle name="Percent 13" xfId="48" xr:uid="{00000000-0005-0000-0000-000036000000}"/>
    <cellStyle name="Percent 14" xfId="49" xr:uid="{00000000-0005-0000-0000-000037000000}"/>
    <cellStyle name="Percent 15" xfId="50" xr:uid="{00000000-0005-0000-0000-000038000000}"/>
    <cellStyle name="Percent 16" xfId="51" xr:uid="{00000000-0005-0000-0000-000039000000}"/>
    <cellStyle name="Percent 17" xfId="71" xr:uid="{00000000-0005-0000-0000-00003A000000}"/>
    <cellStyle name="Percent 18" xfId="80" xr:uid="{84D4CFEB-CB4E-4A81-8394-291D39E807B4}"/>
    <cellStyle name="Percent 19" xfId="85" xr:uid="{F3A0A76B-57BB-4B24-846A-39089A826FF6}"/>
    <cellStyle name="Percent 2" xfId="7" xr:uid="{00000000-0005-0000-0000-00003B000000}"/>
    <cellStyle name="Percent 20" xfId="88" xr:uid="{B32BCA6E-8636-4FB3-8F12-F5C5EAF9CE0B}"/>
    <cellStyle name="Percent 21" xfId="90" xr:uid="{38CDC79B-DEE5-43F6-BF22-92A565DC413A}"/>
    <cellStyle name="Percent 22" xfId="94" xr:uid="{5E59E77E-C159-4AA0-BF25-B8C4CA36B2C7}"/>
    <cellStyle name="Percent 23" xfId="97" xr:uid="{30B8C734-E10D-4C32-894B-D6C3B7303313}"/>
    <cellStyle name="Percent 24" xfId="101" xr:uid="{EBC76932-603D-4F41-A67C-85B4263AD20B}"/>
    <cellStyle name="Percent 25" xfId="107" xr:uid="{3ADDFBBD-A4A1-4CBA-96BF-75CDB9071DED}"/>
    <cellStyle name="Percent 26" xfId="116" xr:uid="{7EFA89DD-CEEB-4AAA-B549-9905106E459B}"/>
    <cellStyle name="Percent 27" xfId="117" xr:uid="{4F2F4F26-1C2E-4F59-8273-71885FB5ACC1}"/>
    <cellStyle name="Percent 28" xfId="119" xr:uid="{3B480D3C-2005-43FA-BBCC-D1FD3614E836}"/>
    <cellStyle name="Percent 29" xfId="123" xr:uid="{D041CE67-C51A-481D-BADE-824EEB59E669}"/>
    <cellStyle name="Percent 3" xfId="52" xr:uid="{00000000-0005-0000-0000-00003C000000}"/>
    <cellStyle name="Percent 4" xfId="53" xr:uid="{00000000-0005-0000-0000-00003D000000}"/>
    <cellStyle name="Percent 5" xfId="54" xr:uid="{00000000-0005-0000-0000-00003E000000}"/>
    <cellStyle name="Percent 6" xfId="55" xr:uid="{00000000-0005-0000-0000-00003F000000}"/>
    <cellStyle name="Percent 7" xfId="56" xr:uid="{00000000-0005-0000-0000-000040000000}"/>
    <cellStyle name="Percent 8" xfId="57" xr:uid="{00000000-0005-0000-0000-000041000000}"/>
    <cellStyle name="Percent 9" xfId="58" xr:uid="{00000000-0005-0000-0000-000042000000}"/>
    <cellStyle name="Qtrly Update - Dashboard" xfId="110" xr:uid="{A9F15D1B-941D-4939-8719-D31E44873B24}"/>
    <cellStyle name="RateCell" xfId="59" xr:uid="{00000000-0005-0000-0000-000043000000}"/>
    <cellStyle name="RateHdr" xfId="60" xr:uid="{00000000-0005-0000-0000-000044000000}"/>
    <cellStyle name="SchedGen" xfId="8" xr:uid="{00000000-0005-0000-0000-000045000000}"/>
    <cellStyle name="SchedValue" xfId="61" xr:uid="{00000000-0005-0000-0000-000046000000}"/>
    <cellStyle name="SchedValue2" xfId="62" xr:uid="{00000000-0005-0000-0000-000047000000}"/>
    <cellStyle name="Standard_Anpassen der Amortisation" xfId="63" xr:uid="{00000000-0005-0000-0000-000048000000}"/>
    <cellStyle name="Style 1" xfId="111" xr:uid="{D0089B44-CAAD-4F98-BA90-EA9477521B99}"/>
    <cellStyle name="Total 2" xfId="64" xr:uid="{00000000-0005-0000-0000-000049000000}"/>
    <cellStyle name="Währung [0]_Compiling Utility Macros" xfId="65" xr:uid="{00000000-0005-0000-0000-00004A000000}"/>
    <cellStyle name="Währung_Compiling Utility Macros" xfId="66" xr:uid="{00000000-0005-0000-0000-00004B000000}"/>
  </cellStyles>
  <dxfs count="4">
    <dxf>
      <font>
        <color theme="9" tint="-0.499984740745262"/>
      </font>
    </dxf>
    <dxf>
      <font>
        <color rgb="FFFF0000"/>
      </font>
    </dxf>
    <dxf>
      <font>
        <color rgb="FF9C0006"/>
      </font>
      <fill>
        <patternFill>
          <bgColor rgb="FFFFC7CE"/>
        </patternFill>
      </fill>
    </dxf>
    <dxf>
      <font>
        <color indexed="9"/>
      </font>
    </dxf>
  </dxfs>
  <tableStyles count="0" defaultTableStyle="TableStyleMedium2" defaultPivotStyle="PivotStyleLight16"/>
  <colors>
    <mruColors>
      <color rgb="FF132BDD"/>
      <color rgb="FF008000"/>
      <color rgb="FF99FFCC"/>
      <color rgb="FFFBDDCD"/>
      <color rgb="FFFDEADF"/>
      <color rgb="FFFDF0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6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25" b="0" i="0" u="none" strike="noStrike" baseline="0">
                <a:solidFill>
                  <a:srgbClr val="FFFFFF"/>
                </a:solidFill>
                <a:latin typeface="Verdana"/>
                <a:ea typeface="Verdana"/>
                <a:cs typeface="Verdana"/>
              </a:defRPr>
            </a:pPr>
            <a:r>
              <a:rPr lang="en-US"/>
              <a:t>LIBOR Forwards</a:t>
            </a:r>
          </a:p>
        </c:rich>
      </c:tx>
      <c:layout>
        <c:manualLayout>
          <c:xMode val="edge"/>
          <c:yMode val="edge"/>
          <c:x val="0.38792150981127399"/>
          <c:y val="3.18627450980392E-2"/>
        </c:manualLayout>
      </c:layout>
      <c:overlay val="0"/>
      <c:spPr>
        <a:noFill/>
        <a:ln w="25400">
          <a:noFill/>
        </a:ln>
      </c:spPr>
    </c:title>
    <c:autoTitleDeleted val="0"/>
    <c:plotArea>
      <c:layout>
        <c:manualLayout>
          <c:layoutTarget val="inner"/>
          <c:xMode val="edge"/>
          <c:yMode val="edge"/>
          <c:x val="0.114982708812778"/>
          <c:y val="0.20833383198776401"/>
          <c:w val="0.84436797279686204"/>
          <c:h val="0.55147190820290504"/>
        </c:manualLayout>
      </c:layout>
      <c:lineChart>
        <c:grouping val="stacked"/>
        <c:varyColors val="0"/>
        <c:ser>
          <c:idx val="0"/>
          <c:order val="0"/>
          <c:spPr>
            <a:ln w="38100">
              <a:solidFill>
                <a:srgbClr val="993300"/>
              </a:solidFill>
              <a:prstDash val="solid"/>
            </a:ln>
          </c:spPr>
          <c:marker>
            <c:symbol val="none"/>
          </c:marker>
          <c:cat>
            <c:numRef>
              <c:f>LIBOR!$L$3:$L$122</c:f>
              <c:numCache>
                <c:formatCode>m/d/yy</c:formatCode>
                <c:ptCount val="120"/>
                <c:pt idx="0">
                  <c:v>43220</c:v>
                </c:pt>
                <c:pt idx="1">
                  <c:v>43251</c:v>
                </c:pt>
                <c:pt idx="2">
                  <c:v>43270</c:v>
                </c:pt>
                <c:pt idx="3">
                  <c:v>43300</c:v>
                </c:pt>
                <c:pt idx="4">
                  <c:v>43329</c:v>
                </c:pt>
                <c:pt idx="5">
                  <c:v>43362</c:v>
                </c:pt>
                <c:pt idx="6">
                  <c:v>43391</c:v>
                </c:pt>
                <c:pt idx="7">
                  <c:v>43423</c:v>
                </c:pt>
                <c:pt idx="8">
                  <c:v>43453</c:v>
                </c:pt>
                <c:pt idx="9">
                  <c:v>43482</c:v>
                </c:pt>
                <c:pt idx="10">
                  <c:v>43515</c:v>
                </c:pt>
                <c:pt idx="11">
                  <c:v>43543</c:v>
                </c:pt>
                <c:pt idx="12">
                  <c:v>43572</c:v>
                </c:pt>
                <c:pt idx="13">
                  <c:v>43607</c:v>
                </c:pt>
                <c:pt idx="14">
                  <c:v>43640</c:v>
                </c:pt>
                <c:pt idx="15">
                  <c:v>43668</c:v>
                </c:pt>
                <c:pt idx="16">
                  <c:v>43704</c:v>
                </c:pt>
                <c:pt idx="17">
                  <c:v>43733</c:v>
                </c:pt>
                <c:pt idx="18">
                  <c:v>43763</c:v>
                </c:pt>
                <c:pt idx="19">
                  <c:v>43798</c:v>
                </c:pt>
                <c:pt idx="20">
                  <c:v>43817</c:v>
                </c:pt>
                <c:pt idx="21">
                  <c:v>43838</c:v>
                </c:pt>
                <c:pt idx="22">
                  <c:v>43866</c:v>
                </c:pt>
                <c:pt idx="23">
                  <c:v>43894</c:v>
                </c:pt>
                <c:pt idx="24">
                  <c:v>43937</c:v>
                </c:pt>
                <c:pt idx="25">
                  <c:v>43957</c:v>
                </c:pt>
                <c:pt idx="26">
                  <c:v>43985</c:v>
                </c:pt>
                <c:pt idx="27">
                  <c:v>44020</c:v>
                </c:pt>
                <c:pt idx="28">
                  <c:v>44048</c:v>
                </c:pt>
                <c:pt idx="29">
                  <c:v>44084</c:v>
                </c:pt>
                <c:pt idx="30">
                  <c:v>44111</c:v>
                </c:pt>
                <c:pt idx="31">
                  <c:v>44147</c:v>
                </c:pt>
                <c:pt idx="32">
                  <c:v>44179</c:v>
                </c:pt>
                <c:pt idx="33">
                  <c:v>44208</c:v>
                </c:pt>
                <c:pt idx="34">
                  <c:v>44239</c:v>
                </c:pt>
                <c:pt idx="35">
                  <c:v>44267</c:v>
                </c:pt>
                <c:pt idx="36">
                  <c:v>44298</c:v>
                </c:pt>
                <c:pt idx="37">
                  <c:v>44328</c:v>
                </c:pt>
                <c:pt idx="38">
                  <c:v>44361</c:v>
                </c:pt>
                <c:pt idx="39">
                  <c:v>44389</c:v>
                </c:pt>
                <c:pt idx="40">
                  <c:v>44420</c:v>
                </c:pt>
                <c:pt idx="41">
                  <c:v>44452</c:v>
                </c:pt>
                <c:pt idx="42">
                  <c:v>44481</c:v>
                </c:pt>
                <c:pt idx="43">
                  <c:v>44512</c:v>
                </c:pt>
                <c:pt idx="44">
                  <c:v>44543</c:v>
                </c:pt>
                <c:pt idx="45">
                  <c:v>44573</c:v>
                </c:pt>
                <c:pt idx="46">
                  <c:v>44606</c:v>
                </c:pt>
                <c:pt idx="47">
                  <c:v>44634</c:v>
                </c:pt>
                <c:pt idx="48">
                  <c:v>44663</c:v>
                </c:pt>
                <c:pt idx="49">
                  <c:v>44693</c:v>
                </c:pt>
                <c:pt idx="50">
                  <c:v>44725</c:v>
                </c:pt>
                <c:pt idx="51">
                  <c:v>44754</c:v>
                </c:pt>
                <c:pt idx="52">
                  <c:v>44785</c:v>
                </c:pt>
                <c:pt idx="53">
                  <c:v>44816</c:v>
                </c:pt>
                <c:pt idx="54">
                  <c:v>44846</c:v>
                </c:pt>
                <c:pt idx="55">
                  <c:v>44881</c:v>
                </c:pt>
                <c:pt idx="56">
                  <c:v>44911</c:v>
                </c:pt>
                <c:pt idx="57">
                  <c:v>44942</c:v>
                </c:pt>
                <c:pt idx="58">
                  <c:v>44973</c:v>
                </c:pt>
                <c:pt idx="59">
                  <c:v>45001</c:v>
                </c:pt>
                <c:pt idx="60">
                  <c:v>45033</c:v>
                </c:pt>
                <c:pt idx="61">
                  <c:v>45062</c:v>
                </c:pt>
                <c:pt idx="62">
                  <c:v>45093</c:v>
                </c:pt>
                <c:pt idx="63">
                  <c:v>45124</c:v>
                </c:pt>
                <c:pt idx="64">
                  <c:v>45154</c:v>
                </c:pt>
                <c:pt idx="65">
                  <c:v>45187</c:v>
                </c:pt>
                <c:pt idx="66">
                  <c:v>45215</c:v>
                </c:pt>
                <c:pt idx="67">
                  <c:v>45246</c:v>
                </c:pt>
                <c:pt idx="68">
                  <c:v>45278</c:v>
                </c:pt>
                <c:pt idx="69">
                  <c:v>45307</c:v>
                </c:pt>
                <c:pt idx="70">
                  <c:v>45338</c:v>
                </c:pt>
                <c:pt idx="71">
                  <c:v>45369</c:v>
                </c:pt>
                <c:pt idx="72">
                  <c:v>45398</c:v>
                </c:pt>
                <c:pt idx="73">
                  <c:v>45428</c:v>
                </c:pt>
                <c:pt idx="74">
                  <c:v>45460</c:v>
                </c:pt>
                <c:pt idx="75">
                  <c:v>45489</c:v>
                </c:pt>
                <c:pt idx="76">
                  <c:v>45520</c:v>
                </c:pt>
                <c:pt idx="77">
                  <c:v>45551</c:v>
                </c:pt>
                <c:pt idx="78">
                  <c:v>45581</c:v>
                </c:pt>
                <c:pt idx="79">
                  <c:v>45614</c:v>
                </c:pt>
                <c:pt idx="80">
                  <c:v>45642</c:v>
                </c:pt>
                <c:pt idx="81">
                  <c:v>45673</c:v>
                </c:pt>
                <c:pt idx="82">
                  <c:v>45705</c:v>
                </c:pt>
                <c:pt idx="83">
                  <c:v>45733</c:v>
                </c:pt>
                <c:pt idx="84">
                  <c:v>45763</c:v>
                </c:pt>
                <c:pt idx="85">
                  <c:v>45793</c:v>
                </c:pt>
                <c:pt idx="86">
                  <c:v>45824</c:v>
                </c:pt>
                <c:pt idx="87">
                  <c:v>45854</c:v>
                </c:pt>
                <c:pt idx="88">
                  <c:v>45887</c:v>
                </c:pt>
                <c:pt idx="89">
                  <c:v>45916</c:v>
                </c:pt>
                <c:pt idx="90">
                  <c:v>45946</c:v>
                </c:pt>
                <c:pt idx="91">
                  <c:v>45978</c:v>
                </c:pt>
                <c:pt idx="92">
                  <c:v>46007</c:v>
                </c:pt>
                <c:pt idx="93">
                  <c:v>46038</c:v>
                </c:pt>
                <c:pt idx="94">
                  <c:v>46069</c:v>
                </c:pt>
                <c:pt idx="95">
                  <c:v>46097</c:v>
                </c:pt>
                <c:pt idx="96">
                  <c:v>46128</c:v>
                </c:pt>
                <c:pt idx="97">
                  <c:v>46160</c:v>
                </c:pt>
                <c:pt idx="98">
                  <c:v>46189</c:v>
                </c:pt>
                <c:pt idx="99">
                  <c:v>46219</c:v>
                </c:pt>
                <c:pt idx="100">
                  <c:v>46251</c:v>
                </c:pt>
                <c:pt idx="101">
                  <c:v>46281</c:v>
                </c:pt>
                <c:pt idx="102">
                  <c:v>46311</c:v>
                </c:pt>
                <c:pt idx="103">
                  <c:v>46342</c:v>
                </c:pt>
                <c:pt idx="104">
                  <c:v>46372</c:v>
                </c:pt>
                <c:pt idx="105">
                  <c:v>46405</c:v>
                </c:pt>
                <c:pt idx="106">
                  <c:v>46434</c:v>
                </c:pt>
                <c:pt idx="107">
                  <c:v>46462</c:v>
                </c:pt>
                <c:pt idx="108">
                  <c:v>46493</c:v>
                </c:pt>
                <c:pt idx="109">
                  <c:v>46524</c:v>
                </c:pt>
                <c:pt idx="110">
                  <c:v>46554</c:v>
                </c:pt>
                <c:pt idx="111">
                  <c:v>46584</c:v>
                </c:pt>
                <c:pt idx="112">
                  <c:v>46615</c:v>
                </c:pt>
                <c:pt idx="113">
                  <c:v>46646</c:v>
                </c:pt>
                <c:pt idx="114">
                  <c:v>46678</c:v>
                </c:pt>
                <c:pt idx="115">
                  <c:v>46707</c:v>
                </c:pt>
                <c:pt idx="116">
                  <c:v>46737</c:v>
                </c:pt>
                <c:pt idx="117">
                  <c:v>46769</c:v>
                </c:pt>
                <c:pt idx="118">
                  <c:v>46799</c:v>
                </c:pt>
                <c:pt idx="119">
                  <c:v>46828</c:v>
                </c:pt>
              </c:numCache>
            </c:numRef>
          </c:cat>
          <c:val>
            <c:numRef>
              <c:f>LIBOR!$M$3:$M$122</c:f>
              <c:numCache>
                <c:formatCode>0.00%</c:formatCode>
                <c:ptCount val="120"/>
                <c:pt idx="0">
                  <c:v>1.93459371509354E-2</c:v>
                </c:pt>
                <c:pt idx="1">
                  <c:v>2.02779018683127E-2</c:v>
                </c:pt>
                <c:pt idx="2">
                  <c:v>2.0878799999999999E-2</c:v>
                </c:pt>
                <c:pt idx="3">
                  <c:v>2.0964679095913302E-2</c:v>
                </c:pt>
                <c:pt idx="4">
                  <c:v>2.1362736865347998E-2</c:v>
                </c:pt>
                <c:pt idx="5">
                  <c:v>2.2173289783933299E-2</c:v>
                </c:pt>
                <c:pt idx="6">
                  <c:v>2.3061997608283001E-2</c:v>
                </c:pt>
                <c:pt idx="7">
                  <c:v>2.3797887774857199E-2</c:v>
                </c:pt>
                <c:pt idx="8">
                  <c:v>2.4381140155075299E-2</c:v>
                </c:pt>
                <c:pt idx="9">
                  <c:v>2.49276744061948E-2</c:v>
                </c:pt>
                <c:pt idx="10">
                  <c:v>2.5399075799926299E-2</c:v>
                </c:pt>
                <c:pt idx="11">
                  <c:v>2.58906754648245E-2</c:v>
                </c:pt>
                <c:pt idx="12">
                  <c:v>2.6352311637041301E-2</c:v>
                </c:pt>
                <c:pt idx="13">
                  <c:v>2.4416500000000001E-2</c:v>
                </c:pt>
                <c:pt idx="14">
                  <c:v>2.4323299999999999E-2</c:v>
                </c:pt>
                <c:pt idx="15">
                  <c:v>2.4096900000000001E-2</c:v>
                </c:pt>
                <c:pt idx="16">
                  <c:v>2.1452499999999999E-2</c:v>
                </c:pt>
                <c:pt idx="17">
                  <c:v>2.0299999999999999E-2</c:v>
                </c:pt>
                <c:pt idx="18">
                  <c:v>1.8200000000000001E-2</c:v>
                </c:pt>
                <c:pt idx="19">
                  <c:v>1.7000000000000001E-2</c:v>
                </c:pt>
                <c:pt idx="20">
                  <c:v>1.7399999999999999E-2</c:v>
                </c:pt>
                <c:pt idx="21">
                  <c:v>1.7131500000000001E-2</c:v>
                </c:pt>
                <c:pt idx="22">
                  <c:v>1.6607299999999998E-2</c:v>
                </c:pt>
                <c:pt idx="23">
                  <c:v>1.50869E-2</c:v>
                </c:pt>
                <c:pt idx="24">
                  <c:v>8.0453E-3</c:v>
                </c:pt>
                <c:pt idx="25">
                  <c:v>3.0087999999999998E-3</c:v>
                </c:pt>
                <c:pt idx="26">
                  <c:v>1.8273E-3</c:v>
                </c:pt>
                <c:pt idx="27">
                  <c:v>1.6302000000000001E-3</c:v>
                </c:pt>
                <c:pt idx="28">
                  <c:v>1.5483999999999999E-3</c:v>
                </c:pt>
                <c:pt idx="29">
                  <c:v>1.5449000000000001E-3</c:v>
                </c:pt>
                <c:pt idx="30">
                  <c:v>1.4044000000000001E-3</c:v>
                </c:pt>
                <c:pt idx="31">
                  <c:v>1.2929E-3</c:v>
                </c:pt>
                <c:pt idx="32">
                  <c:v>1.5277999999999999E-3</c:v>
                </c:pt>
                <c:pt idx="33">
                  <c:v>1.6647999999999999E-3</c:v>
                </c:pt>
                <c:pt idx="34">
                  <c:v>1.7277E-3</c:v>
                </c:pt>
                <c:pt idx="35">
                  <c:v>1.709E-3</c:v>
                </c:pt>
                <c:pt idx="36">
                  <c:v>1.6251E-3</c:v>
                </c:pt>
                <c:pt idx="37">
                  <c:v>1.5034E-3</c:v>
                </c:pt>
                <c:pt idx="38">
                  <c:v>1.4061E-3</c:v>
                </c:pt>
                <c:pt idx="39">
                  <c:v>1.3485000000000001E-3</c:v>
                </c:pt>
                <c:pt idx="40">
                  <c:v>1.3358000000000001E-3</c:v>
                </c:pt>
                <c:pt idx="41">
                  <c:v>1.3621E-3</c:v>
                </c:pt>
                <c:pt idx="42">
                  <c:v>1.3944999999999999E-3</c:v>
                </c:pt>
                <c:pt idx="43">
                  <c:v>1.4476999999999999E-3</c:v>
                </c:pt>
                <c:pt idx="44">
                  <c:v>1.5070999999999999E-3</c:v>
                </c:pt>
                <c:pt idx="45">
                  <c:v>1.5459E-3</c:v>
                </c:pt>
                <c:pt idx="46">
                  <c:v>1.5776E-3</c:v>
                </c:pt>
                <c:pt idx="47">
                  <c:v>1.5849E-3</c:v>
                </c:pt>
                <c:pt idx="48">
                  <c:v>1.5552000000000001E-3</c:v>
                </c:pt>
                <c:pt idx="49">
                  <c:v>1.5169999999999999E-3</c:v>
                </c:pt>
                <c:pt idx="50">
                  <c:v>1.4938E-3</c:v>
                </c:pt>
                <c:pt idx="51">
                  <c:v>1.4702000000000001E-3</c:v>
                </c:pt>
                <c:pt idx="52">
                  <c:v>1.4851E-3</c:v>
                </c:pt>
                <c:pt idx="53">
                  <c:v>1.5347E-3</c:v>
                </c:pt>
                <c:pt idx="54">
                  <c:v>1.5907E-3</c:v>
                </c:pt>
                <c:pt idx="55">
                  <c:v>3.90987E-2</c:v>
                </c:pt>
                <c:pt idx="56">
                  <c:v>4.44781E-2</c:v>
                </c:pt>
                <c:pt idx="57">
                  <c:v>4.8152599999999997E-2</c:v>
                </c:pt>
                <c:pt idx="58">
                  <c:v>5.02318E-2</c:v>
                </c:pt>
                <c:pt idx="59">
                  <c:v>5.0998799999999997E-2</c:v>
                </c:pt>
                <c:pt idx="60">
                  <c:v>5.1074399999999999E-2</c:v>
                </c:pt>
                <c:pt idx="61">
                  <c:v>5.08242E-2</c:v>
                </c:pt>
                <c:pt idx="62">
                  <c:v>5.02967E-2</c:v>
                </c:pt>
                <c:pt idx="63">
                  <c:v>4.9586600000000002E-2</c:v>
                </c:pt>
                <c:pt idx="64">
                  <c:v>4.8841200000000001E-2</c:v>
                </c:pt>
                <c:pt idx="65">
                  <c:v>4.7955400000000002E-2</c:v>
                </c:pt>
                <c:pt idx="66">
                  <c:v>4.7155799999999998E-2</c:v>
                </c:pt>
                <c:pt idx="67">
                  <c:v>4.6134599999999998E-2</c:v>
                </c:pt>
                <c:pt idx="68">
                  <c:v>4.50652E-2</c:v>
                </c:pt>
                <c:pt idx="69">
                  <c:v>4.4078199999999998E-2</c:v>
                </c:pt>
                <c:pt idx="70">
                  <c:v>4.2911199999999997E-2</c:v>
                </c:pt>
                <c:pt idx="71">
                  <c:v>4.1686899999999999E-2</c:v>
                </c:pt>
                <c:pt idx="72">
                  <c:v>4.05943E-2</c:v>
                </c:pt>
                <c:pt idx="73">
                  <c:v>3.9406200000000002E-2</c:v>
                </c:pt>
                <c:pt idx="74">
                  <c:v>3.83253E-2</c:v>
                </c:pt>
                <c:pt idx="75">
                  <c:v>3.7435400000000001E-2</c:v>
                </c:pt>
                <c:pt idx="76">
                  <c:v>3.6636299999999997E-2</c:v>
                </c:pt>
                <c:pt idx="77">
                  <c:v>3.6059899999999999E-2</c:v>
                </c:pt>
                <c:pt idx="78">
                  <c:v>3.5537199999999998E-2</c:v>
                </c:pt>
                <c:pt idx="79">
                  <c:v>3.5163899999999998E-2</c:v>
                </c:pt>
                <c:pt idx="80">
                  <c:v>3.4929399999999999E-2</c:v>
                </c:pt>
                <c:pt idx="81">
                  <c:v>3.4659599999999999E-2</c:v>
                </c:pt>
                <c:pt idx="82">
                  <c:v>3.4436300000000003E-2</c:v>
                </c:pt>
                <c:pt idx="83">
                  <c:v>3.4244200000000002E-2</c:v>
                </c:pt>
                <c:pt idx="84">
                  <c:v>3.40349E-2</c:v>
                </c:pt>
                <c:pt idx="85">
                  <c:v>3.3835299999999999E-2</c:v>
                </c:pt>
                <c:pt idx="86">
                  <c:v>3.3660700000000002E-2</c:v>
                </c:pt>
                <c:pt idx="87">
                  <c:v>3.3436599999999997E-2</c:v>
                </c:pt>
                <c:pt idx="88">
                  <c:v>3.3233100000000002E-2</c:v>
                </c:pt>
                <c:pt idx="89">
                  <c:v>3.3073999999999999E-2</c:v>
                </c:pt>
                <c:pt idx="90">
                  <c:v>3.2877499999999997E-2</c:v>
                </c:pt>
                <c:pt idx="91">
                  <c:v>3.2710000000000003E-2</c:v>
                </c:pt>
                <c:pt idx="92">
                  <c:v>3.25854E-2</c:v>
                </c:pt>
                <c:pt idx="93">
                  <c:v>3.24447E-2</c:v>
                </c:pt>
                <c:pt idx="94">
                  <c:v>3.2349000000000003E-2</c:v>
                </c:pt>
                <c:pt idx="95">
                  <c:v>3.2280299999999998E-2</c:v>
                </c:pt>
                <c:pt idx="96">
                  <c:v>3.2198200000000003E-2</c:v>
                </c:pt>
                <c:pt idx="97">
                  <c:v>3.2153300000000003E-2</c:v>
                </c:pt>
                <c:pt idx="98">
                  <c:v>3.2140799999999997E-2</c:v>
                </c:pt>
                <c:pt idx="99">
                  <c:v>3.2116800000000001E-2</c:v>
                </c:pt>
                <c:pt idx="100">
                  <c:v>3.2124899999999998E-2</c:v>
                </c:pt>
                <c:pt idx="101">
                  <c:v>3.2156799999999999E-2</c:v>
                </c:pt>
                <c:pt idx="102">
                  <c:v>3.2176099999999999E-2</c:v>
                </c:pt>
                <c:pt idx="103">
                  <c:v>3.22162E-2</c:v>
                </c:pt>
                <c:pt idx="104">
                  <c:v>3.2280999999999997E-2</c:v>
                </c:pt>
                <c:pt idx="105">
                  <c:v>3.2321700000000002E-2</c:v>
                </c:pt>
                <c:pt idx="106">
                  <c:v>3.2369599999999998E-2</c:v>
                </c:pt>
                <c:pt idx="107">
                  <c:v>3.2431799999999997E-2</c:v>
                </c:pt>
                <c:pt idx="108">
                  <c:v>3.2464E-2</c:v>
                </c:pt>
                <c:pt idx="109">
                  <c:v>3.2507300000000003E-2</c:v>
                </c:pt>
                <c:pt idx="110">
                  <c:v>3.2555800000000003E-2</c:v>
                </c:pt>
                <c:pt idx="111">
                  <c:v>3.2577000000000002E-2</c:v>
                </c:pt>
                <c:pt idx="112">
                  <c:v>3.2608400000000003E-2</c:v>
                </c:pt>
                <c:pt idx="113">
                  <c:v>3.2653399999999999E-2</c:v>
                </c:pt>
                <c:pt idx="114">
                  <c:v>3.2668099999999999E-2</c:v>
                </c:pt>
                <c:pt idx="115">
                  <c:v>3.26918E-2</c:v>
                </c:pt>
                <c:pt idx="116">
                  <c:v>3.2729800000000003E-2</c:v>
                </c:pt>
                <c:pt idx="117">
                  <c:v>3.2742300000000002E-2</c:v>
                </c:pt>
                <c:pt idx="118">
                  <c:v>3.2769300000000001E-2</c:v>
                </c:pt>
                <c:pt idx="119">
                  <c:v>3.2809699999999997E-2</c:v>
                </c:pt>
              </c:numCache>
            </c:numRef>
          </c:val>
          <c:smooth val="0"/>
          <c:extLst>
            <c:ext xmlns:c16="http://schemas.microsoft.com/office/drawing/2014/chart" uri="{C3380CC4-5D6E-409C-BE32-E72D297353CC}">
              <c16:uniqueId val="{00000000-6D10-4F2E-8299-E76DFA1FF028}"/>
            </c:ext>
          </c:extLst>
        </c:ser>
        <c:dLbls>
          <c:showLegendKey val="0"/>
          <c:showVal val="0"/>
          <c:showCatName val="0"/>
          <c:showSerName val="0"/>
          <c:showPercent val="0"/>
          <c:showBubbleSize val="0"/>
        </c:dLbls>
        <c:smooth val="0"/>
        <c:axId val="1381533216"/>
        <c:axId val="1381534304"/>
      </c:lineChart>
      <c:dateAx>
        <c:axId val="1381533216"/>
        <c:scaling>
          <c:orientation val="minMax"/>
        </c:scaling>
        <c:delete val="0"/>
        <c:axPos val="b"/>
        <c:numFmt formatCode="d\-mmm\-yy" sourceLinked="0"/>
        <c:majorTickMark val="out"/>
        <c:minorTickMark val="none"/>
        <c:tickLblPos val="nextTo"/>
        <c:spPr>
          <a:ln w="3175">
            <a:solidFill>
              <a:srgbClr val="000000"/>
            </a:solidFill>
            <a:prstDash val="solid"/>
          </a:ln>
        </c:spPr>
        <c:txPr>
          <a:bodyPr rot="-5400000" vert="horz"/>
          <a:lstStyle/>
          <a:p>
            <a:pPr>
              <a:defRPr sz="900" b="0" i="0" u="none" strike="noStrike" baseline="0">
                <a:solidFill>
                  <a:srgbClr val="FFFFFF"/>
                </a:solidFill>
                <a:latin typeface="Arial"/>
                <a:ea typeface="Arial"/>
                <a:cs typeface="Arial"/>
              </a:defRPr>
            </a:pPr>
            <a:endParaRPr lang="en-US"/>
          </a:p>
        </c:txPr>
        <c:crossAx val="1381534304"/>
        <c:crosses val="autoZero"/>
        <c:auto val="1"/>
        <c:lblOffset val="100"/>
        <c:baseTimeUnit val="months"/>
        <c:majorUnit val="6"/>
        <c:majorTimeUnit val="months"/>
        <c:minorUnit val="6"/>
        <c:minorTimeUnit val="months"/>
      </c:dateAx>
      <c:valAx>
        <c:axId val="1381534304"/>
        <c:scaling>
          <c:orientation val="minMax"/>
          <c:max val="4.0000000000000008E-2"/>
          <c:min val="0"/>
        </c:scaling>
        <c:delete val="0"/>
        <c:axPos val="l"/>
        <c:majorGridlines>
          <c:spPr>
            <a:ln w="3175">
              <a:solidFill>
                <a:srgbClr val="000000"/>
              </a:solidFill>
              <a:prstDash val="solid"/>
            </a:ln>
          </c:spPr>
        </c:majorGridlines>
        <c:title>
          <c:tx>
            <c:rich>
              <a:bodyPr/>
              <a:lstStyle/>
              <a:p>
                <a:pPr>
                  <a:defRPr sz="1600" b="1" i="0" u="none" strike="noStrike" baseline="0">
                    <a:solidFill>
                      <a:srgbClr val="FFFFFF"/>
                    </a:solidFill>
                    <a:latin typeface="Arial"/>
                    <a:ea typeface="Arial"/>
                    <a:cs typeface="Arial"/>
                  </a:defRPr>
                </a:pPr>
                <a:r>
                  <a:rPr lang="en-US"/>
                  <a:t>Percent</a:t>
                </a:r>
              </a:p>
            </c:rich>
          </c:tx>
          <c:layout>
            <c:manualLayout>
              <c:xMode val="edge"/>
              <c:yMode val="edge"/>
              <c:x val="1.74216027874564E-2"/>
              <c:y val="0.37990299006741801"/>
            </c:manualLayout>
          </c:layout>
          <c:overlay val="0"/>
          <c:spPr>
            <a:noFill/>
            <a:ln w="25400">
              <a:noFill/>
            </a:ln>
          </c:spPr>
        </c:title>
        <c:numFmt formatCode="0.00%" sourceLinked="0"/>
        <c:majorTickMark val="out"/>
        <c:minorTickMark val="none"/>
        <c:tickLblPos val="nextTo"/>
        <c:spPr>
          <a:ln w="3175">
            <a:solidFill>
              <a:srgbClr val="000000"/>
            </a:solidFill>
            <a:prstDash val="solid"/>
          </a:ln>
        </c:spPr>
        <c:txPr>
          <a:bodyPr rot="0" vert="horz"/>
          <a:lstStyle/>
          <a:p>
            <a:pPr>
              <a:defRPr sz="900" b="0" i="0" u="none" strike="noStrike" baseline="0">
                <a:solidFill>
                  <a:srgbClr val="FFFFFF"/>
                </a:solidFill>
                <a:latin typeface="Arial"/>
                <a:ea typeface="Arial"/>
                <a:cs typeface="Arial"/>
              </a:defRPr>
            </a:pPr>
            <a:endParaRPr lang="en-US"/>
          </a:p>
        </c:txPr>
        <c:crossAx val="1381533216"/>
        <c:crosses val="autoZero"/>
        <c:crossBetween val="between"/>
        <c:minorUnit val="4.0000000000000002E-4"/>
      </c:valAx>
      <c:spPr>
        <a:solidFill>
          <a:srgbClr val="FFFFFF"/>
        </a:solidFill>
        <a:ln w="12700">
          <a:solidFill>
            <a:srgbClr val="FFFFFF"/>
          </a:solidFill>
          <a:prstDash val="solid"/>
        </a:ln>
      </c:spPr>
    </c:plotArea>
    <c:plotVisOnly val="1"/>
    <c:dispBlanksAs val="zero"/>
    <c:showDLblsOverMax val="0"/>
  </c:chart>
  <c:spPr>
    <a:solidFill>
      <a:srgbClr val="333333"/>
    </a:solidFill>
    <a:ln w="12700">
      <a:solidFill>
        <a:srgbClr val="000000"/>
      </a:solidFill>
      <a:prstDash val="solid"/>
    </a:ln>
  </c:spPr>
  <c:txPr>
    <a:bodyPr/>
    <a:lstStyle/>
    <a:p>
      <a:pPr>
        <a:defRPr sz="15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_rels/drawing4.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media/image7.jpeg"/><Relationship Id="rId1" Type="http://schemas.openxmlformats.org/officeDocument/2006/relationships/image" Target="../media/image6.jpeg"/><Relationship Id="rId4" Type="http://schemas.openxmlformats.org/officeDocument/2006/relationships/image" Target="../media/image9.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44451</xdr:rowOff>
    </xdr:from>
    <xdr:to>
      <xdr:col>1</xdr:col>
      <xdr:colOff>1574800</xdr:colOff>
      <xdr:row>2</xdr:row>
      <xdr:rowOff>25401</xdr:rowOff>
    </xdr:to>
    <xdr:pic>
      <xdr:nvPicPr>
        <xdr:cNvPr id="2" name="Picture 1" descr="arclogo.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3050" y="44451"/>
          <a:ext cx="1549400" cy="30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295275</xdr:colOff>
      <xdr:row>11</xdr:row>
      <xdr:rowOff>123825</xdr:rowOff>
    </xdr:from>
    <xdr:to>
      <xdr:col>10</xdr:col>
      <xdr:colOff>638175</xdr:colOff>
      <xdr:row>35</xdr:row>
      <xdr:rowOff>123825</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800100</xdr:colOff>
      <xdr:row>1</xdr:row>
      <xdr:rowOff>0</xdr:rowOff>
    </xdr:from>
    <xdr:to>
      <xdr:col>2</xdr:col>
      <xdr:colOff>409575</xdr:colOff>
      <xdr:row>4</xdr:row>
      <xdr:rowOff>156482</xdr:rowOff>
    </xdr:to>
    <xdr:pic>
      <xdr:nvPicPr>
        <xdr:cNvPr id="3" name="Picture 6">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0100" y="190500"/>
          <a:ext cx="2676525" cy="6381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7</xdr:col>
      <xdr:colOff>123825</xdr:colOff>
      <xdr:row>3</xdr:row>
      <xdr:rowOff>57150</xdr:rowOff>
    </xdr:from>
    <xdr:to>
      <xdr:col>8</xdr:col>
      <xdr:colOff>314325</xdr:colOff>
      <xdr:row>8</xdr:row>
      <xdr:rowOff>38099</xdr:rowOff>
    </xdr:to>
    <xdr:pic>
      <xdr:nvPicPr>
        <xdr:cNvPr id="4" name="Picture 4" descr="C:\Users\cirwin\AppData\Local\Microsoft\Windows\Temporary Internet Files\Content.Outlook\VP7V1NP9\ICE_Libor (2).png">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76950" y="581025"/>
          <a:ext cx="800100" cy="8191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2600326</xdr:colOff>
          <xdr:row>135</xdr:row>
          <xdr:rowOff>54714</xdr:rowOff>
        </xdr:from>
        <xdr:to>
          <xdr:col>16</xdr:col>
          <xdr:colOff>533401</xdr:colOff>
          <xdr:row>152</xdr:row>
          <xdr:rowOff>57149</xdr:rowOff>
        </xdr:to>
        <xdr:pic>
          <xdr:nvPicPr>
            <xdr:cNvPr id="2" name="Picture 1">
              <a:extLst>
                <a:ext uri="{FF2B5EF4-FFF2-40B4-BE49-F238E27FC236}">
                  <a16:creationId xmlns:a16="http://schemas.microsoft.com/office/drawing/2014/main" id="{EA6666D1-DA3E-4195-920B-288E16628911}"/>
                </a:ext>
              </a:extLst>
            </xdr:cNvPr>
            <xdr:cNvPicPr>
              <a:picLocks noChangeAspect="1" noChangeArrowheads="1"/>
              <a:extLst>
                <a:ext uri="{84589F7E-364E-4C9E-8A38-B11213B215E9}">
                  <a14:cameraTool cellRange="Assumptions!H71:N93" spid="_x0000_s54432"/>
                </a:ext>
              </a:extLst>
            </xdr:cNvPicPr>
          </xdr:nvPicPr>
          <xdr:blipFill>
            <a:blip xmlns:r="http://schemas.openxmlformats.org/officeDocument/2006/relationships" r:embed="rId1"/>
            <a:srcRect/>
            <a:stretch>
              <a:fillRect/>
            </a:stretch>
          </xdr:blipFill>
          <xdr:spPr bwMode="auto">
            <a:xfrm>
              <a:off x="12239626" y="25781739"/>
              <a:ext cx="4610100" cy="3240935"/>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2</xdr:col>
      <xdr:colOff>285750</xdr:colOff>
      <xdr:row>3</xdr:row>
      <xdr:rowOff>104775</xdr:rowOff>
    </xdr:from>
    <xdr:to>
      <xdr:col>5</xdr:col>
      <xdr:colOff>371475</xdr:colOff>
      <xdr:row>3</xdr:row>
      <xdr:rowOff>1457325</xdr:rowOff>
    </xdr:to>
    <xdr:pic>
      <xdr:nvPicPr>
        <xdr:cNvPr id="3" name="Picture 2" descr="Image result for 2400 cesar chavez austin">
          <a:extLst>
            <a:ext uri="{FF2B5EF4-FFF2-40B4-BE49-F238E27FC236}">
              <a16:creationId xmlns:a16="http://schemas.microsoft.com/office/drawing/2014/main" id="{1C515BAF-F3AE-4702-BCEB-BD7F3A5B44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76550" y="695325"/>
          <a:ext cx="2028825" cy="135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361950</xdr:colOff>
      <xdr:row>3</xdr:row>
      <xdr:rowOff>114300</xdr:rowOff>
    </xdr:from>
    <xdr:to>
      <xdr:col>9</xdr:col>
      <xdr:colOff>285749</xdr:colOff>
      <xdr:row>3</xdr:row>
      <xdr:rowOff>1469669</xdr:rowOff>
    </xdr:to>
    <xdr:pic>
      <xdr:nvPicPr>
        <xdr:cNvPr id="4" name="Picture 3" descr="Image result for canopy austin">
          <a:extLst>
            <a:ext uri="{FF2B5EF4-FFF2-40B4-BE49-F238E27FC236}">
              <a16:creationId xmlns:a16="http://schemas.microsoft.com/office/drawing/2014/main" id="{39E20211-CD74-439A-B7B1-DEE6404CA4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43550" y="704850"/>
          <a:ext cx="1866899" cy="13553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338730</xdr:colOff>
      <xdr:row>3</xdr:row>
      <xdr:rowOff>114300</xdr:rowOff>
    </xdr:from>
    <xdr:to>
      <xdr:col>13</xdr:col>
      <xdr:colOff>342899</xdr:colOff>
      <xdr:row>3</xdr:row>
      <xdr:rowOff>1412885</xdr:rowOff>
    </xdr:to>
    <xdr:pic>
      <xdr:nvPicPr>
        <xdr:cNvPr id="5" name="Picture 4" descr="Image result for springdale general">
          <a:extLst>
            <a:ext uri="{FF2B5EF4-FFF2-40B4-BE49-F238E27FC236}">
              <a16:creationId xmlns:a16="http://schemas.microsoft.com/office/drawing/2014/main" id="{D01F9353-C83A-4214-AB31-D1E11655FDD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111130" y="704850"/>
          <a:ext cx="1947269" cy="1298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323850</xdr:colOff>
      <xdr:row>3</xdr:row>
      <xdr:rowOff>133350</xdr:rowOff>
    </xdr:from>
    <xdr:to>
      <xdr:col>17</xdr:col>
      <xdr:colOff>361950</xdr:colOff>
      <xdr:row>3</xdr:row>
      <xdr:rowOff>1397794</xdr:rowOff>
    </xdr:to>
    <xdr:pic>
      <xdr:nvPicPr>
        <xdr:cNvPr id="6" name="Picture 5" descr="Image result for springdale station austin colliers">
          <a:extLst>
            <a:ext uri="{FF2B5EF4-FFF2-40B4-BE49-F238E27FC236}">
              <a16:creationId xmlns:a16="http://schemas.microsoft.com/office/drawing/2014/main" id="{4E7827AF-8D4B-4CC6-97AC-CAA1803B770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687050" y="723900"/>
          <a:ext cx="2009775" cy="12644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Jihyeun Byeon" id="{C4250B7E-A563-4957-8B3D-CE3E9EC29118}" userId="S::jbyeon@arccapitalpartners.com::eb4bb478-a39e-48d6-8fd5-fd3f2118a27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93" dT="2021-04-06T00:28:25.50" personId="{C4250B7E-A563-4957-8B3D-CE3E9EC29118}" id="{7E2A9F4C-1382-4D7C-B96D-9B223DAF9626}">
    <text>Discuss with QA</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1"/>
  <sheetViews>
    <sheetView showGridLines="0" zoomScale="70" zoomScaleNormal="70" zoomScalePageLayoutView="80" workbookViewId="0"/>
  </sheetViews>
  <sheetFormatPr baseColWidth="10" defaultColWidth="11.1640625" defaultRowHeight="13"/>
  <cols>
    <col min="1" max="1" width="3.5" style="259" customWidth="1"/>
    <col min="2" max="2" width="254" style="259" customWidth="1"/>
    <col min="3" max="16384" width="11.1640625" style="259"/>
  </cols>
  <sheetData>
    <row r="1" spans="2:3" ht="14">
      <c r="B1" s="258"/>
      <c r="C1" s="258"/>
    </row>
    <row r="2" spans="2:3" ht="14">
      <c r="B2" s="258"/>
      <c r="C2" s="258"/>
    </row>
    <row r="3" spans="2:3" ht="19">
      <c r="B3" s="260" t="str">
        <f>+Assumptions!B2</f>
        <v>Chapman Plaza</v>
      </c>
      <c r="C3" s="258"/>
    </row>
    <row r="4" spans="2:3" ht="19">
      <c r="B4" s="261">
        <f ca="1">TODAY()</f>
        <v>46153</v>
      </c>
      <c r="C4" s="258"/>
    </row>
    <row r="5" spans="2:3" ht="19">
      <c r="B5" s="261"/>
      <c r="C5" s="258"/>
    </row>
    <row r="6" spans="2:3" ht="19">
      <c r="B6" s="262" t="s">
        <v>146</v>
      </c>
      <c r="C6" s="258"/>
    </row>
    <row r="7" spans="2:3" ht="327" customHeight="1">
      <c r="B7" s="263" t="s">
        <v>147</v>
      </c>
      <c r="C7" s="258"/>
    </row>
    <row r="8" spans="2:3" ht="19">
      <c r="B8" s="264"/>
      <c r="C8" s="258"/>
    </row>
    <row r="9" spans="2:3" ht="14">
      <c r="B9" s="258"/>
      <c r="C9" s="258"/>
    </row>
    <row r="10" spans="2:3" ht="19">
      <c r="B10" s="262"/>
      <c r="C10" s="258"/>
    </row>
    <row r="11" spans="2:3" ht="19">
      <c r="B11" s="264"/>
      <c r="C11" s="258"/>
    </row>
  </sheetData>
  <pageMargins left="0.75" right="0.75" top="1" bottom="1" header="0.5" footer="0.5"/>
  <pageSetup orientation="landscape" horizontalDpi="4294967292" verticalDpi="429496729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6F323-DFD3-4AF2-BB0B-00867F1F36B1}">
  <dimension ref="B2:R106"/>
  <sheetViews>
    <sheetView showGridLines="0" zoomScale="90" zoomScaleNormal="90" workbookViewId="0">
      <selection activeCell="G88" sqref="G88"/>
    </sheetView>
  </sheetViews>
  <sheetFormatPr baseColWidth="10" defaultColWidth="9.1640625" defaultRowHeight="15" outlineLevelRow="1"/>
  <cols>
    <col min="2" max="2" width="11.5" customWidth="1"/>
    <col min="3" max="3" width="9.33203125" customWidth="1"/>
    <col min="4" max="7" width="14.33203125" customWidth="1"/>
    <col min="8" max="8" width="13.5" customWidth="1"/>
    <col min="9" max="9" width="10.1640625" customWidth="1"/>
    <col min="10" max="10" width="11.33203125" bestFit="1" customWidth="1"/>
    <col min="12" max="12" width="11.6640625" customWidth="1"/>
    <col min="13" max="13" width="9.1640625" customWidth="1"/>
    <col min="14" max="14" width="9.33203125" customWidth="1"/>
    <col min="15" max="15" width="10.1640625" customWidth="1"/>
    <col min="16" max="16" width="12.33203125" customWidth="1"/>
    <col min="18" max="18" width="53.5" customWidth="1"/>
  </cols>
  <sheetData>
    <row r="2" spans="2:18" hidden="1">
      <c r="B2" s="1150" t="s">
        <v>2320</v>
      </c>
      <c r="C2" s="1172"/>
      <c r="D2" s="1172"/>
      <c r="E2" s="1172"/>
      <c r="F2" s="1172"/>
      <c r="G2" s="1172"/>
      <c r="H2" s="1172"/>
      <c r="I2" s="1172"/>
      <c r="J2" s="1172"/>
      <c r="K2" s="1172"/>
      <c r="L2" s="1172"/>
      <c r="M2" s="1172"/>
      <c r="N2" s="1172"/>
      <c r="O2" s="1172"/>
      <c r="P2" s="1172"/>
      <c r="Q2" s="1172"/>
      <c r="R2" s="1480"/>
    </row>
    <row r="3" spans="2:18" hidden="1">
      <c r="B3" s="1458"/>
      <c r="C3" s="1459"/>
      <c r="D3" s="1462"/>
      <c r="E3" s="1467" t="s">
        <v>2322</v>
      </c>
      <c r="F3" s="1464"/>
      <c r="G3" s="1464"/>
      <c r="H3" s="1465"/>
      <c r="I3" s="1463" t="s">
        <v>2318</v>
      </c>
      <c r="J3" s="1463"/>
      <c r="K3" s="1475"/>
      <c r="L3" s="1478" t="s">
        <v>2323</v>
      </c>
      <c r="M3" s="1463"/>
      <c r="N3" s="1463"/>
      <c r="O3" s="1475"/>
      <c r="R3" s="1457"/>
    </row>
    <row r="4" spans="2:18" hidden="1">
      <c r="B4" s="1458"/>
      <c r="C4" s="1459"/>
      <c r="D4" s="1460" t="s">
        <v>506</v>
      </c>
      <c r="E4" s="1468">
        <v>2020</v>
      </c>
      <c r="F4" s="1461">
        <v>2021</v>
      </c>
      <c r="G4" s="1461">
        <v>2022</v>
      </c>
      <c r="H4" s="1466" t="s">
        <v>108</v>
      </c>
      <c r="I4" s="1461">
        <v>2020</v>
      </c>
      <c r="J4" s="1461">
        <v>2021</v>
      </c>
      <c r="K4" s="1466">
        <v>2022</v>
      </c>
      <c r="L4" s="1468">
        <v>2020</v>
      </c>
      <c r="M4" s="1461">
        <v>2021</v>
      </c>
      <c r="N4" s="1461">
        <v>2022</v>
      </c>
      <c r="O4" s="1466" t="s">
        <v>108</v>
      </c>
      <c r="P4" s="1479"/>
      <c r="Q4" s="1473"/>
      <c r="R4" s="1474"/>
    </row>
    <row r="5" spans="2:18" hidden="1">
      <c r="B5" s="1162">
        <v>200</v>
      </c>
      <c r="C5" s="1161" t="s">
        <v>1566</v>
      </c>
      <c r="D5" s="1218" t="s">
        <v>2321</v>
      </c>
      <c r="E5" s="1481">
        <v>3.5</v>
      </c>
      <c r="F5" s="1482">
        <v>2.5</v>
      </c>
      <c r="G5" s="1482">
        <v>2.5</v>
      </c>
      <c r="H5" s="1485">
        <f>F5-G5</f>
        <v>0</v>
      </c>
      <c r="I5" s="1158">
        <v>44196</v>
      </c>
      <c r="J5" s="1158">
        <v>44593</v>
      </c>
      <c r="K5" s="1476">
        <v>44835</v>
      </c>
      <c r="L5" s="1487">
        <v>80</v>
      </c>
      <c r="M5" s="1488">
        <v>100</v>
      </c>
      <c r="N5" s="1488">
        <v>100</v>
      </c>
      <c r="O5" s="1485">
        <f>N5-M5</f>
        <v>0</v>
      </c>
      <c r="P5" s="1251"/>
      <c r="Q5" s="1251"/>
      <c r="R5" s="1251"/>
    </row>
    <row r="6" spans="2:18" hidden="1">
      <c r="B6" s="1469">
        <v>300</v>
      </c>
      <c r="C6" s="1470" t="s">
        <v>1566</v>
      </c>
      <c r="D6" s="1471" t="s">
        <v>2321</v>
      </c>
      <c r="E6" s="1483">
        <v>3.5</v>
      </c>
      <c r="F6" s="1484">
        <v>2.5</v>
      </c>
      <c r="G6" s="1484">
        <v>2.5</v>
      </c>
      <c r="H6" s="1486">
        <f>F6-G6</f>
        <v>0</v>
      </c>
      <c r="I6" s="1472">
        <v>44196</v>
      </c>
      <c r="J6" s="1472">
        <v>44470</v>
      </c>
      <c r="K6" s="1477">
        <v>44835</v>
      </c>
      <c r="L6" s="1489">
        <v>25</v>
      </c>
      <c r="M6" s="1490">
        <v>25</v>
      </c>
      <c r="N6" s="1490">
        <v>45</v>
      </c>
      <c r="O6" s="1486">
        <f>N6-M6</f>
        <v>20</v>
      </c>
      <c r="P6" s="1474"/>
      <c r="Q6" s="1474"/>
      <c r="R6" s="1474"/>
    </row>
    <row r="7" spans="2:18" ht="1" hidden="1" customHeight="1">
      <c r="B7" s="1215"/>
      <c r="C7" s="1224"/>
      <c r="D7" s="1220"/>
      <c r="E7" s="1216"/>
      <c r="F7" s="1216"/>
      <c r="H7" s="1221"/>
      <c r="I7" s="1221"/>
      <c r="J7" s="1155"/>
      <c r="K7" s="1217"/>
      <c r="L7" s="1217"/>
      <c r="M7" s="1222"/>
      <c r="N7" s="1154"/>
      <c r="O7" s="1216"/>
      <c r="P7" s="1216"/>
      <c r="Q7" s="1221"/>
      <c r="R7" s="1223"/>
    </row>
    <row r="8" spans="2:18" hidden="1"/>
    <row r="9" spans="2:18" hidden="1">
      <c r="F9" s="773"/>
      <c r="G9" s="773"/>
      <c r="H9" s="773"/>
      <c r="I9" s="773"/>
      <c r="J9" s="773"/>
      <c r="K9" s="773"/>
      <c r="L9" s="773"/>
      <c r="M9" s="773"/>
      <c r="N9" s="773"/>
      <c r="O9" s="773"/>
      <c r="P9" s="773"/>
      <c r="Q9" s="773"/>
      <c r="R9" s="773"/>
    </row>
    <row r="10" spans="2:18" hidden="1">
      <c r="F10" s="773"/>
      <c r="G10" s="773"/>
      <c r="H10" s="773"/>
      <c r="I10" s="773"/>
      <c r="J10" s="773"/>
      <c r="K10" s="773"/>
      <c r="L10" s="773"/>
      <c r="M10" s="773"/>
      <c r="N10" s="773"/>
      <c r="O10" s="773"/>
      <c r="P10" s="773"/>
      <c r="Q10" s="773"/>
      <c r="R10" s="773"/>
    </row>
    <row r="11" spans="2:18" hidden="1">
      <c r="B11" s="1150" t="s">
        <v>2317</v>
      </c>
      <c r="C11" s="1172"/>
      <c r="D11" s="1172"/>
      <c r="E11" s="1172"/>
      <c r="F11" s="1172"/>
      <c r="G11" s="1172"/>
      <c r="H11" s="1172"/>
      <c r="I11" s="1172"/>
      <c r="J11" s="1172"/>
      <c r="K11" s="1172"/>
      <c r="L11" s="1172"/>
      <c r="M11" s="1172"/>
      <c r="N11" s="1172"/>
      <c r="O11" s="1172"/>
      <c r="P11" s="1172"/>
      <c r="Q11" s="1172"/>
      <c r="R11" s="1172"/>
    </row>
    <row r="12" spans="2:18" hidden="1">
      <c r="B12" s="1127"/>
      <c r="C12" s="1127"/>
      <c r="D12" s="1127"/>
      <c r="E12" s="1171" t="s">
        <v>2324</v>
      </c>
      <c r="F12" s="1170"/>
      <c r="G12" s="1170"/>
      <c r="H12" s="1170"/>
      <c r="I12" s="1170"/>
      <c r="J12" s="1171" t="s">
        <v>2316</v>
      </c>
      <c r="K12" s="1170"/>
      <c r="L12" s="1170"/>
      <c r="M12" s="1170"/>
      <c r="N12" s="1171" t="s">
        <v>2325</v>
      </c>
      <c r="O12" s="1170"/>
      <c r="P12" s="1170"/>
      <c r="Q12" s="1170"/>
      <c r="R12" s="1169"/>
    </row>
    <row r="13" spans="2:18" ht="16" hidden="1">
      <c r="B13" s="1166" t="s">
        <v>1571</v>
      </c>
      <c r="C13" s="1168" t="s">
        <v>478</v>
      </c>
      <c r="D13" s="1166" t="s">
        <v>1570</v>
      </c>
      <c r="E13" s="1166">
        <v>2020</v>
      </c>
      <c r="F13" s="1166">
        <v>2021</v>
      </c>
      <c r="G13" s="436">
        <v>2022</v>
      </c>
      <c r="H13" s="1166"/>
      <c r="I13" s="1166"/>
      <c r="J13" s="1167"/>
      <c r="K13" s="1166"/>
      <c r="L13" s="1166"/>
      <c r="M13" s="1166" t="s">
        <v>108</v>
      </c>
      <c r="N13" s="1167">
        <v>2019</v>
      </c>
      <c r="O13" s="1166">
        <v>2020</v>
      </c>
      <c r="P13" s="1166">
        <v>2021</v>
      </c>
      <c r="Q13" s="1166" t="s">
        <v>108</v>
      </c>
      <c r="R13" s="1382" t="s">
        <v>469</v>
      </c>
    </row>
    <row r="14" spans="2:18" hidden="1">
      <c r="B14" s="1162" t="s">
        <v>1965</v>
      </c>
      <c r="C14" s="1161" t="s">
        <v>1560</v>
      </c>
      <c r="D14" s="1160">
        <v>44834</v>
      </c>
      <c r="E14" s="1238">
        <v>5.75</v>
      </c>
      <c r="F14" s="1238">
        <v>6</v>
      </c>
      <c r="H14" s="1240"/>
      <c r="I14" s="1455"/>
      <c r="J14" s="1159"/>
      <c r="K14" s="1158"/>
      <c r="L14" s="1158"/>
      <c r="M14" s="1157">
        <v>0</v>
      </c>
      <c r="N14" s="1239">
        <v>40</v>
      </c>
      <c r="O14" s="1238">
        <v>40</v>
      </c>
      <c r="P14" s="1238">
        <v>18.03</v>
      </c>
      <c r="Q14" s="1240">
        <f t="shared" ref="Q14:Q25" si="0">P14-O14</f>
        <v>-21.97</v>
      </c>
      <c r="R14" s="1252" t="s">
        <v>2095</v>
      </c>
    </row>
    <row r="15" spans="2:18" hidden="1">
      <c r="B15" s="1162" t="s">
        <v>1562</v>
      </c>
      <c r="C15" s="1161" t="s">
        <v>2087</v>
      </c>
      <c r="D15" s="1160"/>
      <c r="E15" s="1156">
        <v>5.5</v>
      </c>
      <c r="F15" s="1156">
        <v>5.75</v>
      </c>
      <c r="H15" s="1243"/>
      <c r="I15" s="1456"/>
      <c r="J15" s="1159"/>
      <c r="K15" s="1158"/>
      <c r="L15" s="1158"/>
      <c r="M15" s="1157">
        <v>0</v>
      </c>
      <c r="N15" s="1241">
        <v>0</v>
      </c>
      <c r="O15" s="1242">
        <v>0</v>
      </c>
      <c r="P15" s="1242">
        <v>17.5</v>
      </c>
      <c r="Q15" s="1243">
        <f t="shared" si="0"/>
        <v>17.5</v>
      </c>
      <c r="R15" s="1252" t="s">
        <v>738</v>
      </c>
    </row>
    <row r="16" spans="2:18" hidden="1">
      <c r="B16" s="1163">
        <v>40</v>
      </c>
      <c r="C16" s="1161" t="s">
        <v>1569</v>
      </c>
      <c r="D16" s="1165">
        <v>46904</v>
      </c>
      <c r="E16" s="1156">
        <v>5.5</v>
      </c>
      <c r="F16" s="1156">
        <v>5.5</v>
      </c>
      <c r="H16" s="1243"/>
      <c r="I16" s="1456"/>
      <c r="J16" s="1159"/>
      <c r="K16" s="1158"/>
      <c r="L16" s="1158"/>
      <c r="M16" s="1164">
        <v>0</v>
      </c>
      <c r="N16" s="1241">
        <v>75</v>
      </c>
      <c r="O16" s="1242">
        <v>75</v>
      </c>
      <c r="P16" s="1242">
        <v>21.52</v>
      </c>
      <c r="Q16" s="1243">
        <f t="shared" si="0"/>
        <v>-53.480000000000004</v>
      </c>
      <c r="R16" s="1252" t="s">
        <v>738</v>
      </c>
    </row>
    <row r="17" spans="2:18" hidden="1">
      <c r="B17" s="1162">
        <v>50</v>
      </c>
      <c r="C17" s="1161" t="s">
        <v>1968</v>
      </c>
      <c r="D17" s="1218">
        <f>EOMONTH(L17,15*12-1)</f>
        <v>5479</v>
      </c>
      <c r="E17" s="1156">
        <v>6</v>
      </c>
      <c r="F17" s="1156">
        <v>5.25</v>
      </c>
      <c r="H17" s="1243"/>
      <c r="I17" s="1456"/>
      <c r="J17" s="1159"/>
      <c r="K17" s="1158"/>
      <c r="L17" s="1158"/>
      <c r="M17" s="1219"/>
      <c r="N17" s="1241">
        <v>75</v>
      </c>
      <c r="O17" s="1242">
        <v>50</v>
      </c>
      <c r="P17" s="1242">
        <v>60</v>
      </c>
      <c r="Q17" s="1243">
        <f t="shared" si="0"/>
        <v>10</v>
      </c>
      <c r="R17" s="1251" t="s">
        <v>2092</v>
      </c>
    </row>
    <row r="18" spans="2:18" hidden="1">
      <c r="B18" s="1163">
        <v>65</v>
      </c>
      <c r="C18" s="1161" t="s">
        <v>1967</v>
      </c>
      <c r="D18" s="1218">
        <v>46204</v>
      </c>
      <c r="E18" s="1156">
        <v>4.5999999999999996</v>
      </c>
      <c r="F18" s="1156">
        <v>3.75</v>
      </c>
      <c r="H18" s="1243"/>
      <c r="I18" s="1456"/>
      <c r="J18" s="1159"/>
      <c r="K18" s="1158"/>
      <c r="L18" s="1158"/>
      <c r="M18" s="1219">
        <v>0</v>
      </c>
      <c r="N18" s="1241">
        <v>50</v>
      </c>
      <c r="O18" s="1242">
        <v>50</v>
      </c>
      <c r="P18" s="1242">
        <v>35</v>
      </c>
      <c r="Q18" s="1243">
        <f t="shared" si="0"/>
        <v>-15</v>
      </c>
      <c r="R18" s="1251" t="s">
        <v>2093</v>
      </c>
    </row>
    <row r="19" spans="2:18" hidden="1">
      <c r="B19" s="1162">
        <v>70</v>
      </c>
      <c r="C19" s="1161" t="s">
        <v>1565</v>
      </c>
      <c r="D19" s="1218">
        <v>45291</v>
      </c>
      <c r="E19" s="1156">
        <v>5.75</v>
      </c>
      <c r="F19" s="1156">
        <v>5.5</v>
      </c>
      <c r="H19" s="1243"/>
      <c r="I19" s="1456"/>
      <c r="J19" s="1159"/>
      <c r="K19" s="1158"/>
      <c r="L19" s="1158"/>
      <c r="M19" s="1219">
        <v>0</v>
      </c>
      <c r="N19" s="1241">
        <v>20</v>
      </c>
      <c r="O19" s="1242">
        <v>20</v>
      </c>
      <c r="P19" s="1242">
        <v>22.17</v>
      </c>
      <c r="Q19" s="1243">
        <f t="shared" si="0"/>
        <v>2.1700000000000017</v>
      </c>
      <c r="R19" s="1252" t="s">
        <v>738</v>
      </c>
    </row>
    <row r="20" spans="2:18" hidden="1">
      <c r="B20" s="1162">
        <v>80</v>
      </c>
      <c r="C20" s="1161" t="s">
        <v>1563</v>
      </c>
      <c r="D20" s="1218">
        <v>47422</v>
      </c>
      <c r="E20" s="1156">
        <v>5.08</v>
      </c>
      <c r="F20" s="1156">
        <v>4.5</v>
      </c>
      <c r="H20" s="1243"/>
      <c r="I20" s="1456"/>
      <c r="J20" s="1159"/>
      <c r="K20" s="1158"/>
      <c r="L20" s="1158"/>
      <c r="M20" s="1219">
        <v>2</v>
      </c>
      <c r="N20" s="1241">
        <v>50</v>
      </c>
      <c r="O20" s="1242">
        <v>50</v>
      </c>
      <c r="P20" s="1242">
        <v>22.17</v>
      </c>
      <c r="Q20" s="1243">
        <f t="shared" si="0"/>
        <v>-27.83</v>
      </c>
      <c r="R20" s="1251" t="s">
        <v>2139</v>
      </c>
    </row>
    <row r="21" spans="2:18" hidden="1">
      <c r="B21" s="1162">
        <v>150</v>
      </c>
      <c r="C21" s="1161" t="s">
        <v>2088</v>
      </c>
      <c r="D21" s="1218">
        <v>45107</v>
      </c>
      <c r="E21" s="1156">
        <v>6</v>
      </c>
      <c r="F21" s="1156">
        <v>5.5</v>
      </c>
      <c r="H21" s="1243"/>
      <c r="I21" s="1456"/>
      <c r="J21" s="1159"/>
      <c r="K21" s="1158"/>
      <c r="L21" s="1158"/>
      <c r="M21" s="1219">
        <v>0</v>
      </c>
      <c r="N21" s="1241">
        <v>0</v>
      </c>
      <c r="O21" s="1242">
        <v>0</v>
      </c>
      <c r="P21" s="1242">
        <v>18.57</v>
      </c>
      <c r="Q21" s="1243">
        <f t="shared" si="0"/>
        <v>18.57</v>
      </c>
      <c r="R21" s="1251" t="s">
        <v>738</v>
      </c>
    </row>
    <row r="22" spans="2:18" hidden="1">
      <c r="B22" s="1162">
        <v>110</v>
      </c>
      <c r="C22" s="1161" t="s">
        <v>1567</v>
      </c>
      <c r="D22" s="1218">
        <v>44985</v>
      </c>
      <c r="E22" s="1156">
        <v>5.4207828706313927</v>
      </c>
      <c r="F22" s="1156">
        <v>5.5</v>
      </c>
      <c r="H22" s="1243"/>
      <c r="I22" s="1456"/>
      <c r="J22" s="1159"/>
      <c r="K22" s="1158"/>
      <c r="L22" s="1158"/>
      <c r="M22" s="1219">
        <v>0</v>
      </c>
      <c r="N22" s="1241">
        <v>0</v>
      </c>
      <c r="O22" s="1242">
        <v>0</v>
      </c>
      <c r="P22" s="1242">
        <v>18.57</v>
      </c>
      <c r="Q22" s="1243">
        <f t="shared" si="0"/>
        <v>18.57</v>
      </c>
      <c r="R22" s="1251" t="s">
        <v>2138</v>
      </c>
    </row>
    <row r="23" spans="2:18" hidden="1">
      <c r="B23" s="1162" t="s">
        <v>1561</v>
      </c>
      <c r="C23" s="1161" t="s">
        <v>1969</v>
      </c>
      <c r="D23" s="1218">
        <v>44681</v>
      </c>
      <c r="E23" s="1156">
        <v>5.5</v>
      </c>
      <c r="F23" s="1156">
        <v>6</v>
      </c>
      <c r="H23" s="1243"/>
      <c r="I23" s="1456"/>
      <c r="J23" s="1159"/>
      <c r="K23" s="1158"/>
      <c r="L23" s="1158"/>
      <c r="M23" s="1219">
        <v>0</v>
      </c>
      <c r="N23" s="1241">
        <v>40</v>
      </c>
      <c r="O23" s="1242">
        <v>40</v>
      </c>
      <c r="P23" s="1242">
        <v>19.7</v>
      </c>
      <c r="Q23" s="1243">
        <f t="shared" si="0"/>
        <v>-20.3</v>
      </c>
      <c r="R23" s="1251" t="s">
        <v>2096</v>
      </c>
    </row>
    <row r="24" spans="2:18" hidden="1">
      <c r="B24" s="1162">
        <v>160</v>
      </c>
      <c r="C24" s="1161" t="s">
        <v>1568</v>
      </c>
      <c r="D24" s="1218">
        <v>47269</v>
      </c>
      <c r="E24" s="1156">
        <v>6.14</v>
      </c>
      <c r="F24" s="1156">
        <v>6</v>
      </c>
      <c r="H24" s="1243"/>
      <c r="I24" s="1456"/>
      <c r="J24" s="1159"/>
      <c r="K24" s="1158"/>
      <c r="L24" s="1158"/>
      <c r="M24" s="1219">
        <v>2</v>
      </c>
      <c r="N24" s="1241">
        <v>50</v>
      </c>
      <c r="O24" s="1242">
        <v>50</v>
      </c>
      <c r="P24" s="1242">
        <v>22.17</v>
      </c>
      <c r="Q24" s="1243">
        <f t="shared" si="0"/>
        <v>-27.83</v>
      </c>
      <c r="R24" s="1251" t="s">
        <v>738</v>
      </c>
    </row>
    <row r="25" spans="2:18" hidden="1">
      <c r="B25" s="1162">
        <v>130</v>
      </c>
      <c r="C25" s="1161" t="s">
        <v>1564</v>
      </c>
      <c r="D25" s="1218">
        <v>45138</v>
      </c>
      <c r="E25" s="1156">
        <v>5.25</v>
      </c>
      <c r="F25" s="1156">
        <v>5.5</v>
      </c>
      <c r="H25" s="1243"/>
      <c r="I25" s="1456"/>
      <c r="J25" s="1159"/>
      <c r="K25" s="1158"/>
      <c r="L25" s="1158"/>
      <c r="M25" s="1219">
        <v>0</v>
      </c>
      <c r="N25" s="1241">
        <v>0</v>
      </c>
      <c r="O25" s="1242">
        <v>0</v>
      </c>
      <c r="P25" s="1242">
        <v>18.57</v>
      </c>
      <c r="Q25" s="1243">
        <f t="shared" si="0"/>
        <v>18.57</v>
      </c>
      <c r="R25" s="1251" t="s">
        <v>738</v>
      </c>
    </row>
    <row r="26" spans="2:18" hidden="1">
      <c r="B26" s="1162">
        <v>170</v>
      </c>
      <c r="C26" s="1161" t="s">
        <v>2179</v>
      </c>
      <c r="D26" s="1218"/>
      <c r="E26" s="1156">
        <v>0</v>
      </c>
      <c r="F26" s="1156">
        <v>0</v>
      </c>
      <c r="G26">
        <v>5.75</v>
      </c>
      <c r="H26" s="1243"/>
      <c r="I26" s="1456"/>
      <c r="J26" s="1159"/>
      <c r="K26" s="1158"/>
      <c r="L26" s="1158"/>
      <c r="M26" s="1219"/>
      <c r="N26" s="1241"/>
      <c r="O26" s="1242"/>
      <c r="P26" s="1242"/>
      <c r="Q26" s="1243"/>
      <c r="R26" s="1251"/>
    </row>
    <row r="27" spans="2:18" hidden="1">
      <c r="F27" s="773"/>
      <c r="G27" s="773"/>
      <c r="H27" s="773"/>
      <c r="I27" s="773"/>
      <c r="J27" s="773"/>
      <c r="K27" s="773"/>
      <c r="L27" s="773"/>
      <c r="M27" s="773"/>
      <c r="N27" s="773"/>
      <c r="O27" s="773"/>
      <c r="P27" s="773"/>
      <c r="Q27" s="773"/>
      <c r="R27" s="773"/>
    </row>
    <row r="28" spans="2:18" ht="16" hidden="1" thickBot="1">
      <c r="B28" s="1153" t="s">
        <v>1559</v>
      </c>
      <c r="C28" s="1153"/>
      <c r="D28" s="1152"/>
      <c r="E28" s="1226">
        <f>AVERAGE(E3:E7)</f>
        <v>675.66666666666663</v>
      </c>
      <c r="F28" s="1226">
        <f>AVERAGE(F3:F7)</f>
        <v>675.33333333333337</v>
      </c>
      <c r="H28" s="1227">
        <f>AVERAGE(H3:H7)</f>
        <v>0</v>
      </c>
      <c r="I28" s="1227"/>
      <c r="J28" s="1228"/>
      <c r="K28" s="1229"/>
      <c r="L28" s="1229"/>
      <c r="M28" s="1229"/>
      <c r="N28" s="1230">
        <f>AVERAGE(N3:N7)</f>
        <v>722.33333333333337</v>
      </c>
      <c r="O28" s="1231">
        <f>AVERAGE(O3:O7)</f>
        <v>10</v>
      </c>
      <c r="P28" s="1231" t="e">
        <f>AVERAGE(P4:P7)</f>
        <v>#DIV/0!</v>
      </c>
      <c r="Q28" s="1227" t="e">
        <f>AVERAGE(Q3:Q7)</f>
        <v>#DIV/0!</v>
      </c>
      <c r="R28" s="1151"/>
    </row>
    <row r="29" spans="2:18" ht="9.75" hidden="1" customHeight="1">
      <c r="B29" s="773"/>
      <c r="C29" s="773"/>
      <c r="D29" s="773"/>
      <c r="E29" s="773"/>
      <c r="F29" s="773"/>
      <c r="G29" s="773"/>
      <c r="H29" s="773"/>
      <c r="I29" s="773"/>
      <c r="J29" s="773"/>
      <c r="K29" s="773"/>
      <c r="L29" s="773"/>
      <c r="M29" s="773"/>
      <c r="N29" s="773"/>
      <c r="O29" s="773"/>
      <c r="P29" s="773"/>
      <c r="Q29" s="773"/>
      <c r="R29" s="773"/>
    </row>
    <row r="30" spans="2:18" hidden="1">
      <c r="B30" s="1150" t="s">
        <v>2319</v>
      </c>
      <c r="C30" s="1150"/>
      <c r="D30" s="1150"/>
      <c r="E30" s="1150"/>
      <c r="F30" s="1150"/>
      <c r="G30" s="1150"/>
      <c r="H30" s="1150"/>
      <c r="I30" s="1150"/>
      <c r="J30" s="1150"/>
      <c r="K30" s="1150"/>
      <c r="L30" s="1150"/>
      <c r="M30" s="1150"/>
      <c r="N30" s="1150"/>
      <c r="O30" s="1150"/>
      <c r="P30" s="1150"/>
      <c r="Q30" s="1150"/>
      <c r="R30" s="1150"/>
    </row>
    <row r="31" spans="2:18" s="1127" customFormat="1" hidden="1">
      <c r="B31" s="1127" t="s">
        <v>1558</v>
      </c>
      <c r="M31" s="1149"/>
      <c r="N31" s="436"/>
      <c r="O31" s="436">
        <v>2021</v>
      </c>
      <c r="P31" s="1127">
        <v>2022</v>
      </c>
      <c r="Q31" s="436" t="s">
        <v>108</v>
      </c>
      <c r="R31" s="1379" t="s">
        <v>469</v>
      </c>
    </row>
    <row r="32" spans="2:18" hidden="1">
      <c r="B32" s="1145" t="s">
        <v>436</v>
      </c>
      <c r="C32" s="1145"/>
      <c r="D32" s="1145"/>
      <c r="E32" s="1145"/>
      <c r="F32" s="1145"/>
      <c r="G32" s="1145"/>
      <c r="H32" s="1145"/>
      <c r="I32" s="1145"/>
      <c r="J32" s="1145"/>
      <c r="K32" s="1145"/>
      <c r="L32" s="1145"/>
      <c r="M32" s="1148"/>
      <c r="N32" s="1147"/>
      <c r="O32" s="1147">
        <v>0.05</v>
      </c>
      <c r="Q32" s="1146">
        <v>0</v>
      </c>
      <c r="R32" s="1380" t="s">
        <v>1557</v>
      </c>
    </row>
    <row r="33" spans="2:18" hidden="1">
      <c r="B33" s="773" t="s">
        <v>473</v>
      </c>
      <c r="C33" s="773"/>
      <c r="D33" s="773"/>
      <c r="E33" s="773"/>
      <c r="F33" s="773"/>
      <c r="G33" s="773"/>
      <c r="H33" s="773"/>
      <c r="I33" s="773"/>
      <c r="J33" s="773"/>
      <c r="K33" s="773"/>
      <c r="L33" s="773"/>
      <c r="M33" s="1144"/>
      <c r="N33" s="1144"/>
      <c r="O33" s="1144">
        <v>45291</v>
      </c>
      <c r="Q33" s="1143">
        <v>36</v>
      </c>
      <c r="R33" s="1381" t="s">
        <v>2137</v>
      </c>
    </row>
    <row r="34" spans="2:18" hidden="1">
      <c r="B34" s="773" t="s">
        <v>1966</v>
      </c>
      <c r="C34" s="773"/>
      <c r="D34" s="773"/>
      <c r="E34" s="773"/>
      <c r="F34" s="773"/>
      <c r="G34" s="773"/>
      <c r="H34" s="773"/>
      <c r="I34" s="773"/>
      <c r="J34" s="773"/>
      <c r="K34" s="773"/>
      <c r="L34" s="773"/>
      <c r="M34" s="1138"/>
      <c r="N34" s="1138"/>
      <c r="O34" s="1138">
        <f>Assumptions!M92</f>
        <v>0</v>
      </c>
      <c r="Q34" s="1142" t="e">
        <f>O34-#REF!</f>
        <v>#REF!</v>
      </c>
      <c r="R34" s="1381" t="s">
        <v>2094</v>
      </c>
    </row>
    <row r="35" spans="2:18" hidden="1" outlineLevel="1">
      <c r="B35" t="s">
        <v>1556</v>
      </c>
      <c r="C35" s="773"/>
      <c r="D35" s="773"/>
      <c r="E35" s="773"/>
      <c r="F35" s="773"/>
      <c r="G35" s="773"/>
      <c r="H35" s="773"/>
      <c r="I35" s="773"/>
      <c r="J35" s="773"/>
      <c r="K35" s="773"/>
      <c r="L35" s="773"/>
      <c r="M35" s="1138"/>
      <c r="N35" s="1138"/>
      <c r="O35" s="1138">
        <f>13*12</f>
        <v>156</v>
      </c>
      <c r="Q35" s="1142" t="e">
        <f>O35-#REF!</f>
        <v>#REF!</v>
      </c>
      <c r="R35" s="1381" t="s">
        <v>1555</v>
      </c>
    </row>
    <row r="36" spans="2:18" hidden="1" collapsed="1">
      <c r="B36" t="s">
        <v>1554</v>
      </c>
      <c r="C36" s="773"/>
      <c r="D36" s="773"/>
      <c r="E36" s="773"/>
      <c r="F36" s="773"/>
      <c r="G36" s="773"/>
      <c r="H36" s="773"/>
      <c r="I36" s="773"/>
      <c r="J36" s="773"/>
      <c r="K36" s="773"/>
      <c r="L36" s="773"/>
      <c r="M36" s="1138"/>
      <c r="N36" s="1138"/>
      <c r="O36" s="1138">
        <v>60</v>
      </c>
      <c r="Q36" s="1244" t="e">
        <f>O36-#REF!</f>
        <v>#REF!</v>
      </c>
      <c r="R36" s="1381" t="s">
        <v>1553</v>
      </c>
    </row>
    <row r="37" spans="2:18" hidden="1" outlineLevel="1">
      <c r="B37" s="773" t="s">
        <v>1552</v>
      </c>
      <c r="C37" s="773"/>
      <c r="D37" s="773"/>
      <c r="E37" s="773"/>
      <c r="F37" s="773"/>
      <c r="G37" s="773"/>
      <c r="H37" s="773"/>
      <c r="I37" s="773"/>
      <c r="J37" s="773"/>
      <c r="K37" s="773"/>
      <c r="L37" s="773"/>
      <c r="M37" s="1141"/>
      <c r="N37" s="1141"/>
      <c r="O37" s="1141"/>
      <c r="Q37" s="1245">
        <v>371.29999999999973</v>
      </c>
      <c r="R37" s="1381" t="s">
        <v>1551</v>
      </c>
    </row>
    <row r="38" spans="2:18" ht="3.75" hidden="1" customHeight="1" collapsed="1">
      <c r="B38" s="773"/>
      <c r="C38" s="773"/>
      <c r="D38" s="773"/>
      <c r="E38" s="773"/>
      <c r="F38" s="773"/>
      <c r="G38" s="773"/>
      <c r="H38" s="773"/>
      <c r="I38" s="773"/>
      <c r="J38" s="773"/>
      <c r="K38" s="773"/>
      <c r="L38" s="773"/>
      <c r="M38" s="773"/>
      <c r="N38" s="1140"/>
      <c r="O38" s="1140"/>
      <c r="Q38" s="1245"/>
      <c r="R38" s="1381"/>
    </row>
    <row r="39" spans="2:18" hidden="1" outlineLevel="1">
      <c r="B39" s="1139" t="s">
        <v>2085</v>
      </c>
      <c r="C39" s="773"/>
      <c r="D39" s="773"/>
      <c r="E39" s="773"/>
      <c r="F39" s="773"/>
      <c r="G39" s="773"/>
      <c r="H39" s="773"/>
      <c r="I39" s="773"/>
      <c r="J39" s="773"/>
      <c r="K39" s="773"/>
      <c r="L39" s="773"/>
      <c r="M39" s="773"/>
      <c r="N39" s="1136"/>
      <c r="O39" s="1136"/>
      <c r="Q39" s="773"/>
      <c r="R39" s="1381"/>
    </row>
    <row r="40" spans="2:18" hidden="1" outlineLevel="1">
      <c r="B40" s="773" t="s">
        <v>69</v>
      </c>
      <c r="C40" s="773"/>
      <c r="D40" s="773"/>
      <c r="E40" s="773"/>
      <c r="F40" s="773"/>
      <c r="G40" s="773"/>
      <c r="H40" s="773"/>
      <c r="I40" s="773"/>
      <c r="J40" s="773"/>
      <c r="K40" s="773"/>
      <c r="L40" s="773"/>
      <c r="M40" s="773"/>
      <c r="N40" s="1136"/>
      <c r="O40" s="1138">
        <f>Assumptions!F62</f>
        <v>22133.63997</v>
      </c>
      <c r="Q40" s="1246" t="e">
        <f>O40-#REF!</f>
        <v>#REF!</v>
      </c>
      <c r="R40" s="1381" t="s">
        <v>1548</v>
      </c>
    </row>
    <row r="41" spans="2:18" hidden="1" outlineLevel="1">
      <c r="B41" s="773" t="s">
        <v>1550</v>
      </c>
      <c r="C41" s="773"/>
      <c r="D41" s="773"/>
      <c r="E41" s="773"/>
      <c r="F41" s="773"/>
      <c r="G41" s="773"/>
      <c r="H41" s="773"/>
      <c r="I41" s="773"/>
      <c r="J41" s="773"/>
      <c r="K41" s="773"/>
      <c r="L41" s="773"/>
      <c r="M41" s="773"/>
      <c r="N41" s="1136"/>
      <c r="O41" s="1225" t="s">
        <v>2084</v>
      </c>
      <c r="Q41" s="1244" t="s">
        <v>1964</v>
      </c>
      <c r="R41" s="1381" t="s">
        <v>1548</v>
      </c>
    </row>
    <row r="42" spans="2:18" hidden="1" outlineLevel="1">
      <c r="B42" s="773" t="s">
        <v>1549</v>
      </c>
      <c r="C42" s="773"/>
      <c r="D42" s="773"/>
      <c r="E42" s="773"/>
      <c r="F42" s="773"/>
      <c r="G42" s="773"/>
      <c r="H42" s="773"/>
      <c r="I42" s="773"/>
      <c r="J42" s="773"/>
      <c r="K42" s="773"/>
      <c r="L42" s="773"/>
      <c r="M42" s="773"/>
      <c r="N42" s="1136"/>
      <c r="O42" s="1225" t="s">
        <v>2084</v>
      </c>
      <c r="Q42" s="1244" t="s">
        <v>1964</v>
      </c>
      <c r="R42" s="1381" t="s">
        <v>1548</v>
      </c>
    </row>
    <row r="43" spans="2:18" hidden="1" outlineLevel="1">
      <c r="B43" s="773" t="s">
        <v>1547</v>
      </c>
      <c r="C43" s="773"/>
      <c r="D43" s="773"/>
      <c r="E43" s="773"/>
      <c r="F43" s="773"/>
      <c r="G43" s="773"/>
      <c r="H43" s="773"/>
      <c r="I43" s="773"/>
      <c r="J43" s="773"/>
      <c r="K43" s="773"/>
      <c r="L43" s="773"/>
      <c r="M43" s="773"/>
      <c r="N43" s="1136"/>
      <c r="O43" s="1137">
        <f>Assumptions!D65</f>
        <v>490</v>
      </c>
      <c r="Q43" s="1246" t="e">
        <f>O43-#REF!</f>
        <v>#REF!</v>
      </c>
      <c r="R43" s="1381" t="s">
        <v>2203</v>
      </c>
    </row>
    <row r="44" spans="2:18" hidden="1" outlineLevel="1">
      <c r="B44" s="773" t="s">
        <v>1546</v>
      </c>
      <c r="C44" s="773"/>
      <c r="D44" s="773"/>
      <c r="E44" s="773"/>
      <c r="F44" s="773"/>
      <c r="G44" s="773"/>
      <c r="H44" s="773"/>
      <c r="I44" s="773"/>
      <c r="J44" s="773"/>
      <c r="K44" s="773"/>
      <c r="L44" s="773"/>
      <c r="M44" s="773"/>
      <c r="N44" s="1136"/>
      <c r="O44" s="1135" t="s">
        <v>1970</v>
      </c>
      <c r="Q44" s="1244"/>
      <c r="R44" s="1381" t="s">
        <v>756</v>
      </c>
    </row>
    <row r="45" spans="2:18" ht="6.75" hidden="1" customHeight="1" collapsed="1" thickBot="1">
      <c r="B45" s="1134"/>
      <c r="C45" s="1134"/>
      <c r="D45" s="1134"/>
      <c r="E45" s="1134"/>
      <c r="F45" s="1134"/>
      <c r="G45" s="1134"/>
      <c r="H45" s="1134"/>
      <c r="I45" s="1134"/>
      <c r="J45" s="1134"/>
      <c r="K45" s="1134"/>
      <c r="L45" s="1134"/>
      <c r="M45" s="1134"/>
      <c r="N45" s="1134"/>
      <c r="O45" s="1134"/>
      <c r="P45" s="1134"/>
      <c r="Q45" s="1134"/>
      <c r="R45" s="1134"/>
    </row>
    <row r="46" spans="2:18" hidden="1">
      <c r="B46" s="139"/>
    </row>
    <row r="47" spans="2:18" hidden="1">
      <c r="B47" t="s">
        <v>2086</v>
      </c>
    </row>
    <row r="48" spans="2:18" hidden="1">
      <c r="B48" s="139"/>
      <c r="C48" s="1310">
        <f>PMT(4.5%/12,360,-1)*12</f>
        <v>6.080223717910567E-2</v>
      </c>
    </row>
    <row r="49" spans="2:8">
      <c r="B49" s="139"/>
    </row>
    <row r="50" spans="2:8">
      <c r="B50" s="1130" t="s">
        <v>2345</v>
      </c>
      <c r="C50" s="1129"/>
      <c r="D50" s="1129"/>
      <c r="E50" s="1129"/>
      <c r="F50" s="1129"/>
      <c r="G50" s="285"/>
      <c r="H50" s="1620"/>
    </row>
    <row r="51" spans="2:8">
      <c r="B51" s="1473"/>
      <c r="C51" s="1473"/>
      <c r="D51" s="1514">
        <v>2020</v>
      </c>
      <c r="E51" s="1514">
        <v>2021</v>
      </c>
      <c r="F51" s="1514">
        <v>2022</v>
      </c>
      <c r="G51" s="1514">
        <v>2023</v>
      </c>
    </row>
    <row r="52" spans="2:8" ht="17">
      <c r="B52" s="1520" t="s">
        <v>2510</v>
      </c>
      <c r="C52" s="1515"/>
      <c r="D52" s="1521"/>
      <c r="E52" s="1521"/>
      <c r="F52" s="1521"/>
      <c r="G52" s="1521"/>
    </row>
    <row r="53" spans="2:8">
      <c r="B53" s="1519" t="s">
        <v>1545</v>
      </c>
      <c r="D53" s="1507">
        <v>44166</v>
      </c>
      <c r="E53" s="1507">
        <v>45261</v>
      </c>
      <c r="F53" s="1507">
        <v>44896</v>
      </c>
      <c r="G53" s="1507">
        <f>Assumptions!I17</f>
        <v>45657</v>
      </c>
    </row>
    <row r="54" spans="2:8">
      <c r="B54" s="1519" t="s">
        <v>2511</v>
      </c>
      <c r="D54" s="1508">
        <v>49509</v>
      </c>
      <c r="E54" s="1508">
        <v>58201</v>
      </c>
      <c r="F54" s="1508">
        <v>50485</v>
      </c>
      <c r="G54" s="1508">
        <f ca="1">Assumptions!L23</f>
        <v>56809.520000000011</v>
      </c>
    </row>
    <row r="55" spans="2:8">
      <c r="B55" s="1519" t="s">
        <v>2346</v>
      </c>
      <c r="D55" s="1508">
        <v>1166</v>
      </c>
      <c r="E55" s="1508">
        <v>1403</v>
      </c>
      <c r="F55" s="1508">
        <v>1217</v>
      </c>
      <c r="G55" s="1508">
        <f ca="1">Assumptions!K23</f>
        <v>1369.9274156598908</v>
      </c>
    </row>
    <row r="56" spans="2:8">
      <c r="B56" s="1519" t="s">
        <v>2347</v>
      </c>
      <c r="D56" s="1508">
        <v>2474</v>
      </c>
      <c r="E56" s="1508">
        <v>2910</v>
      </c>
      <c r="F56" s="1508">
        <v>2018</v>
      </c>
      <c r="G56" s="1508">
        <f ca="1">Assumptions!L21</f>
        <v>2690.4760000000006</v>
      </c>
    </row>
    <row r="57" spans="2:8">
      <c r="B57" s="1519" t="s">
        <v>513</v>
      </c>
      <c r="D57" s="1509">
        <v>0.05</v>
      </c>
      <c r="E57" s="1509">
        <v>0.05</v>
      </c>
      <c r="F57" s="1509">
        <v>4.2500000000000003E-2</v>
      </c>
      <c r="G57" s="1509">
        <f>Assumptions!L22</f>
        <v>0.05</v>
      </c>
    </row>
    <row r="58" spans="2:8">
      <c r="B58" s="1194" t="s">
        <v>235</v>
      </c>
      <c r="C58" s="1515"/>
      <c r="D58" s="1516"/>
      <c r="E58" s="1516"/>
      <c r="F58" s="1516"/>
      <c r="G58" s="1516"/>
    </row>
    <row r="59" spans="2:8">
      <c r="B59" s="9" t="s">
        <v>10</v>
      </c>
      <c r="D59" s="1511">
        <v>0.11600000000000001</v>
      </c>
      <c r="E59" s="1511">
        <v>7.6999999999999999E-2</v>
      </c>
      <c r="F59" s="1511">
        <v>5.8999999999999997E-2</v>
      </c>
      <c r="G59" s="1511">
        <f ca="1">Assumptions!O22</f>
        <v>5.7904282212257394E-2</v>
      </c>
    </row>
    <row r="60" spans="2:8">
      <c r="B60" s="9" t="s">
        <v>9</v>
      </c>
      <c r="D60" s="1512">
        <v>1.58</v>
      </c>
      <c r="E60" s="1512">
        <v>1.68</v>
      </c>
      <c r="F60" s="1512">
        <v>1.42</v>
      </c>
      <c r="G60" s="1512">
        <f ca="1">'Monthly Cash Flow'!I95</f>
        <v>1.5500000496627293</v>
      </c>
    </row>
    <row r="61" spans="2:8">
      <c r="B61" s="9" t="s">
        <v>158</v>
      </c>
      <c r="D61" s="1508">
        <v>32854</v>
      </c>
      <c r="E61" s="1508">
        <v>36954</v>
      </c>
      <c r="F61" s="1510">
        <v>36367</v>
      </c>
      <c r="G61" s="1510">
        <f ca="1">Assumptions!Q22</f>
        <v>37647.066320805607</v>
      </c>
    </row>
    <row r="62" spans="2:8">
      <c r="B62" s="9" t="s">
        <v>5</v>
      </c>
      <c r="D62" s="1508">
        <v>19169</v>
      </c>
      <c r="E62" s="1508">
        <v>25260</v>
      </c>
      <c r="F62" s="1508">
        <v>15327</v>
      </c>
      <c r="G62" s="1508">
        <f ca="1">Assumptions!R22</f>
        <v>20705.888346099153</v>
      </c>
    </row>
    <row r="63" spans="2:8">
      <c r="B63" s="1194" t="s">
        <v>238</v>
      </c>
      <c r="C63" s="1515"/>
      <c r="D63" s="1516"/>
      <c r="E63" s="1516"/>
      <c r="F63" s="1516"/>
      <c r="G63" s="1516"/>
    </row>
    <row r="64" spans="2:8">
      <c r="B64" s="9" t="s">
        <v>10</v>
      </c>
      <c r="D64" s="1511">
        <v>0.16200000000000001</v>
      </c>
      <c r="E64" s="1511">
        <v>0.124</v>
      </c>
      <c r="F64" s="1511">
        <v>8.6999999999999994E-2</v>
      </c>
      <c r="G64" s="1511">
        <f ca="1">Assumptions!O23</f>
        <v>7.1606448292732258E-2</v>
      </c>
    </row>
    <row r="65" spans="2:7">
      <c r="B65" s="9" t="s">
        <v>9</v>
      </c>
      <c r="D65" s="1512">
        <v>1.93</v>
      </c>
      <c r="E65" s="1512">
        <v>2.2599999999999998</v>
      </c>
      <c r="F65" s="1512">
        <v>1.63</v>
      </c>
      <c r="G65" s="1512">
        <f ca="1">Assumptions!P23</f>
        <v>1.7510528635997842</v>
      </c>
    </row>
    <row r="66" spans="2:7">
      <c r="B66" s="9" t="s">
        <v>158</v>
      </c>
      <c r="D66" s="1508">
        <v>14248</v>
      </c>
      <c r="E66" s="1508">
        <v>16032</v>
      </c>
      <c r="F66" s="1510">
        <v>16904</v>
      </c>
      <c r="G66" s="1510">
        <f ca="1">Assumptions!Q23</f>
        <v>15882.232</v>
      </c>
    </row>
    <row r="67" spans="2:7" ht="16" thickBot="1">
      <c r="B67" s="1517" t="s">
        <v>5</v>
      </c>
      <c r="C67" s="1134"/>
      <c r="D67" s="1518">
        <v>13248</v>
      </c>
      <c r="E67" s="1518">
        <v>20152</v>
      </c>
      <c r="F67" s="1518">
        <v>10358</v>
      </c>
      <c r="G67" s="1518">
        <f ca="1">Assumptions!R23</f>
        <v>11928.395823956129</v>
      </c>
    </row>
    <row r="68" spans="2:7" ht="7.5" customHeight="1">
      <c r="B68" s="139"/>
    </row>
    <row r="69" spans="2:7" hidden="1">
      <c r="B69" s="285" t="s">
        <v>1544</v>
      </c>
      <c r="C69" s="285"/>
      <c r="D69" s="285"/>
      <c r="E69" s="285"/>
      <c r="F69" s="285"/>
      <c r="G69" s="285"/>
    </row>
    <row r="70" spans="2:7" ht="18" hidden="1">
      <c r="D70" s="1123" t="s">
        <v>10</v>
      </c>
      <c r="E70" s="1123" t="s">
        <v>9</v>
      </c>
      <c r="F70" s="1123" t="s">
        <v>158</v>
      </c>
      <c r="G70" s="1123" t="s">
        <v>5</v>
      </c>
    </row>
    <row r="71" spans="2:7" hidden="1">
      <c r="B71" s="265" t="s">
        <v>235</v>
      </c>
      <c r="C71" s="265"/>
      <c r="D71" s="1122">
        <v>0.12188485757137735</v>
      </c>
      <c r="E71" s="1121">
        <v>1.7049646840195325</v>
      </c>
      <c r="F71" s="1120">
        <v>36167.510011202154</v>
      </c>
      <c r="G71" s="1120">
        <v>25496.817266820399</v>
      </c>
    </row>
    <row r="72" spans="2:7" hidden="1">
      <c r="B72" s="373" t="s">
        <v>236</v>
      </c>
      <c r="C72" s="265"/>
      <c r="D72" s="1119" t="s">
        <v>233</v>
      </c>
      <c r="E72" s="1119" t="s">
        <v>233</v>
      </c>
      <c r="F72" s="1119" t="s">
        <v>233</v>
      </c>
      <c r="G72" s="1118">
        <v>11082.133371872944</v>
      </c>
    </row>
    <row r="73" spans="2:7" hidden="1">
      <c r="B73" s="373" t="s">
        <v>237</v>
      </c>
      <c r="C73" s="265"/>
      <c r="D73" s="1119" t="s">
        <v>233</v>
      </c>
      <c r="E73" s="1119" t="s">
        <v>233</v>
      </c>
      <c r="F73" s="1119" t="s">
        <v>233</v>
      </c>
      <c r="G73" s="1118">
        <v>14414.683894947455</v>
      </c>
    </row>
    <row r="74" spans="2:7" ht="16" hidden="1" thickBot="1">
      <c r="B74" s="338" t="s">
        <v>238</v>
      </c>
      <c r="C74" s="338"/>
      <c r="D74" s="1117">
        <v>0.15967769722138048</v>
      </c>
      <c r="E74" s="1116">
        <v>1.968408681588093</v>
      </c>
      <c r="F74" s="1115">
        <v>17044.401838705726</v>
      </c>
      <c r="G74" s="1115">
        <v>16505.94671307868</v>
      </c>
    </row>
    <row r="75" spans="2:7" ht="7.5" hidden="1" customHeight="1">
      <c r="B75" s="265"/>
      <c r="C75" s="265"/>
      <c r="D75" s="1122"/>
      <c r="E75" s="1121"/>
      <c r="F75" s="1120"/>
      <c r="G75" s="1120"/>
    </row>
    <row r="76" spans="2:7" ht="12.75" hidden="1" customHeight="1">
      <c r="B76" s="1506" t="s">
        <v>2353</v>
      </c>
    </row>
    <row r="77" spans="2:7" ht="12.75" hidden="1" customHeight="1">
      <c r="B77" s="139" t="s">
        <v>2352</v>
      </c>
      <c r="C77" s="800"/>
      <c r="F77" s="773"/>
      <c r="G77" s="1128"/>
    </row>
    <row r="78" spans="2:7" ht="12.75" hidden="1" customHeight="1">
      <c r="B78" s="139" t="s">
        <v>2348</v>
      </c>
      <c r="C78" s="800"/>
      <c r="F78" s="773"/>
      <c r="G78" s="1126"/>
    </row>
    <row r="79" spans="2:7" ht="12.75" hidden="1" customHeight="1">
      <c r="B79" s="139" t="s">
        <v>2349</v>
      </c>
      <c r="C79" s="1125"/>
      <c r="D79" s="1513"/>
      <c r="E79" s="1513"/>
      <c r="F79" s="1124"/>
      <c r="G79" s="1124"/>
    </row>
    <row r="80" spans="2:7" ht="12.75" hidden="1" customHeight="1">
      <c r="B80" s="291" t="s">
        <v>2350</v>
      </c>
      <c r="C80" s="707"/>
      <c r="D80" s="1133"/>
      <c r="E80" s="1132"/>
      <c r="F80" s="1131"/>
      <c r="G80" s="1131"/>
    </row>
    <row r="81" spans="2:13" ht="12.75" hidden="1" customHeight="1">
      <c r="B81" s="291" t="s">
        <v>2351</v>
      </c>
      <c r="C81" s="707"/>
      <c r="D81" s="1133"/>
      <c r="E81" s="1132"/>
      <c r="F81" s="1131"/>
      <c r="G81" s="1131"/>
    </row>
    <row r="82" spans="2:13" hidden="1">
      <c r="B82" s="291"/>
    </row>
    <row r="83" spans="2:13">
      <c r="B83" s="1525" t="s">
        <v>2508</v>
      </c>
      <c r="C83" s="1526"/>
      <c r="D83" s="1526"/>
      <c r="E83" s="1526"/>
      <c r="F83" s="1527"/>
      <c r="G83" s="1527"/>
    </row>
    <row r="84" spans="2:13">
      <c r="B84" s="1473"/>
      <c r="C84" s="1523"/>
      <c r="D84" s="1522">
        <f>Assumptions!U30</f>
        <v>45291</v>
      </c>
      <c r="E84" s="1522">
        <f>Assumptions!V30</f>
        <v>45473</v>
      </c>
      <c r="F84" s="1522">
        <f>Assumptions!W30</f>
        <v>45565</v>
      </c>
      <c r="G84" s="1522">
        <f>Assumptions!X30</f>
        <v>45657</v>
      </c>
    </row>
    <row r="85" spans="2:13">
      <c r="C85" s="1524">
        <f>Assumptions!T31</f>
        <v>4.2500000000000003E-2</v>
      </c>
      <c r="D85" s="449" t="str">
        <f>Assumptions!U31</f>
        <v>9.0% / 1.8x</v>
      </c>
      <c r="E85" s="449" t="str">
        <f>Assumptions!V31</f>
        <v>11.4% / 2.3x</v>
      </c>
      <c r="F85" s="449" t="str">
        <f>Assumptions!W31</f>
        <v>11.1% / 2.3x</v>
      </c>
      <c r="G85" s="449" t="str">
        <f>Assumptions!X31</f>
        <v>10.9% / 2.3x</v>
      </c>
    </row>
    <row r="86" spans="2:13">
      <c r="C86" s="1624">
        <f>Assumptions!T32</f>
        <v>4.5000000000000005E-2</v>
      </c>
      <c r="D86" s="1628" t="str">
        <f>Assumptions!U32</f>
        <v>7.4% / 1.7x</v>
      </c>
      <c r="E86" s="449" t="str">
        <f>Assumptions!V32</f>
        <v>10.1% / 2.1x</v>
      </c>
      <c r="F86" s="449" t="str">
        <f>Assumptions!W32</f>
        <v>9.8% / 2.1x</v>
      </c>
      <c r="G86" s="449" t="str">
        <f>Assumptions!X32</f>
        <v>9.6% / 2.1x</v>
      </c>
    </row>
    <row r="87" spans="2:13">
      <c r="C87" s="1624">
        <f>Assumptions!T33</f>
        <v>4.7500000000000007E-2</v>
      </c>
      <c r="D87" s="1628" t="str">
        <f>Assumptions!U33</f>
        <v>5.9% / 1.5x</v>
      </c>
      <c r="E87" s="449" t="str">
        <f>Assumptions!V33</f>
        <v>8.7% / 1.9x</v>
      </c>
      <c r="F87" s="449" t="str">
        <f>Assumptions!W33</f>
        <v>8.5% / 1.9x</v>
      </c>
      <c r="G87" s="1541" t="str">
        <f>Assumptions!X33</f>
        <v>8.4% / 1.9x</v>
      </c>
    </row>
    <row r="88" spans="2:13">
      <c r="C88" s="1624">
        <f>Assumptions!T34</f>
        <v>5.000000000000001E-2</v>
      </c>
      <c r="D88" s="1628" t="str">
        <f>Assumptions!U34</f>
        <v>4.4% / 1.4x</v>
      </c>
      <c r="E88" s="449" t="str">
        <f>Assumptions!V34</f>
        <v>7.4% / 1.7x</v>
      </c>
      <c r="F88" s="449" t="str">
        <f>Assumptions!W34</f>
        <v>7.2% / 1.7x</v>
      </c>
      <c r="G88" s="1541" t="str">
        <f>Assumptions!X34</f>
        <v>7.2% / 1.8x</v>
      </c>
    </row>
    <row r="89" spans="2:13">
      <c r="C89" s="1624">
        <f>Assumptions!T35</f>
        <v>5.2500000000000012E-2</v>
      </c>
      <c r="D89" s="1628" t="str">
        <f>Assumptions!U35</f>
        <v>2.9% / 1.2x</v>
      </c>
      <c r="E89" s="449" t="str">
        <f>Assumptions!V35</f>
        <v>6.2% / 1.6x</v>
      </c>
      <c r="F89" s="449" t="str">
        <f>Assumptions!W35</f>
        <v>6.0% / 1.6x</v>
      </c>
      <c r="G89" s="1541" t="str">
        <f>Assumptions!X35</f>
        <v>6.0% / 1.6x</v>
      </c>
    </row>
    <row r="90" spans="2:13" ht="16" thickBot="1">
      <c r="B90" s="1134"/>
      <c r="C90" s="1625">
        <f>Assumptions!T36</f>
        <v>5.5000000000000014E-2</v>
      </c>
      <c r="D90" s="1629" t="str">
        <f>Assumptions!U36</f>
        <v>1.4% / 1.1x</v>
      </c>
      <c r="E90" s="1540" t="str">
        <f>Assumptions!V36</f>
        <v>4.9% / 1.4x</v>
      </c>
      <c r="F90" s="1540" t="str">
        <f>Assumptions!W36</f>
        <v>4.8% / 1.4x</v>
      </c>
      <c r="G90" s="1621" t="str">
        <f>Assumptions!X36</f>
        <v>4.8% / 1.5x</v>
      </c>
    </row>
    <row r="91" spans="2:13">
      <c r="C91" s="1310"/>
      <c r="D91" s="449"/>
      <c r="E91" s="449"/>
      <c r="F91" s="449"/>
      <c r="G91" s="449"/>
    </row>
    <row r="92" spans="2:13">
      <c r="B92" s="1525" t="s">
        <v>2509</v>
      </c>
      <c r="C92" s="1526"/>
      <c r="D92" s="1526"/>
      <c r="E92" s="1526"/>
      <c r="F92" s="1527"/>
      <c r="G92" s="1527"/>
    </row>
    <row r="93" spans="2:13">
      <c r="B93" s="1473"/>
      <c r="C93" s="1523"/>
      <c r="D93" s="1522">
        <f>D84</f>
        <v>45291</v>
      </c>
      <c r="E93" s="1522">
        <f t="shared" ref="E93:G93" si="1">E84</f>
        <v>45473</v>
      </c>
      <c r="F93" s="1522">
        <f t="shared" si="1"/>
        <v>45565</v>
      </c>
      <c r="G93" s="1522">
        <f t="shared" si="1"/>
        <v>45657</v>
      </c>
      <c r="M93" s="1114"/>
    </row>
    <row r="94" spans="2:13">
      <c r="C94" s="1524">
        <f>Assumptions!T44</f>
        <v>4.2500000000000003E-2</v>
      </c>
      <c r="D94" s="1538">
        <f>Assumptions!U44</f>
        <v>58343.435294117633</v>
      </c>
      <c r="E94" s="1538">
        <f>Assumptions!V44</f>
        <v>65528.494117647053</v>
      </c>
      <c r="F94" s="1538">
        <f>Assumptions!W44</f>
        <v>65916.705882352937</v>
      </c>
      <c r="G94" s="1538">
        <f>Assumptions!X44</f>
        <v>66305.317647058837</v>
      </c>
    </row>
    <row r="95" spans="2:13">
      <c r="C95" s="1624">
        <f>Assumptions!T45</f>
        <v>4.5000000000000005E-2</v>
      </c>
      <c r="D95" s="1626">
        <f>Assumptions!U45</f>
        <v>55268.799999999981</v>
      </c>
      <c r="E95" s="1538">
        <f>Assumptions!V45</f>
        <v>62054.688888888879</v>
      </c>
      <c r="F95" s="1538">
        <f>Assumptions!W45</f>
        <v>62421.333333333328</v>
      </c>
      <c r="G95" s="1538">
        <f>Assumptions!X45</f>
        <v>62788.355555555558</v>
      </c>
    </row>
    <row r="96" spans="2:13">
      <c r="C96" s="1624">
        <f>Assumptions!T46</f>
        <v>4.7500000000000007E-2</v>
      </c>
      <c r="D96" s="1626">
        <f>Assumptions!U46</f>
        <v>52517.81052631577</v>
      </c>
      <c r="E96" s="1538">
        <f>Assumptions!V46</f>
        <v>58946.547368421037</v>
      </c>
      <c r="F96" s="1538">
        <f>Assumptions!W46</f>
        <v>59293.8947368421</v>
      </c>
      <c r="G96" s="1542">
        <f>Assumptions!X46</f>
        <v>59641.600000000006</v>
      </c>
      <c r="M96" s="1114"/>
    </row>
    <row r="97" spans="2:13">
      <c r="C97" s="1624">
        <f>Assumptions!T47</f>
        <v>5.000000000000001E-2</v>
      </c>
      <c r="D97" s="1626">
        <f>Assumptions!U47</f>
        <v>50041.919999999984</v>
      </c>
      <c r="E97" s="1538">
        <f>Assumptions!V47</f>
        <v>56149.219999999987</v>
      </c>
      <c r="F97" s="1538">
        <f>Assumptions!W47</f>
        <v>56479.19999999999</v>
      </c>
      <c r="G97" s="1542">
        <f>Assumptions!X47</f>
        <v>56809.520000000004</v>
      </c>
    </row>
    <row r="98" spans="2:13">
      <c r="C98" s="1624">
        <f>Assumptions!T48</f>
        <v>5.2500000000000012E-2</v>
      </c>
      <c r="D98" s="1626">
        <f>Assumptions!U48</f>
        <v>47801.828571428552</v>
      </c>
      <c r="E98" s="1538">
        <f>Assumptions!V48</f>
        <v>53618.304761904743</v>
      </c>
      <c r="F98" s="1538">
        <f>Assumptions!W48</f>
        <v>53932.57142857142</v>
      </c>
      <c r="G98" s="1542">
        <f>Assumptions!X48</f>
        <v>54247.161904761902</v>
      </c>
    </row>
    <row r="99" spans="2:13" ht="16" thickBot="1">
      <c r="B99" s="1134"/>
      <c r="C99" s="1625">
        <f>Assumptions!T49</f>
        <v>5.5000000000000014E-2</v>
      </c>
      <c r="D99" s="1627">
        <f>Assumptions!U49</f>
        <v>45765.381818181799</v>
      </c>
      <c r="E99" s="1539">
        <f>Assumptions!V49</f>
        <v>51317.47272727271</v>
      </c>
      <c r="F99" s="1539">
        <f>Assumptions!W49</f>
        <v>51617.454545454537</v>
      </c>
      <c r="G99" s="1622">
        <f>Assumptions!X49</f>
        <v>51917.745454545453</v>
      </c>
    </row>
    <row r="100" spans="2:13">
      <c r="B100" s="33" t="s">
        <v>2363</v>
      </c>
    </row>
    <row r="101" spans="2:13" ht="15" customHeight="1">
      <c r="B101" s="1630" t="s">
        <v>2504</v>
      </c>
      <c r="C101" s="1630"/>
      <c r="D101" s="1630"/>
      <c r="E101" s="1630"/>
      <c r="F101" s="1630"/>
      <c r="G101" s="1630"/>
      <c r="M101" s="1114"/>
    </row>
    <row r="102" spans="2:13" ht="51" customHeight="1">
      <c r="B102" s="1630" t="s">
        <v>2512</v>
      </c>
      <c r="C102" s="1630"/>
      <c r="D102" s="1630"/>
      <c r="E102" s="1630"/>
      <c r="F102" s="1630"/>
      <c r="G102" s="1630"/>
    </row>
    <row r="103" spans="2:13">
      <c r="B103" s="265"/>
      <c r="C103" s="265"/>
      <c r="D103" s="1122"/>
      <c r="E103" s="1121"/>
      <c r="F103" s="1120"/>
      <c r="G103" s="1120"/>
    </row>
    <row r="104" spans="2:13">
      <c r="B104" s="1506"/>
      <c r="M104" s="1114"/>
    </row>
    <row r="106" spans="2:13" ht="14.25" customHeight="1"/>
  </sheetData>
  <mergeCells count="2">
    <mergeCell ref="B101:G101"/>
    <mergeCell ref="B102:G102"/>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4"/>
  <sheetViews>
    <sheetView showGridLines="0" topLeftCell="A2" zoomScaleNormal="100" workbookViewId="0">
      <selection activeCell="G32" sqref="G32"/>
    </sheetView>
  </sheetViews>
  <sheetFormatPr baseColWidth="10" defaultColWidth="9.1640625" defaultRowHeight="14" outlineLevelRow="2" outlineLevelCol="1"/>
  <cols>
    <col min="1" max="1" width="9.1640625" style="1"/>
    <col min="2" max="2" width="9.1640625" style="1" customWidth="1"/>
    <col min="3" max="4" width="9.1640625" style="1"/>
    <col min="5" max="5" width="5" style="1" customWidth="1"/>
    <col min="6" max="6" width="8.83203125" style="1" customWidth="1"/>
    <col min="7" max="11" width="11" style="1" bestFit="1" customWidth="1"/>
    <col min="12" max="13" width="10" style="1" customWidth="1" outlineLevel="1"/>
    <col min="14" max="15" width="9.1640625" style="1" customWidth="1" outlineLevel="1"/>
    <col min="16" max="16" width="15.83203125" style="1" customWidth="1"/>
    <col min="17" max="17" width="12" style="1" bestFit="1" customWidth="1"/>
    <col min="18" max="18" width="10.1640625" style="1" customWidth="1"/>
    <col min="19" max="19" width="12" style="1" bestFit="1" customWidth="1"/>
    <col min="20" max="20" width="20" style="1" bestFit="1" customWidth="1"/>
    <col min="21" max="21" width="14.5" style="1" customWidth="1"/>
    <col min="22" max="22" width="12" style="1" bestFit="1" customWidth="1"/>
    <col min="23" max="16384" width="9.1640625" style="1"/>
  </cols>
  <sheetData>
    <row r="1" spans="1:24" customFormat="1" ht="15">
      <c r="A1" s="265"/>
      <c r="B1" s="265"/>
      <c r="C1" s="265"/>
      <c r="D1" s="265"/>
      <c r="E1" s="265"/>
      <c r="F1" s="265"/>
      <c r="G1" s="265"/>
      <c r="H1" s="265"/>
      <c r="I1" s="265"/>
      <c r="J1" s="265"/>
      <c r="K1" s="265"/>
      <c r="L1" s="265"/>
      <c r="M1" s="265"/>
      <c r="N1" s="265"/>
    </row>
    <row r="2" spans="1:24" customFormat="1" ht="15">
      <c r="A2" s="265"/>
      <c r="B2" s="265"/>
      <c r="C2" s="265"/>
      <c r="D2" s="265"/>
      <c r="E2" s="265"/>
      <c r="F2" s="265"/>
      <c r="G2" s="265"/>
      <c r="H2" s="265"/>
      <c r="I2" s="265"/>
      <c r="J2" s="265"/>
      <c r="K2" s="265"/>
    </row>
    <row r="3" spans="1:24" customFormat="1" ht="16">
      <c r="A3" s="265"/>
      <c r="B3" s="363" t="str">
        <f>+Assumptions!B2</f>
        <v>Chapman Plaza</v>
      </c>
      <c r="C3" s="270"/>
      <c r="D3" s="270"/>
      <c r="E3" s="270"/>
      <c r="F3" s="270"/>
      <c r="G3" s="270"/>
      <c r="H3" s="270"/>
      <c r="I3" s="270"/>
      <c r="J3" s="270"/>
      <c r="K3" s="270"/>
    </row>
    <row r="4" spans="1:24" customFormat="1" ht="15">
      <c r="A4" s="265"/>
      <c r="B4" s="271" t="s">
        <v>211</v>
      </c>
      <c r="C4" s="265"/>
      <c r="D4" s="265"/>
      <c r="E4" s="265"/>
      <c r="F4" s="265"/>
      <c r="G4" s="265"/>
      <c r="H4" s="265"/>
      <c r="I4" s="265"/>
      <c r="J4" s="265"/>
      <c r="K4" s="265"/>
    </row>
    <row r="5" spans="1:24" ht="15">
      <c r="A5" s="265"/>
      <c r="B5" s="265"/>
      <c r="C5" s="265"/>
      <c r="D5" s="265"/>
      <c r="E5" s="265"/>
      <c r="F5" s="265"/>
      <c r="G5" s="265"/>
      <c r="H5" s="265"/>
      <c r="I5" s="265"/>
      <c r="J5" s="265"/>
      <c r="K5" s="265"/>
      <c r="L5"/>
      <c r="M5"/>
      <c r="N5"/>
      <c r="O5"/>
    </row>
    <row r="6" spans="1:24" ht="15">
      <c r="A6" s="265" t="s">
        <v>212</v>
      </c>
      <c r="B6" s="595" t="s">
        <v>213</v>
      </c>
      <c r="C6" s="595"/>
      <c r="D6" s="595"/>
      <c r="E6" s="595"/>
      <c r="F6" s="595"/>
      <c r="G6" s="595"/>
      <c r="H6" s="595"/>
      <c r="I6" s="595"/>
      <c r="J6" s="265"/>
      <c r="K6" s="265"/>
      <c r="L6"/>
      <c r="M6"/>
      <c r="N6"/>
      <c r="O6"/>
      <c r="R6"/>
      <c r="S6"/>
      <c r="T6"/>
      <c r="U6"/>
      <c r="V6"/>
      <c r="W6"/>
      <c r="X6"/>
    </row>
    <row r="7" spans="1:24" ht="15">
      <c r="A7" s="265"/>
      <c r="B7" s="797" t="s">
        <v>214</v>
      </c>
      <c r="C7" s="797"/>
      <c r="D7" s="698" t="s">
        <v>724</v>
      </c>
      <c r="E7" s="798"/>
      <c r="F7" s="799" t="s">
        <v>215</v>
      </c>
      <c r="G7" s="798"/>
      <c r="H7" s="798"/>
      <c r="I7" s="845" t="s">
        <v>1543</v>
      </c>
      <c r="J7" s="265"/>
      <c r="K7" s="265"/>
      <c r="L7" s="265"/>
      <c r="M7" s="265"/>
      <c r="N7" s="265"/>
      <c r="R7"/>
      <c r="S7"/>
      <c r="T7"/>
      <c r="U7"/>
      <c r="V7"/>
      <c r="W7"/>
      <c r="X7"/>
    </row>
    <row r="8" spans="1:24" ht="15">
      <c r="A8" s="265"/>
      <c r="B8" s="265" t="s">
        <v>216</v>
      </c>
      <c r="C8" s="265"/>
      <c r="D8" s="699">
        <f>Assumptions!$F$7</f>
        <v>41469</v>
      </c>
      <c r="E8" s="696"/>
      <c r="F8" s="697" t="s">
        <v>217</v>
      </c>
      <c r="G8" s="696"/>
      <c r="H8" s="696"/>
      <c r="I8" s="700" t="s">
        <v>1542</v>
      </c>
      <c r="J8" s="265"/>
      <c r="K8" s="265"/>
      <c r="L8" s="265"/>
      <c r="M8" s="265"/>
      <c r="N8" s="265"/>
      <c r="R8"/>
      <c r="S8"/>
      <c r="T8"/>
      <c r="U8"/>
      <c r="V8"/>
      <c r="W8"/>
      <c r="X8"/>
    </row>
    <row r="9" spans="1:24" ht="15">
      <c r="A9" s="265"/>
      <c r="B9" s="265" t="s">
        <v>250</v>
      </c>
      <c r="C9" s="265"/>
      <c r="D9" s="844">
        <v>0.6</v>
      </c>
      <c r="E9" s="696"/>
      <c r="F9" s="697" t="s">
        <v>218</v>
      </c>
      <c r="G9" s="696"/>
      <c r="H9" s="696"/>
      <c r="I9" s="700" t="s">
        <v>1541</v>
      </c>
      <c r="J9" s="265"/>
      <c r="K9" s="265"/>
      <c r="L9" s="265"/>
      <c r="M9" s="265"/>
      <c r="N9" s="265"/>
      <c r="R9"/>
      <c r="S9"/>
      <c r="T9"/>
      <c r="U9"/>
      <c r="V9"/>
      <c r="W9"/>
      <c r="X9"/>
    </row>
    <row r="10" spans="1:24" ht="16" thickBot="1">
      <c r="A10" s="265"/>
      <c r="B10" s="338" t="s">
        <v>82</v>
      </c>
      <c r="C10" s="338"/>
      <c r="D10" s="701">
        <v>102</v>
      </c>
      <c r="E10" s="702"/>
      <c r="F10" s="703" t="s">
        <v>219</v>
      </c>
      <c r="G10" s="704"/>
      <c r="H10" s="704"/>
      <c r="I10" s="705" t="s">
        <v>253</v>
      </c>
      <c r="J10" s="265"/>
      <c r="K10" s="265"/>
      <c r="L10" s="265"/>
      <c r="M10" s="265"/>
      <c r="N10" s="265"/>
      <c r="R10"/>
      <c r="S10"/>
      <c r="T10"/>
      <c r="U10"/>
      <c r="V10"/>
      <c r="W10"/>
      <c r="X10"/>
    </row>
    <row r="11" spans="1:24" ht="15">
      <c r="A11" s="265"/>
      <c r="B11" s="265"/>
      <c r="C11" s="265"/>
      <c r="D11" s="696"/>
      <c r="E11" s="699"/>
      <c r="F11" s="696"/>
      <c r="G11" s="696"/>
      <c r="H11" s="696"/>
      <c r="I11" s="696"/>
      <c r="J11" s="265"/>
      <c r="K11" s="265"/>
      <c r="L11" s="265"/>
      <c r="M11" s="265"/>
      <c r="N11" s="265"/>
      <c r="R11"/>
      <c r="S11"/>
      <c r="T11"/>
      <c r="U11"/>
      <c r="V11"/>
      <c r="W11"/>
      <c r="X11"/>
    </row>
    <row r="12" spans="1:24" ht="15">
      <c r="A12" s="265" t="s">
        <v>212</v>
      </c>
      <c r="B12" s="285" t="s">
        <v>220</v>
      </c>
      <c r="C12" s="285"/>
      <c r="D12" s="285"/>
      <c r="E12" s="285"/>
      <c r="F12" s="285"/>
      <c r="G12" s="285"/>
      <c r="H12" s="285"/>
      <c r="I12" s="285"/>
      <c r="J12" s="285"/>
      <c r="K12" s="285"/>
      <c r="L12" s="265"/>
      <c r="M12" s="265"/>
      <c r="N12" s="265"/>
      <c r="R12"/>
      <c r="S12"/>
      <c r="T12"/>
      <c r="U12"/>
      <c r="V12"/>
      <c r="W12"/>
      <c r="X12"/>
    </row>
    <row r="13" spans="1:24" ht="18">
      <c r="A13" s="265"/>
      <c r="B13" s="265"/>
      <c r="C13" s="265"/>
      <c r="D13" s="265"/>
      <c r="E13" s="265"/>
      <c r="G13" s="364" t="s">
        <v>15</v>
      </c>
      <c r="H13" s="364" t="s">
        <v>221</v>
      </c>
      <c r="I13" s="364" t="s">
        <v>84</v>
      </c>
      <c r="J13" s="364" t="s">
        <v>210</v>
      </c>
      <c r="K13" s="364" t="s">
        <v>49</v>
      </c>
      <c r="L13" s="265"/>
      <c r="M13" s="265"/>
      <c r="N13" s="265"/>
      <c r="R13"/>
      <c r="S13"/>
      <c r="T13"/>
      <c r="U13"/>
      <c r="V13"/>
      <c r="W13"/>
      <c r="X13"/>
    </row>
    <row r="14" spans="1:24" ht="15">
      <c r="A14" s="265"/>
      <c r="B14" s="265" t="s">
        <v>86</v>
      </c>
      <c r="C14" s="265"/>
      <c r="D14" s="265"/>
      <c r="E14" s="265"/>
      <c r="G14" s="410">
        <f>+Assumptions!F46</f>
        <v>19541</v>
      </c>
      <c r="H14" s="411">
        <f>+Assumptions!F49</f>
        <v>2254.7940000000017</v>
      </c>
      <c r="I14" s="411">
        <f>+G14+H14</f>
        <v>21795.794000000002</v>
      </c>
      <c r="J14" s="410">
        <f>+I14/$D$8*1000</f>
        <v>525.59246666184379</v>
      </c>
      <c r="K14" s="296">
        <f ca="1">+I14/$I$17</f>
        <v>0.5284727495006587</v>
      </c>
      <c r="L14" s="265"/>
      <c r="M14" s="265"/>
      <c r="N14" s="265"/>
      <c r="R14"/>
      <c r="S14"/>
      <c r="T14"/>
      <c r="U14"/>
      <c r="V14"/>
      <c r="W14"/>
      <c r="X14"/>
    </row>
    <row r="15" spans="1:24" ht="15">
      <c r="A15" s="265"/>
      <c r="B15" s="265" t="s">
        <v>90</v>
      </c>
      <c r="C15" s="265"/>
      <c r="D15" s="265"/>
      <c r="E15" s="265"/>
      <c r="G15" s="318">
        <f>(G$29-G$14-G16)</f>
        <v>13708</v>
      </c>
      <c r="H15" s="318">
        <f ca="1">(H$29-H$14-H16)</f>
        <v>5624.7810744504241</v>
      </c>
      <c r="I15" s="318">
        <f ca="1">+G15+H15</f>
        <v>19332.781074450424</v>
      </c>
      <c r="J15" s="376">
        <f t="shared" ref="J15:J16" ca="1" si="0">+I15/$D$8*1000</f>
        <v>466.19839095349352</v>
      </c>
      <c r="K15" s="296">
        <f ca="1">+I15/$I$17</f>
        <v>0.46875319017555006</v>
      </c>
      <c r="L15" s="265"/>
      <c r="M15" s="265"/>
      <c r="N15" s="265"/>
      <c r="R15"/>
      <c r="S15"/>
      <c r="T15"/>
      <c r="U15"/>
      <c r="V15"/>
      <c r="W15"/>
      <c r="X15"/>
    </row>
    <row r="16" spans="1:24" ht="15">
      <c r="A16" s="265"/>
      <c r="B16" s="265" t="s">
        <v>65</v>
      </c>
      <c r="C16" s="265"/>
      <c r="D16" s="265"/>
      <c r="E16" s="265"/>
      <c r="G16" s="366">
        <v>0</v>
      </c>
      <c r="H16" s="366">
        <f ca="1">+Assumptions!J69</f>
        <v>114.41052999999994</v>
      </c>
      <c r="I16" s="366">
        <f t="shared" ref="I16" ca="1" si="1">+G16+H16</f>
        <v>114.41052999999994</v>
      </c>
      <c r="J16" s="366">
        <f t="shared" ca="1" si="0"/>
        <v>2.7589411367527537</v>
      </c>
      <c r="K16" s="299">
        <f ca="1">+I16/$I$17</f>
        <v>2.7740603237912578E-3</v>
      </c>
      <c r="L16" s="265"/>
      <c r="M16" s="452"/>
      <c r="N16" s="265"/>
      <c r="R16"/>
      <c r="S16"/>
      <c r="T16"/>
      <c r="U16"/>
      <c r="V16"/>
      <c r="W16"/>
      <c r="X16"/>
    </row>
    <row r="17" spans="1:24" ht="15">
      <c r="A17" s="265"/>
      <c r="B17" s="271" t="s">
        <v>67</v>
      </c>
      <c r="C17" s="271"/>
      <c r="D17" s="265"/>
      <c r="E17" s="265"/>
      <c r="G17" s="412">
        <f>SUM(G14:G16)</f>
        <v>33249</v>
      </c>
      <c r="H17" s="412">
        <f ca="1">SUM(H14:H16)</f>
        <v>7993.9856044504259</v>
      </c>
      <c r="I17" s="412">
        <f ca="1">SUM(I14:I16)</f>
        <v>41242.985604450427</v>
      </c>
      <c r="J17" s="412">
        <f ca="1">SUM(J14:J16)</f>
        <v>994.54979875209006</v>
      </c>
      <c r="K17" s="483">
        <f ca="1">SUM(K14:K16)</f>
        <v>1</v>
      </c>
      <c r="L17" s="265"/>
      <c r="M17" s="265"/>
      <c r="N17" s="265"/>
      <c r="R17"/>
      <c r="S17"/>
      <c r="T17"/>
      <c r="U17"/>
      <c r="V17"/>
      <c r="W17"/>
      <c r="X17"/>
    </row>
    <row r="18" spans="1:24" ht="15">
      <c r="A18" s="265"/>
      <c r="B18" s="265"/>
      <c r="C18" s="265"/>
      <c r="D18" s="265"/>
      <c r="E18" s="265"/>
      <c r="G18" s="265"/>
      <c r="H18" s="265"/>
      <c r="I18" s="265"/>
      <c r="J18" s="265"/>
      <c r="K18" s="265"/>
      <c r="L18" s="265"/>
      <c r="M18" s="265"/>
      <c r="N18" s="265"/>
      <c r="R18"/>
      <c r="S18"/>
      <c r="T18"/>
      <c r="U18"/>
      <c r="V18"/>
      <c r="W18"/>
      <c r="X18"/>
    </row>
    <row r="19" spans="1:24" ht="15">
      <c r="A19" s="265"/>
      <c r="B19" s="265" t="str">
        <f>+Assumptions!H53</f>
        <v>Purchase Price</v>
      </c>
      <c r="C19" s="265"/>
      <c r="D19" s="265"/>
      <c r="E19" s="265"/>
      <c r="G19" s="410">
        <f>+Assumptions!C12</f>
        <v>30000</v>
      </c>
      <c r="H19" s="411">
        <v>0</v>
      </c>
      <c r="I19" s="411">
        <f>+G19+H19</f>
        <v>30000</v>
      </c>
      <c r="J19" s="410">
        <f>+I19/$D$8*1000</f>
        <v>723.43196122404686</v>
      </c>
      <c r="K19" s="296">
        <f t="shared" ref="K19:K28" ca="1" si="2">+I19/$I$29</f>
        <v>0.72739641808964417</v>
      </c>
      <c r="L19" s="341"/>
      <c r="M19" s="265"/>
      <c r="N19" s="265"/>
      <c r="R19"/>
      <c r="S19"/>
      <c r="T19"/>
      <c r="U19"/>
      <c r="V19"/>
      <c r="W19"/>
      <c r="X19"/>
    </row>
    <row r="20" spans="1:24" ht="15">
      <c r="A20" s="265"/>
      <c r="B20" s="265" t="s">
        <v>1540</v>
      </c>
      <c r="C20" s="265"/>
      <c r="D20" s="265"/>
      <c r="E20" s="265"/>
      <c r="G20" s="318">
        <f>-'Monthly Cash Flow'!$K$180</f>
        <v>2473</v>
      </c>
      <c r="H20" s="318">
        <v>0</v>
      </c>
      <c r="I20" s="318">
        <f t="shared" ref="I20:I28" si="3">+G20+H20</f>
        <v>2473</v>
      </c>
      <c r="J20" s="376">
        <f t="shared" ref="J20" si="4">+I20/$D$8*1000</f>
        <v>59.634908003568931</v>
      </c>
      <c r="K20" s="296">
        <f t="shared" ca="1" si="2"/>
        <v>5.9961711397856339E-2</v>
      </c>
      <c r="L20" s="341"/>
      <c r="M20" s="265"/>
      <c r="N20" s="265"/>
      <c r="R20"/>
      <c r="S20"/>
      <c r="T20"/>
      <c r="U20"/>
      <c r="V20"/>
      <c r="W20"/>
      <c r="X20"/>
    </row>
    <row r="21" spans="1:24" ht="15">
      <c r="A21" s="265"/>
      <c r="B21" s="265" t="str">
        <f>+Assumptions!H54</f>
        <v>Closing Costs</v>
      </c>
      <c r="C21" s="265"/>
      <c r="D21" s="265"/>
      <c r="E21" s="265"/>
      <c r="G21" s="318">
        <f>+Assumptions!C13</f>
        <v>206</v>
      </c>
      <c r="H21" s="318">
        <v>0</v>
      </c>
      <c r="I21" s="318">
        <f t="shared" si="3"/>
        <v>206</v>
      </c>
      <c r="J21" s="376">
        <f t="shared" ref="J21:J23" si="5">+I21/$D$8*1000</f>
        <v>4.9675661337384547</v>
      </c>
      <c r="K21" s="296">
        <f t="shared" ca="1" si="2"/>
        <v>4.99478873754889E-3</v>
      </c>
      <c r="L21" s="341"/>
      <c r="M21" s="265"/>
      <c r="N21" s="265"/>
      <c r="R21"/>
      <c r="S21"/>
      <c r="T21"/>
      <c r="U21"/>
      <c r="V21"/>
      <c r="W21"/>
      <c r="X21"/>
    </row>
    <row r="22" spans="1:24" ht="15">
      <c r="A22" s="265"/>
      <c r="B22" s="265" t="str">
        <f>+Assumptions!H56</f>
        <v>Operating Losses</v>
      </c>
      <c r="C22" s="265"/>
      <c r="D22" s="265"/>
      <c r="E22" s="265"/>
      <c r="G22" s="318">
        <v>0</v>
      </c>
      <c r="H22" s="318">
        <f ca="1">+Assumptions!J56</f>
        <v>499.20616000000007</v>
      </c>
      <c r="I22" s="318">
        <f t="shared" ca="1" si="3"/>
        <v>499.20616000000007</v>
      </c>
      <c r="J22" s="376">
        <f t="shared" ca="1" si="5"/>
        <v>12.038056379464178</v>
      </c>
      <c r="K22" s="296">
        <f t="shared" ca="1" si="2"/>
        <v>1.2104025755742862E-2</v>
      </c>
      <c r="L22" s="341"/>
      <c r="M22" s="341"/>
      <c r="N22" s="265"/>
      <c r="R22"/>
      <c r="S22"/>
      <c r="T22"/>
      <c r="U22"/>
      <c r="V22"/>
      <c r="W22"/>
      <c r="X22"/>
    </row>
    <row r="23" spans="1:24" ht="15">
      <c r="A23" s="265"/>
      <c r="B23" s="265" t="str">
        <f>+Assumptions!H57</f>
        <v>CapEx</v>
      </c>
      <c r="C23" s="265"/>
      <c r="D23" s="265"/>
      <c r="E23" s="265"/>
      <c r="G23" s="318">
        <v>0</v>
      </c>
      <c r="H23" s="318">
        <f>+Assumptions!J57</f>
        <v>2314.3237600000002</v>
      </c>
      <c r="I23" s="318">
        <f t="shared" si="3"/>
        <v>2314.3237600000002</v>
      </c>
      <c r="J23" s="376">
        <f t="shared" si="5"/>
        <v>55.808525886807011</v>
      </c>
      <c r="K23" s="296">
        <f t="shared" ca="1" si="2"/>
        <v>5.6114360444125252E-2</v>
      </c>
      <c r="L23" s="341"/>
      <c r="M23" s="341"/>
      <c r="N23" s="265"/>
      <c r="R23"/>
      <c r="S23"/>
      <c r="T23"/>
      <c r="U23"/>
      <c r="V23"/>
      <c r="W23"/>
      <c r="X23"/>
    </row>
    <row r="24" spans="1:24" ht="15">
      <c r="B24" s="265" t="str">
        <f>+Assumptions!H58</f>
        <v xml:space="preserve">Soft Costs </v>
      </c>
      <c r="G24" s="318">
        <v>0</v>
      </c>
      <c r="H24" s="318">
        <f>+Assumptions!J58</f>
        <v>823.30899924999994</v>
      </c>
      <c r="I24" s="318">
        <f t="shared" si="3"/>
        <v>823.30899924999994</v>
      </c>
      <c r="J24" s="376">
        <f t="shared" ref="J24:J25" si="6">+I24/$D$8*1000</f>
        <v>19.853601467361159</v>
      </c>
      <c r="K24" s="296">
        <f t="shared" ca="1" si="2"/>
        <v>1.9962400567847316E-2</v>
      </c>
      <c r="L24" s="341"/>
      <c r="M24" s="341"/>
      <c r="N24" s="265"/>
      <c r="R24"/>
      <c r="S24"/>
      <c r="T24"/>
      <c r="U24"/>
      <c r="V24"/>
      <c r="W24"/>
      <c r="X24"/>
    </row>
    <row r="25" spans="1:24" ht="15">
      <c r="B25" s="265" t="str">
        <f>+Assumptions!H59</f>
        <v>Contingency</v>
      </c>
      <c r="G25" s="318">
        <v>0</v>
      </c>
      <c r="H25" s="318">
        <f>+Assumptions!J59</f>
        <v>0</v>
      </c>
      <c r="I25" s="318">
        <f t="shared" si="3"/>
        <v>0</v>
      </c>
      <c r="J25" s="376">
        <f t="shared" si="6"/>
        <v>0</v>
      </c>
      <c r="K25" s="296">
        <f t="shared" ca="1" si="2"/>
        <v>0</v>
      </c>
      <c r="L25" s="341"/>
      <c r="M25" s="341"/>
      <c r="N25" s="265"/>
      <c r="R25"/>
      <c r="S25"/>
      <c r="T25"/>
      <c r="U25"/>
      <c r="V25"/>
      <c r="W25"/>
      <c r="X25"/>
    </row>
    <row r="26" spans="1:24" ht="15">
      <c r="B26" s="265" t="str">
        <f>+Assumptions!H61</f>
        <v>TIs</v>
      </c>
      <c r="G26" s="318">
        <v>0</v>
      </c>
      <c r="H26" s="318">
        <f ca="1">+Assumptions!J61</f>
        <v>2716.7109999999993</v>
      </c>
      <c r="I26" s="318">
        <f t="shared" ca="1" si="3"/>
        <v>2716.7109999999993</v>
      </c>
      <c r="J26" s="376">
        <f t="shared" ref="J26:J28" ca="1" si="7">+I26/$D$8*1000</f>
        <v>65.511852226964706</v>
      </c>
      <c r="K26" s="296">
        <f t="shared" ca="1" si="2"/>
        <v>6.5870861679491161E-2</v>
      </c>
      <c r="L26" s="341"/>
      <c r="M26" s="341"/>
      <c r="N26" s="265"/>
      <c r="R26"/>
      <c r="S26"/>
      <c r="T26"/>
      <c r="U26"/>
      <c r="V26"/>
      <c r="W26"/>
      <c r="X26"/>
    </row>
    <row r="27" spans="1:24" ht="15">
      <c r="B27" s="265" t="str">
        <f>+Assumptions!H62</f>
        <v>LCs</v>
      </c>
      <c r="G27" s="318">
        <v>0</v>
      </c>
      <c r="H27" s="318">
        <f ca="1">+Assumptions!J62</f>
        <v>976.22774520042606</v>
      </c>
      <c r="I27" s="318">
        <f t="shared" ca="1" si="3"/>
        <v>976.22774520042606</v>
      </c>
      <c r="J27" s="376">
        <f t="shared" ca="1" si="7"/>
        <v>23.541145077055777</v>
      </c>
      <c r="K27" s="296">
        <f t="shared" ca="1" si="2"/>
        <v>2.3670152169950658E-2</v>
      </c>
      <c r="L27" s="341"/>
      <c r="M27" s="341"/>
      <c r="N27" s="265"/>
      <c r="R27"/>
      <c r="S27"/>
      <c r="T27"/>
      <c r="U27"/>
      <c r="V27"/>
      <c r="W27"/>
      <c r="X27"/>
    </row>
    <row r="28" spans="1:24" ht="15">
      <c r="B28" s="270" t="str">
        <f>+Assumptions!H63</f>
        <v>Loan Closing Costs &amp; Fees</v>
      </c>
      <c r="C28" s="270"/>
      <c r="D28" s="270"/>
      <c r="E28" s="270"/>
      <c r="F28" s="84"/>
      <c r="G28" s="366">
        <f>+Assumptions!C24</f>
        <v>570</v>
      </c>
      <c r="H28" s="366">
        <f ca="1">+'Monthly Cash Flow'!I110+'Monthly Cash Flow'!I108+'Monthly Cash Flow'!I107-'Monthly Cash Flow'!K107</f>
        <v>664.20794000000001</v>
      </c>
      <c r="I28" s="366">
        <f t="shared" ca="1" si="3"/>
        <v>1234.20794</v>
      </c>
      <c r="J28" s="450">
        <f t="shared" ca="1" si="7"/>
        <v>29.762182353083027</v>
      </c>
      <c r="K28" s="299">
        <f t="shared" ca="1" si="2"/>
        <v>2.9925281157793283E-2</v>
      </c>
      <c r="L28" s="341"/>
      <c r="M28" s="341"/>
      <c r="N28"/>
      <c r="O28"/>
      <c r="R28"/>
      <c r="S28"/>
      <c r="T28"/>
      <c r="U28"/>
      <c r="V28"/>
      <c r="W28"/>
      <c r="X28"/>
    </row>
    <row r="29" spans="1:24" ht="15">
      <c r="B29" s="276" t="s">
        <v>59</v>
      </c>
      <c r="C29" s="270"/>
      <c r="D29" s="270"/>
      <c r="E29" s="270"/>
      <c r="F29" s="84"/>
      <c r="G29" s="413">
        <f>SUM(G19:G28)</f>
        <v>33249</v>
      </c>
      <c r="H29" s="413">
        <f ca="1">SUM(H19:H28)</f>
        <v>7993.9856044504259</v>
      </c>
      <c r="I29" s="413">
        <f ca="1">SUM(I19:I28)</f>
        <v>41242.985604450427</v>
      </c>
      <c r="J29" s="454">
        <f ca="1">SUM(J19:J28)</f>
        <v>994.54979875209028</v>
      </c>
      <c r="K29" s="484">
        <f ca="1">SUM(K19:K28)</f>
        <v>0.99999999999999989</v>
      </c>
      <c r="L29" s="341"/>
      <c r="M29" s="265"/>
      <c r="N29"/>
      <c r="O29"/>
      <c r="R29"/>
      <c r="S29"/>
      <c r="T29"/>
      <c r="U29"/>
      <c r="V29"/>
      <c r="W29"/>
      <c r="X29"/>
    </row>
    <row r="30" spans="1:24" ht="15">
      <c r="A30" s="265"/>
      <c r="B30" s="265"/>
      <c r="C30" s="265"/>
      <c r="D30" s="265"/>
      <c r="E30" s="265"/>
      <c r="G30" s="318"/>
      <c r="H30" s="902"/>
      <c r="I30" s="318"/>
      <c r="J30" s="376"/>
      <c r="K30" s="365"/>
      <c r="L30" s="265"/>
      <c r="M30" s="265"/>
      <c r="N30"/>
      <c r="O30"/>
      <c r="T30" s="17"/>
    </row>
    <row r="31" spans="1:24">
      <c r="A31" s="265" t="s">
        <v>212</v>
      </c>
      <c r="B31" s="285" t="s">
        <v>222</v>
      </c>
      <c r="C31" s="285"/>
      <c r="D31" s="285"/>
      <c r="E31" s="285"/>
      <c r="F31" s="285"/>
      <c r="G31" s="285"/>
      <c r="H31" s="285"/>
      <c r="I31" s="285"/>
      <c r="J31" s="285"/>
      <c r="K31" s="285"/>
      <c r="L31" s="285"/>
      <c r="M31" s="285"/>
      <c r="N31" s="285"/>
      <c r="O31" s="285"/>
      <c r="T31" s="17"/>
    </row>
    <row r="32" spans="1:24" ht="18">
      <c r="A32" s="265"/>
      <c r="B32" s="265"/>
      <c r="C32" s="265"/>
      <c r="D32" s="265"/>
      <c r="E32" s="367"/>
      <c r="F32" s="955" t="s">
        <v>1011</v>
      </c>
      <c r="G32" s="955">
        <v>1</v>
      </c>
      <c r="H32" s="955">
        <v>2</v>
      </c>
      <c r="I32" s="955">
        <v>3</v>
      </c>
      <c r="J32" s="955">
        <v>4</v>
      </c>
      <c r="K32" s="1207">
        <v>5</v>
      </c>
      <c r="L32" s="1207">
        <v>6</v>
      </c>
      <c r="M32" s="1207">
        <v>7</v>
      </c>
      <c r="N32" s="1207">
        <v>8</v>
      </c>
      <c r="O32" s="1208" t="s">
        <v>84</v>
      </c>
      <c r="Q32"/>
      <c r="R32"/>
      <c r="S32"/>
      <c r="T32" s="17"/>
    </row>
    <row r="33" spans="1:25" ht="15">
      <c r="A33" s="265"/>
      <c r="B33" s="265" t="s">
        <v>223</v>
      </c>
      <c r="C33" s="265"/>
      <c r="D33" s="265"/>
      <c r="E33" s="368"/>
      <c r="F33" s="368">
        <f>+'Monthly Cash Flow'!HN62</f>
        <v>0</v>
      </c>
      <c r="G33" s="599">
        <f>+'Monthly Cash Flow'!HO62-G34</f>
        <v>2481.4250199999997</v>
      </c>
      <c r="H33" s="599">
        <f>+'Monthly Cash Flow'!HP62-H34</f>
        <v>2653.2109300000006</v>
      </c>
      <c r="I33" s="599">
        <f>+'Monthly Cash Flow'!HQ62-I34</f>
        <v>2822.0617299999999</v>
      </c>
      <c r="J33" s="599">
        <f>+'Monthly Cash Flow'!HR62-J34</f>
        <v>3141.6923800000004</v>
      </c>
      <c r="K33" s="599">
        <f ca="1">+'Monthly Cash Flow'!HS62-K34</f>
        <v>2780.3238499999998</v>
      </c>
      <c r="L33" s="599">
        <f ca="1">+'Monthly Cash Flow'!HT62-L34</f>
        <v>3082.3793500000002</v>
      </c>
      <c r="M33" s="599">
        <f ca="1">+'Monthly Cash Flow'!HU62-M34</f>
        <v>3532.12824</v>
      </c>
      <c r="N33" s="599">
        <f ca="1">+'Monthly Cash Flow'!HV62-N34</f>
        <v>3797.6469999999999</v>
      </c>
      <c r="O33" s="368">
        <f t="shared" ref="O33:O45" ca="1" si="8">SUM(F33:N33)</f>
        <v>24290.8685</v>
      </c>
      <c r="Q33" s="800"/>
      <c r="R33" s="800"/>
      <c r="S33" s="800"/>
      <c r="T33" s="17"/>
      <c r="U33" s="17"/>
    </row>
    <row r="34" spans="1:25" ht="15">
      <c r="A34" s="265"/>
      <c r="B34" s="265" t="s">
        <v>500</v>
      </c>
      <c r="C34" s="265"/>
      <c r="D34" s="265"/>
      <c r="E34" s="368"/>
      <c r="F34" s="368">
        <f>+'Monthly Cash Flow'!HN56</f>
        <v>0</v>
      </c>
      <c r="G34" s="368">
        <f>+'Monthly Cash Flow'!HO56</f>
        <v>-53.115000000000002</v>
      </c>
      <c r="H34" s="368">
        <f>+'Monthly Cash Flow'!HP56</f>
        <v>-121.70246999999998</v>
      </c>
      <c r="I34" s="368">
        <f>+'Monthly Cash Flow'!HQ56</f>
        <v>-104.91229</v>
      </c>
      <c r="J34" s="368">
        <f>+'Monthly Cash Flow'!HR56</f>
        <v>-114.87685000000002</v>
      </c>
      <c r="K34" s="368">
        <f>+'Monthly Cash Flow'!HS56</f>
        <v>-59.261070000000004</v>
      </c>
      <c r="L34" s="368">
        <f>+'Monthly Cash Flow'!HT56</f>
        <v>-27.20017</v>
      </c>
      <c r="M34" s="368">
        <f ca="1">+'Monthly Cash Flow'!HU56</f>
        <v>-48.758929999999999</v>
      </c>
      <c r="N34" s="368">
        <f ca="1">+'Monthly Cash Flow'!HV56</f>
        <v>-6.7750000000000004</v>
      </c>
      <c r="O34" s="368">
        <f t="shared" ca="1" si="8"/>
        <v>-536.60178000000008</v>
      </c>
      <c r="Q34" s="800"/>
      <c r="R34" s="800"/>
      <c r="S34" s="800"/>
      <c r="U34" s="17"/>
    </row>
    <row r="35" spans="1:25" ht="15">
      <c r="A35" s="265"/>
      <c r="B35" s="265" t="s">
        <v>224</v>
      </c>
      <c r="C35" s="265"/>
      <c r="D35" s="265"/>
      <c r="E35" s="368"/>
      <c r="F35" s="301">
        <f>+'Monthly Cash Flow'!HN74</f>
        <v>0</v>
      </c>
      <c r="G35" s="301">
        <f>-'Monthly Cash Flow'!HO74</f>
        <v>-1588.5911099999998</v>
      </c>
      <c r="H35" s="301">
        <f>-'Monthly Cash Flow'!HP74</f>
        <v>-1562.0957800000001</v>
      </c>
      <c r="I35" s="301">
        <f>-'Monthly Cash Flow'!HQ74</f>
        <v>-1425.73387</v>
      </c>
      <c r="J35" s="301">
        <f>-'Monthly Cash Flow'!HR74</f>
        <v>-1581.2866299999998</v>
      </c>
      <c r="K35" s="301">
        <f>-'Monthly Cash Flow'!HS74</f>
        <v>-1978.2158999999999</v>
      </c>
      <c r="L35" s="301">
        <f>-'Monthly Cash Flow'!HT74</f>
        <v>-1771.2261599999999</v>
      </c>
      <c r="M35" s="301">
        <f ca="1">-'Monthly Cash Flow'!HU74</f>
        <v>-1759.3100100000001</v>
      </c>
      <c r="N35" s="301">
        <f ca="1">-'Monthly Cash Flow'!HV74</f>
        <v>-1828.5830000000001</v>
      </c>
      <c r="O35" s="301">
        <f t="shared" ca="1" si="8"/>
        <v>-13495.042459999999</v>
      </c>
      <c r="Q35" s="800"/>
      <c r="R35" s="800"/>
      <c r="S35" s="800"/>
      <c r="U35" s="17"/>
    </row>
    <row r="36" spans="1:25" ht="15">
      <c r="A36" s="265"/>
      <c r="B36" s="314" t="s">
        <v>225</v>
      </c>
      <c r="C36" s="314"/>
      <c r="D36" s="314"/>
      <c r="E36" s="369"/>
      <c r="F36" s="369">
        <v>0</v>
      </c>
      <c r="G36" s="369">
        <f>SUM(G33:G35)</f>
        <v>839.71891000000005</v>
      </c>
      <c r="H36" s="369">
        <f t="shared" ref="H36:N36" si="9">SUM(H33:H35)</f>
        <v>969.41268000000036</v>
      </c>
      <c r="I36" s="369">
        <f t="shared" si="9"/>
        <v>1291.4155699999997</v>
      </c>
      <c r="J36" s="369">
        <f t="shared" si="9"/>
        <v>1445.5289000000005</v>
      </c>
      <c r="K36" s="369">
        <f t="shared" ca="1" si="9"/>
        <v>742.84687999999983</v>
      </c>
      <c r="L36" s="369">
        <f t="shared" ca="1" si="9"/>
        <v>1283.9530200000002</v>
      </c>
      <c r="M36" s="369">
        <f t="shared" ca="1" si="9"/>
        <v>1724.0592999999999</v>
      </c>
      <c r="N36" s="369">
        <f t="shared" ca="1" si="9"/>
        <v>1962.2889999999998</v>
      </c>
      <c r="O36" s="369">
        <f t="shared" ca="1" si="8"/>
        <v>10259.224259999999</v>
      </c>
      <c r="Q36" s="800"/>
      <c r="R36" s="800"/>
      <c r="S36" s="800"/>
      <c r="T36"/>
      <c r="U36" s="17"/>
    </row>
    <row r="37" spans="1:25" ht="15">
      <c r="A37" s="265"/>
      <c r="B37" s="265" t="str">
        <f>Assumptions!B17</f>
        <v>CapEx</v>
      </c>
      <c r="C37" s="265"/>
      <c r="D37" s="265"/>
      <c r="E37" s="301"/>
      <c r="F37" s="368">
        <f>-'Monthly Cash Flow'!HN26</f>
        <v>0</v>
      </c>
      <c r="G37" s="341">
        <f>-'Monthly Cash Flow'!HO26</f>
        <v>-84.028500000000008</v>
      </c>
      <c r="H37" s="301">
        <f>-'Monthly Cash Flow'!HP26</f>
        <v>-1211.4882600000001</v>
      </c>
      <c r="I37" s="301">
        <f>-'Monthly Cash Flow'!HQ26</f>
        <v>-22.651</v>
      </c>
      <c r="J37" s="301">
        <f>-'Monthly Cash Flow'!HR26</f>
        <v>-180.85800000000003</v>
      </c>
      <c r="K37" s="301">
        <f>-'Monthly Cash Flow'!HS26</f>
        <v>-65.924000000000007</v>
      </c>
      <c r="L37" s="301">
        <f>-'Monthly Cash Flow'!HT26</f>
        <v>-259.37399999999997</v>
      </c>
      <c r="M37" s="301">
        <f>-'Monthly Cash Flow'!HU26</f>
        <v>-310.3174603174603</v>
      </c>
      <c r="N37" s="301">
        <f>-'Monthly Cash Flow'!HV26</f>
        <v>-179.6825396825397</v>
      </c>
      <c r="O37" s="368">
        <f t="shared" si="8"/>
        <v>-2314.3237600000002</v>
      </c>
      <c r="Q37"/>
      <c r="R37"/>
      <c r="S37"/>
    </row>
    <row r="38" spans="1:25" ht="15">
      <c r="A38" s="265"/>
      <c r="B38" s="265" t="s">
        <v>251</v>
      </c>
      <c r="C38" s="265"/>
      <c r="D38" s="265"/>
      <c r="E38" s="301"/>
      <c r="F38" s="301">
        <f>-SUM('Monthly Cash Flow'!HN33:HN33,'Monthly Cash Flow'!HN36:HN36,'Monthly Cash Flow'!HN29:HN30,'Monthly Cash Flow'!HN39)</f>
        <v>0</v>
      </c>
      <c r="G38" s="301">
        <f ca="1">-SUM('Monthly Cash Flow'!HO33:HO33,'Monthly Cash Flow'!HO36:HO36,'Monthly Cash Flow'!HO29:HO30,'Monthly Cash Flow'!HO39)</f>
        <v>-209.71682999999999</v>
      </c>
      <c r="H38" s="301">
        <f ca="1">-SUM('Monthly Cash Flow'!HP33:HP33,'Monthly Cash Flow'!HP36:HP36,'Monthly Cash Flow'!HP29:HP30,'Monthly Cash Flow'!HP39)</f>
        <v>-758.88951084542828</v>
      </c>
      <c r="I38" s="301">
        <f ca="1">-SUM('Monthly Cash Flow'!HQ33:HQ33,'Monthly Cash Flow'!HQ36:HQ36,'Monthly Cash Flow'!HQ29:HQ30,'Monthly Cash Flow'!HQ39)</f>
        <v>-429.41721402388384</v>
      </c>
      <c r="J38" s="301">
        <f ca="1">-SUM('Monthly Cash Flow'!HR33:HR33,'Monthly Cash Flow'!HR36:HR36,'Monthly Cash Flow'!HR29:HR30,'Monthly Cash Flow'!HR39)</f>
        <v>-516.28245958111415</v>
      </c>
      <c r="K38" s="301">
        <f ca="1">-SUM('Monthly Cash Flow'!HS33:HS33,'Monthly Cash Flow'!HS36:HS36,'Monthly Cash Flow'!HS29:HS30,'Monthly Cash Flow'!HS39)</f>
        <v>0</v>
      </c>
      <c r="L38" s="301">
        <f ca="1">-SUM('Monthly Cash Flow'!HT33:HT33,'Monthly Cash Flow'!HT36:HT36,'Monthly Cash Flow'!HT29:HT30,'Monthly Cash Flow'!HT39)</f>
        <v>-248.5883</v>
      </c>
      <c r="M38" s="301">
        <f ca="1">-SUM('Monthly Cash Flow'!HU33:HU33,'Monthly Cash Flow'!HU36:HU36,'Monthly Cash Flow'!HU29:HU30,'Monthly Cash Flow'!HU39)</f>
        <v>-207.14543000000003</v>
      </c>
      <c r="N38" s="301">
        <f ca="1">-SUM('Monthly Cash Flow'!HV33:HV33,'Monthly Cash Flow'!HV36:HV36,'Monthly Cash Flow'!HV29:HV30,'Monthly Cash Flow'!HV39)</f>
        <v>-2146.2080000000001</v>
      </c>
      <c r="O38" s="301">
        <f t="shared" ca="1" si="8"/>
        <v>-4516.2477444504266</v>
      </c>
      <c r="Q38"/>
      <c r="R38"/>
      <c r="S38"/>
      <c r="U38"/>
      <c r="V38"/>
      <c r="W38"/>
      <c r="X38"/>
      <c r="Y38"/>
    </row>
    <row r="39" spans="1:25" ht="15">
      <c r="A39" s="265"/>
      <c r="B39" s="265" t="s">
        <v>80</v>
      </c>
      <c r="C39" s="265"/>
      <c r="D39" s="265"/>
      <c r="E39" s="370"/>
      <c r="F39" s="301">
        <f>+'Monthly Cash Flow'!HN182+'Monthly Cash Flow'!HN183</f>
        <v>0</v>
      </c>
      <c r="G39" s="301">
        <f>+'Monthly Cash Flow'!HO182+'Monthly Cash Flow'!HO183</f>
        <v>-1191.4756</v>
      </c>
      <c r="H39" s="301">
        <f>+'Monthly Cash Flow'!HP182+'Monthly Cash Flow'!HP183</f>
        <v>-1425.4418500000002</v>
      </c>
      <c r="I39" s="301">
        <f>+'Monthly Cash Flow'!HQ182+'Monthly Cash Flow'!HQ183</f>
        <v>-1730.8323800000003</v>
      </c>
      <c r="J39" s="301">
        <f>+'Monthly Cash Flow'!HR182+'Monthly Cash Flow'!HR183</f>
        <v>-1528.2516700000001</v>
      </c>
      <c r="K39" s="301">
        <f>+'Monthly Cash Flow'!HS182+'Monthly Cash Flow'!HS183</f>
        <v>-1273.8616599999998</v>
      </c>
      <c r="L39" s="301">
        <f>+'Monthly Cash Flow'!HT182+'Monthly Cash Flow'!HT183</f>
        <v>-1200.9664</v>
      </c>
      <c r="M39" s="301">
        <f ca="1">+'Monthly Cash Flow'!HU182+'Monthly Cash Flow'!HU183</f>
        <v>-1473.2060652515468</v>
      </c>
      <c r="N39" s="301">
        <f ca="1">+'Monthly Cash Flow'!HV182+'Monthly Cash Flow'!HV183</f>
        <v>-1793.0432705777066</v>
      </c>
      <c r="O39" s="301">
        <f t="shared" ca="1" si="8"/>
        <v>-11617.078895829254</v>
      </c>
      <c r="Q39"/>
      <c r="R39"/>
      <c r="S39"/>
      <c r="U39"/>
      <c r="V39"/>
      <c r="W39"/>
      <c r="X39"/>
      <c r="Y39"/>
    </row>
    <row r="40" spans="1:25" ht="15">
      <c r="A40" s="265"/>
      <c r="B40" s="314" t="s">
        <v>226</v>
      </c>
      <c r="C40" s="314"/>
      <c r="D40" s="314"/>
      <c r="E40" s="369"/>
      <c r="F40" s="369">
        <f t="shared" ref="F40:N40" si="10">SUM(F36:F39)</f>
        <v>0</v>
      </c>
      <c r="G40" s="369">
        <f t="shared" ca="1" si="10"/>
        <v>-645.5020199999999</v>
      </c>
      <c r="H40" s="369">
        <f t="shared" ca="1" si="10"/>
        <v>-2426.4069408454279</v>
      </c>
      <c r="I40" s="369">
        <f t="shared" ca="1" si="10"/>
        <v>-891.48502402388453</v>
      </c>
      <c r="J40" s="369">
        <f t="shared" ca="1" si="10"/>
        <v>-779.86322958111373</v>
      </c>
      <c r="K40" s="369">
        <f t="shared" ca="1" si="10"/>
        <v>-596.93877999999995</v>
      </c>
      <c r="L40" s="369">
        <f t="shared" ca="1" si="10"/>
        <v>-424.9756799999999</v>
      </c>
      <c r="M40" s="369">
        <f t="shared" ca="1" si="10"/>
        <v>-266.60965556900715</v>
      </c>
      <c r="N40" s="369">
        <f t="shared" ca="1" si="10"/>
        <v>-2156.6448102602467</v>
      </c>
      <c r="O40" s="369">
        <f t="shared" ca="1" si="8"/>
        <v>-8188.4261402796801</v>
      </c>
      <c r="Q40"/>
      <c r="R40"/>
      <c r="S40"/>
    </row>
    <row r="41" spans="1:25" ht="15">
      <c r="A41" s="265"/>
      <c r="B41" s="44" t="s">
        <v>227</v>
      </c>
      <c r="C41" s="265"/>
      <c r="D41" s="265"/>
      <c r="E41" s="301"/>
      <c r="F41" s="301">
        <f>+'Monthly Cash Flow'!HN174+'Monthly Cash Flow'!HN180</f>
        <v>-32679</v>
      </c>
      <c r="G41" s="301">
        <f>+'Monthly Cash Flow'!HO174</f>
        <v>0</v>
      </c>
      <c r="H41" s="301">
        <f>+'Monthly Cash Flow'!HP174</f>
        <v>0</v>
      </c>
      <c r="I41" s="301">
        <f>+'Monthly Cash Flow'!HQ174</f>
        <v>0</v>
      </c>
      <c r="J41" s="301">
        <f>+'Monthly Cash Flow'!HR174</f>
        <v>0</v>
      </c>
      <c r="K41" s="301">
        <f>+'Monthly Cash Flow'!HS174</f>
        <v>0</v>
      </c>
      <c r="L41" s="301">
        <f>+'Monthly Cash Flow'!HT174</f>
        <v>0</v>
      </c>
      <c r="M41" s="301">
        <f>+'Monthly Cash Flow'!HU174</f>
        <v>0</v>
      </c>
      <c r="N41" s="301">
        <f>+'Monthly Cash Flow'!HV174</f>
        <v>0</v>
      </c>
      <c r="O41" s="301">
        <f t="shared" si="8"/>
        <v>-32679</v>
      </c>
      <c r="Q41"/>
      <c r="R41"/>
      <c r="S41"/>
    </row>
    <row r="42" spans="1:25" ht="15">
      <c r="A42" s="265"/>
      <c r="B42" s="265" t="s">
        <v>228</v>
      </c>
      <c r="C42" s="265"/>
      <c r="D42" s="265"/>
      <c r="E42" s="301"/>
      <c r="F42" s="301">
        <f>+'Monthly Cash Flow'!HN179+'Monthly Cash Flow'!HN181</f>
        <v>19541</v>
      </c>
      <c r="G42" s="301">
        <f>+'Monthly Cash Flow'!HO179+'Monthly Cash Flow'!HO181</f>
        <v>293.74532999999997</v>
      </c>
      <c r="H42" s="301">
        <f>+'Monthly Cash Flow'!HP179+'Monthly Cash Flow'!HP181</f>
        <v>1961.0486700000033</v>
      </c>
      <c r="I42" s="301">
        <f>+'Monthly Cash Flow'!HQ179+'Monthly Cash Flow'!HQ181</f>
        <v>1.4708234630234074E-12</v>
      </c>
      <c r="J42" s="301">
        <f>+'Monthly Cash Flow'!HR179+'Monthly Cash Flow'!HR181</f>
        <v>-4.9382720135326963E-13</v>
      </c>
      <c r="K42" s="301">
        <f ca="1">+'Monthly Cash Flow'!HS179+'Monthly Cash Flow'!HS181</f>
        <v>22133.63997</v>
      </c>
      <c r="L42" s="301">
        <f ca="1">+'Monthly Cash Flow'!HT179+'Monthly Cash Flow'!HT181</f>
        <v>507.96230000000003</v>
      </c>
      <c r="M42" s="301">
        <f ca="1">+'Monthly Cash Flow'!HU179+'Monthly Cash Flow'!HU181</f>
        <v>517.46289031746028</v>
      </c>
      <c r="N42" s="301">
        <f ca="1">+'Monthly Cash Flow'!HV179+'Monthly Cash Flow'!HV181</f>
        <v>2325.8905396825394</v>
      </c>
      <c r="O42" s="301">
        <f t="shared" ca="1" si="8"/>
        <v>47280.7497</v>
      </c>
      <c r="Q42"/>
      <c r="R42"/>
      <c r="S42"/>
      <c r="T42" s="166"/>
    </row>
    <row r="43" spans="1:25" ht="15">
      <c r="A43" s="265"/>
      <c r="B43" s="265" t="s">
        <v>229</v>
      </c>
      <c r="C43" s="265"/>
      <c r="D43" s="265"/>
      <c r="E43" s="301"/>
      <c r="F43" s="301">
        <f>+'Monthly Cash Flow'!HN184+'Monthly Cash Flow'!HN185</f>
        <v>-570</v>
      </c>
      <c r="G43" s="301">
        <f>+'Monthly Cash Flow'!HO184+'Monthly Cash Flow'!HO185</f>
        <v>0</v>
      </c>
      <c r="H43" s="301">
        <f>+'Monthly Cash Flow'!HP184+'Monthly Cash Flow'!HP185</f>
        <v>0</v>
      </c>
      <c r="I43" s="301">
        <f>+'Monthly Cash Flow'!HQ184+'Monthly Cash Flow'!HQ185</f>
        <v>0</v>
      </c>
      <c r="J43" s="301">
        <f>+'Monthly Cash Flow'!HR184+'Monthly Cash Flow'!HR185</f>
        <v>-108.97897</v>
      </c>
      <c r="K43" s="301">
        <f ca="1">+'Monthly Cash Flow'!HS184+'Monthly Cash Flow'!HS185</f>
        <v>-920.11163999999997</v>
      </c>
      <c r="L43" s="301">
        <f>+'Monthly Cash Flow'!HT184+'Monthly Cash Flow'!HT185</f>
        <v>0</v>
      </c>
      <c r="M43" s="301">
        <f>+'Monthly Cash Flow'!HU184+'Monthly Cash Flow'!HU185</f>
        <v>0</v>
      </c>
      <c r="N43" s="301">
        <f>+'Monthly Cash Flow'!HV184+'Monthly Cash Flow'!HV185</f>
        <v>0</v>
      </c>
      <c r="O43" s="301">
        <f t="shared" ca="1" si="8"/>
        <v>-1599.09061</v>
      </c>
      <c r="Q43"/>
      <c r="R43"/>
      <c r="S43"/>
    </row>
    <row r="44" spans="1:25" ht="15">
      <c r="A44" s="265"/>
      <c r="B44" s="265" t="s">
        <v>230</v>
      </c>
      <c r="C44" s="265"/>
      <c r="D44" s="265"/>
      <c r="E44" s="301"/>
      <c r="F44" s="301">
        <f>+'Monthly Cash Flow'!HN186</f>
        <v>0</v>
      </c>
      <c r="G44" s="301">
        <f>+'Monthly Cash Flow'!HO186</f>
        <v>0</v>
      </c>
      <c r="H44" s="301">
        <f>+'Monthly Cash Flow'!HP186</f>
        <v>0</v>
      </c>
      <c r="I44" s="301">
        <f>+'Monthly Cash Flow'!HQ186</f>
        <v>0</v>
      </c>
      <c r="J44" s="301">
        <f>+'Monthly Cash Flow'!HR186</f>
        <v>0</v>
      </c>
      <c r="K44" s="301">
        <f ca="1">+'Monthly Cash Flow'!HS186</f>
        <v>-21795.794000000002</v>
      </c>
      <c r="L44" s="301">
        <f>+'Monthly Cash Flow'!HT186</f>
        <v>0</v>
      </c>
      <c r="M44" s="301">
        <f>+'Monthly Cash Flow'!HU186</f>
        <v>0</v>
      </c>
      <c r="N44" s="301">
        <f>+'Monthly Cash Flow'!HV186</f>
        <v>0</v>
      </c>
      <c r="O44" s="301">
        <f t="shared" ca="1" si="8"/>
        <v>-21795.794000000002</v>
      </c>
      <c r="Q44"/>
      <c r="R44"/>
      <c r="S44"/>
    </row>
    <row r="45" spans="1:25" ht="15">
      <c r="A45" s="265"/>
      <c r="B45" s="371" t="s">
        <v>231</v>
      </c>
      <c r="C45" s="371"/>
      <c r="D45" s="371"/>
      <c r="E45" s="372"/>
      <c r="F45" s="372">
        <f>SUM(F40:F44)</f>
        <v>-13708</v>
      </c>
      <c r="G45" s="372">
        <f t="shared" ref="G45:I45" ca="1" si="11">SUM(G40:G44)</f>
        <v>-351.75668999999994</v>
      </c>
      <c r="H45" s="372">
        <f t="shared" ca="1" si="11"/>
        <v>-465.35827084542461</v>
      </c>
      <c r="I45" s="372">
        <f t="shared" ca="1" si="11"/>
        <v>-891.48502402388306</v>
      </c>
      <c r="J45" s="372">
        <f t="shared" ref="J45:N45" ca="1" si="12">SUM(J40:J44)</f>
        <v>-888.84219958111419</v>
      </c>
      <c r="K45" s="372">
        <f t="shared" ca="1" si="12"/>
        <v>-1179.2044500000011</v>
      </c>
      <c r="L45" s="372">
        <f t="shared" ca="1" si="12"/>
        <v>82.98662000000013</v>
      </c>
      <c r="M45" s="372">
        <f t="shared" ca="1" si="12"/>
        <v>250.85323474845313</v>
      </c>
      <c r="N45" s="372">
        <f t="shared" ca="1" si="12"/>
        <v>169.2457294222927</v>
      </c>
      <c r="O45" s="372">
        <f t="shared" ca="1" si="8"/>
        <v>-16981.561050279677</v>
      </c>
      <c r="Q45"/>
      <c r="R45"/>
      <c r="S45"/>
    </row>
    <row r="46" spans="1:25" ht="15" hidden="1" outlineLevel="1">
      <c r="A46" s="265"/>
      <c r="B46" s="373" t="s">
        <v>232</v>
      </c>
      <c r="C46" s="291"/>
      <c r="D46" s="291"/>
      <c r="E46" s="374"/>
      <c r="F46" s="374"/>
      <c r="G46" s="374" t="s">
        <v>240</v>
      </c>
      <c r="H46" s="374" t="s">
        <v>240</v>
      </c>
      <c r="I46" s="374" t="s">
        <v>240</v>
      </c>
      <c r="J46" s="374" t="s">
        <v>240</v>
      </c>
      <c r="K46" s="374" t="s">
        <v>240</v>
      </c>
      <c r="L46" s="374" t="s">
        <v>240</v>
      </c>
      <c r="M46" s="374" t="s">
        <v>240</v>
      </c>
      <c r="N46" s="374" t="s">
        <v>240</v>
      </c>
      <c r="O46" s="374"/>
      <c r="Q46"/>
      <c r="R46"/>
      <c r="S46"/>
    </row>
    <row r="47" spans="1:25" ht="15" collapsed="1">
      <c r="A47" s="265"/>
      <c r="B47" s="373" t="s">
        <v>106</v>
      </c>
      <c r="C47" s="291"/>
      <c r="D47" s="291"/>
      <c r="E47" s="374"/>
      <c r="F47" s="485"/>
      <c r="G47" s="374">
        <f t="shared" ref="G47:N47" ca="1" si="13">IF(G36&lt;0,"n/a ",G36/SUM($I$19:$I$28))</f>
        <v>2.0360284244538011E-2</v>
      </c>
      <c r="H47" s="374">
        <f t="shared" ca="1" si="13"/>
        <v>2.3504910369422757E-2</v>
      </c>
      <c r="I47" s="374">
        <f t="shared" ca="1" si="13"/>
        <v>3.1312368662773198E-2</v>
      </c>
      <c r="J47" s="374">
        <f t="shared" ca="1" si="13"/>
        <v>3.5049084803502127E-2</v>
      </c>
      <c r="K47" s="374">
        <f t="shared" ca="1" si="13"/>
        <v>1.8011471990035589E-2</v>
      </c>
      <c r="L47" s="374">
        <f t="shared" ca="1" si="13"/>
        <v>3.1131427591446048E-2</v>
      </c>
      <c r="M47" s="374">
        <f t="shared" ca="1" si="13"/>
        <v>4.1802485313137974E-2</v>
      </c>
      <c r="N47" s="374">
        <f t="shared" ca="1" si="13"/>
        <v>4.7578732995223652E-2</v>
      </c>
      <c r="O47" s="374"/>
      <c r="Q47"/>
      <c r="R47"/>
      <c r="S47"/>
    </row>
    <row r="48" spans="1:25" ht="15">
      <c r="A48" s="265"/>
      <c r="B48" s="486" t="s">
        <v>234</v>
      </c>
      <c r="C48" s="487"/>
      <c r="D48" s="487"/>
      <c r="E48" s="375"/>
      <c r="F48" s="488"/>
      <c r="G48" s="375" t="str">
        <f ca="1">IF(G40&lt;0,"n/a ",IF(G32&lt;=Assumptions!$L$17/12, (G40+G42+G43)/SUM($I$15:$I$15), "n/a"))</f>
        <v xml:space="preserve">n/a </v>
      </c>
      <c r="H48" s="375" t="str">
        <f ca="1">IF(H40&lt;0,"n/a ",IF(H32&lt;=Assumptions!$L$17/12, (H40+H42+H43)/SUM($I$15:$I$15), "n/a"))</f>
        <v xml:space="preserve">n/a </v>
      </c>
      <c r="I48" s="375" t="str">
        <f ca="1">IF(I40&lt;0,"n/a ",IF(I32&lt;=Assumptions!$L$17/12, (I40+I42+I43)/SUM($I$15:$I$15), "n/a"))</f>
        <v xml:space="preserve">n/a </v>
      </c>
      <c r="J48" s="375" t="str">
        <f ca="1">IF(J40&lt;0,"n/a ",IF(J32&lt;=Assumptions!$L$17/12, (J40+J42+J43)/SUM($I$15:$I$15), "n/a"))</f>
        <v xml:space="preserve">n/a </v>
      </c>
      <c r="K48" s="375" t="str">
        <f ca="1">IF(K40&lt;0,"n/a ",IF(K32&lt;=Assumptions!$L$17/12, (K40+K42+K43)/SUM($I$15:$I$15), "n/a"))</f>
        <v xml:space="preserve">n/a </v>
      </c>
      <c r="L48" s="375" t="str">
        <f ca="1">IF(L40&lt;0,"n/a ",IF(L32&lt;=Assumptions!$L$17/12, (L40+L42+L43)/SUM($I$15:$I$15), "n/a"))</f>
        <v xml:space="preserve">n/a </v>
      </c>
      <c r="M48" s="375" t="str">
        <f ca="1">IF(M40&lt;0,"n/a ",IF(M32&lt;=Assumptions!$L$17/12, (M40+M42+M43)/SUM($I$15:$I$15), "n/a"))</f>
        <v xml:space="preserve">n/a </v>
      </c>
      <c r="N48" s="375" t="str">
        <f ca="1">IF(N40&lt;0,"n/a ",IF(N32&lt;=Assumptions!$L$17/12, (N40+N42+N43)/SUM($I$15:$I$15), "n/a"))</f>
        <v xml:space="preserve">n/a </v>
      </c>
      <c r="O48" s="375"/>
      <c r="Q48"/>
      <c r="R48"/>
      <c r="S48"/>
    </row>
    <row r="49" spans="1:21" ht="15">
      <c r="A49" s="265"/>
      <c r="B49" s="373"/>
      <c r="C49" s="291"/>
      <c r="D49" s="291"/>
      <c r="E49" s="374"/>
      <c r="F49" s="374"/>
      <c r="G49" s="374"/>
      <c r="H49" s="900"/>
      <c r="I49" s="901"/>
      <c r="J49" s="901"/>
      <c r="K49" s="901"/>
      <c r="L49" s="901"/>
      <c r="M49" s="843"/>
      <c r="N49" s="843"/>
      <c r="O49"/>
    </row>
    <row r="50" spans="1:21" ht="15">
      <c r="A50" s="265" t="s">
        <v>212</v>
      </c>
      <c r="B50" s="285" t="s">
        <v>3</v>
      </c>
      <c r="C50" s="285"/>
      <c r="D50" s="285"/>
      <c r="E50" s="285"/>
      <c r="F50" s="285"/>
      <c r="G50" s="285"/>
      <c r="H50" s="285"/>
      <c r="I50" s="285"/>
      <c r="J50" s="285"/>
      <c r="K50" s="285"/>
      <c r="L50" s="265"/>
      <c r="M50"/>
      <c r="N50"/>
      <c r="O50"/>
      <c r="R50" s="968"/>
    </row>
    <row r="51" spans="1:21" ht="18">
      <c r="A51" s="265"/>
      <c r="B51" s="265"/>
      <c r="C51" s="265"/>
      <c r="D51" s="290"/>
      <c r="E51" s="290"/>
      <c r="F51" s="290"/>
      <c r="G51" s="290"/>
      <c r="H51" s="364" t="s">
        <v>10</v>
      </c>
      <c r="I51" s="364" t="s">
        <v>9</v>
      </c>
      <c r="J51" s="364" t="s">
        <v>158</v>
      </c>
      <c r="K51" s="364" t="s">
        <v>5</v>
      </c>
      <c r="L51" s="265"/>
      <c r="M51"/>
      <c r="N51"/>
      <c r="O51"/>
    </row>
    <row r="52" spans="1:21" ht="15">
      <c r="A52" s="265"/>
      <c r="B52" s="265" t="s">
        <v>235</v>
      </c>
      <c r="C52" s="265"/>
      <c r="D52" s="296"/>
      <c r="E52" s="296"/>
      <c r="F52" s="296"/>
      <c r="G52" s="296"/>
      <c r="H52" s="296">
        <f ca="1">+Assumptions!O22</f>
        <v>5.7904282212257394E-2</v>
      </c>
      <c r="I52" s="476">
        <f ca="1">+Assumptions!P22</f>
        <v>1.5500000496627293</v>
      </c>
      <c r="J52" s="311">
        <f ca="1">+Assumptions!Q22</f>
        <v>37647.066320805607</v>
      </c>
      <c r="K52" s="311">
        <f ca="1">+Assumptions!R22</f>
        <v>20705.888346099153</v>
      </c>
      <c r="L52" s="265"/>
      <c r="M52"/>
      <c r="N52"/>
      <c r="O52"/>
    </row>
    <row r="53" spans="1:21" ht="15" hidden="1" outlineLevel="2">
      <c r="A53" s="265"/>
      <c r="B53" s="373" t="s">
        <v>236</v>
      </c>
      <c r="C53" s="265"/>
      <c r="D53" s="377"/>
      <c r="E53" s="377"/>
      <c r="F53" s="377"/>
      <c r="G53" s="377"/>
      <c r="H53" s="377" t="s">
        <v>233</v>
      </c>
      <c r="I53" s="377" t="s">
        <v>233</v>
      </c>
      <c r="J53" s="378" t="s">
        <v>233</v>
      </c>
      <c r="K53" s="378">
        <f ca="1">K52-K54</f>
        <v>7806.6995505495688</v>
      </c>
      <c r="L53" s="265"/>
      <c r="M53"/>
      <c r="N53"/>
      <c r="O53"/>
    </row>
    <row r="54" spans="1:21" ht="15" hidden="1" outlineLevel="2">
      <c r="A54" s="265"/>
      <c r="B54" s="373" t="s">
        <v>237</v>
      </c>
      <c r="C54" s="265"/>
      <c r="D54" s="377"/>
      <c r="E54" s="377"/>
      <c r="F54" s="377"/>
      <c r="G54" s="377"/>
      <c r="H54" s="377" t="s">
        <v>233</v>
      </c>
      <c r="I54" s="377" t="s">
        <v>233</v>
      </c>
      <c r="J54" s="378" t="s">
        <v>233</v>
      </c>
      <c r="K54" s="378">
        <f ca="1">+Assumptions!L29-Assumptions!E26</f>
        <v>12899.188795549584</v>
      </c>
      <c r="L54" s="265"/>
      <c r="M54"/>
      <c r="N54"/>
      <c r="O54"/>
    </row>
    <row r="55" spans="1:21" ht="15" collapsed="1">
      <c r="A55" s="265"/>
      <c r="B55" s="265" t="s">
        <v>238</v>
      </c>
      <c r="C55" s="265"/>
      <c r="D55" s="318"/>
      <c r="E55" s="318"/>
      <c r="F55" s="318"/>
      <c r="G55" s="318"/>
      <c r="H55" s="296">
        <f ca="1">+Assumptions!O23</f>
        <v>7.1606448292732258E-2</v>
      </c>
      <c r="I55" s="476">
        <f ca="1">+Assumptions!P23</f>
        <v>1.7510528635997842</v>
      </c>
      <c r="J55" s="311">
        <f ca="1">+Assumptions!Q23</f>
        <v>15882.232</v>
      </c>
      <c r="K55" s="311">
        <f ca="1">+Assumptions!R23</f>
        <v>11928.395823956129</v>
      </c>
      <c r="L55" s="265"/>
      <c r="M55"/>
      <c r="N55"/>
      <c r="O55"/>
      <c r="Q55" s="431"/>
      <c r="R55" s="968"/>
    </row>
    <row r="56" spans="1:21" ht="15">
      <c r="A56" s="265"/>
      <c r="B56" s="265" t="s">
        <v>256</v>
      </c>
      <c r="C56" s="265"/>
      <c r="D56" s="318"/>
      <c r="E56" s="318"/>
      <c r="F56" s="318"/>
      <c r="G56" s="318"/>
      <c r="H56" s="296">
        <f ca="1">+Assumptions!O24</f>
        <v>7.1606448292732258E-2</v>
      </c>
      <c r="I56" s="476">
        <f ca="1">+Assumptions!P24</f>
        <v>1.7510528635997842</v>
      </c>
      <c r="J56" s="311">
        <f ca="1">+Assumptions!Q24</f>
        <v>15564.58736</v>
      </c>
      <c r="K56" s="311">
        <f ca="1">+Assumptions!R24</f>
        <v>11689.827907477005</v>
      </c>
      <c r="L56" s="265"/>
      <c r="M56"/>
      <c r="N56"/>
      <c r="O56"/>
    </row>
    <row r="57" spans="1:21" ht="15">
      <c r="A57" s="265"/>
      <c r="B57" s="270" t="s">
        <v>257</v>
      </c>
      <c r="C57" s="270"/>
      <c r="D57" s="366"/>
      <c r="E57" s="366"/>
      <c r="F57" s="366"/>
      <c r="G57" s="366"/>
      <c r="H57" s="299">
        <f ca="1">+Assumptions!O25</f>
        <v>7.1606448292732258E-2</v>
      </c>
      <c r="I57" s="475">
        <f ca="1">+Assumptions!P25</f>
        <v>1.7510528635997837</v>
      </c>
      <c r="J57" s="379">
        <f ca="1">+Assumptions!Q25</f>
        <v>317.64464000000032</v>
      </c>
      <c r="K57" s="379">
        <f ca="1">+Assumptions!R25</f>
        <v>238.56791647912269</v>
      </c>
      <c r="L57" s="265"/>
      <c r="M57"/>
      <c r="N57"/>
      <c r="O57"/>
      <c r="T57"/>
    </row>
    <row r="58" spans="1:21" ht="15">
      <c r="A58" s="265"/>
      <c r="B58" s="291" t="str">
        <f ca="1">"(1) Assumes exit cap of " &amp; TEXT(Assumptions!$L$22, "0.00%") &amp; " which results in sale price of " &amp; TEXT(Assumptions!K29, "$#,###") &amp; " psf"</f>
        <v>(1) Assumes exit cap of 5.00% which results in sale price of $1,300 psf</v>
      </c>
      <c r="C58" s="265"/>
      <c r="D58" s="265"/>
      <c r="E58" s="265"/>
      <c r="F58" s="265"/>
      <c r="G58" s="265"/>
      <c r="H58" s="265"/>
      <c r="I58" s="265"/>
      <c r="J58" s="265"/>
      <c r="K58" s="265"/>
      <c r="L58" s="265"/>
      <c r="M58"/>
      <c r="N58"/>
      <c r="O58"/>
      <c r="T58"/>
    </row>
    <row r="59" spans="1:21" ht="15">
      <c r="M59"/>
      <c r="N59"/>
      <c r="O59"/>
      <c r="T59"/>
    </row>
    <row r="60" spans="1:21" ht="12.75" customHeight="1">
      <c r="B60" s="16" t="s">
        <v>608</v>
      </c>
      <c r="M60"/>
      <c r="N60"/>
      <c r="O60"/>
      <c r="P60"/>
      <c r="Q60"/>
      <c r="R60"/>
      <c r="S60"/>
      <c r="T60"/>
      <c r="U60"/>
    </row>
    <row r="61" spans="1:21" ht="15">
      <c r="B61" s="1" t="s">
        <v>1964</v>
      </c>
      <c r="C61" s="1" t="s">
        <v>2091</v>
      </c>
      <c r="M61"/>
      <c r="N61"/>
      <c r="O61"/>
      <c r="P61"/>
      <c r="Q61"/>
      <c r="R61"/>
      <c r="S61"/>
      <c r="T61"/>
      <c r="U61"/>
    </row>
    <row r="62" spans="1:21" ht="15">
      <c r="M62"/>
      <c r="N62"/>
      <c r="O62"/>
      <c r="P62"/>
      <c r="Q62"/>
      <c r="R62"/>
      <c r="S62"/>
      <c r="U62"/>
    </row>
    <row r="63" spans="1:21" ht="15">
      <c r="M63"/>
      <c r="N63"/>
      <c r="O63"/>
      <c r="P63"/>
      <c r="Q63"/>
      <c r="R63"/>
      <c r="S63"/>
      <c r="T63"/>
      <c r="U63"/>
    </row>
    <row r="64" spans="1:21" ht="15">
      <c r="M64"/>
      <c r="N64"/>
      <c r="O64"/>
      <c r="P64"/>
      <c r="Q64"/>
      <c r="R64"/>
      <c r="S64"/>
      <c r="T64"/>
      <c r="U64"/>
    </row>
    <row r="65" spans="13:21" ht="15">
      <c r="M65"/>
      <c r="N65"/>
      <c r="O65"/>
      <c r="T65"/>
    </row>
    <row r="66" spans="13:21" ht="12.75" customHeight="1">
      <c r="M66"/>
      <c r="N66"/>
      <c r="O66"/>
      <c r="P66"/>
      <c r="Q66"/>
      <c r="R66"/>
      <c r="S66"/>
      <c r="T66"/>
      <c r="U66"/>
    </row>
    <row r="67" spans="13:21" ht="15">
      <c r="M67"/>
      <c r="N67"/>
      <c r="O67"/>
      <c r="P67"/>
      <c r="Q67"/>
      <c r="R67"/>
      <c r="S67"/>
      <c r="T67"/>
      <c r="U67"/>
    </row>
    <row r="68" spans="13:21" ht="15">
      <c r="M68"/>
      <c r="N68"/>
      <c r="O68"/>
      <c r="P68"/>
      <c r="Q68"/>
      <c r="R68"/>
      <c r="S68"/>
      <c r="T68"/>
      <c r="U68"/>
    </row>
    <row r="69" spans="13:21" ht="15">
      <c r="M69"/>
      <c r="N69"/>
      <c r="O69"/>
      <c r="P69"/>
      <c r="Q69"/>
      <c r="R69"/>
      <c r="S69"/>
      <c r="T69"/>
      <c r="U69"/>
    </row>
    <row r="70" spans="13:21" ht="15">
      <c r="M70"/>
      <c r="N70"/>
      <c r="O70"/>
      <c r="P70"/>
      <c r="Q70"/>
      <c r="R70"/>
      <c r="S70"/>
      <c r="T70"/>
      <c r="U70"/>
    </row>
    <row r="71" spans="13:21" ht="15">
      <c r="M71"/>
      <c r="N71"/>
      <c r="O71"/>
      <c r="P71"/>
      <c r="Q71"/>
      <c r="R71"/>
      <c r="S71"/>
      <c r="T71"/>
      <c r="U71"/>
    </row>
    <row r="72" spans="13:21" ht="15">
      <c r="M72"/>
      <c r="N72"/>
      <c r="O72"/>
      <c r="P72"/>
      <c r="Q72"/>
      <c r="R72"/>
      <c r="S72"/>
      <c r="T72"/>
      <c r="U72"/>
    </row>
    <row r="73" spans="13:21" ht="15">
      <c r="M73"/>
      <c r="N73"/>
      <c r="O73"/>
      <c r="P73"/>
      <c r="Q73"/>
      <c r="R73"/>
      <c r="S73"/>
      <c r="T73"/>
      <c r="U73"/>
    </row>
    <row r="74" spans="13:21" ht="15">
      <c r="M74"/>
      <c r="N74"/>
      <c r="O74"/>
      <c r="P74"/>
      <c r="Q74"/>
      <c r="R74"/>
      <c r="S74"/>
      <c r="T74"/>
      <c r="U74"/>
    </row>
    <row r="75" spans="13:21" ht="15">
      <c r="M75"/>
      <c r="N75"/>
      <c r="O75"/>
      <c r="P75"/>
      <c r="Q75"/>
      <c r="R75"/>
      <c r="S75"/>
      <c r="T75"/>
      <c r="U75"/>
    </row>
    <row r="76" spans="13:21" ht="15">
      <c r="M76"/>
      <c r="N76"/>
      <c r="O76"/>
      <c r="P76"/>
      <c r="Q76"/>
      <c r="R76"/>
      <c r="S76"/>
      <c r="U76"/>
    </row>
    <row r="77" spans="13:21" ht="15">
      <c r="M77"/>
      <c r="N77"/>
      <c r="O77"/>
      <c r="P77"/>
      <c r="Q77"/>
      <c r="R77"/>
      <c r="S77"/>
      <c r="U77"/>
    </row>
    <row r="78" spans="13:21" ht="15">
      <c r="M78"/>
      <c r="N78"/>
      <c r="O78"/>
      <c r="P78"/>
      <c r="Q78"/>
      <c r="R78"/>
      <c r="S78"/>
      <c r="U78"/>
    </row>
    <row r="79" spans="13:21" ht="15">
      <c r="M79"/>
      <c r="N79"/>
      <c r="O79"/>
    </row>
    <row r="80" spans="13:21" ht="15">
      <c r="M80"/>
      <c r="N80"/>
      <c r="O80"/>
    </row>
    <row r="81" spans="13:15" ht="15">
      <c r="M81"/>
      <c r="N81"/>
      <c r="O81"/>
    </row>
    <row r="82" spans="13:15" ht="15">
      <c r="M82"/>
      <c r="N82"/>
      <c r="O82"/>
    </row>
    <row r="83" spans="13:15" ht="15">
      <c r="M83"/>
      <c r="N83"/>
      <c r="O83"/>
    </row>
    <row r="84" spans="13:15" ht="15">
      <c r="M84"/>
      <c r="N84"/>
      <c r="O84"/>
    </row>
    <row r="85" spans="13:15" ht="15">
      <c r="M85"/>
      <c r="N85"/>
      <c r="O85"/>
    </row>
    <row r="86" spans="13:15" ht="15">
      <c r="M86"/>
      <c r="N86"/>
      <c r="O86"/>
    </row>
    <row r="87" spans="13:15" ht="15">
      <c r="M87"/>
      <c r="N87"/>
      <c r="O87"/>
    </row>
    <row r="88" spans="13:15" ht="15">
      <c r="M88"/>
      <c r="N88"/>
      <c r="O88"/>
    </row>
    <row r="89" spans="13:15" ht="15">
      <c r="M89"/>
      <c r="N89"/>
      <c r="O89"/>
    </row>
    <row r="90" spans="13:15" ht="15">
      <c r="M90"/>
      <c r="N90"/>
      <c r="O90"/>
    </row>
    <row r="91" spans="13:15" ht="15">
      <c r="M91"/>
      <c r="N91"/>
      <c r="O91"/>
    </row>
    <row r="92" spans="13:15" ht="15">
      <c r="M92"/>
      <c r="N92"/>
      <c r="O92"/>
    </row>
    <row r="93" spans="13:15" ht="15">
      <c r="M93"/>
      <c r="N93"/>
      <c r="O93"/>
    </row>
    <row r="94" spans="13:15" ht="15">
      <c r="M94"/>
      <c r="N94"/>
      <c r="O94"/>
    </row>
    <row r="95" spans="13:15" ht="15">
      <c r="M95"/>
      <c r="N95"/>
      <c r="O95"/>
    </row>
    <row r="96" spans="13:15" ht="15">
      <c r="M96"/>
      <c r="N96"/>
      <c r="O96"/>
    </row>
    <row r="97" spans="13:15" ht="15">
      <c r="M97"/>
      <c r="N97"/>
      <c r="O97"/>
    </row>
    <row r="98" spans="13:15" ht="15">
      <c r="M98"/>
      <c r="N98"/>
      <c r="O98"/>
    </row>
    <row r="99" spans="13:15" ht="15">
      <c r="M99"/>
      <c r="N99"/>
      <c r="O99"/>
    </row>
    <row r="100" spans="13:15" ht="15">
      <c r="M100"/>
      <c r="N100"/>
      <c r="O100"/>
    </row>
    <row r="101" spans="13:15" ht="15">
      <c r="M101"/>
      <c r="N101"/>
      <c r="O101"/>
    </row>
    <row r="102" spans="13:15" ht="15">
      <c r="M102"/>
      <c r="N102"/>
      <c r="O102"/>
    </row>
    <row r="103" spans="13:15" ht="15">
      <c r="M103"/>
      <c r="N103"/>
      <c r="O103"/>
    </row>
    <row r="104" spans="13:15" ht="15">
      <c r="M104"/>
      <c r="N104"/>
      <c r="O104"/>
    </row>
  </sheetData>
  <pageMargins left="0.7" right="0.7"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E111"/>
  <sheetViews>
    <sheetView showGridLines="0" tabSelected="1" topLeftCell="G1" zoomScaleNormal="100" zoomScaleSheetLayoutView="85" zoomScalePageLayoutView="120" workbookViewId="0">
      <selection activeCell="AA10" sqref="AA10"/>
    </sheetView>
  </sheetViews>
  <sheetFormatPr baseColWidth="10" defaultColWidth="14" defaultRowHeight="14"/>
  <cols>
    <col min="1" max="1" width="3.1640625" style="1" bestFit="1" customWidth="1"/>
    <col min="2" max="2" width="29.83203125" style="1" customWidth="1"/>
    <col min="3" max="3" width="28.83203125" style="1" bestFit="1" customWidth="1"/>
    <col min="4" max="4" width="9.1640625" style="1" customWidth="1"/>
    <col min="5" max="5" width="17.33203125" style="1" customWidth="1"/>
    <col min="6" max="6" width="14.1640625" style="1" bestFit="1" customWidth="1"/>
    <col min="7" max="7" width="9.33203125" style="1" customWidth="1"/>
    <col min="8" max="8" width="16.5" style="1" customWidth="1"/>
    <col min="9" max="9" width="17" style="1" customWidth="1"/>
    <col min="10" max="10" width="11.83203125" style="1" customWidth="1"/>
    <col min="11" max="11" width="11.33203125" style="1" customWidth="1"/>
    <col min="12" max="12" width="13" style="1" customWidth="1"/>
    <col min="13" max="13" width="12.6640625" style="1" customWidth="1"/>
    <col min="14" max="14" width="21.1640625" style="1" bestFit="1" customWidth="1"/>
    <col min="15" max="17" width="14.5" style="1" bestFit="1" customWidth="1"/>
    <col min="18" max="18" width="17" style="1" customWidth="1"/>
    <col min="19" max="19" width="15.1640625" style="1" bestFit="1" customWidth="1"/>
    <col min="20" max="20" width="10.83203125" style="1" customWidth="1"/>
    <col min="21" max="21" width="14.1640625" style="1" bestFit="1" customWidth="1"/>
    <col min="22" max="16384" width="14" style="1"/>
  </cols>
  <sheetData>
    <row r="1" spans="2:24">
      <c r="E1" s="356">
        <v>1</v>
      </c>
      <c r="F1" s="2" t="s">
        <v>0</v>
      </c>
    </row>
    <row r="2" spans="2:24" ht="15" thickBot="1">
      <c r="B2" s="535" t="s">
        <v>1162</v>
      </c>
      <c r="C2" s="3"/>
      <c r="D2" s="3"/>
      <c r="E2" s="3"/>
      <c r="F2" s="3"/>
      <c r="G2" s="3"/>
      <c r="H2" s="3"/>
      <c r="I2" s="3"/>
      <c r="J2" s="3"/>
      <c r="K2" s="3"/>
      <c r="L2" s="3"/>
      <c r="M2" s="3"/>
      <c r="N2" s="3"/>
      <c r="O2" s="3"/>
      <c r="P2" s="3"/>
      <c r="Q2" s="3"/>
      <c r="R2" s="4">
        <f ca="1">NOW()</f>
        <v>46153.526149537036</v>
      </c>
    </row>
    <row r="3" spans="2:24">
      <c r="B3" s="5" t="s">
        <v>1</v>
      </c>
      <c r="C3" s="6"/>
      <c r="D3" s="6"/>
      <c r="E3" s="591"/>
      <c r="F3" s="6"/>
      <c r="G3" s="524"/>
    </row>
    <row r="4" spans="2:24" ht="15" thickBot="1">
      <c r="B4" s="3"/>
      <c r="C4" s="3"/>
      <c r="D4" s="3"/>
      <c r="E4" s="592"/>
      <c r="F4" s="3"/>
      <c r="G4" s="524"/>
    </row>
    <row r="5" spans="2:24">
      <c r="B5" s="236" t="s">
        <v>2</v>
      </c>
      <c r="C5" s="237"/>
      <c r="D5" s="237"/>
      <c r="E5" s="237"/>
      <c r="F5" s="237"/>
      <c r="G5" s="524"/>
      <c r="H5" s="236" t="s">
        <v>21</v>
      </c>
      <c r="I5" s="236"/>
      <c r="J5" s="238" t="s">
        <v>22</v>
      </c>
      <c r="K5" s="238" t="s">
        <v>23</v>
      </c>
      <c r="L5" s="238" t="s">
        <v>24</v>
      </c>
      <c r="N5" s="395" t="s">
        <v>152</v>
      </c>
      <c r="O5" s="444"/>
      <c r="P5" s="444"/>
      <c r="Q5" s="444"/>
      <c r="R5" s="444"/>
      <c r="T5" s="395" t="s">
        <v>2090</v>
      </c>
      <c r="U5" s="395"/>
      <c r="V5" s="395"/>
      <c r="W5" s="395"/>
      <c r="X5" s="395"/>
    </row>
    <row r="6" spans="2:24">
      <c r="B6" s="8" t="s">
        <v>4</v>
      </c>
      <c r="C6" s="8"/>
      <c r="D6" s="8"/>
      <c r="E6" s="963">
        <v>1.57</v>
      </c>
      <c r="F6" s="962">
        <f>43560*E6</f>
        <v>68389.2</v>
      </c>
      <c r="G6" s="524"/>
      <c r="H6" s="37" t="s">
        <v>26</v>
      </c>
      <c r="I6" s="38">
        <v>42552</v>
      </c>
      <c r="J6" s="37"/>
      <c r="K6" s="37"/>
      <c r="L6" s="543"/>
      <c r="N6" s="265" t="s">
        <v>202</v>
      </c>
      <c r="O6" s="265"/>
      <c r="P6" s="265"/>
      <c r="Q6" s="265"/>
      <c r="R6" s="342">
        <v>0.98</v>
      </c>
    </row>
    <row r="7" spans="2:24" ht="17">
      <c r="B7" s="1" t="s">
        <v>6</v>
      </c>
      <c r="F7" s="603">
        <v>41469</v>
      </c>
      <c r="G7" s="524"/>
      <c r="H7" s="1" t="s">
        <v>27</v>
      </c>
      <c r="J7" s="39"/>
      <c r="K7" s="451"/>
      <c r="L7" s="252">
        <f t="shared" ref="L7" si="0">J7+K7</f>
        <v>0</v>
      </c>
      <c r="N7" s="265"/>
      <c r="O7" s="265"/>
      <c r="P7" s="445" t="s">
        <v>154</v>
      </c>
      <c r="Q7" s="364" t="s">
        <v>155</v>
      </c>
      <c r="R7" s="364"/>
      <c r="T7" s="604">
        <f ca="1">O23</f>
        <v>7.1606448292732258E-2</v>
      </c>
      <c r="U7" s="1">
        <v>90</v>
      </c>
      <c r="V7" s="430">
        <v>96</v>
      </c>
      <c r="W7" s="430">
        <v>99</v>
      </c>
      <c r="X7" s="1">
        <v>102</v>
      </c>
    </row>
    <row r="8" spans="2:24" ht="18" thickBot="1">
      <c r="B8" s="11" t="s">
        <v>8</v>
      </c>
      <c r="C8" s="11"/>
      <c r="D8" s="11"/>
      <c r="E8" s="11"/>
      <c r="F8" s="12">
        <f>F7/F6</f>
        <v>0.60636767208857545</v>
      </c>
      <c r="G8" s="590"/>
      <c r="H8" s="1" t="str">
        <f>+B17</f>
        <v>CapEx</v>
      </c>
      <c r="I8" s="251"/>
      <c r="J8" s="522"/>
      <c r="K8" s="522"/>
      <c r="L8" s="252"/>
      <c r="N8" s="265" t="s">
        <v>203</v>
      </c>
      <c r="O8" s="265"/>
      <c r="P8" s="364" t="s">
        <v>81</v>
      </c>
      <c r="Q8" s="364" t="s">
        <v>156</v>
      </c>
      <c r="R8" s="364" t="s">
        <v>204</v>
      </c>
      <c r="T8" s="598">
        <v>4.2500000000000003E-2</v>
      </c>
      <c r="U8" s="403">
        <f t="dataTable" ref="U8:X14" dt2D="1" dtr="1" r1="L17" r2="L22" ca="1"/>
        <v>8.9910140633583088E-2</v>
      </c>
      <c r="V8" s="403">
        <v>0.11410877108573914</v>
      </c>
      <c r="W8" s="403">
        <v>0.11095427870750427</v>
      </c>
      <c r="X8" s="403">
        <v>0.1086994230747223</v>
      </c>
    </row>
    <row r="9" spans="2:24" ht="15" thickBot="1">
      <c r="B9" s="6"/>
      <c r="C9" s="6"/>
      <c r="D9" s="6"/>
      <c r="E9" s="6"/>
      <c r="F9" s="6"/>
      <c r="G9" s="541"/>
      <c r="H9" s="935" t="s">
        <v>2359</v>
      </c>
      <c r="I9" s="1232">
        <f>HLOOKUP(J9,'Monthly Cash Flow'!$K$13:$GT$15,3)</f>
        <v>44592</v>
      </c>
      <c r="J9" s="936">
        <v>67</v>
      </c>
      <c r="K9" s="936">
        <v>1</v>
      </c>
      <c r="L9" s="252">
        <f t="shared" ref="L9:L14" si="1">J9+K9</f>
        <v>68</v>
      </c>
      <c r="N9" s="265" t="s">
        <v>205</v>
      </c>
      <c r="O9" s="265"/>
      <c r="P9" s="265"/>
      <c r="Q9" s="343">
        <v>1</v>
      </c>
      <c r="R9" s="293">
        <f t="shared" ref="R9:R10" si="2">1-Q9</f>
        <v>0</v>
      </c>
      <c r="T9" s="598">
        <f>T8+0.25%</f>
        <v>4.5000000000000005E-2</v>
      </c>
      <c r="U9" s="403">
        <v>7.423101365566255E-2</v>
      </c>
      <c r="V9" s="403">
        <v>0.10050105452537539</v>
      </c>
      <c r="W9" s="403">
        <v>9.7788947820663469E-2</v>
      </c>
      <c r="X9" s="403">
        <v>9.6009632945060736E-2</v>
      </c>
    </row>
    <row r="10" spans="2:24">
      <c r="B10" s="236" t="s">
        <v>11</v>
      </c>
      <c r="C10" s="237"/>
      <c r="D10" s="237"/>
      <c r="E10" s="237"/>
      <c r="F10" s="237"/>
      <c r="H10" s="935" t="s">
        <v>2360</v>
      </c>
      <c r="I10" s="1232">
        <f>HLOOKUP(J10,'Monthly Cash Flow'!$K$13:$GT$15,3)</f>
        <v>44592</v>
      </c>
      <c r="J10" s="936">
        <v>67</v>
      </c>
      <c r="K10" s="936">
        <v>3</v>
      </c>
      <c r="L10" s="252">
        <f t="shared" si="1"/>
        <v>70</v>
      </c>
      <c r="N10" s="265" t="s">
        <v>160</v>
      </c>
      <c r="O10" s="265"/>
      <c r="P10" s="344">
        <v>0.09</v>
      </c>
      <c r="Q10" s="344">
        <v>1</v>
      </c>
      <c r="R10" s="293">
        <f t="shared" si="2"/>
        <v>0</v>
      </c>
      <c r="T10" s="598">
        <f t="shared" ref="T10:T14" si="3">T9+0.25%</f>
        <v>4.7500000000000007E-2</v>
      </c>
      <c r="U10" s="604">
        <v>5.8861801028251642E-2</v>
      </c>
      <c r="V10" s="604">
        <v>8.7270149588584908E-2</v>
      </c>
      <c r="W10" s="604">
        <v>8.4982791543006919E-2</v>
      </c>
      <c r="X10" s="403">
        <v>8.366694748401643E-2</v>
      </c>
    </row>
    <row r="11" spans="2:24">
      <c r="C11" s="19" t="s">
        <v>15</v>
      </c>
      <c r="D11" s="20" t="s">
        <v>16</v>
      </c>
      <c r="E11" s="21" t="s">
        <v>17</v>
      </c>
      <c r="F11" s="19" t="s">
        <v>16</v>
      </c>
      <c r="H11" s="935" t="s">
        <v>2344</v>
      </c>
      <c r="I11" s="1232">
        <f>HLOOKUP(J11,'Monthly Cash Flow'!$K$13:$GT$15,3)</f>
        <v>44712</v>
      </c>
      <c r="J11" s="936">
        <v>71</v>
      </c>
      <c r="K11" s="936">
        <v>3</v>
      </c>
      <c r="L11" s="252">
        <f t="shared" si="1"/>
        <v>74</v>
      </c>
      <c r="N11" s="265" t="s">
        <v>161</v>
      </c>
      <c r="O11" s="265"/>
      <c r="P11" s="344">
        <v>0.09</v>
      </c>
      <c r="Q11" s="310">
        <f>1-R11</f>
        <v>1</v>
      </c>
      <c r="R11" s="344">
        <v>0</v>
      </c>
      <c r="T11" s="598">
        <f t="shared" si="3"/>
        <v>5.000000000000001E-2</v>
      </c>
      <c r="U11" s="604">
        <v>4.3713733553886414E-2</v>
      </c>
      <c r="V11" s="604">
        <v>7.4345776438713082E-2</v>
      </c>
      <c r="W11" s="604">
        <v>7.246803343296053E-2</v>
      </c>
      <c r="X11" s="403">
        <v>7.1606448292732258E-2</v>
      </c>
    </row>
    <row r="12" spans="2:24">
      <c r="B12" s="1" t="s">
        <v>19</v>
      </c>
      <c r="C12" s="477">
        <v>30000</v>
      </c>
      <c r="D12" s="349">
        <f>C12/$F$7*1000</f>
        <v>723.43196122404686</v>
      </c>
      <c r="E12" s="350">
        <f>C12</f>
        <v>30000</v>
      </c>
      <c r="F12" s="349">
        <f>E12/$F$7*1000</f>
        <v>723.43196122404686</v>
      </c>
      <c r="H12" s="1" t="str">
        <f>+B18</f>
        <v xml:space="preserve">Soft Costs </v>
      </c>
      <c r="J12" s="522"/>
      <c r="K12" s="522"/>
      <c r="L12" s="252"/>
      <c r="N12" s="326" t="s">
        <v>206</v>
      </c>
      <c r="O12" s="265"/>
      <c r="P12" s="265"/>
      <c r="Q12" s="265"/>
      <c r="R12" s="265"/>
      <c r="T12" s="598">
        <f t="shared" si="3"/>
        <v>5.2500000000000012E-2</v>
      </c>
      <c r="U12" s="604">
        <v>2.8703257441520698E-2</v>
      </c>
      <c r="V12" s="604">
        <v>6.1664852499961856E-2</v>
      </c>
      <c r="W12" s="604">
        <v>6.0183766484260562E-2</v>
      </c>
      <c r="X12" s="403">
        <v>5.9769842028617862E-2</v>
      </c>
    </row>
    <row r="13" spans="2:24">
      <c r="B13" s="971">
        <f>C13/C12</f>
        <v>6.8666666666666668E-3</v>
      </c>
      <c r="C13" s="973">
        <v>206</v>
      </c>
      <c r="D13" s="515">
        <f t="shared" ref="D13:D14" si="4">C13/$F$7*1000</f>
        <v>4.9675661337384547</v>
      </c>
      <c r="E13" s="517">
        <f>C13</f>
        <v>206</v>
      </c>
      <c r="F13" s="27">
        <f t="shared" ref="F13:F14" si="5">E13/$F$7*1000</f>
        <v>4.9675661337384547</v>
      </c>
      <c r="G13" s="541"/>
      <c r="H13" s="935" t="s">
        <v>2364</v>
      </c>
      <c r="I13" s="1232">
        <f>HLOOKUP(J13,'Monthly Cash Flow'!$K$13:$GT$15,3)</f>
        <v>44620</v>
      </c>
      <c r="J13" s="936">
        <v>68</v>
      </c>
      <c r="K13" s="936">
        <v>3</v>
      </c>
      <c r="L13" s="252">
        <f t="shared" si="1"/>
        <v>71</v>
      </c>
      <c r="N13" s="265" t="s">
        <v>163</v>
      </c>
      <c r="O13" s="265"/>
      <c r="P13" s="344">
        <v>0.09</v>
      </c>
      <c r="Q13" s="344">
        <v>1</v>
      </c>
      <c r="R13" s="293">
        <f>1-Q13</f>
        <v>0</v>
      </c>
      <c r="T13" s="598">
        <f t="shared" si="3"/>
        <v>5.5000000000000014E-2</v>
      </c>
      <c r="U13" s="604">
        <v>1.3749280571937559E-2</v>
      </c>
      <c r="V13" s="604">
        <v>4.9169555306434645E-2</v>
      </c>
      <c r="W13" s="604">
        <v>4.8074075579643258E-2</v>
      </c>
      <c r="X13" s="403">
        <v>4.8103681206703192E-2</v>
      </c>
    </row>
    <row r="14" spans="2:24">
      <c r="B14" s="971" t="s">
        <v>1163</v>
      </c>
      <c r="C14" s="973">
        <v>160</v>
      </c>
      <c r="D14" s="515">
        <f t="shared" si="4"/>
        <v>3.8583037931949167</v>
      </c>
      <c r="E14" s="517">
        <f>C14</f>
        <v>160</v>
      </c>
      <c r="F14" s="27">
        <f t="shared" si="5"/>
        <v>3.8583037931949167</v>
      </c>
      <c r="H14" s="935" t="s">
        <v>2344</v>
      </c>
      <c r="I14" s="1232">
        <f>HLOOKUP(J14,'Monthly Cash Flow'!$K$13:$GT$15,3)</f>
        <v>44620</v>
      </c>
      <c r="J14" s="936">
        <v>68</v>
      </c>
      <c r="K14" s="936">
        <v>3</v>
      </c>
      <c r="L14" s="252">
        <f t="shared" si="1"/>
        <v>71</v>
      </c>
      <c r="N14" s="265" t="s">
        <v>164</v>
      </c>
      <c r="O14" s="265"/>
      <c r="P14" s="344"/>
      <c r="Q14" s="344">
        <v>1</v>
      </c>
      <c r="R14" s="293">
        <f>1-Q14</f>
        <v>0</v>
      </c>
      <c r="T14" s="598">
        <f t="shared" si="3"/>
        <v>5.7500000000000016E-2</v>
      </c>
      <c r="U14" s="604">
        <v>-1.2294724583625798E-3</v>
      </c>
      <c r="V14" s="604">
        <v>3.6805722117424028E-2</v>
      </c>
      <c r="W14" s="604">
        <v>3.6086466908454892E-2</v>
      </c>
      <c r="X14" s="403">
        <v>3.655788600444794E-2</v>
      </c>
    </row>
    <row r="15" spans="2:24">
      <c r="B15" s="31" t="s">
        <v>20</v>
      </c>
      <c r="C15" s="32">
        <f>SUM(C12:C14)</f>
        <v>30366</v>
      </c>
      <c r="D15" s="35">
        <f>C15/F7*1000</f>
        <v>732.25783115098022</v>
      </c>
      <c r="E15" s="32">
        <f>SUM(E12:E14)</f>
        <v>30366</v>
      </c>
      <c r="F15" s="972">
        <f>E15/F7*1000</f>
        <v>732.25783115098022</v>
      </c>
      <c r="J15" s="522"/>
      <c r="K15" s="522"/>
      <c r="L15" s="252"/>
      <c r="N15" s="265" t="s">
        <v>165</v>
      </c>
      <c r="O15" s="265"/>
      <c r="P15" s="344">
        <v>0.12</v>
      </c>
      <c r="Q15" s="344">
        <v>0.9</v>
      </c>
      <c r="R15" s="293">
        <f t="shared" ref="R15:R16" si="6">1-Q15</f>
        <v>9.9999999999999978E-2</v>
      </c>
      <c r="U15" s="1492"/>
      <c r="V15" s="403"/>
      <c r="W15" s="403"/>
      <c r="X15" s="403"/>
    </row>
    <row r="16" spans="2:24">
      <c r="B16" s="513" t="s">
        <v>25</v>
      </c>
      <c r="C16" s="514">
        <v>0</v>
      </c>
      <c r="D16" s="515">
        <f>C16/F7*1000</f>
        <v>0</v>
      </c>
      <c r="E16" s="425">
        <f ca="1">'Monthly Cash Flow'!I111</f>
        <v>499.20616000000007</v>
      </c>
      <c r="F16" s="516">
        <f ca="1">E16/$F$7*1000</f>
        <v>12.038056379464178</v>
      </c>
      <c r="N16" s="265" t="s">
        <v>166</v>
      </c>
      <c r="O16" s="265"/>
      <c r="P16" s="344">
        <v>0.15</v>
      </c>
      <c r="Q16" s="344">
        <v>0.7</v>
      </c>
      <c r="R16" s="293">
        <f t="shared" si="6"/>
        <v>0.30000000000000004</v>
      </c>
      <c r="U16" s="403"/>
      <c r="V16" s="403"/>
      <c r="W16" s="403"/>
      <c r="X16" s="403"/>
    </row>
    <row r="17" spans="1:31" ht="15" thickBot="1">
      <c r="B17" s="513" t="s">
        <v>1018</v>
      </c>
      <c r="C17" s="514">
        <v>0</v>
      </c>
      <c r="D17" s="515">
        <f>C17/F7*1000</f>
        <v>0</v>
      </c>
      <c r="E17" s="425">
        <f>+'Monthly Cash Flow'!H26</f>
        <v>2314.3237600000002</v>
      </c>
      <c r="F17" s="539">
        <f>E17/$F$7*1000</f>
        <v>55.808525886807011</v>
      </c>
      <c r="H17" s="253" t="s">
        <v>34</v>
      </c>
      <c r="I17" s="407">
        <f>EOMONTH(I6,L17-1)</f>
        <v>45657</v>
      </c>
      <c r="J17" s="254"/>
      <c r="K17" s="255"/>
      <c r="L17" s="479">
        <f>99+3</f>
        <v>102</v>
      </c>
      <c r="N17" s="270" t="s">
        <v>167</v>
      </c>
      <c r="O17" s="270"/>
      <c r="P17" s="345"/>
      <c r="Q17" s="345">
        <v>0.6</v>
      </c>
      <c r="R17" s="346">
        <f>1-Q17</f>
        <v>0.4</v>
      </c>
    </row>
    <row r="18" spans="1:31" ht="15" thickBot="1">
      <c r="B18" s="513" t="s">
        <v>418</v>
      </c>
      <c r="C18" s="514">
        <v>0</v>
      </c>
      <c r="D18" s="515">
        <f>C18/F7*1000</f>
        <v>0</v>
      </c>
      <c r="E18" s="425">
        <f>'Monthly Cash Flow'!H29</f>
        <v>823.30899924999994</v>
      </c>
      <c r="F18" s="539">
        <f>E18/$F$7*1000</f>
        <v>19.853601467361159</v>
      </c>
      <c r="Q18" s="257"/>
      <c r="R18" s="257"/>
      <c r="T18" s="1233">
        <f ca="1">$P$23</f>
        <v>1.7510528635997842</v>
      </c>
      <c r="U18" s="430">
        <f>U7</f>
        <v>90</v>
      </c>
      <c r="V18" s="430">
        <f>V7</f>
        <v>96</v>
      </c>
      <c r="W18" s="430">
        <f>W7</f>
        <v>99</v>
      </c>
      <c r="X18" s="1">
        <f>X7</f>
        <v>102</v>
      </c>
    </row>
    <row r="19" spans="1:31">
      <c r="B19" s="513" t="s">
        <v>254</v>
      </c>
      <c r="C19" s="514">
        <f>0.1*(C17+C18)</f>
        <v>0</v>
      </c>
      <c r="D19" s="515">
        <f>C19/F7*1000</f>
        <v>0</v>
      </c>
      <c r="E19" s="425">
        <f>'Monthly Cash Flow'!H30</f>
        <v>0</v>
      </c>
      <c r="F19" s="539">
        <f>E19/$F$7*1000</f>
        <v>0</v>
      </c>
      <c r="H19" s="239" t="s">
        <v>12</v>
      </c>
      <c r="I19" s="239"/>
      <c r="J19" s="241"/>
      <c r="K19" s="241" t="s">
        <v>13</v>
      </c>
      <c r="L19" s="241" t="s">
        <v>14</v>
      </c>
      <c r="M19" s="348"/>
      <c r="N19" s="395" t="s">
        <v>258</v>
      </c>
      <c r="O19" s="395"/>
      <c r="P19" s="395"/>
      <c r="Q19" s="395"/>
      <c r="R19" s="395"/>
      <c r="T19" s="598">
        <v>4.2500000000000003E-2</v>
      </c>
      <c r="U19" s="511">
        <f t="dataTable" ref="U19:X25" dt2D="1" dtr="1" r1="L17" r2="L22" ca="1"/>
        <v>1.8441502404577497</v>
      </c>
      <c r="V19" s="511">
        <v>2.2783901489287515</v>
      </c>
      <c r="W19" s="511">
        <v>2.2891963266917204</v>
      </c>
      <c r="X19" s="511">
        <v>2.3119466452576187</v>
      </c>
    </row>
    <row r="20" spans="1:31" ht="17">
      <c r="B20" s="513" t="s">
        <v>444</v>
      </c>
      <c r="C20" s="514">
        <v>0</v>
      </c>
      <c r="D20" s="515">
        <f>C20/F7*1000</f>
        <v>0</v>
      </c>
      <c r="E20" s="517">
        <f ca="1">+J41</f>
        <v>0</v>
      </c>
      <c r="F20" s="539">
        <f ca="1">+E20*1000/$F$7</f>
        <v>0</v>
      </c>
      <c r="H20" s="7" t="s">
        <v>18</v>
      </c>
      <c r="I20" s="7"/>
      <c r="J20" s="22"/>
      <c r="K20" s="23"/>
      <c r="L20" s="24">
        <f>L17</f>
        <v>102</v>
      </c>
      <c r="M20" s="348"/>
      <c r="O20" s="446" t="s">
        <v>255</v>
      </c>
      <c r="P20" s="447"/>
      <c r="Q20" s="447"/>
      <c r="R20" s="447"/>
      <c r="T20" s="598">
        <f>T19+0.25%</f>
        <v>4.5000000000000005E-2</v>
      </c>
      <c r="U20" s="511">
        <v>1.6625389760401212</v>
      </c>
      <c r="V20" s="511">
        <v>2.0732008826953425</v>
      </c>
      <c r="W20" s="511">
        <v>2.0827331310559289</v>
      </c>
      <c r="X20" s="511">
        <v>2.1042082076065682</v>
      </c>
    </row>
    <row r="21" spans="1:31" ht="17">
      <c r="B21" s="513" t="s">
        <v>28</v>
      </c>
      <c r="C21" s="514">
        <v>0</v>
      </c>
      <c r="D21" s="515">
        <f>C21/F7*1000</f>
        <v>0</v>
      </c>
      <c r="E21" s="517">
        <f ca="1">+J42</f>
        <v>2716.7109999999993</v>
      </c>
      <c r="F21" s="539">
        <f t="shared" ref="F21:F22" ca="1" si="7">+E21*1000/$F$7</f>
        <v>65.511852226964706</v>
      </c>
      <c r="H21" s="28" t="s">
        <v>1014</v>
      </c>
      <c r="I21" s="28"/>
      <c r="J21" s="28"/>
      <c r="K21" s="28"/>
      <c r="L21" s="29">
        <f ca="1">SUM(OFFSET('Monthly Cash Flow'!K$76,0,Assumptions!$L$20+1,1,12))-SUM(OFFSET('Monthly Cash Flow'!K$56,0,Assumptions!$L$20+1,1,12))</f>
        <v>2690.4760000000006</v>
      </c>
      <c r="M21" s="1454"/>
      <c r="O21" s="405" t="s">
        <v>10</v>
      </c>
      <c r="P21" s="405" t="s">
        <v>9</v>
      </c>
      <c r="Q21" s="405" t="s">
        <v>158</v>
      </c>
      <c r="R21" s="405" t="s">
        <v>5</v>
      </c>
      <c r="T21" s="598">
        <f t="shared" ref="T21:T25" si="8">T20+0.25%</f>
        <v>4.7500000000000007E-2</v>
      </c>
      <c r="U21" s="1493">
        <v>1.5000446868243487</v>
      </c>
      <c r="V21" s="1493">
        <v>1.8896104865917667</v>
      </c>
      <c r="W21" s="1493">
        <v>1.8980029033818007</v>
      </c>
      <c r="X21" s="511">
        <v>1.918336973918787</v>
      </c>
    </row>
    <row r="22" spans="1:31">
      <c r="B22" s="518" t="s">
        <v>29</v>
      </c>
      <c r="C22" s="519">
        <v>0</v>
      </c>
      <c r="D22" s="520">
        <f>C22/F7*1000</f>
        <v>0</v>
      </c>
      <c r="E22" s="517">
        <f ca="1">+J43</f>
        <v>976.22774520042606</v>
      </c>
      <c r="F22" s="540">
        <f t="shared" ca="1" si="7"/>
        <v>23.541145077055777</v>
      </c>
      <c r="H22" s="521" t="s">
        <v>436</v>
      </c>
      <c r="I22" s="480"/>
      <c r="J22" s="480"/>
      <c r="K22" s="480"/>
      <c r="L22" s="481">
        <v>0.05</v>
      </c>
      <c r="M22" s="25"/>
      <c r="N22" s="1" t="s">
        <v>235</v>
      </c>
      <c r="O22" s="416">
        <f ca="1">+'Monthly Cash Flow'!I96</f>
        <v>5.7904282212257394E-2</v>
      </c>
      <c r="P22" s="417">
        <f ca="1">+'Monthly Cash Flow'!I95</f>
        <v>1.5500000496627293</v>
      </c>
      <c r="Q22" s="418">
        <f ca="1">+'Monthly Cash Flow'!I94</f>
        <v>37647.066320805607</v>
      </c>
      <c r="R22" s="419">
        <f ca="1">'Monthly Cash Flow'!I93</f>
        <v>20705.888346099153</v>
      </c>
      <c r="T22" s="598">
        <f t="shared" si="8"/>
        <v>5.000000000000001E-2</v>
      </c>
      <c r="U22" s="1493">
        <v>1.3537998265301534</v>
      </c>
      <c r="V22" s="1493">
        <v>1.7243791300985487</v>
      </c>
      <c r="W22" s="1493">
        <v>1.7317456984750845</v>
      </c>
      <c r="X22" s="511">
        <v>1.7510528635997837</v>
      </c>
    </row>
    <row r="23" spans="1:31" ht="15" thickBot="1">
      <c r="B23" s="94" t="s">
        <v>30</v>
      </c>
      <c r="C23" s="137">
        <f>SUM(C15:C22)</f>
        <v>30366</v>
      </c>
      <c r="D23" s="245">
        <f>C23/F7*1000</f>
        <v>732.25783115098022</v>
      </c>
      <c r="E23" s="137">
        <f ca="1">SUM(E15:E22)</f>
        <v>37695.777664450427</v>
      </c>
      <c r="F23" s="246">
        <f ca="1">E23/F7*1000</f>
        <v>909.01101218863312</v>
      </c>
      <c r="G23" s="541"/>
      <c r="H23" s="40" t="s">
        <v>530</v>
      </c>
      <c r="I23" s="40"/>
      <c r="J23" s="40"/>
      <c r="K23" s="41">
        <f ca="1">L23/F7*1000</f>
        <v>1369.9274156598908</v>
      </c>
      <c r="L23" s="42">
        <f ca="1">(MAX(L21/L22))+3000</f>
        <v>56809.520000000011</v>
      </c>
      <c r="N23" s="1" t="s">
        <v>238</v>
      </c>
      <c r="O23" s="416">
        <f ca="1">'Monthly Cash Flow'!$I$200</f>
        <v>7.1606448292732258E-2</v>
      </c>
      <c r="P23" s="417">
        <f ca="1">'Monthly Cash Flow'!$I$199</f>
        <v>1.7510528635997842</v>
      </c>
      <c r="Q23" s="418">
        <f ca="1">'Monthly Cash Flow'!$I$198</f>
        <v>15882.232</v>
      </c>
      <c r="R23" s="419">
        <f ca="1">'Monthly Cash Flow'!I197</f>
        <v>11928.395823956129</v>
      </c>
      <c r="T23" s="598">
        <f t="shared" si="8"/>
        <v>5.2500000000000012E-2</v>
      </c>
      <c r="U23" s="1493">
        <v>1.2214830481687386</v>
      </c>
      <c r="V23" s="1493">
        <v>1.5748840932713501</v>
      </c>
      <c r="W23" s="1493">
        <v>1.5813225130832942</v>
      </c>
      <c r="X23" s="511">
        <v>1.599700573311162</v>
      </c>
    </row>
    <row r="24" spans="1:31">
      <c r="B24" s="247" t="s">
        <v>31</v>
      </c>
      <c r="C24" s="973">
        <v>570</v>
      </c>
      <c r="D24" s="352">
        <f>C24/F7*1000</f>
        <v>13.745207263256891</v>
      </c>
      <c r="E24" s="358">
        <f ca="1">SUM('Monthly Cash Flow'!I107:I110)</f>
        <v>1599.0906100000002</v>
      </c>
      <c r="F24" s="353">
        <f ca="1">E24/F7*1000</f>
        <v>38.561108538908591</v>
      </c>
      <c r="H24" s="15" t="s">
        <v>715</v>
      </c>
      <c r="I24" s="36"/>
      <c r="J24" s="36"/>
      <c r="K24" s="45"/>
      <c r="L24" s="847">
        <f ca="1">+SUM(OFFSET('Monthly Cash Flow'!K$56,0,Assumptions!$L$20+1,1,12))</f>
        <v>0</v>
      </c>
      <c r="N24" s="9" t="s">
        <v>256</v>
      </c>
      <c r="O24" s="416">
        <f ca="1">+Waterfall!G133</f>
        <v>7.1606448292732258E-2</v>
      </c>
      <c r="P24" s="417">
        <f ca="1">+Waterfall!G135</f>
        <v>1.7510528635997842</v>
      </c>
      <c r="Q24" s="418">
        <f ca="1">-Waterfall!G123</f>
        <v>15564.58736</v>
      </c>
      <c r="R24" s="419">
        <f ca="1">+Waterfall!G134</f>
        <v>11689.827907477005</v>
      </c>
      <c r="T24" s="598">
        <f t="shared" si="8"/>
        <v>5.5000000000000014E-2</v>
      </c>
      <c r="U24" s="1493">
        <v>1.1011950678401794</v>
      </c>
      <c r="V24" s="1493">
        <v>1.4389795143375346</v>
      </c>
      <c r="W24" s="1493">
        <v>1.4445741627271209</v>
      </c>
      <c r="X24" s="511">
        <v>1.4621075821396881</v>
      </c>
    </row>
    <row r="25" spans="1:31">
      <c r="B25" s="9" t="s">
        <v>32</v>
      </c>
      <c r="C25" s="122">
        <v>0</v>
      </c>
      <c r="D25" s="351">
        <f>C25/F7*1000</f>
        <v>0</v>
      </c>
      <c r="E25" s="425">
        <f ca="1">'Monthly Cash Flow'!I150</f>
        <v>1715.5169299999993</v>
      </c>
      <c r="F25" s="27">
        <f ca="1">E25/F7*1000</f>
        <v>41.36865923943185</v>
      </c>
      <c r="H25" s="15" t="s">
        <v>716</v>
      </c>
      <c r="I25" s="7"/>
      <c r="J25" s="7"/>
      <c r="K25" s="7"/>
      <c r="L25" s="847">
        <f ca="1">-SUM(OFFSET('Monthly Cash Flow'!K$33,0,Assumptions!$L$20+1,1,12))-SUM(OFFSET('Monthly Cash Flow'!K$36,0,Assumptions!$L$20+1,1,12))</f>
        <v>-59.47</v>
      </c>
      <c r="N25" s="420" t="s">
        <v>257</v>
      </c>
      <c r="O25" s="421">
        <f ca="1">+Waterfall!G164</f>
        <v>7.1606448292732258E-2</v>
      </c>
      <c r="P25" s="422">
        <f ca="1">+Waterfall!G163</f>
        <v>1.7510528635997837</v>
      </c>
      <c r="Q25" s="423">
        <f ca="1">-Waterfall!G138</f>
        <v>317.64464000000032</v>
      </c>
      <c r="R25" s="424">
        <f ca="1">+Waterfall!G161</f>
        <v>238.56791647912269</v>
      </c>
      <c r="T25" s="598">
        <f t="shared" si="8"/>
        <v>5.7500000000000016E-2</v>
      </c>
      <c r="U25" s="1493">
        <v>0.99136691188801651</v>
      </c>
      <c r="V25" s="1493">
        <v>1.3148927248762243</v>
      </c>
      <c r="W25" s="1493">
        <v>1.3197169732714842</v>
      </c>
      <c r="X25" s="511">
        <v>1.336479198896168</v>
      </c>
    </row>
    <row r="26" spans="1:31" ht="15" thickBot="1">
      <c r="B26" s="94" t="s">
        <v>33</v>
      </c>
      <c r="C26" s="438">
        <f>SUM(C23:C25)</f>
        <v>30936</v>
      </c>
      <c r="D26" s="245">
        <f>C26/F7*1000</f>
        <v>746.00303841423715</v>
      </c>
      <c r="E26" s="137">
        <f ca="1">SUM(E23:E25)</f>
        <v>41010.385204450424</v>
      </c>
      <c r="F26" s="246">
        <f ca="1">E26/F7*1000</f>
        <v>988.94077996697354</v>
      </c>
      <c r="H26" s="15" t="s">
        <v>2506</v>
      </c>
      <c r="L26" s="847">
        <f ca="1">L23*-5%</f>
        <v>-2840.4760000000006</v>
      </c>
      <c r="U26" s="1494"/>
      <c r="V26" s="1495"/>
      <c r="W26" s="1495"/>
      <c r="X26" s="511"/>
    </row>
    <row r="27" spans="1:31" ht="15" thickBot="1">
      <c r="A27" s="50"/>
      <c r="H27" s="40" t="s">
        <v>2507</v>
      </c>
      <c r="I27" s="40"/>
      <c r="J27" s="40"/>
      <c r="K27" s="41">
        <f ca="1">L27/F7*1000</f>
        <v>1299.9969615857628</v>
      </c>
      <c r="L27" s="42">
        <f ca="1">+L23+SUM(L24:L26)</f>
        <v>53909.574000000008</v>
      </c>
      <c r="N27" s="1615" t="s">
        <v>1004</v>
      </c>
      <c r="O27" s="1615"/>
      <c r="P27" s="1615"/>
      <c r="Q27" s="1615"/>
      <c r="R27" s="1615"/>
      <c r="U27" s="511"/>
      <c r="V27" s="511"/>
      <c r="W27" s="511"/>
      <c r="X27" s="511"/>
    </row>
    <row r="28" spans="1:31">
      <c r="B28" s="239" t="s">
        <v>38</v>
      </c>
      <c r="C28" s="239"/>
      <c r="D28" s="239"/>
      <c r="E28" s="240"/>
      <c r="F28" s="240"/>
      <c r="M28" s="465"/>
      <c r="N28" s="409"/>
      <c r="O28" s="1616" t="s">
        <v>22</v>
      </c>
      <c r="P28" s="1616" t="s">
        <v>24</v>
      </c>
      <c r="Q28" s="409"/>
      <c r="R28" s="409"/>
    </row>
    <row r="29" spans="1:31" ht="15" thickBot="1">
      <c r="B29" s="7" t="s">
        <v>40</v>
      </c>
      <c r="C29" s="7"/>
      <c r="D29" s="7"/>
      <c r="E29" s="903"/>
      <c r="F29" s="51">
        <f>+F50</f>
        <v>21795.794000000002</v>
      </c>
      <c r="H29" s="40" t="s">
        <v>36</v>
      </c>
      <c r="I29" s="40"/>
      <c r="J29" s="40"/>
      <c r="K29" s="41">
        <f ca="1">L29/F7*1000</f>
        <v>1299.9969615857628</v>
      </c>
      <c r="L29" s="42">
        <f ca="1">L27</f>
        <v>53909.574000000008</v>
      </c>
      <c r="N29" s="409" t="s">
        <v>1005</v>
      </c>
      <c r="O29" s="1617">
        <v>1</v>
      </c>
      <c r="P29" s="1617">
        <v>25</v>
      </c>
      <c r="Q29" s="409"/>
      <c r="R29" s="409"/>
      <c r="T29" s="1235" t="s">
        <v>2090</v>
      </c>
      <c r="U29" s="1236"/>
      <c r="V29" s="1236"/>
      <c r="W29" s="1236"/>
      <c r="X29" s="1237"/>
    </row>
    <row r="30" spans="1:31" ht="15" thickBot="1">
      <c r="A30" s="50"/>
      <c r="B30" s="7" t="s">
        <v>41</v>
      </c>
      <c r="C30" s="7"/>
      <c r="D30" s="7"/>
      <c r="E30" s="7"/>
      <c r="F30" s="904">
        <f>+F51-F29</f>
        <v>16705.366934450423</v>
      </c>
      <c r="H30" s="46" t="s">
        <v>37</v>
      </c>
      <c r="I30" s="47"/>
      <c r="J30" s="47"/>
      <c r="K30" s="48">
        <v>1.2500000000000001E-2</v>
      </c>
      <c r="L30" s="49">
        <f ca="1">-L29*K30</f>
        <v>-673.86967500000014</v>
      </c>
      <c r="T30" s="1234"/>
      <c r="U30" s="1611">
        <f>EOMONTH($I$6,U7-1)</f>
        <v>45291</v>
      </c>
      <c r="V30" s="1611">
        <f>EOMONTH($I$6,V7-1)</f>
        <v>45473</v>
      </c>
      <c r="W30" s="1611">
        <f>EOMONTH($I$6,W7-1)</f>
        <v>45565</v>
      </c>
      <c r="X30" s="1611">
        <f>EOMONTH($I$6,X7-1)</f>
        <v>45657</v>
      </c>
    </row>
    <row r="31" spans="1:31" ht="15" thickBot="1">
      <c r="A31" s="50"/>
      <c r="B31" s="52" t="s">
        <v>42</v>
      </c>
      <c r="C31" s="53" t="s">
        <v>43</v>
      </c>
      <c r="D31" s="848">
        <v>525</v>
      </c>
      <c r="E31" s="54">
        <f>LIBOR!M34</f>
        <v>1.2929E-3</v>
      </c>
      <c r="F31" s="25">
        <f>+D32</f>
        <v>0.09</v>
      </c>
      <c r="H31" s="248" t="s">
        <v>39</v>
      </c>
      <c r="I31" s="248"/>
      <c r="J31" s="248"/>
      <c r="K31" s="249">
        <f ca="1">L31/F7*1000</f>
        <v>1283.746999565941</v>
      </c>
      <c r="L31" s="250">
        <f ca="1">SUM(L29:L30)</f>
        <v>53235.704325000006</v>
      </c>
      <c r="T31" s="1612">
        <f t="shared" ref="T31:T37" si="9">T8</f>
        <v>4.2500000000000003E-2</v>
      </c>
      <c r="U31" s="1610" t="str">
        <f t="shared" ref="U31:X37" si="10">TEXT(U8,"0.0%")&amp;" / "&amp;TEXT(U19,"0.0x")</f>
        <v>9.0% / 1.8x</v>
      </c>
      <c r="V31" s="1610" t="str">
        <f t="shared" si="10"/>
        <v>11.4% / 2.3x</v>
      </c>
      <c r="W31" s="1610" t="str">
        <f t="shared" si="10"/>
        <v>11.1% / 2.3x</v>
      </c>
      <c r="X31" s="1610" t="str">
        <f t="shared" si="10"/>
        <v>10.9% / 2.3x</v>
      </c>
      <c r="AE31" s="1" t="s">
        <v>2503</v>
      </c>
    </row>
    <row r="32" spans="1:31" ht="15" thickBot="1">
      <c r="A32" s="50"/>
      <c r="B32" s="1" t="s">
        <v>45</v>
      </c>
      <c r="C32" s="53" t="s">
        <v>1006</v>
      </c>
      <c r="D32" s="478">
        <v>0.09</v>
      </c>
      <c r="F32" s="39">
        <v>0</v>
      </c>
      <c r="N32" s="17"/>
      <c r="T32" s="1612">
        <f t="shared" si="9"/>
        <v>4.5000000000000005E-2</v>
      </c>
      <c r="U32" s="1610" t="str">
        <f t="shared" ref="U32" si="11">TEXT(U9,"0.0%")&amp;" / "&amp;TEXT(U20,"0.0x")</f>
        <v>7.4% / 1.7x</v>
      </c>
      <c r="V32" s="1610" t="str">
        <f t="shared" si="10"/>
        <v>10.1% / 2.1x</v>
      </c>
      <c r="W32" s="1610" t="str">
        <f t="shared" si="10"/>
        <v>9.8% / 2.1x</v>
      </c>
      <c r="X32" s="1610" t="str">
        <f t="shared" si="10"/>
        <v>9.6% / 2.1x</v>
      </c>
    </row>
    <row r="33" spans="1:25">
      <c r="A33" s="50"/>
      <c r="B33" s="1" t="s">
        <v>498</v>
      </c>
      <c r="C33" s="53" t="s">
        <v>499</v>
      </c>
      <c r="D33" s="1004">
        <v>5.0000000000000001E-3</v>
      </c>
      <c r="F33" s="39"/>
      <c r="H33" s="242" t="s">
        <v>44</v>
      </c>
      <c r="I33" s="242"/>
      <c r="J33" s="243"/>
      <c r="K33" s="243"/>
      <c r="L33" s="243"/>
      <c r="N33" s="1618"/>
      <c r="O33" s="1619"/>
      <c r="P33" s="1619"/>
      <c r="Q33" s="1619"/>
      <c r="T33" s="1612">
        <f t="shared" si="9"/>
        <v>4.7500000000000007E-2</v>
      </c>
      <c r="U33" s="1610" t="str">
        <f t="shared" ref="U33" si="12">TEXT(U10,"0.0%")&amp;" / "&amp;TEXT(U21,"0.0x")</f>
        <v>5.9% / 1.5x</v>
      </c>
      <c r="V33" s="1610" t="str">
        <f t="shared" si="10"/>
        <v>8.7% / 1.9x</v>
      </c>
      <c r="W33" s="1610" t="str">
        <f t="shared" si="10"/>
        <v>8.5% / 1.9x</v>
      </c>
      <c r="X33" s="1610" t="str">
        <f t="shared" si="10"/>
        <v>8.4% / 1.9x</v>
      </c>
    </row>
    <row r="34" spans="1:25">
      <c r="A34" s="50"/>
      <c r="B34" s="1" t="s">
        <v>740</v>
      </c>
      <c r="C34" s="914"/>
      <c r="D34" s="915"/>
      <c r="F34" s="916">
        <v>0</v>
      </c>
      <c r="H34" s="55" t="s">
        <v>47</v>
      </c>
      <c r="I34" s="55"/>
      <c r="J34" s="56" t="s">
        <v>48</v>
      </c>
      <c r="K34" s="56" t="s">
        <v>49</v>
      </c>
      <c r="L34" s="56" t="s">
        <v>50</v>
      </c>
      <c r="O34" s="257"/>
      <c r="P34" s="1614"/>
      <c r="Q34" s="202"/>
      <c r="T34" s="1612">
        <f t="shared" si="9"/>
        <v>5.000000000000001E-2</v>
      </c>
      <c r="U34" s="1610" t="str">
        <f t="shared" ref="U34" si="13">TEXT(U11,"0.0%")&amp;" / "&amp;TEXT(U22,"0.0x")</f>
        <v>4.4% / 1.4x</v>
      </c>
      <c r="V34" s="1610" t="str">
        <f t="shared" si="10"/>
        <v>7.4% / 1.7x</v>
      </c>
      <c r="W34" s="1610" t="str">
        <f t="shared" si="10"/>
        <v>7.2% / 1.7x</v>
      </c>
      <c r="X34" s="1610" t="str">
        <f t="shared" si="10"/>
        <v>7.2% / 1.8x</v>
      </c>
    </row>
    <row r="35" spans="1:25">
      <c r="A35" s="50"/>
      <c r="B35" s="7" t="s">
        <v>51</v>
      </c>
      <c r="C35" s="7"/>
      <c r="D35" s="7"/>
      <c r="E35" s="57">
        <v>0.01</v>
      </c>
      <c r="F35" s="58">
        <f>C24</f>
        <v>570</v>
      </c>
      <c r="G35" s="921"/>
      <c r="H35" s="15" t="s">
        <v>19</v>
      </c>
      <c r="I35" s="15"/>
      <c r="J35" s="59">
        <f>'Monthly Cash Flow'!$I$18</f>
        <v>30000</v>
      </c>
      <c r="K35" s="60">
        <f t="shared" ref="K35:K43" ca="1" si="14">J35/$J$44</f>
        <v>0.79923747066555517</v>
      </c>
      <c r="L35" s="26">
        <f>J35/F7*1000</f>
        <v>723.43196122404686</v>
      </c>
      <c r="O35" s="1614"/>
      <c r="P35" s="1614"/>
      <c r="Q35" s="202"/>
      <c r="T35" s="1612">
        <f t="shared" si="9"/>
        <v>5.2500000000000012E-2</v>
      </c>
      <c r="U35" s="1610" t="str">
        <f t="shared" ref="U35" si="15">TEXT(U12,"0.0%")&amp;" / "&amp;TEXT(U23,"0.0x")</f>
        <v>2.9% / 1.2x</v>
      </c>
      <c r="V35" s="1610" t="str">
        <f t="shared" si="10"/>
        <v>6.2% / 1.6x</v>
      </c>
      <c r="W35" s="1610" t="str">
        <f t="shared" si="10"/>
        <v>6.0% / 1.6x</v>
      </c>
      <c r="X35" s="1610" t="str">
        <f t="shared" si="10"/>
        <v>6.0% / 1.6x</v>
      </c>
    </row>
    <row r="36" spans="1:25">
      <c r="A36" s="50"/>
      <c r="B36" s="7" t="s">
        <v>714</v>
      </c>
      <c r="C36" s="7"/>
      <c r="D36" s="7"/>
      <c r="E36" s="57">
        <v>5.0000000000000001E-3</v>
      </c>
      <c r="F36" s="58">
        <f>+IF(E1=0,0,E36*F29)</f>
        <v>108.97897</v>
      </c>
      <c r="G36" s="17"/>
      <c r="H36" s="15" t="s">
        <v>53</v>
      </c>
      <c r="I36" s="15"/>
      <c r="J36" s="59">
        <f>'Monthly Cash Flow'!$I$19</f>
        <v>206</v>
      </c>
      <c r="K36" s="60">
        <f t="shared" ca="1" si="14"/>
        <v>5.488097298570146E-3</v>
      </c>
      <c r="L36" s="26">
        <f>J36/F7*1000</f>
        <v>4.9675661337384547</v>
      </c>
      <c r="O36" s="25"/>
      <c r="P36" s="25"/>
      <c r="Q36" s="202"/>
      <c r="T36" s="1612">
        <f t="shared" si="9"/>
        <v>5.5000000000000014E-2</v>
      </c>
      <c r="U36" s="1610" t="str">
        <f t="shared" ref="U36" si="16">TEXT(U13,"0.0%")&amp;" / "&amp;TEXT(U24,"0.0x")</f>
        <v>1.4% / 1.1x</v>
      </c>
      <c r="V36" s="1610" t="str">
        <f t="shared" si="10"/>
        <v>4.9% / 1.4x</v>
      </c>
      <c r="W36" s="1610" t="str">
        <f t="shared" si="10"/>
        <v>4.8% / 1.4x</v>
      </c>
      <c r="X36" s="1610" t="str">
        <f t="shared" si="10"/>
        <v>4.8% / 1.5x</v>
      </c>
    </row>
    <row r="37" spans="1:25">
      <c r="A37" s="50"/>
      <c r="B37" s="7" t="s">
        <v>52</v>
      </c>
      <c r="C37" s="7"/>
      <c r="D37" s="7"/>
      <c r="E37" s="61">
        <f>+F37/F29</f>
        <v>0</v>
      </c>
      <c r="F37" s="62">
        <v>0</v>
      </c>
      <c r="H37" s="15" t="s">
        <v>25</v>
      </c>
      <c r="J37" s="59">
        <f ca="1">+'Monthly Cash Flow'!I88</f>
        <v>499.20616000000007</v>
      </c>
      <c r="K37" s="60">
        <f t="shared" ca="1" si="14"/>
        <v>1.3299475621968817E-2</v>
      </c>
      <c r="L37" s="75">
        <f ca="1">J37/F7*1000</f>
        <v>12.038056379464178</v>
      </c>
      <c r="O37" s="257"/>
      <c r="P37" s="257"/>
      <c r="Q37" s="202"/>
      <c r="T37" s="1612">
        <f t="shared" si="9"/>
        <v>5.7500000000000016E-2</v>
      </c>
      <c r="U37" s="1610" t="str">
        <f t="shared" ref="U37" si="17">TEXT(U14,"0.0%")&amp;" / "&amp;TEXT(U25,"0.0x")</f>
        <v>-0.1% / 1.0x</v>
      </c>
      <c r="V37" s="1610" t="str">
        <f t="shared" si="10"/>
        <v>3.7% / 1.3x</v>
      </c>
      <c r="W37" s="1610" t="str">
        <f t="shared" si="10"/>
        <v>3.6% / 1.3x</v>
      </c>
      <c r="X37" s="1610" t="str">
        <f t="shared" si="10"/>
        <v>3.7% / 1.3x</v>
      </c>
    </row>
    <row r="38" spans="1:25">
      <c r="A38" s="50"/>
      <c r="B38" s="1" t="s">
        <v>54</v>
      </c>
      <c r="C38" s="63">
        <v>48</v>
      </c>
      <c r="D38" s="63">
        <v>999</v>
      </c>
      <c r="E38" s="64">
        <v>5.0000000000000001E-3</v>
      </c>
      <c r="F38" s="17">
        <f>+IF(E1=0,0,E38*F29)</f>
        <v>108.97897</v>
      </c>
      <c r="H38" s="15" t="str">
        <f t="shared" ref="H38:H43" si="18">+B17</f>
        <v>CapEx</v>
      </c>
      <c r="I38" s="15"/>
      <c r="J38" s="59">
        <f>'Monthly Cash Flow'!$I26</f>
        <v>2314.3237600000002</v>
      </c>
      <c r="K38" s="60">
        <f t="shared" ca="1" si="14"/>
        <v>6.1656475608119918E-2</v>
      </c>
      <c r="L38" s="26">
        <f>J38/F7*1000</f>
        <v>55.808525886807011</v>
      </c>
    </row>
    <row r="39" spans="1:25">
      <c r="A39" s="50"/>
      <c r="B39" s="7" t="s">
        <v>55</v>
      </c>
      <c r="C39" s="974">
        <f>EOMONTH(I6,C38)</f>
        <v>44043</v>
      </c>
      <c r="D39" s="7"/>
      <c r="E39" s="61"/>
      <c r="F39" s="65">
        <v>60</v>
      </c>
      <c r="H39" s="15" t="str">
        <f t="shared" si="18"/>
        <v xml:space="preserve">Soft Costs </v>
      </c>
      <c r="I39" s="15"/>
      <c r="J39" s="59">
        <f>'Monthly Cash Flow'!$I29</f>
        <v>823.30899924999994</v>
      </c>
      <c r="K39" s="60">
        <f t="shared" ca="1" si="14"/>
        <v>2.1933980071225316E-2</v>
      </c>
      <c r="L39" s="75">
        <f>J39/F7*1000</f>
        <v>19.853601467361159</v>
      </c>
    </row>
    <row r="40" spans="1:25">
      <c r="A40" s="50"/>
      <c r="B40" s="7" t="s">
        <v>56</v>
      </c>
      <c r="C40" s="7"/>
      <c r="E40" s="66">
        <v>30</v>
      </c>
      <c r="F40" s="67">
        <f>(E40*12)</f>
        <v>360</v>
      </c>
      <c r="H40" s="15" t="str">
        <f t="shared" si="18"/>
        <v>Contingency</v>
      </c>
      <c r="I40" s="15"/>
      <c r="J40" s="59">
        <f>'Monthly Cash Flow'!$I30</f>
        <v>0</v>
      </c>
      <c r="K40" s="60">
        <f t="shared" ca="1" si="14"/>
        <v>0</v>
      </c>
      <c r="L40" s="75">
        <f>J40/F7*1000</f>
        <v>0</v>
      </c>
    </row>
    <row r="41" spans="1:25">
      <c r="A41" s="50"/>
      <c r="B41" s="7" t="s">
        <v>720</v>
      </c>
      <c r="C41" s="7"/>
      <c r="E41" s="961">
        <f>EOMONTH($I$6,F41-1)</f>
        <v>43465</v>
      </c>
      <c r="F41" s="63">
        <v>30</v>
      </c>
      <c r="H41" s="15" t="str">
        <f t="shared" si="18"/>
        <v>Capital Reserves</v>
      </c>
      <c r="J41" s="59">
        <f ca="1">+'Monthly Cash Flow'!I39</f>
        <v>0</v>
      </c>
      <c r="K41" s="60">
        <f t="shared" ca="1" si="14"/>
        <v>0</v>
      </c>
      <c r="L41" s="75">
        <f ca="1">J41/F7*1000</f>
        <v>0</v>
      </c>
    </row>
    <row r="42" spans="1:25">
      <c r="A42" s="50"/>
      <c r="B42" s="7" t="s">
        <v>736</v>
      </c>
      <c r="C42" s="7"/>
      <c r="E42" s="961">
        <f>EOMONTH($I$6,F42-1)</f>
        <v>43281</v>
      </c>
      <c r="F42" s="63">
        <v>24</v>
      </c>
      <c r="H42" s="15" t="str">
        <f t="shared" si="18"/>
        <v>TIs</v>
      </c>
      <c r="J42" s="59">
        <f ca="1">+'Monthly Cash Flow'!I34</f>
        <v>2716.7109999999993</v>
      </c>
      <c r="K42" s="60">
        <f t="shared" ca="1" si="14"/>
        <v>7.2376574272309688E-2</v>
      </c>
      <c r="L42" s="75">
        <f ca="1">J42/F7*1000</f>
        <v>65.511852226964706</v>
      </c>
      <c r="T42" s="1537" t="s">
        <v>2362</v>
      </c>
      <c r="U42" s="1537"/>
      <c r="V42" s="1537"/>
      <c r="W42" s="1537"/>
      <c r="X42" s="1537"/>
    </row>
    <row r="43" spans="1:25">
      <c r="B43" s="7" t="s">
        <v>57</v>
      </c>
      <c r="C43" s="7"/>
      <c r="D43" s="7"/>
      <c r="E43" s="61"/>
      <c r="F43" s="69">
        <v>1</v>
      </c>
      <c r="H43" s="68" t="str">
        <f t="shared" si="18"/>
        <v>LCs</v>
      </c>
      <c r="I43" s="68"/>
      <c r="J43" s="76">
        <f ca="1">+'Monthly Cash Flow'!I37</f>
        <v>976.22774520042606</v>
      </c>
      <c r="K43" s="77">
        <f t="shared" ca="1" si="14"/>
        <v>2.6007926462250888E-2</v>
      </c>
      <c r="L43" s="78">
        <f ca="1">J43/F7*1000</f>
        <v>23.541145077055777</v>
      </c>
      <c r="T43" s="18">
        <f ca="1">L23</f>
        <v>56809.520000000011</v>
      </c>
      <c r="U43" s="1">
        <f>U18</f>
        <v>90</v>
      </c>
      <c r="V43" s="1">
        <f>V18</f>
        <v>96</v>
      </c>
      <c r="W43" s="1">
        <f>W18</f>
        <v>99</v>
      </c>
      <c r="X43" s="1">
        <f>X18</f>
        <v>102</v>
      </c>
      <c r="Y43" s="1" t="s">
        <v>141</v>
      </c>
    </row>
    <row r="44" spans="1:25">
      <c r="B44" s="28" t="s">
        <v>11</v>
      </c>
      <c r="C44" s="28"/>
      <c r="D44" s="28"/>
      <c r="E44" s="28"/>
      <c r="F44" s="91">
        <f>IF($E$48=0,C15,'Monthly Cash Flow'!K118)</f>
        <v>30776</v>
      </c>
      <c r="H44" s="70" t="s">
        <v>59</v>
      </c>
      <c r="I44" s="70"/>
      <c r="J44" s="71">
        <f ca="1">SUM(J35:J43)</f>
        <v>37535.777664450427</v>
      </c>
      <c r="K44" s="72">
        <f ca="1">SUM(K35:K43)</f>
        <v>1</v>
      </c>
      <c r="L44" s="71">
        <f ca="1">SUM(L35:L43)</f>
        <v>905.15270839543825</v>
      </c>
      <c r="T44" s="25">
        <f t="shared" ref="T44:T50" si="19">T19</f>
        <v>4.2500000000000003E-2</v>
      </c>
      <c r="U44" s="127">
        <f t="dataTable" ref="U44:X50" dt2D="1" dtr="1" r1="L17" r2="L22" ca="1"/>
        <v>58343.435294117633</v>
      </c>
      <c r="V44" s="127">
        <v>65528.494117647053</v>
      </c>
      <c r="W44" s="127">
        <v>65916.705882352937</v>
      </c>
      <c r="X44" s="127">
        <v>66305.317647058837</v>
      </c>
    </row>
    <row r="45" spans="1:25">
      <c r="B45" s="36" t="s">
        <v>60</v>
      </c>
      <c r="C45" s="36"/>
      <c r="D45" s="36"/>
      <c r="E45" s="906"/>
      <c r="F45" s="920">
        <f>+F46/F44</f>
        <v>0.63494281258123209</v>
      </c>
      <c r="H45" s="10"/>
      <c r="I45" s="10"/>
      <c r="J45" s="58"/>
      <c r="K45" s="10"/>
      <c r="L45" s="10"/>
      <c r="T45" s="25">
        <f t="shared" si="19"/>
        <v>4.5000000000000005E-2</v>
      </c>
      <c r="U45" s="127">
        <v>55268.799999999981</v>
      </c>
      <c r="V45" s="127">
        <v>62054.688888888879</v>
      </c>
      <c r="W45" s="127">
        <v>62421.333333333328</v>
      </c>
      <c r="X45" s="127">
        <v>62788.355555555558</v>
      </c>
    </row>
    <row r="46" spans="1:25">
      <c r="B46" s="70" t="s">
        <v>252</v>
      </c>
      <c r="C46" s="70"/>
      <c r="D46" s="70"/>
      <c r="E46" s="907"/>
      <c r="F46" s="919">
        <v>19541</v>
      </c>
      <c r="H46" s="74" t="s">
        <v>61</v>
      </c>
      <c r="I46" s="74"/>
      <c r="J46" s="56" t="s">
        <v>48</v>
      </c>
      <c r="K46" s="56" t="s">
        <v>49</v>
      </c>
      <c r="L46" s="56" t="s">
        <v>62</v>
      </c>
      <c r="N46" s="1613"/>
      <c r="T46" s="25">
        <f t="shared" si="19"/>
        <v>4.7500000000000007E-2</v>
      </c>
      <c r="U46" s="127">
        <v>52517.81052631577</v>
      </c>
      <c r="V46" s="127">
        <v>58946.547368421037</v>
      </c>
      <c r="W46" s="127">
        <v>59293.8947368421</v>
      </c>
      <c r="X46" s="127">
        <v>59641.600000000006</v>
      </c>
    </row>
    <row r="47" spans="1:25">
      <c r="E47" s="524"/>
      <c r="F47" s="524"/>
      <c r="H47" s="15" t="s">
        <v>63</v>
      </c>
      <c r="I47" s="15"/>
      <c r="J47" s="427">
        <f ca="1">'Monthly Cash Flow'!I90</f>
        <v>4020.7345463551874</v>
      </c>
      <c r="K47" s="61">
        <f ca="1">J47/$J$49</f>
        <v>0.10711739030155128</v>
      </c>
      <c r="L47" s="75">
        <f ca="1">J47/F7*1000</f>
        <v>96.957595947700383</v>
      </c>
      <c r="T47" s="25">
        <f t="shared" si="19"/>
        <v>5.000000000000001E-2</v>
      </c>
      <c r="U47" s="127">
        <v>50041.919999999984</v>
      </c>
      <c r="V47" s="127">
        <v>56149.219999999987</v>
      </c>
      <c r="W47" s="127">
        <v>56479.19999999999</v>
      </c>
      <c r="X47" s="127">
        <v>56809.520000000004</v>
      </c>
    </row>
    <row r="48" spans="1:25">
      <c r="B48" s="36" t="s">
        <v>64</v>
      </c>
      <c r="C48" s="36"/>
      <c r="D48" s="36"/>
      <c r="E48" s="908">
        <v>1</v>
      </c>
      <c r="F48" s="1110">
        <v>2254.7940000000017</v>
      </c>
      <c r="H48" s="68" t="s">
        <v>65</v>
      </c>
      <c r="I48" s="68"/>
      <c r="J48" s="428">
        <f ca="1">-'Monthly Cash Flow'!I89</f>
        <v>33515.043118095236</v>
      </c>
      <c r="K48" s="77">
        <f ca="1">J48/$J$49</f>
        <v>0.89288260969844868</v>
      </c>
      <c r="L48" s="78">
        <f ca="1">J48/F7*1000</f>
        <v>808.19511244773776</v>
      </c>
      <c r="T48" s="25">
        <f t="shared" si="19"/>
        <v>5.2500000000000012E-2</v>
      </c>
      <c r="U48" s="127">
        <v>47801.828571428552</v>
      </c>
      <c r="V48" s="127">
        <v>53618.304761904743</v>
      </c>
      <c r="W48" s="127">
        <v>53932.57142857142</v>
      </c>
      <c r="X48" s="127">
        <v>54247.161904761902</v>
      </c>
    </row>
    <row r="49" spans="2:24" ht="15" thickBot="1">
      <c r="B49" s="36" t="s">
        <v>66</v>
      </c>
      <c r="C49" s="36"/>
      <c r="D49" s="36"/>
      <c r="E49" s="596">
        <v>1</v>
      </c>
      <c r="F49" s="909">
        <f>E49*F48</f>
        <v>2254.7940000000017</v>
      </c>
      <c r="H49" s="79" t="s">
        <v>67</v>
      </c>
      <c r="I49" s="79"/>
      <c r="J49" s="429">
        <f ca="1">SUM(J47:J48)</f>
        <v>37535.777664450427</v>
      </c>
      <c r="K49" s="81">
        <f ca="1">SUM(K47:K48)</f>
        <v>1</v>
      </c>
      <c r="L49" s="80">
        <f ca="1">SUM(L47:L48)</f>
        <v>905.15270839543814</v>
      </c>
      <c r="T49" s="25">
        <f t="shared" si="19"/>
        <v>5.5000000000000014E-2</v>
      </c>
      <c r="U49" s="127">
        <v>45765.381818181799</v>
      </c>
      <c r="V49" s="127">
        <v>51317.47272727271</v>
      </c>
      <c r="W49" s="127">
        <v>51617.454545454537</v>
      </c>
      <c r="X49" s="127">
        <v>51917.745454545453</v>
      </c>
    </row>
    <row r="50" spans="2:24" ht="15" thickBot="1">
      <c r="B50" s="82" t="s">
        <v>69</v>
      </c>
      <c r="C50" s="82"/>
      <c r="D50" s="82"/>
      <c r="E50" s="426"/>
      <c r="F50" s="976">
        <f>F46+F49</f>
        <v>21795.794000000002</v>
      </c>
      <c r="T50" s="25">
        <f t="shared" si="19"/>
        <v>5.7500000000000016E-2</v>
      </c>
      <c r="U50" s="127">
        <v>43906.017391304325</v>
      </c>
      <c r="V50" s="127">
        <v>49216.713043478245</v>
      </c>
      <c r="W50" s="127">
        <v>49503.652173913033</v>
      </c>
      <c r="X50" s="127">
        <v>49790.886956521739</v>
      </c>
    </row>
    <row r="51" spans="2:24">
      <c r="B51" s="1" t="s">
        <v>503</v>
      </c>
      <c r="E51" s="524"/>
      <c r="F51" s="1543">
        <v>38501.160934450425</v>
      </c>
      <c r="H51" s="242" t="s">
        <v>71</v>
      </c>
      <c r="I51" s="242"/>
      <c r="J51" s="243"/>
      <c r="K51" s="243"/>
      <c r="L51" s="243"/>
      <c r="U51" s="127"/>
      <c r="V51" s="127"/>
      <c r="W51" s="127"/>
      <c r="X51" s="127"/>
    </row>
    <row r="52" spans="2:24">
      <c r="B52" s="10" t="s">
        <v>70</v>
      </c>
      <c r="C52" s="10"/>
      <c r="D52" s="10"/>
      <c r="E52" s="910"/>
      <c r="F52" s="913">
        <f>F50/F51</f>
        <v>0.5661074489963589</v>
      </c>
      <c r="G52" s="17"/>
      <c r="H52" s="55" t="s">
        <v>73</v>
      </c>
      <c r="I52" s="55"/>
      <c r="J52" s="56" t="s">
        <v>48</v>
      </c>
      <c r="K52" s="56" t="s">
        <v>49</v>
      </c>
      <c r="L52" s="56" t="s">
        <v>62</v>
      </c>
      <c r="U52" s="127"/>
      <c r="V52" s="127"/>
      <c r="W52" s="127"/>
      <c r="X52" s="127"/>
    </row>
    <row r="53" spans="2:24">
      <c r="B53" s="83" t="s">
        <v>72</v>
      </c>
      <c r="C53" s="83"/>
      <c r="D53" s="83"/>
      <c r="E53" s="911"/>
      <c r="F53" s="912"/>
      <c r="G53" s="17"/>
      <c r="H53" s="15" t="str">
        <f t="shared" ref="H53:H54" si="20">+H35</f>
        <v>Purchase Price</v>
      </c>
      <c r="I53" s="15"/>
      <c r="J53" s="59">
        <f>'Monthly Cash Flow'!$I$18</f>
        <v>30000</v>
      </c>
      <c r="K53" s="60">
        <f t="shared" ref="K53:K63" ca="1" si="21">J53/$J$64</f>
        <v>0.72101747203477107</v>
      </c>
      <c r="L53" s="51">
        <f>J53/F7*1000</f>
        <v>723.43196122404686</v>
      </c>
      <c r="T53" s="1422" t="s">
        <v>2283</v>
      </c>
      <c r="U53" s="1422"/>
      <c r="V53" s="1422"/>
      <c r="W53" s="1422"/>
      <c r="X53" s="1422"/>
    </row>
    <row r="54" spans="2:24">
      <c r="B54" s="1" t="s">
        <v>742</v>
      </c>
      <c r="D54" s="598"/>
      <c r="F54" s="18">
        <f>-SUM('Monthly Cash Flow'!L182:W182)</f>
        <v>1191.4756</v>
      </c>
      <c r="H54" s="15" t="str">
        <f t="shared" si="20"/>
        <v>Closing Costs</v>
      </c>
      <c r="I54" s="15"/>
      <c r="J54" s="59">
        <f>J36</f>
        <v>206</v>
      </c>
      <c r="K54" s="60">
        <f t="shared" ca="1" si="21"/>
        <v>4.9509866413054281E-3</v>
      </c>
      <c r="L54" s="75">
        <f>J54/F7*1000</f>
        <v>4.9675661337384547</v>
      </c>
      <c r="T54" s="1426" t="s">
        <v>2282</v>
      </c>
      <c r="U54" s="1427" t="s">
        <v>2285</v>
      </c>
      <c r="V54" s="1427" t="s">
        <v>74</v>
      </c>
      <c r="W54" s="1427" t="s">
        <v>9</v>
      </c>
      <c r="X54" s="1427" t="s">
        <v>2287</v>
      </c>
    </row>
    <row r="55" spans="2:24">
      <c r="B55" s="1" t="s">
        <v>743</v>
      </c>
      <c r="D55" s="597"/>
      <c r="F55" s="18">
        <f>-SUM('Monthly Cash Flow'!AV182:BG182)</f>
        <v>1528.2516700000001</v>
      </c>
      <c r="H55" s="15" t="s">
        <v>1540</v>
      </c>
      <c r="I55" s="15"/>
      <c r="J55" s="59">
        <f>-'Monthly Cash Flow'!$K$180</f>
        <v>2473</v>
      </c>
      <c r="K55" s="60">
        <f t="shared" ca="1" si="21"/>
        <v>5.9435873611399632E-2</v>
      </c>
      <c r="L55" s="75">
        <f>J55/$F$7*1000</f>
        <v>59.634908003568931</v>
      </c>
      <c r="T55" s="44" t="s">
        <v>2284</v>
      </c>
      <c r="U55" s="1424">
        <v>44896</v>
      </c>
      <c r="V55" s="1425" t="s">
        <v>2289</v>
      </c>
      <c r="W55" s="202" t="s">
        <v>2286</v>
      </c>
      <c r="X55" s="257">
        <v>3.5999999999999997E-2</v>
      </c>
    </row>
    <row r="56" spans="2:24">
      <c r="B56" s="1" t="s">
        <v>74</v>
      </c>
      <c r="C56" s="202" t="s">
        <v>501</v>
      </c>
      <c r="D56" s="17">
        <f>+Charts!G36-Charts!G34</f>
        <v>892.83391000000006</v>
      </c>
      <c r="E56" s="202" t="s">
        <v>746</v>
      </c>
      <c r="F56" s="18">
        <f>(4*SUM('Monthly Cash Flow'!BH62:BJ62)-SUM('Monthly Cash Flow'!BH56:BJ56))-SUM('Monthly Cash Flow'!BH74:BS74)</f>
        <v>1058.4086399999999</v>
      </c>
      <c r="H56" s="15" t="str">
        <f>+H37</f>
        <v>Operating Losses</v>
      </c>
      <c r="J56" s="59">
        <f ca="1">+J37</f>
        <v>499.20616000000007</v>
      </c>
      <c r="K56" s="60">
        <f t="shared" ca="1" si="21"/>
        <v>1.1997878783579517E-2</v>
      </c>
      <c r="L56" s="75">
        <f ca="1">J56/F7*1000</f>
        <v>12.038056379464178</v>
      </c>
      <c r="T56" s="1423" t="s">
        <v>2315</v>
      </c>
      <c r="U56" s="1424">
        <v>44713</v>
      </c>
      <c r="V56" s="1425" t="s">
        <v>2314</v>
      </c>
      <c r="W56" s="202" t="s">
        <v>2288</v>
      </c>
      <c r="X56" s="257">
        <v>3.6700000000000003E-2</v>
      </c>
    </row>
    <row r="57" spans="2:24">
      <c r="B57" s="1" t="s">
        <v>744</v>
      </c>
      <c r="E57" s="202"/>
      <c r="F57" s="600">
        <f>+D56/F54</f>
        <v>0.74935140090153762</v>
      </c>
      <c r="H57" s="15" t="str">
        <f>+H38</f>
        <v>CapEx</v>
      </c>
      <c r="I57" s="15"/>
      <c r="J57" s="59">
        <f>+J38</f>
        <v>2314.3237600000002</v>
      </c>
      <c r="K57" s="60">
        <f t="shared" ca="1" si="21"/>
        <v>5.5622262230173553E-2</v>
      </c>
      <c r="L57" s="75">
        <f>J57/F7*1000</f>
        <v>55.808525886807011</v>
      </c>
    </row>
    <row r="58" spans="2:24">
      <c r="B58" s="1" t="s">
        <v>745</v>
      </c>
      <c r="C58" s="202"/>
      <c r="E58" s="602"/>
      <c r="F58" s="600">
        <f>+F56/F55</f>
        <v>0.69256174279200999</v>
      </c>
      <c r="H58" s="15" t="str">
        <f>+H39</f>
        <v xml:space="preserve">Soft Costs </v>
      </c>
      <c r="I58" s="15"/>
      <c r="J58" s="59">
        <f>+J39</f>
        <v>823.30899924999994</v>
      </c>
      <c r="K58" s="60">
        <f t="shared" ca="1" si="21"/>
        <v>1.9787339111423739E-2</v>
      </c>
      <c r="L58" s="75">
        <f>J58/F7*1000</f>
        <v>19.853601467361159</v>
      </c>
    </row>
    <row r="59" spans="2:24" ht="15" thickBot="1">
      <c r="B59" s="3" t="s">
        <v>502</v>
      </c>
      <c r="C59" s="538" t="s">
        <v>501</v>
      </c>
      <c r="D59" s="601">
        <f>+D56/$F$46</f>
        <v>4.5690287600429869E-2</v>
      </c>
      <c r="E59" s="538" t="s">
        <v>747</v>
      </c>
      <c r="F59" s="601">
        <f>+F56/$F$29</f>
        <v>4.8560224050566814E-2</v>
      </c>
      <c r="H59" s="15" t="str">
        <f>+H40</f>
        <v>Contingency</v>
      </c>
      <c r="I59" s="15"/>
      <c r="J59" s="59">
        <f>+J40</f>
        <v>0</v>
      </c>
      <c r="K59" s="60">
        <f t="shared" ca="1" si="21"/>
        <v>0</v>
      </c>
      <c r="L59" s="75">
        <f>J59/F7*1000</f>
        <v>0</v>
      </c>
    </row>
    <row r="60" spans="2:24" ht="15" thickBot="1">
      <c r="H60" s="15" t="str">
        <f t="shared" ref="H60:H62" si="22">+H41</f>
        <v>Capital Reserves</v>
      </c>
      <c r="J60" s="59">
        <v>0</v>
      </c>
      <c r="K60" s="60">
        <f t="shared" ca="1" si="21"/>
        <v>0</v>
      </c>
      <c r="L60" s="75">
        <f>J60/F7*1000</f>
        <v>0</v>
      </c>
    </row>
    <row r="61" spans="2:24">
      <c r="B61" s="239" t="s">
        <v>2089</v>
      </c>
      <c r="C61" s="239"/>
      <c r="D61" s="239"/>
      <c r="E61" s="239"/>
      <c r="F61" s="244">
        <v>1</v>
      </c>
      <c r="H61" s="15" t="str">
        <f t="shared" si="22"/>
        <v>TIs</v>
      </c>
      <c r="J61" s="59">
        <f t="shared" ref="J61:J62" ca="1" si="23">+J42</f>
        <v>2716.7109999999993</v>
      </c>
      <c r="K61" s="60">
        <f t="shared" ca="1" si="21"/>
        <v>6.5293203248968493E-2</v>
      </c>
      <c r="L61" s="75">
        <f ca="1">J61/F7*1000</f>
        <v>65.511852226964706</v>
      </c>
    </row>
    <row r="62" spans="2:24">
      <c r="B62" s="7" t="s">
        <v>40</v>
      </c>
      <c r="C62" s="7"/>
      <c r="D62" s="7"/>
      <c r="E62" s="7"/>
      <c r="F62" s="51">
        <f>F76</f>
        <v>22133.63997</v>
      </c>
      <c r="H62" s="15" t="str">
        <f t="shared" si="22"/>
        <v>LCs</v>
      </c>
      <c r="J62" s="59">
        <f t="shared" ca="1" si="23"/>
        <v>976.22774520042606</v>
      </c>
      <c r="K62" s="60">
        <f t="shared" ca="1" si="21"/>
        <v>2.346257536582053E-2</v>
      </c>
      <c r="L62" s="75">
        <f ca="1">J62/F7*1000</f>
        <v>23.541145077055777</v>
      </c>
      <c r="N62" s="17">
        <f ca="1">J70-J64</f>
        <v>-126.50204445043346</v>
      </c>
    </row>
    <row r="63" spans="2:24">
      <c r="B63" s="7" t="s">
        <v>41</v>
      </c>
      <c r="C63" s="7"/>
      <c r="D63" s="7"/>
      <c r="E63" s="7"/>
      <c r="F63" s="51">
        <v>0</v>
      </c>
      <c r="H63" s="68" t="s">
        <v>31</v>
      </c>
      <c r="I63" s="68"/>
      <c r="J63" s="76">
        <f ca="1">SUM('Monthly Cash Flow'!I107:I110)</f>
        <v>1599.0906100000002</v>
      </c>
      <c r="K63" s="77">
        <f t="shared" ca="1" si="21"/>
        <v>3.8432408972558008E-2</v>
      </c>
      <c r="L63" s="78">
        <f ca="1">J63/F7*1000</f>
        <v>38.561108538908591</v>
      </c>
    </row>
    <row r="64" spans="2:24">
      <c r="B64" s="84" t="s">
        <v>75</v>
      </c>
      <c r="C64" s="84"/>
      <c r="D64" s="84"/>
      <c r="E64" s="84"/>
      <c r="F64" s="85" t="e">
        <f>'Monthly Cash Flow'!#REF!</f>
        <v>#REF!</v>
      </c>
      <c r="H64" s="70" t="s">
        <v>59</v>
      </c>
      <c r="I64" s="70"/>
      <c r="J64" s="71">
        <f ca="1">SUM(J53:J63)</f>
        <v>41607.868274450426</v>
      </c>
      <c r="K64" s="72">
        <f ca="1">SUM(K53:K63)</f>
        <v>1</v>
      </c>
      <c r="L64" s="71">
        <f ca="1">SUM(L53:L63)</f>
        <v>1003.3487249379158</v>
      </c>
    </row>
    <row r="65" spans="2:19">
      <c r="B65" s="86" t="s">
        <v>42</v>
      </c>
      <c r="C65" s="87" t="s">
        <v>43</v>
      </c>
      <c r="D65" s="88">
        <v>490</v>
      </c>
      <c r="E65" s="89">
        <f>+E31</f>
        <v>1.2929E-3</v>
      </c>
      <c r="F65" s="25">
        <f>(D65/10000)+E65</f>
        <v>5.0292900000000001E-2</v>
      </c>
      <c r="H65" s="7"/>
      <c r="I65" s="7"/>
      <c r="J65" s="7"/>
      <c r="K65" s="7"/>
      <c r="L65" s="7"/>
      <c r="N65" s="17">
        <f ca="1">J64-J70</f>
        <v>126.50204445043346</v>
      </c>
    </row>
    <row r="66" spans="2:19">
      <c r="B66" s="1" t="s">
        <v>45</v>
      </c>
      <c r="C66" s="53" t="s">
        <v>46</v>
      </c>
      <c r="D66" s="478">
        <v>5.1999999999999998E-2</v>
      </c>
      <c r="F66" s="39">
        <v>60</v>
      </c>
      <c r="H66" s="74" t="s">
        <v>76</v>
      </c>
      <c r="I66" s="74"/>
      <c r="J66" s="56" t="s">
        <v>48</v>
      </c>
      <c r="K66" s="56" t="s">
        <v>49</v>
      </c>
      <c r="L66" s="56" t="s">
        <v>62</v>
      </c>
      <c r="M66" s="50"/>
    </row>
    <row r="67" spans="2:19">
      <c r="B67" s="1" t="s">
        <v>498</v>
      </c>
      <c r="C67" s="53" t="s">
        <v>499</v>
      </c>
      <c r="D67" s="478">
        <v>5.1999999999999998E-2</v>
      </c>
      <c r="F67" s="39"/>
      <c r="H67" s="15" t="s">
        <v>77</v>
      </c>
      <c r="I67" s="15"/>
      <c r="J67" s="51">
        <f ca="1">-'Monthly Cash Flow'!I170</f>
        <v>25484.955699999991</v>
      </c>
      <c r="K67" s="61">
        <f ca="1">J67/$J$70</f>
        <v>0.6143711747268551</v>
      </c>
      <c r="L67" s="75">
        <f ca="1">J67/F7*1000</f>
        <v>614.55438279196483</v>
      </c>
    </row>
    <row r="68" spans="2:19">
      <c r="B68" s="7" t="s">
        <v>51</v>
      </c>
      <c r="E68" s="57">
        <v>0.01</v>
      </c>
      <c r="F68" s="1429">
        <f>(255000+191250)/1000</f>
        <v>446.25</v>
      </c>
      <c r="H68" s="15" t="s">
        <v>78</v>
      </c>
      <c r="I68" s="15"/>
      <c r="J68" s="75">
        <v>15882</v>
      </c>
      <c r="K68" s="61">
        <f ca="1">J68/$J$70</f>
        <v>0.38287070661896094</v>
      </c>
      <c r="L68" s="75">
        <f>J68/F7*1000</f>
        <v>382.98488027201046</v>
      </c>
    </row>
    <row r="69" spans="2:19" ht="15">
      <c r="B69" s="7" t="s">
        <v>714</v>
      </c>
      <c r="C69" s="7"/>
      <c r="D69" s="7"/>
      <c r="E69" s="57">
        <v>5.0000000000000001E-3</v>
      </c>
      <c r="F69" s="1429">
        <f>+IF(F61=0,0,E69*F62)</f>
        <v>110.66819985000001</v>
      </c>
      <c r="H69" s="68" t="s">
        <v>65</v>
      </c>
      <c r="I69" s="68"/>
      <c r="J69" s="76">
        <f ca="1">'Monthly Cash Flow'!$I$116</f>
        <v>114.41052999999994</v>
      </c>
      <c r="K69" s="77">
        <f ca="1">J69/$J$70</f>
        <v>2.7581186541839695E-3</v>
      </c>
      <c r="L69" s="78">
        <f ca="1">J69/F7*1000</f>
        <v>2.7589411367527537</v>
      </c>
      <c r="N69"/>
    </row>
    <row r="70" spans="2:19" ht="15" thickBot="1">
      <c r="B70" s="7" t="s">
        <v>52</v>
      </c>
      <c r="C70" s="7"/>
      <c r="D70" s="7"/>
      <c r="E70" s="897">
        <f>IFERROR(F70/F62,"n/a")</f>
        <v>1.6485434410904082E-2</v>
      </c>
      <c r="F70" s="62">
        <f>(336086.72+28795.95)/1000</f>
        <v>364.88266999999996</v>
      </c>
      <c r="H70" s="79" t="s">
        <v>67</v>
      </c>
      <c r="I70" s="79"/>
      <c r="J70" s="80">
        <f ca="1">SUM(J67:J69)</f>
        <v>41481.366229999992</v>
      </c>
      <c r="K70" s="90">
        <f ca="1">SUM(K67:K69)</f>
        <v>1</v>
      </c>
      <c r="L70" s="80">
        <f ca="1">SUM(L67:L69)</f>
        <v>1000.2982042007282</v>
      </c>
    </row>
    <row r="71" spans="2:19" ht="15" thickBot="1">
      <c r="B71" s="7" t="s">
        <v>55</v>
      </c>
      <c r="C71" s="7"/>
      <c r="D71" s="7"/>
      <c r="E71" s="61"/>
      <c r="F71" s="65">
        <v>60</v>
      </c>
      <c r="M71" s="1502"/>
    </row>
    <row r="72" spans="2:19">
      <c r="B72" s="7" t="s">
        <v>56</v>
      </c>
      <c r="C72" s="7"/>
      <c r="D72" s="7"/>
      <c r="E72" s="66">
        <v>30</v>
      </c>
      <c r="F72" s="67">
        <f>(E72*12)</f>
        <v>360</v>
      </c>
      <c r="H72" s="242" t="s">
        <v>2354</v>
      </c>
      <c r="I72" s="242"/>
      <c r="J72" s="243"/>
      <c r="K72" s="243"/>
      <c r="L72" s="243"/>
      <c r="N72" s="1197"/>
    </row>
    <row r="73" spans="2:19" ht="15">
      <c r="B73" s="1" t="s">
        <v>57</v>
      </c>
      <c r="F73" s="69">
        <v>1</v>
      </c>
      <c r="H73" s="1377" t="s">
        <v>47</v>
      </c>
      <c r="I73" s="1377"/>
      <c r="J73" s="1378"/>
      <c r="K73" s="1378"/>
      <c r="L73" s="1378" t="s">
        <v>2505</v>
      </c>
      <c r="O73"/>
      <c r="P73"/>
      <c r="Q73"/>
      <c r="R73"/>
      <c r="S73"/>
    </row>
    <row r="74" spans="2:19" ht="15">
      <c r="B74" s="28" t="s">
        <v>79</v>
      </c>
      <c r="C74" s="28" t="s">
        <v>446</v>
      </c>
      <c r="D74" s="899">
        <f>+F66</f>
        <v>60</v>
      </c>
      <c r="E74" s="975">
        <f>HLOOKUP(D74,'Monthly Cash Flow'!$K$13:$GT$15,3)</f>
        <v>44377</v>
      </c>
      <c r="F74" s="91">
        <f ca="1">SUM(OFFSET('Monthly Cash Flow'!$K$82,0,D74,1,12))</f>
        <v>1399.2272700000003</v>
      </c>
      <c r="H74" s="16" t="s">
        <v>1159</v>
      </c>
      <c r="I74" s="15"/>
      <c r="J74" s="1311"/>
      <c r="K74" s="1311"/>
      <c r="L74" s="1311" t="s">
        <v>2136</v>
      </c>
      <c r="N74" s="1196"/>
      <c r="O74"/>
      <c r="P74"/>
      <c r="Q74"/>
      <c r="R74"/>
      <c r="S74"/>
    </row>
    <row r="75" spans="2:19" ht="15">
      <c r="B75" s="1" t="s">
        <v>2290</v>
      </c>
      <c r="E75" s="403">
        <f ca="1">+F76/E26</f>
        <v>0.53970817049526443</v>
      </c>
      <c r="F75" s="885">
        <v>0.65</v>
      </c>
      <c r="H75" s="1" t="s">
        <v>2513</v>
      </c>
      <c r="L75" s="1497">
        <v>240</v>
      </c>
      <c r="N75" s="1196"/>
      <c r="O75"/>
      <c r="P75"/>
      <c r="Q75"/>
      <c r="R75"/>
      <c r="S75"/>
    </row>
    <row r="76" spans="2:19" ht="15">
      <c r="B76" s="33" t="s">
        <v>252</v>
      </c>
      <c r="F76" s="1430">
        <f>22133639.97/1000</f>
        <v>22133.63997</v>
      </c>
      <c r="H76" s="1" t="s">
        <v>2514</v>
      </c>
      <c r="L76" s="1497">
        <v>250</v>
      </c>
      <c r="N76" s="1196"/>
      <c r="O76"/>
      <c r="P76"/>
      <c r="Q76"/>
      <c r="R76"/>
      <c r="S76"/>
    </row>
    <row r="77" spans="2:19" ht="15">
      <c r="G77" s="18"/>
      <c r="N77" s="1196"/>
      <c r="O77"/>
      <c r="P77"/>
      <c r="Q77"/>
      <c r="R77"/>
      <c r="S77"/>
    </row>
    <row r="78" spans="2:19" ht="15">
      <c r="B78" s="33" t="s">
        <v>64</v>
      </c>
      <c r="E78" s="908">
        <v>1</v>
      </c>
      <c r="F78" s="17">
        <f>25500-F76</f>
        <v>3366.3600299999998</v>
      </c>
      <c r="H78" s="1194" t="s">
        <v>1954</v>
      </c>
      <c r="I78" s="1194"/>
      <c r="J78" s="1195"/>
      <c r="K78" s="1195"/>
      <c r="L78" s="1195">
        <f>SUM(L75:L77)</f>
        <v>490</v>
      </c>
      <c r="N78" s="1196"/>
      <c r="O78"/>
      <c r="P78"/>
      <c r="Q78"/>
      <c r="R78"/>
      <c r="S78"/>
    </row>
    <row r="79" spans="2:19" ht="15">
      <c r="B79" s="33" t="s">
        <v>66</v>
      </c>
      <c r="E79" s="1433">
        <v>1</v>
      </c>
      <c r="F79" s="1431">
        <f>F78*E79</f>
        <v>3366.3600299999998</v>
      </c>
      <c r="N79" s="1196"/>
      <c r="O79"/>
      <c r="P79"/>
      <c r="Q79"/>
      <c r="R79"/>
      <c r="S79"/>
    </row>
    <row r="80" spans="2:19" ht="15">
      <c r="B80" s="31" t="s">
        <v>69</v>
      </c>
      <c r="C80" s="8"/>
      <c r="D80" s="8"/>
      <c r="E80" s="8"/>
      <c r="F80" s="1432">
        <f>F79+F76</f>
        <v>25500</v>
      </c>
      <c r="H80" s="16" t="s">
        <v>1003</v>
      </c>
      <c r="N80" s="1196"/>
      <c r="O80"/>
      <c r="P80"/>
      <c r="Q80"/>
      <c r="R80"/>
      <c r="S80"/>
    </row>
    <row r="81" spans="1:19" ht="15">
      <c r="B81" s="1" t="s">
        <v>503</v>
      </c>
      <c r="F81" s="1">
        <f>41746717/1000</f>
        <v>41746.716999999997</v>
      </c>
      <c r="H81" s="15" t="s">
        <v>2355</v>
      </c>
      <c r="L81" s="1497">
        <v>15</v>
      </c>
      <c r="N81" s="1196"/>
      <c r="O81"/>
      <c r="P81"/>
      <c r="Q81"/>
      <c r="R81"/>
      <c r="S81"/>
    </row>
    <row r="82" spans="1:19" ht="15">
      <c r="F82" s="17">
        <f>F81-F79</f>
        <v>38380.356969999993</v>
      </c>
      <c r="H82" s="1" t="s">
        <v>2514</v>
      </c>
      <c r="L82" s="1">
        <v>10</v>
      </c>
      <c r="N82" s="1196"/>
      <c r="O82"/>
      <c r="P82"/>
      <c r="Q82"/>
      <c r="R82"/>
      <c r="S82"/>
    </row>
    <row r="83" spans="1:19" ht="15">
      <c r="F83" s="17">
        <f ca="1">F82-J67</f>
        <v>12895.401270000002</v>
      </c>
      <c r="H83" s="15"/>
      <c r="L83" s="1497"/>
      <c r="N83" s="1196"/>
      <c r="O83"/>
      <c r="P83"/>
      <c r="Q83"/>
      <c r="R83"/>
      <c r="S83"/>
    </row>
    <row r="84" spans="1:19" ht="15">
      <c r="A84"/>
      <c r="G84"/>
      <c r="H84" s="1498" t="s">
        <v>1955</v>
      </c>
      <c r="I84" s="1194"/>
      <c r="J84" s="1194"/>
      <c r="K84" s="1194"/>
      <c r="L84" s="1501">
        <f>SUM(L81:L83)</f>
        <v>25</v>
      </c>
      <c r="N84" s="1385"/>
      <c r="O84"/>
      <c r="P84"/>
      <c r="Q84"/>
      <c r="R84"/>
      <c r="S84"/>
    </row>
    <row r="85" spans="1:19" ht="15">
      <c r="A85"/>
      <c r="G85"/>
      <c r="H85" s="33" t="s">
        <v>503</v>
      </c>
      <c r="I85" s="33"/>
      <c r="J85" s="33"/>
      <c r="K85" s="33"/>
      <c r="L85" s="1499">
        <f>L84+L78</f>
        <v>515</v>
      </c>
      <c r="N85" s="1196"/>
      <c r="O85"/>
      <c r="P85"/>
      <c r="Q85"/>
      <c r="R85"/>
      <c r="S85"/>
    </row>
    <row r="86" spans="1:19" ht="15">
      <c r="A86"/>
      <c r="G86"/>
      <c r="M86" s="1204"/>
      <c r="N86" s="1196"/>
      <c r="O86"/>
      <c r="P86"/>
      <c r="Q86"/>
      <c r="R86"/>
      <c r="S86"/>
    </row>
    <row r="87" spans="1:19" ht="15">
      <c r="A87"/>
      <c r="G87"/>
      <c r="H87" s="15"/>
      <c r="L87" s="1500"/>
      <c r="M87" s="1203"/>
      <c r="N87" s="1198"/>
      <c r="O87"/>
      <c r="P87"/>
      <c r="Q87"/>
      <c r="R87"/>
      <c r="S87"/>
    </row>
    <row r="88" spans="1:19" ht="15">
      <c r="A88"/>
      <c r="G88"/>
      <c r="M88" s="1203"/>
      <c r="N88" s="1503"/>
      <c r="O88"/>
      <c r="P88"/>
      <c r="Q88"/>
      <c r="R88"/>
      <c r="S88"/>
    </row>
    <row r="89" spans="1:19" ht="15">
      <c r="A89"/>
      <c r="G89"/>
      <c r="M89" s="1203"/>
      <c r="N89" s="1503"/>
      <c r="O89"/>
      <c r="P89"/>
      <c r="Q89"/>
      <c r="R89"/>
      <c r="S89"/>
    </row>
    <row r="90" spans="1:19" ht="15">
      <c r="A90"/>
      <c r="G90"/>
      <c r="J90" s="1203"/>
      <c r="K90" s="1205"/>
      <c r="L90" s="1203"/>
      <c r="M90" s="1499"/>
      <c r="N90" s="1503"/>
      <c r="O90"/>
      <c r="P90"/>
      <c r="Q90"/>
      <c r="R90"/>
      <c r="S90"/>
    </row>
    <row r="91" spans="1:19" ht="15">
      <c r="A91"/>
      <c r="C91" s="33"/>
      <c r="D91" s="1113"/>
      <c r="E91" s="898"/>
      <c r="F91" s="92"/>
      <c r="G91"/>
      <c r="H91" s="1422" t="s">
        <v>2358</v>
      </c>
      <c r="I91" s="1422"/>
      <c r="J91" s="1422"/>
      <c r="K91" s="1422"/>
      <c r="L91" s="1422"/>
      <c r="M91" s="25"/>
      <c r="N91" s="1385"/>
    </row>
    <row r="92" spans="1:19" ht="15">
      <c r="A92"/>
      <c r="E92" s="25"/>
      <c r="F92" s="64"/>
      <c r="G92"/>
      <c r="H92" s="1530" t="s">
        <v>2356</v>
      </c>
      <c r="M92" s="1499"/>
      <c r="N92" s="1503"/>
    </row>
    <row r="93" spans="1:19" ht="15">
      <c r="A93"/>
      <c r="F93" s="64"/>
      <c r="G93"/>
      <c r="H93" s="15" t="s">
        <v>2342</v>
      </c>
      <c r="I93" s="15"/>
      <c r="J93" s="1205"/>
      <c r="K93" s="1205"/>
      <c r="L93" s="1497">
        <f>446400/1000</f>
        <v>446.4</v>
      </c>
      <c r="N93" s="1503"/>
      <c r="O93" s="430"/>
      <c r="P93" s="430"/>
      <c r="Q93" s="430"/>
      <c r="R93" s="430"/>
      <c r="S93" s="430"/>
    </row>
    <row r="94" spans="1:19" ht="15">
      <c r="A94"/>
      <c r="G94"/>
      <c r="H94" s="15" t="s">
        <v>2343</v>
      </c>
      <c r="I94" s="15"/>
      <c r="J94" s="1205"/>
      <c r="K94" s="1205"/>
      <c r="L94" s="1497">
        <f>376800/1000</f>
        <v>376.8</v>
      </c>
      <c r="N94" s="1503"/>
    </row>
    <row r="95" spans="1:19" ht="15">
      <c r="A95"/>
      <c r="C95" s="1434"/>
      <c r="F95" s="1435"/>
      <c r="G95"/>
      <c r="H95" s="16" t="s">
        <v>2357</v>
      </c>
      <c r="I95" s="1504"/>
      <c r="J95" s="1499"/>
      <c r="K95" s="1499"/>
      <c r="L95" s="1499"/>
      <c r="M95" s="1204"/>
    </row>
    <row r="96" spans="1:19" ht="15">
      <c r="A96"/>
      <c r="B96" s="1436"/>
      <c r="C96" s="1436"/>
      <c r="D96" s="1437"/>
      <c r="E96" s="1437"/>
      <c r="F96" s="1438"/>
      <c r="G96"/>
      <c r="H96" s="15" t="s">
        <v>2342</v>
      </c>
      <c r="L96" s="1500">
        <f>43800/1000</f>
        <v>43.8</v>
      </c>
      <c r="M96" s="1205"/>
    </row>
    <row r="97" spans="1:12" ht="15">
      <c r="A97"/>
      <c r="B97" s="10"/>
      <c r="C97" s="10"/>
      <c r="D97" s="10"/>
      <c r="E97" s="10"/>
      <c r="F97" s="1439"/>
      <c r="G97"/>
      <c r="H97" s="15" t="s">
        <v>2343</v>
      </c>
      <c r="L97" s="1500">
        <f>60950/1000</f>
        <v>60.95</v>
      </c>
    </row>
    <row r="98" spans="1:12" ht="15">
      <c r="A98" s="409"/>
      <c r="B98"/>
      <c r="C98"/>
      <c r="D98"/>
      <c r="E98"/>
      <c r="F98"/>
      <c r="G98"/>
    </row>
    <row r="99" spans="1:12" ht="15">
      <c r="B99"/>
      <c r="C99"/>
      <c r="D99"/>
      <c r="E99"/>
      <c r="F99"/>
      <c r="G99"/>
      <c r="H99"/>
    </row>
    <row r="100" spans="1:12" ht="15">
      <c r="B100"/>
      <c r="C100"/>
      <c r="D100"/>
      <c r="E100"/>
      <c r="F100"/>
      <c r="G100"/>
      <c r="H100"/>
    </row>
    <row r="101" spans="1:12" ht="15">
      <c r="B101"/>
      <c r="C101"/>
      <c r="D101"/>
      <c r="E101"/>
      <c r="F101"/>
      <c r="G101"/>
      <c r="H101"/>
    </row>
    <row r="102" spans="1:12" ht="15">
      <c r="B102"/>
      <c r="C102"/>
      <c r="D102"/>
      <c r="E102"/>
      <c r="F102"/>
      <c r="H102"/>
    </row>
    <row r="103" spans="1:12" ht="15">
      <c r="B103"/>
      <c r="C103"/>
      <c r="D103"/>
      <c r="E103"/>
      <c r="F103"/>
      <c r="H103"/>
    </row>
    <row r="104" spans="1:12" ht="15">
      <c r="B104"/>
      <c r="C104"/>
      <c r="D104"/>
      <c r="E104"/>
      <c r="F104"/>
    </row>
    <row r="105" spans="1:12" ht="15">
      <c r="B105"/>
      <c r="C105"/>
      <c r="D105"/>
      <c r="E105"/>
      <c r="F105"/>
    </row>
    <row r="106" spans="1:12" ht="15">
      <c r="B106"/>
      <c r="C106"/>
      <c r="D106"/>
      <c r="E106"/>
      <c r="F106"/>
    </row>
    <row r="107" spans="1:12" ht="15">
      <c r="B107"/>
      <c r="C107"/>
      <c r="D107"/>
      <c r="E107"/>
      <c r="F107"/>
    </row>
    <row r="108" spans="1:12" ht="15">
      <c r="B108"/>
      <c r="C108"/>
      <c r="D108"/>
      <c r="E108"/>
      <c r="F108"/>
    </row>
    <row r="109" spans="1:12" ht="15">
      <c r="B109"/>
      <c r="C109"/>
      <c r="D109"/>
      <c r="E109"/>
      <c r="F109"/>
    </row>
    <row r="110" spans="1:12" ht="15">
      <c r="B110"/>
      <c r="C110"/>
      <c r="D110"/>
      <c r="E110"/>
      <c r="F110"/>
    </row>
    <row r="111" spans="1:12" ht="15">
      <c r="B111"/>
      <c r="C111"/>
      <c r="D111"/>
      <c r="E111"/>
      <c r="F111"/>
    </row>
  </sheetData>
  <conditionalFormatting sqref="U26:W26">
    <cfRule type="cellIs" dxfId="3" priority="4" stopIfTrue="1" operator="notEqual">
      <formula>0.6545646468</formula>
    </cfRule>
  </conditionalFormatting>
  <conditionalFormatting sqref="U30:X37">
    <cfRule type="timePeriod" dxfId="2" priority="3" timePeriod="lastMonth">
      <formula>AND(MONTH(U30)=MONTH(EDATE(TODAY(),0-1)),YEAR(U30)=YEAR(EDATE(TODAY(),0-1)))</formula>
    </cfRule>
  </conditionalFormatting>
  <printOptions horizontalCentered="1"/>
  <pageMargins left="0.25" right="0.25" top="0.25" bottom="0.25" header="0.25" footer="0.25"/>
  <pageSetup scale="48" orientation="landscape" r:id="rId1"/>
  <ignoredErrors>
    <ignoredError sqref="E16 D23 D26 D19 D15 E12:E13" formula="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W223"/>
  <sheetViews>
    <sheetView showGridLines="0" zoomScale="80" zoomScaleNormal="80" zoomScaleSheetLayoutView="100" zoomScalePageLayoutView="120" workbookViewId="0">
      <pane xSplit="9" ySplit="15" topLeftCell="J153" activePane="bottomRight" state="frozen"/>
      <selection pane="topRight" activeCell="J1" sqref="J1"/>
      <selection pane="bottomLeft" activeCell="A14" sqref="A14"/>
      <selection pane="bottomRight" activeCell="A181" sqref="A181"/>
    </sheetView>
  </sheetViews>
  <sheetFormatPr baseColWidth="10" defaultColWidth="8.83203125" defaultRowHeight="14" outlineLevelRow="2" outlineLevelCol="1"/>
  <cols>
    <col min="1" max="1" width="4" style="441" customWidth="1" outlineLevel="1"/>
    <col min="2" max="2" width="41.33203125" style="1" customWidth="1"/>
    <col min="3" max="3" width="13.33203125" style="1" customWidth="1" outlineLevel="1"/>
    <col min="4" max="4" width="15.1640625" style="1" customWidth="1" outlineLevel="1"/>
    <col min="5" max="5" width="12" style="1" customWidth="1" outlineLevel="1"/>
    <col min="6" max="6" width="9.83203125" style="1" customWidth="1" outlineLevel="1"/>
    <col min="7" max="7" width="23" style="1" customWidth="1" outlineLevel="1"/>
    <col min="8" max="8" width="15.1640625" style="1" customWidth="1" outlineLevel="1"/>
    <col min="9" max="9" width="12.83203125" style="1" customWidth="1"/>
    <col min="10" max="10" width="3.5" style="1" customWidth="1"/>
    <col min="11" max="11" width="15.1640625" style="102" bestFit="1" customWidth="1"/>
    <col min="12" max="12" width="16.1640625" style="1" customWidth="1" outlineLevel="1"/>
    <col min="13" max="23" width="13.1640625" style="1" customWidth="1" outlineLevel="1"/>
    <col min="24" max="35" width="14.1640625" style="1" customWidth="1" outlineLevel="1"/>
    <col min="36" max="65" width="14" style="1" customWidth="1" outlineLevel="1"/>
    <col min="66" max="142" width="14" style="1" bestFit="1" customWidth="1"/>
    <col min="143" max="200" width="14" style="1" customWidth="1"/>
    <col min="201" max="201" width="14" style="1" bestFit="1" customWidth="1"/>
    <col min="202" max="202" width="12.1640625" style="1" bestFit="1" customWidth="1"/>
    <col min="203" max="213" width="12.1640625" style="1" customWidth="1"/>
    <col min="214" max="214" width="8.83203125" style="1"/>
    <col min="215" max="215" width="19.1640625" style="1" customWidth="1"/>
    <col min="216" max="219" width="12.5" style="1" customWidth="1"/>
    <col min="220" max="220" width="2.5" style="1" customWidth="1"/>
    <col min="221" max="230" width="12.5" style="1" customWidth="1"/>
    <col min="231" max="16384" width="8.83203125" style="1"/>
  </cols>
  <sheetData>
    <row r="1" spans="2:231" ht="15" customHeight="1">
      <c r="I1" s="97"/>
      <c r="K1" s="1"/>
      <c r="HV1"/>
    </row>
    <row r="2" spans="2:231" ht="15" hidden="1" outlineLevel="1">
      <c r="F2" s="98"/>
      <c r="I2" s="97"/>
      <c r="K2" s="99">
        <v>1</v>
      </c>
      <c r="L2" s="14">
        <f>K2*(1+$F2)^(1/12)</f>
        <v>1</v>
      </c>
      <c r="M2" s="14">
        <f t="shared" ref="M2:BX2" si="0">L2*(1+$F2)^(1/12)</f>
        <v>1</v>
      </c>
      <c r="N2" s="14">
        <f t="shared" si="0"/>
        <v>1</v>
      </c>
      <c r="O2" s="14">
        <f t="shared" si="0"/>
        <v>1</v>
      </c>
      <c r="P2" s="14">
        <f t="shared" si="0"/>
        <v>1</v>
      </c>
      <c r="Q2" s="14">
        <f t="shared" si="0"/>
        <v>1</v>
      </c>
      <c r="R2" s="14">
        <f t="shared" si="0"/>
        <v>1</v>
      </c>
      <c r="S2" s="14">
        <f t="shared" si="0"/>
        <v>1</v>
      </c>
      <c r="T2" s="14">
        <f t="shared" si="0"/>
        <v>1</v>
      </c>
      <c r="U2" s="14">
        <f t="shared" si="0"/>
        <v>1</v>
      </c>
      <c r="V2" s="14">
        <f t="shared" si="0"/>
        <v>1</v>
      </c>
      <c r="W2" s="14">
        <f t="shared" si="0"/>
        <v>1</v>
      </c>
      <c r="X2" s="14">
        <f t="shared" si="0"/>
        <v>1</v>
      </c>
      <c r="Y2" s="14">
        <f t="shared" si="0"/>
        <v>1</v>
      </c>
      <c r="Z2" s="14">
        <f t="shared" si="0"/>
        <v>1</v>
      </c>
      <c r="AA2" s="14">
        <f t="shared" si="0"/>
        <v>1</v>
      </c>
      <c r="AB2" s="14">
        <f t="shared" si="0"/>
        <v>1</v>
      </c>
      <c r="AC2" s="14">
        <f t="shared" si="0"/>
        <v>1</v>
      </c>
      <c r="AD2" s="14">
        <f t="shared" si="0"/>
        <v>1</v>
      </c>
      <c r="AE2" s="14">
        <f t="shared" si="0"/>
        <v>1</v>
      </c>
      <c r="AF2" s="14">
        <f t="shared" si="0"/>
        <v>1</v>
      </c>
      <c r="AG2" s="14">
        <f t="shared" si="0"/>
        <v>1</v>
      </c>
      <c r="AH2" s="14">
        <f t="shared" si="0"/>
        <v>1</v>
      </c>
      <c r="AI2" s="14">
        <f t="shared" si="0"/>
        <v>1</v>
      </c>
      <c r="AJ2" s="14">
        <f t="shared" si="0"/>
        <v>1</v>
      </c>
      <c r="AK2" s="14">
        <f t="shared" si="0"/>
        <v>1</v>
      </c>
      <c r="AL2" s="14">
        <f t="shared" si="0"/>
        <v>1</v>
      </c>
      <c r="AM2" s="14">
        <f t="shared" si="0"/>
        <v>1</v>
      </c>
      <c r="AN2" s="14">
        <f t="shared" si="0"/>
        <v>1</v>
      </c>
      <c r="AO2" s="14">
        <f t="shared" si="0"/>
        <v>1</v>
      </c>
      <c r="AP2" s="14">
        <f t="shared" si="0"/>
        <v>1</v>
      </c>
      <c r="AQ2" s="14">
        <f t="shared" si="0"/>
        <v>1</v>
      </c>
      <c r="AR2" s="14">
        <f t="shared" si="0"/>
        <v>1</v>
      </c>
      <c r="AS2" s="14">
        <f t="shared" si="0"/>
        <v>1</v>
      </c>
      <c r="AT2" s="14">
        <f t="shared" si="0"/>
        <v>1</v>
      </c>
      <c r="AU2" s="14">
        <f t="shared" si="0"/>
        <v>1</v>
      </c>
      <c r="AV2" s="14">
        <f t="shared" si="0"/>
        <v>1</v>
      </c>
      <c r="AW2" s="14">
        <f t="shared" si="0"/>
        <v>1</v>
      </c>
      <c r="AX2" s="14">
        <f t="shared" si="0"/>
        <v>1</v>
      </c>
      <c r="AY2" s="14">
        <f t="shared" si="0"/>
        <v>1</v>
      </c>
      <c r="AZ2" s="14">
        <f t="shared" si="0"/>
        <v>1</v>
      </c>
      <c r="BA2" s="14">
        <f t="shared" si="0"/>
        <v>1</v>
      </c>
      <c r="BB2" s="14">
        <f t="shared" si="0"/>
        <v>1</v>
      </c>
      <c r="BC2" s="14">
        <f t="shared" si="0"/>
        <v>1</v>
      </c>
      <c r="BD2" s="14">
        <f t="shared" si="0"/>
        <v>1</v>
      </c>
      <c r="BE2" s="14">
        <f t="shared" si="0"/>
        <v>1</v>
      </c>
      <c r="BF2" s="14">
        <f t="shared" si="0"/>
        <v>1</v>
      </c>
      <c r="BG2" s="14">
        <f t="shared" si="0"/>
        <v>1</v>
      </c>
      <c r="BH2" s="14">
        <f t="shared" si="0"/>
        <v>1</v>
      </c>
      <c r="BI2" s="14">
        <f t="shared" si="0"/>
        <v>1</v>
      </c>
      <c r="BJ2" s="14">
        <f t="shared" si="0"/>
        <v>1</v>
      </c>
      <c r="BK2" s="14">
        <f t="shared" si="0"/>
        <v>1</v>
      </c>
      <c r="BL2" s="14">
        <f t="shared" si="0"/>
        <v>1</v>
      </c>
      <c r="BM2" s="14">
        <f t="shared" si="0"/>
        <v>1</v>
      </c>
      <c r="BN2" s="14">
        <f t="shared" si="0"/>
        <v>1</v>
      </c>
      <c r="BO2" s="14">
        <f t="shared" si="0"/>
        <v>1</v>
      </c>
      <c r="BP2" s="14">
        <f t="shared" si="0"/>
        <v>1</v>
      </c>
      <c r="BQ2" s="14">
        <f t="shared" si="0"/>
        <v>1</v>
      </c>
      <c r="BR2" s="14">
        <f t="shared" si="0"/>
        <v>1</v>
      </c>
      <c r="BS2" s="14">
        <f t="shared" si="0"/>
        <v>1</v>
      </c>
      <c r="BT2" s="14">
        <f t="shared" si="0"/>
        <v>1</v>
      </c>
      <c r="BU2" s="14">
        <f t="shared" si="0"/>
        <v>1</v>
      </c>
      <c r="BV2" s="14">
        <f t="shared" si="0"/>
        <v>1</v>
      </c>
      <c r="BW2" s="14">
        <f t="shared" si="0"/>
        <v>1</v>
      </c>
      <c r="BX2" s="14">
        <f t="shared" si="0"/>
        <v>1</v>
      </c>
      <c r="BY2" s="14">
        <f t="shared" ref="BY2:CE2" si="1">BX2*(1+$F2)^(1/12)</f>
        <v>1</v>
      </c>
      <c r="BZ2" s="14"/>
      <c r="CA2" s="14"/>
      <c r="CB2" s="14">
        <f t="shared" si="1"/>
        <v>0</v>
      </c>
      <c r="CC2" s="14">
        <f t="shared" si="1"/>
        <v>0</v>
      </c>
      <c r="CD2" s="14">
        <f t="shared" si="1"/>
        <v>0</v>
      </c>
      <c r="CE2" s="14">
        <f t="shared" si="1"/>
        <v>0</v>
      </c>
      <c r="CF2" s="14">
        <f t="shared" ref="CF2" si="2">CE2*(1+$F2)^(1/12)</f>
        <v>0</v>
      </c>
      <c r="CG2" s="14">
        <f t="shared" ref="CG2" si="3">CF2*(1+$F2)^(1/12)</f>
        <v>0</v>
      </c>
      <c r="CH2" s="14">
        <f t="shared" ref="CH2" si="4">CG2*(1+$F2)^(1/12)</f>
        <v>0</v>
      </c>
      <c r="CI2" s="14">
        <f t="shared" ref="CI2" si="5">CH2*(1+$F2)^(1/12)</f>
        <v>0</v>
      </c>
      <c r="CJ2" s="14">
        <f t="shared" ref="CJ2" si="6">CI2*(1+$F2)^(1/12)</f>
        <v>0</v>
      </c>
      <c r="CK2" s="14">
        <f t="shared" ref="CK2" si="7">CJ2*(1+$F2)^(1/12)</f>
        <v>0</v>
      </c>
      <c r="CL2" s="14">
        <f t="shared" ref="CL2" si="8">CK2*(1+$F2)^(1/12)</f>
        <v>0</v>
      </c>
      <c r="CM2" s="14">
        <f t="shared" ref="CM2" si="9">CL2*(1+$F2)^(1/12)</f>
        <v>0</v>
      </c>
      <c r="CN2" s="14">
        <f t="shared" ref="CN2" si="10">CM2*(1+$F2)^(1/12)</f>
        <v>0</v>
      </c>
      <c r="CO2" s="14">
        <f t="shared" ref="CO2" si="11">CN2*(1+$F2)^(1/12)</f>
        <v>0</v>
      </c>
      <c r="CP2" s="14">
        <f t="shared" ref="CP2" si="12">CO2*(1+$F2)^(1/12)</f>
        <v>0</v>
      </c>
      <c r="CQ2" s="14">
        <f t="shared" ref="CQ2" si="13">CP2*(1+$F2)^(1/12)</f>
        <v>0</v>
      </c>
      <c r="CR2" s="14">
        <f t="shared" ref="CR2" si="14">CQ2*(1+$F2)^(1/12)</f>
        <v>0</v>
      </c>
      <c r="CS2" s="14"/>
      <c r="CT2" s="14"/>
      <c r="CU2" s="14">
        <f t="shared" ref="CU2" si="15">CT2*(1+$F2)^(1/12)</f>
        <v>0</v>
      </c>
      <c r="CV2" s="14">
        <f t="shared" ref="CV2" si="16">CU2*(1+$F2)^(1/12)</f>
        <v>0</v>
      </c>
      <c r="CW2" s="14">
        <f t="shared" ref="CW2" si="17">CV2*(1+$F2)^(1/12)</f>
        <v>0</v>
      </c>
      <c r="CX2" s="14">
        <f t="shared" ref="CX2" si="18">CW2*(1+$F2)^(1/12)</f>
        <v>0</v>
      </c>
      <c r="CY2" s="14">
        <f t="shared" ref="CY2" si="19">CX2*(1+$F2)^(1/12)</f>
        <v>0</v>
      </c>
      <c r="CZ2" s="14">
        <f t="shared" ref="CZ2" si="20">CY2*(1+$F2)^(1/12)</f>
        <v>0</v>
      </c>
      <c r="DA2" s="14">
        <f t="shared" ref="DA2" si="21">CZ2*(1+$F2)^(1/12)</f>
        <v>0</v>
      </c>
      <c r="DB2" s="14">
        <f t="shared" ref="DB2" si="22">DA2*(1+$F2)^(1/12)</f>
        <v>0</v>
      </c>
      <c r="DC2" s="14">
        <f t="shared" ref="DC2" si="23">DB2*(1+$F2)^(1/12)</f>
        <v>0</v>
      </c>
      <c r="DD2" s="14">
        <f t="shared" ref="DD2" si="24">DC2*(1+$F2)^(1/12)</f>
        <v>0</v>
      </c>
      <c r="DE2" s="14">
        <f t="shared" ref="DE2" si="25">DD2*(1+$F2)^(1/12)</f>
        <v>0</v>
      </c>
      <c r="DF2" s="14">
        <f t="shared" ref="DF2" si="26">DE2*(1+$F2)^(1/12)</f>
        <v>0</v>
      </c>
      <c r="DG2" s="14">
        <f t="shared" ref="DG2" si="27">DF2*(1+$F2)^(1/12)</f>
        <v>0</v>
      </c>
      <c r="DH2" s="14">
        <f t="shared" ref="DH2" si="28">DG2*(1+$F2)^(1/12)</f>
        <v>0</v>
      </c>
      <c r="DI2" s="14">
        <f t="shared" ref="DI2" si="29">DH2*(1+$F2)^(1/12)</f>
        <v>0</v>
      </c>
      <c r="DJ2" s="14">
        <f t="shared" ref="DJ2" si="30">DI2*(1+$F2)^(1/12)</f>
        <v>0</v>
      </c>
      <c r="DK2" s="14">
        <f t="shared" ref="DK2" si="31">DJ2*(1+$F2)^(1/12)</f>
        <v>0</v>
      </c>
      <c r="DL2" s="14">
        <f t="shared" ref="DL2" si="32">DK2*(1+$F2)^(1/12)</f>
        <v>0</v>
      </c>
      <c r="DM2" s="14">
        <f t="shared" ref="DM2" si="33">DL2*(1+$F2)^(1/12)</f>
        <v>0</v>
      </c>
      <c r="DN2" s="14">
        <f t="shared" ref="DN2" si="34">DM2*(1+$F2)^(1/12)</f>
        <v>0</v>
      </c>
      <c r="DO2" s="14">
        <f t="shared" ref="DO2" si="35">DN2*(1+$F2)^(1/12)</f>
        <v>0</v>
      </c>
      <c r="DP2" s="14">
        <f t="shared" ref="DP2" si="36">DO2*(1+$F2)^(1/12)</f>
        <v>0</v>
      </c>
      <c r="DQ2" s="14">
        <f t="shared" ref="DQ2" si="37">DP2*(1+$F2)^(1/12)</f>
        <v>0</v>
      </c>
      <c r="DR2" s="14">
        <f t="shared" ref="DR2" si="38">DQ2*(1+$F2)^(1/12)</f>
        <v>0</v>
      </c>
      <c r="DS2" s="14">
        <f t="shared" ref="DS2" si="39">DR2*(1+$F2)^(1/12)</f>
        <v>0</v>
      </c>
      <c r="DT2" s="14">
        <f t="shared" ref="DT2" si="40">DS2*(1+$F2)^(1/12)</f>
        <v>0</v>
      </c>
      <c r="DU2" s="14">
        <f t="shared" ref="DU2" si="41">DT2*(1+$F2)^(1/12)</f>
        <v>0</v>
      </c>
      <c r="DV2" s="14">
        <f t="shared" ref="DV2" si="42">DU2*(1+$F2)^(1/12)</f>
        <v>0</v>
      </c>
      <c r="DW2" s="14">
        <f t="shared" ref="DW2" si="43">DV2*(1+$F2)^(1/12)</f>
        <v>0</v>
      </c>
      <c r="DX2" s="14">
        <f t="shared" ref="DX2" si="44">DW2*(1+$F2)^(1/12)</f>
        <v>0</v>
      </c>
      <c r="DY2" s="14">
        <f t="shared" ref="DY2" si="45">DX2*(1+$F2)^(1/12)</f>
        <v>0</v>
      </c>
      <c r="DZ2" s="14">
        <f t="shared" ref="DZ2" si="46">DY2*(1+$F2)^(1/12)</f>
        <v>0</v>
      </c>
      <c r="EA2" s="14">
        <f t="shared" ref="EA2" si="47">DZ2*(1+$F2)^(1/12)</f>
        <v>0</v>
      </c>
      <c r="EB2" s="14">
        <f t="shared" ref="EB2" si="48">EA2*(1+$F2)^(1/12)</f>
        <v>0</v>
      </c>
      <c r="EC2" s="14">
        <f t="shared" ref="EC2" si="49">EB2*(1+$F2)^(1/12)</f>
        <v>0</v>
      </c>
      <c r="ED2" s="14">
        <f t="shared" ref="ED2" si="50">EC2*(1+$F2)^(1/12)</f>
        <v>0</v>
      </c>
      <c r="EE2" s="14">
        <f t="shared" ref="EE2" si="51">ED2*(1+$F2)^(1/12)</f>
        <v>0</v>
      </c>
      <c r="EF2" s="14">
        <f t="shared" ref="EF2" si="52">EE2*(1+$F2)^(1/12)</f>
        <v>0</v>
      </c>
      <c r="EG2" s="14">
        <f t="shared" ref="EG2" si="53">EF2*(1+$F2)^(1/12)</f>
        <v>0</v>
      </c>
      <c r="EH2" s="14">
        <f t="shared" ref="EH2" si="54">EG2*(1+$F2)^(1/12)</f>
        <v>0</v>
      </c>
      <c r="EI2" s="14">
        <f t="shared" ref="EI2" si="55">EH2*(1+$F2)^(1/12)</f>
        <v>0</v>
      </c>
      <c r="EJ2" s="14">
        <f t="shared" ref="EJ2" si="56">EI2*(1+$F2)^(1/12)</f>
        <v>0</v>
      </c>
      <c r="EK2" s="14">
        <f t="shared" ref="EK2" si="57">EJ2*(1+$F2)^(1/12)</f>
        <v>0</v>
      </c>
      <c r="EL2" s="14">
        <f t="shared" ref="EL2" si="58">EK2*(1+$F2)^(1/12)</f>
        <v>0</v>
      </c>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f t="shared" ref="GS2" si="59">EL2*(1+$F2)^(1/12)</f>
        <v>0</v>
      </c>
      <c r="HV2"/>
    </row>
    <row r="3" spans="2:231" ht="15" hidden="1" outlineLevel="1">
      <c r="F3" s="98"/>
      <c r="I3" s="97"/>
      <c r="K3" s="99">
        <v>1</v>
      </c>
      <c r="L3" s="14">
        <f>K3*(1+$F3)^(1/12)</f>
        <v>1</v>
      </c>
      <c r="M3" s="14">
        <f t="shared" ref="M3" si="60">L3*(1+$F3)^(1/12)</f>
        <v>1</v>
      </c>
      <c r="N3" s="14">
        <f t="shared" ref="N3" si="61">M3*(1+$F3)^(1/12)</f>
        <v>1</v>
      </c>
      <c r="O3" s="14">
        <f t="shared" ref="O3" si="62">N3*(1+$F3)^(1/12)</f>
        <v>1</v>
      </c>
      <c r="P3" s="14">
        <f t="shared" ref="P3" si="63">O3*(1+$F3)^(1/12)</f>
        <v>1</v>
      </c>
      <c r="Q3" s="14">
        <f t="shared" ref="Q3" si="64">P3*(1+$F3)^(1/12)</f>
        <v>1</v>
      </c>
      <c r="R3" s="14">
        <f t="shared" ref="R3" si="65">Q3*(1+$F3)^(1/12)</f>
        <v>1</v>
      </c>
      <c r="S3" s="14">
        <f t="shared" ref="S3" si="66">R3*(1+$F3)^(1/12)</f>
        <v>1</v>
      </c>
      <c r="T3" s="14">
        <f t="shared" ref="T3" si="67">S3*(1+$F3)^(1/12)</f>
        <v>1</v>
      </c>
      <c r="U3" s="14">
        <f t="shared" ref="U3" si="68">T3*(1+$F3)^(1/12)</f>
        <v>1</v>
      </c>
      <c r="V3" s="14">
        <f t="shared" ref="V3" si="69">U3*(1+$F3)^(1/12)</f>
        <v>1</v>
      </c>
      <c r="W3" s="14">
        <f t="shared" ref="W3" si="70">V3*(1+$F3)^(1/12)</f>
        <v>1</v>
      </c>
      <c r="X3" s="14">
        <f t="shared" ref="X3" si="71">W3*(1+$F3)^(1/12)</f>
        <v>1</v>
      </c>
      <c r="Y3" s="14">
        <f t="shared" ref="Y3" si="72">X3*(1+$F3)^(1/12)</f>
        <v>1</v>
      </c>
      <c r="Z3" s="14">
        <f t="shared" ref="Z3" si="73">Y3*(1+$F3)^(1/12)</f>
        <v>1</v>
      </c>
      <c r="AA3" s="14">
        <f t="shared" ref="AA3" si="74">Z3*(1+$F3)^(1/12)</f>
        <v>1</v>
      </c>
      <c r="AB3" s="14">
        <f t="shared" ref="AB3" si="75">AA3*(1+$F3)^(1/12)</f>
        <v>1</v>
      </c>
      <c r="AC3" s="14">
        <f t="shared" ref="AC3" si="76">AB3*(1+$F3)^(1/12)</f>
        <v>1</v>
      </c>
      <c r="AD3" s="14">
        <f t="shared" ref="AD3" si="77">AC3*(1+$F3)^(1/12)</f>
        <v>1</v>
      </c>
      <c r="AE3" s="14">
        <f t="shared" ref="AE3" si="78">AD3*(1+$F3)^(1/12)</f>
        <v>1</v>
      </c>
      <c r="AF3" s="14">
        <f t="shared" ref="AF3" si="79">AE3*(1+$F3)^(1/12)</f>
        <v>1</v>
      </c>
      <c r="AG3" s="14">
        <f t="shared" ref="AG3" si="80">AF3*(1+$F3)^(1/12)</f>
        <v>1</v>
      </c>
      <c r="AH3" s="14">
        <f t="shared" ref="AH3" si="81">AG3*(1+$F3)^(1/12)</f>
        <v>1</v>
      </c>
      <c r="AI3" s="14">
        <f t="shared" ref="AI3" si="82">AH3*(1+$F3)^(1/12)</f>
        <v>1</v>
      </c>
      <c r="AJ3" s="14">
        <f t="shared" ref="AJ3" si="83">AI3*(1+$F3)^(1/12)</f>
        <v>1</v>
      </c>
      <c r="AK3" s="14">
        <f t="shared" ref="AK3" si="84">AJ3*(1+$F3)^(1/12)</f>
        <v>1</v>
      </c>
      <c r="AL3" s="14">
        <f t="shared" ref="AL3" si="85">AK3*(1+$F3)^(1/12)</f>
        <v>1</v>
      </c>
      <c r="AM3" s="14">
        <f t="shared" ref="AM3" si="86">AL3*(1+$F3)^(1/12)</f>
        <v>1</v>
      </c>
      <c r="AN3" s="14">
        <f t="shared" ref="AN3" si="87">AM3*(1+$F3)^(1/12)</f>
        <v>1</v>
      </c>
      <c r="AO3" s="14">
        <f t="shared" ref="AO3" si="88">AN3*(1+$F3)^(1/12)</f>
        <v>1</v>
      </c>
      <c r="AP3" s="14">
        <f t="shared" ref="AP3" si="89">AO3*(1+$F3)^(1/12)</f>
        <v>1</v>
      </c>
      <c r="AQ3" s="14">
        <f t="shared" ref="AQ3" si="90">AP3*(1+$F3)^(1/12)</f>
        <v>1</v>
      </c>
      <c r="AR3" s="14">
        <f t="shared" ref="AR3" si="91">AQ3*(1+$F3)^(1/12)</f>
        <v>1</v>
      </c>
      <c r="AS3" s="14">
        <f t="shared" ref="AS3" si="92">AR3*(1+$F3)^(1/12)</f>
        <v>1</v>
      </c>
      <c r="AT3" s="14">
        <f t="shared" ref="AT3" si="93">AS3*(1+$F3)^(1/12)</f>
        <v>1</v>
      </c>
      <c r="AU3" s="14">
        <f t="shared" ref="AU3" si="94">AT3*(1+$F3)^(1/12)</f>
        <v>1</v>
      </c>
      <c r="AV3" s="14">
        <f t="shared" ref="AV3" si="95">AU3*(1+$F3)^(1/12)</f>
        <v>1</v>
      </c>
      <c r="AW3" s="14">
        <f t="shared" ref="AW3" si="96">AV3*(1+$F3)^(1/12)</f>
        <v>1</v>
      </c>
      <c r="AX3" s="14">
        <f t="shared" ref="AX3" si="97">AW3*(1+$F3)^(1/12)</f>
        <v>1</v>
      </c>
      <c r="AY3" s="14">
        <f t="shared" ref="AY3" si="98">AX3*(1+$F3)^(1/12)</f>
        <v>1</v>
      </c>
      <c r="AZ3" s="14">
        <f t="shared" ref="AZ3" si="99">AY3*(1+$F3)^(1/12)</f>
        <v>1</v>
      </c>
      <c r="BA3" s="14">
        <f t="shared" ref="BA3" si="100">AZ3*(1+$F3)^(1/12)</f>
        <v>1</v>
      </c>
      <c r="BB3" s="14">
        <f t="shared" ref="BB3" si="101">BA3*(1+$F3)^(1/12)</f>
        <v>1</v>
      </c>
      <c r="BC3" s="14">
        <f t="shared" ref="BC3" si="102">BB3*(1+$F3)^(1/12)</f>
        <v>1</v>
      </c>
      <c r="BD3" s="14">
        <f t="shared" ref="BD3" si="103">BC3*(1+$F3)^(1/12)</f>
        <v>1</v>
      </c>
      <c r="BE3" s="14">
        <f t="shared" ref="BE3" si="104">BD3*(1+$F3)^(1/12)</f>
        <v>1</v>
      </c>
      <c r="BF3" s="14">
        <f t="shared" ref="BF3" si="105">BE3*(1+$F3)^(1/12)</f>
        <v>1</v>
      </c>
      <c r="BG3" s="14">
        <f t="shared" ref="BG3" si="106">BF3*(1+$F3)^(1/12)</f>
        <v>1</v>
      </c>
      <c r="BH3" s="14">
        <f t="shared" ref="BH3" si="107">BG3*(1+$F3)^(1/12)</f>
        <v>1</v>
      </c>
      <c r="BI3" s="14">
        <f t="shared" ref="BI3" si="108">BH3*(1+$F3)^(1/12)</f>
        <v>1</v>
      </c>
      <c r="BJ3" s="14">
        <f t="shared" ref="BJ3" si="109">BI3*(1+$F3)^(1/12)</f>
        <v>1</v>
      </c>
      <c r="BK3" s="14">
        <f t="shared" ref="BK3" si="110">BJ3*(1+$F3)^(1/12)</f>
        <v>1</v>
      </c>
      <c r="BL3" s="14">
        <f t="shared" ref="BL3" si="111">BK3*(1+$F3)^(1/12)</f>
        <v>1</v>
      </c>
      <c r="BM3" s="14">
        <f t="shared" ref="BM3" si="112">BL3*(1+$F3)^(1/12)</f>
        <v>1</v>
      </c>
      <c r="BN3" s="14">
        <f t="shared" ref="BN3" si="113">BM3*(1+$F3)^(1/12)</f>
        <v>1</v>
      </c>
      <c r="BO3" s="14">
        <f t="shared" ref="BO3" si="114">BN3*(1+$F3)^(1/12)</f>
        <v>1</v>
      </c>
      <c r="BP3" s="14">
        <f t="shared" ref="BP3" si="115">BO3*(1+$F3)^(1/12)</f>
        <v>1</v>
      </c>
      <c r="BQ3" s="14">
        <f t="shared" ref="BQ3" si="116">BP3*(1+$F3)^(1/12)</f>
        <v>1</v>
      </c>
      <c r="BR3" s="14">
        <f t="shared" ref="BR3" si="117">BQ3*(1+$F3)^(1/12)</f>
        <v>1</v>
      </c>
      <c r="BS3" s="14">
        <f t="shared" ref="BS3" si="118">BR3*(1+$F3)^(1/12)</f>
        <v>1</v>
      </c>
      <c r="BT3" s="14">
        <f t="shared" ref="BT3" si="119">BS3*(1+$F3)^(1/12)</f>
        <v>1</v>
      </c>
      <c r="BU3" s="14">
        <f t="shared" ref="BU3" si="120">BT3*(1+$F3)^(1/12)</f>
        <v>1</v>
      </c>
      <c r="BV3" s="14">
        <f t="shared" ref="BV3" si="121">BU3*(1+$F3)^(1/12)</f>
        <v>1</v>
      </c>
      <c r="BW3" s="14">
        <f t="shared" ref="BW3" si="122">BV3*(1+$F3)^(1/12)</f>
        <v>1</v>
      </c>
      <c r="BX3" s="14">
        <f t="shared" ref="BX3" si="123">BW3*(1+$F3)^(1/12)</f>
        <v>1</v>
      </c>
      <c r="BY3" s="14">
        <f t="shared" ref="BY3" si="124">BX3*(1+$F3)^(1/12)</f>
        <v>1</v>
      </c>
      <c r="BZ3" s="14"/>
      <c r="CA3" s="14"/>
      <c r="CB3" s="14">
        <f t="shared" ref="CB3" si="125">CA3*(1+$F3)^(1/12)</f>
        <v>0</v>
      </c>
      <c r="CC3" s="14">
        <f t="shared" ref="CC3" si="126">CB3*(1+$F3)^(1/12)</f>
        <v>0</v>
      </c>
      <c r="CD3" s="14">
        <f t="shared" ref="CD3" si="127">CC3*(1+$F3)^(1/12)</f>
        <v>0</v>
      </c>
      <c r="CE3" s="14">
        <f t="shared" ref="CE3" si="128">CD3*(1+$F3)^(1/12)</f>
        <v>0</v>
      </c>
      <c r="CF3" s="14">
        <f t="shared" ref="CF3" si="129">CE3*(1+$F3)^(1/12)</f>
        <v>0</v>
      </c>
      <c r="CG3" s="14">
        <f t="shared" ref="CG3" si="130">CF3*(1+$F3)^(1/12)</f>
        <v>0</v>
      </c>
      <c r="CH3" s="14">
        <f t="shared" ref="CH3" si="131">CG3*(1+$F3)^(1/12)</f>
        <v>0</v>
      </c>
      <c r="CI3" s="14">
        <f t="shared" ref="CI3" si="132">CH3*(1+$F3)^(1/12)</f>
        <v>0</v>
      </c>
      <c r="CJ3" s="14">
        <f t="shared" ref="CJ3" si="133">CI3*(1+$F3)^(1/12)</f>
        <v>0</v>
      </c>
      <c r="CK3" s="14">
        <f t="shared" ref="CK3" si="134">CJ3*(1+$F3)^(1/12)</f>
        <v>0</v>
      </c>
      <c r="CL3" s="14">
        <f t="shared" ref="CL3" si="135">CK3*(1+$F3)^(1/12)</f>
        <v>0</v>
      </c>
      <c r="CM3" s="14">
        <f t="shared" ref="CM3" si="136">CL3*(1+$F3)^(1/12)</f>
        <v>0</v>
      </c>
      <c r="CN3" s="14">
        <f t="shared" ref="CN3" si="137">CM3*(1+$F3)^(1/12)</f>
        <v>0</v>
      </c>
      <c r="CO3" s="14">
        <f t="shared" ref="CO3" si="138">CN3*(1+$F3)^(1/12)</f>
        <v>0</v>
      </c>
      <c r="CP3" s="14">
        <f t="shared" ref="CP3" si="139">CO3*(1+$F3)^(1/12)</f>
        <v>0</v>
      </c>
      <c r="CQ3" s="14">
        <f t="shared" ref="CQ3" si="140">CP3*(1+$F3)^(1/12)</f>
        <v>0</v>
      </c>
      <c r="CR3" s="14">
        <f t="shared" ref="CR3" si="141">CQ3*(1+$F3)^(1/12)</f>
        <v>0</v>
      </c>
      <c r="CS3" s="14"/>
      <c r="CT3" s="14"/>
      <c r="CU3" s="14">
        <f t="shared" ref="CU3" si="142">CT3*(1+$F3)^(1/12)</f>
        <v>0</v>
      </c>
      <c r="CV3" s="14">
        <f t="shared" ref="CV3" si="143">CU3*(1+$F3)^(1/12)</f>
        <v>0</v>
      </c>
      <c r="CW3" s="14">
        <f t="shared" ref="CW3" si="144">CV3*(1+$F3)^(1/12)</f>
        <v>0</v>
      </c>
      <c r="CX3" s="14">
        <f t="shared" ref="CX3" si="145">CW3*(1+$F3)^(1/12)</f>
        <v>0</v>
      </c>
      <c r="CY3" s="14">
        <f t="shared" ref="CY3" si="146">CX3*(1+$F3)^(1/12)</f>
        <v>0</v>
      </c>
      <c r="CZ3" s="14">
        <f t="shared" ref="CZ3" si="147">CY3*(1+$F3)^(1/12)</f>
        <v>0</v>
      </c>
      <c r="DA3" s="14">
        <f t="shared" ref="DA3" si="148">CZ3*(1+$F3)^(1/12)</f>
        <v>0</v>
      </c>
      <c r="DB3" s="14">
        <f t="shared" ref="DB3" si="149">DA3*(1+$F3)^(1/12)</f>
        <v>0</v>
      </c>
      <c r="DC3" s="14">
        <f t="shared" ref="DC3" si="150">DB3*(1+$F3)^(1/12)</f>
        <v>0</v>
      </c>
      <c r="DD3" s="14">
        <f t="shared" ref="DD3" si="151">DC3*(1+$F3)^(1/12)</f>
        <v>0</v>
      </c>
      <c r="DE3" s="14">
        <f t="shared" ref="DE3" si="152">DD3*(1+$F3)^(1/12)</f>
        <v>0</v>
      </c>
      <c r="DF3" s="14">
        <f t="shared" ref="DF3" si="153">DE3*(1+$F3)^(1/12)</f>
        <v>0</v>
      </c>
      <c r="DG3" s="14">
        <f t="shared" ref="DG3" si="154">DF3*(1+$F3)^(1/12)</f>
        <v>0</v>
      </c>
      <c r="DH3" s="14">
        <f t="shared" ref="DH3" si="155">DG3*(1+$F3)^(1/12)</f>
        <v>0</v>
      </c>
      <c r="DI3" s="14">
        <f t="shared" ref="DI3" si="156">DH3*(1+$F3)^(1/12)</f>
        <v>0</v>
      </c>
      <c r="DJ3" s="14">
        <f t="shared" ref="DJ3" si="157">DI3*(1+$F3)^(1/12)</f>
        <v>0</v>
      </c>
      <c r="DK3" s="14">
        <f t="shared" ref="DK3" si="158">DJ3*(1+$F3)^(1/12)</f>
        <v>0</v>
      </c>
      <c r="DL3" s="14">
        <f t="shared" ref="DL3" si="159">DK3*(1+$F3)^(1/12)</f>
        <v>0</v>
      </c>
      <c r="DM3" s="14">
        <f t="shared" ref="DM3" si="160">DL3*(1+$F3)^(1/12)</f>
        <v>0</v>
      </c>
      <c r="DN3" s="14">
        <f t="shared" ref="DN3" si="161">DM3*(1+$F3)^(1/12)</f>
        <v>0</v>
      </c>
      <c r="DO3" s="14">
        <f t="shared" ref="DO3" si="162">DN3*(1+$F3)^(1/12)</f>
        <v>0</v>
      </c>
      <c r="DP3" s="14">
        <f t="shared" ref="DP3" si="163">DO3*(1+$F3)^(1/12)</f>
        <v>0</v>
      </c>
      <c r="DQ3" s="14">
        <f t="shared" ref="DQ3" si="164">DP3*(1+$F3)^(1/12)</f>
        <v>0</v>
      </c>
      <c r="DR3" s="14">
        <f t="shared" ref="DR3" si="165">DQ3*(1+$F3)^(1/12)</f>
        <v>0</v>
      </c>
      <c r="DS3" s="14">
        <f t="shared" ref="DS3" si="166">DR3*(1+$F3)^(1/12)</f>
        <v>0</v>
      </c>
      <c r="DT3" s="14">
        <f t="shared" ref="DT3" si="167">DS3*(1+$F3)^(1/12)</f>
        <v>0</v>
      </c>
      <c r="DU3" s="14">
        <f t="shared" ref="DU3" si="168">DT3*(1+$F3)^(1/12)</f>
        <v>0</v>
      </c>
      <c r="DV3" s="14">
        <f t="shared" ref="DV3" si="169">DU3*(1+$F3)^(1/12)</f>
        <v>0</v>
      </c>
      <c r="DW3" s="14">
        <f t="shared" ref="DW3" si="170">DV3*(1+$F3)^(1/12)</f>
        <v>0</v>
      </c>
      <c r="DX3" s="14">
        <f t="shared" ref="DX3" si="171">DW3*(1+$F3)^(1/12)</f>
        <v>0</v>
      </c>
      <c r="DY3" s="14">
        <f t="shared" ref="DY3" si="172">DX3*(1+$F3)^(1/12)</f>
        <v>0</v>
      </c>
      <c r="DZ3" s="14">
        <f t="shared" ref="DZ3" si="173">DY3*(1+$F3)^(1/12)</f>
        <v>0</v>
      </c>
      <c r="EA3" s="14">
        <f t="shared" ref="EA3" si="174">DZ3*(1+$F3)^(1/12)</f>
        <v>0</v>
      </c>
      <c r="EB3" s="14">
        <f t="shared" ref="EB3" si="175">EA3*(1+$F3)^(1/12)</f>
        <v>0</v>
      </c>
      <c r="EC3" s="14">
        <f t="shared" ref="EC3" si="176">EB3*(1+$F3)^(1/12)</f>
        <v>0</v>
      </c>
      <c r="ED3" s="14">
        <f t="shared" ref="ED3" si="177">EC3*(1+$F3)^(1/12)</f>
        <v>0</v>
      </c>
      <c r="EE3" s="14">
        <f t="shared" ref="EE3" si="178">ED3*(1+$F3)^(1/12)</f>
        <v>0</v>
      </c>
      <c r="EF3" s="14">
        <f t="shared" ref="EF3" si="179">EE3*(1+$F3)^(1/12)</f>
        <v>0</v>
      </c>
      <c r="EG3" s="14">
        <f t="shared" ref="EG3" si="180">EF3*(1+$F3)^(1/12)</f>
        <v>0</v>
      </c>
      <c r="EH3" s="14">
        <f t="shared" ref="EH3" si="181">EG3*(1+$F3)^(1/12)</f>
        <v>0</v>
      </c>
      <c r="EI3" s="14">
        <f t="shared" ref="EI3" si="182">EH3*(1+$F3)^(1/12)</f>
        <v>0</v>
      </c>
      <c r="EJ3" s="14">
        <f t="shared" ref="EJ3" si="183">EI3*(1+$F3)^(1/12)</f>
        <v>0</v>
      </c>
      <c r="EK3" s="14">
        <f t="shared" ref="EK3" si="184">EJ3*(1+$F3)^(1/12)</f>
        <v>0</v>
      </c>
      <c r="EL3" s="14">
        <f t="shared" ref="EL3" si="185">EK3*(1+$F3)^(1/12)</f>
        <v>0</v>
      </c>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f t="shared" ref="GS3" si="186">EL3*(1+$F3)^(1/12)</f>
        <v>0</v>
      </c>
      <c r="HV3"/>
    </row>
    <row r="4" spans="2:231" ht="15" hidden="1" outlineLevel="1">
      <c r="F4" s="98"/>
      <c r="I4" s="97"/>
      <c r="K4" s="99">
        <v>1</v>
      </c>
      <c r="L4" s="14">
        <f t="shared" ref="L4:BW5" si="187">K4*(1+$F4)^(1/12)</f>
        <v>1</v>
      </c>
      <c r="M4" s="14">
        <f t="shared" si="187"/>
        <v>1</v>
      </c>
      <c r="N4" s="14">
        <f t="shared" si="187"/>
        <v>1</v>
      </c>
      <c r="O4" s="14">
        <f t="shared" si="187"/>
        <v>1</v>
      </c>
      <c r="P4" s="14">
        <f t="shared" si="187"/>
        <v>1</v>
      </c>
      <c r="Q4" s="14">
        <f t="shared" si="187"/>
        <v>1</v>
      </c>
      <c r="R4" s="14">
        <f t="shared" si="187"/>
        <v>1</v>
      </c>
      <c r="S4" s="14">
        <f t="shared" si="187"/>
        <v>1</v>
      </c>
      <c r="T4" s="14">
        <f t="shared" si="187"/>
        <v>1</v>
      </c>
      <c r="U4" s="14">
        <f t="shared" si="187"/>
        <v>1</v>
      </c>
      <c r="V4" s="14">
        <f t="shared" si="187"/>
        <v>1</v>
      </c>
      <c r="W4" s="14">
        <f t="shared" si="187"/>
        <v>1</v>
      </c>
      <c r="X4" s="14">
        <f t="shared" si="187"/>
        <v>1</v>
      </c>
      <c r="Y4" s="14">
        <f t="shared" si="187"/>
        <v>1</v>
      </c>
      <c r="Z4" s="14">
        <f t="shared" si="187"/>
        <v>1</v>
      </c>
      <c r="AA4" s="14">
        <f t="shared" si="187"/>
        <v>1</v>
      </c>
      <c r="AB4" s="14">
        <f t="shared" si="187"/>
        <v>1</v>
      </c>
      <c r="AC4" s="14">
        <f t="shared" si="187"/>
        <v>1</v>
      </c>
      <c r="AD4" s="14">
        <f t="shared" si="187"/>
        <v>1</v>
      </c>
      <c r="AE4" s="14">
        <f t="shared" si="187"/>
        <v>1</v>
      </c>
      <c r="AF4" s="14">
        <f t="shared" si="187"/>
        <v>1</v>
      </c>
      <c r="AG4" s="14">
        <f t="shared" si="187"/>
        <v>1</v>
      </c>
      <c r="AH4" s="14">
        <f t="shared" si="187"/>
        <v>1</v>
      </c>
      <c r="AI4" s="14">
        <f t="shared" si="187"/>
        <v>1</v>
      </c>
      <c r="AJ4" s="14">
        <f t="shared" si="187"/>
        <v>1</v>
      </c>
      <c r="AK4" s="14">
        <f t="shared" si="187"/>
        <v>1</v>
      </c>
      <c r="AL4" s="14">
        <f t="shared" si="187"/>
        <v>1</v>
      </c>
      <c r="AM4" s="14">
        <f t="shared" si="187"/>
        <v>1</v>
      </c>
      <c r="AN4" s="14">
        <f t="shared" si="187"/>
        <v>1</v>
      </c>
      <c r="AO4" s="14">
        <f t="shared" si="187"/>
        <v>1</v>
      </c>
      <c r="AP4" s="14">
        <f t="shared" si="187"/>
        <v>1</v>
      </c>
      <c r="AQ4" s="14">
        <f t="shared" si="187"/>
        <v>1</v>
      </c>
      <c r="AR4" s="14">
        <f t="shared" si="187"/>
        <v>1</v>
      </c>
      <c r="AS4" s="14">
        <f t="shared" si="187"/>
        <v>1</v>
      </c>
      <c r="AT4" s="14">
        <f t="shared" si="187"/>
        <v>1</v>
      </c>
      <c r="AU4" s="14">
        <f t="shared" si="187"/>
        <v>1</v>
      </c>
      <c r="AV4" s="14">
        <f t="shared" si="187"/>
        <v>1</v>
      </c>
      <c r="AW4" s="14">
        <f t="shared" si="187"/>
        <v>1</v>
      </c>
      <c r="AX4" s="14">
        <f t="shared" si="187"/>
        <v>1</v>
      </c>
      <c r="AY4" s="14">
        <f t="shared" si="187"/>
        <v>1</v>
      </c>
      <c r="AZ4" s="14">
        <f t="shared" si="187"/>
        <v>1</v>
      </c>
      <c r="BA4" s="14">
        <f t="shared" si="187"/>
        <v>1</v>
      </c>
      <c r="BB4" s="14">
        <f t="shared" si="187"/>
        <v>1</v>
      </c>
      <c r="BC4" s="14">
        <f t="shared" si="187"/>
        <v>1</v>
      </c>
      <c r="BD4" s="14">
        <f t="shared" si="187"/>
        <v>1</v>
      </c>
      <c r="BE4" s="14">
        <f t="shared" si="187"/>
        <v>1</v>
      </c>
      <c r="BF4" s="14">
        <f t="shared" si="187"/>
        <v>1</v>
      </c>
      <c r="BG4" s="14">
        <f t="shared" si="187"/>
        <v>1</v>
      </c>
      <c r="BH4" s="14">
        <f t="shared" si="187"/>
        <v>1</v>
      </c>
      <c r="BI4" s="14">
        <f t="shared" si="187"/>
        <v>1</v>
      </c>
      <c r="BJ4" s="14">
        <f t="shared" si="187"/>
        <v>1</v>
      </c>
      <c r="BK4" s="14">
        <f t="shared" si="187"/>
        <v>1</v>
      </c>
      <c r="BL4" s="14">
        <f t="shared" si="187"/>
        <v>1</v>
      </c>
      <c r="BM4" s="14">
        <f t="shared" si="187"/>
        <v>1</v>
      </c>
      <c r="BN4" s="14">
        <f t="shared" si="187"/>
        <v>1</v>
      </c>
      <c r="BO4" s="14">
        <f t="shared" si="187"/>
        <v>1</v>
      </c>
      <c r="BP4" s="14">
        <f t="shared" si="187"/>
        <v>1</v>
      </c>
      <c r="BQ4" s="14">
        <f t="shared" si="187"/>
        <v>1</v>
      </c>
      <c r="BR4" s="14">
        <f t="shared" si="187"/>
        <v>1</v>
      </c>
      <c r="BS4" s="14">
        <f t="shared" si="187"/>
        <v>1</v>
      </c>
      <c r="BT4" s="14">
        <f t="shared" si="187"/>
        <v>1</v>
      </c>
      <c r="BU4" s="14">
        <f t="shared" si="187"/>
        <v>1</v>
      </c>
      <c r="BV4" s="14">
        <f t="shared" si="187"/>
        <v>1</v>
      </c>
      <c r="BW4" s="14">
        <f t="shared" si="187"/>
        <v>1</v>
      </c>
      <c r="BX4" s="14">
        <f t="shared" ref="BX4:CE5" si="188">BW4*(1+$F4)^(1/12)</f>
        <v>1</v>
      </c>
      <c r="BY4" s="14">
        <f t="shared" si="188"/>
        <v>1</v>
      </c>
      <c r="BZ4" s="14"/>
      <c r="CA4" s="14"/>
      <c r="CB4" s="14">
        <f t="shared" si="188"/>
        <v>0</v>
      </c>
      <c r="CC4" s="14">
        <f t="shared" si="188"/>
        <v>0</v>
      </c>
      <c r="CD4" s="14">
        <f t="shared" si="188"/>
        <v>0</v>
      </c>
      <c r="CE4" s="14">
        <f t="shared" si="188"/>
        <v>0</v>
      </c>
      <c r="CF4" s="14">
        <f t="shared" ref="CF4:CF5" si="189">CE4*(1+$F4)^(1/12)</f>
        <v>0</v>
      </c>
      <c r="CG4" s="14">
        <f t="shared" ref="CG4:CG5" si="190">CF4*(1+$F4)^(1/12)</f>
        <v>0</v>
      </c>
      <c r="CH4" s="14">
        <f t="shared" ref="CH4:CH5" si="191">CG4*(1+$F4)^(1/12)</f>
        <v>0</v>
      </c>
      <c r="CI4" s="14">
        <f t="shared" ref="CI4:CI5" si="192">CH4*(1+$F4)^(1/12)</f>
        <v>0</v>
      </c>
      <c r="CJ4" s="14">
        <f t="shared" ref="CJ4:CJ5" si="193">CI4*(1+$F4)^(1/12)</f>
        <v>0</v>
      </c>
      <c r="CK4" s="14">
        <f t="shared" ref="CK4:CK5" si="194">CJ4*(1+$F4)^(1/12)</f>
        <v>0</v>
      </c>
      <c r="CL4" s="14">
        <f t="shared" ref="CL4:CL5" si="195">CK4*(1+$F4)^(1/12)</f>
        <v>0</v>
      </c>
      <c r="CM4" s="14">
        <f t="shared" ref="CM4:CM5" si="196">CL4*(1+$F4)^(1/12)</f>
        <v>0</v>
      </c>
      <c r="CN4" s="14">
        <f t="shared" ref="CN4:CN5" si="197">CM4*(1+$F4)^(1/12)</f>
        <v>0</v>
      </c>
      <c r="CO4" s="14">
        <f t="shared" ref="CO4:CO5" si="198">CN4*(1+$F4)^(1/12)</f>
        <v>0</v>
      </c>
      <c r="CP4" s="14">
        <f t="shared" ref="CP4:CP5" si="199">CO4*(1+$F4)^(1/12)</f>
        <v>0</v>
      </c>
      <c r="CQ4" s="14">
        <f t="shared" ref="CQ4:CQ5" si="200">CP4*(1+$F4)^(1/12)</f>
        <v>0</v>
      </c>
      <c r="CR4" s="14">
        <f t="shared" ref="CR4:CR5" si="201">CQ4*(1+$F4)^(1/12)</f>
        <v>0</v>
      </c>
      <c r="CS4" s="14"/>
      <c r="CT4" s="14"/>
      <c r="CU4" s="14">
        <f t="shared" ref="CU4:CU5" si="202">CT4*(1+$F4)^(1/12)</f>
        <v>0</v>
      </c>
      <c r="CV4" s="14">
        <f t="shared" ref="CV4:CV5" si="203">CU4*(1+$F4)^(1/12)</f>
        <v>0</v>
      </c>
      <c r="CW4" s="14">
        <f t="shared" ref="CW4:CW5" si="204">CV4*(1+$F4)^(1/12)</f>
        <v>0</v>
      </c>
      <c r="CX4" s="14">
        <f t="shared" ref="CX4:CX5" si="205">CW4*(1+$F4)^(1/12)</f>
        <v>0</v>
      </c>
      <c r="CY4" s="14">
        <f t="shared" ref="CY4:CY5" si="206">CX4*(1+$F4)^(1/12)</f>
        <v>0</v>
      </c>
      <c r="CZ4" s="14">
        <f t="shared" ref="CZ4:CZ5" si="207">CY4*(1+$F4)^(1/12)</f>
        <v>0</v>
      </c>
      <c r="DA4" s="14">
        <f t="shared" ref="DA4:DA5" si="208">CZ4*(1+$F4)^(1/12)</f>
        <v>0</v>
      </c>
      <c r="DB4" s="14">
        <f t="shared" ref="DB4:DB5" si="209">DA4*(1+$F4)^(1/12)</f>
        <v>0</v>
      </c>
      <c r="DC4" s="14">
        <f t="shared" ref="DC4:DC5" si="210">DB4*(1+$F4)^(1/12)</f>
        <v>0</v>
      </c>
      <c r="DD4" s="14">
        <f t="shared" ref="DD4:DD5" si="211">DC4*(1+$F4)^(1/12)</f>
        <v>0</v>
      </c>
      <c r="DE4" s="14">
        <f t="shared" ref="DE4:DE5" si="212">DD4*(1+$F4)^(1/12)</f>
        <v>0</v>
      </c>
      <c r="DF4" s="14">
        <f t="shared" ref="DF4:DF5" si="213">DE4*(1+$F4)^(1/12)</f>
        <v>0</v>
      </c>
      <c r="DG4" s="14">
        <f t="shared" ref="DG4:DG5" si="214">DF4*(1+$F4)^(1/12)</f>
        <v>0</v>
      </c>
      <c r="DH4" s="14">
        <f t="shared" ref="DH4:DH5" si="215">DG4*(1+$F4)^(1/12)</f>
        <v>0</v>
      </c>
      <c r="DI4" s="14">
        <f t="shared" ref="DI4:DI5" si="216">DH4*(1+$F4)^(1/12)</f>
        <v>0</v>
      </c>
      <c r="DJ4" s="14">
        <f t="shared" ref="DJ4:DJ5" si="217">DI4*(1+$F4)^(1/12)</f>
        <v>0</v>
      </c>
      <c r="DK4" s="14">
        <f t="shared" ref="DK4:DK5" si="218">DJ4*(1+$F4)^(1/12)</f>
        <v>0</v>
      </c>
      <c r="DL4" s="14">
        <f t="shared" ref="DL4:DL5" si="219">DK4*(1+$F4)^(1/12)</f>
        <v>0</v>
      </c>
      <c r="DM4" s="14">
        <f t="shared" ref="DM4:DM5" si="220">DL4*(1+$F4)^(1/12)</f>
        <v>0</v>
      </c>
      <c r="DN4" s="14">
        <f t="shared" ref="DN4:DN5" si="221">DM4*(1+$F4)^(1/12)</f>
        <v>0</v>
      </c>
      <c r="DO4" s="14">
        <f t="shared" ref="DO4:DO5" si="222">DN4*(1+$F4)^(1/12)</f>
        <v>0</v>
      </c>
      <c r="DP4" s="14">
        <f t="shared" ref="DP4:DP5" si="223">DO4*(1+$F4)^(1/12)</f>
        <v>0</v>
      </c>
      <c r="DQ4" s="14">
        <f t="shared" ref="DQ4:DQ5" si="224">DP4*(1+$F4)^(1/12)</f>
        <v>0</v>
      </c>
      <c r="DR4" s="14">
        <f t="shared" ref="DR4:DR5" si="225">DQ4*(1+$F4)^(1/12)</f>
        <v>0</v>
      </c>
      <c r="DS4" s="14">
        <f t="shared" ref="DS4:DS5" si="226">DR4*(1+$F4)^(1/12)</f>
        <v>0</v>
      </c>
      <c r="DT4" s="14">
        <f t="shared" ref="DT4:DT5" si="227">DS4*(1+$F4)^(1/12)</f>
        <v>0</v>
      </c>
      <c r="DU4" s="14">
        <f t="shared" ref="DU4:DU5" si="228">DT4*(1+$F4)^(1/12)</f>
        <v>0</v>
      </c>
      <c r="DV4" s="14">
        <f t="shared" ref="DV4:DV5" si="229">DU4*(1+$F4)^(1/12)</f>
        <v>0</v>
      </c>
      <c r="DW4" s="14">
        <f t="shared" ref="DW4:DW5" si="230">DV4*(1+$F4)^(1/12)</f>
        <v>0</v>
      </c>
      <c r="DX4" s="14">
        <f t="shared" ref="DX4:DX5" si="231">DW4*(1+$F4)^(1/12)</f>
        <v>0</v>
      </c>
      <c r="DY4" s="14">
        <f t="shared" ref="DY4:DY5" si="232">DX4*(1+$F4)^(1/12)</f>
        <v>0</v>
      </c>
      <c r="DZ4" s="14">
        <f t="shared" ref="DZ4:DZ5" si="233">DY4*(1+$F4)^(1/12)</f>
        <v>0</v>
      </c>
      <c r="EA4" s="14">
        <f t="shared" ref="EA4:EA5" si="234">DZ4*(1+$F4)^(1/12)</f>
        <v>0</v>
      </c>
      <c r="EB4" s="14">
        <f t="shared" ref="EB4:EB5" si="235">EA4*(1+$F4)^(1/12)</f>
        <v>0</v>
      </c>
      <c r="EC4" s="14">
        <f t="shared" ref="EC4:EC5" si="236">EB4*(1+$F4)^(1/12)</f>
        <v>0</v>
      </c>
      <c r="ED4" s="14">
        <f t="shared" ref="ED4:ED5" si="237">EC4*(1+$F4)^(1/12)</f>
        <v>0</v>
      </c>
      <c r="EE4" s="14">
        <f t="shared" ref="EE4:EE5" si="238">ED4*(1+$F4)^(1/12)</f>
        <v>0</v>
      </c>
      <c r="EF4" s="14">
        <f t="shared" ref="EF4:EF5" si="239">EE4*(1+$F4)^(1/12)</f>
        <v>0</v>
      </c>
      <c r="EG4" s="14">
        <f t="shared" ref="EG4:EG5" si="240">EF4*(1+$F4)^(1/12)</f>
        <v>0</v>
      </c>
      <c r="EH4" s="14">
        <f t="shared" ref="EH4:EH5" si="241">EG4*(1+$F4)^(1/12)</f>
        <v>0</v>
      </c>
      <c r="EI4" s="14">
        <f t="shared" ref="EI4:EI5" si="242">EH4*(1+$F4)^(1/12)</f>
        <v>0</v>
      </c>
      <c r="EJ4" s="14">
        <f t="shared" ref="EJ4:EJ5" si="243">EI4*(1+$F4)^(1/12)</f>
        <v>0</v>
      </c>
      <c r="EK4" s="14">
        <f t="shared" ref="EK4:EK5" si="244">EJ4*(1+$F4)^(1/12)</f>
        <v>0</v>
      </c>
      <c r="EL4" s="14">
        <f t="shared" ref="EL4:EL5" si="245">EK4*(1+$F4)^(1/12)</f>
        <v>0</v>
      </c>
      <c r="EM4" s="14"/>
      <c r="EN4" s="14"/>
      <c r="EO4" s="14"/>
      <c r="EP4" s="14"/>
      <c r="EQ4" s="14"/>
      <c r="ER4" s="14"/>
      <c r="ES4" s="14"/>
      <c r="ET4" s="14"/>
      <c r="EU4" s="14"/>
      <c r="EV4" s="14"/>
      <c r="EW4" s="14"/>
      <c r="EX4" s="14"/>
      <c r="EY4" s="14"/>
      <c r="EZ4" s="14"/>
      <c r="FA4" s="14"/>
      <c r="FB4" s="14"/>
      <c r="FC4" s="14"/>
      <c r="FD4" s="14"/>
      <c r="FE4" s="14"/>
      <c r="FF4" s="14"/>
      <c r="FG4" s="14"/>
      <c r="FH4" s="14"/>
      <c r="FI4" s="14"/>
      <c r="FJ4" s="14"/>
      <c r="FK4" s="14"/>
      <c r="FL4" s="14"/>
      <c r="FM4" s="14"/>
      <c r="FN4" s="14"/>
      <c r="FO4" s="14"/>
      <c r="FP4" s="14"/>
      <c r="FQ4" s="14"/>
      <c r="FR4" s="14"/>
      <c r="FS4" s="14"/>
      <c r="FT4" s="14"/>
      <c r="FU4" s="14"/>
      <c r="FV4" s="14"/>
      <c r="FW4" s="14"/>
      <c r="FX4" s="14"/>
      <c r="FY4" s="14"/>
      <c r="FZ4" s="14"/>
      <c r="GA4" s="14"/>
      <c r="GB4" s="14"/>
      <c r="GC4" s="14"/>
      <c r="GD4" s="14"/>
      <c r="GE4" s="14"/>
      <c r="GF4" s="14"/>
      <c r="GG4" s="14"/>
      <c r="GH4" s="14"/>
      <c r="GI4" s="14"/>
      <c r="GJ4" s="14"/>
      <c r="GK4" s="14"/>
      <c r="GL4" s="14"/>
      <c r="GM4" s="14"/>
      <c r="GN4" s="14"/>
      <c r="GO4" s="14"/>
      <c r="GP4" s="14"/>
      <c r="GQ4" s="14"/>
      <c r="GR4" s="14"/>
      <c r="GS4" s="14">
        <f t="shared" ref="GS4:GS5" si="246">EL4*(1+$F4)^(1/12)</f>
        <v>0</v>
      </c>
      <c r="HV4"/>
    </row>
    <row r="5" spans="2:231" ht="15" hidden="1" outlineLevel="1">
      <c r="F5" s="98"/>
      <c r="I5" s="97"/>
      <c r="K5" s="99">
        <v>1</v>
      </c>
      <c r="L5" s="14">
        <f t="shared" si="187"/>
        <v>1</v>
      </c>
      <c r="M5" s="14">
        <f t="shared" si="187"/>
        <v>1</v>
      </c>
      <c r="N5" s="14">
        <f t="shared" si="187"/>
        <v>1</v>
      </c>
      <c r="O5" s="14">
        <f t="shared" si="187"/>
        <v>1</v>
      </c>
      <c r="P5" s="14">
        <f t="shared" si="187"/>
        <v>1</v>
      </c>
      <c r="Q5" s="14">
        <f t="shared" si="187"/>
        <v>1</v>
      </c>
      <c r="R5" s="14">
        <f t="shared" si="187"/>
        <v>1</v>
      </c>
      <c r="S5" s="14">
        <f t="shared" si="187"/>
        <v>1</v>
      </c>
      <c r="T5" s="14">
        <f t="shared" si="187"/>
        <v>1</v>
      </c>
      <c r="U5" s="14">
        <f t="shared" si="187"/>
        <v>1</v>
      </c>
      <c r="V5" s="14">
        <f t="shared" si="187"/>
        <v>1</v>
      </c>
      <c r="W5" s="14">
        <f t="shared" si="187"/>
        <v>1</v>
      </c>
      <c r="X5" s="14">
        <f t="shared" si="187"/>
        <v>1</v>
      </c>
      <c r="Y5" s="14">
        <f t="shared" si="187"/>
        <v>1</v>
      </c>
      <c r="Z5" s="14">
        <f t="shared" si="187"/>
        <v>1</v>
      </c>
      <c r="AA5" s="14">
        <f t="shared" si="187"/>
        <v>1</v>
      </c>
      <c r="AB5" s="14">
        <f t="shared" si="187"/>
        <v>1</v>
      </c>
      <c r="AC5" s="14">
        <f t="shared" si="187"/>
        <v>1</v>
      </c>
      <c r="AD5" s="14">
        <f t="shared" si="187"/>
        <v>1</v>
      </c>
      <c r="AE5" s="14">
        <f t="shared" si="187"/>
        <v>1</v>
      </c>
      <c r="AF5" s="14">
        <f t="shared" si="187"/>
        <v>1</v>
      </c>
      <c r="AG5" s="14">
        <f t="shared" si="187"/>
        <v>1</v>
      </c>
      <c r="AH5" s="14">
        <f t="shared" si="187"/>
        <v>1</v>
      </c>
      <c r="AI5" s="14">
        <f t="shared" si="187"/>
        <v>1</v>
      </c>
      <c r="AJ5" s="14">
        <f t="shared" si="187"/>
        <v>1</v>
      </c>
      <c r="AK5" s="14">
        <f t="shared" si="187"/>
        <v>1</v>
      </c>
      <c r="AL5" s="14">
        <f t="shared" si="187"/>
        <v>1</v>
      </c>
      <c r="AM5" s="14">
        <f t="shared" si="187"/>
        <v>1</v>
      </c>
      <c r="AN5" s="14">
        <f t="shared" si="187"/>
        <v>1</v>
      </c>
      <c r="AO5" s="14">
        <f t="shared" si="187"/>
        <v>1</v>
      </c>
      <c r="AP5" s="14">
        <f t="shared" si="187"/>
        <v>1</v>
      </c>
      <c r="AQ5" s="14">
        <f t="shared" si="187"/>
        <v>1</v>
      </c>
      <c r="AR5" s="14">
        <f t="shared" si="187"/>
        <v>1</v>
      </c>
      <c r="AS5" s="14">
        <f t="shared" si="187"/>
        <v>1</v>
      </c>
      <c r="AT5" s="14">
        <f t="shared" si="187"/>
        <v>1</v>
      </c>
      <c r="AU5" s="14">
        <f t="shared" si="187"/>
        <v>1</v>
      </c>
      <c r="AV5" s="14">
        <f t="shared" si="187"/>
        <v>1</v>
      </c>
      <c r="AW5" s="14">
        <f t="shared" si="187"/>
        <v>1</v>
      </c>
      <c r="AX5" s="14">
        <f t="shared" si="187"/>
        <v>1</v>
      </c>
      <c r="AY5" s="14">
        <f t="shared" si="187"/>
        <v>1</v>
      </c>
      <c r="AZ5" s="14">
        <f t="shared" si="187"/>
        <v>1</v>
      </c>
      <c r="BA5" s="14">
        <f t="shared" si="187"/>
        <v>1</v>
      </c>
      <c r="BB5" s="14">
        <f t="shared" si="187"/>
        <v>1</v>
      </c>
      <c r="BC5" s="14">
        <f t="shared" si="187"/>
        <v>1</v>
      </c>
      <c r="BD5" s="14">
        <f t="shared" si="187"/>
        <v>1</v>
      </c>
      <c r="BE5" s="14">
        <f t="shared" si="187"/>
        <v>1</v>
      </c>
      <c r="BF5" s="14">
        <f t="shared" si="187"/>
        <v>1</v>
      </c>
      <c r="BG5" s="14">
        <f t="shared" si="187"/>
        <v>1</v>
      </c>
      <c r="BH5" s="14">
        <f t="shared" si="187"/>
        <v>1</v>
      </c>
      <c r="BI5" s="14">
        <f t="shared" si="187"/>
        <v>1</v>
      </c>
      <c r="BJ5" s="14">
        <f t="shared" si="187"/>
        <v>1</v>
      </c>
      <c r="BK5" s="14">
        <f t="shared" si="187"/>
        <v>1</v>
      </c>
      <c r="BL5" s="14">
        <f t="shared" si="187"/>
        <v>1</v>
      </c>
      <c r="BM5" s="14">
        <f t="shared" si="187"/>
        <v>1</v>
      </c>
      <c r="BN5" s="14">
        <f t="shared" si="187"/>
        <v>1</v>
      </c>
      <c r="BO5" s="14">
        <f t="shared" si="187"/>
        <v>1</v>
      </c>
      <c r="BP5" s="14">
        <f t="shared" si="187"/>
        <v>1</v>
      </c>
      <c r="BQ5" s="14">
        <f t="shared" si="187"/>
        <v>1</v>
      </c>
      <c r="BR5" s="14">
        <f t="shared" si="187"/>
        <v>1</v>
      </c>
      <c r="BS5" s="14">
        <f t="shared" si="187"/>
        <v>1</v>
      </c>
      <c r="BT5" s="14">
        <f t="shared" si="187"/>
        <v>1</v>
      </c>
      <c r="BU5" s="14">
        <f t="shared" si="187"/>
        <v>1</v>
      </c>
      <c r="BV5" s="14">
        <f t="shared" si="187"/>
        <v>1</v>
      </c>
      <c r="BW5" s="14">
        <f t="shared" si="187"/>
        <v>1</v>
      </c>
      <c r="BX5" s="14">
        <f t="shared" si="188"/>
        <v>1</v>
      </c>
      <c r="BY5" s="14">
        <f t="shared" si="188"/>
        <v>1</v>
      </c>
      <c r="BZ5" s="14"/>
      <c r="CA5" s="14"/>
      <c r="CB5" s="14">
        <f t="shared" si="188"/>
        <v>0</v>
      </c>
      <c r="CC5" s="14">
        <f t="shared" si="188"/>
        <v>0</v>
      </c>
      <c r="CD5" s="14">
        <f t="shared" si="188"/>
        <v>0</v>
      </c>
      <c r="CE5" s="14">
        <f t="shared" si="188"/>
        <v>0</v>
      </c>
      <c r="CF5" s="14">
        <f t="shared" si="189"/>
        <v>0</v>
      </c>
      <c r="CG5" s="14">
        <f t="shared" si="190"/>
        <v>0</v>
      </c>
      <c r="CH5" s="14">
        <f t="shared" si="191"/>
        <v>0</v>
      </c>
      <c r="CI5" s="14">
        <f t="shared" si="192"/>
        <v>0</v>
      </c>
      <c r="CJ5" s="14">
        <f t="shared" si="193"/>
        <v>0</v>
      </c>
      <c r="CK5" s="14">
        <f t="shared" si="194"/>
        <v>0</v>
      </c>
      <c r="CL5" s="14">
        <f t="shared" si="195"/>
        <v>0</v>
      </c>
      <c r="CM5" s="14">
        <f t="shared" si="196"/>
        <v>0</v>
      </c>
      <c r="CN5" s="14">
        <f t="shared" si="197"/>
        <v>0</v>
      </c>
      <c r="CO5" s="14">
        <f t="shared" si="198"/>
        <v>0</v>
      </c>
      <c r="CP5" s="14">
        <f t="shared" si="199"/>
        <v>0</v>
      </c>
      <c r="CQ5" s="14">
        <f t="shared" si="200"/>
        <v>0</v>
      </c>
      <c r="CR5" s="14">
        <f t="shared" si="201"/>
        <v>0</v>
      </c>
      <c r="CS5" s="14"/>
      <c r="CT5" s="14"/>
      <c r="CU5" s="14">
        <f t="shared" si="202"/>
        <v>0</v>
      </c>
      <c r="CV5" s="14">
        <f t="shared" si="203"/>
        <v>0</v>
      </c>
      <c r="CW5" s="14">
        <f t="shared" si="204"/>
        <v>0</v>
      </c>
      <c r="CX5" s="14">
        <f t="shared" si="205"/>
        <v>0</v>
      </c>
      <c r="CY5" s="14">
        <f t="shared" si="206"/>
        <v>0</v>
      </c>
      <c r="CZ5" s="14">
        <f t="shared" si="207"/>
        <v>0</v>
      </c>
      <c r="DA5" s="14">
        <f t="shared" si="208"/>
        <v>0</v>
      </c>
      <c r="DB5" s="14">
        <f t="shared" si="209"/>
        <v>0</v>
      </c>
      <c r="DC5" s="14">
        <f t="shared" si="210"/>
        <v>0</v>
      </c>
      <c r="DD5" s="14">
        <f t="shared" si="211"/>
        <v>0</v>
      </c>
      <c r="DE5" s="14">
        <f t="shared" si="212"/>
        <v>0</v>
      </c>
      <c r="DF5" s="14">
        <f t="shared" si="213"/>
        <v>0</v>
      </c>
      <c r="DG5" s="14">
        <f t="shared" si="214"/>
        <v>0</v>
      </c>
      <c r="DH5" s="14">
        <f t="shared" si="215"/>
        <v>0</v>
      </c>
      <c r="DI5" s="14">
        <f t="shared" si="216"/>
        <v>0</v>
      </c>
      <c r="DJ5" s="14">
        <f t="shared" si="217"/>
        <v>0</v>
      </c>
      <c r="DK5" s="14">
        <f t="shared" si="218"/>
        <v>0</v>
      </c>
      <c r="DL5" s="14">
        <f t="shared" si="219"/>
        <v>0</v>
      </c>
      <c r="DM5" s="14">
        <f t="shared" si="220"/>
        <v>0</v>
      </c>
      <c r="DN5" s="14">
        <f t="shared" si="221"/>
        <v>0</v>
      </c>
      <c r="DO5" s="14">
        <f t="shared" si="222"/>
        <v>0</v>
      </c>
      <c r="DP5" s="14">
        <f t="shared" si="223"/>
        <v>0</v>
      </c>
      <c r="DQ5" s="14">
        <f t="shared" si="224"/>
        <v>0</v>
      </c>
      <c r="DR5" s="14">
        <f t="shared" si="225"/>
        <v>0</v>
      </c>
      <c r="DS5" s="14">
        <f t="shared" si="226"/>
        <v>0</v>
      </c>
      <c r="DT5" s="14">
        <f t="shared" si="227"/>
        <v>0</v>
      </c>
      <c r="DU5" s="14">
        <f t="shared" si="228"/>
        <v>0</v>
      </c>
      <c r="DV5" s="14">
        <f t="shared" si="229"/>
        <v>0</v>
      </c>
      <c r="DW5" s="14">
        <f t="shared" si="230"/>
        <v>0</v>
      </c>
      <c r="DX5" s="14">
        <f t="shared" si="231"/>
        <v>0</v>
      </c>
      <c r="DY5" s="14">
        <f t="shared" si="232"/>
        <v>0</v>
      </c>
      <c r="DZ5" s="14">
        <f t="shared" si="233"/>
        <v>0</v>
      </c>
      <c r="EA5" s="14">
        <f t="shared" si="234"/>
        <v>0</v>
      </c>
      <c r="EB5" s="14">
        <f t="shared" si="235"/>
        <v>0</v>
      </c>
      <c r="EC5" s="14">
        <f t="shared" si="236"/>
        <v>0</v>
      </c>
      <c r="ED5" s="14">
        <f t="shared" si="237"/>
        <v>0</v>
      </c>
      <c r="EE5" s="14">
        <f t="shared" si="238"/>
        <v>0</v>
      </c>
      <c r="EF5" s="14">
        <f t="shared" si="239"/>
        <v>0</v>
      </c>
      <c r="EG5" s="14">
        <f t="shared" si="240"/>
        <v>0</v>
      </c>
      <c r="EH5" s="14">
        <f t="shared" si="241"/>
        <v>0</v>
      </c>
      <c r="EI5" s="14">
        <f t="shared" si="242"/>
        <v>0</v>
      </c>
      <c r="EJ5" s="14">
        <f t="shared" si="243"/>
        <v>0</v>
      </c>
      <c r="EK5" s="14">
        <f t="shared" si="244"/>
        <v>0</v>
      </c>
      <c r="EL5" s="14">
        <f t="shared" si="245"/>
        <v>0</v>
      </c>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f t="shared" si="246"/>
        <v>0</v>
      </c>
      <c r="HV5"/>
    </row>
    <row r="6" spans="2:231" ht="15" hidden="1" outlineLevel="1">
      <c r="F6" s="98"/>
      <c r="I6" s="97"/>
      <c r="K6" s="99">
        <v>1</v>
      </c>
      <c r="L6" s="14">
        <f t="shared" ref="L6:BW6" si="247">$K6*(1+$F6)^(L$13/12)</f>
        <v>1</v>
      </c>
      <c r="M6" s="14">
        <f t="shared" si="247"/>
        <v>1</v>
      </c>
      <c r="N6" s="14">
        <f t="shared" si="247"/>
        <v>1</v>
      </c>
      <c r="O6" s="14">
        <f t="shared" si="247"/>
        <v>1</v>
      </c>
      <c r="P6" s="14">
        <f t="shared" si="247"/>
        <v>1</v>
      </c>
      <c r="Q6" s="14">
        <f t="shared" si="247"/>
        <v>1</v>
      </c>
      <c r="R6" s="14">
        <f t="shared" si="247"/>
        <v>1</v>
      </c>
      <c r="S6" s="14">
        <f t="shared" si="247"/>
        <v>1</v>
      </c>
      <c r="T6" s="14">
        <f t="shared" si="247"/>
        <v>1</v>
      </c>
      <c r="U6" s="14">
        <f t="shared" si="247"/>
        <v>1</v>
      </c>
      <c r="V6" s="14">
        <f t="shared" si="247"/>
        <v>1</v>
      </c>
      <c r="W6" s="14">
        <f t="shared" si="247"/>
        <v>1</v>
      </c>
      <c r="X6" s="14">
        <f t="shared" si="247"/>
        <v>1</v>
      </c>
      <c r="Y6" s="14">
        <f t="shared" si="247"/>
        <v>1</v>
      </c>
      <c r="Z6" s="14">
        <f t="shared" si="247"/>
        <v>1</v>
      </c>
      <c r="AA6" s="14">
        <f t="shared" si="247"/>
        <v>1</v>
      </c>
      <c r="AB6" s="14">
        <f t="shared" si="247"/>
        <v>1</v>
      </c>
      <c r="AC6" s="14">
        <f t="shared" si="247"/>
        <v>1</v>
      </c>
      <c r="AD6" s="14">
        <f t="shared" si="247"/>
        <v>1</v>
      </c>
      <c r="AE6" s="14">
        <f t="shared" si="247"/>
        <v>1</v>
      </c>
      <c r="AF6" s="14">
        <f t="shared" si="247"/>
        <v>1</v>
      </c>
      <c r="AG6" s="14">
        <f t="shared" si="247"/>
        <v>1</v>
      </c>
      <c r="AH6" s="14">
        <f t="shared" si="247"/>
        <v>1</v>
      </c>
      <c r="AI6" s="14">
        <f t="shared" si="247"/>
        <v>1</v>
      </c>
      <c r="AJ6" s="14">
        <f t="shared" si="247"/>
        <v>1</v>
      </c>
      <c r="AK6" s="14">
        <f t="shared" si="247"/>
        <v>1</v>
      </c>
      <c r="AL6" s="14">
        <f t="shared" si="247"/>
        <v>1</v>
      </c>
      <c r="AM6" s="14">
        <f t="shared" si="247"/>
        <v>1</v>
      </c>
      <c r="AN6" s="14">
        <f t="shared" si="247"/>
        <v>1</v>
      </c>
      <c r="AO6" s="14">
        <f t="shared" si="247"/>
        <v>1</v>
      </c>
      <c r="AP6" s="14">
        <f t="shared" si="247"/>
        <v>1</v>
      </c>
      <c r="AQ6" s="14">
        <f t="shared" si="247"/>
        <v>1</v>
      </c>
      <c r="AR6" s="14">
        <f t="shared" si="247"/>
        <v>1</v>
      </c>
      <c r="AS6" s="14">
        <f t="shared" si="247"/>
        <v>1</v>
      </c>
      <c r="AT6" s="14">
        <f t="shared" si="247"/>
        <v>1</v>
      </c>
      <c r="AU6" s="14">
        <f t="shared" si="247"/>
        <v>1</v>
      </c>
      <c r="AV6" s="14">
        <f t="shared" si="247"/>
        <v>1</v>
      </c>
      <c r="AW6" s="14">
        <f t="shared" si="247"/>
        <v>1</v>
      </c>
      <c r="AX6" s="14">
        <f t="shared" si="247"/>
        <v>1</v>
      </c>
      <c r="AY6" s="14">
        <f t="shared" si="247"/>
        <v>1</v>
      </c>
      <c r="AZ6" s="14">
        <f t="shared" si="247"/>
        <v>1</v>
      </c>
      <c r="BA6" s="14">
        <f t="shared" si="247"/>
        <v>1</v>
      </c>
      <c r="BB6" s="14">
        <f t="shared" si="247"/>
        <v>1</v>
      </c>
      <c r="BC6" s="14">
        <f t="shared" si="247"/>
        <v>1</v>
      </c>
      <c r="BD6" s="14">
        <f t="shared" si="247"/>
        <v>1</v>
      </c>
      <c r="BE6" s="14">
        <f t="shared" si="247"/>
        <v>1</v>
      </c>
      <c r="BF6" s="14">
        <f t="shared" si="247"/>
        <v>1</v>
      </c>
      <c r="BG6" s="14">
        <f t="shared" si="247"/>
        <v>1</v>
      </c>
      <c r="BH6" s="14">
        <f t="shared" si="247"/>
        <v>1</v>
      </c>
      <c r="BI6" s="14">
        <f t="shared" si="247"/>
        <v>1</v>
      </c>
      <c r="BJ6" s="14">
        <f t="shared" si="247"/>
        <v>1</v>
      </c>
      <c r="BK6" s="14">
        <f t="shared" si="247"/>
        <v>1</v>
      </c>
      <c r="BL6" s="14">
        <f t="shared" si="247"/>
        <v>1</v>
      </c>
      <c r="BM6" s="14">
        <f t="shared" si="247"/>
        <v>1</v>
      </c>
      <c r="BN6" s="14">
        <f t="shared" si="247"/>
        <v>1</v>
      </c>
      <c r="BO6" s="14">
        <f t="shared" si="247"/>
        <v>1</v>
      </c>
      <c r="BP6" s="14">
        <f t="shared" si="247"/>
        <v>1</v>
      </c>
      <c r="BQ6" s="14">
        <f t="shared" si="247"/>
        <v>1</v>
      </c>
      <c r="BR6" s="14">
        <f t="shared" si="247"/>
        <v>1</v>
      </c>
      <c r="BS6" s="14">
        <f t="shared" si="247"/>
        <v>1</v>
      </c>
      <c r="BT6" s="14">
        <f t="shared" si="247"/>
        <v>1</v>
      </c>
      <c r="BU6" s="14">
        <f t="shared" si="247"/>
        <v>1</v>
      </c>
      <c r="BV6" s="14">
        <f t="shared" si="247"/>
        <v>1</v>
      </c>
      <c r="BW6" s="14">
        <f t="shared" si="247"/>
        <v>1</v>
      </c>
      <c r="BX6" s="14">
        <f t="shared" ref="BX6:EL6" si="248">$K6*(1+$F6)^(BX$13/12)</f>
        <v>1</v>
      </c>
      <c r="BY6" s="14">
        <f t="shared" si="248"/>
        <v>1</v>
      </c>
      <c r="BZ6" s="14"/>
      <c r="CA6" s="14"/>
      <c r="CB6" s="14">
        <f t="shared" si="248"/>
        <v>1</v>
      </c>
      <c r="CC6" s="14">
        <f t="shared" si="248"/>
        <v>1</v>
      </c>
      <c r="CD6" s="14">
        <f t="shared" si="248"/>
        <v>1</v>
      </c>
      <c r="CE6" s="14">
        <f t="shared" si="248"/>
        <v>1</v>
      </c>
      <c r="CF6" s="14">
        <f t="shared" si="248"/>
        <v>1</v>
      </c>
      <c r="CG6" s="14">
        <f t="shared" si="248"/>
        <v>1</v>
      </c>
      <c r="CH6" s="14">
        <f t="shared" si="248"/>
        <v>1</v>
      </c>
      <c r="CI6" s="14">
        <f t="shared" si="248"/>
        <v>1</v>
      </c>
      <c r="CJ6" s="14">
        <f t="shared" si="248"/>
        <v>1</v>
      </c>
      <c r="CK6" s="14">
        <f t="shared" si="248"/>
        <v>1</v>
      </c>
      <c r="CL6" s="14">
        <f t="shared" si="248"/>
        <v>1</v>
      </c>
      <c r="CM6" s="14">
        <f t="shared" si="248"/>
        <v>1</v>
      </c>
      <c r="CN6" s="14">
        <f t="shared" si="248"/>
        <v>1</v>
      </c>
      <c r="CO6" s="14">
        <f t="shared" si="248"/>
        <v>1</v>
      </c>
      <c r="CP6" s="14">
        <f t="shared" si="248"/>
        <v>1</v>
      </c>
      <c r="CQ6" s="14">
        <f t="shared" si="248"/>
        <v>1</v>
      </c>
      <c r="CR6" s="14">
        <f t="shared" si="248"/>
        <v>1</v>
      </c>
      <c r="CS6" s="14"/>
      <c r="CT6" s="14"/>
      <c r="CU6" s="14">
        <f t="shared" si="248"/>
        <v>1</v>
      </c>
      <c r="CV6" s="14">
        <f t="shared" si="248"/>
        <v>1</v>
      </c>
      <c r="CW6" s="14">
        <f t="shared" si="248"/>
        <v>1</v>
      </c>
      <c r="CX6" s="14">
        <f t="shared" si="248"/>
        <v>1</v>
      </c>
      <c r="CY6" s="14">
        <f t="shared" si="248"/>
        <v>1</v>
      </c>
      <c r="CZ6" s="14">
        <f t="shared" si="248"/>
        <v>1</v>
      </c>
      <c r="DA6" s="14">
        <f t="shared" si="248"/>
        <v>1</v>
      </c>
      <c r="DB6" s="14">
        <f t="shared" si="248"/>
        <v>1</v>
      </c>
      <c r="DC6" s="14">
        <f t="shared" si="248"/>
        <v>1</v>
      </c>
      <c r="DD6" s="14">
        <f t="shared" si="248"/>
        <v>1</v>
      </c>
      <c r="DE6" s="14">
        <f t="shared" si="248"/>
        <v>1</v>
      </c>
      <c r="DF6" s="14">
        <f t="shared" si="248"/>
        <v>1</v>
      </c>
      <c r="DG6" s="14">
        <f t="shared" si="248"/>
        <v>1</v>
      </c>
      <c r="DH6" s="14">
        <f t="shared" si="248"/>
        <v>1</v>
      </c>
      <c r="DI6" s="14">
        <f t="shared" si="248"/>
        <v>1</v>
      </c>
      <c r="DJ6" s="14">
        <f t="shared" si="248"/>
        <v>1</v>
      </c>
      <c r="DK6" s="14">
        <f t="shared" si="248"/>
        <v>1</v>
      </c>
      <c r="DL6" s="14">
        <f t="shared" si="248"/>
        <v>1</v>
      </c>
      <c r="DM6" s="14">
        <f t="shared" si="248"/>
        <v>1</v>
      </c>
      <c r="DN6" s="14">
        <f t="shared" si="248"/>
        <v>1</v>
      </c>
      <c r="DO6" s="14">
        <f t="shared" si="248"/>
        <v>1</v>
      </c>
      <c r="DP6" s="14">
        <f t="shared" si="248"/>
        <v>1</v>
      </c>
      <c r="DQ6" s="14">
        <f t="shared" si="248"/>
        <v>1</v>
      </c>
      <c r="DR6" s="14">
        <f t="shared" si="248"/>
        <v>1</v>
      </c>
      <c r="DS6" s="14">
        <f t="shared" si="248"/>
        <v>1</v>
      </c>
      <c r="DT6" s="14">
        <f t="shared" si="248"/>
        <v>1</v>
      </c>
      <c r="DU6" s="14">
        <f t="shared" si="248"/>
        <v>1</v>
      </c>
      <c r="DV6" s="14">
        <f t="shared" si="248"/>
        <v>1</v>
      </c>
      <c r="DW6" s="14">
        <f t="shared" si="248"/>
        <v>1</v>
      </c>
      <c r="DX6" s="14">
        <f t="shared" si="248"/>
        <v>1</v>
      </c>
      <c r="DY6" s="14">
        <f t="shared" si="248"/>
        <v>1</v>
      </c>
      <c r="DZ6" s="14">
        <f t="shared" si="248"/>
        <v>1</v>
      </c>
      <c r="EA6" s="14">
        <f t="shared" si="248"/>
        <v>1</v>
      </c>
      <c r="EB6" s="14">
        <f t="shared" si="248"/>
        <v>1</v>
      </c>
      <c r="EC6" s="14">
        <f t="shared" si="248"/>
        <v>1</v>
      </c>
      <c r="ED6" s="14">
        <f t="shared" si="248"/>
        <v>1</v>
      </c>
      <c r="EE6" s="14">
        <f t="shared" si="248"/>
        <v>1</v>
      </c>
      <c r="EF6" s="14">
        <f t="shared" si="248"/>
        <v>1</v>
      </c>
      <c r="EG6" s="14">
        <f t="shared" si="248"/>
        <v>1</v>
      </c>
      <c r="EH6" s="14">
        <f t="shared" si="248"/>
        <v>1</v>
      </c>
      <c r="EI6" s="14">
        <f t="shared" si="248"/>
        <v>1</v>
      </c>
      <c r="EJ6" s="14">
        <f t="shared" si="248"/>
        <v>1</v>
      </c>
      <c r="EK6" s="14">
        <f t="shared" si="248"/>
        <v>1</v>
      </c>
      <c r="EL6" s="14">
        <f t="shared" si="248"/>
        <v>1</v>
      </c>
      <c r="EM6" s="14"/>
      <c r="EN6" s="14"/>
      <c r="EO6" s="14"/>
      <c r="EP6" s="14"/>
      <c r="EQ6" s="14"/>
      <c r="ER6" s="14"/>
      <c r="ES6" s="14"/>
      <c r="ET6" s="14"/>
      <c r="EU6" s="14"/>
      <c r="EV6" s="14"/>
      <c r="EW6" s="14"/>
      <c r="EX6" s="14"/>
      <c r="EY6" s="14"/>
      <c r="EZ6" s="14"/>
      <c r="FA6" s="14"/>
      <c r="FB6" s="14"/>
      <c r="FC6" s="14"/>
      <c r="FD6" s="14"/>
      <c r="FE6" s="14"/>
      <c r="FF6" s="14"/>
      <c r="FG6" s="14"/>
      <c r="FH6" s="14"/>
      <c r="FI6" s="14"/>
      <c r="FJ6" s="14"/>
      <c r="FK6" s="14"/>
      <c r="FL6" s="14"/>
      <c r="FM6" s="14"/>
      <c r="FN6" s="14"/>
      <c r="FO6" s="14"/>
      <c r="FP6" s="14"/>
      <c r="FQ6" s="14"/>
      <c r="FR6" s="14"/>
      <c r="FS6" s="14"/>
      <c r="FT6" s="14"/>
      <c r="FU6" s="14"/>
      <c r="FV6" s="14"/>
      <c r="FW6" s="14"/>
      <c r="FX6" s="14"/>
      <c r="FY6" s="14"/>
      <c r="FZ6" s="14"/>
      <c r="GA6" s="14"/>
      <c r="GB6" s="14"/>
      <c r="GC6" s="14"/>
      <c r="GD6" s="14"/>
      <c r="GE6" s="14"/>
      <c r="GF6" s="14"/>
      <c r="GG6" s="14"/>
      <c r="GH6" s="14"/>
      <c r="GI6" s="14"/>
      <c r="GJ6" s="14"/>
      <c r="GK6" s="14"/>
      <c r="GL6" s="14"/>
      <c r="GM6" s="14"/>
      <c r="GN6" s="14"/>
      <c r="GO6" s="14"/>
      <c r="GP6" s="14"/>
      <c r="GQ6" s="14"/>
      <c r="GR6" s="14"/>
      <c r="GS6" s="14">
        <f>$K6*(1+$F6)^(GT$13/12)</f>
        <v>1</v>
      </c>
      <c r="HV6"/>
    </row>
    <row r="7" spans="2:231" ht="15" hidden="1" outlineLevel="1">
      <c r="B7" s="1" t="s">
        <v>92</v>
      </c>
      <c r="I7" s="97"/>
      <c r="K7" s="100">
        <f>IFERROR(INDEX(LIBOR!$M$3:$M$122,MATCH('Monthly Cash Flow'!K$15,LIBOR!$N$3:$N$122,0)),J7)</f>
        <v>0</v>
      </c>
      <c r="L7" s="101">
        <f>IFERROR(INDEX(LIBOR!$M$3:$M$122,MATCH('Monthly Cash Flow'!L$15,LIBOR!$N$3:$N$122,0)),K7)</f>
        <v>0</v>
      </c>
      <c r="M7" s="25">
        <f>IFERROR(INDEX(LIBOR!$M$3:$M$122,MATCH('Monthly Cash Flow'!M$15,LIBOR!$N$3:$N$122,0)),L7)</f>
        <v>0</v>
      </c>
      <c r="N7" s="25">
        <f>IFERROR(INDEX(LIBOR!$M$3:$M$122,MATCH('Monthly Cash Flow'!N$15,LIBOR!$N$3:$N$122,0)),M7)</f>
        <v>0</v>
      </c>
      <c r="O7" s="25">
        <f>IFERROR(INDEX(LIBOR!$M$3:$M$122,MATCH('Monthly Cash Flow'!O$15,LIBOR!$N$3:$N$122,0)),N7)</f>
        <v>0</v>
      </c>
      <c r="P7" s="25">
        <f>IFERROR(INDEX(LIBOR!$M$3:$M$122,MATCH('Monthly Cash Flow'!P$15,LIBOR!$N$3:$N$122,0)),O7)</f>
        <v>0</v>
      </c>
      <c r="Q7" s="25">
        <f>IFERROR(INDEX(LIBOR!$M$3:$M$122,MATCH('Monthly Cash Flow'!Q$15,LIBOR!$N$3:$N$122,0)),P7)</f>
        <v>0</v>
      </c>
      <c r="R7" s="25">
        <f>IFERROR(INDEX(LIBOR!$M$3:$M$122,MATCH('Monthly Cash Flow'!R$15,LIBOR!$N$3:$N$122,0)),Q7)</f>
        <v>0</v>
      </c>
      <c r="S7" s="25">
        <f>IFERROR(INDEX(LIBOR!$M$3:$M$122,MATCH('Monthly Cash Flow'!S$15,LIBOR!$N$3:$N$122,0)),R7)</f>
        <v>0</v>
      </c>
      <c r="T7" s="25">
        <f>IFERROR(INDEX(LIBOR!$M$3:$M$122,MATCH('Monthly Cash Flow'!T$15,LIBOR!$N$3:$N$122,0)),S7)</f>
        <v>0</v>
      </c>
      <c r="U7" s="25">
        <f>IFERROR(INDEX(LIBOR!$M$3:$M$122,MATCH('Monthly Cash Flow'!U$15,LIBOR!$N$3:$N$122,0)),T7)</f>
        <v>0</v>
      </c>
      <c r="V7" s="25">
        <f>IFERROR(INDEX(LIBOR!$M$3:$M$122,MATCH('Monthly Cash Flow'!V$15,LIBOR!$N$3:$N$122,0)),U7)</f>
        <v>0</v>
      </c>
      <c r="W7" s="25">
        <f>IFERROR(INDEX(LIBOR!$M$3:$M$122,MATCH('Monthly Cash Flow'!W$15,LIBOR!$N$3:$N$122,0)),V7)</f>
        <v>0</v>
      </c>
      <c r="X7" s="25">
        <f>IFERROR(INDEX(LIBOR!$M$3:$M$122,MATCH('Monthly Cash Flow'!X$15,LIBOR!$N$3:$N$122,0)),W7)</f>
        <v>0</v>
      </c>
      <c r="Y7" s="25">
        <f>IFERROR(INDEX(LIBOR!$M$3:$M$122,MATCH('Monthly Cash Flow'!Y$15,LIBOR!$N$3:$N$122,0)),X7)</f>
        <v>0</v>
      </c>
      <c r="Z7" s="25">
        <f>IFERROR(INDEX(LIBOR!$M$3:$M$122,MATCH('Monthly Cash Flow'!Z$15,LIBOR!$N$3:$N$122,0)),Y7)</f>
        <v>0</v>
      </c>
      <c r="AA7" s="25">
        <f>IFERROR(INDEX(LIBOR!$M$3:$M$122,MATCH('Monthly Cash Flow'!AA$15,LIBOR!$N$3:$N$122,0)),Z7)</f>
        <v>0</v>
      </c>
      <c r="AB7" s="25">
        <f>IFERROR(INDEX(LIBOR!$M$3:$M$122,MATCH('Monthly Cash Flow'!AB$15,LIBOR!$N$3:$N$122,0)),AA7)</f>
        <v>0</v>
      </c>
      <c r="AC7" s="25">
        <f>IFERROR(INDEX(LIBOR!$M$3:$M$122,MATCH('Monthly Cash Flow'!AC$15,LIBOR!$N$3:$N$122,0)),AB7)</f>
        <v>0</v>
      </c>
      <c r="AD7" s="25">
        <f>IFERROR(INDEX(LIBOR!$M$3:$M$122,MATCH('Monthly Cash Flow'!AD$15,LIBOR!$N$3:$N$122,0)),AC7)</f>
        <v>0</v>
      </c>
      <c r="AE7" s="25">
        <f>IFERROR(INDEX(LIBOR!$M$3:$M$122,MATCH('Monthly Cash Flow'!AE$15,LIBOR!$N$3:$N$122,0)),AD7)</f>
        <v>0</v>
      </c>
      <c r="AF7" s="25">
        <f>IFERROR(INDEX(LIBOR!$M$3:$M$122,MATCH('Monthly Cash Flow'!AF$15,LIBOR!$N$3:$N$122,0)),AE7)</f>
        <v>0</v>
      </c>
      <c r="AG7" s="25">
        <f>IFERROR(INDEX(LIBOR!$M$3:$M$122,MATCH('Monthly Cash Flow'!AG$15,LIBOR!$N$3:$N$122,0)),AF7)</f>
        <v>1.93459371509354E-2</v>
      </c>
      <c r="AH7" s="25">
        <f>IFERROR(INDEX(LIBOR!$M$3:$M$122,MATCH('Monthly Cash Flow'!AH$15,LIBOR!$N$3:$N$122,0)),AG7)</f>
        <v>2.02779018683127E-2</v>
      </c>
      <c r="AI7" s="25">
        <f>IFERROR(INDEX(LIBOR!$M$3:$M$122,MATCH('Monthly Cash Flow'!AI$15,LIBOR!$N$3:$N$122,0)),AH7)</f>
        <v>2.0878799999999999E-2</v>
      </c>
      <c r="AJ7" s="25">
        <f>IFERROR(INDEX(LIBOR!$M$3:$M$122,MATCH('Monthly Cash Flow'!AJ$15,LIBOR!$N$3:$N$122,0)),AI7)</f>
        <v>2.0964679095913302E-2</v>
      </c>
      <c r="AK7" s="25">
        <f>IFERROR(INDEX(LIBOR!$M$3:$M$122,MATCH('Monthly Cash Flow'!AK$15,LIBOR!$N$3:$N$122,0)),AJ7)</f>
        <v>2.1362736865347998E-2</v>
      </c>
      <c r="AL7" s="25">
        <f>IFERROR(INDEX(LIBOR!$M$3:$M$122,MATCH('Monthly Cash Flow'!AL$15,LIBOR!$N$3:$N$122,0)),AK7)</f>
        <v>2.2173289783933299E-2</v>
      </c>
      <c r="AM7" s="25">
        <f>IFERROR(INDEX(LIBOR!$M$3:$M$122,MATCH('Monthly Cash Flow'!AM$15,LIBOR!$N$3:$N$122,0)),AL7)</f>
        <v>2.3061997608283001E-2</v>
      </c>
      <c r="AN7" s="25">
        <f>IFERROR(INDEX(LIBOR!$M$3:$M$122,MATCH('Monthly Cash Flow'!AN$15,LIBOR!$N$3:$N$122,0)),AM7)</f>
        <v>2.3797887774857199E-2</v>
      </c>
      <c r="AO7" s="25">
        <f>IFERROR(INDEX(LIBOR!$M$3:$M$122,MATCH('Monthly Cash Flow'!AO$15,LIBOR!$N$3:$N$122,0)),AN7)</f>
        <v>2.4381140155075299E-2</v>
      </c>
      <c r="AP7" s="25">
        <f>IFERROR(INDEX(LIBOR!$M$3:$M$122,MATCH('Monthly Cash Flow'!AP$15,LIBOR!$N$3:$N$122,0)),AO7)</f>
        <v>2.49276744061948E-2</v>
      </c>
      <c r="AQ7" s="25">
        <f>IFERROR(INDEX(LIBOR!$M$3:$M$122,MATCH('Monthly Cash Flow'!AQ$15,LIBOR!$N$3:$N$122,0)),AP7)</f>
        <v>2.5399075799926299E-2</v>
      </c>
      <c r="AR7" s="25">
        <f>IFERROR(INDEX(LIBOR!$M$3:$M$122,MATCH('Monthly Cash Flow'!AR$15,LIBOR!$N$3:$N$122,0)),AQ7)</f>
        <v>2.58906754648245E-2</v>
      </c>
      <c r="AS7" s="25">
        <f>IFERROR(INDEX(LIBOR!$M$3:$M$122,MATCH('Monthly Cash Flow'!AS$15,LIBOR!$N$3:$N$122,0)),AR7)</f>
        <v>2.6352311637041301E-2</v>
      </c>
      <c r="AT7" s="25">
        <f>IFERROR(INDEX(LIBOR!$M$3:$M$122,MATCH('Monthly Cash Flow'!AT$15,LIBOR!$N$3:$N$122,0)),AS7)</f>
        <v>2.4416500000000001E-2</v>
      </c>
      <c r="AU7" s="25">
        <f>IFERROR(INDEX(LIBOR!$M$3:$M$122,MATCH('Monthly Cash Flow'!AU$15,LIBOR!$N$3:$N$122,0)),AT7)</f>
        <v>2.4323299999999999E-2</v>
      </c>
      <c r="AV7" s="25">
        <f>IFERROR(INDEX(LIBOR!$M$3:$M$122,MATCH('Monthly Cash Flow'!AV$15,LIBOR!$N$3:$N$122,0)),AU7)</f>
        <v>2.4096900000000001E-2</v>
      </c>
      <c r="AW7" s="25">
        <f>IFERROR(INDEX(LIBOR!$M$3:$M$122,MATCH('Monthly Cash Flow'!AW$15,LIBOR!$N$3:$N$122,0)),AV7)</f>
        <v>2.1452499999999999E-2</v>
      </c>
      <c r="AX7" s="25">
        <f>IFERROR(INDEX(LIBOR!$M$3:$M$122,MATCH('Monthly Cash Flow'!AX$15,LIBOR!$N$3:$N$122,0)),AW7)</f>
        <v>2.0299999999999999E-2</v>
      </c>
      <c r="AY7" s="25">
        <f>IFERROR(INDEX(LIBOR!$M$3:$M$122,MATCH('Monthly Cash Flow'!AY$15,LIBOR!$N$3:$N$122,0)),AX7)</f>
        <v>1.8200000000000001E-2</v>
      </c>
      <c r="AZ7" s="25">
        <f>IFERROR(INDEX(LIBOR!$M$3:$M$122,MATCH('Monthly Cash Flow'!AZ$15,LIBOR!$N$3:$N$122,0)),AY7)</f>
        <v>1.7000000000000001E-2</v>
      </c>
      <c r="BA7" s="25">
        <f>IFERROR(INDEX(LIBOR!$M$3:$M$122,MATCH('Monthly Cash Flow'!BA$15,LIBOR!$N$3:$N$122,0)),AZ7)</f>
        <v>1.7399999999999999E-2</v>
      </c>
      <c r="BB7" s="25">
        <f>IFERROR(INDEX(LIBOR!$M$3:$M$122,MATCH('Monthly Cash Flow'!BB$15,LIBOR!$N$3:$N$122,0)),BA7)</f>
        <v>1.7131500000000001E-2</v>
      </c>
      <c r="BC7" s="25">
        <f>IFERROR(INDEX(LIBOR!$M$3:$M$122,MATCH('Monthly Cash Flow'!BC$15,LIBOR!$N$3:$N$122,0)),BB7)</f>
        <v>1.6607299999999998E-2</v>
      </c>
      <c r="BD7" s="25">
        <f>IFERROR(INDEX(LIBOR!$M$3:$M$122,MATCH('Monthly Cash Flow'!BD$15,LIBOR!$N$3:$N$122,0)),BC7)</f>
        <v>1.50869E-2</v>
      </c>
      <c r="BE7" s="25">
        <f>IFERROR(INDEX(LIBOR!$M$3:$M$122,MATCH('Monthly Cash Flow'!BE$15,LIBOR!$N$3:$N$122,0)),BD7)</f>
        <v>8.0453E-3</v>
      </c>
      <c r="BF7" s="25">
        <f>IFERROR(INDEX(LIBOR!$M$3:$M$122,MATCH('Monthly Cash Flow'!BF$15,LIBOR!$N$3:$N$122,0)),BE7)</f>
        <v>3.0087999999999998E-3</v>
      </c>
      <c r="BG7" s="25">
        <f>IFERROR(INDEX(LIBOR!$M$3:$M$122,MATCH('Monthly Cash Flow'!BG$15,LIBOR!$N$3:$N$122,0)),BF7)</f>
        <v>1.8273E-3</v>
      </c>
      <c r="BH7" s="25">
        <f>IFERROR(INDEX(LIBOR!$M$3:$M$122,MATCH('Monthly Cash Flow'!BH$15,LIBOR!$N$3:$N$122,0)),BG7)</f>
        <v>1.6302000000000001E-3</v>
      </c>
      <c r="BI7" s="25">
        <f>IFERROR(INDEX(LIBOR!$M$3:$M$122,MATCH('Monthly Cash Flow'!BI$15,LIBOR!$N$3:$N$122,0)),BH7)</f>
        <v>1.5483999999999999E-3</v>
      </c>
      <c r="BJ7" s="25">
        <f>IFERROR(INDEX(LIBOR!$M$3:$M$122,MATCH('Monthly Cash Flow'!BJ$15,LIBOR!$N$3:$N$122,0)),BI7)</f>
        <v>1.5449000000000001E-3</v>
      </c>
      <c r="BK7" s="25">
        <f>IFERROR(INDEX(LIBOR!$M$3:$M$122,MATCH('Monthly Cash Flow'!BK$15,LIBOR!$N$3:$N$122,0)),BJ7)</f>
        <v>1.4044000000000001E-3</v>
      </c>
      <c r="BL7" s="25">
        <f>IFERROR(INDEX(LIBOR!$M$3:$M$122,MATCH('Monthly Cash Flow'!BL$15,LIBOR!$N$3:$N$122,0)),BK7)</f>
        <v>1.2929E-3</v>
      </c>
      <c r="BM7" s="25">
        <f>IFERROR(INDEX(LIBOR!$M$3:$M$122,MATCH('Monthly Cash Flow'!BM$15,LIBOR!$N$3:$N$122,0)),BL7)</f>
        <v>1.5277999999999999E-3</v>
      </c>
      <c r="BN7" s="25">
        <f>IFERROR(INDEX(LIBOR!$M$3:$M$122,MATCH('Monthly Cash Flow'!BN$15,LIBOR!$N$3:$N$122,0)),BM7)</f>
        <v>1.6647999999999999E-3</v>
      </c>
      <c r="BO7" s="25">
        <f>IFERROR(INDEX(LIBOR!$M$3:$M$122,MATCH('Monthly Cash Flow'!BO$15,LIBOR!$N$3:$N$122,0)),BN7)</f>
        <v>1.7277E-3</v>
      </c>
      <c r="BP7" s="25">
        <f>IFERROR(INDEX(LIBOR!$M$3:$M$122,MATCH('Monthly Cash Flow'!BP$15,LIBOR!$N$3:$N$122,0)),BO7)</f>
        <v>1.709E-3</v>
      </c>
      <c r="BQ7" s="25">
        <f>IFERROR(INDEX(LIBOR!$M$3:$M$122,MATCH('Monthly Cash Flow'!BQ$15,LIBOR!$N$3:$N$122,0)),BP7)</f>
        <v>1.6251E-3</v>
      </c>
      <c r="BR7" s="25">
        <f>IFERROR(INDEX(LIBOR!$M$3:$M$122,MATCH('Monthly Cash Flow'!BR$15,LIBOR!$N$3:$N$122,0)),BQ7)</f>
        <v>1.5034E-3</v>
      </c>
      <c r="BS7" s="25">
        <f>IFERROR(INDEX(LIBOR!$M$3:$M$122,MATCH('Monthly Cash Flow'!BS$15,LIBOR!$N$3:$N$122,0)),BR7)</f>
        <v>1.4061E-3</v>
      </c>
      <c r="BT7" s="25">
        <f>IFERROR(INDEX(LIBOR!$M$3:$M$122,MATCH('Monthly Cash Flow'!BT$15,LIBOR!$N$3:$N$122,0)),BS7)</f>
        <v>1.3485000000000001E-3</v>
      </c>
      <c r="BU7" s="25">
        <f>IFERROR(INDEX(LIBOR!$M$3:$M$122,MATCH('Monthly Cash Flow'!BU$15,LIBOR!$N$3:$N$122,0)),BT7)</f>
        <v>1.3358000000000001E-3</v>
      </c>
      <c r="BV7" s="25">
        <f>IFERROR(INDEX(LIBOR!$M$3:$M$122,MATCH('Monthly Cash Flow'!BV$15,LIBOR!$N$3:$N$122,0)),BU7)</f>
        <v>1.3621E-3</v>
      </c>
      <c r="BW7" s="25">
        <f>IFERROR(INDEX(LIBOR!$M$3:$M$122,MATCH('Monthly Cash Flow'!BW$15,LIBOR!$N$3:$N$122,0)),BV7)</f>
        <v>1.3944999999999999E-3</v>
      </c>
      <c r="BX7" s="25">
        <f>IFERROR(INDEX(LIBOR!$M$3:$M$122,MATCH('Monthly Cash Flow'!BX$15,LIBOR!$N$3:$N$122,0)),BW7)</f>
        <v>1.4476999999999999E-3</v>
      </c>
      <c r="BY7" s="25">
        <f>IFERROR(INDEX(LIBOR!$M$3:$M$122,MATCH('Monthly Cash Flow'!BY$15,LIBOR!$N$3:$N$122,0)),BX7)</f>
        <v>1.5070999999999999E-3</v>
      </c>
      <c r="BZ7" s="25"/>
      <c r="CA7" s="25"/>
      <c r="CB7" s="25">
        <f>IFERROR(INDEX(LIBOR!$M$3:$M$122,MATCH('Monthly Cash Flow'!CB$15,LIBOR!$N$3:$N$122,0)),CA7)</f>
        <v>1.5849E-3</v>
      </c>
      <c r="CC7" s="25">
        <f>IFERROR(INDEX(LIBOR!$M$3:$M$122,MATCH('Monthly Cash Flow'!CC$15,LIBOR!$N$3:$N$122,0)),CB7)</f>
        <v>1.5552000000000001E-3</v>
      </c>
      <c r="CD7" s="25">
        <f>IFERROR(INDEX(LIBOR!$M$3:$M$122,MATCH('Monthly Cash Flow'!CD$15,LIBOR!$N$3:$N$122,0)),CC7)</f>
        <v>1.5169999999999999E-3</v>
      </c>
      <c r="CE7" s="25">
        <f>IFERROR(INDEX(LIBOR!$M$3:$M$122,MATCH('Monthly Cash Flow'!CE$15,LIBOR!$N$3:$N$122,0)),CD7)</f>
        <v>1.4938E-3</v>
      </c>
      <c r="CF7" s="25">
        <f>IFERROR(INDEX(LIBOR!$M$3:$M$122,MATCH('Monthly Cash Flow'!CF$15,LIBOR!$N$3:$N$122,0)),CE7)</f>
        <v>1.4702000000000001E-3</v>
      </c>
      <c r="CG7" s="25">
        <f>IFERROR(INDEX(LIBOR!$M$3:$M$122,MATCH('Monthly Cash Flow'!CG$15,LIBOR!$N$3:$N$122,0)),CF7)</f>
        <v>1.4851E-3</v>
      </c>
      <c r="CH7" s="25">
        <f>IFERROR(INDEX(LIBOR!$M$3:$M$122,MATCH('Monthly Cash Flow'!CH$15,LIBOR!$N$3:$N$122,0)),CG7)</f>
        <v>1.5347E-3</v>
      </c>
      <c r="CI7" s="25">
        <f>IFERROR(INDEX(LIBOR!$M$3:$M$122,MATCH('Monthly Cash Flow'!CI$15,LIBOR!$N$3:$N$122,0)),CH7)</f>
        <v>1.5907E-3</v>
      </c>
      <c r="CJ7" s="25">
        <f>IFERROR(INDEX(LIBOR!$M$3:$M$122,MATCH('Monthly Cash Flow'!CJ$15,LIBOR!$N$3:$N$122,0)),CI7)</f>
        <v>3.90987E-2</v>
      </c>
      <c r="CK7" s="25">
        <f>IFERROR(INDEX(LIBOR!$M$3:$M$122,MATCH('Monthly Cash Flow'!CK$15,LIBOR!$N$3:$N$122,0)),CJ7)</f>
        <v>4.44781E-2</v>
      </c>
      <c r="CL7" s="25">
        <f>IFERROR(INDEX(LIBOR!$M$3:$M$122,MATCH('Monthly Cash Flow'!CL$15,LIBOR!$N$3:$N$122,0)),CK7)</f>
        <v>4.8152599999999997E-2</v>
      </c>
      <c r="CM7" s="25">
        <f>IFERROR(INDEX(LIBOR!$M$3:$M$122,MATCH('Monthly Cash Flow'!CM$15,LIBOR!$N$3:$N$122,0)),CL7)</f>
        <v>5.02318E-2</v>
      </c>
      <c r="CN7" s="25">
        <f>IFERROR(INDEX(LIBOR!$M$3:$M$122,MATCH('Monthly Cash Flow'!CN$15,LIBOR!$N$3:$N$122,0)),CM7)</f>
        <v>5.0998799999999997E-2</v>
      </c>
      <c r="CO7" s="25">
        <f>IFERROR(INDEX(LIBOR!$M$3:$M$122,MATCH('Monthly Cash Flow'!CO$15,LIBOR!$N$3:$N$122,0)),CN7)</f>
        <v>5.1074399999999999E-2</v>
      </c>
      <c r="CP7" s="25">
        <f>IFERROR(INDEX(LIBOR!$M$3:$M$122,MATCH('Monthly Cash Flow'!CP$15,LIBOR!$N$3:$N$122,0)),CO7)</f>
        <v>5.08242E-2</v>
      </c>
      <c r="CQ7" s="25">
        <f>IFERROR(INDEX(LIBOR!$M$3:$M$122,MATCH('Monthly Cash Flow'!CQ$15,LIBOR!$N$3:$N$122,0)),CP7)</f>
        <v>5.02967E-2</v>
      </c>
      <c r="CR7" s="25">
        <f>IFERROR(INDEX(LIBOR!$M$3:$M$122,MATCH('Monthly Cash Flow'!CR$15,LIBOR!$N$3:$N$122,0)),CQ7)</f>
        <v>4.9586600000000002E-2</v>
      </c>
      <c r="CS7" s="25"/>
      <c r="CT7" s="25"/>
      <c r="CU7" s="25">
        <f>IFERROR(INDEX(LIBOR!$M$3:$M$122,MATCH('Monthly Cash Flow'!CU$15,LIBOR!$N$3:$N$122,0)),CT7)</f>
        <v>4.7155799999999998E-2</v>
      </c>
      <c r="CV7" s="25">
        <f>IFERROR(INDEX(LIBOR!$M$3:$M$122,MATCH('Monthly Cash Flow'!CV$15,LIBOR!$N$3:$N$122,0)),CU7)</f>
        <v>4.6134599999999998E-2</v>
      </c>
      <c r="CW7" s="25">
        <f>IFERROR(INDEX(LIBOR!$M$3:$M$122,MATCH('Monthly Cash Flow'!CW$15,LIBOR!$N$3:$N$122,0)),CV7)</f>
        <v>4.50652E-2</v>
      </c>
      <c r="CX7" s="25">
        <f>IFERROR(INDEX(LIBOR!$M$3:$M$122,MATCH('Monthly Cash Flow'!CX$15,LIBOR!$N$3:$N$122,0)),CW7)</f>
        <v>4.4078199999999998E-2</v>
      </c>
      <c r="CY7" s="25">
        <f>IFERROR(INDEX(LIBOR!$M$3:$M$122,MATCH('Monthly Cash Flow'!CY$15,LIBOR!$N$3:$N$122,0)),CX7)</f>
        <v>4.2911199999999997E-2</v>
      </c>
      <c r="CZ7" s="25">
        <f>IFERROR(INDEX(LIBOR!$M$3:$M$122,MATCH('Monthly Cash Flow'!CZ$15,LIBOR!$N$3:$N$122,0)),CY7)</f>
        <v>4.1686899999999999E-2</v>
      </c>
      <c r="DA7" s="25">
        <f>IFERROR(INDEX(LIBOR!$M$3:$M$122,MATCH('Monthly Cash Flow'!DA$15,LIBOR!$N$3:$N$122,0)),CZ7)</f>
        <v>4.05943E-2</v>
      </c>
      <c r="DB7" s="25">
        <f>IFERROR(INDEX(LIBOR!$M$3:$M$122,MATCH('Monthly Cash Flow'!DB$15,LIBOR!$N$3:$N$122,0)),DA7)</f>
        <v>3.9406200000000002E-2</v>
      </c>
      <c r="DC7" s="25">
        <f>IFERROR(INDEX(LIBOR!$M$3:$M$122,MATCH('Monthly Cash Flow'!DC$15,LIBOR!$N$3:$N$122,0)),DB7)</f>
        <v>3.83253E-2</v>
      </c>
      <c r="DD7" s="25">
        <f>IFERROR(INDEX(LIBOR!$M$3:$M$122,MATCH('Monthly Cash Flow'!DD$15,LIBOR!$N$3:$N$122,0)),DC7)</f>
        <v>3.7435400000000001E-2</v>
      </c>
      <c r="DE7" s="25">
        <f>IFERROR(INDEX(LIBOR!$M$3:$M$122,MATCH('Monthly Cash Flow'!DE$15,LIBOR!$N$3:$N$122,0)),DD7)</f>
        <v>3.6636299999999997E-2</v>
      </c>
      <c r="DF7" s="25">
        <f>IFERROR(INDEX(LIBOR!$M$3:$M$122,MATCH('Monthly Cash Flow'!DF$15,LIBOR!$N$3:$N$122,0)),DE7)</f>
        <v>3.6059899999999999E-2</v>
      </c>
      <c r="DG7" s="25">
        <f>IFERROR(INDEX(LIBOR!$M$3:$M$122,MATCH('Monthly Cash Flow'!DG$15,LIBOR!$N$3:$N$122,0)),DF7)</f>
        <v>3.5537199999999998E-2</v>
      </c>
      <c r="DH7" s="25">
        <f>IFERROR(INDEX(LIBOR!$M$3:$M$122,MATCH('Monthly Cash Flow'!DH$15,LIBOR!$N$3:$N$122,0)),DG7)</f>
        <v>3.5163899999999998E-2</v>
      </c>
      <c r="DI7" s="25">
        <f>IFERROR(INDEX(LIBOR!$M$3:$M$122,MATCH('Monthly Cash Flow'!DI$15,LIBOR!$N$3:$N$122,0)),DH7)</f>
        <v>3.4929399999999999E-2</v>
      </c>
      <c r="DJ7" s="25">
        <f>IFERROR(INDEX(LIBOR!$M$3:$M$122,MATCH('Monthly Cash Flow'!DJ$15,LIBOR!$N$3:$N$122,0)),DI7)</f>
        <v>3.4659599999999999E-2</v>
      </c>
      <c r="DK7" s="25">
        <f>IFERROR(INDEX(LIBOR!$M$3:$M$122,MATCH('Monthly Cash Flow'!DK$15,LIBOR!$N$3:$N$122,0)),DJ7)</f>
        <v>3.4436300000000003E-2</v>
      </c>
      <c r="DL7" s="25">
        <f>IFERROR(INDEX(LIBOR!$M$3:$M$122,MATCH('Monthly Cash Flow'!DL$15,LIBOR!$N$3:$N$122,0)),DK7)</f>
        <v>3.4244200000000002E-2</v>
      </c>
      <c r="DM7" s="25">
        <f>IFERROR(INDEX(LIBOR!$M$3:$M$122,MATCH('Monthly Cash Flow'!DM$15,LIBOR!$N$3:$N$122,0)),DL7)</f>
        <v>3.40349E-2</v>
      </c>
      <c r="DN7" s="25">
        <f>IFERROR(INDEX(LIBOR!$M$3:$M$122,MATCH('Monthly Cash Flow'!DN$15,LIBOR!$N$3:$N$122,0)),DM7)</f>
        <v>3.3835299999999999E-2</v>
      </c>
      <c r="DO7" s="25">
        <f>IFERROR(INDEX(LIBOR!$M$3:$M$122,MATCH('Monthly Cash Flow'!DO$15,LIBOR!$N$3:$N$122,0)),DN7)</f>
        <v>3.3660700000000002E-2</v>
      </c>
      <c r="DP7" s="25">
        <f>IFERROR(INDEX(LIBOR!$M$3:$M$122,MATCH('Monthly Cash Flow'!DP$15,LIBOR!$N$3:$N$122,0)),DO7)</f>
        <v>3.3436599999999997E-2</v>
      </c>
      <c r="DQ7" s="25">
        <f>IFERROR(INDEX(LIBOR!$M$3:$M$122,MATCH('Monthly Cash Flow'!DQ$15,LIBOR!$N$3:$N$122,0)),DP7)</f>
        <v>3.3233100000000002E-2</v>
      </c>
      <c r="DR7" s="25">
        <f>IFERROR(INDEX(LIBOR!$M$3:$M$122,MATCH('Monthly Cash Flow'!DR$15,LIBOR!$N$3:$N$122,0)),DQ7)</f>
        <v>3.3073999999999999E-2</v>
      </c>
      <c r="DS7" s="25">
        <f>IFERROR(INDEX(LIBOR!$M$3:$M$122,MATCH('Monthly Cash Flow'!DS$15,LIBOR!$N$3:$N$122,0)),DR7)</f>
        <v>3.2877499999999997E-2</v>
      </c>
      <c r="DT7" s="25">
        <f>IFERROR(INDEX(LIBOR!$M$3:$M$122,MATCH('Monthly Cash Flow'!DT$15,LIBOR!$N$3:$N$122,0)),DS7)</f>
        <v>3.2710000000000003E-2</v>
      </c>
      <c r="DU7" s="25">
        <f>IFERROR(INDEX(LIBOR!$M$3:$M$122,MATCH('Monthly Cash Flow'!DU$15,LIBOR!$N$3:$N$122,0)),DT7)</f>
        <v>3.25854E-2</v>
      </c>
      <c r="DV7" s="25">
        <f>IFERROR(INDEX(LIBOR!$M$3:$M$122,MATCH('Monthly Cash Flow'!DV$15,LIBOR!$N$3:$N$122,0)),DU7)</f>
        <v>3.24447E-2</v>
      </c>
      <c r="DW7" s="25">
        <f>IFERROR(INDEX(LIBOR!$M$3:$M$122,MATCH('Monthly Cash Flow'!DW$15,LIBOR!$N$3:$N$122,0)),DV7)</f>
        <v>3.2349000000000003E-2</v>
      </c>
      <c r="DX7" s="25">
        <f>IFERROR(INDEX(LIBOR!$M$3:$M$122,MATCH('Monthly Cash Flow'!DX$15,LIBOR!$N$3:$N$122,0)),DW7)</f>
        <v>3.2280299999999998E-2</v>
      </c>
      <c r="DY7" s="25">
        <f>IFERROR(INDEX(LIBOR!$M$3:$M$122,MATCH('Monthly Cash Flow'!DY$15,LIBOR!$N$3:$N$122,0)),DX7)</f>
        <v>3.2198200000000003E-2</v>
      </c>
      <c r="DZ7" s="25">
        <f>IFERROR(INDEX(LIBOR!$M$3:$M$122,MATCH('Monthly Cash Flow'!DZ$15,LIBOR!$N$3:$N$122,0)),DY7)</f>
        <v>3.2153300000000003E-2</v>
      </c>
      <c r="EA7" s="25">
        <f>IFERROR(INDEX(LIBOR!$M$3:$M$122,MATCH('Monthly Cash Flow'!EA$15,LIBOR!$N$3:$N$122,0)),DZ7)</f>
        <v>3.2140799999999997E-2</v>
      </c>
      <c r="EB7" s="25">
        <f>IFERROR(INDEX(LIBOR!$M$3:$M$122,MATCH('Monthly Cash Flow'!EB$15,LIBOR!$N$3:$N$122,0)),EA7)</f>
        <v>3.2116800000000001E-2</v>
      </c>
      <c r="EC7" s="25">
        <f>IFERROR(INDEX(LIBOR!$M$3:$M$122,MATCH('Monthly Cash Flow'!EC$15,LIBOR!$N$3:$N$122,0)),EB7)</f>
        <v>3.2124899999999998E-2</v>
      </c>
      <c r="ED7" s="25">
        <f>IFERROR(INDEX(LIBOR!$M$3:$M$122,MATCH('Monthly Cash Flow'!ED$15,LIBOR!$N$3:$N$122,0)),EC7)</f>
        <v>3.2156799999999999E-2</v>
      </c>
      <c r="EE7" s="25">
        <f>IFERROR(INDEX(LIBOR!$M$3:$M$122,MATCH('Monthly Cash Flow'!EE$15,LIBOR!$N$3:$N$122,0)),ED7)</f>
        <v>3.2176099999999999E-2</v>
      </c>
      <c r="EF7" s="25">
        <f>IFERROR(INDEX(LIBOR!$M$3:$M$122,MATCH('Monthly Cash Flow'!EF$15,LIBOR!$N$3:$N$122,0)),EE7)</f>
        <v>3.22162E-2</v>
      </c>
      <c r="EG7" s="25">
        <f>IFERROR(INDEX(LIBOR!$M$3:$M$122,MATCH('Monthly Cash Flow'!EG$15,LIBOR!$N$3:$N$122,0)),EF7)</f>
        <v>3.2280999999999997E-2</v>
      </c>
      <c r="EH7" s="25">
        <f>IFERROR(INDEX(LIBOR!$M$3:$M$122,MATCH('Monthly Cash Flow'!EH$15,LIBOR!$N$3:$N$122,0)),EG7)</f>
        <v>3.2321700000000002E-2</v>
      </c>
      <c r="EI7" s="25">
        <f>IFERROR(INDEX(LIBOR!$M$3:$M$122,MATCH('Monthly Cash Flow'!EI$15,LIBOR!$N$3:$N$122,0)),EH7)</f>
        <v>3.2369599999999998E-2</v>
      </c>
      <c r="EJ7" s="25">
        <f>IFERROR(INDEX(LIBOR!$M$3:$M$122,MATCH('Monthly Cash Flow'!EJ$15,LIBOR!$N$3:$N$122,0)),EI7)</f>
        <v>3.2431799999999997E-2</v>
      </c>
      <c r="EK7" s="25">
        <f>IFERROR(INDEX(LIBOR!$M$3:$M$122,MATCH('Monthly Cash Flow'!EK$15,LIBOR!$N$3:$N$122,0)),EJ7)</f>
        <v>3.2464E-2</v>
      </c>
      <c r="EL7" s="25">
        <f>IFERROR(INDEX(LIBOR!$M$3:$M$122,MATCH('Monthly Cash Flow'!EL$15,LIBOR!$N$3:$N$122,0)),EK7)</f>
        <v>3.2507300000000003E-2</v>
      </c>
      <c r="EM7" s="25"/>
      <c r="EN7" s="25"/>
      <c r="EO7" s="25"/>
      <c r="EP7" s="25"/>
      <c r="EQ7" s="25"/>
      <c r="ER7" s="25"/>
      <c r="ES7" s="25"/>
      <c r="ET7" s="25"/>
      <c r="EU7" s="25"/>
      <c r="EV7" s="25"/>
      <c r="EW7" s="25"/>
      <c r="EX7" s="25"/>
      <c r="EY7" s="25"/>
      <c r="EZ7" s="25"/>
      <c r="FA7" s="25"/>
      <c r="FB7" s="25"/>
      <c r="FC7" s="25"/>
      <c r="FD7" s="25"/>
      <c r="FE7" s="25"/>
      <c r="FF7" s="25"/>
      <c r="FG7" s="25"/>
      <c r="FH7" s="25"/>
      <c r="FI7" s="25"/>
      <c r="FJ7" s="25"/>
      <c r="FK7" s="25"/>
      <c r="FL7" s="25"/>
      <c r="FM7" s="25"/>
      <c r="FN7" s="25"/>
      <c r="FO7" s="25"/>
      <c r="FP7" s="25"/>
      <c r="FQ7" s="25"/>
      <c r="FR7" s="25"/>
      <c r="FS7" s="25"/>
      <c r="FT7" s="25"/>
      <c r="FU7" s="25"/>
      <c r="FV7" s="25"/>
      <c r="FW7" s="25"/>
      <c r="FX7" s="25"/>
      <c r="FY7" s="25"/>
      <c r="FZ7" s="25"/>
      <c r="GA7" s="25"/>
      <c r="GB7" s="25"/>
      <c r="GC7" s="25"/>
      <c r="GD7" s="25"/>
      <c r="GE7" s="25"/>
      <c r="GF7" s="25"/>
      <c r="GG7" s="25"/>
      <c r="GH7" s="25"/>
      <c r="GI7" s="25"/>
      <c r="GJ7" s="25"/>
      <c r="GK7" s="25"/>
      <c r="GL7" s="25"/>
      <c r="GM7" s="25"/>
      <c r="GN7" s="25"/>
      <c r="GO7" s="25"/>
      <c r="GP7" s="25"/>
      <c r="GQ7" s="25"/>
      <c r="GR7" s="25"/>
      <c r="GS7" s="25">
        <f>IFERROR(INDEX(LIBOR!$M$3:$M$122,MATCH('Monthly Cash Flow'!GT$15,LIBOR!$N$3:$N$122,0)),EL7)</f>
        <v>3.2507300000000003E-2</v>
      </c>
      <c r="HV7"/>
    </row>
    <row r="8" spans="2:231" ht="15" hidden="1" outlineLevel="1">
      <c r="I8" s="97"/>
      <c r="K8" s="100"/>
      <c r="L8" s="101"/>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HV8"/>
    </row>
    <row r="9" spans="2:231" ht="15" collapsed="1">
      <c r="I9" s="97"/>
      <c r="M9" s="511"/>
      <c r="CB9" s="1">
        <f>SUM(CB22:CD22)*1000</f>
        <v>0</v>
      </c>
      <c r="HV9"/>
    </row>
    <row r="10" spans="2:231" ht="15">
      <c r="B10" s="33" t="str">
        <f>+Assumptions!B2</f>
        <v>Chapman Plaza</v>
      </c>
      <c r="I10" s="97"/>
      <c r="O10" s="922"/>
      <c r="BN10" s="1386">
        <f>BM13+120</f>
        <v>174</v>
      </c>
      <c r="HV10"/>
    </row>
    <row r="11" spans="2:231" ht="15" thickBot="1">
      <c r="B11" s="11" t="s">
        <v>93</v>
      </c>
      <c r="C11" s="3"/>
      <c r="D11" s="3"/>
      <c r="E11" s="3"/>
      <c r="F11" s="3"/>
      <c r="G11" s="3"/>
      <c r="H11" s="3"/>
      <c r="I11" s="103"/>
      <c r="J11" s="3"/>
      <c r="K11" s="104"/>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R11" s="3"/>
      <c r="BS11" s="3"/>
      <c r="BT11" s="3"/>
      <c r="CI11" s="3"/>
      <c r="CJ11" s="3"/>
      <c r="CK11" s="3"/>
      <c r="CL11" s="3">
        <v>1</v>
      </c>
      <c r="CM11" s="3">
        <f t="shared" ref="CM11:EV11" si="249">CL11+1</f>
        <v>2</v>
      </c>
      <c r="CN11" s="3">
        <f t="shared" si="249"/>
        <v>3</v>
      </c>
      <c r="CO11" s="3">
        <f t="shared" si="249"/>
        <v>4</v>
      </c>
      <c r="CP11" s="3">
        <f t="shared" si="249"/>
        <v>5</v>
      </c>
      <c r="CQ11" s="3">
        <f t="shared" si="249"/>
        <v>6</v>
      </c>
      <c r="CR11" s="3">
        <f t="shared" si="249"/>
        <v>7</v>
      </c>
      <c r="CS11" s="3">
        <f t="shared" si="249"/>
        <v>8</v>
      </c>
      <c r="CT11" s="3">
        <f t="shared" si="249"/>
        <v>9</v>
      </c>
      <c r="CU11" s="3">
        <f t="shared" si="249"/>
        <v>10</v>
      </c>
      <c r="CV11" s="3">
        <f t="shared" si="249"/>
        <v>11</v>
      </c>
      <c r="CW11" s="3">
        <f t="shared" si="249"/>
        <v>12</v>
      </c>
      <c r="CX11" s="3">
        <f t="shared" si="249"/>
        <v>13</v>
      </c>
      <c r="CY11" s="3">
        <f t="shared" si="249"/>
        <v>14</v>
      </c>
      <c r="CZ11" s="3">
        <f t="shared" si="249"/>
        <v>15</v>
      </c>
      <c r="DA11" s="3">
        <f t="shared" si="249"/>
        <v>16</v>
      </c>
      <c r="DB11" s="3">
        <f t="shared" si="249"/>
        <v>17</v>
      </c>
      <c r="DC11" s="3">
        <f t="shared" si="249"/>
        <v>18</v>
      </c>
      <c r="DD11" s="3">
        <f t="shared" si="249"/>
        <v>19</v>
      </c>
      <c r="DE11" s="3">
        <f t="shared" si="249"/>
        <v>20</v>
      </c>
      <c r="DF11" s="3">
        <f t="shared" si="249"/>
        <v>21</v>
      </c>
      <c r="DG11" s="3">
        <f t="shared" si="249"/>
        <v>22</v>
      </c>
      <c r="DH11" s="3">
        <f t="shared" si="249"/>
        <v>23</v>
      </c>
      <c r="DI11" s="3">
        <f t="shared" si="249"/>
        <v>24</v>
      </c>
      <c r="DJ11" s="3">
        <f t="shared" si="249"/>
        <v>25</v>
      </c>
      <c r="DK11" s="3">
        <f t="shared" si="249"/>
        <v>26</v>
      </c>
      <c r="DL11" s="3">
        <f t="shared" si="249"/>
        <v>27</v>
      </c>
      <c r="DM11" s="3">
        <f t="shared" si="249"/>
        <v>28</v>
      </c>
      <c r="DN11" s="3">
        <f t="shared" si="249"/>
        <v>29</v>
      </c>
      <c r="DO11" s="3">
        <f t="shared" si="249"/>
        <v>30</v>
      </c>
      <c r="DP11" s="3">
        <f t="shared" si="249"/>
        <v>31</v>
      </c>
      <c r="DQ11" s="3">
        <f t="shared" si="249"/>
        <v>32</v>
      </c>
      <c r="DR11" s="3">
        <f t="shared" si="249"/>
        <v>33</v>
      </c>
      <c r="DS11" s="3">
        <f t="shared" si="249"/>
        <v>34</v>
      </c>
      <c r="DT11" s="3">
        <f t="shared" si="249"/>
        <v>35</v>
      </c>
      <c r="DU11" s="3">
        <f t="shared" si="249"/>
        <v>36</v>
      </c>
      <c r="DV11" s="3">
        <f t="shared" si="249"/>
        <v>37</v>
      </c>
      <c r="DW11" s="3">
        <f t="shared" si="249"/>
        <v>38</v>
      </c>
      <c r="DX11" s="3">
        <f t="shared" si="249"/>
        <v>39</v>
      </c>
      <c r="DY11" s="3">
        <f t="shared" si="249"/>
        <v>40</v>
      </c>
      <c r="DZ11" s="3">
        <f t="shared" si="249"/>
        <v>41</v>
      </c>
      <c r="EA11" s="3">
        <f t="shared" si="249"/>
        <v>42</v>
      </c>
      <c r="EB11" s="3">
        <f t="shared" si="249"/>
        <v>43</v>
      </c>
      <c r="EC11" s="3">
        <f t="shared" si="249"/>
        <v>44</v>
      </c>
      <c r="ED11" s="3">
        <f t="shared" si="249"/>
        <v>45</v>
      </c>
      <c r="EE11" s="3">
        <f t="shared" si="249"/>
        <v>46</v>
      </c>
      <c r="EF11" s="3">
        <f t="shared" si="249"/>
        <v>47</v>
      </c>
      <c r="EG11" s="3">
        <f t="shared" si="249"/>
        <v>48</v>
      </c>
      <c r="EH11" s="3">
        <f t="shared" si="249"/>
        <v>49</v>
      </c>
      <c r="EI11" s="3">
        <f t="shared" si="249"/>
        <v>50</v>
      </c>
      <c r="EJ11" s="3">
        <f t="shared" si="249"/>
        <v>51</v>
      </c>
      <c r="EK11" s="3">
        <f t="shared" si="249"/>
        <v>52</v>
      </c>
      <c r="EL11" s="3">
        <f t="shared" si="249"/>
        <v>53</v>
      </c>
      <c r="EM11" s="3">
        <f t="shared" si="249"/>
        <v>54</v>
      </c>
      <c r="EN11" s="3">
        <f t="shared" si="249"/>
        <v>55</v>
      </c>
      <c r="EO11" s="3">
        <f t="shared" si="249"/>
        <v>56</v>
      </c>
      <c r="EP11" s="3">
        <f t="shared" si="249"/>
        <v>57</v>
      </c>
      <c r="EQ11" s="3">
        <f t="shared" si="249"/>
        <v>58</v>
      </c>
      <c r="ER11" s="3">
        <f t="shared" si="249"/>
        <v>59</v>
      </c>
      <c r="ES11" s="3">
        <f t="shared" si="249"/>
        <v>60</v>
      </c>
      <c r="ET11" s="3">
        <f t="shared" si="249"/>
        <v>61</v>
      </c>
      <c r="EU11" s="3">
        <f t="shared" si="249"/>
        <v>62</v>
      </c>
      <c r="EV11" s="3">
        <f t="shared" si="249"/>
        <v>63</v>
      </c>
      <c r="EW11" s="3">
        <f t="shared" ref="EW11:FY11" si="250">EV11+1</f>
        <v>64</v>
      </c>
      <c r="EX11" s="3">
        <f t="shared" si="250"/>
        <v>65</v>
      </c>
      <c r="EY11" s="3">
        <f t="shared" si="250"/>
        <v>66</v>
      </c>
      <c r="EZ11" s="3">
        <f t="shared" si="250"/>
        <v>67</v>
      </c>
      <c r="FA11" s="3">
        <f t="shared" si="250"/>
        <v>68</v>
      </c>
      <c r="FB11" s="3">
        <f t="shared" si="250"/>
        <v>69</v>
      </c>
      <c r="FC11" s="3">
        <f t="shared" si="250"/>
        <v>70</v>
      </c>
      <c r="FD11" s="3">
        <f t="shared" si="250"/>
        <v>71</v>
      </c>
      <c r="FE11" s="3">
        <f t="shared" si="250"/>
        <v>72</v>
      </c>
      <c r="FF11" s="3">
        <f t="shared" si="250"/>
        <v>73</v>
      </c>
      <c r="FG11" s="3">
        <f t="shared" si="250"/>
        <v>74</v>
      </c>
      <c r="FH11" s="3">
        <f t="shared" si="250"/>
        <v>75</v>
      </c>
      <c r="FI11" s="3">
        <f t="shared" si="250"/>
        <v>76</v>
      </c>
      <c r="FJ11" s="3">
        <f t="shared" si="250"/>
        <v>77</v>
      </c>
      <c r="FK11" s="3">
        <f t="shared" si="250"/>
        <v>78</v>
      </c>
      <c r="FL11" s="3">
        <f t="shared" si="250"/>
        <v>79</v>
      </c>
      <c r="FM11" s="3">
        <f t="shared" si="250"/>
        <v>80</v>
      </c>
      <c r="FN11" s="3">
        <f t="shared" si="250"/>
        <v>81</v>
      </c>
      <c r="FO11" s="3">
        <f t="shared" si="250"/>
        <v>82</v>
      </c>
      <c r="FP11" s="3">
        <f t="shared" si="250"/>
        <v>83</v>
      </c>
      <c r="FQ11" s="3">
        <f t="shared" si="250"/>
        <v>84</v>
      </c>
      <c r="FR11" s="3">
        <f t="shared" si="250"/>
        <v>85</v>
      </c>
      <c r="FS11" s="3">
        <f t="shared" si="250"/>
        <v>86</v>
      </c>
      <c r="FT11" s="3">
        <f t="shared" si="250"/>
        <v>87</v>
      </c>
      <c r="FU11" s="3">
        <f t="shared" si="250"/>
        <v>88</v>
      </c>
      <c r="FV11" s="3">
        <f t="shared" si="250"/>
        <v>89</v>
      </c>
      <c r="FW11" s="3">
        <f t="shared" si="250"/>
        <v>90</v>
      </c>
      <c r="FX11" s="3">
        <f t="shared" si="250"/>
        <v>91</v>
      </c>
      <c r="FY11" s="3">
        <f t="shared" si="250"/>
        <v>92</v>
      </c>
      <c r="FZ11" s="3">
        <f t="shared" ref="FZ11:GD11" si="251">FY11+1</f>
        <v>93</v>
      </c>
      <c r="GA11" s="3">
        <f t="shared" si="251"/>
        <v>94</v>
      </c>
      <c r="GB11" s="3">
        <f t="shared" si="251"/>
        <v>95</v>
      </c>
      <c r="GC11" s="3">
        <f t="shared" si="251"/>
        <v>96</v>
      </c>
      <c r="GD11" s="3">
        <f t="shared" si="251"/>
        <v>97</v>
      </c>
      <c r="GE11" s="3">
        <f t="shared" ref="GE11:GT11" si="252">GD11+1</f>
        <v>98</v>
      </c>
      <c r="GF11" s="3">
        <f t="shared" si="252"/>
        <v>99</v>
      </c>
      <c r="GG11" s="3">
        <f t="shared" si="252"/>
        <v>100</v>
      </c>
      <c r="GH11" s="3">
        <f t="shared" si="252"/>
        <v>101</v>
      </c>
      <c r="GI11" s="3">
        <f t="shared" si="252"/>
        <v>102</v>
      </c>
      <c r="GJ11" s="3">
        <f t="shared" si="252"/>
        <v>103</v>
      </c>
      <c r="GK11" s="3">
        <f t="shared" si="252"/>
        <v>104</v>
      </c>
      <c r="GL11" s="3">
        <f t="shared" si="252"/>
        <v>105</v>
      </c>
      <c r="GM11" s="3">
        <f t="shared" si="252"/>
        <v>106</v>
      </c>
      <c r="GN11" s="3">
        <f t="shared" si="252"/>
        <v>107</v>
      </c>
      <c r="GO11" s="3">
        <f t="shared" si="252"/>
        <v>108</v>
      </c>
      <c r="GP11" s="3">
        <f t="shared" si="252"/>
        <v>109</v>
      </c>
      <c r="GQ11" s="3">
        <f t="shared" si="252"/>
        <v>110</v>
      </c>
      <c r="GR11" s="3">
        <f t="shared" si="252"/>
        <v>111</v>
      </c>
      <c r="GS11" s="3">
        <f t="shared" si="252"/>
        <v>112</v>
      </c>
      <c r="GT11" s="3">
        <f t="shared" si="252"/>
        <v>113</v>
      </c>
      <c r="GU11" s="3">
        <f t="shared" ref="GU11:HA11" si="253">GT11+1</f>
        <v>114</v>
      </c>
      <c r="GV11" s="3">
        <f t="shared" si="253"/>
        <v>115</v>
      </c>
      <c r="GW11" s="3">
        <f t="shared" si="253"/>
        <v>116</v>
      </c>
      <c r="GX11" s="3">
        <f t="shared" si="253"/>
        <v>117</v>
      </c>
      <c r="GY11" s="3">
        <f t="shared" si="253"/>
        <v>118</v>
      </c>
      <c r="GZ11" s="3">
        <f t="shared" si="253"/>
        <v>119</v>
      </c>
      <c r="HA11" s="3">
        <f t="shared" si="253"/>
        <v>120</v>
      </c>
      <c r="HB11" s="3"/>
      <c r="HC11" s="3"/>
      <c r="HD11" s="3"/>
      <c r="HE11" s="3"/>
      <c r="HF11" s="3"/>
      <c r="HG11" s="3">
        <f>HF11+1</f>
        <v>1</v>
      </c>
      <c r="HH11" s="3"/>
      <c r="HI11" s="3"/>
      <c r="HJ11" s="3"/>
      <c r="HK11" s="3"/>
      <c r="HL11" s="3"/>
      <c r="HM11" s="3"/>
      <c r="HN11" s="3"/>
      <c r="HO11" s="3"/>
      <c r="HP11" s="3"/>
      <c r="HQ11" s="3"/>
      <c r="HR11" s="3"/>
      <c r="HS11" s="3"/>
      <c r="HT11" s="3"/>
      <c r="HU11" s="3"/>
      <c r="HV11" s="3"/>
      <c r="HW11" s="3"/>
    </row>
    <row r="12" spans="2:231" ht="15">
      <c r="B12" s="5" t="s">
        <v>1</v>
      </c>
      <c r="I12" s="97"/>
      <c r="L12" s="923" t="s">
        <v>755</v>
      </c>
      <c r="M12" s="923" t="s">
        <v>755</v>
      </c>
      <c r="N12" s="923" t="s">
        <v>755</v>
      </c>
      <c r="O12" s="923" t="s">
        <v>755</v>
      </c>
      <c r="P12" s="923" t="s">
        <v>755</v>
      </c>
      <c r="Q12" s="923" t="s">
        <v>755</v>
      </c>
      <c r="R12" s="923" t="s">
        <v>755</v>
      </c>
      <c r="S12" s="923" t="s">
        <v>755</v>
      </c>
      <c r="T12" s="923" t="s">
        <v>755</v>
      </c>
      <c r="U12" s="923" t="s">
        <v>755</v>
      </c>
      <c r="V12" s="923" t="s">
        <v>755</v>
      </c>
      <c r="W12" s="923" t="s">
        <v>755</v>
      </c>
      <c r="X12" s="923" t="s">
        <v>755</v>
      </c>
      <c r="Y12" s="923" t="s">
        <v>755</v>
      </c>
      <c r="Z12" s="923" t="s">
        <v>755</v>
      </c>
      <c r="AA12" s="923" t="s">
        <v>755</v>
      </c>
      <c r="AB12" s="923" t="s">
        <v>755</v>
      </c>
      <c r="AC12" s="923" t="s">
        <v>755</v>
      </c>
      <c r="AD12" s="923" t="s">
        <v>755</v>
      </c>
      <c r="AE12" s="923" t="s">
        <v>755</v>
      </c>
      <c r="AF12" s="923" t="s">
        <v>755</v>
      </c>
      <c r="AG12" s="923" t="s">
        <v>755</v>
      </c>
      <c r="AH12" s="923" t="s">
        <v>755</v>
      </c>
      <c r="AI12" s="923" t="s">
        <v>755</v>
      </c>
      <c r="AJ12" s="923" t="s">
        <v>755</v>
      </c>
      <c r="AK12" s="923" t="s">
        <v>755</v>
      </c>
      <c r="AL12" s="923" t="s">
        <v>755</v>
      </c>
      <c r="AM12" s="923" t="s">
        <v>755</v>
      </c>
      <c r="AN12" s="923" t="s">
        <v>755</v>
      </c>
      <c r="AO12" s="923" t="s">
        <v>755</v>
      </c>
      <c r="AP12" s="923" t="s">
        <v>755</v>
      </c>
      <c r="AQ12" s="923" t="s">
        <v>755</v>
      </c>
      <c r="AR12" s="923" t="s">
        <v>755</v>
      </c>
      <c r="AS12" s="923" t="s">
        <v>755</v>
      </c>
      <c r="AT12" s="923" t="s">
        <v>755</v>
      </c>
      <c r="AU12" s="923" t="s">
        <v>755</v>
      </c>
      <c r="AV12" s="923" t="s">
        <v>755</v>
      </c>
      <c r="AW12" s="923" t="s">
        <v>755</v>
      </c>
      <c r="AX12" s="923" t="s">
        <v>755</v>
      </c>
      <c r="AY12" s="923" t="s">
        <v>755</v>
      </c>
      <c r="AZ12" s="923" t="s">
        <v>755</v>
      </c>
      <c r="BA12" s="923" t="s">
        <v>755</v>
      </c>
      <c r="BB12" s="923" t="s">
        <v>755</v>
      </c>
      <c r="BC12" s="923" t="s">
        <v>755</v>
      </c>
      <c r="BD12" s="923" t="s">
        <v>755</v>
      </c>
      <c r="BE12" s="923" t="s">
        <v>755</v>
      </c>
      <c r="BF12" s="923" t="s">
        <v>755</v>
      </c>
      <c r="BG12" s="923" t="s">
        <v>755</v>
      </c>
      <c r="BH12" s="923" t="s">
        <v>755</v>
      </c>
      <c r="BI12" s="923" t="s">
        <v>755</v>
      </c>
      <c r="BJ12" s="923" t="s">
        <v>755</v>
      </c>
      <c r="BK12" s="923" t="s">
        <v>755</v>
      </c>
      <c r="BL12" s="923" t="s">
        <v>755</v>
      </c>
      <c r="BM12" s="923" t="s">
        <v>755</v>
      </c>
      <c r="BN12" s="923" t="s">
        <v>755</v>
      </c>
      <c r="BO12" s="923" t="s">
        <v>755</v>
      </c>
      <c r="BP12" s="923" t="s">
        <v>755</v>
      </c>
      <c r="BQ12" s="1440" t="s">
        <v>755</v>
      </c>
      <c r="BR12" s="923" t="s">
        <v>755</v>
      </c>
      <c r="BS12" s="923" t="s">
        <v>755</v>
      </c>
      <c r="BT12" s="923" t="s">
        <v>755</v>
      </c>
      <c r="BU12" s="1440" t="s">
        <v>755</v>
      </c>
      <c r="BV12" s="1440" t="s">
        <v>755</v>
      </c>
      <c r="BW12" s="1440" t="s">
        <v>755</v>
      </c>
      <c r="BX12" s="1440" t="s">
        <v>755</v>
      </c>
      <c r="BY12" s="1440" t="s">
        <v>755</v>
      </c>
      <c r="BZ12" s="1440" t="s">
        <v>755</v>
      </c>
      <c r="CA12" s="1440" t="s">
        <v>755</v>
      </c>
      <c r="CB12" s="1440" t="s">
        <v>755</v>
      </c>
      <c r="CC12" s="1440" t="s">
        <v>755</v>
      </c>
      <c r="CD12" s="1440" t="s">
        <v>755</v>
      </c>
      <c r="CE12" s="1440" t="s">
        <v>755</v>
      </c>
      <c r="CF12" s="1440" t="s">
        <v>755</v>
      </c>
      <c r="CG12" s="1440" t="s">
        <v>755</v>
      </c>
      <c r="CH12" s="1440" t="s">
        <v>755</v>
      </c>
      <c r="CI12" s="1579" t="s">
        <v>756</v>
      </c>
      <c r="CJ12" s="1579" t="s">
        <v>756</v>
      </c>
      <c r="CK12" s="1579" t="s">
        <v>756</v>
      </c>
      <c r="CL12" s="1579" t="s">
        <v>756</v>
      </c>
      <c r="CM12" s="1579" t="s">
        <v>756</v>
      </c>
      <c r="CN12" s="1579" t="s">
        <v>756</v>
      </c>
      <c r="CO12" s="1579" t="s">
        <v>756</v>
      </c>
      <c r="CP12" s="1579" t="s">
        <v>756</v>
      </c>
      <c r="CQ12" s="1579" t="s">
        <v>756</v>
      </c>
      <c r="CR12" s="1579" t="s">
        <v>756</v>
      </c>
      <c r="CS12" s="1579" t="s">
        <v>756</v>
      </c>
      <c r="CT12" s="1579" t="s">
        <v>756</v>
      </c>
      <c r="CU12" s="1579" t="s">
        <v>756</v>
      </c>
      <c r="CV12" s="1579" t="s">
        <v>756</v>
      </c>
      <c r="CW12" s="1579" t="s">
        <v>756</v>
      </c>
      <c r="CX12" s="1579" t="s">
        <v>756</v>
      </c>
      <c r="CY12" s="1579" t="s">
        <v>756</v>
      </c>
      <c r="CZ12" s="1579" t="s">
        <v>756</v>
      </c>
      <c r="DA12" s="1579" t="s">
        <v>756</v>
      </c>
      <c r="DB12" s="1579" t="s">
        <v>756</v>
      </c>
      <c r="DC12" s="1579" t="s">
        <v>756</v>
      </c>
      <c r="DD12" s="1579" t="s">
        <v>756</v>
      </c>
      <c r="DE12" s="1579" t="s">
        <v>756</v>
      </c>
      <c r="DF12" s="1579" t="s">
        <v>756</v>
      </c>
      <c r="DG12" s="1579" t="s">
        <v>756</v>
      </c>
      <c r="DH12" s="1579" t="s">
        <v>756</v>
      </c>
      <c r="DI12" s="1579" t="s">
        <v>756</v>
      </c>
      <c r="DJ12" s="1579" t="s">
        <v>756</v>
      </c>
      <c r="DK12" s="1579" t="s">
        <v>756</v>
      </c>
      <c r="DL12" s="1579" t="s">
        <v>756</v>
      </c>
      <c r="DM12" s="1579" t="s">
        <v>756</v>
      </c>
      <c r="DN12" s="1579" t="s">
        <v>756</v>
      </c>
      <c r="DO12" s="1579" t="s">
        <v>756</v>
      </c>
      <c r="DP12" s="1579" t="s">
        <v>756</v>
      </c>
      <c r="DQ12" s="1579" t="s">
        <v>756</v>
      </c>
      <c r="DR12" s="1579" t="s">
        <v>756</v>
      </c>
      <c r="DS12" s="1579" t="s">
        <v>756</v>
      </c>
      <c r="DT12" s="1579" t="s">
        <v>756</v>
      </c>
      <c r="DU12" s="1579" t="s">
        <v>756</v>
      </c>
      <c r="DV12" s="1579" t="s">
        <v>756</v>
      </c>
      <c r="DW12" s="1579" t="s">
        <v>756</v>
      </c>
      <c r="DX12" s="1579" t="s">
        <v>756</v>
      </c>
      <c r="DY12" s="1579" t="s">
        <v>756</v>
      </c>
      <c r="DZ12" s="1579" t="s">
        <v>756</v>
      </c>
      <c r="EA12" s="1579" t="s">
        <v>756</v>
      </c>
      <c r="EB12" s="1579" t="s">
        <v>756</v>
      </c>
      <c r="EC12" s="1579" t="s">
        <v>756</v>
      </c>
      <c r="ED12" s="1579" t="s">
        <v>756</v>
      </c>
      <c r="EE12" s="1579" t="s">
        <v>756</v>
      </c>
      <c r="EF12" s="1579" t="s">
        <v>756</v>
      </c>
      <c r="EG12" s="1579" t="s">
        <v>756</v>
      </c>
      <c r="EH12" s="1579" t="s">
        <v>756</v>
      </c>
      <c r="EI12" s="1579" t="s">
        <v>756</v>
      </c>
      <c r="EJ12" s="1579" t="s">
        <v>756</v>
      </c>
      <c r="EK12" s="1579" t="s">
        <v>756</v>
      </c>
      <c r="EL12" s="1579" t="s">
        <v>756</v>
      </c>
      <c r="EM12" s="1579" t="s">
        <v>756</v>
      </c>
      <c r="EN12" s="1579" t="s">
        <v>756</v>
      </c>
      <c r="EO12" s="1579" t="s">
        <v>756</v>
      </c>
      <c r="EP12" s="1579" t="s">
        <v>756</v>
      </c>
      <c r="EQ12" s="1579" t="s">
        <v>756</v>
      </c>
      <c r="ER12" s="1579" t="s">
        <v>756</v>
      </c>
      <c r="ES12" s="1579" t="s">
        <v>756</v>
      </c>
      <c r="ET12" s="1579" t="s">
        <v>756</v>
      </c>
      <c r="EU12" s="1579" t="s">
        <v>756</v>
      </c>
      <c r="EV12" s="1579" t="s">
        <v>756</v>
      </c>
      <c r="EW12" s="1579" t="s">
        <v>756</v>
      </c>
      <c r="EX12" s="1579" t="s">
        <v>756</v>
      </c>
      <c r="EY12" s="1579" t="s">
        <v>756</v>
      </c>
      <c r="EZ12" s="1579" t="s">
        <v>756</v>
      </c>
      <c r="FA12" s="1579" t="s">
        <v>756</v>
      </c>
      <c r="FB12" s="1579" t="s">
        <v>756</v>
      </c>
      <c r="FC12" s="1579" t="s">
        <v>756</v>
      </c>
      <c r="FD12" s="1579" t="s">
        <v>756</v>
      </c>
      <c r="FE12" s="1579" t="s">
        <v>756</v>
      </c>
      <c r="FF12" s="1579" t="s">
        <v>756</v>
      </c>
      <c r="FG12" s="1579" t="s">
        <v>756</v>
      </c>
      <c r="FH12" s="1579" t="s">
        <v>756</v>
      </c>
      <c r="FI12" s="1579" t="s">
        <v>756</v>
      </c>
      <c r="FJ12" s="1579" t="s">
        <v>756</v>
      </c>
      <c r="FK12" s="1579" t="s">
        <v>756</v>
      </c>
      <c r="FL12" s="1579" t="s">
        <v>756</v>
      </c>
      <c r="FM12" s="1579" t="s">
        <v>756</v>
      </c>
      <c r="FN12" s="1579" t="s">
        <v>756</v>
      </c>
      <c r="FO12" s="1579" t="s">
        <v>756</v>
      </c>
      <c r="FP12" s="1579" t="s">
        <v>756</v>
      </c>
      <c r="FQ12" s="1579" t="s">
        <v>756</v>
      </c>
      <c r="FR12" s="1579" t="s">
        <v>756</v>
      </c>
      <c r="FS12" s="1579" t="s">
        <v>756</v>
      </c>
      <c r="FT12" s="1579" t="s">
        <v>756</v>
      </c>
      <c r="FU12" s="1579" t="s">
        <v>756</v>
      </c>
      <c r="FV12" s="1579" t="s">
        <v>756</v>
      </c>
      <c r="FW12" s="1579" t="s">
        <v>756</v>
      </c>
      <c r="FX12" s="1579" t="s">
        <v>756</v>
      </c>
      <c r="FY12" s="1579" t="s">
        <v>756</v>
      </c>
      <c r="FZ12" s="1579" t="s">
        <v>756</v>
      </c>
      <c r="GA12" s="1579" t="s">
        <v>756</v>
      </c>
      <c r="GB12" s="1579" t="s">
        <v>756</v>
      </c>
      <c r="GC12" s="1579" t="s">
        <v>756</v>
      </c>
      <c r="GD12" s="1579" t="s">
        <v>756</v>
      </c>
      <c r="GE12" s="1579" t="s">
        <v>756</v>
      </c>
      <c r="GF12" s="1579" t="s">
        <v>756</v>
      </c>
      <c r="GG12" s="1579" t="s">
        <v>756</v>
      </c>
      <c r="GH12" s="1579" t="s">
        <v>756</v>
      </c>
      <c r="GI12" s="1579" t="s">
        <v>756</v>
      </c>
      <c r="GJ12" s="1579" t="s">
        <v>756</v>
      </c>
      <c r="GK12" s="1579" t="s">
        <v>756</v>
      </c>
      <c r="GL12" s="1579" t="s">
        <v>756</v>
      </c>
      <c r="GM12" s="1579" t="s">
        <v>756</v>
      </c>
      <c r="GN12" s="1579" t="s">
        <v>756</v>
      </c>
      <c r="GO12" s="1579" t="s">
        <v>756</v>
      </c>
      <c r="GP12" s="1579" t="s">
        <v>756</v>
      </c>
      <c r="GQ12" s="1579" t="s">
        <v>756</v>
      </c>
      <c r="GR12" s="1579" t="s">
        <v>756</v>
      </c>
      <c r="GS12" s="1579" t="s">
        <v>756</v>
      </c>
      <c r="GT12" s="1579" t="s">
        <v>756</v>
      </c>
      <c r="GU12" s="1579" t="s">
        <v>756</v>
      </c>
      <c r="GV12" s="1579" t="s">
        <v>756</v>
      </c>
      <c r="GW12" s="1579" t="s">
        <v>756</v>
      </c>
      <c r="GX12" s="1579" t="s">
        <v>756</v>
      </c>
      <c r="GY12" s="1579" t="s">
        <v>756</v>
      </c>
      <c r="GZ12" s="1579" t="s">
        <v>756</v>
      </c>
      <c r="HA12" s="1579" t="s">
        <v>756</v>
      </c>
      <c r="HB12" s="1579"/>
      <c r="HC12" s="1579"/>
      <c r="HD12" s="1579"/>
      <c r="HE12" s="1579"/>
      <c r="HF12" s="1580">
        <v>1</v>
      </c>
      <c r="HW12"/>
    </row>
    <row r="13" spans="2:231" ht="16" thickBot="1">
      <c r="B13" s="1" t="s">
        <v>1962</v>
      </c>
      <c r="C13" s="1210">
        <v>79</v>
      </c>
      <c r="D13" s="96">
        <f>HLOOKUP(C13,$L$13:$GT$15,3)</f>
        <v>44957</v>
      </c>
      <c r="I13" s="97"/>
      <c r="K13" s="105">
        <f>Assumptions!J7</f>
        <v>0</v>
      </c>
      <c r="L13" s="106">
        <f>K13+1</f>
        <v>1</v>
      </c>
      <c r="M13" s="106">
        <f t="shared" ref="M13:BX13" si="254">L13+1</f>
        <v>2</v>
      </c>
      <c r="N13" s="106">
        <f t="shared" si="254"/>
        <v>3</v>
      </c>
      <c r="O13" s="106">
        <f t="shared" si="254"/>
        <v>4</v>
      </c>
      <c r="P13" s="106">
        <f t="shared" si="254"/>
        <v>5</v>
      </c>
      <c r="Q13" s="106">
        <f t="shared" si="254"/>
        <v>6</v>
      </c>
      <c r="R13" s="106">
        <f t="shared" si="254"/>
        <v>7</v>
      </c>
      <c r="S13" s="106">
        <f t="shared" si="254"/>
        <v>8</v>
      </c>
      <c r="T13" s="106">
        <f t="shared" si="254"/>
        <v>9</v>
      </c>
      <c r="U13" s="106">
        <f t="shared" si="254"/>
        <v>10</v>
      </c>
      <c r="V13" s="106">
        <f t="shared" si="254"/>
        <v>11</v>
      </c>
      <c r="W13" s="106">
        <f t="shared" si="254"/>
        <v>12</v>
      </c>
      <c r="X13" s="106">
        <f t="shared" si="254"/>
        <v>13</v>
      </c>
      <c r="Y13" s="106">
        <f t="shared" si="254"/>
        <v>14</v>
      </c>
      <c r="Z13" s="106">
        <f t="shared" si="254"/>
        <v>15</v>
      </c>
      <c r="AA13" s="106">
        <f t="shared" si="254"/>
        <v>16</v>
      </c>
      <c r="AB13" s="106">
        <f t="shared" si="254"/>
        <v>17</v>
      </c>
      <c r="AC13" s="106">
        <f t="shared" si="254"/>
        <v>18</v>
      </c>
      <c r="AD13" s="106">
        <f t="shared" si="254"/>
        <v>19</v>
      </c>
      <c r="AE13" s="106">
        <f t="shared" si="254"/>
        <v>20</v>
      </c>
      <c r="AF13" s="106">
        <f t="shared" si="254"/>
        <v>21</v>
      </c>
      <c r="AG13" s="106">
        <f t="shared" si="254"/>
        <v>22</v>
      </c>
      <c r="AH13" s="106">
        <f t="shared" si="254"/>
        <v>23</v>
      </c>
      <c r="AI13" s="106">
        <f t="shared" si="254"/>
        <v>24</v>
      </c>
      <c r="AJ13" s="106">
        <f t="shared" si="254"/>
        <v>25</v>
      </c>
      <c r="AK13" s="106">
        <f t="shared" si="254"/>
        <v>26</v>
      </c>
      <c r="AL13" s="106">
        <f t="shared" si="254"/>
        <v>27</v>
      </c>
      <c r="AM13" s="106">
        <f t="shared" si="254"/>
        <v>28</v>
      </c>
      <c r="AN13" s="106">
        <f t="shared" si="254"/>
        <v>29</v>
      </c>
      <c r="AO13" s="106">
        <f t="shared" si="254"/>
        <v>30</v>
      </c>
      <c r="AP13" s="106">
        <f t="shared" si="254"/>
        <v>31</v>
      </c>
      <c r="AQ13" s="106">
        <f t="shared" si="254"/>
        <v>32</v>
      </c>
      <c r="AR13" s="106">
        <f t="shared" si="254"/>
        <v>33</v>
      </c>
      <c r="AS13" s="106">
        <f t="shared" si="254"/>
        <v>34</v>
      </c>
      <c r="AT13" s="106">
        <f t="shared" si="254"/>
        <v>35</v>
      </c>
      <c r="AU13" s="106">
        <f t="shared" si="254"/>
        <v>36</v>
      </c>
      <c r="AV13" s="106">
        <f t="shared" si="254"/>
        <v>37</v>
      </c>
      <c r="AW13" s="106">
        <f t="shared" si="254"/>
        <v>38</v>
      </c>
      <c r="AX13" s="106">
        <f t="shared" si="254"/>
        <v>39</v>
      </c>
      <c r="AY13" s="106">
        <f t="shared" si="254"/>
        <v>40</v>
      </c>
      <c r="AZ13" s="106">
        <f t="shared" si="254"/>
        <v>41</v>
      </c>
      <c r="BA13" s="106">
        <f t="shared" si="254"/>
        <v>42</v>
      </c>
      <c r="BB13" s="106">
        <f t="shared" si="254"/>
        <v>43</v>
      </c>
      <c r="BC13" s="106">
        <f t="shared" si="254"/>
        <v>44</v>
      </c>
      <c r="BD13" s="106">
        <f t="shared" si="254"/>
        <v>45</v>
      </c>
      <c r="BE13" s="106">
        <f t="shared" si="254"/>
        <v>46</v>
      </c>
      <c r="BF13" s="106">
        <f t="shared" si="254"/>
        <v>47</v>
      </c>
      <c r="BG13" s="106">
        <f t="shared" si="254"/>
        <v>48</v>
      </c>
      <c r="BH13" s="106">
        <f t="shared" si="254"/>
        <v>49</v>
      </c>
      <c r="BI13" s="106">
        <f t="shared" si="254"/>
        <v>50</v>
      </c>
      <c r="BJ13" s="106">
        <f t="shared" si="254"/>
        <v>51</v>
      </c>
      <c r="BK13" s="106">
        <f t="shared" si="254"/>
        <v>52</v>
      </c>
      <c r="BL13" s="106">
        <f t="shared" si="254"/>
        <v>53</v>
      </c>
      <c r="BM13" s="106">
        <f t="shared" si="254"/>
        <v>54</v>
      </c>
      <c r="BN13" s="106">
        <f t="shared" si="254"/>
        <v>55</v>
      </c>
      <c r="BO13" s="106">
        <f t="shared" si="254"/>
        <v>56</v>
      </c>
      <c r="BP13" s="106">
        <f t="shared" si="254"/>
        <v>57</v>
      </c>
      <c r="BQ13" s="106">
        <f t="shared" si="254"/>
        <v>58</v>
      </c>
      <c r="BR13" s="106">
        <f t="shared" si="254"/>
        <v>59</v>
      </c>
      <c r="BS13" s="106">
        <f t="shared" si="254"/>
        <v>60</v>
      </c>
      <c r="BT13" s="106">
        <f t="shared" si="254"/>
        <v>61</v>
      </c>
      <c r="BU13" s="106">
        <f t="shared" si="254"/>
        <v>62</v>
      </c>
      <c r="BV13" s="106">
        <f t="shared" si="254"/>
        <v>63</v>
      </c>
      <c r="BW13" s="106">
        <f t="shared" si="254"/>
        <v>64</v>
      </c>
      <c r="BX13" s="106">
        <f t="shared" si="254"/>
        <v>65</v>
      </c>
      <c r="BY13" s="106">
        <f t="shared" ref="BY13:CE13" si="255">BX13+1</f>
        <v>66</v>
      </c>
      <c r="BZ13" s="106">
        <f t="shared" si="255"/>
        <v>67</v>
      </c>
      <c r="CA13" s="106">
        <f t="shared" si="255"/>
        <v>68</v>
      </c>
      <c r="CB13" s="106">
        <f t="shared" si="255"/>
        <v>69</v>
      </c>
      <c r="CC13" s="106">
        <f t="shared" si="255"/>
        <v>70</v>
      </c>
      <c r="CD13" s="106">
        <f t="shared" si="255"/>
        <v>71</v>
      </c>
      <c r="CE13" s="106">
        <f t="shared" si="255"/>
        <v>72</v>
      </c>
      <c r="CF13" s="106">
        <f t="shared" ref="CF13" si="256">CE13+1</f>
        <v>73</v>
      </c>
      <c r="CG13" s="106">
        <f t="shared" ref="CG13" si="257">CF13+1</f>
        <v>74</v>
      </c>
      <c r="CH13" s="106">
        <f t="shared" ref="CH13" si="258">CG13+1</f>
        <v>75</v>
      </c>
      <c r="CI13" s="106">
        <f t="shared" ref="CI13" si="259">CH13+1</f>
        <v>76</v>
      </c>
      <c r="CJ13" s="106">
        <f t="shared" ref="CJ13" si="260">CI13+1</f>
        <v>77</v>
      </c>
      <c r="CK13" s="106">
        <f t="shared" ref="CK13" si="261">CJ13+1</f>
        <v>78</v>
      </c>
      <c r="CL13" s="106">
        <f t="shared" ref="CL13" si="262">CK13+1</f>
        <v>79</v>
      </c>
      <c r="CM13" s="106">
        <f t="shared" ref="CM13" si="263">CL13+1</f>
        <v>80</v>
      </c>
      <c r="CN13" s="106">
        <f t="shared" ref="CN13" si="264">CM13+1</f>
        <v>81</v>
      </c>
      <c r="CO13" s="106">
        <f t="shared" ref="CO13" si="265">CN13+1</f>
        <v>82</v>
      </c>
      <c r="CP13" s="106">
        <f t="shared" ref="CP13" si="266">CO13+1</f>
        <v>83</v>
      </c>
      <c r="CQ13" s="106">
        <f t="shared" ref="CQ13" si="267">CP13+1</f>
        <v>84</v>
      </c>
      <c r="CR13" s="106">
        <f t="shared" ref="CR13" si="268">CQ13+1</f>
        <v>85</v>
      </c>
      <c r="CS13" s="106">
        <f t="shared" ref="CS13" si="269">CR13+1</f>
        <v>86</v>
      </c>
      <c r="CT13" s="106">
        <f t="shared" ref="CT13" si="270">CS13+1</f>
        <v>87</v>
      </c>
      <c r="CU13" s="106">
        <f t="shared" ref="CU13" si="271">CT13+1</f>
        <v>88</v>
      </c>
      <c r="CV13" s="106">
        <f t="shared" ref="CV13" si="272">CU13+1</f>
        <v>89</v>
      </c>
      <c r="CW13" s="106">
        <f t="shared" ref="CW13" si="273">CV13+1</f>
        <v>90</v>
      </c>
      <c r="CX13" s="106">
        <f t="shared" ref="CX13" si="274">CW13+1</f>
        <v>91</v>
      </c>
      <c r="CY13" s="106">
        <f t="shared" ref="CY13" si="275">CX13+1</f>
        <v>92</v>
      </c>
      <c r="CZ13" s="106">
        <f t="shared" ref="CZ13" si="276">CY13+1</f>
        <v>93</v>
      </c>
      <c r="DA13" s="106">
        <f t="shared" ref="DA13" si="277">CZ13+1</f>
        <v>94</v>
      </c>
      <c r="DB13" s="106">
        <f t="shared" ref="DB13" si="278">DA13+1</f>
        <v>95</v>
      </c>
      <c r="DC13" s="106">
        <f t="shared" ref="DC13" si="279">DB13+1</f>
        <v>96</v>
      </c>
      <c r="DD13" s="106">
        <f t="shared" ref="DD13" si="280">DC13+1</f>
        <v>97</v>
      </c>
      <c r="DE13" s="106">
        <f t="shared" ref="DE13" si="281">DD13+1</f>
        <v>98</v>
      </c>
      <c r="DF13" s="106">
        <f t="shared" ref="DF13" si="282">DE13+1</f>
        <v>99</v>
      </c>
      <c r="DG13" s="106">
        <f t="shared" ref="DG13" si="283">DF13+1</f>
        <v>100</v>
      </c>
      <c r="DH13" s="106">
        <f t="shared" ref="DH13" si="284">DG13+1</f>
        <v>101</v>
      </c>
      <c r="DI13" s="106">
        <f t="shared" ref="DI13" si="285">DH13+1</f>
        <v>102</v>
      </c>
      <c r="DJ13" s="106">
        <f t="shared" ref="DJ13" si="286">DI13+1</f>
        <v>103</v>
      </c>
      <c r="DK13" s="106">
        <f t="shared" ref="DK13" si="287">DJ13+1</f>
        <v>104</v>
      </c>
      <c r="DL13" s="106">
        <f t="shared" ref="DL13" si="288">DK13+1</f>
        <v>105</v>
      </c>
      <c r="DM13" s="106">
        <f t="shared" ref="DM13" si="289">DL13+1</f>
        <v>106</v>
      </c>
      <c r="DN13" s="106">
        <f t="shared" ref="DN13" si="290">DM13+1</f>
        <v>107</v>
      </c>
      <c r="DO13" s="106">
        <f t="shared" ref="DO13" si="291">DN13+1</f>
        <v>108</v>
      </c>
      <c r="DP13" s="106">
        <f t="shared" ref="DP13" si="292">DO13+1</f>
        <v>109</v>
      </c>
      <c r="DQ13" s="106">
        <f t="shared" ref="DQ13" si="293">DP13+1</f>
        <v>110</v>
      </c>
      <c r="DR13" s="106">
        <f t="shared" ref="DR13" si="294">DQ13+1</f>
        <v>111</v>
      </c>
      <c r="DS13" s="106">
        <f t="shared" ref="DS13" si="295">DR13+1</f>
        <v>112</v>
      </c>
      <c r="DT13" s="106">
        <f t="shared" ref="DT13" si="296">DS13+1</f>
        <v>113</v>
      </c>
      <c r="DU13" s="106">
        <f t="shared" ref="DU13" si="297">DT13+1</f>
        <v>114</v>
      </c>
      <c r="DV13" s="106">
        <f t="shared" ref="DV13" si="298">DU13+1</f>
        <v>115</v>
      </c>
      <c r="DW13" s="106">
        <f t="shared" ref="DW13" si="299">DV13+1</f>
        <v>116</v>
      </c>
      <c r="DX13" s="106">
        <f t="shared" ref="DX13" si="300">DW13+1</f>
        <v>117</v>
      </c>
      <c r="DY13" s="106">
        <f t="shared" ref="DY13" si="301">DX13+1</f>
        <v>118</v>
      </c>
      <c r="DZ13" s="106">
        <f t="shared" ref="DZ13" si="302">DY13+1</f>
        <v>119</v>
      </c>
      <c r="EA13" s="106">
        <f t="shared" ref="EA13" si="303">DZ13+1</f>
        <v>120</v>
      </c>
      <c r="EB13" s="106">
        <f t="shared" ref="EB13" si="304">EA13+1</f>
        <v>121</v>
      </c>
      <c r="EC13" s="106">
        <f t="shared" ref="EC13" si="305">EB13+1</f>
        <v>122</v>
      </c>
      <c r="ED13" s="106">
        <f t="shared" ref="ED13" si="306">EC13+1</f>
        <v>123</v>
      </c>
      <c r="EE13" s="106">
        <f t="shared" ref="EE13" si="307">ED13+1</f>
        <v>124</v>
      </c>
      <c r="EF13" s="106">
        <f t="shared" ref="EF13" si="308">EE13+1</f>
        <v>125</v>
      </c>
      <c r="EG13" s="106">
        <f t="shared" ref="EG13" si="309">EF13+1</f>
        <v>126</v>
      </c>
      <c r="EH13" s="106">
        <f t="shared" ref="EH13" si="310">EG13+1</f>
        <v>127</v>
      </c>
      <c r="EI13" s="106">
        <f t="shared" ref="EI13" si="311">EH13+1</f>
        <v>128</v>
      </c>
      <c r="EJ13" s="106">
        <f t="shared" ref="EJ13" si="312">EI13+1</f>
        <v>129</v>
      </c>
      <c r="EK13" s="106">
        <f t="shared" ref="EK13" si="313">EJ13+1</f>
        <v>130</v>
      </c>
      <c r="EL13" s="106">
        <f t="shared" ref="EL13" si="314">EK13+1</f>
        <v>131</v>
      </c>
      <c r="EM13" s="106">
        <f t="shared" ref="EM13" si="315">EL13+1</f>
        <v>132</v>
      </c>
      <c r="EN13" s="106">
        <f t="shared" ref="EN13" si="316">EM13+1</f>
        <v>133</v>
      </c>
      <c r="EO13" s="106">
        <f t="shared" ref="EO13" si="317">EN13+1</f>
        <v>134</v>
      </c>
      <c r="EP13" s="106">
        <f t="shared" ref="EP13" si="318">EO13+1</f>
        <v>135</v>
      </c>
      <c r="EQ13" s="106">
        <f t="shared" ref="EQ13" si="319">EP13+1</f>
        <v>136</v>
      </c>
      <c r="ER13" s="106">
        <f t="shared" ref="ER13" si="320">EQ13+1</f>
        <v>137</v>
      </c>
      <c r="ES13" s="106">
        <f t="shared" ref="ES13" si="321">ER13+1</f>
        <v>138</v>
      </c>
      <c r="ET13" s="106">
        <f t="shared" ref="ET13" si="322">ES13+1</f>
        <v>139</v>
      </c>
      <c r="EU13" s="106">
        <f t="shared" ref="EU13" si="323">ET13+1</f>
        <v>140</v>
      </c>
      <c r="EV13" s="106">
        <f t="shared" ref="EV13" si="324">EU13+1</f>
        <v>141</v>
      </c>
      <c r="EW13" s="106">
        <f t="shared" ref="EW13" si="325">EV13+1</f>
        <v>142</v>
      </c>
      <c r="EX13" s="106">
        <f t="shared" ref="EX13" si="326">EW13+1</f>
        <v>143</v>
      </c>
      <c r="EY13" s="106">
        <f t="shared" ref="EY13" si="327">EX13+1</f>
        <v>144</v>
      </c>
      <c r="EZ13" s="106">
        <f t="shared" ref="EZ13" si="328">EY13+1</f>
        <v>145</v>
      </c>
      <c r="FA13" s="106">
        <f t="shared" ref="FA13" si="329">EZ13+1</f>
        <v>146</v>
      </c>
      <c r="FB13" s="106">
        <f t="shared" ref="FB13" si="330">FA13+1</f>
        <v>147</v>
      </c>
      <c r="FC13" s="106">
        <f t="shared" ref="FC13" si="331">FB13+1</f>
        <v>148</v>
      </c>
      <c r="FD13" s="106">
        <f t="shared" ref="FD13" si="332">FC13+1</f>
        <v>149</v>
      </c>
      <c r="FE13" s="106">
        <f t="shared" ref="FE13" si="333">FD13+1</f>
        <v>150</v>
      </c>
      <c r="FF13" s="106">
        <f t="shared" ref="FF13" si="334">FE13+1</f>
        <v>151</v>
      </c>
      <c r="FG13" s="106">
        <f t="shared" ref="FG13" si="335">FF13+1</f>
        <v>152</v>
      </c>
      <c r="FH13" s="106">
        <f t="shared" ref="FH13" si="336">FG13+1</f>
        <v>153</v>
      </c>
      <c r="FI13" s="106">
        <f t="shared" ref="FI13" si="337">FH13+1</f>
        <v>154</v>
      </c>
      <c r="FJ13" s="106">
        <f t="shared" ref="FJ13" si="338">FI13+1</f>
        <v>155</v>
      </c>
      <c r="FK13" s="106">
        <f t="shared" ref="FK13" si="339">FJ13+1</f>
        <v>156</v>
      </c>
      <c r="FL13" s="106">
        <f t="shared" ref="FL13" si="340">FK13+1</f>
        <v>157</v>
      </c>
      <c r="FM13" s="106">
        <f t="shared" ref="FM13" si="341">FL13+1</f>
        <v>158</v>
      </c>
      <c r="FN13" s="106">
        <f t="shared" ref="FN13" si="342">FM13+1</f>
        <v>159</v>
      </c>
      <c r="FO13" s="106">
        <f t="shared" ref="FO13" si="343">FN13+1</f>
        <v>160</v>
      </c>
      <c r="FP13" s="106">
        <f t="shared" ref="FP13" si="344">FO13+1</f>
        <v>161</v>
      </c>
      <c r="FQ13" s="106">
        <f t="shared" ref="FQ13" si="345">FP13+1</f>
        <v>162</v>
      </c>
      <c r="FR13" s="106">
        <f t="shared" ref="FR13" si="346">FQ13+1</f>
        <v>163</v>
      </c>
      <c r="FS13" s="106">
        <f t="shared" ref="FS13" si="347">FR13+1</f>
        <v>164</v>
      </c>
      <c r="FT13" s="106">
        <f t="shared" ref="FT13" si="348">FS13+1</f>
        <v>165</v>
      </c>
      <c r="FU13" s="106">
        <f t="shared" ref="FU13" si="349">FT13+1</f>
        <v>166</v>
      </c>
      <c r="FV13" s="106">
        <f t="shared" ref="FV13" si="350">FU13+1</f>
        <v>167</v>
      </c>
      <c r="FW13" s="106">
        <f t="shared" ref="FW13" si="351">FV13+1</f>
        <v>168</v>
      </c>
      <c r="FX13" s="106">
        <f t="shared" ref="FX13" si="352">FW13+1</f>
        <v>169</v>
      </c>
      <c r="FY13" s="106">
        <f t="shared" ref="FY13" si="353">FX13+1</f>
        <v>170</v>
      </c>
      <c r="FZ13" s="106">
        <f t="shared" ref="FZ13" si="354">FY13+1</f>
        <v>171</v>
      </c>
      <c r="GA13" s="106">
        <f t="shared" ref="GA13" si="355">FZ13+1</f>
        <v>172</v>
      </c>
      <c r="GB13" s="106">
        <f t="shared" ref="GB13" si="356">GA13+1</f>
        <v>173</v>
      </c>
      <c r="GC13" s="106">
        <f t="shared" ref="GC13" si="357">GB13+1</f>
        <v>174</v>
      </c>
      <c r="GD13" s="106">
        <f t="shared" ref="GD13" si="358">GC13+1</f>
        <v>175</v>
      </c>
      <c r="GE13" s="106">
        <f t="shared" ref="GE13" si="359">GD13+1</f>
        <v>176</v>
      </c>
      <c r="GF13" s="106">
        <f t="shared" ref="GF13" si="360">GE13+1</f>
        <v>177</v>
      </c>
      <c r="GG13" s="106">
        <f t="shared" ref="GG13" si="361">GF13+1</f>
        <v>178</v>
      </c>
      <c r="GH13" s="106">
        <f t="shared" ref="GH13" si="362">GG13+1</f>
        <v>179</v>
      </c>
      <c r="GI13" s="106">
        <f t="shared" ref="GI13" si="363">GH13+1</f>
        <v>180</v>
      </c>
      <c r="GJ13" s="106">
        <f t="shared" ref="GJ13" si="364">GI13+1</f>
        <v>181</v>
      </c>
      <c r="GK13" s="106">
        <f t="shared" ref="GK13" si="365">GJ13+1</f>
        <v>182</v>
      </c>
      <c r="GL13" s="106">
        <f t="shared" ref="GL13" si="366">GK13+1</f>
        <v>183</v>
      </c>
      <c r="GM13" s="106">
        <f t="shared" ref="GM13" si="367">GL13+1</f>
        <v>184</v>
      </c>
      <c r="GN13" s="106">
        <f t="shared" ref="GN13" si="368">GM13+1</f>
        <v>185</v>
      </c>
      <c r="GO13" s="106">
        <f t="shared" ref="GO13" si="369">GN13+1</f>
        <v>186</v>
      </c>
      <c r="GP13" s="106">
        <f t="shared" ref="GP13" si="370">GO13+1</f>
        <v>187</v>
      </c>
      <c r="GQ13" s="106">
        <f t="shared" ref="GQ13" si="371">GP13+1</f>
        <v>188</v>
      </c>
      <c r="GR13" s="106">
        <f t="shared" ref="GR13" si="372">GQ13+1</f>
        <v>189</v>
      </c>
      <c r="GS13" s="106">
        <f t="shared" ref="GS13" si="373">GR13+1</f>
        <v>190</v>
      </c>
      <c r="GT13" s="106">
        <f t="shared" ref="GT13" si="374">GS13+1</f>
        <v>191</v>
      </c>
      <c r="GU13" s="106">
        <f t="shared" ref="GU13" si="375">GT13+1</f>
        <v>192</v>
      </c>
      <c r="GV13" s="106">
        <f t="shared" ref="GV13" si="376">GU13+1</f>
        <v>193</v>
      </c>
      <c r="GW13" s="106">
        <f t="shared" ref="GW13" si="377">GV13+1</f>
        <v>194</v>
      </c>
      <c r="GX13" s="106">
        <f t="shared" ref="GX13" si="378">GW13+1</f>
        <v>195</v>
      </c>
      <c r="GY13" s="106">
        <f t="shared" ref="GY13" si="379">GX13+1</f>
        <v>196</v>
      </c>
      <c r="GZ13" s="106">
        <f t="shared" ref="GZ13" si="380">GY13+1</f>
        <v>197</v>
      </c>
      <c r="HA13" s="106">
        <f t="shared" ref="HA13" si="381">GZ13+1</f>
        <v>198</v>
      </c>
      <c r="HB13" s="106"/>
      <c r="HC13" s="106"/>
      <c r="HD13" s="106"/>
      <c r="HE13" s="106"/>
      <c r="HF13" s="107"/>
      <c r="HH13" s="108" t="s">
        <v>94</v>
      </c>
      <c r="HI13" s="109"/>
      <c r="HJ13" s="109"/>
      <c r="HK13" s="109"/>
      <c r="HL13" s="109"/>
      <c r="HM13" s="109"/>
      <c r="HN13" s="109"/>
      <c r="HO13" s="109"/>
      <c r="HP13" s="109"/>
      <c r="HQ13" s="109"/>
      <c r="HR13" s="109"/>
      <c r="HS13" s="109"/>
      <c r="HT13" s="109"/>
      <c r="HU13" s="3"/>
      <c r="HV13" s="3"/>
      <c r="HW13"/>
    </row>
    <row r="14" spans="2:231" ht="15">
      <c r="I14" s="97"/>
      <c r="K14" s="110">
        <f>ROUNDUP(K13/12,0)</f>
        <v>0</v>
      </c>
      <c r="L14" s="111">
        <f>ROUNDUP(L13/12,0)</f>
        <v>1</v>
      </c>
      <c r="M14" s="111">
        <f t="shared" ref="M14:BX14" si="382">ROUNDUP(M13/12,0)</f>
        <v>1</v>
      </c>
      <c r="N14" s="111">
        <f t="shared" si="382"/>
        <v>1</v>
      </c>
      <c r="O14" s="111">
        <f t="shared" si="382"/>
        <v>1</v>
      </c>
      <c r="P14" s="111">
        <f t="shared" si="382"/>
        <v>1</v>
      </c>
      <c r="Q14" s="111">
        <f t="shared" si="382"/>
        <v>1</v>
      </c>
      <c r="R14" s="111">
        <f t="shared" si="382"/>
        <v>1</v>
      </c>
      <c r="S14" s="111">
        <f t="shared" si="382"/>
        <v>1</v>
      </c>
      <c r="T14" s="111">
        <f t="shared" si="382"/>
        <v>1</v>
      </c>
      <c r="U14" s="111">
        <f t="shared" si="382"/>
        <v>1</v>
      </c>
      <c r="V14" s="111">
        <f t="shared" si="382"/>
        <v>1</v>
      </c>
      <c r="W14" s="111">
        <f t="shared" si="382"/>
        <v>1</v>
      </c>
      <c r="X14" s="111">
        <f t="shared" si="382"/>
        <v>2</v>
      </c>
      <c r="Y14" s="111">
        <f t="shared" si="382"/>
        <v>2</v>
      </c>
      <c r="Z14" s="111">
        <f t="shared" si="382"/>
        <v>2</v>
      </c>
      <c r="AA14" s="111">
        <f t="shared" si="382"/>
        <v>2</v>
      </c>
      <c r="AB14" s="111">
        <f t="shared" si="382"/>
        <v>2</v>
      </c>
      <c r="AC14" s="111">
        <f t="shared" si="382"/>
        <v>2</v>
      </c>
      <c r="AD14" s="111">
        <f t="shared" si="382"/>
        <v>2</v>
      </c>
      <c r="AE14" s="111">
        <f t="shared" si="382"/>
        <v>2</v>
      </c>
      <c r="AF14" s="111">
        <f t="shared" si="382"/>
        <v>2</v>
      </c>
      <c r="AG14" s="111">
        <f t="shared" si="382"/>
        <v>2</v>
      </c>
      <c r="AH14" s="111">
        <f t="shared" si="382"/>
        <v>2</v>
      </c>
      <c r="AI14" s="111">
        <f t="shared" si="382"/>
        <v>2</v>
      </c>
      <c r="AJ14" s="111">
        <f t="shared" si="382"/>
        <v>3</v>
      </c>
      <c r="AK14" s="111">
        <f t="shared" si="382"/>
        <v>3</v>
      </c>
      <c r="AL14" s="111">
        <f t="shared" si="382"/>
        <v>3</v>
      </c>
      <c r="AM14" s="111">
        <f t="shared" si="382"/>
        <v>3</v>
      </c>
      <c r="AN14" s="111">
        <f t="shared" si="382"/>
        <v>3</v>
      </c>
      <c r="AO14" s="111">
        <f t="shared" si="382"/>
        <v>3</v>
      </c>
      <c r="AP14" s="111">
        <f t="shared" si="382"/>
        <v>3</v>
      </c>
      <c r="AQ14" s="111">
        <f t="shared" si="382"/>
        <v>3</v>
      </c>
      <c r="AR14" s="111">
        <f t="shared" si="382"/>
        <v>3</v>
      </c>
      <c r="AS14" s="111">
        <f t="shared" si="382"/>
        <v>3</v>
      </c>
      <c r="AT14" s="111">
        <f t="shared" si="382"/>
        <v>3</v>
      </c>
      <c r="AU14" s="111">
        <f t="shared" si="382"/>
        <v>3</v>
      </c>
      <c r="AV14" s="111">
        <f t="shared" si="382"/>
        <v>4</v>
      </c>
      <c r="AW14" s="111">
        <f t="shared" si="382"/>
        <v>4</v>
      </c>
      <c r="AX14" s="111">
        <f t="shared" si="382"/>
        <v>4</v>
      </c>
      <c r="AY14" s="111">
        <f t="shared" si="382"/>
        <v>4</v>
      </c>
      <c r="AZ14" s="111">
        <f t="shared" si="382"/>
        <v>4</v>
      </c>
      <c r="BA14" s="111">
        <f t="shared" si="382"/>
        <v>4</v>
      </c>
      <c r="BB14" s="111">
        <f t="shared" si="382"/>
        <v>4</v>
      </c>
      <c r="BC14" s="111">
        <f t="shared" si="382"/>
        <v>4</v>
      </c>
      <c r="BD14" s="111">
        <f t="shared" si="382"/>
        <v>4</v>
      </c>
      <c r="BE14" s="111">
        <f t="shared" si="382"/>
        <v>4</v>
      </c>
      <c r="BF14" s="111">
        <f t="shared" si="382"/>
        <v>4</v>
      </c>
      <c r="BG14" s="111">
        <f t="shared" si="382"/>
        <v>4</v>
      </c>
      <c r="BH14" s="111">
        <f t="shared" si="382"/>
        <v>5</v>
      </c>
      <c r="BI14" s="111">
        <f t="shared" si="382"/>
        <v>5</v>
      </c>
      <c r="BJ14" s="111">
        <f t="shared" si="382"/>
        <v>5</v>
      </c>
      <c r="BK14" s="111">
        <f t="shared" si="382"/>
        <v>5</v>
      </c>
      <c r="BL14" s="111">
        <f t="shared" si="382"/>
        <v>5</v>
      </c>
      <c r="BM14" s="111">
        <f t="shared" si="382"/>
        <v>5</v>
      </c>
      <c r="BN14" s="111">
        <f t="shared" si="382"/>
        <v>5</v>
      </c>
      <c r="BO14" s="111">
        <f t="shared" si="382"/>
        <v>5</v>
      </c>
      <c r="BP14" s="111">
        <f t="shared" si="382"/>
        <v>5</v>
      </c>
      <c r="BQ14" s="111">
        <f t="shared" si="382"/>
        <v>5</v>
      </c>
      <c r="BR14" s="111">
        <f t="shared" si="382"/>
        <v>5</v>
      </c>
      <c r="BS14" s="111">
        <f t="shared" si="382"/>
        <v>5</v>
      </c>
      <c r="BT14" s="111">
        <f t="shared" si="382"/>
        <v>6</v>
      </c>
      <c r="BU14" s="111">
        <f t="shared" si="382"/>
        <v>6</v>
      </c>
      <c r="BV14" s="111">
        <f t="shared" si="382"/>
        <v>6</v>
      </c>
      <c r="BW14" s="111">
        <f t="shared" si="382"/>
        <v>6</v>
      </c>
      <c r="BX14" s="111">
        <f t="shared" si="382"/>
        <v>6</v>
      </c>
      <c r="BY14" s="111">
        <f t="shared" ref="BY14:CE14" si="383">ROUNDUP(BY13/12,0)</f>
        <v>6</v>
      </c>
      <c r="BZ14" s="111">
        <f t="shared" si="383"/>
        <v>6</v>
      </c>
      <c r="CA14" s="111">
        <f t="shared" si="383"/>
        <v>6</v>
      </c>
      <c r="CB14" s="111">
        <f t="shared" si="383"/>
        <v>6</v>
      </c>
      <c r="CC14" s="111">
        <f t="shared" si="383"/>
        <v>6</v>
      </c>
      <c r="CD14" s="111">
        <f t="shared" si="383"/>
        <v>6</v>
      </c>
      <c r="CE14" s="111">
        <f t="shared" si="383"/>
        <v>6</v>
      </c>
      <c r="CF14" s="111">
        <f t="shared" ref="CF14:EL14" si="384">ROUNDUP(CF13/12,0)</f>
        <v>7</v>
      </c>
      <c r="CG14" s="111">
        <f t="shared" si="384"/>
        <v>7</v>
      </c>
      <c r="CH14" s="111">
        <f t="shared" si="384"/>
        <v>7</v>
      </c>
      <c r="CI14" s="111">
        <f t="shared" si="384"/>
        <v>7</v>
      </c>
      <c r="CJ14" s="111">
        <f t="shared" si="384"/>
        <v>7</v>
      </c>
      <c r="CK14" s="111">
        <f t="shared" si="384"/>
        <v>7</v>
      </c>
      <c r="CL14" s="111">
        <f t="shared" si="384"/>
        <v>7</v>
      </c>
      <c r="CM14" s="111">
        <f t="shared" si="384"/>
        <v>7</v>
      </c>
      <c r="CN14" s="111">
        <f t="shared" si="384"/>
        <v>7</v>
      </c>
      <c r="CO14" s="111">
        <f t="shared" si="384"/>
        <v>7</v>
      </c>
      <c r="CP14" s="111">
        <f t="shared" si="384"/>
        <v>7</v>
      </c>
      <c r="CQ14" s="111">
        <f t="shared" si="384"/>
        <v>7</v>
      </c>
      <c r="CR14" s="111">
        <f t="shared" si="384"/>
        <v>8</v>
      </c>
      <c r="CS14" s="111">
        <f t="shared" si="384"/>
        <v>8</v>
      </c>
      <c r="CT14" s="111">
        <f t="shared" si="384"/>
        <v>8</v>
      </c>
      <c r="CU14" s="111">
        <f t="shared" si="384"/>
        <v>8</v>
      </c>
      <c r="CV14" s="111">
        <f t="shared" si="384"/>
        <v>8</v>
      </c>
      <c r="CW14" s="111">
        <f t="shared" si="384"/>
        <v>8</v>
      </c>
      <c r="CX14" s="111">
        <f t="shared" si="384"/>
        <v>8</v>
      </c>
      <c r="CY14" s="111">
        <f t="shared" si="384"/>
        <v>8</v>
      </c>
      <c r="CZ14" s="111">
        <f t="shared" si="384"/>
        <v>8</v>
      </c>
      <c r="DA14" s="111">
        <f t="shared" si="384"/>
        <v>8</v>
      </c>
      <c r="DB14" s="111">
        <f t="shared" si="384"/>
        <v>8</v>
      </c>
      <c r="DC14" s="111">
        <f t="shared" si="384"/>
        <v>8</v>
      </c>
      <c r="DD14" s="111">
        <f t="shared" si="384"/>
        <v>9</v>
      </c>
      <c r="DE14" s="111">
        <f t="shared" si="384"/>
        <v>9</v>
      </c>
      <c r="DF14" s="111">
        <f t="shared" si="384"/>
        <v>9</v>
      </c>
      <c r="DG14" s="111">
        <f t="shared" si="384"/>
        <v>9</v>
      </c>
      <c r="DH14" s="111">
        <f t="shared" si="384"/>
        <v>9</v>
      </c>
      <c r="DI14" s="111">
        <f t="shared" si="384"/>
        <v>9</v>
      </c>
      <c r="DJ14" s="111">
        <f t="shared" si="384"/>
        <v>9</v>
      </c>
      <c r="DK14" s="111">
        <f t="shared" si="384"/>
        <v>9</v>
      </c>
      <c r="DL14" s="111">
        <f t="shared" si="384"/>
        <v>9</v>
      </c>
      <c r="DM14" s="111">
        <f t="shared" si="384"/>
        <v>9</v>
      </c>
      <c r="DN14" s="111">
        <f t="shared" si="384"/>
        <v>9</v>
      </c>
      <c r="DO14" s="111">
        <f t="shared" si="384"/>
        <v>9</v>
      </c>
      <c r="DP14" s="111">
        <f t="shared" si="384"/>
        <v>10</v>
      </c>
      <c r="DQ14" s="111">
        <f t="shared" si="384"/>
        <v>10</v>
      </c>
      <c r="DR14" s="111">
        <f t="shared" si="384"/>
        <v>10</v>
      </c>
      <c r="DS14" s="111">
        <f t="shared" si="384"/>
        <v>10</v>
      </c>
      <c r="DT14" s="111">
        <f t="shared" si="384"/>
        <v>10</v>
      </c>
      <c r="DU14" s="111">
        <f t="shared" si="384"/>
        <v>10</v>
      </c>
      <c r="DV14" s="111">
        <f t="shared" si="384"/>
        <v>10</v>
      </c>
      <c r="DW14" s="111">
        <f t="shared" si="384"/>
        <v>10</v>
      </c>
      <c r="DX14" s="111">
        <f t="shared" si="384"/>
        <v>10</v>
      </c>
      <c r="DY14" s="111">
        <f t="shared" si="384"/>
        <v>10</v>
      </c>
      <c r="DZ14" s="111">
        <f t="shared" si="384"/>
        <v>10</v>
      </c>
      <c r="EA14" s="111">
        <f t="shared" si="384"/>
        <v>10</v>
      </c>
      <c r="EB14" s="111">
        <f t="shared" si="384"/>
        <v>11</v>
      </c>
      <c r="EC14" s="111">
        <f t="shared" si="384"/>
        <v>11</v>
      </c>
      <c r="ED14" s="111">
        <f t="shared" si="384"/>
        <v>11</v>
      </c>
      <c r="EE14" s="111">
        <f t="shared" si="384"/>
        <v>11</v>
      </c>
      <c r="EF14" s="111">
        <f t="shared" si="384"/>
        <v>11</v>
      </c>
      <c r="EG14" s="111">
        <f t="shared" si="384"/>
        <v>11</v>
      </c>
      <c r="EH14" s="111">
        <f t="shared" si="384"/>
        <v>11</v>
      </c>
      <c r="EI14" s="111">
        <f t="shared" si="384"/>
        <v>11</v>
      </c>
      <c r="EJ14" s="111">
        <f t="shared" si="384"/>
        <v>11</v>
      </c>
      <c r="EK14" s="111">
        <f t="shared" si="384"/>
        <v>11</v>
      </c>
      <c r="EL14" s="111">
        <f t="shared" si="384"/>
        <v>11</v>
      </c>
      <c r="EM14" s="111">
        <f t="shared" ref="EM14:FD14" si="385">ROUNDUP(EM13/12,0)</f>
        <v>11</v>
      </c>
      <c r="EN14" s="111">
        <f t="shared" si="385"/>
        <v>12</v>
      </c>
      <c r="EO14" s="111">
        <f t="shared" si="385"/>
        <v>12</v>
      </c>
      <c r="EP14" s="111">
        <f t="shared" si="385"/>
        <v>12</v>
      </c>
      <c r="EQ14" s="111">
        <f t="shared" si="385"/>
        <v>12</v>
      </c>
      <c r="ER14" s="111">
        <f t="shared" si="385"/>
        <v>12</v>
      </c>
      <c r="ES14" s="111">
        <f t="shared" si="385"/>
        <v>12</v>
      </c>
      <c r="ET14" s="111">
        <f t="shared" si="385"/>
        <v>12</v>
      </c>
      <c r="EU14" s="111">
        <f t="shared" si="385"/>
        <v>12</v>
      </c>
      <c r="EV14" s="111">
        <f t="shared" si="385"/>
        <v>12</v>
      </c>
      <c r="EW14" s="111">
        <f t="shared" si="385"/>
        <v>12</v>
      </c>
      <c r="EX14" s="111">
        <f t="shared" si="385"/>
        <v>12</v>
      </c>
      <c r="EY14" s="111">
        <f t="shared" si="385"/>
        <v>12</v>
      </c>
      <c r="EZ14" s="111">
        <f t="shared" si="385"/>
        <v>13</v>
      </c>
      <c r="FA14" s="111">
        <f t="shared" si="385"/>
        <v>13</v>
      </c>
      <c r="FB14" s="111">
        <f t="shared" si="385"/>
        <v>13</v>
      </c>
      <c r="FC14" s="111">
        <f t="shared" si="385"/>
        <v>13</v>
      </c>
      <c r="FD14" s="111">
        <f t="shared" si="385"/>
        <v>13</v>
      </c>
      <c r="FE14" s="111">
        <f t="shared" ref="FE14:FI14" si="386">ROUNDUP(FE13/12,0)</f>
        <v>13</v>
      </c>
      <c r="FF14" s="111">
        <f t="shared" si="386"/>
        <v>13</v>
      </c>
      <c r="FG14" s="111">
        <f t="shared" si="386"/>
        <v>13</v>
      </c>
      <c r="FH14" s="111">
        <f t="shared" si="386"/>
        <v>13</v>
      </c>
      <c r="FI14" s="111">
        <f t="shared" si="386"/>
        <v>13</v>
      </c>
      <c r="FJ14" s="111">
        <f t="shared" ref="FJ14:GC14" si="387">ROUNDUP(FJ13/12,0)</f>
        <v>13</v>
      </c>
      <c r="FK14" s="111">
        <f t="shared" si="387"/>
        <v>13</v>
      </c>
      <c r="FL14" s="111">
        <f t="shared" si="387"/>
        <v>14</v>
      </c>
      <c r="FM14" s="111">
        <f t="shared" si="387"/>
        <v>14</v>
      </c>
      <c r="FN14" s="111">
        <f t="shared" si="387"/>
        <v>14</v>
      </c>
      <c r="FO14" s="111">
        <f t="shared" si="387"/>
        <v>14</v>
      </c>
      <c r="FP14" s="111">
        <f t="shared" si="387"/>
        <v>14</v>
      </c>
      <c r="FQ14" s="111">
        <f t="shared" si="387"/>
        <v>14</v>
      </c>
      <c r="FR14" s="111">
        <f t="shared" si="387"/>
        <v>14</v>
      </c>
      <c r="FS14" s="111">
        <f t="shared" si="387"/>
        <v>14</v>
      </c>
      <c r="FT14" s="111">
        <f t="shared" si="387"/>
        <v>14</v>
      </c>
      <c r="FU14" s="111">
        <f t="shared" si="387"/>
        <v>14</v>
      </c>
      <c r="FV14" s="111">
        <f t="shared" si="387"/>
        <v>14</v>
      </c>
      <c r="FW14" s="111">
        <f t="shared" si="387"/>
        <v>14</v>
      </c>
      <c r="FX14" s="111">
        <f t="shared" si="387"/>
        <v>15</v>
      </c>
      <c r="FY14" s="111">
        <f t="shared" si="387"/>
        <v>15</v>
      </c>
      <c r="FZ14" s="111">
        <f t="shared" si="387"/>
        <v>15</v>
      </c>
      <c r="GA14" s="111">
        <f t="shared" si="387"/>
        <v>15</v>
      </c>
      <c r="GB14" s="111">
        <f t="shared" si="387"/>
        <v>15</v>
      </c>
      <c r="GC14" s="111">
        <f t="shared" si="387"/>
        <v>15</v>
      </c>
      <c r="GD14" s="111">
        <f t="shared" ref="GD14:HA14" si="388">ROUNDUP(GD13/12,0)</f>
        <v>15</v>
      </c>
      <c r="GE14" s="111">
        <f t="shared" si="388"/>
        <v>15</v>
      </c>
      <c r="GF14" s="111">
        <f t="shared" si="388"/>
        <v>15</v>
      </c>
      <c r="GG14" s="111">
        <f t="shared" si="388"/>
        <v>15</v>
      </c>
      <c r="GH14" s="111">
        <f t="shared" si="388"/>
        <v>15</v>
      </c>
      <c r="GI14" s="111">
        <f t="shared" si="388"/>
        <v>15</v>
      </c>
      <c r="GJ14" s="111">
        <f t="shared" si="388"/>
        <v>16</v>
      </c>
      <c r="GK14" s="111">
        <f t="shared" si="388"/>
        <v>16</v>
      </c>
      <c r="GL14" s="111">
        <f t="shared" si="388"/>
        <v>16</v>
      </c>
      <c r="GM14" s="111">
        <f t="shared" si="388"/>
        <v>16</v>
      </c>
      <c r="GN14" s="111">
        <f t="shared" si="388"/>
        <v>16</v>
      </c>
      <c r="GO14" s="111">
        <f t="shared" si="388"/>
        <v>16</v>
      </c>
      <c r="GP14" s="111">
        <f t="shared" si="388"/>
        <v>16</v>
      </c>
      <c r="GQ14" s="111">
        <f t="shared" si="388"/>
        <v>16</v>
      </c>
      <c r="GR14" s="111">
        <f t="shared" si="388"/>
        <v>16</v>
      </c>
      <c r="GS14" s="111">
        <f t="shared" si="388"/>
        <v>16</v>
      </c>
      <c r="GT14" s="111">
        <f t="shared" si="388"/>
        <v>16</v>
      </c>
      <c r="GU14" s="111">
        <f t="shared" si="388"/>
        <v>16</v>
      </c>
      <c r="GV14" s="111">
        <f t="shared" si="388"/>
        <v>17</v>
      </c>
      <c r="GW14" s="111">
        <f t="shared" si="388"/>
        <v>17</v>
      </c>
      <c r="GX14" s="111">
        <f t="shared" si="388"/>
        <v>17</v>
      </c>
      <c r="GY14" s="111">
        <f t="shared" si="388"/>
        <v>17</v>
      </c>
      <c r="GZ14" s="111">
        <f t="shared" si="388"/>
        <v>17</v>
      </c>
      <c r="HA14" s="111">
        <f t="shared" si="388"/>
        <v>17</v>
      </c>
      <c r="HB14" s="111"/>
      <c r="HC14" s="111"/>
      <c r="HD14" s="111"/>
      <c r="HE14" s="111"/>
      <c r="HF14" s="107"/>
      <c r="HN14" s="112">
        <v>0</v>
      </c>
      <c r="HO14" s="111">
        <f>HN14+1</f>
        <v>1</v>
      </c>
      <c r="HP14" s="111">
        <f t="shared" ref="HP14:HV14" si="389">HO14+1</f>
        <v>2</v>
      </c>
      <c r="HQ14" s="111">
        <f t="shared" si="389"/>
        <v>3</v>
      </c>
      <c r="HR14" s="111">
        <f t="shared" si="389"/>
        <v>4</v>
      </c>
      <c r="HS14" s="111">
        <f t="shared" si="389"/>
        <v>5</v>
      </c>
      <c r="HT14" s="111">
        <f t="shared" si="389"/>
        <v>6</v>
      </c>
      <c r="HU14" s="111">
        <f t="shared" si="389"/>
        <v>7</v>
      </c>
      <c r="HV14" s="111">
        <f t="shared" si="389"/>
        <v>8</v>
      </c>
      <c r="HW14"/>
    </row>
    <row r="15" spans="2:231" ht="16" thickBot="1">
      <c r="B15" s="3"/>
      <c r="C15" s="3"/>
      <c r="D15" s="3"/>
      <c r="E15" s="3"/>
      <c r="F15" s="3"/>
      <c r="G15" s="3"/>
      <c r="H15" s="3"/>
      <c r="I15" s="103"/>
      <c r="J15" s="3"/>
      <c r="K15" s="593">
        <f>+Assumptions!I6</f>
        <v>42552</v>
      </c>
      <c r="L15" s="113">
        <f>EOMONTH(K15,0)</f>
        <v>42582</v>
      </c>
      <c r="M15" s="113">
        <f t="shared" ref="M15:BX15" si="390">EOMONTH(L15,1)</f>
        <v>42613</v>
      </c>
      <c r="N15" s="113">
        <f t="shared" si="390"/>
        <v>42643</v>
      </c>
      <c r="O15" s="113">
        <f t="shared" si="390"/>
        <v>42674</v>
      </c>
      <c r="P15" s="113">
        <f t="shared" si="390"/>
        <v>42704</v>
      </c>
      <c r="Q15" s="113">
        <f t="shared" si="390"/>
        <v>42735</v>
      </c>
      <c r="R15" s="113">
        <f t="shared" si="390"/>
        <v>42766</v>
      </c>
      <c r="S15" s="113">
        <f t="shared" si="390"/>
        <v>42794</v>
      </c>
      <c r="T15" s="113">
        <f t="shared" si="390"/>
        <v>42825</v>
      </c>
      <c r="U15" s="113">
        <f t="shared" si="390"/>
        <v>42855</v>
      </c>
      <c r="V15" s="113">
        <f t="shared" si="390"/>
        <v>42886</v>
      </c>
      <c r="W15" s="113">
        <f t="shared" si="390"/>
        <v>42916</v>
      </c>
      <c r="X15" s="113">
        <f t="shared" si="390"/>
        <v>42947</v>
      </c>
      <c r="Y15" s="113">
        <f t="shared" si="390"/>
        <v>42978</v>
      </c>
      <c r="Z15" s="113">
        <f t="shared" si="390"/>
        <v>43008</v>
      </c>
      <c r="AA15" s="113">
        <f t="shared" si="390"/>
        <v>43039</v>
      </c>
      <c r="AB15" s="113">
        <f t="shared" si="390"/>
        <v>43069</v>
      </c>
      <c r="AC15" s="113">
        <f t="shared" si="390"/>
        <v>43100</v>
      </c>
      <c r="AD15" s="113">
        <f t="shared" si="390"/>
        <v>43131</v>
      </c>
      <c r="AE15" s="113">
        <f t="shared" si="390"/>
        <v>43159</v>
      </c>
      <c r="AF15" s="113">
        <f t="shared" si="390"/>
        <v>43190</v>
      </c>
      <c r="AG15" s="113">
        <f t="shared" si="390"/>
        <v>43220</v>
      </c>
      <c r="AH15" s="113">
        <f t="shared" si="390"/>
        <v>43251</v>
      </c>
      <c r="AI15" s="113">
        <f t="shared" si="390"/>
        <v>43281</v>
      </c>
      <c r="AJ15" s="113">
        <f t="shared" si="390"/>
        <v>43312</v>
      </c>
      <c r="AK15" s="113">
        <f t="shared" si="390"/>
        <v>43343</v>
      </c>
      <c r="AL15" s="113">
        <f t="shared" si="390"/>
        <v>43373</v>
      </c>
      <c r="AM15" s="113">
        <f t="shared" si="390"/>
        <v>43404</v>
      </c>
      <c r="AN15" s="113">
        <f t="shared" si="390"/>
        <v>43434</v>
      </c>
      <c r="AO15" s="113">
        <f t="shared" si="390"/>
        <v>43465</v>
      </c>
      <c r="AP15" s="113">
        <f t="shared" si="390"/>
        <v>43496</v>
      </c>
      <c r="AQ15" s="113">
        <f t="shared" si="390"/>
        <v>43524</v>
      </c>
      <c r="AR15" s="113">
        <f t="shared" si="390"/>
        <v>43555</v>
      </c>
      <c r="AS15" s="113">
        <f t="shared" si="390"/>
        <v>43585</v>
      </c>
      <c r="AT15" s="113">
        <f t="shared" si="390"/>
        <v>43616</v>
      </c>
      <c r="AU15" s="113">
        <f t="shared" si="390"/>
        <v>43646</v>
      </c>
      <c r="AV15" s="113">
        <f t="shared" si="390"/>
        <v>43677</v>
      </c>
      <c r="AW15" s="113">
        <f t="shared" si="390"/>
        <v>43708</v>
      </c>
      <c r="AX15" s="113">
        <f t="shared" si="390"/>
        <v>43738</v>
      </c>
      <c r="AY15" s="113">
        <f t="shared" si="390"/>
        <v>43769</v>
      </c>
      <c r="AZ15" s="113">
        <f t="shared" si="390"/>
        <v>43799</v>
      </c>
      <c r="BA15" s="113">
        <f t="shared" si="390"/>
        <v>43830</v>
      </c>
      <c r="BB15" s="113">
        <f t="shared" si="390"/>
        <v>43861</v>
      </c>
      <c r="BC15" s="113">
        <f t="shared" si="390"/>
        <v>43890</v>
      </c>
      <c r="BD15" s="113">
        <f t="shared" si="390"/>
        <v>43921</v>
      </c>
      <c r="BE15" s="113">
        <f t="shared" si="390"/>
        <v>43951</v>
      </c>
      <c r="BF15" s="113">
        <f t="shared" si="390"/>
        <v>43982</v>
      </c>
      <c r="BG15" s="113">
        <f t="shared" si="390"/>
        <v>44012</v>
      </c>
      <c r="BH15" s="113">
        <f t="shared" si="390"/>
        <v>44043</v>
      </c>
      <c r="BI15" s="113">
        <f t="shared" si="390"/>
        <v>44074</v>
      </c>
      <c r="BJ15" s="113">
        <f t="shared" si="390"/>
        <v>44104</v>
      </c>
      <c r="BK15" s="113">
        <f t="shared" si="390"/>
        <v>44135</v>
      </c>
      <c r="BL15" s="113">
        <f t="shared" si="390"/>
        <v>44165</v>
      </c>
      <c r="BM15" s="113">
        <f t="shared" si="390"/>
        <v>44196</v>
      </c>
      <c r="BN15" s="113">
        <f t="shared" si="390"/>
        <v>44227</v>
      </c>
      <c r="BO15" s="113">
        <f t="shared" si="390"/>
        <v>44255</v>
      </c>
      <c r="BP15" s="113">
        <f t="shared" si="390"/>
        <v>44286</v>
      </c>
      <c r="BQ15" s="113">
        <f t="shared" si="390"/>
        <v>44316</v>
      </c>
      <c r="BR15" s="113">
        <f t="shared" si="390"/>
        <v>44347</v>
      </c>
      <c r="BS15" s="113">
        <f t="shared" si="390"/>
        <v>44377</v>
      </c>
      <c r="BT15" s="113">
        <f t="shared" si="390"/>
        <v>44408</v>
      </c>
      <c r="BU15" s="113">
        <f t="shared" si="390"/>
        <v>44439</v>
      </c>
      <c r="BV15" s="113">
        <f t="shared" si="390"/>
        <v>44469</v>
      </c>
      <c r="BW15" s="113">
        <f t="shared" si="390"/>
        <v>44500</v>
      </c>
      <c r="BX15" s="113">
        <f t="shared" si="390"/>
        <v>44530</v>
      </c>
      <c r="BY15" s="113">
        <f t="shared" ref="BY15:CE15" si="391">EOMONTH(BX15,1)</f>
        <v>44561</v>
      </c>
      <c r="BZ15" s="113">
        <f t="shared" si="391"/>
        <v>44592</v>
      </c>
      <c r="CA15" s="113">
        <f t="shared" si="391"/>
        <v>44620</v>
      </c>
      <c r="CB15" s="113">
        <f t="shared" si="391"/>
        <v>44651</v>
      </c>
      <c r="CC15" s="113">
        <f t="shared" si="391"/>
        <v>44681</v>
      </c>
      <c r="CD15" s="113">
        <f t="shared" si="391"/>
        <v>44712</v>
      </c>
      <c r="CE15" s="113">
        <f t="shared" si="391"/>
        <v>44742</v>
      </c>
      <c r="CF15" s="113">
        <f t="shared" ref="CF15" si="392">EOMONTH(CE15,1)</f>
        <v>44773</v>
      </c>
      <c r="CG15" s="113">
        <f t="shared" ref="CG15" si="393">EOMONTH(CF15,1)</f>
        <v>44804</v>
      </c>
      <c r="CH15" s="113">
        <f t="shared" ref="CH15" si="394">EOMONTH(CG15,1)</f>
        <v>44834</v>
      </c>
      <c r="CI15" s="113">
        <f t="shared" ref="CI15" si="395">EOMONTH(CH15,1)</f>
        <v>44865</v>
      </c>
      <c r="CJ15" s="113">
        <f t="shared" ref="CJ15" si="396">EOMONTH(CI15,1)</f>
        <v>44895</v>
      </c>
      <c r="CK15" s="113">
        <f t="shared" ref="CK15" si="397">EOMONTH(CJ15,1)</f>
        <v>44926</v>
      </c>
      <c r="CL15" s="113">
        <f t="shared" ref="CL15" si="398">EOMONTH(CK15,1)</f>
        <v>44957</v>
      </c>
      <c r="CM15" s="113">
        <f t="shared" ref="CM15" si="399">EOMONTH(CL15,1)</f>
        <v>44985</v>
      </c>
      <c r="CN15" s="113">
        <f t="shared" ref="CN15" si="400">EOMONTH(CM15,1)</f>
        <v>45016</v>
      </c>
      <c r="CO15" s="113">
        <f t="shared" ref="CO15" si="401">EOMONTH(CN15,1)</f>
        <v>45046</v>
      </c>
      <c r="CP15" s="113">
        <f t="shared" ref="CP15" si="402">EOMONTH(CO15,1)</f>
        <v>45077</v>
      </c>
      <c r="CQ15" s="113">
        <f t="shared" ref="CQ15" si="403">EOMONTH(CP15,1)</f>
        <v>45107</v>
      </c>
      <c r="CR15" s="113">
        <f t="shared" ref="CR15" si="404">EOMONTH(CQ15,1)</f>
        <v>45138</v>
      </c>
      <c r="CS15" s="113">
        <f t="shared" ref="CS15" si="405">EOMONTH(CR15,1)</f>
        <v>45169</v>
      </c>
      <c r="CT15" s="113">
        <f t="shared" ref="CT15" si="406">EOMONTH(CS15,1)</f>
        <v>45199</v>
      </c>
      <c r="CU15" s="113">
        <f t="shared" ref="CU15" si="407">EOMONTH(CT15,1)</f>
        <v>45230</v>
      </c>
      <c r="CV15" s="113">
        <f t="shared" ref="CV15" si="408">EOMONTH(CU15,1)</f>
        <v>45260</v>
      </c>
      <c r="CW15" s="113">
        <f t="shared" ref="CW15" si="409">EOMONTH(CV15,1)</f>
        <v>45291</v>
      </c>
      <c r="CX15" s="113">
        <f t="shared" ref="CX15" si="410">EOMONTH(CW15,1)</f>
        <v>45322</v>
      </c>
      <c r="CY15" s="113">
        <f t="shared" ref="CY15" si="411">EOMONTH(CX15,1)</f>
        <v>45351</v>
      </c>
      <c r="CZ15" s="113">
        <f t="shared" ref="CZ15" si="412">EOMONTH(CY15,1)</f>
        <v>45382</v>
      </c>
      <c r="DA15" s="113">
        <f t="shared" ref="DA15" si="413">EOMONTH(CZ15,1)</f>
        <v>45412</v>
      </c>
      <c r="DB15" s="113">
        <f t="shared" ref="DB15" si="414">EOMONTH(DA15,1)</f>
        <v>45443</v>
      </c>
      <c r="DC15" s="113">
        <f t="shared" ref="DC15" si="415">EOMONTH(DB15,1)</f>
        <v>45473</v>
      </c>
      <c r="DD15" s="113">
        <f t="shared" ref="DD15" si="416">EOMONTH(DC15,1)</f>
        <v>45504</v>
      </c>
      <c r="DE15" s="113">
        <f t="shared" ref="DE15" si="417">EOMONTH(DD15,1)</f>
        <v>45535</v>
      </c>
      <c r="DF15" s="113">
        <f t="shared" ref="DF15" si="418">EOMONTH(DE15,1)</f>
        <v>45565</v>
      </c>
      <c r="DG15" s="113">
        <f t="shared" ref="DG15" si="419">EOMONTH(DF15,1)</f>
        <v>45596</v>
      </c>
      <c r="DH15" s="113">
        <f t="shared" ref="DH15" si="420">EOMONTH(DG15,1)</f>
        <v>45626</v>
      </c>
      <c r="DI15" s="113">
        <f t="shared" ref="DI15" si="421">EOMONTH(DH15,1)</f>
        <v>45657</v>
      </c>
      <c r="DJ15" s="113">
        <f t="shared" ref="DJ15" si="422">EOMONTH(DI15,1)</f>
        <v>45688</v>
      </c>
      <c r="DK15" s="113">
        <f t="shared" ref="DK15" si="423">EOMONTH(DJ15,1)</f>
        <v>45716</v>
      </c>
      <c r="DL15" s="113">
        <f t="shared" ref="DL15" si="424">EOMONTH(DK15,1)</f>
        <v>45747</v>
      </c>
      <c r="DM15" s="113">
        <f t="shared" ref="DM15" si="425">EOMONTH(DL15,1)</f>
        <v>45777</v>
      </c>
      <c r="DN15" s="113">
        <f t="shared" ref="DN15" si="426">EOMONTH(DM15,1)</f>
        <v>45808</v>
      </c>
      <c r="DO15" s="113">
        <f t="shared" ref="DO15" si="427">EOMONTH(DN15,1)</f>
        <v>45838</v>
      </c>
      <c r="DP15" s="113">
        <f t="shared" ref="DP15" si="428">EOMONTH(DO15,1)</f>
        <v>45869</v>
      </c>
      <c r="DQ15" s="113">
        <f t="shared" ref="DQ15" si="429">EOMONTH(DP15,1)</f>
        <v>45900</v>
      </c>
      <c r="DR15" s="113">
        <f t="shared" ref="DR15" si="430">EOMONTH(DQ15,1)</f>
        <v>45930</v>
      </c>
      <c r="DS15" s="113">
        <f t="shared" ref="DS15" si="431">EOMONTH(DR15,1)</f>
        <v>45961</v>
      </c>
      <c r="DT15" s="113">
        <f t="shared" ref="DT15" si="432">EOMONTH(DS15,1)</f>
        <v>45991</v>
      </c>
      <c r="DU15" s="113">
        <f t="shared" ref="DU15" si="433">EOMONTH(DT15,1)</f>
        <v>46022</v>
      </c>
      <c r="DV15" s="113">
        <f t="shared" ref="DV15" si="434">EOMONTH(DU15,1)</f>
        <v>46053</v>
      </c>
      <c r="DW15" s="113">
        <f t="shared" ref="DW15" si="435">EOMONTH(DV15,1)</f>
        <v>46081</v>
      </c>
      <c r="DX15" s="113">
        <f t="shared" ref="DX15" si="436">EOMONTH(DW15,1)</f>
        <v>46112</v>
      </c>
      <c r="DY15" s="113">
        <f t="shared" ref="DY15" si="437">EOMONTH(DX15,1)</f>
        <v>46142</v>
      </c>
      <c r="DZ15" s="113">
        <f t="shared" ref="DZ15" si="438">EOMONTH(DY15,1)</f>
        <v>46173</v>
      </c>
      <c r="EA15" s="113">
        <f t="shared" ref="EA15" si="439">EOMONTH(DZ15,1)</f>
        <v>46203</v>
      </c>
      <c r="EB15" s="113">
        <f t="shared" ref="EB15" si="440">EOMONTH(EA15,1)</f>
        <v>46234</v>
      </c>
      <c r="EC15" s="113">
        <f t="shared" ref="EC15" si="441">EOMONTH(EB15,1)</f>
        <v>46265</v>
      </c>
      <c r="ED15" s="113">
        <f t="shared" ref="ED15" si="442">EOMONTH(EC15,1)</f>
        <v>46295</v>
      </c>
      <c r="EE15" s="113">
        <f t="shared" ref="EE15" si="443">EOMONTH(ED15,1)</f>
        <v>46326</v>
      </c>
      <c r="EF15" s="113">
        <f t="shared" ref="EF15" si="444">EOMONTH(EE15,1)</f>
        <v>46356</v>
      </c>
      <c r="EG15" s="113">
        <f t="shared" ref="EG15" si="445">EOMONTH(EF15,1)</f>
        <v>46387</v>
      </c>
      <c r="EH15" s="113">
        <f t="shared" ref="EH15" si="446">EOMONTH(EG15,1)</f>
        <v>46418</v>
      </c>
      <c r="EI15" s="113">
        <f t="shared" ref="EI15" si="447">EOMONTH(EH15,1)</f>
        <v>46446</v>
      </c>
      <c r="EJ15" s="113">
        <f t="shared" ref="EJ15" si="448">EOMONTH(EI15,1)</f>
        <v>46477</v>
      </c>
      <c r="EK15" s="113">
        <f t="shared" ref="EK15" si="449">EOMONTH(EJ15,1)</f>
        <v>46507</v>
      </c>
      <c r="EL15" s="113">
        <f t="shared" ref="EL15" si="450">EOMONTH(EK15,1)</f>
        <v>46538</v>
      </c>
      <c r="EM15" s="113">
        <f t="shared" ref="EM15" si="451">EOMONTH(EL15,1)</f>
        <v>46568</v>
      </c>
      <c r="EN15" s="113">
        <f t="shared" ref="EN15" si="452">EOMONTH(EM15,1)</f>
        <v>46599</v>
      </c>
      <c r="EO15" s="113">
        <f t="shared" ref="EO15" si="453">EOMONTH(EN15,1)</f>
        <v>46630</v>
      </c>
      <c r="EP15" s="113">
        <f t="shared" ref="EP15" si="454">EOMONTH(EO15,1)</f>
        <v>46660</v>
      </c>
      <c r="EQ15" s="113">
        <f t="shared" ref="EQ15" si="455">EOMONTH(EP15,1)</f>
        <v>46691</v>
      </c>
      <c r="ER15" s="113">
        <f t="shared" ref="ER15" si="456">EOMONTH(EQ15,1)</f>
        <v>46721</v>
      </c>
      <c r="ES15" s="113">
        <f t="shared" ref="ES15" si="457">EOMONTH(ER15,1)</f>
        <v>46752</v>
      </c>
      <c r="ET15" s="113">
        <f t="shared" ref="ET15" si="458">EOMONTH(ES15,1)</f>
        <v>46783</v>
      </c>
      <c r="EU15" s="113">
        <f t="shared" ref="EU15" si="459">EOMONTH(ET15,1)</f>
        <v>46812</v>
      </c>
      <c r="EV15" s="113">
        <f t="shared" ref="EV15" si="460">EOMONTH(EU15,1)</f>
        <v>46843</v>
      </c>
      <c r="EW15" s="113">
        <f t="shared" ref="EW15" si="461">EOMONTH(EV15,1)</f>
        <v>46873</v>
      </c>
      <c r="EX15" s="113">
        <f t="shared" ref="EX15" si="462">EOMONTH(EW15,1)</f>
        <v>46904</v>
      </c>
      <c r="EY15" s="113">
        <f t="shared" ref="EY15" si="463">EOMONTH(EX15,1)</f>
        <v>46934</v>
      </c>
      <c r="EZ15" s="113">
        <f t="shared" ref="EZ15" si="464">EOMONTH(EY15,1)</f>
        <v>46965</v>
      </c>
      <c r="FA15" s="113">
        <f t="shared" ref="FA15" si="465">EOMONTH(EZ15,1)</f>
        <v>46996</v>
      </c>
      <c r="FB15" s="113">
        <f t="shared" ref="FB15" si="466">EOMONTH(FA15,1)</f>
        <v>47026</v>
      </c>
      <c r="FC15" s="113">
        <f t="shared" ref="FC15" si="467">EOMONTH(FB15,1)</f>
        <v>47057</v>
      </c>
      <c r="FD15" s="113">
        <f t="shared" ref="FD15" si="468">EOMONTH(FC15,1)</f>
        <v>47087</v>
      </c>
      <c r="FE15" s="113">
        <f t="shared" ref="FE15" si="469">EOMONTH(FD15,1)</f>
        <v>47118</v>
      </c>
      <c r="FF15" s="113">
        <f t="shared" ref="FF15" si="470">EOMONTH(FE15,1)</f>
        <v>47149</v>
      </c>
      <c r="FG15" s="113">
        <f t="shared" ref="FG15" si="471">EOMONTH(FF15,1)</f>
        <v>47177</v>
      </c>
      <c r="FH15" s="113">
        <f t="shared" ref="FH15" si="472">EOMONTH(FG15,1)</f>
        <v>47208</v>
      </c>
      <c r="FI15" s="113">
        <f t="shared" ref="FI15" si="473">EOMONTH(FH15,1)</f>
        <v>47238</v>
      </c>
      <c r="FJ15" s="113">
        <f t="shared" ref="FJ15" si="474">EOMONTH(FI15,1)</f>
        <v>47269</v>
      </c>
      <c r="FK15" s="113">
        <f t="shared" ref="FK15" si="475">EOMONTH(FJ15,1)</f>
        <v>47299</v>
      </c>
      <c r="FL15" s="113">
        <f t="shared" ref="FL15" si="476">EOMONTH(FK15,1)</f>
        <v>47330</v>
      </c>
      <c r="FM15" s="113">
        <f t="shared" ref="FM15" si="477">EOMONTH(FL15,1)</f>
        <v>47361</v>
      </c>
      <c r="FN15" s="113">
        <f t="shared" ref="FN15" si="478">EOMONTH(FM15,1)</f>
        <v>47391</v>
      </c>
      <c r="FO15" s="113">
        <f t="shared" ref="FO15" si="479">EOMONTH(FN15,1)</f>
        <v>47422</v>
      </c>
      <c r="FP15" s="113">
        <f t="shared" ref="FP15" si="480">EOMONTH(FO15,1)</f>
        <v>47452</v>
      </c>
      <c r="FQ15" s="113">
        <f t="shared" ref="FQ15" si="481">EOMONTH(FP15,1)</f>
        <v>47483</v>
      </c>
      <c r="FR15" s="113">
        <f t="shared" ref="FR15" si="482">EOMONTH(FQ15,1)</f>
        <v>47514</v>
      </c>
      <c r="FS15" s="113">
        <f t="shared" ref="FS15" si="483">EOMONTH(FR15,1)</f>
        <v>47542</v>
      </c>
      <c r="FT15" s="113">
        <f t="shared" ref="FT15" si="484">EOMONTH(FS15,1)</f>
        <v>47573</v>
      </c>
      <c r="FU15" s="113">
        <f t="shared" ref="FU15" si="485">EOMONTH(FT15,1)</f>
        <v>47603</v>
      </c>
      <c r="FV15" s="113">
        <f t="shared" ref="FV15" si="486">EOMONTH(FU15,1)</f>
        <v>47634</v>
      </c>
      <c r="FW15" s="113">
        <f t="shared" ref="FW15" si="487">EOMONTH(FV15,1)</f>
        <v>47664</v>
      </c>
      <c r="FX15" s="113">
        <f t="shared" ref="FX15" si="488">EOMONTH(FW15,1)</f>
        <v>47695</v>
      </c>
      <c r="FY15" s="113">
        <f t="shared" ref="FY15" si="489">EOMONTH(FX15,1)</f>
        <v>47726</v>
      </c>
      <c r="FZ15" s="113">
        <f t="shared" ref="FZ15" si="490">EOMONTH(FY15,1)</f>
        <v>47756</v>
      </c>
      <c r="GA15" s="113">
        <f t="shared" ref="GA15" si="491">EOMONTH(FZ15,1)</f>
        <v>47787</v>
      </c>
      <c r="GB15" s="113">
        <f t="shared" ref="GB15" si="492">EOMONTH(GA15,1)</f>
        <v>47817</v>
      </c>
      <c r="GC15" s="113">
        <f t="shared" ref="GC15" si="493">EOMONTH(GB15,1)</f>
        <v>47848</v>
      </c>
      <c r="GD15" s="113">
        <f t="shared" ref="GD15" si="494">EOMONTH(GC15,1)</f>
        <v>47879</v>
      </c>
      <c r="GE15" s="113">
        <f t="shared" ref="GE15" si="495">EOMONTH(GD15,1)</f>
        <v>47907</v>
      </c>
      <c r="GF15" s="113">
        <f t="shared" ref="GF15" si="496">EOMONTH(GE15,1)</f>
        <v>47938</v>
      </c>
      <c r="GG15" s="113">
        <f t="shared" ref="GG15" si="497">EOMONTH(GF15,1)</f>
        <v>47968</v>
      </c>
      <c r="GH15" s="113">
        <f t="shared" ref="GH15" si="498">EOMONTH(GG15,1)</f>
        <v>47999</v>
      </c>
      <c r="GI15" s="113">
        <f t="shared" ref="GI15" si="499">EOMONTH(GH15,1)</f>
        <v>48029</v>
      </c>
      <c r="GJ15" s="113">
        <f t="shared" ref="GJ15" si="500">EOMONTH(GI15,1)</f>
        <v>48060</v>
      </c>
      <c r="GK15" s="113">
        <f t="shared" ref="GK15" si="501">EOMONTH(GJ15,1)</f>
        <v>48091</v>
      </c>
      <c r="GL15" s="113">
        <f t="shared" ref="GL15" si="502">EOMONTH(GK15,1)</f>
        <v>48121</v>
      </c>
      <c r="GM15" s="113">
        <f t="shared" ref="GM15" si="503">EOMONTH(GL15,1)</f>
        <v>48152</v>
      </c>
      <c r="GN15" s="113">
        <f t="shared" ref="GN15" si="504">EOMONTH(GM15,1)</f>
        <v>48182</v>
      </c>
      <c r="GO15" s="113">
        <f t="shared" ref="GO15" si="505">EOMONTH(GN15,1)</f>
        <v>48213</v>
      </c>
      <c r="GP15" s="113">
        <f t="shared" ref="GP15" si="506">EOMONTH(GO15,1)</f>
        <v>48244</v>
      </c>
      <c r="GQ15" s="113">
        <f t="shared" ref="GQ15" si="507">EOMONTH(GP15,1)</f>
        <v>48273</v>
      </c>
      <c r="GR15" s="113">
        <f t="shared" ref="GR15" si="508">EOMONTH(GQ15,1)</f>
        <v>48304</v>
      </c>
      <c r="GS15" s="113">
        <f t="shared" ref="GS15" si="509">EOMONTH(GR15,1)</f>
        <v>48334</v>
      </c>
      <c r="GT15" s="113">
        <f t="shared" ref="GT15" si="510">EOMONTH(GS15,1)</f>
        <v>48365</v>
      </c>
      <c r="GU15" s="113">
        <f t="shared" ref="GU15" si="511">EOMONTH(GT15,1)</f>
        <v>48395</v>
      </c>
      <c r="GV15" s="113">
        <f t="shared" ref="GV15" si="512">EOMONTH(GU15,1)</f>
        <v>48426</v>
      </c>
      <c r="GW15" s="113">
        <f t="shared" ref="GW15" si="513">EOMONTH(GV15,1)</f>
        <v>48457</v>
      </c>
      <c r="GX15" s="113">
        <f t="shared" ref="GX15" si="514">EOMONTH(GW15,1)</f>
        <v>48487</v>
      </c>
      <c r="GY15" s="113">
        <f t="shared" ref="GY15" si="515">EOMONTH(GX15,1)</f>
        <v>48518</v>
      </c>
      <c r="GZ15" s="113">
        <f t="shared" ref="GZ15" si="516">EOMONTH(GY15,1)</f>
        <v>48548</v>
      </c>
      <c r="HA15" s="113">
        <f t="shared" ref="HA15" si="517">EOMONTH(GZ15,1)</f>
        <v>48579</v>
      </c>
      <c r="HB15" s="96"/>
      <c r="HC15" s="96"/>
      <c r="HD15" s="96"/>
      <c r="HE15" s="96"/>
      <c r="HF15" s="107"/>
      <c r="HG15" s="139">
        <v>1</v>
      </c>
      <c r="HL15" s="93" t="s">
        <v>95</v>
      </c>
      <c r="HN15" s="96">
        <f>IF(HN$14=0,EOMONTH($K$15,0),EOMONTH(HM$15,12))</f>
        <v>42582</v>
      </c>
      <c r="HO15" s="96">
        <f t="shared" ref="HO15:HV15" si="518">IF(HO$14=0,EOMONTH($K$15,0),EOMONTH(HN$15,12))</f>
        <v>42947</v>
      </c>
      <c r="HP15" s="96">
        <f t="shared" si="518"/>
        <v>43312</v>
      </c>
      <c r="HQ15" s="96">
        <f t="shared" si="518"/>
        <v>43677</v>
      </c>
      <c r="HR15" s="96">
        <f t="shared" si="518"/>
        <v>44043</v>
      </c>
      <c r="HS15" s="96">
        <f t="shared" si="518"/>
        <v>44408</v>
      </c>
      <c r="HT15" s="96">
        <f t="shared" si="518"/>
        <v>44773</v>
      </c>
      <c r="HU15" s="96">
        <f t="shared" si="518"/>
        <v>45138</v>
      </c>
      <c r="HV15" s="96">
        <f t="shared" si="518"/>
        <v>45504</v>
      </c>
      <c r="HW15"/>
    </row>
    <row r="16" spans="2:231" ht="15">
      <c r="B16" s="1420" t="s">
        <v>96</v>
      </c>
      <c r="C16" s="1420"/>
      <c r="D16" s="1420"/>
      <c r="E16" s="1420"/>
      <c r="F16" s="1420"/>
      <c r="G16" s="1420"/>
      <c r="H16" s="1420"/>
      <c r="I16" s="114" t="s">
        <v>84</v>
      </c>
      <c r="J16" s="19"/>
      <c r="HF16" s="1" t="s">
        <v>212</v>
      </c>
      <c r="HG16" s="139">
        <f>HG15+1</f>
        <v>2</v>
      </c>
      <c r="HH16" s="1631" t="str">
        <f>B16</f>
        <v>Unleveraged Costs</v>
      </c>
      <c r="HI16" s="1631"/>
      <c r="HJ16" s="1631"/>
      <c r="HK16" s="1631"/>
      <c r="HL16" s="114" t="s">
        <v>84</v>
      </c>
      <c r="HN16" s="115"/>
      <c r="HW16"/>
    </row>
    <row r="17" spans="1:231" ht="15">
      <c r="B17" s="16" t="s">
        <v>11</v>
      </c>
      <c r="I17" s="97"/>
      <c r="HF17" s="1" t="s">
        <v>212</v>
      </c>
      <c r="HG17" s="139">
        <f t="shared" ref="HG17:HG80" si="519">HG16+1</f>
        <v>3</v>
      </c>
      <c r="HH17" s="16" t="str">
        <f>B17</f>
        <v>Acquisition Costs</v>
      </c>
      <c r="HL17" s="97"/>
      <c r="HN17" s="115"/>
      <c r="HW17"/>
    </row>
    <row r="18" spans="1:231" ht="15">
      <c r="B18" s="1" t="str">
        <f>Assumptions!B12</f>
        <v>Purchase Price</v>
      </c>
      <c r="I18" s="116">
        <f>SUM(K18:GT18)</f>
        <v>30000</v>
      </c>
      <c r="J18" s="18"/>
      <c r="K18" s="115">
        <f>Assumptions!C12</f>
        <v>30000</v>
      </c>
      <c r="L18" s="497">
        <v>0</v>
      </c>
      <c r="M18" s="497">
        <v>0</v>
      </c>
      <c r="N18" s="497">
        <v>0</v>
      </c>
      <c r="O18" s="497">
        <v>0</v>
      </c>
      <c r="P18" s="497">
        <v>0</v>
      </c>
      <c r="Q18" s="497">
        <v>0</v>
      </c>
      <c r="R18" s="497">
        <v>0</v>
      </c>
      <c r="S18" s="497">
        <v>0</v>
      </c>
      <c r="T18" s="497">
        <v>0</v>
      </c>
      <c r="U18" s="497">
        <v>0</v>
      </c>
      <c r="V18" s="497">
        <v>0</v>
      </c>
      <c r="W18" s="497">
        <v>0</v>
      </c>
      <c r="X18" s="497">
        <v>0</v>
      </c>
      <c r="Y18" s="497">
        <v>0</v>
      </c>
      <c r="Z18" s="497">
        <v>0</v>
      </c>
      <c r="AA18" s="497">
        <v>0</v>
      </c>
      <c r="AB18" s="497">
        <v>0</v>
      </c>
      <c r="AC18" s="497">
        <v>0</v>
      </c>
      <c r="AD18" s="497">
        <v>0</v>
      </c>
      <c r="AE18" s="497">
        <v>0</v>
      </c>
      <c r="AF18" s="497">
        <v>0</v>
      </c>
      <c r="AG18" s="497">
        <v>0</v>
      </c>
      <c r="AH18" s="497">
        <v>0</v>
      </c>
      <c r="AI18" s="497">
        <v>0</v>
      </c>
      <c r="AJ18" s="497">
        <v>0</v>
      </c>
      <c r="AK18" s="497">
        <v>0</v>
      </c>
      <c r="AL18" s="497">
        <v>0</v>
      </c>
      <c r="AM18" s="497">
        <v>0</v>
      </c>
      <c r="AN18" s="497">
        <v>0</v>
      </c>
      <c r="AO18" s="497">
        <v>0</v>
      </c>
      <c r="AP18" s="497">
        <v>0</v>
      </c>
      <c r="AQ18" s="497">
        <v>0</v>
      </c>
      <c r="AR18" s="497">
        <v>0</v>
      </c>
      <c r="AS18" s="497">
        <v>0</v>
      </c>
      <c r="AT18" s="497">
        <v>0</v>
      </c>
      <c r="AU18" s="497">
        <v>0</v>
      </c>
      <c r="AV18" s="497">
        <v>0</v>
      </c>
      <c r="AW18" s="497">
        <v>0</v>
      </c>
      <c r="AX18" s="497">
        <v>0</v>
      </c>
      <c r="AY18" s="497">
        <v>0</v>
      </c>
      <c r="AZ18" s="497">
        <v>0</v>
      </c>
      <c r="BA18" s="497">
        <v>0</v>
      </c>
      <c r="BB18" s="497">
        <v>0</v>
      </c>
      <c r="BC18" s="497">
        <v>0</v>
      </c>
      <c r="BD18" s="497">
        <v>0</v>
      </c>
      <c r="BE18" s="497">
        <v>0</v>
      </c>
      <c r="BF18" s="497">
        <v>0</v>
      </c>
      <c r="BG18" s="497">
        <v>0</v>
      </c>
      <c r="BH18" s="497">
        <v>0</v>
      </c>
      <c r="BI18" s="497">
        <v>0</v>
      </c>
      <c r="BJ18" s="497">
        <v>0</v>
      </c>
      <c r="BK18" s="497">
        <v>0</v>
      </c>
      <c r="BL18" s="497">
        <v>0</v>
      </c>
      <c r="BM18" s="497">
        <v>0</v>
      </c>
      <c r="BN18" s="497">
        <v>0</v>
      </c>
      <c r="BO18" s="497">
        <v>0</v>
      </c>
      <c r="BP18" s="497">
        <v>0</v>
      </c>
      <c r="BQ18" s="497">
        <v>0</v>
      </c>
      <c r="BR18" s="497">
        <v>0</v>
      </c>
      <c r="BS18" s="497">
        <v>0</v>
      </c>
      <c r="BT18" s="497">
        <v>0</v>
      </c>
      <c r="BU18" s="497">
        <v>0</v>
      </c>
      <c r="BV18" s="497">
        <v>0</v>
      </c>
      <c r="BW18" s="497">
        <v>0</v>
      </c>
      <c r="BX18" s="497">
        <v>0</v>
      </c>
      <c r="BY18" s="497">
        <v>0</v>
      </c>
      <c r="BZ18" s="497">
        <v>0</v>
      </c>
      <c r="CA18" s="497">
        <v>0</v>
      </c>
      <c r="CB18" s="497">
        <v>0</v>
      </c>
      <c r="CC18" s="497">
        <v>0</v>
      </c>
      <c r="CD18" s="497">
        <v>0</v>
      </c>
      <c r="CE18" s="497">
        <v>0</v>
      </c>
      <c r="CF18" s="497">
        <v>0</v>
      </c>
      <c r="CG18" s="497">
        <v>0</v>
      </c>
      <c r="CH18" s="497">
        <v>0</v>
      </c>
      <c r="CI18" s="497">
        <v>0</v>
      </c>
      <c r="CJ18" s="497">
        <v>0</v>
      </c>
      <c r="CK18" s="497">
        <v>0</v>
      </c>
      <c r="CL18" s="497">
        <v>0</v>
      </c>
      <c r="CM18" s="497">
        <v>0</v>
      </c>
      <c r="CN18" s="497">
        <v>0</v>
      </c>
      <c r="CO18" s="497">
        <v>0</v>
      </c>
      <c r="CP18" s="497">
        <v>0</v>
      </c>
      <c r="CQ18" s="497">
        <v>0</v>
      </c>
      <c r="CR18" s="497">
        <v>0</v>
      </c>
      <c r="CS18" s="497">
        <v>0</v>
      </c>
      <c r="CT18" s="497">
        <v>0</v>
      </c>
      <c r="CU18" s="497">
        <v>0</v>
      </c>
      <c r="CV18" s="497">
        <v>0</v>
      </c>
      <c r="CW18" s="497">
        <v>0</v>
      </c>
      <c r="CX18" s="497">
        <v>0</v>
      </c>
      <c r="CY18" s="497">
        <v>0</v>
      </c>
      <c r="CZ18" s="497">
        <v>0</v>
      </c>
      <c r="DA18" s="497">
        <v>0</v>
      </c>
      <c r="DB18" s="497">
        <v>0</v>
      </c>
      <c r="DC18" s="497">
        <v>0</v>
      </c>
      <c r="DD18" s="497">
        <v>0</v>
      </c>
      <c r="DE18" s="497">
        <v>0</v>
      </c>
      <c r="DF18" s="497">
        <v>0</v>
      </c>
      <c r="DG18" s="497">
        <v>0</v>
      </c>
      <c r="DH18" s="497">
        <v>0</v>
      </c>
      <c r="DI18" s="497">
        <v>0</v>
      </c>
      <c r="DJ18" s="497">
        <v>0</v>
      </c>
      <c r="DK18" s="497">
        <v>0</v>
      </c>
      <c r="DL18" s="497">
        <v>0</v>
      </c>
      <c r="DM18" s="497">
        <v>0</v>
      </c>
      <c r="DN18" s="497">
        <v>0</v>
      </c>
      <c r="DO18" s="497">
        <v>0</v>
      </c>
      <c r="DP18" s="497">
        <v>0</v>
      </c>
      <c r="DQ18" s="497">
        <v>0</v>
      </c>
      <c r="DR18" s="497">
        <v>0</v>
      </c>
      <c r="DS18" s="497">
        <v>0</v>
      </c>
      <c r="DT18" s="497">
        <v>0</v>
      </c>
      <c r="DU18" s="497">
        <v>0</v>
      </c>
      <c r="DV18" s="497">
        <v>0</v>
      </c>
      <c r="DW18" s="497">
        <v>0</v>
      </c>
      <c r="DX18" s="497">
        <v>0</v>
      </c>
      <c r="DY18" s="497">
        <v>0</v>
      </c>
      <c r="DZ18" s="497">
        <v>0</v>
      </c>
      <c r="EA18" s="497">
        <v>0</v>
      </c>
      <c r="EB18" s="497">
        <v>0</v>
      </c>
      <c r="EC18" s="497">
        <v>0</v>
      </c>
      <c r="ED18" s="497">
        <v>0</v>
      </c>
      <c r="EE18" s="497">
        <v>0</v>
      </c>
      <c r="EF18" s="497">
        <v>0</v>
      </c>
      <c r="EG18" s="497">
        <v>0</v>
      </c>
      <c r="EH18" s="497">
        <v>0</v>
      </c>
      <c r="EI18" s="497">
        <v>0</v>
      </c>
      <c r="EJ18" s="497">
        <v>0</v>
      </c>
      <c r="EK18" s="497">
        <v>0</v>
      </c>
      <c r="EL18" s="497">
        <v>0</v>
      </c>
      <c r="EM18" s="497">
        <v>0</v>
      </c>
      <c r="EN18" s="497">
        <v>0</v>
      </c>
      <c r="EO18" s="497">
        <v>0</v>
      </c>
      <c r="EP18" s="497">
        <v>0</v>
      </c>
      <c r="EQ18" s="497">
        <v>0</v>
      </c>
      <c r="ER18" s="497">
        <v>0</v>
      </c>
      <c r="ES18" s="497">
        <v>0</v>
      </c>
      <c r="ET18" s="497">
        <v>0</v>
      </c>
      <c r="EU18" s="497">
        <v>0</v>
      </c>
      <c r="EV18" s="497">
        <v>0</v>
      </c>
      <c r="EW18" s="497">
        <v>0</v>
      </c>
      <c r="EX18" s="497">
        <v>0</v>
      </c>
      <c r="EY18" s="497">
        <v>0</v>
      </c>
      <c r="EZ18" s="497">
        <v>0</v>
      </c>
      <c r="FA18" s="497">
        <v>0</v>
      </c>
      <c r="FB18" s="497">
        <v>0</v>
      </c>
      <c r="FC18" s="497">
        <v>0</v>
      </c>
      <c r="FD18" s="497">
        <v>0</v>
      </c>
      <c r="FE18" s="497">
        <v>0</v>
      </c>
      <c r="FF18" s="497">
        <v>0</v>
      </c>
      <c r="FG18" s="497">
        <v>0</v>
      </c>
      <c r="FH18" s="497">
        <v>0</v>
      </c>
      <c r="FI18" s="497">
        <v>0</v>
      </c>
      <c r="FJ18" s="497">
        <v>0</v>
      </c>
      <c r="FK18" s="497">
        <v>0</v>
      </c>
      <c r="FL18" s="497">
        <v>0</v>
      </c>
      <c r="FM18" s="497">
        <v>0</v>
      </c>
      <c r="FN18" s="497">
        <v>0</v>
      </c>
      <c r="FO18" s="497">
        <v>0</v>
      </c>
      <c r="FP18" s="497">
        <v>0</v>
      </c>
      <c r="FQ18" s="497">
        <v>0</v>
      </c>
      <c r="FR18" s="497">
        <v>0</v>
      </c>
      <c r="FS18" s="497">
        <v>0</v>
      </c>
      <c r="FT18" s="497">
        <v>0</v>
      </c>
      <c r="FU18" s="497">
        <v>0</v>
      </c>
      <c r="FV18" s="497">
        <v>0</v>
      </c>
      <c r="FW18" s="497">
        <v>0</v>
      </c>
      <c r="FX18" s="497">
        <v>0</v>
      </c>
      <c r="FY18" s="497">
        <v>0</v>
      </c>
      <c r="FZ18" s="497">
        <v>0</v>
      </c>
      <c r="GA18" s="497">
        <v>0</v>
      </c>
      <c r="GB18" s="497">
        <v>0</v>
      </c>
      <c r="GC18" s="497">
        <v>0</v>
      </c>
      <c r="GD18" s="497">
        <v>0</v>
      </c>
      <c r="GE18" s="497">
        <v>0</v>
      </c>
      <c r="GF18" s="497">
        <v>0</v>
      </c>
      <c r="GG18" s="497">
        <v>0</v>
      </c>
      <c r="GH18" s="497">
        <v>0</v>
      </c>
      <c r="GI18" s="497">
        <v>0</v>
      </c>
      <c r="GJ18" s="497">
        <v>0</v>
      </c>
      <c r="GK18" s="497">
        <v>0</v>
      </c>
      <c r="GL18" s="497">
        <v>0</v>
      </c>
      <c r="GM18" s="497">
        <v>0</v>
      </c>
      <c r="GN18" s="497">
        <v>0</v>
      </c>
      <c r="GO18" s="497">
        <v>0</v>
      </c>
      <c r="GP18" s="497">
        <v>0</v>
      </c>
      <c r="GQ18" s="497">
        <v>0</v>
      </c>
      <c r="GR18" s="497">
        <v>0</v>
      </c>
      <c r="GS18" s="497">
        <v>0</v>
      </c>
      <c r="GT18" s="497">
        <v>0</v>
      </c>
      <c r="GU18" s="497">
        <v>0</v>
      </c>
      <c r="GV18" s="497">
        <v>0</v>
      </c>
      <c r="GW18" s="497">
        <v>0</v>
      </c>
      <c r="GX18" s="497">
        <v>0</v>
      </c>
      <c r="GY18" s="497">
        <v>0</v>
      </c>
      <c r="GZ18" s="497">
        <v>0</v>
      </c>
      <c r="HA18" s="497">
        <v>0</v>
      </c>
      <c r="HB18" s="497"/>
      <c r="HC18" s="497"/>
      <c r="HD18" s="497"/>
      <c r="HE18" s="497"/>
      <c r="HF18" s="1" t="s">
        <v>212</v>
      </c>
      <c r="HG18" s="139">
        <f t="shared" si="519"/>
        <v>4</v>
      </c>
      <c r="HH18" s="1" t="str">
        <f>B18</f>
        <v>Purchase Price</v>
      </c>
      <c r="HI18" s="18"/>
      <c r="HJ18" s="18"/>
      <c r="HK18" s="18"/>
      <c r="HL18" s="116">
        <f>SUM(HN18:HV18)</f>
        <v>30000</v>
      </c>
      <c r="HM18" s="18"/>
      <c r="HN18" s="115">
        <f t="shared" ref="HN18:HV20" si="520">SUMIF($K$14:$GT$14,HN$14,$K18:$GT18)</f>
        <v>30000</v>
      </c>
      <c r="HO18" s="117">
        <f t="shared" si="520"/>
        <v>0</v>
      </c>
      <c r="HP18" s="117">
        <f t="shared" si="520"/>
        <v>0</v>
      </c>
      <c r="HQ18" s="117">
        <f t="shared" si="520"/>
        <v>0</v>
      </c>
      <c r="HR18" s="117">
        <f t="shared" si="520"/>
        <v>0</v>
      </c>
      <c r="HS18" s="117">
        <f t="shared" si="520"/>
        <v>0</v>
      </c>
      <c r="HT18" s="117">
        <f t="shared" si="520"/>
        <v>0</v>
      </c>
      <c r="HU18" s="117">
        <f t="shared" si="520"/>
        <v>0</v>
      </c>
      <c r="HV18" s="117">
        <f t="shared" si="520"/>
        <v>0</v>
      </c>
      <c r="HW18"/>
    </row>
    <row r="19" spans="1:231" ht="15">
      <c r="B19" s="118">
        <f>Assumptions!B13</f>
        <v>6.8666666666666668E-3</v>
      </c>
      <c r="C19" s="84"/>
      <c r="D19" s="84"/>
      <c r="E19" s="84"/>
      <c r="F19" s="84"/>
      <c r="G19" s="84"/>
      <c r="H19" s="84"/>
      <c r="I19" s="119">
        <f>SUM(K19:GT19)</f>
        <v>206</v>
      </c>
      <c r="J19" s="120"/>
      <c r="K19" s="121">
        <f>Assumptions!C13</f>
        <v>206</v>
      </c>
      <c r="L19" s="508">
        <v>0</v>
      </c>
      <c r="M19" s="508">
        <v>0</v>
      </c>
      <c r="N19" s="508">
        <v>0</v>
      </c>
      <c r="O19" s="508">
        <v>0</v>
      </c>
      <c r="P19" s="508">
        <v>0</v>
      </c>
      <c r="Q19" s="508">
        <v>0</v>
      </c>
      <c r="R19" s="508">
        <v>0</v>
      </c>
      <c r="S19" s="508">
        <v>0</v>
      </c>
      <c r="T19" s="508">
        <v>0</v>
      </c>
      <c r="U19" s="508">
        <v>0</v>
      </c>
      <c r="V19" s="508">
        <v>0</v>
      </c>
      <c r="W19" s="508">
        <v>0</v>
      </c>
      <c r="X19" s="508">
        <v>0</v>
      </c>
      <c r="Y19" s="508">
        <v>0</v>
      </c>
      <c r="Z19" s="508">
        <v>0</v>
      </c>
      <c r="AA19" s="508">
        <v>0</v>
      </c>
      <c r="AB19" s="508">
        <v>0</v>
      </c>
      <c r="AC19" s="508">
        <v>0</v>
      </c>
      <c r="AD19" s="508">
        <v>0</v>
      </c>
      <c r="AE19" s="508">
        <v>0</v>
      </c>
      <c r="AF19" s="508">
        <v>0</v>
      </c>
      <c r="AG19" s="508">
        <v>0</v>
      </c>
      <c r="AH19" s="508">
        <v>0</v>
      </c>
      <c r="AI19" s="508">
        <v>0</v>
      </c>
      <c r="AJ19" s="508">
        <v>0</v>
      </c>
      <c r="AK19" s="508">
        <v>0</v>
      </c>
      <c r="AL19" s="508">
        <v>0</v>
      </c>
      <c r="AM19" s="508">
        <v>0</v>
      </c>
      <c r="AN19" s="508">
        <v>0</v>
      </c>
      <c r="AO19" s="508">
        <v>0</v>
      </c>
      <c r="AP19" s="508">
        <v>0</v>
      </c>
      <c r="AQ19" s="508">
        <v>0</v>
      </c>
      <c r="AR19" s="508">
        <v>0</v>
      </c>
      <c r="AS19" s="508">
        <v>0</v>
      </c>
      <c r="AT19" s="508">
        <v>0</v>
      </c>
      <c r="AU19" s="508">
        <v>0</v>
      </c>
      <c r="AV19" s="508">
        <v>0</v>
      </c>
      <c r="AW19" s="508">
        <v>0</v>
      </c>
      <c r="AX19" s="508">
        <v>0</v>
      </c>
      <c r="AY19" s="508">
        <v>0</v>
      </c>
      <c r="AZ19" s="508">
        <v>0</v>
      </c>
      <c r="BA19" s="508">
        <v>0</v>
      </c>
      <c r="BB19" s="508">
        <v>0</v>
      </c>
      <c r="BC19" s="508">
        <v>0</v>
      </c>
      <c r="BD19" s="508">
        <v>0</v>
      </c>
      <c r="BE19" s="508">
        <v>0</v>
      </c>
      <c r="BF19" s="508">
        <v>0</v>
      </c>
      <c r="BG19" s="508">
        <v>0</v>
      </c>
      <c r="BH19" s="508">
        <v>0</v>
      </c>
      <c r="BI19" s="508">
        <v>0</v>
      </c>
      <c r="BJ19" s="508">
        <v>0</v>
      </c>
      <c r="BK19" s="508">
        <v>0</v>
      </c>
      <c r="BL19" s="508">
        <v>0</v>
      </c>
      <c r="BM19" s="508">
        <v>0</v>
      </c>
      <c r="BN19" s="508">
        <v>0</v>
      </c>
      <c r="BO19" s="508">
        <v>0</v>
      </c>
      <c r="BP19" s="508">
        <v>0</v>
      </c>
      <c r="BQ19" s="508">
        <v>0</v>
      </c>
      <c r="BR19" s="508">
        <v>0</v>
      </c>
      <c r="BS19" s="508">
        <v>0</v>
      </c>
      <c r="BT19" s="508">
        <v>0</v>
      </c>
      <c r="BU19" s="508">
        <v>0</v>
      </c>
      <c r="BV19" s="508">
        <v>0</v>
      </c>
      <c r="BW19" s="508">
        <v>0</v>
      </c>
      <c r="BX19" s="508">
        <v>0</v>
      </c>
      <c r="BY19" s="508">
        <v>0</v>
      </c>
      <c r="BZ19" s="508">
        <v>0</v>
      </c>
      <c r="CA19" s="508">
        <v>0</v>
      </c>
      <c r="CB19" s="508">
        <v>0</v>
      </c>
      <c r="CC19" s="508">
        <v>0</v>
      </c>
      <c r="CD19" s="508">
        <v>0</v>
      </c>
      <c r="CE19" s="508">
        <v>0</v>
      </c>
      <c r="CF19" s="508">
        <v>0</v>
      </c>
      <c r="CG19" s="508">
        <v>0</v>
      </c>
      <c r="CH19" s="508">
        <v>0</v>
      </c>
      <c r="CI19" s="508">
        <v>0</v>
      </c>
      <c r="CJ19" s="508">
        <v>0</v>
      </c>
      <c r="CK19" s="508">
        <v>0</v>
      </c>
      <c r="CL19" s="508">
        <v>0</v>
      </c>
      <c r="CM19" s="508">
        <v>0</v>
      </c>
      <c r="CN19" s="508">
        <v>0</v>
      </c>
      <c r="CO19" s="508">
        <v>0</v>
      </c>
      <c r="CP19" s="508">
        <v>0</v>
      </c>
      <c r="CQ19" s="508">
        <v>0</v>
      </c>
      <c r="CR19" s="508">
        <v>0</v>
      </c>
      <c r="CS19" s="508">
        <v>0</v>
      </c>
      <c r="CT19" s="508">
        <v>0</v>
      </c>
      <c r="CU19" s="508">
        <v>0</v>
      </c>
      <c r="CV19" s="508">
        <v>0</v>
      </c>
      <c r="CW19" s="508">
        <v>0</v>
      </c>
      <c r="CX19" s="508">
        <v>0</v>
      </c>
      <c r="CY19" s="508">
        <v>0</v>
      </c>
      <c r="CZ19" s="508">
        <v>0</v>
      </c>
      <c r="DA19" s="508">
        <v>0</v>
      </c>
      <c r="DB19" s="508">
        <v>0</v>
      </c>
      <c r="DC19" s="508">
        <v>0</v>
      </c>
      <c r="DD19" s="508">
        <v>0</v>
      </c>
      <c r="DE19" s="508">
        <v>0</v>
      </c>
      <c r="DF19" s="508">
        <v>0</v>
      </c>
      <c r="DG19" s="508">
        <v>0</v>
      </c>
      <c r="DH19" s="508">
        <v>0</v>
      </c>
      <c r="DI19" s="508">
        <v>0</v>
      </c>
      <c r="DJ19" s="508">
        <v>0</v>
      </c>
      <c r="DK19" s="508">
        <v>0</v>
      </c>
      <c r="DL19" s="508">
        <v>0</v>
      </c>
      <c r="DM19" s="508">
        <v>0</v>
      </c>
      <c r="DN19" s="508">
        <v>0</v>
      </c>
      <c r="DO19" s="508">
        <v>0</v>
      </c>
      <c r="DP19" s="508">
        <v>0</v>
      </c>
      <c r="DQ19" s="508">
        <v>0</v>
      </c>
      <c r="DR19" s="508">
        <v>0</v>
      </c>
      <c r="DS19" s="508">
        <v>0</v>
      </c>
      <c r="DT19" s="508">
        <v>0</v>
      </c>
      <c r="DU19" s="508">
        <v>0</v>
      </c>
      <c r="DV19" s="508">
        <v>0</v>
      </c>
      <c r="DW19" s="508">
        <v>0</v>
      </c>
      <c r="DX19" s="508">
        <v>0</v>
      </c>
      <c r="DY19" s="508">
        <v>0</v>
      </c>
      <c r="DZ19" s="508">
        <v>0</v>
      </c>
      <c r="EA19" s="508">
        <v>0</v>
      </c>
      <c r="EB19" s="508">
        <v>0</v>
      </c>
      <c r="EC19" s="508">
        <v>0</v>
      </c>
      <c r="ED19" s="508">
        <v>0</v>
      </c>
      <c r="EE19" s="508">
        <v>0</v>
      </c>
      <c r="EF19" s="508">
        <v>0</v>
      </c>
      <c r="EG19" s="508">
        <v>0</v>
      </c>
      <c r="EH19" s="508">
        <v>0</v>
      </c>
      <c r="EI19" s="508">
        <v>0</v>
      </c>
      <c r="EJ19" s="508">
        <v>0</v>
      </c>
      <c r="EK19" s="508">
        <v>0</v>
      </c>
      <c r="EL19" s="508">
        <v>0</v>
      </c>
      <c r="EM19" s="508">
        <v>0</v>
      </c>
      <c r="EN19" s="508">
        <v>0</v>
      </c>
      <c r="EO19" s="508">
        <v>0</v>
      </c>
      <c r="EP19" s="508">
        <v>0</v>
      </c>
      <c r="EQ19" s="508">
        <v>0</v>
      </c>
      <c r="ER19" s="508">
        <v>0</v>
      </c>
      <c r="ES19" s="508">
        <v>0</v>
      </c>
      <c r="ET19" s="508">
        <v>0</v>
      </c>
      <c r="EU19" s="508">
        <v>0</v>
      </c>
      <c r="EV19" s="508">
        <v>0</v>
      </c>
      <c r="EW19" s="508">
        <v>0</v>
      </c>
      <c r="EX19" s="508">
        <v>0</v>
      </c>
      <c r="EY19" s="508">
        <v>0</v>
      </c>
      <c r="EZ19" s="508">
        <v>0</v>
      </c>
      <c r="FA19" s="508">
        <v>0</v>
      </c>
      <c r="FB19" s="508">
        <v>0</v>
      </c>
      <c r="FC19" s="508">
        <v>0</v>
      </c>
      <c r="FD19" s="508">
        <v>0</v>
      </c>
      <c r="FE19" s="508">
        <v>0</v>
      </c>
      <c r="FF19" s="508">
        <v>0</v>
      </c>
      <c r="FG19" s="508">
        <v>0</v>
      </c>
      <c r="FH19" s="508">
        <v>0</v>
      </c>
      <c r="FI19" s="508">
        <v>0</v>
      </c>
      <c r="FJ19" s="508">
        <v>0</v>
      </c>
      <c r="FK19" s="508">
        <v>0</v>
      </c>
      <c r="FL19" s="508">
        <v>0</v>
      </c>
      <c r="FM19" s="508">
        <v>0</v>
      </c>
      <c r="FN19" s="508">
        <v>0</v>
      </c>
      <c r="FO19" s="508">
        <v>0</v>
      </c>
      <c r="FP19" s="508">
        <v>0</v>
      </c>
      <c r="FQ19" s="508">
        <v>0</v>
      </c>
      <c r="FR19" s="508">
        <v>0</v>
      </c>
      <c r="FS19" s="508">
        <v>0</v>
      </c>
      <c r="FT19" s="508">
        <v>0</v>
      </c>
      <c r="FU19" s="508">
        <v>0</v>
      </c>
      <c r="FV19" s="508">
        <v>0</v>
      </c>
      <c r="FW19" s="508">
        <v>0</v>
      </c>
      <c r="FX19" s="508">
        <v>0</v>
      </c>
      <c r="FY19" s="508">
        <v>0</v>
      </c>
      <c r="FZ19" s="508">
        <v>0</v>
      </c>
      <c r="GA19" s="508">
        <v>0</v>
      </c>
      <c r="GB19" s="508">
        <v>0</v>
      </c>
      <c r="GC19" s="508">
        <v>0</v>
      </c>
      <c r="GD19" s="508">
        <v>0</v>
      </c>
      <c r="GE19" s="508">
        <v>0</v>
      </c>
      <c r="GF19" s="508">
        <v>0</v>
      </c>
      <c r="GG19" s="508">
        <v>0</v>
      </c>
      <c r="GH19" s="508">
        <v>0</v>
      </c>
      <c r="GI19" s="508">
        <v>0</v>
      </c>
      <c r="GJ19" s="508">
        <v>0</v>
      </c>
      <c r="GK19" s="508">
        <v>0</v>
      </c>
      <c r="GL19" s="508">
        <v>0</v>
      </c>
      <c r="GM19" s="508">
        <v>0</v>
      </c>
      <c r="GN19" s="508">
        <v>0</v>
      </c>
      <c r="GO19" s="508">
        <v>0</v>
      </c>
      <c r="GP19" s="508">
        <v>0</v>
      </c>
      <c r="GQ19" s="508">
        <v>0</v>
      </c>
      <c r="GR19" s="508">
        <v>0</v>
      </c>
      <c r="GS19" s="508">
        <v>0</v>
      </c>
      <c r="GT19" s="508">
        <v>0</v>
      </c>
      <c r="GU19" s="508">
        <v>0</v>
      </c>
      <c r="GV19" s="508">
        <v>0</v>
      </c>
      <c r="GW19" s="508">
        <v>0</v>
      </c>
      <c r="GX19" s="508">
        <v>0</v>
      </c>
      <c r="GY19" s="508">
        <v>0</v>
      </c>
      <c r="GZ19" s="508">
        <v>0</v>
      </c>
      <c r="HA19" s="508">
        <v>0</v>
      </c>
      <c r="HB19" s="215"/>
      <c r="HC19" s="215"/>
      <c r="HD19" s="215"/>
      <c r="HE19" s="215"/>
      <c r="HF19" s="1" t="s">
        <v>212</v>
      </c>
      <c r="HG19" s="139">
        <f t="shared" si="519"/>
        <v>5</v>
      </c>
      <c r="HH19" s="118">
        <f>B19</f>
        <v>6.8666666666666668E-3</v>
      </c>
      <c r="HI19" s="120"/>
      <c r="HJ19" s="120"/>
      <c r="HK19" s="120"/>
      <c r="HL19" s="119">
        <f t="shared" ref="HL19:HL20" si="521">SUM(HN19:HV19)</f>
        <v>206</v>
      </c>
      <c r="HM19" s="120"/>
      <c r="HN19" s="121">
        <f t="shared" si="520"/>
        <v>206</v>
      </c>
      <c r="HO19" s="122">
        <f t="shared" si="520"/>
        <v>0</v>
      </c>
      <c r="HP19" s="122">
        <f t="shared" si="520"/>
        <v>0</v>
      </c>
      <c r="HQ19" s="122">
        <f t="shared" si="520"/>
        <v>0</v>
      </c>
      <c r="HR19" s="122">
        <f t="shared" si="520"/>
        <v>0</v>
      </c>
      <c r="HS19" s="122">
        <f t="shared" si="520"/>
        <v>0</v>
      </c>
      <c r="HT19" s="122">
        <f t="shared" si="520"/>
        <v>0</v>
      </c>
      <c r="HU19" s="122">
        <f t="shared" si="520"/>
        <v>0</v>
      </c>
      <c r="HV19" s="122">
        <f t="shared" si="520"/>
        <v>0</v>
      </c>
      <c r="HW19"/>
    </row>
    <row r="20" spans="1:231" ht="15">
      <c r="B20" s="33" t="s">
        <v>20</v>
      </c>
      <c r="C20" s="33"/>
      <c r="D20" s="33"/>
      <c r="E20" s="33"/>
      <c r="F20" s="33"/>
      <c r="G20" s="33"/>
      <c r="H20" s="33"/>
      <c r="I20" s="123">
        <f>SUM(K20:GT20)</f>
        <v>30206</v>
      </c>
      <c r="J20" s="34"/>
      <c r="K20" s="124">
        <f>SUBTOTAL(9,K18:K19)</f>
        <v>30206</v>
      </c>
      <c r="L20" s="34">
        <f t="shared" ref="L20:BW20" si="522">SUBTOTAL(9,L18:L19)</f>
        <v>0</v>
      </c>
      <c r="M20" s="34">
        <f t="shared" si="522"/>
        <v>0</v>
      </c>
      <c r="N20" s="34">
        <f t="shared" si="522"/>
        <v>0</v>
      </c>
      <c r="O20" s="34">
        <f t="shared" si="522"/>
        <v>0</v>
      </c>
      <c r="P20" s="34">
        <f t="shared" si="522"/>
        <v>0</v>
      </c>
      <c r="Q20" s="34">
        <f t="shared" si="522"/>
        <v>0</v>
      </c>
      <c r="R20" s="34">
        <f t="shared" si="522"/>
        <v>0</v>
      </c>
      <c r="S20" s="34">
        <f t="shared" si="522"/>
        <v>0</v>
      </c>
      <c r="T20" s="34">
        <f t="shared" si="522"/>
        <v>0</v>
      </c>
      <c r="U20" s="34">
        <f t="shared" si="522"/>
        <v>0</v>
      </c>
      <c r="V20" s="34">
        <f t="shared" si="522"/>
        <v>0</v>
      </c>
      <c r="W20" s="34">
        <f t="shared" si="522"/>
        <v>0</v>
      </c>
      <c r="X20" s="34">
        <f t="shared" si="522"/>
        <v>0</v>
      </c>
      <c r="Y20" s="34">
        <f t="shared" si="522"/>
        <v>0</v>
      </c>
      <c r="Z20" s="34">
        <f t="shared" si="522"/>
        <v>0</v>
      </c>
      <c r="AA20" s="34">
        <f t="shared" si="522"/>
        <v>0</v>
      </c>
      <c r="AB20" s="34">
        <f t="shared" si="522"/>
        <v>0</v>
      </c>
      <c r="AC20" s="34">
        <f t="shared" si="522"/>
        <v>0</v>
      </c>
      <c r="AD20" s="34">
        <f t="shared" si="522"/>
        <v>0</v>
      </c>
      <c r="AE20" s="34">
        <f t="shared" si="522"/>
        <v>0</v>
      </c>
      <c r="AF20" s="34">
        <f t="shared" si="522"/>
        <v>0</v>
      </c>
      <c r="AG20" s="34">
        <f t="shared" si="522"/>
        <v>0</v>
      </c>
      <c r="AH20" s="34">
        <f t="shared" si="522"/>
        <v>0</v>
      </c>
      <c r="AI20" s="34">
        <f t="shared" si="522"/>
        <v>0</v>
      </c>
      <c r="AJ20" s="34">
        <f t="shared" si="522"/>
        <v>0</v>
      </c>
      <c r="AK20" s="34">
        <f t="shared" si="522"/>
        <v>0</v>
      </c>
      <c r="AL20" s="34">
        <f t="shared" si="522"/>
        <v>0</v>
      </c>
      <c r="AM20" s="34">
        <f t="shared" si="522"/>
        <v>0</v>
      </c>
      <c r="AN20" s="34">
        <f t="shared" si="522"/>
        <v>0</v>
      </c>
      <c r="AO20" s="34">
        <f t="shared" si="522"/>
        <v>0</v>
      </c>
      <c r="AP20" s="34">
        <f t="shared" si="522"/>
        <v>0</v>
      </c>
      <c r="AQ20" s="34">
        <f t="shared" si="522"/>
        <v>0</v>
      </c>
      <c r="AR20" s="34">
        <f t="shared" si="522"/>
        <v>0</v>
      </c>
      <c r="AS20" s="34">
        <f t="shared" si="522"/>
        <v>0</v>
      </c>
      <c r="AT20" s="34">
        <f t="shared" si="522"/>
        <v>0</v>
      </c>
      <c r="AU20" s="34">
        <f t="shared" si="522"/>
        <v>0</v>
      </c>
      <c r="AV20" s="34">
        <f t="shared" si="522"/>
        <v>0</v>
      </c>
      <c r="AW20" s="34">
        <f t="shared" si="522"/>
        <v>0</v>
      </c>
      <c r="AX20" s="34">
        <f t="shared" si="522"/>
        <v>0</v>
      </c>
      <c r="AY20" s="34">
        <f t="shared" si="522"/>
        <v>0</v>
      </c>
      <c r="AZ20" s="34">
        <f t="shared" si="522"/>
        <v>0</v>
      </c>
      <c r="BA20" s="34">
        <f t="shared" si="522"/>
        <v>0</v>
      </c>
      <c r="BB20" s="34">
        <f t="shared" si="522"/>
        <v>0</v>
      </c>
      <c r="BC20" s="34">
        <f t="shared" si="522"/>
        <v>0</v>
      </c>
      <c r="BD20" s="34">
        <f t="shared" si="522"/>
        <v>0</v>
      </c>
      <c r="BE20" s="34">
        <f t="shared" si="522"/>
        <v>0</v>
      </c>
      <c r="BF20" s="34">
        <f t="shared" si="522"/>
        <v>0</v>
      </c>
      <c r="BG20" s="34">
        <f t="shared" si="522"/>
        <v>0</v>
      </c>
      <c r="BH20" s="34">
        <f t="shared" si="522"/>
        <v>0</v>
      </c>
      <c r="BI20" s="34">
        <f t="shared" si="522"/>
        <v>0</v>
      </c>
      <c r="BJ20" s="34">
        <f t="shared" si="522"/>
        <v>0</v>
      </c>
      <c r="BK20" s="34">
        <f t="shared" si="522"/>
        <v>0</v>
      </c>
      <c r="BL20" s="34">
        <f t="shared" si="522"/>
        <v>0</v>
      </c>
      <c r="BM20" s="34">
        <f t="shared" si="522"/>
        <v>0</v>
      </c>
      <c r="BN20" s="34">
        <f t="shared" si="522"/>
        <v>0</v>
      </c>
      <c r="BO20" s="34">
        <f t="shared" si="522"/>
        <v>0</v>
      </c>
      <c r="BP20" s="34">
        <f t="shared" si="522"/>
        <v>0</v>
      </c>
      <c r="BQ20" s="34">
        <f t="shared" si="522"/>
        <v>0</v>
      </c>
      <c r="BR20" s="34">
        <f t="shared" si="522"/>
        <v>0</v>
      </c>
      <c r="BS20" s="34">
        <f t="shared" si="522"/>
        <v>0</v>
      </c>
      <c r="BT20" s="34">
        <f t="shared" si="522"/>
        <v>0</v>
      </c>
      <c r="BU20" s="34">
        <f t="shared" si="522"/>
        <v>0</v>
      </c>
      <c r="BV20" s="34">
        <f t="shared" si="522"/>
        <v>0</v>
      </c>
      <c r="BW20" s="34">
        <f t="shared" si="522"/>
        <v>0</v>
      </c>
      <c r="BX20" s="34">
        <f t="shared" ref="BX20:CE20" si="523">SUBTOTAL(9,BX18:BX19)</f>
        <v>0</v>
      </c>
      <c r="BY20" s="34">
        <f t="shared" si="523"/>
        <v>0</v>
      </c>
      <c r="BZ20" s="34">
        <f t="shared" si="523"/>
        <v>0</v>
      </c>
      <c r="CA20" s="34">
        <f t="shared" si="523"/>
        <v>0</v>
      </c>
      <c r="CB20" s="34">
        <f t="shared" si="523"/>
        <v>0</v>
      </c>
      <c r="CC20" s="34">
        <f t="shared" si="523"/>
        <v>0</v>
      </c>
      <c r="CD20" s="34">
        <f t="shared" si="523"/>
        <v>0</v>
      </c>
      <c r="CE20" s="34">
        <f t="shared" si="523"/>
        <v>0</v>
      </c>
      <c r="CF20" s="34">
        <f t="shared" ref="CF20:EL20" si="524">SUBTOTAL(9,CF18:CF19)</f>
        <v>0</v>
      </c>
      <c r="CG20" s="34">
        <f t="shared" si="524"/>
        <v>0</v>
      </c>
      <c r="CH20" s="34">
        <f t="shared" si="524"/>
        <v>0</v>
      </c>
      <c r="CI20" s="34">
        <f t="shared" si="524"/>
        <v>0</v>
      </c>
      <c r="CJ20" s="34">
        <f t="shared" si="524"/>
        <v>0</v>
      </c>
      <c r="CK20" s="34">
        <f t="shared" si="524"/>
        <v>0</v>
      </c>
      <c r="CL20" s="34">
        <f t="shared" si="524"/>
        <v>0</v>
      </c>
      <c r="CM20" s="34">
        <f t="shared" si="524"/>
        <v>0</v>
      </c>
      <c r="CN20" s="34">
        <f t="shared" si="524"/>
        <v>0</v>
      </c>
      <c r="CO20" s="34">
        <f t="shared" si="524"/>
        <v>0</v>
      </c>
      <c r="CP20" s="34">
        <f t="shared" si="524"/>
        <v>0</v>
      </c>
      <c r="CQ20" s="34">
        <f t="shared" si="524"/>
        <v>0</v>
      </c>
      <c r="CR20" s="34">
        <f t="shared" si="524"/>
        <v>0</v>
      </c>
      <c r="CS20" s="34">
        <f t="shared" si="524"/>
        <v>0</v>
      </c>
      <c r="CT20" s="34">
        <f t="shared" si="524"/>
        <v>0</v>
      </c>
      <c r="CU20" s="34">
        <f t="shared" si="524"/>
        <v>0</v>
      </c>
      <c r="CV20" s="34">
        <f t="shared" si="524"/>
        <v>0</v>
      </c>
      <c r="CW20" s="34">
        <f t="shared" si="524"/>
        <v>0</v>
      </c>
      <c r="CX20" s="34">
        <f t="shared" si="524"/>
        <v>0</v>
      </c>
      <c r="CY20" s="34">
        <f t="shared" si="524"/>
        <v>0</v>
      </c>
      <c r="CZ20" s="34">
        <f t="shared" si="524"/>
        <v>0</v>
      </c>
      <c r="DA20" s="34">
        <f t="shared" si="524"/>
        <v>0</v>
      </c>
      <c r="DB20" s="34">
        <f t="shared" si="524"/>
        <v>0</v>
      </c>
      <c r="DC20" s="34">
        <f t="shared" si="524"/>
        <v>0</v>
      </c>
      <c r="DD20" s="34">
        <f t="shared" si="524"/>
        <v>0</v>
      </c>
      <c r="DE20" s="34">
        <f t="shared" si="524"/>
        <v>0</v>
      </c>
      <c r="DF20" s="34">
        <f t="shared" si="524"/>
        <v>0</v>
      </c>
      <c r="DG20" s="34">
        <f t="shared" si="524"/>
        <v>0</v>
      </c>
      <c r="DH20" s="34">
        <f t="shared" si="524"/>
        <v>0</v>
      </c>
      <c r="DI20" s="34">
        <f t="shared" si="524"/>
        <v>0</v>
      </c>
      <c r="DJ20" s="34">
        <f t="shared" si="524"/>
        <v>0</v>
      </c>
      <c r="DK20" s="34">
        <f t="shared" si="524"/>
        <v>0</v>
      </c>
      <c r="DL20" s="34">
        <f t="shared" si="524"/>
        <v>0</v>
      </c>
      <c r="DM20" s="34">
        <f t="shared" si="524"/>
        <v>0</v>
      </c>
      <c r="DN20" s="34">
        <f t="shared" si="524"/>
        <v>0</v>
      </c>
      <c r="DO20" s="34">
        <f t="shared" si="524"/>
        <v>0</v>
      </c>
      <c r="DP20" s="34">
        <f t="shared" si="524"/>
        <v>0</v>
      </c>
      <c r="DQ20" s="34">
        <f t="shared" si="524"/>
        <v>0</v>
      </c>
      <c r="DR20" s="34">
        <f t="shared" si="524"/>
        <v>0</v>
      </c>
      <c r="DS20" s="34">
        <f t="shared" si="524"/>
        <v>0</v>
      </c>
      <c r="DT20" s="34">
        <f t="shared" si="524"/>
        <v>0</v>
      </c>
      <c r="DU20" s="34">
        <f t="shared" si="524"/>
        <v>0</v>
      </c>
      <c r="DV20" s="34">
        <f t="shared" si="524"/>
        <v>0</v>
      </c>
      <c r="DW20" s="34">
        <f t="shared" si="524"/>
        <v>0</v>
      </c>
      <c r="DX20" s="34">
        <f t="shared" si="524"/>
        <v>0</v>
      </c>
      <c r="DY20" s="34">
        <f t="shared" si="524"/>
        <v>0</v>
      </c>
      <c r="DZ20" s="34">
        <f t="shared" si="524"/>
        <v>0</v>
      </c>
      <c r="EA20" s="34">
        <f t="shared" si="524"/>
        <v>0</v>
      </c>
      <c r="EB20" s="34">
        <f t="shared" si="524"/>
        <v>0</v>
      </c>
      <c r="EC20" s="34">
        <f t="shared" si="524"/>
        <v>0</v>
      </c>
      <c r="ED20" s="34">
        <f t="shared" si="524"/>
        <v>0</v>
      </c>
      <c r="EE20" s="34">
        <f t="shared" si="524"/>
        <v>0</v>
      </c>
      <c r="EF20" s="34">
        <f t="shared" si="524"/>
        <v>0</v>
      </c>
      <c r="EG20" s="34">
        <f t="shared" si="524"/>
        <v>0</v>
      </c>
      <c r="EH20" s="34">
        <f t="shared" si="524"/>
        <v>0</v>
      </c>
      <c r="EI20" s="34">
        <f t="shared" si="524"/>
        <v>0</v>
      </c>
      <c r="EJ20" s="34">
        <f t="shared" si="524"/>
        <v>0</v>
      </c>
      <c r="EK20" s="34">
        <f t="shared" si="524"/>
        <v>0</v>
      </c>
      <c r="EL20" s="34">
        <f t="shared" si="524"/>
        <v>0</v>
      </c>
      <c r="EM20" s="34">
        <f t="shared" ref="EM20:FD20" si="525">SUBTOTAL(9,EM18:EM19)</f>
        <v>0</v>
      </c>
      <c r="EN20" s="34">
        <f t="shared" si="525"/>
        <v>0</v>
      </c>
      <c r="EO20" s="34">
        <f t="shared" si="525"/>
        <v>0</v>
      </c>
      <c r="EP20" s="34">
        <f t="shared" si="525"/>
        <v>0</v>
      </c>
      <c r="EQ20" s="34">
        <f t="shared" si="525"/>
        <v>0</v>
      </c>
      <c r="ER20" s="34">
        <f t="shared" si="525"/>
        <v>0</v>
      </c>
      <c r="ES20" s="34">
        <f t="shared" si="525"/>
        <v>0</v>
      </c>
      <c r="ET20" s="34">
        <f t="shared" si="525"/>
        <v>0</v>
      </c>
      <c r="EU20" s="34">
        <f t="shared" si="525"/>
        <v>0</v>
      </c>
      <c r="EV20" s="34">
        <f t="shared" si="525"/>
        <v>0</v>
      </c>
      <c r="EW20" s="34">
        <f t="shared" si="525"/>
        <v>0</v>
      </c>
      <c r="EX20" s="34">
        <f t="shared" si="525"/>
        <v>0</v>
      </c>
      <c r="EY20" s="34">
        <f t="shared" si="525"/>
        <v>0</v>
      </c>
      <c r="EZ20" s="34">
        <f t="shared" si="525"/>
        <v>0</v>
      </c>
      <c r="FA20" s="34">
        <f t="shared" si="525"/>
        <v>0</v>
      </c>
      <c r="FB20" s="34">
        <f t="shared" si="525"/>
        <v>0</v>
      </c>
      <c r="FC20" s="34">
        <f t="shared" si="525"/>
        <v>0</v>
      </c>
      <c r="FD20" s="34">
        <f t="shared" si="525"/>
        <v>0</v>
      </c>
      <c r="FE20" s="34">
        <f t="shared" ref="FE20:FI20" si="526">SUBTOTAL(9,FE18:FE19)</f>
        <v>0</v>
      </c>
      <c r="FF20" s="34">
        <f t="shared" si="526"/>
        <v>0</v>
      </c>
      <c r="FG20" s="34">
        <f t="shared" si="526"/>
        <v>0</v>
      </c>
      <c r="FH20" s="34">
        <f t="shared" si="526"/>
        <v>0</v>
      </c>
      <c r="FI20" s="34">
        <f t="shared" si="526"/>
        <v>0</v>
      </c>
      <c r="FJ20" s="34">
        <f t="shared" ref="FJ20:GC20" si="527">SUBTOTAL(9,FJ18:FJ19)</f>
        <v>0</v>
      </c>
      <c r="FK20" s="34">
        <f t="shared" si="527"/>
        <v>0</v>
      </c>
      <c r="FL20" s="34">
        <f t="shared" si="527"/>
        <v>0</v>
      </c>
      <c r="FM20" s="34">
        <f t="shared" si="527"/>
        <v>0</v>
      </c>
      <c r="FN20" s="34">
        <f t="shared" si="527"/>
        <v>0</v>
      </c>
      <c r="FO20" s="34">
        <f t="shared" si="527"/>
        <v>0</v>
      </c>
      <c r="FP20" s="34">
        <f t="shared" si="527"/>
        <v>0</v>
      </c>
      <c r="FQ20" s="34">
        <f t="shared" si="527"/>
        <v>0</v>
      </c>
      <c r="FR20" s="34">
        <f t="shared" si="527"/>
        <v>0</v>
      </c>
      <c r="FS20" s="34">
        <f t="shared" si="527"/>
        <v>0</v>
      </c>
      <c r="FT20" s="34">
        <f t="shared" si="527"/>
        <v>0</v>
      </c>
      <c r="FU20" s="34">
        <f t="shared" si="527"/>
        <v>0</v>
      </c>
      <c r="FV20" s="34">
        <f t="shared" si="527"/>
        <v>0</v>
      </c>
      <c r="FW20" s="34">
        <f t="shared" si="527"/>
        <v>0</v>
      </c>
      <c r="FX20" s="34">
        <f t="shared" si="527"/>
        <v>0</v>
      </c>
      <c r="FY20" s="34">
        <f t="shared" si="527"/>
        <v>0</v>
      </c>
      <c r="FZ20" s="34">
        <f t="shared" si="527"/>
        <v>0</v>
      </c>
      <c r="GA20" s="34">
        <f t="shared" si="527"/>
        <v>0</v>
      </c>
      <c r="GB20" s="34">
        <f t="shared" si="527"/>
        <v>0</v>
      </c>
      <c r="GC20" s="34">
        <f t="shared" si="527"/>
        <v>0</v>
      </c>
      <c r="GD20" s="34">
        <f t="shared" ref="GD20:GT20" si="528">SUBTOTAL(9,GD18:GD19)</f>
        <v>0</v>
      </c>
      <c r="GE20" s="34">
        <f t="shared" si="528"/>
        <v>0</v>
      </c>
      <c r="GF20" s="34">
        <f t="shared" si="528"/>
        <v>0</v>
      </c>
      <c r="GG20" s="34">
        <f t="shared" si="528"/>
        <v>0</v>
      </c>
      <c r="GH20" s="34">
        <f t="shared" si="528"/>
        <v>0</v>
      </c>
      <c r="GI20" s="34">
        <f t="shared" si="528"/>
        <v>0</v>
      </c>
      <c r="GJ20" s="34">
        <f t="shared" si="528"/>
        <v>0</v>
      </c>
      <c r="GK20" s="34">
        <f t="shared" si="528"/>
        <v>0</v>
      </c>
      <c r="GL20" s="34">
        <f t="shared" si="528"/>
        <v>0</v>
      </c>
      <c r="GM20" s="34">
        <f t="shared" si="528"/>
        <v>0</v>
      </c>
      <c r="GN20" s="34">
        <f t="shared" si="528"/>
        <v>0</v>
      </c>
      <c r="GO20" s="34">
        <f t="shared" si="528"/>
        <v>0</v>
      </c>
      <c r="GP20" s="34">
        <f t="shared" si="528"/>
        <v>0</v>
      </c>
      <c r="GQ20" s="34">
        <f t="shared" si="528"/>
        <v>0</v>
      </c>
      <c r="GR20" s="34">
        <f t="shared" si="528"/>
        <v>0</v>
      </c>
      <c r="GS20" s="34">
        <f t="shared" si="528"/>
        <v>0</v>
      </c>
      <c r="GT20" s="34">
        <f t="shared" si="528"/>
        <v>0</v>
      </c>
      <c r="GU20" s="34">
        <f t="shared" ref="GU20:HA20" si="529">SUBTOTAL(9,GU18:GU19)</f>
        <v>0</v>
      </c>
      <c r="GV20" s="34">
        <f t="shared" si="529"/>
        <v>0</v>
      </c>
      <c r="GW20" s="34">
        <f t="shared" si="529"/>
        <v>0</v>
      </c>
      <c r="GX20" s="34">
        <f t="shared" si="529"/>
        <v>0</v>
      </c>
      <c r="GY20" s="34">
        <f t="shared" si="529"/>
        <v>0</v>
      </c>
      <c r="GZ20" s="34">
        <f t="shared" si="529"/>
        <v>0</v>
      </c>
      <c r="HA20" s="34">
        <f t="shared" si="529"/>
        <v>0</v>
      </c>
      <c r="HB20" s="34"/>
      <c r="HC20" s="34"/>
      <c r="HD20" s="34"/>
      <c r="HE20" s="34"/>
      <c r="HF20" s="1" t="s">
        <v>212</v>
      </c>
      <c r="HG20" s="139">
        <f t="shared" si="519"/>
        <v>6</v>
      </c>
      <c r="HH20" s="33" t="str">
        <f>B20</f>
        <v>Total Acquisition Costs</v>
      </c>
      <c r="HI20" s="34"/>
      <c r="HJ20" s="34"/>
      <c r="HK20" s="34"/>
      <c r="HL20" s="123">
        <f t="shared" si="521"/>
        <v>30206</v>
      </c>
      <c r="HM20" s="34"/>
      <c r="HN20" s="124">
        <f t="shared" si="520"/>
        <v>30206</v>
      </c>
      <c r="HO20" s="34">
        <f t="shared" si="520"/>
        <v>0</v>
      </c>
      <c r="HP20" s="34">
        <f t="shared" si="520"/>
        <v>0</v>
      </c>
      <c r="HQ20" s="34">
        <f t="shared" si="520"/>
        <v>0</v>
      </c>
      <c r="HR20" s="34">
        <f t="shared" si="520"/>
        <v>0</v>
      </c>
      <c r="HS20" s="34">
        <f t="shared" si="520"/>
        <v>0</v>
      </c>
      <c r="HT20" s="34">
        <f t="shared" si="520"/>
        <v>0</v>
      </c>
      <c r="HU20" s="34">
        <f t="shared" si="520"/>
        <v>0</v>
      </c>
      <c r="HV20" s="34">
        <f t="shared" si="520"/>
        <v>0</v>
      </c>
      <c r="HW20"/>
    </row>
    <row r="21" spans="1:231" ht="15">
      <c r="B21" s="33"/>
      <c r="C21" s="19" t="s">
        <v>22</v>
      </c>
      <c r="E21" s="19" t="s">
        <v>24</v>
      </c>
      <c r="F21" s="1211" t="str">
        <f>"Costs to Date"&amp;" - "&amp;TEXT($D$13,"mmm-yy")</f>
        <v>Costs to Date - Jan-23</v>
      </c>
      <c r="G21" s="19" t="s">
        <v>1963</v>
      </c>
      <c r="H21" s="19" t="s">
        <v>209</v>
      </c>
      <c r="I21" s="123"/>
      <c r="J21" s="34"/>
      <c r="K21" s="124"/>
      <c r="L21" s="34"/>
      <c r="M21" s="34"/>
      <c r="N21" s="34"/>
      <c r="O21" s="34"/>
      <c r="P21" s="34"/>
      <c r="Q21" s="34"/>
      <c r="R21" s="34"/>
      <c r="S21" s="34"/>
      <c r="U21" s="34"/>
      <c r="V21" s="931"/>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c r="DZ21" s="34"/>
      <c r="EA21" s="34"/>
      <c r="EB21" s="34"/>
      <c r="EC21" s="34"/>
      <c r="ED21" s="34"/>
      <c r="EE21" s="34"/>
      <c r="EF21" s="34"/>
      <c r="EG21" s="34"/>
      <c r="EH21" s="34"/>
      <c r="EI21" s="34"/>
      <c r="EJ21" s="34"/>
      <c r="EK21" s="34"/>
      <c r="EL21" s="34"/>
      <c r="EM21" s="34"/>
      <c r="EN21" s="34"/>
      <c r="EO21" s="34"/>
      <c r="EP21" s="34"/>
      <c r="EQ21" s="34"/>
      <c r="ER21" s="34"/>
      <c r="ES21" s="34"/>
      <c r="ET21" s="34"/>
      <c r="EU21" s="34"/>
      <c r="EV21" s="34"/>
      <c r="EW21" s="34"/>
      <c r="EX21" s="34"/>
      <c r="EY21" s="34"/>
      <c r="EZ21" s="34"/>
      <c r="FA21" s="34"/>
      <c r="FB21" s="34"/>
      <c r="FC21" s="34"/>
      <c r="FD21" s="34"/>
      <c r="FE21" s="34"/>
      <c r="FF21" s="34"/>
      <c r="FG21" s="34"/>
      <c r="FH21" s="34"/>
      <c r="FI21" s="34"/>
      <c r="FJ21" s="34"/>
      <c r="FK21" s="34"/>
      <c r="FL21" s="34"/>
      <c r="FM21" s="34"/>
      <c r="FN21" s="34"/>
      <c r="FO21" s="34"/>
      <c r="FP21" s="34"/>
      <c r="FQ21" s="34"/>
      <c r="FR21" s="34"/>
      <c r="FS21" s="34"/>
      <c r="FT21" s="34"/>
      <c r="FU21" s="34"/>
      <c r="FV21" s="34"/>
      <c r="FW21" s="34"/>
      <c r="FX21" s="34"/>
      <c r="FY21" s="34"/>
      <c r="FZ21" s="34"/>
      <c r="GA21" s="34"/>
      <c r="GB21" s="34"/>
      <c r="GC21" s="34"/>
      <c r="GD21" s="34"/>
      <c r="GE21" s="34"/>
      <c r="GF21" s="34"/>
      <c r="GG21" s="34"/>
      <c r="GH21" s="34"/>
      <c r="GI21" s="34"/>
      <c r="GJ21" s="34"/>
      <c r="GK21" s="34"/>
      <c r="GL21" s="34"/>
      <c r="GM21" s="34"/>
      <c r="GN21" s="34"/>
      <c r="GO21" s="34"/>
      <c r="GP21" s="34"/>
      <c r="GQ21" s="34"/>
      <c r="GR21" s="34"/>
      <c r="GS21" s="34"/>
      <c r="GT21" s="34"/>
      <c r="GU21" s="34"/>
      <c r="GV21" s="34"/>
      <c r="GW21" s="34"/>
      <c r="GX21" s="34"/>
      <c r="GY21" s="34"/>
      <c r="GZ21" s="34"/>
      <c r="HA21" s="34"/>
      <c r="HB21" s="34"/>
      <c r="HC21" s="34"/>
      <c r="HD21" s="34"/>
      <c r="HE21" s="34"/>
      <c r="HF21" s="1" t="s">
        <v>212</v>
      </c>
      <c r="HG21" s="139">
        <f t="shared" si="519"/>
        <v>7</v>
      </c>
      <c r="HH21" s="33"/>
      <c r="HI21" s="34"/>
      <c r="HJ21" s="34"/>
      <c r="HK21" s="34"/>
      <c r="HL21" s="123"/>
      <c r="HM21" s="34"/>
      <c r="HN21" s="124"/>
      <c r="HO21" s="34"/>
      <c r="HP21" s="34"/>
      <c r="HQ21" s="34"/>
      <c r="HR21" s="34"/>
      <c r="HS21" s="34"/>
      <c r="HT21" s="34"/>
      <c r="HU21" s="34"/>
      <c r="HV21" s="34"/>
      <c r="HW21"/>
    </row>
    <row r="22" spans="1:231" ht="15">
      <c r="B22" s="141" t="s">
        <v>2494</v>
      </c>
      <c r="C22" s="937"/>
      <c r="E22" s="937"/>
      <c r="F22" s="1212"/>
      <c r="G22" s="1505"/>
      <c r="H22" s="1505"/>
      <c r="I22" s="123"/>
      <c r="J22" s="34"/>
      <c r="K22" s="939"/>
      <c r="L22" s="1003"/>
      <c r="M22" s="1003"/>
      <c r="N22" s="1003"/>
      <c r="O22" s="1003"/>
      <c r="P22" s="1003"/>
      <c r="Q22" s="1003"/>
      <c r="R22" s="1003"/>
      <c r="S22" s="1003"/>
      <c r="T22" s="1003"/>
      <c r="U22" s="1003"/>
      <c r="V22" s="1003"/>
      <c r="W22" s="1003"/>
      <c r="X22" s="1003"/>
      <c r="Y22" s="1003"/>
      <c r="Z22" s="1003"/>
      <c r="AA22" s="1003"/>
      <c r="AB22" s="1003"/>
      <c r="AC22" s="1003"/>
      <c r="AD22" s="1003"/>
      <c r="AE22" s="1003"/>
      <c r="AF22" s="1003"/>
      <c r="AG22" s="1003"/>
      <c r="AH22" s="1003"/>
      <c r="AI22" s="1003"/>
      <c r="AJ22" s="1003"/>
      <c r="AK22" s="1003"/>
      <c r="AL22" s="1003"/>
      <c r="AM22" s="1003"/>
      <c r="AN22" s="1003"/>
      <c r="AO22" s="1003"/>
      <c r="AP22" s="1003"/>
      <c r="AQ22" s="1003"/>
      <c r="AR22" s="1003"/>
      <c r="AS22" s="1003"/>
      <c r="AT22" s="1003"/>
      <c r="AU22" s="1003"/>
      <c r="AV22" s="1003"/>
      <c r="AW22" s="1003"/>
      <c r="AX22" s="1003"/>
      <c r="AY22" s="1003"/>
      <c r="AZ22" s="1003"/>
      <c r="BA22" s="1003"/>
      <c r="BB22" s="1003"/>
      <c r="BC22" s="1003"/>
      <c r="BD22" s="1003"/>
      <c r="BE22" s="1003"/>
      <c r="BF22" s="1003"/>
      <c r="BG22" s="1003"/>
      <c r="BH22" s="1003"/>
      <c r="BI22" s="1003"/>
      <c r="BJ22" s="1003"/>
      <c r="BK22" s="1003"/>
      <c r="BL22" s="1003"/>
      <c r="BM22" s="1003"/>
      <c r="BN22" s="1003"/>
      <c r="BO22" s="1003"/>
      <c r="BP22" s="1003"/>
      <c r="BQ22" s="1003"/>
      <c r="BR22" s="1003"/>
      <c r="BS22" s="1003"/>
      <c r="BT22" s="1003"/>
      <c r="BU22" s="1003"/>
      <c r="BV22" s="1003"/>
      <c r="BY22" s="1529"/>
      <c r="BZ22" s="1529"/>
      <c r="CA22" s="1529"/>
      <c r="CB22" s="1529"/>
      <c r="CC22" s="1529"/>
      <c r="CD22" s="1529"/>
      <c r="CE22" s="940"/>
      <c r="CF22" s="940"/>
      <c r="CG22" s="940"/>
      <c r="CH22" s="940"/>
      <c r="CI22" s="940"/>
      <c r="CJ22" s="940"/>
      <c r="CK22" s="940"/>
      <c r="CL22" s="940"/>
      <c r="CM22" s="940"/>
      <c r="CN22" s="940"/>
      <c r="CO22" s="940"/>
      <c r="CP22" s="940"/>
      <c r="CQ22" s="940"/>
      <c r="CR22" s="940"/>
      <c r="CS22" s="940"/>
      <c r="CT22" s="940"/>
      <c r="CU22" s="940"/>
      <c r="CV22" s="940"/>
      <c r="CW22" s="940"/>
      <c r="CX22" s="940"/>
      <c r="CY22" s="940"/>
      <c r="CZ22" s="940"/>
      <c r="DA22" s="940"/>
      <c r="DB22" s="940"/>
      <c r="DC22" s="940"/>
      <c r="DD22" s="940"/>
      <c r="DE22" s="940"/>
      <c r="DF22" s="940"/>
      <c r="DG22" s="940"/>
      <c r="DH22" s="940"/>
      <c r="DI22" s="940"/>
      <c r="DJ22" s="940"/>
      <c r="DK22" s="940"/>
      <c r="DL22" s="940"/>
      <c r="DM22" s="940"/>
      <c r="DN22" s="940"/>
      <c r="DO22" s="940"/>
      <c r="DP22" s="940"/>
      <c r="DQ22" s="940"/>
      <c r="DR22" s="940"/>
      <c r="DS22" s="940"/>
      <c r="DT22" s="940"/>
      <c r="DU22" s="940"/>
      <c r="DV22" s="940"/>
      <c r="DW22" s="940"/>
      <c r="DX22" s="940"/>
      <c r="DY22" s="940"/>
      <c r="DZ22" s="940"/>
      <c r="EA22" s="940"/>
      <c r="EB22" s="940"/>
      <c r="EC22" s="940"/>
      <c r="ED22" s="940"/>
      <c r="EE22" s="940"/>
      <c r="EF22" s="940"/>
      <c r="EG22" s="940"/>
      <c r="EH22" s="940"/>
      <c r="EI22" s="940"/>
      <c r="EJ22" s="940"/>
      <c r="EK22" s="940"/>
      <c r="EL22" s="940"/>
      <c r="EM22" s="940"/>
      <c r="EN22" s="940"/>
      <c r="EO22" s="940"/>
      <c r="EP22" s="940"/>
      <c r="EQ22" s="940"/>
      <c r="ER22" s="940"/>
      <c r="ES22" s="940"/>
      <c r="ET22" s="940"/>
      <c r="EU22" s="940"/>
      <c r="EV22" s="940"/>
      <c r="EW22" s="940"/>
      <c r="EX22" s="940"/>
      <c r="EY22" s="940"/>
      <c r="EZ22" s="940"/>
      <c r="FA22" s="940"/>
      <c r="FB22" s="940"/>
      <c r="FC22" s="940"/>
      <c r="FD22" s="940"/>
      <c r="FE22" s="940"/>
      <c r="FF22" s="940"/>
      <c r="FG22" s="940"/>
      <c r="FH22" s="940"/>
      <c r="FI22" s="940"/>
      <c r="FJ22" s="940"/>
      <c r="FK22" s="940"/>
      <c r="FL22" s="940"/>
      <c r="FM22" s="940"/>
      <c r="FN22" s="940"/>
      <c r="FO22" s="940"/>
      <c r="FP22" s="940"/>
      <c r="FQ22" s="940"/>
      <c r="FR22" s="940"/>
      <c r="FS22" s="940"/>
      <c r="FT22" s="940"/>
      <c r="FU22" s="940"/>
      <c r="FV22" s="940"/>
      <c r="FW22" s="940"/>
      <c r="FX22" s="940"/>
      <c r="FY22" s="940"/>
      <c r="FZ22" s="940"/>
      <c r="GA22" s="940"/>
      <c r="GB22" s="940"/>
      <c r="GC22" s="940"/>
      <c r="GD22" s="940"/>
      <c r="GE22" s="940"/>
      <c r="GF22" s="940"/>
      <c r="GG22" s="940"/>
      <c r="GH22" s="940"/>
      <c r="GI22" s="940"/>
      <c r="GJ22" s="940"/>
      <c r="GK22" s="940"/>
      <c r="GL22" s="940"/>
      <c r="GM22" s="940"/>
      <c r="GN22" s="940"/>
      <c r="GO22" s="940"/>
      <c r="GP22" s="940"/>
      <c r="GQ22" s="940"/>
      <c r="GR22" s="940"/>
      <c r="GS22" s="940"/>
      <c r="GT22" s="940"/>
      <c r="GU22" s="940"/>
      <c r="GV22" s="940"/>
      <c r="GW22" s="940"/>
      <c r="GX22" s="940"/>
      <c r="GY22" s="940"/>
      <c r="GZ22" s="940"/>
      <c r="HA22" s="940"/>
      <c r="HB22" s="940"/>
      <c r="HC22" s="940"/>
      <c r="HD22" s="940"/>
      <c r="HE22" s="940"/>
      <c r="HG22" s="139"/>
      <c r="HH22" s="33"/>
      <c r="HI22" s="34"/>
      <c r="HJ22" s="34"/>
      <c r="HK22" s="34"/>
      <c r="HL22" s="123"/>
      <c r="HM22" s="34"/>
      <c r="HN22" s="124"/>
      <c r="HO22" s="34"/>
      <c r="HP22" s="34"/>
      <c r="HQ22" s="34"/>
      <c r="HR22" s="34"/>
      <c r="HS22" s="34"/>
      <c r="HT22" s="34"/>
      <c r="HU22" s="34"/>
      <c r="HV22" s="34"/>
      <c r="HW22"/>
    </row>
    <row r="23" spans="1:231" ht="15">
      <c r="B23" s="141" t="s">
        <v>2514</v>
      </c>
      <c r="C23" s="937">
        <v>80</v>
      </c>
      <c r="E23" s="937">
        <v>88</v>
      </c>
      <c r="F23" s="1212"/>
      <c r="G23" s="1505">
        <f>Assumptions!L76</f>
        <v>250</v>
      </c>
      <c r="H23" s="1505">
        <f>G23</f>
        <v>250</v>
      </c>
      <c r="I23" s="132">
        <f>SUMIF($K$13:$GT$13,"&lt;="&amp;Assumptions!$L$17,'Monthly Cash Flow'!K23:GT23)</f>
        <v>250</v>
      </c>
      <c r="J23" s="34"/>
      <c r="K23" s="939"/>
      <c r="L23" s="1003"/>
      <c r="M23" s="1003"/>
      <c r="N23" s="1003"/>
      <c r="O23" s="1003"/>
      <c r="P23" s="1003"/>
      <c r="Q23" s="1003"/>
      <c r="R23" s="1003"/>
      <c r="S23" s="1003"/>
      <c r="T23" s="1003"/>
      <c r="U23" s="1003"/>
      <c r="V23" s="1003"/>
      <c r="W23" s="1003"/>
      <c r="X23" s="1003"/>
      <c r="Y23" s="1003"/>
      <c r="Z23" s="1003"/>
      <c r="AA23" s="1003"/>
      <c r="AB23" s="1003"/>
      <c r="AC23" s="1003"/>
      <c r="AD23" s="1003"/>
      <c r="AE23" s="1003"/>
      <c r="AF23" s="1003"/>
      <c r="AG23" s="1003"/>
      <c r="AH23" s="1003"/>
      <c r="AI23" s="1003"/>
      <c r="AJ23" s="1003"/>
      <c r="AK23" s="1003"/>
      <c r="AL23" s="1003"/>
      <c r="AM23" s="1003"/>
      <c r="AN23" s="1003"/>
      <c r="AO23" s="1003"/>
      <c r="AP23" s="1003"/>
      <c r="AQ23" s="1003"/>
      <c r="AR23" s="1003"/>
      <c r="AS23" s="1003"/>
      <c r="AT23" s="1003"/>
      <c r="AU23" s="1003"/>
      <c r="AV23" s="1003"/>
      <c r="AW23" s="1003"/>
      <c r="AX23" s="1003"/>
      <c r="AY23" s="1003"/>
      <c r="AZ23" s="1003"/>
      <c r="BA23" s="1003"/>
      <c r="BB23" s="1003"/>
      <c r="BC23" s="1003"/>
      <c r="BD23" s="1003"/>
      <c r="BE23" s="1003"/>
      <c r="BF23" s="1003"/>
      <c r="BG23" s="1003"/>
      <c r="BH23" s="1003"/>
      <c r="BI23" s="1003"/>
      <c r="BJ23" s="1003"/>
      <c r="BK23" s="1003"/>
      <c r="BL23" s="1003"/>
      <c r="BM23" s="1003"/>
      <c r="BN23" s="1003"/>
      <c r="BO23" s="1003"/>
      <c r="BP23" s="1003"/>
      <c r="BQ23" s="1003"/>
      <c r="BR23" s="1003"/>
      <c r="BS23" s="1003"/>
      <c r="BT23" s="1003"/>
      <c r="BU23" s="1003"/>
      <c r="BV23" s="1003"/>
      <c r="BW23" s="1003"/>
      <c r="BX23" s="1003"/>
      <c r="BY23" s="1003"/>
      <c r="BZ23" s="1529"/>
      <c r="CA23" s="1529"/>
      <c r="CB23" s="1529"/>
      <c r="CC23" s="1529"/>
      <c r="CD23" s="1529"/>
      <c r="CE23" s="940">
        <f>IF(AND(CE$13&gt;=$C23,CE$13&lt;=$E23),($H23-SUM($K23:CD23))/(($E23-CE$13+1)),0)</f>
        <v>0</v>
      </c>
      <c r="CF23" s="940">
        <f>IF(AND(CF$13&gt;=$C23,CF$13&lt;=$E23),($H23-SUM($K23:CE23))/(($E23-CF$13+1)),0)</f>
        <v>0</v>
      </c>
      <c r="CG23" s="940">
        <f>IF(AND(CG$13&gt;=$C23,CG$13&lt;=$E23),($H23-SUM($K23:CF23))/(($E23-CG$13+1)),0)</f>
        <v>0</v>
      </c>
      <c r="CH23" s="940">
        <f>IF(AND(CH$13&gt;=$C23,CH$13&lt;=$E23),($H23-SUM($K23:CG23))/(($E23-CH$13+1)),0)</f>
        <v>0</v>
      </c>
      <c r="CI23" s="940">
        <f>IF(AND(CI$13&gt;=$C23,CI$13&lt;=$E23),($H23-SUM($K23:CH23))/(($E23-CI$13+1)),0)</f>
        <v>0</v>
      </c>
      <c r="CJ23" s="940">
        <f>IF(AND(CJ$13&gt;=$C23,CJ$13&lt;=$E23),($H23-SUM($K23:CI23))/(($E23-CJ$13+1)),0)</f>
        <v>0</v>
      </c>
      <c r="CK23" s="940">
        <f>IF(AND(CK$13&gt;=$C23,CK$13&lt;=$E23),($H23-SUM($K23:CJ23))/(($E23-CK$13+1)),0)</f>
        <v>0</v>
      </c>
      <c r="CL23" s="940">
        <f>IF(AND(CL$13&gt;=$C23,CL$13&lt;=$E23),($H23-SUM($K23:CK23))/(($E23-CL$13+1)),0)</f>
        <v>0</v>
      </c>
      <c r="CM23" s="940">
        <f>IF(AND(CM$13&gt;=$C23,CM$13&lt;=$E23),($H23-SUM($K23:CL23))/(($E23-CM$13+1)),0)</f>
        <v>27.777777777777779</v>
      </c>
      <c r="CN23" s="940">
        <f>IF(AND(CN$13&gt;=$C23,CN$13&lt;=$E23),($H23-SUM($K23:CM23))/(($E23-CN$13+1)),0)</f>
        <v>27.777777777777779</v>
      </c>
      <c r="CO23" s="940">
        <f>IF(AND(CO$13&gt;=$C23,CO$13&lt;=$E23),($H23-SUM($K23:CN23))/(($E23-CO$13+1)),0)</f>
        <v>27.777777777777779</v>
      </c>
      <c r="CP23" s="940">
        <f>IF(AND(CP$13&gt;=$C23,CP$13&lt;=$E23),($H23-SUM($K23:CO23))/(($E23-CP$13+1)),0)</f>
        <v>27.777777777777775</v>
      </c>
      <c r="CQ23" s="940">
        <f>IF(AND(CQ$13&gt;=$C23,CQ$13&lt;=$E23),($H23-SUM($K23:CP23))/(($E23-CQ$13+1)),0)</f>
        <v>27.777777777777779</v>
      </c>
      <c r="CR23" s="940">
        <f>IF(AND(CR$13&gt;=$C23,CR$13&lt;=$E23),($H23-SUM($K23:CQ23))/(($E23-CR$13+1)),0)</f>
        <v>27.777777777777779</v>
      </c>
      <c r="CS23" s="940">
        <f>IF(AND(CS$13&gt;=$C23,CS$13&lt;=$E23),($H23-SUM($K23:CR23))/(($E23-CS$13+1)),0)</f>
        <v>27.777777777777782</v>
      </c>
      <c r="CT23" s="940">
        <f>IF(AND(CT$13&gt;=$C23,CT$13&lt;=$E23),($H23-SUM($K23:CS23))/(($E23-CT$13+1)),0)</f>
        <v>27.777777777777786</v>
      </c>
      <c r="CU23" s="940">
        <f>IF(AND(CU$13&gt;=$C23,CU$13&lt;=$E23),($H23-SUM($K23:CT23))/(($E23-CU$13+1)),0)</f>
        <v>27.777777777777771</v>
      </c>
      <c r="CV23" s="940">
        <f>IF(AND(CV$13&gt;=$C23,CV$13&lt;=$E23),($H23-SUM($K23:CU23))/(($E23-CV$13+1)),0)</f>
        <v>0</v>
      </c>
      <c r="CW23" s="940">
        <f>IF(AND(CW$13&gt;=$C23,CW$13&lt;=$E23),($H23-SUM($K23:CV23))/(($E23-CW$13+1)),0)</f>
        <v>0</v>
      </c>
      <c r="CX23" s="940">
        <f>IF(AND(CX$13&gt;=$C23,CX$13&lt;=$E23),($H23-SUM($K23:CW23))/(($E23-CX$13+1)),0)</f>
        <v>0</v>
      </c>
      <c r="CY23" s="940">
        <f>IF(AND(CY$13&gt;=$C23,CY$13&lt;=$E23),($H23-SUM($K23:CX23))/(($E23-CY$13+1)),0)</f>
        <v>0</v>
      </c>
      <c r="CZ23" s="940">
        <f>IF(AND(CZ$13&gt;=$C23,CZ$13&lt;=$E23),($H23-SUM($K23:CY23))/(($E23-CZ$13+1)),0)</f>
        <v>0</v>
      </c>
      <c r="DA23" s="940">
        <f>IF(AND(DA$13&gt;=$C23,DA$13&lt;=$E23),($H23-SUM($K23:CZ23))/(($E23-DA$13+1)),0)</f>
        <v>0</v>
      </c>
      <c r="DB23" s="940">
        <f>IF(AND(DB$13&gt;=$C23,DB$13&lt;=$E23),($H23-SUM($K23:DA23))/(($E23-DB$13+1)),0)</f>
        <v>0</v>
      </c>
      <c r="DC23" s="940">
        <f>IF(AND(DC$13&gt;=$C23,DC$13&lt;=$E23),($H23-SUM($K23:DB23))/(($E23-DC$13+1)),0)</f>
        <v>0</v>
      </c>
      <c r="DD23" s="940">
        <f>IF(AND(DD$13&gt;=$C23,DD$13&lt;=$E23),($H23-SUM($K23:DC23))/(($E23-DD$13+1)),0)</f>
        <v>0</v>
      </c>
      <c r="DE23" s="940">
        <f>IF(AND(DE$13&gt;=$C23,DE$13&lt;=$E23),($H23-SUM($K23:DD23))/(($E23-DE$13+1)),0)</f>
        <v>0</v>
      </c>
      <c r="DF23" s="940">
        <f>IF(AND(DF$13&gt;=$C23,DF$13&lt;=$E23),($H23-SUM($K23:DE23))/(($E23-DF$13+1)),0)</f>
        <v>0</v>
      </c>
      <c r="DG23" s="940">
        <f>IF(AND(DG$13&gt;=$C23,DG$13&lt;=$E23),($H23-SUM($K23:DF23))/(($E23-DG$13+1)),0)</f>
        <v>0</v>
      </c>
      <c r="DH23" s="940">
        <f>IF(AND(DH$13&gt;=$C23,DH$13&lt;=$E23),($H23-SUM($K23:DG23))/(($E23-DH$13+1)),0)</f>
        <v>0</v>
      </c>
      <c r="DI23" s="940">
        <f>IF(AND(DI$13&gt;=$C23,DI$13&lt;=$E23),($H23-SUM($K23:DH23))/(($E23-DI$13+1)),0)</f>
        <v>0</v>
      </c>
      <c r="DJ23" s="940">
        <f>IF(AND(DJ$13&gt;=$C23,DJ$13&lt;=$E23),($H23-SUM($K23:DI23))/(($E23-DJ$13+1)),0)</f>
        <v>0</v>
      </c>
      <c r="DK23" s="940">
        <f>IF(AND(DK$13&gt;=$C23,DK$13&lt;=$E23),($H23-SUM($K23:DJ23))/(($E23-DK$13+1)),0)</f>
        <v>0</v>
      </c>
      <c r="DL23" s="940">
        <f>IF(AND(DL$13&gt;=$C23,DL$13&lt;=$E23),($H23-SUM($K23:DK23))/(($E23-DL$13+1)),0)</f>
        <v>0</v>
      </c>
      <c r="DM23" s="940">
        <f>IF(AND(DM$13&gt;=$C23,DM$13&lt;=$E23),($H23-SUM($K23:DL23))/(($E23-DM$13+1)),0)</f>
        <v>0</v>
      </c>
      <c r="DN23" s="940">
        <f>IF(AND(DN$13&gt;=$C23,DN$13&lt;=$E23),($H23-SUM($K23:DM23))/(($E23-DN$13+1)),0)</f>
        <v>0</v>
      </c>
      <c r="DO23" s="940">
        <f>IF(AND(DO$13&gt;=$C23,DO$13&lt;=$E23),($H23-SUM($K23:DN23))/(($E23-DO$13+1)),0)</f>
        <v>0</v>
      </c>
      <c r="DP23" s="940">
        <f>IF(AND(DP$13&gt;=$C23,DP$13&lt;=$E23),($H23-SUM($K23:DO23))/(($E23-DP$13+1)),0)</f>
        <v>0</v>
      </c>
      <c r="DQ23" s="940">
        <f>IF(AND(DQ$13&gt;=$C23,DQ$13&lt;=$E23),($H23-SUM($K23:DP23))/(($E23-DQ$13+1)),0)</f>
        <v>0</v>
      </c>
      <c r="DR23" s="940">
        <f>IF(AND(DR$13&gt;=$C23,DR$13&lt;=$E23),($H23-SUM($K23:DQ23))/(($E23-DR$13+1)),0)</f>
        <v>0</v>
      </c>
      <c r="DS23" s="940">
        <f>IF(AND(DS$13&gt;=$C23,DS$13&lt;=$E23),($H23-SUM($K23:DR23))/(($E23-DS$13+1)),0)</f>
        <v>0</v>
      </c>
      <c r="DT23" s="940">
        <f>IF(AND(DT$13&gt;=$C23,DT$13&lt;=$E23),($H23-SUM($K23:DS23))/(($E23-DT$13+1)),0)</f>
        <v>0</v>
      </c>
      <c r="DU23" s="940">
        <f>IF(AND(DU$13&gt;=$C23,DU$13&lt;=$E23),($H23-SUM($K23:DT23))/(($E23-DU$13+1)),0)</f>
        <v>0</v>
      </c>
      <c r="DV23" s="940">
        <f>IF(AND(DV$13&gt;=$C23,DV$13&lt;=$E23),($H23-SUM($K23:DU23))/(($E23-DV$13+1)),0)</f>
        <v>0</v>
      </c>
      <c r="DW23" s="940">
        <f>IF(AND(DW$13&gt;=$C23,DW$13&lt;=$E23),($H23-SUM($K23:DV23))/(($E23-DW$13+1)),0)</f>
        <v>0</v>
      </c>
      <c r="DX23" s="940">
        <f>IF(AND(DX$13&gt;=$C23,DX$13&lt;=$E23),($H23-SUM($K23:DW23))/(($E23-DX$13+1)),0)</f>
        <v>0</v>
      </c>
      <c r="DY23" s="940">
        <f>IF(AND(DY$13&gt;=$C23,DY$13&lt;=$E23),($H23-SUM($K23:DX23))/(($E23-DY$13+1)),0)</f>
        <v>0</v>
      </c>
      <c r="DZ23" s="940">
        <f>IF(AND(DZ$13&gt;=$C23,DZ$13&lt;=$E23),($H23-SUM($K23:DY23))/(($E23-DZ$13+1)),0)</f>
        <v>0</v>
      </c>
      <c r="EA23" s="940">
        <f>IF(AND(EA$13&gt;=$C23,EA$13&lt;=$E23),($H23-SUM($K23:DZ23))/(($E23-EA$13+1)),0)</f>
        <v>0</v>
      </c>
      <c r="EB23" s="940">
        <f>IF(AND(EB$13&gt;=$C23,EB$13&lt;=$E23),($H23-SUM($K23:EA23))/(($E23-EB$13+1)),0)</f>
        <v>0</v>
      </c>
      <c r="EC23" s="940">
        <f>IF(AND(EC$13&gt;=$C23,EC$13&lt;=$E23),($H23-SUM($K23:EB23))/(($E23-EC$13+1)),0)</f>
        <v>0</v>
      </c>
      <c r="ED23" s="940">
        <f>IF(AND(ED$13&gt;=$C23,ED$13&lt;=$E23),($H23-SUM($K23:EC23))/(($E23-ED$13+1)),0)</f>
        <v>0</v>
      </c>
      <c r="EE23" s="940">
        <f>IF(AND(EE$13&gt;=$C23,EE$13&lt;=$E23),($H23-SUM($K23:ED23))/(($E23-EE$13+1)),0)</f>
        <v>0</v>
      </c>
      <c r="EF23" s="940">
        <f>IF(AND(EF$13&gt;=$C23,EF$13&lt;=$E23),($H23-SUM($K23:EE23))/(($E23-EF$13+1)),0)</f>
        <v>0</v>
      </c>
      <c r="EG23" s="940">
        <f>IF(AND(EG$13&gt;=$C23,EG$13&lt;=$E23),($H23-SUM($K23:EF23))/(($E23-EG$13+1)),0)</f>
        <v>0</v>
      </c>
      <c r="EH23" s="940">
        <f>IF(AND(EH$13&gt;=$C23,EH$13&lt;=$E23),($H23-SUM($K23:EG23))/(($E23-EH$13+1)),0)</f>
        <v>0</v>
      </c>
      <c r="EI23" s="940">
        <f>IF(AND(EI$13&gt;=$C23,EI$13&lt;=$E23),($H23-SUM($K23:EH23))/(($E23-EI$13+1)),0)</f>
        <v>0</v>
      </c>
      <c r="EJ23" s="940">
        <f>IF(AND(EJ$13&gt;=$C23,EJ$13&lt;=$E23),($H23-SUM($K23:EI23))/(($E23-EJ$13+1)),0)</f>
        <v>0</v>
      </c>
      <c r="EK23" s="940">
        <f>IF(AND(EK$13&gt;=$C23,EK$13&lt;=$E23),($H23-SUM($K23:EJ23))/(($E23-EK$13+1)),0)</f>
        <v>0</v>
      </c>
      <c r="EL23" s="940">
        <f>IF(AND(EL$13&gt;=$C23,EL$13&lt;=$E23),($H23-SUM($K23:EK23))/(($E23-EL$13+1)),0)</f>
        <v>0</v>
      </c>
      <c r="EM23" s="940">
        <f>IF(AND(EM$13&gt;=$C23,EM$13&lt;=$E23),($H23-SUM($K23:EL23))/(($E23-EM$13+1)),0)</f>
        <v>0</v>
      </c>
      <c r="EN23" s="940">
        <f>IF(AND(EN$13&gt;=$C23,EN$13&lt;=$E23),($H23-SUM($K23:EM23))/(($E23-EN$13+1)),0)</f>
        <v>0</v>
      </c>
      <c r="EO23" s="940">
        <f>IF(AND(EO$13&gt;=$C23,EO$13&lt;=$E23),($H23-SUM($K23:EN23))/(($E23-EO$13+1)),0)</f>
        <v>0</v>
      </c>
      <c r="EP23" s="940">
        <f>IF(AND(EP$13&gt;=$C23,EP$13&lt;=$E23),($H23-SUM($K23:EO23))/(($E23-EP$13+1)),0)</f>
        <v>0</v>
      </c>
      <c r="EQ23" s="940">
        <f>IF(AND(EQ$13&gt;=$C23,EQ$13&lt;=$E23),($H23-SUM($K23:EP23))/(($E23-EQ$13+1)),0)</f>
        <v>0</v>
      </c>
      <c r="ER23" s="940">
        <f>IF(AND(ER$13&gt;=$C23,ER$13&lt;=$E23),($H23-SUM($K23:EQ23))/(($E23-ER$13+1)),0)</f>
        <v>0</v>
      </c>
      <c r="ES23" s="940">
        <f>IF(AND(ES$13&gt;=$C23,ES$13&lt;=$E23),($H23-SUM($K23:ER23))/(($E23-ES$13+1)),0)</f>
        <v>0</v>
      </c>
      <c r="ET23" s="940">
        <f>IF(AND(ET$13&gt;=$C23,ET$13&lt;=$E23),($H23-SUM($K23:ES23))/(($E23-ET$13+1)),0)</f>
        <v>0</v>
      </c>
      <c r="EU23" s="940">
        <f>IF(AND(EU$13&gt;=$C23,EU$13&lt;=$E23),($H23-SUM($K23:ET23))/(($E23-EU$13+1)),0)</f>
        <v>0</v>
      </c>
      <c r="EV23" s="940">
        <f>IF(AND(EV$13&gt;=$C23,EV$13&lt;=$E23),($H23-SUM($K23:EU23))/(($E23-EV$13+1)),0)</f>
        <v>0</v>
      </c>
      <c r="EW23" s="940">
        <f>IF(AND(EW$13&gt;=$C23,EW$13&lt;=$E23),($H23-SUM($K23:EV23))/(($E23-EW$13+1)),0)</f>
        <v>0</v>
      </c>
      <c r="EX23" s="940">
        <f>IF(AND(EX$13&gt;=$C23,EX$13&lt;=$E23),($H23-SUM($K23:EW23))/(($E23-EX$13+1)),0)</f>
        <v>0</v>
      </c>
      <c r="EY23" s="940">
        <f>IF(AND(EY$13&gt;=$C23,EY$13&lt;=$E23),($H23-SUM($K23:EX23))/(($E23-EY$13+1)),0)</f>
        <v>0</v>
      </c>
      <c r="EZ23" s="940">
        <f>IF(AND(EZ$13&gt;=$C23,EZ$13&lt;=$E23),($H23-SUM($K23:EY23))/(($E23-EZ$13+1)),0)</f>
        <v>0</v>
      </c>
      <c r="FA23" s="940">
        <f>IF(AND(FA$13&gt;=$C23,FA$13&lt;=$E23),($H23-SUM($K23:EZ23))/(($E23-FA$13+1)),0)</f>
        <v>0</v>
      </c>
      <c r="FB23" s="940">
        <f>IF(AND(FB$13&gt;=$C23,FB$13&lt;=$E23),($H23-SUM($K23:FA23))/(($E23-FB$13+1)),0)</f>
        <v>0</v>
      </c>
      <c r="FC23" s="940">
        <f>IF(AND(FC$13&gt;=$C23,FC$13&lt;=$E23),($H23-SUM($K23:FB23))/(($E23-FC$13+1)),0)</f>
        <v>0</v>
      </c>
      <c r="FD23" s="940">
        <f>IF(AND(FD$13&gt;=$C23,FD$13&lt;=$E23),($H23-SUM($K23:FC23))/(($E23-FD$13+1)),0)</f>
        <v>0</v>
      </c>
      <c r="FE23" s="940">
        <f>IF(AND(FE$13&gt;=$C23,FE$13&lt;=$E23),($H23-SUM($K23:FD23))/(($E23-FE$13+1)),0)</f>
        <v>0</v>
      </c>
      <c r="FF23" s="940">
        <f>IF(AND(FF$13&gt;=$C23,FF$13&lt;=$E23),($H23-SUM($K23:FE23))/(($E23-FF$13+1)),0)</f>
        <v>0</v>
      </c>
      <c r="FG23" s="940">
        <f>IF(AND(FG$13&gt;=$C23,FG$13&lt;=$E23),($H23-SUM($K23:FF23))/(($E23-FG$13+1)),0)</f>
        <v>0</v>
      </c>
      <c r="FH23" s="940">
        <f>IF(AND(FH$13&gt;=$C23,FH$13&lt;=$E23),($H23-SUM($K23:FG23))/(($E23-FH$13+1)),0)</f>
        <v>0</v>
      </c>
      <c r="FI23" s="940">
        <f>IF(AND(FI$13&gt;=$C23,FI$13&lt;=$E23),($H23-SUM($K23:FH23))/(($E23-FI$13+1)),0)</f>
        <v>0</v>
      </c>
      <c r="FJ23" s="940">
        <f>IF(AND(FJ$13&gt;=$C23,FJ$13&lt;=$E23),($H23-SUM($K23:FI23))/(($E23-FJ$13+1)),0)</f>
        <v>0</v>
      </c>
      <c r="FK23" s="940">
        <f>IF(AND(FK$13&gt;=$C23,FK$13&lt;=$E23),($H23-SUM($K23:FJ23))/(($E23-FK$13+1)),0)</f>
        <v>0</v>
      </c>
      <c r="FL23" s="940">
        <f>IF(AND(FL$13&gt;=$C23,FL$13&lt;=$E23),($H23-SUM($K23:FK23))/(($E23-FL$13+1)),0)</f>
        <v>0</v>
      </c>
      <c r="FM23" s="940">
        <f>IF(AND(FM$13&gt;=$C23,FM$13&lt;=$E23),($H23-SUM($K23:FL23))/(($E23-FM$13+1)),0)</f>
        <v>0</v>
      </c>
      <c r="FN23" s="940">
        <f>IF(AND(FN$13&gt;=$C23,FN$13&lt;=$E23),($H23-SUM($K23:FM23))/(($E23-FN$13+1)),0)</f>
        <v>0</v>
      </c>
      <c r="FO23" s="940">
        <f>IF(AND(FO$13&gt;=$C23,FO$13&lt;=$E23),($H23-SUM($K23:FN23))/(($E23-FO$13+1)),0)</f>
        <v>0</v>
      </c>
      <c r="FP23" s="940">
        <f>IF(AND(FP$13&gt;=$C23,FP$13&lt;=$E23),($H23-SUM($K23:FO23))/(($E23-FP$13+1)),0)</f>
        <v>0</v>
      </c>
      <c r="FQ23" s="940">
        <f>IF(AND(FQ$13&gt;=$C23,FQ$13&lt;=$E23),($H23-SUM($K23:FP23))/(($E23-FQ$13+1)),0)</f>
        <v>0</v>
      </c>
      <c r="FR23" s="940">
        <f>IF(AND(FR$13&gt;=$C23,FR$13&lt;=$E23),($H23-SUM($K23:FQ23))/(($E23-FR$13+1)),0)</f>
        <v>0</v>
      </c>
      <c r="FS23" s="940">
        <f>IF(AND(FS$13&gt;=$C23,FS$13&lt;=$E23),($H23-SUM($K23:FR23))/(($E23-FS$13+1)),0)</f>
        <v>0</v>
      </c>
      <c r="FT23" s="940">
        <f>IF(AND(FT$13&gt;=$C23,FT$13&lt;=$E23),($H23-SUM($K23:FS23))/(($E23-FT$13+1)),0)</f>
        <v>0</v>
      </c>
      <c r="FU23" s="940">
        <f>IF(AND(FU$13&gt;=$C23,FU$13&lt;=$E23),($H23-SUM($K23:FT23))/(($E23-FU$13+1)),0)</f>
        <v>0</v>
      </c>
      <c r="FV23" s="940">
        <f>IF(AND(FV$13&gt;=$C23,FV$13&lt;=$E23),($H23-SUM($K23:FU23))/(($E23-FV$13+1)),0)</f>
        <v>0</v>
      </c>
      <c r="FW23" s="940">
        <f>IF(AND(FW$13&gt;=$C23,FW$13&lt;=$E23),($H23-SUM($K23:FV23))/(($E23-FW$13+1)),0)</f>
        <v>0</v>
      </c>
      <c r="FX23" s="940">
        <f>IF(AND(FX$13&gt;=$C23,FX$13&lt;=$E23),($H23-SUM($K23:FW23))/(($E23-FX$13+1)),0)</f>
        <v>0</v>
      </c>
      <c r="FY23" s="940">
        <f>IF(AND(FY$13&gt;=$C23,FY$13&lt;=$E23),($H23-SUM($K23:FX23))/(($E23-FY$13+1)),0)</f>
        <v>0</v>
      </c>
      <c r="FZ23" s="940">
        <f>IF(AND(FZ$13&gt;=$C23,FZ$13&lt;=$E23),($H23-SUM($K23:FY23))/(($E23-FZ$13+1)),0)</f>
        <v>0</v>
      </c>
      <c r="GA23" s="940">
        <f>IF(AND(GA$13&gt;=$C23,GA$13&lt;=$E23),($H23-SUM($K23:FZ23))/(($E23-GA$13+1)),0)</f>
        <v>0</v>
      </c>
      <c r="GB23" s="940">
        <f>IF(AND(GB$13&gt;=$C23,GB$13&lt;=$E23),($H23-SUM($K23:GA23))/(($E23-GB$13+1)),0)</f>
        <v>0</v>
      </c>
      <c r="GC23" s="940">
        <f>IF(AND(GC$13&gt;=$C23,GC$13&lt;=$E23),($H23-SUM($K23:GB23))/(($E23-GC$13+1)),0)</f>
        <v>0</v>
      </c>
      <c r="GD23" s="940">
        <f>IF(AND(GD$13&gt;=$C23,GD$13&lt;=$E23),($H23-SUM($K23:GC23))/(($E23-GD$13+1)),0)</f>
        <v>0</v>
      </c>
      <c r="GE23" s="940">
        <f>IF(AND(GE$13&gt;=$C23,GE$13&lt;=$E23),($H23-SUM($K23:GD23))/(($E23-GE$13+1)),0)</f>
        <v>0</v>
      </c>
      <c r="GF23" s="940">
        <f>IF(AND(GF$13&gt;=$C23,GF$13&lt;=$E23),($H23-SUM($K23:GE23))/(($E23-GF$13+1)),0)</f>
        <v>0</v>
      </c>
      <c r="GG23" s="940">
        <f>IF(AND(GG$13&gt;=$C23,GG$13&lt;=$E23),($H23-SUM($K23:GF23))/(($E23-GG$13+1)),0)</f>
        <v>0</v>
      </c>
      <c r="GH23" s="940">
        <f>IF(AND(GH$13&gt;=$C23,GH$13&lt;=$E23),($H23-SUM($K23:GG23))/(($E23-GH$13+1)),0)</f>
        <v>0</v>
      </c>
      <c r="GI23" s="940">
        <f>IF(AND(GI$13&gt;=$C23,GI$13&lt;=$E23),($H23-SUM($K23:GH23))/(($E23-GI$13+1)),0)</f>
        <v>0</v>
      </c>
      <c r="GJ23" s="940">
        <f>IF(AND(GJ$13&gt;=$C23,GJ$13&lt;=$E23),($H23-SUM($K23:GI23))/(($E23-GJ$13+1)),0)</f>
        <v>0</v>
      </c>
      <c r="GK23" s="940">
        <f>IF(AND(GK$13&gt;=$C23,GK$13&lt;=$E23),($H23-SUM($K23:GJ23))/(($E23-GK$13+1)),0)</f>
        <v>0</v>
      </c>
      <c r="GL23" s="940">
        <f>IF(AND(GL$13&gt;=$C23,GL$13&lt;=$E23),($H23-SUM($K23:GK23))/(($E23-GL$13+1)),0)</f>
        <v>0</v>
      </c>
      <c r="GM23" s="940">
        <f>IF(AND(GM$13&gt;=$C23,GM$13&lt;=$E23),($H23-SUM($K23:GL23))/(($E23-GM$13+1)),0)</f>
        <v>0</v>
      </c>
      <c r="GN23" s="940">
        <f>IF(AND(GN$13&gt;=$C23,GN$13&lt;=$E23),($H23-SUM($K23:GM23))/(($E23-GN$13+1)),0)</f>
        <v>0</v>
      </c>
      <c r="GO23" s="940">
        <f>IF(AND(GO$13&gt;=$C23,GO$13&lt;=$E23),($H23-SUM($K23:GN23))/(($E23-GO$13+1)),0)</f>
        <v>0</v>
      </c>
      <c r="GP23" s="940">
        <f>IF(AND(GP$13&gt;=$C23,GP$13&lt;=$E23),($H23-SUM($K23:GO23))/(($E23-GP$13+1)),0)</f>
        <v>0</v>
      </c>
      <c r="GQ23" s="940">
        <f>IF(AND(GQ$13&gt;=$C23,GQ$13&lt;=$E23),($H23-SUM($K23:GP23))/(($E23-GQ$13+1)),0)</f>
        <v>0</v>
      </c>
      <c r="GR23" s="940">
        <f>IF(AND(GR$13&gt;=$C23,GR$13&lt;=$E23),($H23-SUM($K23:GQ23))/(($E23-GR$13+1)),0)</f>
        <v>0</v>
      </c>
      <c r="GS23" s="940">
        <f>IF(AND(GS$13&gt;=$C23,GS$13&lt;=$E23),($H23-SUM($K23:GR23))/(($E23-GS$13+1)),0)</f>
        <v>0</v>
      </c>
      <c r="GT23" s="940">
        <f>IF(AND(GT$13&gt;=$C23,GT$13&lt;=$E23),($H23-SUM($K23:GS23))/(($E23-GT$13+1)),0)</f>
        <v>0</v>
      </c>
      <c r="GU23" s="940"/>
      <c r="GV23" s="940"/>
      <c r="GW23" s="940"/>
      <c r="GX23" s="940"/>
      <c r="GY23" s="940"/>
      <c r="GZ23" s="940"/>
      <c r="HA23" s="940"/>
      <c r="HB23" s="940"/>
      <c r="HC23" s="940"/>
      <c r="HD23" s="940"/>
      <c r="HE23" s="940"/>
      <c r="HF23" s="1" t="s">
        <v>212</v>
      </c>
      <c r="HG23" s="139">
        <f t="shared" si="519"/>
        <v>1</v>
      </c>
      <c r="HH23" s="33"/>
      <c r="HI23" s="34"/>
      <c r="HJ23" s="34"/>
      <c r="HK23" s="34"/>
      <c r="HL23" s="123"/>
      <c r="HM23" s="34"/>
      <c r="HN23" s="124"/>
      <c r="HO23" s="34"/>
      <c r="HP23" s="34"/>
      <c r="HQ23" s="34"/>
      <c r="HR23" s="34"/>
      <c r="HS23" s="34"/>
      <c r="HT23" s="34"/>
      <c r="HU23" s="34"/>
      <c r="HV23" s="34"/>
      <c r="HW23"/>
    </row>
    <row r="24" spans="1:231" ht="15">
      <c r="B24" s="141" t="s">
        <v>2513</v>
      </c>
      <c r="C24" s="937">
        <v>80</v>
      </c>
      <c r="E24" s="937">
        <v>86</v>
      </c>
      <c r="F24" s="1212">
        <f>SUMIF($K$13:$GT$13,"&lt;="&amp;$C$13,'Monthly Cash Flow'!K24:GT24)</f>
        <v>0</v>
      </c>
      <c r="G24" s="1505">
        <f>Assumptions!L75</f>
        <v>240</v>
      </c>
      <c r="H24" s="1505">
        <f>G24</f>
        <v>240</v>
      </c>
      <c r="I24" s="132">
        <f>SUMIF($K$13:$GT$13,"&lt;="&amp;Assumptions!$L$17,'Monthly Cash Flow'!K24:GT24)</f>
        <v>240</v>
      </c>
      <c r="J24" s="34"/>
      <c r="K24" s="939"/>
      <c r="L24" s="1003">
        <v>0</v>
      </c>
      <c r="M24" s="1003">
        <v>0</v>
      </c>
      <c r="N24" s="1003">
        <v>0</v>
      </c>
      <c r="O24" s="1003">
        <v>0</v>
      </c>
      <c r="P24" s="1003">
        <v>0</v>
      </c>
      <c r="Q24" s="1003">
        <v>0</v>
      </c>
      <c r="R24" s="1003">
        <v>0</v>
      </c>
      <c r="S24" s="1003">
        <v>0</v>
      </c>
      <c r="T24" s="1003">
        <v>0</v>
      </c>
      <c r="U24" s="1003">
        <v>0</v>
      </c>
      <c r="V24" s="1003">
        <v>0</v>
      </c>
      <c r="W24" s="1003">
        <v>0</v>
      </c>
      <c r="X24" s="1003">
        <v>0</v>
      </c>
      <c r="Y24" s="1003">
        <v>0</v>
      </c>
      <c r="Z24" s="1003">
        <v>0</v>
      </c>
      <c r="AA24" s="1003">
        <v>0</v>
      </c>
      <c r="AB24" s="1003">
        <v>0</v>
      </c>
      <c r="AC24" s="1003">
        <v>0</v>
      </c>
      <c r="AD24" s="1003">
        <v>0</v>
      </c>
      <c r="AE24" s="1003">
        <v>0</v>
      </c>
      <c r="AF24" s="1003">
        <v>0</v>
      </c>
      <c r="AG24" s="1003">
        <v>0</v>
      </c>
      <c r="AH24" s="1003">
        <v>0</v>
      </c>
      <c r="AI24" s="1003">
        <v>0</v>
      </c>
      <c r="AJ24" s="1003">
        <v>0</v>
      </c>
      <c r="AK24" s="1003">
        <v>0</v>
      </c>
      <c r="AL24" s="1003">
        <v>0</v>
      </c>
      <c r="AM24" s="1003">
        <v>0</v>
      </c>
      <c r="AN24" s="1003">
        <v>0</v>
      </c>
      <c r="AO24" s="1003">
        <v>0</v>
      </c>
      <c r="AP24" s="1003">
        <v>0</v>
      </c>
      <c r="AQ24" s="1003">
        <v>0</v>
      </c>
      <c r="AR24" s="1003">
        <v>0</v>
      </c>
      <c r="AS24" s="1003">
        <v>0</v>
      </c>
      <c r="AT24" s="1003">
        <v>0</v>
      </c>
      <c r="AU24" s="1003">
        <v>0</v>
      </c>
      <c r="AV24" s="1003">
        <v>0</v>
      </c>
      <c r="AW24" s="1003">
        <v>0</v>
      </c>
      <c r="AX24" s="1003">
        <v>0</v>
      </c>
      <c r="AY24" s="1003">
        <v>0</v>
      </c>
      <c r="AZ24" s="1003">
        <v>0</v>
      </c>
      <c r="BA24" s="1003">
        <v>0</v>
      </c>
      <c r="BB24" s="1003">
        <v>0</v>
      </c>
      <c r="BC24" s="1003">
        <v>0</v>
      </c>
      <c r="BD24" s="1003">
        <v>0</v>
      </c>
      <c r="BE24" s="1003">
        <v>0</v>
      </c>
      <c r="BF24" s="1003">
        <v>0</v>
      </c>
      <c r="BG24" s="1003">
        <v>0</v>
      </c>
      <c r="BH24" s="1003">
        <v>0</v>
      </c>
      <c r="BI24" s="1003">
        <v>0</v>
      </c>
      <c r="BJ24" s="1003">
        <v>0</v>
      </c>
      <c r="BK24" s="1003">
        <v>0</v>
      </c>
      <c r="BL24" s="940">
        <f>IF(AND(BL$13&gt;=$C24,BL$13&lt;=$E24),($H24-SUM($K24:BK24))/(($E24-BL$13+1)),0)</f>
        <v>0</v>
      </c>
      <c r="BM24" s="940">
        <f>IF(AND(BM$13&gt;=$C24,BM$13&lt;=$E24),($H24-SUM($K24:BL24))/(($E24-BM$13+1)),0)</f>
        <v>0</v>
      </c>
      <c r="BN24" s="940">
        <f>IF(AND(BN$13&gt;=$C24,BN$13&lt;=$E24),($H24-SUM($K24:BM24))/(($E24-BN$13+1)),0)</f>
        <v>0</v>
      </c>
      <c r="BO24" s="940">
        <f>IF(AND(BO$13&gt;=$C24,BO$13&lt;=$E24),($H24-SUM($K24:BN24))/(($E24-BO$13+1)),0)</f>
        <v>0</v>
      </c>
      <c r="BP24" s="940">
        <f>IF(AND(BP$13&gt;=$C24,BP$13&lt;=$E24),($H24-SUM($K24:BO24))/(($E24-BP$13+1)),0)</f>
        <v>0</v>
      </c>
      <c r="BQ24" s="940">
        <f>IF(AND(BQ$13&gt;=$C24,BQ$13&lt;=$E24),($H24-SUM($K24:BP24))/(($E24-BQ$13+1)),0)</f>
        <v>0</v>
      </c>
      <c r="BR24" s="940">
        <f>IF(AND(BR$13&gt;=$C24,BR$13&lt;=$E24),($H24-SUM($K24:BQ24))/(($E24-BR$13+1)),0)</f>
        <v>0</v>
      </c>
      <c r="BS24" s="940">
        <f>IF(AND(BS$13&gt;=$C24,BS$13&lt;=$E24),($H24-SUM($K24:BR24))/(($E24-BS$13+1)),0)</f>
        <v>0</v>
      </c>
      <c r="BT24" s="940">
        <f>IF(AND(BT$13&gt;=$C24,BT$13&lt;=$E24),($H24-SUM($K24:BS24))/(($E24-BT$13+1)),0)</f>
        <v>0</v>
      </c>
      <c r="BU24" s="940">
        <f>IF(AND(BU$13&gt;=$C24,BU$13&lt;=$E24),($H24-SUM($K24:BT24))/(($E24-BU$13+1)),0)</f>
        <v>0</v>
      </c>
      <c r="BV24" s="940">
        <f>IF(AND(BV$13&gt;=$C24,BV$13&lt;=$E24),($H24-SUM($K24:BU24))/(($E24-BV$13+1)),0)</f>
        <v>0</v>
      </c>
      <c r="BW24" s="940">
        <f>IF(AND(BW$13&gt;=$C24,BW$13&lt;=$E24),($H24-SUM($K24:BV24))/(($E24-BW$13+1)),0)</f>
        <v>0</v>
      </c>
      <c r="BX24" s="940">
        <f>IF(AND(BX$13&gt;=$C24,BX$13&lt;=$E24),($H24-SUM($K24:BW24))/(($E24-BX$13+1)),0)</f>
        <v>0</v>
      </c>
      <c r="BY24" s="940">
        <f>IF(AND(BY$13&gt;=$C24,BY$13&lt;=$E24),($H24-SUM($K24:BX24))/(($E24-BY$13+1)),0)</f>
        <v>0</v>
      </c>
      <c r="BZ24" s="940">
        <f>IF(AND(BZ$13&gt;=$C24,BZ$13&lt;=$E24),($H24-SUM($K24:BY24))/(($E24-BZ$13+1)),0)</f>
        <v>0</v>
      </c>
      <c r="CA24" s="940">
        <f>IF(AND(CA$13&gt;=$C24,CA$13&lt;=$E24),($H24-SUM($K24:BZ24))/(($E24-CA$13+1)),0)</f>
        <v>0</v>
      </c>
      <c r="CB24" s="940">
        <f>IF(AND(CB$13&gt;=$C24,CB$13&lt;=$E24),($H24-SUM($K24:CA24))/(($E24-CB$13+1)),0)</f>
        <v>0</v>
      </c>
      <c r="CC24" s="940">
        <f>IF(AND(CC$13&gt;=$C24,CC$13&lt;=$E24),($H24-SUM($K24:CB24))/(($E24-CC$13+1)),0)</f>
        <v>0</v>
      </c>
      <c r="CD24" s="940">
        <f>IF(AND(CD$13&gt;=$C24,CD$13&lt;=$E24),($H24-SUM($K24:CC24))/(($E24-CD$13+1)),0)</f>
        <v>0</v>
      </c>
      <c r="CE24" s="940">
        <f>IF(AND(CE$13&gt;=$C24,CE$13&lt;=$E24),($H24-SUM($K24:CD24))/(($E24-CE$13+1)),0)</f>
        <v>0</v>
      </c>
      <c r="CF24" s="940">
        <f>IF(AND(CF$13&gt;=$C24,CF$13&lt;=$E24),($H24-SUM($K24:CE24))/(($E24-CF$13+1)),0)</f>
        <v>0</v>
      </c>
      <c r="CG24" s="940">
        <f>IF(AND(CG$13&gt;=$C24,CG$13&lt;=$E24),($H24-SUM($K24:CF24))/(($E24-CG$13+1)),0)</f>
        <v>0</v>
      </c>
      <c r="CH24" s="940">
        <f>IF(AND(CH$13&gt;=$C24,CH$13&lt;=$E24),($H24-SUM($K24:CG24))/(($E24-CH$13+1)),0)</f>
        <v>0</v>
      </c>
      <c r="CI24" s="940">
        <f>IF(AND(CI$13&gt;=$C24,CI$13&lt;=$E24),($H24-SUM($K24:CH24))/(($E24-CI$13+1)),0)</f>
        <v>0</v>
      </c>
      <c r="CJ24" s="940">
        <f>IF(AND(CJ$13&gt;=$C24,CJ$13&lt;=$E24),($H24-SUM($K24:CI24))/(($E24-CJ$13+1)),0)</f>
        <v>0</v>
      </c>
      <c r="CK24" s="940">
        <f>IF(AND(CK$13&gt;=$C24,CK$13&lt;=$E24),($H24-SUM($K24:CJ24))/(($E24-CK$13+1)),0)</f>
        <v>0</v>
      </c>
      <c r="CL24" s="940">
        <f>IF(AND(CL$13&gt;=$C24,CL$13&lt;=$E24),($H24-SUM($K24:CK24))/(($E24-CL$13+1)),0)</f>
        <v>0</v>
      </c>
      <c r="CM24" s="940">
        <f>IF(AND(CM$13&gt;=$C24,CM$13&lt;=$E24),($H24-SUM($K24:CL24))/(($E24-CM$13+1)),0)</f>
        <v>34.285714285714285</v>
      </c>
      <c r="CN24" s="940">
        <f>IF(AND(CN$13&gt;=$C24,CN$13&lt;=$E24),($H24-SUM($K24:CM24))/(($E24-CN$13+1)),0)</f>
        <v>34.285714285714285</v>
      </c>
      <c r="CO24" s="940">
        <f>IF(AND(CO$13&gt;=$C24,CO$13&lt;=$E24),($H24-SUM($K24:CN24))/(($E24-CO$13+1)),0)</f>
        <v>34.285714285714292</v>
      </c>
      <c r="CP24" s="940">
        <f>IF(AND(CP$13&gt;=$C24,CP$13&lt;=$E24),($H24-SUM($K24:CO24))/(($E24-CP$13+1)),0)</f>
        <v>34.285714285714285</v>
      </c>
      <c r="CQ24" s="940">
        <f>IF(AND(CQ$13&gt;=$C24,CQ$13&lt;=$E24),($H24-SUM($K24:CP24))/(($E24-CQ$13+1)),0)</f>
        <v>34.285714285714285</v>
      </c>
      <c r="CR24" s="940">
        <f>IF(AND(CR$13&gt;=$C24,CR$13&lt;=$E24),($H24-SUM($K24:CQ24))/(($E24-CR$13+1)),0)</f>
        <v>34.285714285714292</v>
      </c>
      <c r="CS24" s="940">
        <f>IF(AND(CS$13&gt;=$C24,CS$13&lt;=$E24),($H24-SUM($K24:CR24))/(($E24-CS$13+1)),0)</f>
        <v>34.285714285714278</v>
      </c>
      <c r="CT24" s="940">
        <f>IF(AND(CT$13&gt;=$C24,CT$13&lt;=$E24),($H24-SUM($K24:CS24))/(($E24-CT$13+1)),0)</f>
        <v>0</v>
      </c>
      <c r="CU24" s="940">
        <f>IF(AND(CU$13&gt;=$C24,CU$13&lt;=$E24),($H24-SUM($K24:CT24))/(($E24-CU$13+1)),0)</f>
        <v>0</v>
      </c>
      <c r="CV24" s="940">
        <f>IF(AND(CV$13&gt;=$C24,CV$13&lt;=$E24),($H24-SUM($K24:CU24))/(($E24-CV$13+1)),0)</f>
        <v>0</v>
      </c>
      <c r="CW24" s="940">
        <f>IF(AND(CW$13&gt;=$C24,CW$13&lt;=$E24),($H24-SUM($K24:CV24))/(($E24-CW$13+1)),0)</f>
        <v>0</v>
      </c>
      <c r="CX24" s="940">
        <f>IF(AND(CX$13&gt;=$C24,CX$13&lt;=$E24),($H24-SUM($K24:CW24))/(($E24-CX$13+1)),0)</f>
        <v>0</v>
      </c>
      <c r="CY24" s="940">
        <f>IF(AND(CY$13&gt;=$C24,CY$13&lt;=$E24),($H24-SUM($K24:CX24))/(($E24-CY$13+1)),0)</f>
        <v>0</v>
      </c>
      <c r="CZ24" s="940">
        <f>IF(AND(CZ$13&gt;=$C24,CZ$13&lt;=$E24),($H24-SUM($K24:CY24))/(($E24-CZ$13+1)),0)</f>
        <v>0</v>
      </c>
      <c r="DA24" s="940">
        <f>IF(AND(DA$13&gt;=$C24,DA$13&lt;=$E24),($H24-SUM($K24:CZ24))/(($E24-DA$13+1)),0)</f>
        <v>0</v>
      </c>
      <c r="DB24" s="940">
        <f>IF(AND(DB$13&gt;=$C24,DB$13&lt;=$E24),($H24-SUM($K24:DA24))/(($E24-DB$13+1)),0)</f>
        <v>0</v>
      </c>
      <c r="DC24" s="940">
        <f>IF(AND(DC$13&gt;=$C24,DC$13&lt;=$E24),($H24-SUM($K24:DB24))/(($E24-DC$13+1)),0)</f>
        <v>0</v>
      </c>
      <c r="DD24" s="940">
        <f>IF(AND(DD$13&gt;=$C24,DD$13&lt;=$E24),($H24-SUM($K24:DC24))/(($E24-DD$13+1)),0)</f>
        <v>0</v>
      </c>
      <c r="DE24" s="940">
        <f>IF(AND(DE$13&gt;=$C24,DE$13&lt;=$E24),($H24-SUM($K24:DD24))/(($E24-DE$13+1)),0)</f>
        <v>0</v>
      </c>
      <c r="DF24" s="940">
        <f>IF(AND(DF$13&gt;=$C24,DF$13&lt;=$E24),($H24-SUM($K24:DE24))/(($E24-DF$13+1)),0)</f>
        <v>0</v>
      </c>
      <c r="DG24" s="940">
        <f>IF(AND(DG$13&gt;=$C24,DG$13&lt;=$E24),($H24-SUM($K24:DF24))/(($E24-DG$13+1)),0)</f>
        <v>0</v>
      </c>
      <c r="DH24" s="940">
        <f>IF(AND(DH$13&gt;=$C24,DH$13&lt;=$E24),($H24-SUM($K24:DG24))/(($E24-DH$13+1)),0)</f>
        <v>0</v>
      </c>
      <c r="DI24" s="940">
        <f>IF(AND(DI$13&gt;=$C24,DI$13&lt;=$E24),($H24-SUM($K24:DH24))/(($E24-DI$13+1)),0)</f>
        <v>0</v>
      </c>
      <c r="DJ24" s="940">
        <f>IF(AND(DJ$13&gt;=$C24,DJ$13&lt;=$E24),($H24-SUM($K24:DI24))/(($E24-DJ$13+1)),0)</f>
        <v>0</v>
      </c>
      <c r="DK24" s="940">
        <f>IF(AND(DK$13&gt;=$C24,DK$13&lt;=$E24),($H24-SUM($K24:DJ24))/(($E24-DK$13+1)),0)</f>
        <v>0</v>
      </c>
      <c r="DL24" s="940">
        <f>IF(AND(DL$13&gt;=$C24,DL$13&lt;=$E24),($H24-SUM($K24:DK24))/(($E24-DL$13+1)),0)</f>
        <v>0</v>
      </c>
      <c r="DM24" s="940">
        <f>IF(AND(DM$13&gt;=$C24,DM$13&lt;=$E24),($H24-SUM($K24:DL24))/(($E24-DM$13+1)),0)</f>
        <v>0</v>
      </c>
      <c r="DN24" s="940">
        <f>IF(AND(DN$13&gt;=$C24,DN$13&lt;=$E24),($H24-SUM($K24:DM24))/(($E24-DN$13+1)),0)</f>
        <v>0</v>
      </c>
      <c r="DO24" s="940">
        <f>IF(AND(DO$13&gt;=$C24,DO$13&lt;=$E24),($H24-SUM($K24:DN24))/(($E24-DO$13+1)),0)</f>
        <v>0</v>
      </c>
      <c r="DP24" s="940">
        <f>IF(AND(DP$13&gt;=$C24,DP$13&lt;=$E24),($H24-SUM($K24:DO24))/(($E24-DP$13+1)),0)</f>
        <v>0</v>
      </c>
      <c r="DQ24" s="940">
        <f>IF(AND(DQ$13&gt;=$C24,DQ$13&lt;=$E24),($H24-SUM($K24:DP24))/(($E24-DQ$13+1)),0)</f>
        <v>0</v>
      </c>
      <c r="DR24" s="940">
        <f>IF(AND(DR$13&gt;=$C24,DR$13&lt;=$E24),($H24-SUM($K24:DQ24))/(($E24-DR$13+1)),0)</f>
        <v>0</v>
      </c>
      <c r="DS24" s="940">
        <f>IF(AND(DS$13&gt;=$C24,DS$13&lt;=$E24),($H24-SUM($K24:DR24))/(($E24-DS$13+1)),0)</f>
        <v>0</v>
      </c>
      <c r="DT24" s="940">
        <f>IF(AND(DT$13&gt;=$C24,DT$13&lt;=$E24),($H24-SUM($K24:DS24))/(($E24-DT$13+1)),0)</f>
        <v>0</v>
      </c>
      <c r="DU24" s="940">
        <f>IF(AND(DU$13&gt;=$C24,DU$13&lt;=$E24),($H24-SUM($K24:DT24))/(($E24-DU$13+1)),0)</f>
        <v>0</v>
      </c>
      <c r="DV24" s="940">
        <f>IF(AND(DV$13&gt;=$C24,DV$13&lt;=$E24),($H24-SUM($K24:DU24))/(($E24-DV$13+1)),0)</f>
        <v>0</v>
      </c>
      <c r="DW24" s="940">
        <f>IF(AND(DW$13&gt;=$C24,DW$13&lt;=$E24),($H24-SUM($K24:DV24))/(($E24-DW$13+1)),0)</f>
        <v>0</v>
      </c>
      <c r="DX24" s="940">
        <f>IF(AND(DX$13&gt;=$C24,DX$13&lt;=$E24),($H24-SUM($K24:DW24))/(($E24-DX$13+1)),0)</f>
        <v>0</v>
      </c>
      <c r="DY24" s="940">
        <f>IF(AND(DY$13&gt;=$C24,DY$13&lt;=$E24),($H24-SUM($K24:DX24))/(($E24-DY$13+1)),0)</f>
        <v>0</v>
      </c>
      <c r="DZ24" s="940">
        <f>IF(AND(DZ$13&gt;=$C24,DZ$13&lt;=$E24),($H24-SUM($K24:DY24))/(($E24-DZ$13+1)),0)</f>
        <v>0</v>
      </c>
      <c r="EA24" s="940">
        <f>IF(AND(EA$13&gt;=$C24,EA$13&lt;=$E24),($H24-SUM($K24:DZ24))/(($E24-EA$13+1)),0)</f>
        <v>0</v>
      </c>
      <c r="EB24" s="940">
        <f>IF(AND(EB$13&gt;=$C24,EB$13&lt;=$E24),($H24-SUM($K24:EA24))/(($E24-EB$13+1)),0)</f>
        <v>0</v>
      </c>
      <c r="EC24" s="940">
        <f>IF(AND(EC$13&gt;=$C24,EC$13&lt;=$E24),($H24-SUM($K24:EB24))/(($E24-EC$13+1)),0)</f>
        <v>0</v>
      </c>
      <c r="ED24" s="940">
        <f>IF(AND(ED$13&gt;=$C24,ED$13&lt;=$E24),($H24-SUM($K24:EC24))/(($E24-ED$13+1)),0)</f>
        <v>0</v>
      </c>
      <c r="EE24" s="940">
        <f>IF(AND(EE$13&gt;=$C24,EE$13&lt;=$E24),($H24-SUM($K24:ED24))/(($E24-EE$13+1)),0)</f>
        <v>0</v>
      </c>
      <c r="EF24" s="940">
        <f>IF(AND(EF$13&gt;=$C24,EF$13&lt;=$E24),($H24-SUM($K24:EE24))/(($E24-EF$13+1)),0)</f>
        <v>0</v>
      </c>
      <c r="EG24" s="940">
        <f>IF(AND(EG$13&gt;=$C24,EG$13&lt;=$E24),($H24-SUM($K24:EF24))/(($E24-EG$13+1)),0)</f>
        <v>0</v>
      </c>
      <c r="EH24" s="940">
        <f>IF(AND(EH$13&gt;=$C24,EH$13&lt;=$E24),($H24-SUM($K24:EG24))/(($E24-EH$13+1)),0)</f>
        <v>0</v>
      </c>
      <c r="EI24" s="940">
        <f>IF(AND(EI$13&gt;=$C24,EI$13&lt;=$E24),($H24-SUM($K24:EH24))/(($E24-EI$13+1)),0)</f>
        <v>0</v>
      </c>
      <c r="EJ24" s="940">
        <f>IF(AND(EJ$13&gt;=$C24,EJ$13&lt;=$E24),($H24-SUM($K24:EI24))/(($E24-EJ$13+1)),0)</f>
        <v>0</v>
      </c>
      <c r="EK24" s="940">
        <f>IF(AND(EK$13&gt;=$C24,EK$13&lt;=$E24),($H24-SUM($K24:EJ24))/(($E24-EK$13+1)),0)</f>
        <v>0</v>
      </c>
      <c r="EL24" s="940">
        <f>IF(AND(EL$13&gt;=$C24,EL$13&lt;=$E24),($H24-SUM($K24:EK24))/(($E24-EL$13+1)),0)</f>
        <v>0</v>
      </c>
      <c r="EM24" s="940">
        <f>IF(AND(EM$13&gt;=$C24,EM$13&lt;=$E24),($H24-SUM($K24:EL24))/(($E24-EM$13+1)),0)</f>
        <v>0</v>
      </c>
      <c r="EN24" s="940">
        <f>IF(AND(EN$13&gt;=$C24,EN$13&lt;=$E24),($H24-SUM($K24:EM24))/(($E24-EN$13+1)),0)</f>
        <v>0</v>
      </c>
      <c r="EO24" s="940">
        <f>IF(AND(EO$13&gt;=$C24,EO$13&lt;=$E24),($H24-SUM($K24:EN24))/(($E24-EO$13+1)),0)</f>
        <v>0</v>
      </c>
      <c r="EP24" s="940">
        <f>IF(AND(EP$13&gt;=$C24,EP$13&lt;=$E24),($H24-SUM($K24:EO24))/(($E24-EP$13+1)),0)</f>
        <v>0</v>
      </c>
      <c r="EQ24" s="940">
        <f>IF(AND(EQ$13&gt;=$C24,EQ$13&lt;=$E24),($H24-SUM($K24:EP24))/(($E24-EQ$13+1)),0)</f>
        <v>0</v>
      </c>
      <c r="ER24" s="940">
        <f>IF(AND(ER$13&gt;=$C24,ER$13&lt;=$E24),($H24-SUM($K24:EQ24))/(($E24-ER$13+1)),0)</f>
        <v>0</v>
      </c>
      <c r="ES24" s="940">
        <f>IF(AND(ES$13&gt;=$C24,ES$13&lt;=$E24),($H24-SUM($K24:ER24))/(($E24-ES$13+1)),0)</f>
        <v>0</v>
      </c>
      <c r="ET24" s="940">
        <f>IF(AND(ET$13&gt;=$C24,ET$13&lt;=$E24),($H24-SUM($K24:ES24))/(($E24-ET$13+1)),0)</f>
        <v>0</v>
      </c>
      <c r="EU24" s="940">
        <f>IF(AND(EU$13&gt;=$C24,EU$13&lt;=$E24),($H24-SUM($K24:ET24))/(($E24-EU$13+1)),0)</f>
        <v>0</v>
      </c>
      <c r="EV24" s="940">
        <f>IF(AND(EV$13&gt;=$C24,EV$13&lt;=$E24),($H24-SUM($K24:EU24))/(($E24-EV$13+1)),0)</f>
        <v>0</v>
      </c>
      <c r="EW24" s="940">
        <f>IF(AND(EW$13&gt;=$C24,EW$13&lt;=$E24),($H24-SUM($K24:EV24))/(($E24-EW$13+1)),0)</f>
        <v>0</v>
      </c>
      <c r="EX24" s="940">
        <f>IF(AND(EX$13&gt;=$C24,EX$13&lt;=$E24),($H24-SUM($K24:EW24))/(($E24-EX$13+1)),0)</f>
        <v>0</v>
      </c>
      <c r="EY24" s="940">
        <f>IF(AND(EY$13&gt;=$C24,EY$13&lt;=$E24),($H24-SUM($K24:EX24))/(($E24-EY$13+1)),0)</f>
        <v>0</v>
      </c>
      <c r="EZ24" s="940">
        <f>IF(AND(EZ$13&gt;=$C24,EZ$13&lt;=$E24),($H24-SUM($K24:EY24))/(($E24-EZ$13+1)),0)</f>
        <v>0</v>
      </c>
      <c r="FA24" s="940">
        <f>IF(AND(FA$13&gt;=$C24,FA$13&lt;=$E24),($H24-SUM($K24:EZ24))/(($E24-FA$13+1)),0)</f>
        <v>0</v>
      </c>
      <c r="FB24" s="940">
        <f>IF(AND(FB$13&gt;=$C24,FB$13&lt;=$E24),($H24-SUM($K24:FA24))/(($E24-FB$13+1)),0)</f>
        <v>0</v>
      </c>
      <c r="FC24" s="940">
        <f>IF(AND(FC$13&gt;=$C24,FC$13&lt;=$E24),($H24-SUM($K24:FB24))/(($E24-FC$13+1)),0)</f>
        <v>0</v>
      </c>
      <c r="FD24" s="940">
        <f>IF(AND(FD$13&gt;=$C24,FD$13&lt;=$E24),($H24-SUM($K24:FC24))/(($E24-FD$13+1)),0)</f>
        <v>0</v>
      </c>
      <c r="FE24" s="940">
        <f>IF(AND(FE$13&gt;=$C24,FE$13&lt;=$E24),($H24-SUM($K24:FD24))/(($E24-FE$13+1)),0)</f>
        <v>0</v>
      </c>
      <c r="FF24" s="940">
        <f>IF(AND(FF$13&gt;=$C24,FF$13&lt;=$E24),($H24-SUM($K24:FE24))/(($E24-FF$13+1)),0)</f>
        <v>0</v>
      </c>
      <c r="FG24" s="940">
        <f>IF(AND(FG$13&gt;=$C24,FG$13&lt;=$E24),($H24-SUM($K24:FF24))/(($E24-FG$13+1)),0)</f>
        <v>0</v>
      </c>
      <c r="FH24" s="940">
        <f>IF(AND(FH$13&gt;=$C24,FH$13&lt;=$E24),($H24-SUM($K24:FG24))/(($E24-FH$13+1)),0)</f>
        <v>0</v>
      </c>
      <c r="FI24" s="940">
        <f>IF(AND(FI$13&gt;=$C24,FI$13&lt;=$E24),($H24-SUM($K24:FH24))/(($E24-FI$13+1)),0)</f>
        <v>0</v>
      </c>
      <c r="FJ24" s="940">
        <f>IF(AND(FJ$13&gt;=$C24,FJ$13&lt;=$E24),($H24-SUM($K24:FI24))/(($E24-FJ$13+1)),0)</f>
        <v>0</v>
      </c>
      <c r="FK24" s="940">
        <f>IF(AND(FK$13&gt;=$C24,FK$13&lt;=$E24),($H24-SUM($K24:FJ24))/(($E24-FK$13+1)),0)</f>
        <v>0</v>
      </c>
      <c r="FL24" s="940">
        <f>IF(AND(FL$13&gt;=$C24,FL$13&lt;=$E24),($H24-SUM($K24:FK24))/(($E24-FL$13+1)),0)</f>
        <v>0</v>
      </c>
      <c r="FM24" s="940">
        <f>IF(AND(FM$13&gt;=$C24,FM$13&lt;=$E24),($H24-SUM($K24:FL24))/(($E24-FM$13+1)),0)</f>
        <v>0</v>
      </c>
      <c r="FN24" s="940">
        <f>IF(AND(FN$13&gt;=$C24,FN$13&lt;=$E24),($H24-SUM($K24:FM24))/(($E24-FN$13+1)),0)</f>
        <v>0</v>
      </c>
      <c r="FO24" s="940">
        <f>IF(AND(FO$13&gt;=$C24,FO$13&lt;=$E24),($H24-SUM($K24:FN24))/(($E24-FO$13+1)),0)</f>
        <v>0</v>
      </c>
      <c r="FP24" s="940">
        <f>IF(AND(FP$13&gt;=$C24,FP$13&lt;=$E24),($H24-SUM($K24:FO24))/(($E24-FP$13+1)),0)</f>
        <v>0</v>
      </c>
      <c r="FQ24" s="940">
        <f>IF(AND(FQ$13&gt;=$C24,FQ$13&lt;=$E24),($H24-SUM($K24:FP24))/(($E24-FQ$13+1)),0)</f>
        <v>0</v>
      </c>
      <c r="FR24" s="940">
        <f>IF(AND(FR$13&gt;=$C24,FR$13&lt;=$E24),($H24-SUM($K24:FQ24))/(($E24-FR$13+1)),0)</f>
        <v>0</v>
      </c>
      <c r="FS24" s="940">
        <f>IF(AND(FS$13&gt;=$C24,FS$13&lt;=$E24),($H24-SUM($K24:FR24))/(($E24-FS$13+1)),0)</f>
        <v>0</v>
      </c>
      <c r="FT24" s="940">
        <f>IF(AND(FT$13&gt;=$C24,FT$13&lt;=$E24),($H24-SUM($K24:FS24))/(($E24-FT$13+1)),0)</f>
        <v>0</v>
      </c>
      <c r="FU24" s="940">
        <f>IF(AND(FU$13&gt;=$C24,FU$13&lt;=$E24),($H24-SUM($K24:FT24))/(($E24-FU$13+1)),0)</f>
        <v>0</v>
      </c>
      <c r="FV24" s="940">
        <f>IF(AND(FV$13&gt;=$C24,FV$13&lt;=$E24),($H24-SUM($K24:FU24))/(($E24-FV$13+1)),0)</f>
        <v>0</v>
      </c>
      <c r="FW24" s="940">
        <f>IF(AND(FW$13&gt;=$C24,FW$13&lt;=$E24),($H24-SUM($K24:FV24))/(($E24-FW$13+1)),0)</f>
        <v>0</v>
      </c>
      <c r="FX24" s="940">
        <f>IF(AND(FX$13&gt;=$C24,FX$13&lt;=$E24),($H24-SUM($K24:FW24))/(($E24-FX$13+1)),0)</f>
        <v>0</v>
      </c>
      <c r="FY24" s="940">
        <f>IF(AND(FY$13&gt;=$C24,FY$13&lt;=$E24),($H24-SUM($K24:FX24))/(($E24-FY$13+1)),0)</f>
        <v>0</v>
      </c>
      <c r="FZ24" s="940">
        <f>IF(AND(FZ$13&gt;=$C24,FZ$13&lt;=$E24),($H24-SUM($K24:FY24))/(($E24-FZ$13+1)),0)</f>
        <v>0</v>
      </c>
      <c r="GA24" s="940">
        <f>IF(AND(GA$13&gt;=$C24,GA$13&lt;=$E24),($H24-SUM($K24:FZ24))/(($E24-GA$13+1)),0)</f>
        <v>0</v>
      </c>
      <c r="GB24" s="940">
        <f>IF(AND(GB$13&gt;=$C24,GB$13&lt;=$E24),($H24-SUM($K24:GA24))/(($E24-GB$13+1)),0)</f>
        <v>0</v>
      </c>
      <c r="GC24" s="940">
        <f>IF(AND(GC$13&gt;=$C24,GC$13&lt;=$E24),($H24-SUM($K24:GB24))/(($E24-GC$13+1)),0)</f>
        <v>0</v>
      </c>
      <c r="GD24" s="940">
        <f>IF(AND(GD$13&gt;=$C24,GD$13&lt;=$E24),($H24-SUM($K24:GC24))/(($E24-GD$13+1)),0)</f>
        <v>0</v>
      </c>
      <c r="GE24" s="940">
        <f>IF(AND(GE$13&gt;=$C24,GE$13&lt;=$E24),($H24-SUM($K24:GD24))/(($E24-GE$13+1)),0)</f>
        <v>0</v>
      </c>
      <c r="GF24" s="940">
        <f>IF(AND(GF$13&gt;=$C24,GF$13&lt;=$E24),($H24-SUM($K24:GE24))/(($E24-GF$13+1)),0)</f>
        <v>0</v>
      </c>
      <c r="GG24" s="940">
        <f>IF(AND(GG$13&gt;=$C24,GG$13&lt;=$E24),($H24-SUM($K24:GF24))/(($E24-GG$13+1)),0)</f>
        <v>0</v>
      </c>
      <c r="GH24" s="940">
        <f>IF(AND(GH$13&gt;=$C24,GH$13&lt;=$E24),($H24-SUM($K24:GG24))/(($E24-GH$13+1)),0)</f>
        <v>0</v>
      </c>
      <c r="GI24" s="940">
        <f>IF(AND(GI$13&gt;=$C24,GI$13&lt;=$E24),($H24-SUM($K24:GH24))/(($E24-GI$13+1)),0)</f>
        <v>0</v>
      </c>
      <c r="GJ24" s="940">
        <f>IF(AND(GJ$13&gt;=$C24,GJ$13&lt;=$E24),($H24-SUM($K24:GI24))/(($E24-GJ$13+1)),0)</f>
        <v>0</v>
      </c>
      <c r="GK24" s="940">
        <f>IF(AND(GK$13&gt;=$C24,GK$13&lt;=$E24),($H24-SUM($K24:GJ24))/(($E24-GK$13+1)),0)</f>
        <v>0</v>
      </c>
      <c r="GL24" s="940">
        <f>IF(AND(GL$13&gt;=$C24,GL$13&lt;=$E24),($H24-SUM($K24:GK24))/(($E24-GL$13+1)),0)</f>
        <v>0</v>
      </c>
      <c r="GM24" s="940">
        <f>IF(AND(GM$13&gt;=$C24,GM$13&lt;=$E24),($H24-SUM($K24:GL24))/(($E24-GM$13+1)),0)</f>
        <v>0</v>
      </c>
      <c r="GN24" s="940">
        <f>IF(AND(GN$13&gt;=$C24,GN$13&lt;=$E24),($H24-SUM($K24:GM24))/(($E24-GN$13+1)),0)</f>
        <v>0</v>
      </c>
      <c r="GO24" s="940">
        <f>IF(AND(GO$13&gt;=$C24,GO$13&lt;=$E24),($H24-SUM($K24:GN24))/(($E24-GO$13+1)),0)</f>
        <v>0</v>
      </c>
      <c r="GP24" s="940">
        <f>IF(AND(GP$13&gt;=$C24,GP$13&lt;=$E24),($H24-SUM($K24:GO24))/(($E24-GP$13+1)),0)</f>
        <v>0</v>
      </c>
      <c r="GQ24" s="940">
        <f>IF(AND(GQ$13&gt;=$C24,GQ$13&lt;=$E24),($H24-SUM($K24:GP24))/(($E24-GQ$13+1)),0)</f>
        <v>0</v>
      </c>
      <c r="GR24" s="940">
        <f>IF(AND(GR$13&gt;=$C24,GR$13&lt;=$E24),($H24-SUM($K24:GQ24))/(($E24-GR$13+1)),0)</f>
        <v>0</v>
      </c>
      <c r="GS24" s="940">
        <f>IF(AND(GS$13&gt;=$C24,GS$13&lt;=$E24),($H24-SUM($K24:GR24))/(($E24-GS$13+1)),0)</f>
        <v>0</v>
      </c>
      <c r="GT24" s="940"/>
      <c r="GU24" s="940"/>
      <c r="GV24" s="940"/>
      <c r="GW24" s="940"/>
      <c r="GX24" s="940"/>
      <c r="GY24" s="940"/>
      <c r="GZ24" s="940"/>
      <c r="HA24" s="940"/>
      <c r="HB24" s="940"/>
      <c r="HC24" s="940"/>
      <c r="HD24" s="940"/>
      <c r="HE24" s="940"/>
      <c r="HG24" s="139"/>
      <c r="HH24" s="33"/>
      <c r="HI24" s="34"/>
      <c r="HJ24" s="34"/>
      <c r="HK24" s="34"/>
      <c r="HL24" s="123"/>
      <c r="HM24" s="34"/>
      <c r="HN24" s="124"/>
      <c r="HO24" s="34"/>
      <c r="HP24" s="34"/>
      <c r="HQ24" s="34"/>
      <c r="HR24" s="34"/>
      <c r="HS24" s="34"/>
      <c r="HT24" s="34"/>
      <c r="HU24" s="34"/>
      <c r="HV24" s="34"/>
      <c r="HW24"/>
    </row>
    <row r="25" spans="1:231" ht="15">
      <c r="B25" s="141" t="s">
        <v>2361</v>
      </c>
      <c r="C25" s="937">
        <v>1</v>
      </c>
      <c r="E25" s="937">
        <v>66</v>
      </c>
      <c r="F25" s="1212">
        <f>SUMIF($K$13:$GT$13,"&lt;="&amp;$C$13,'Monthly Cash Flow'!K25:GT25)</f>
        <v>1824.3237600000002</v>
      </c>
      <c r="G25" s="938"/>
      <c r="H25" s="1505">
        <f t="shared" ref="H25" si="530">SUM(F25:G25)</f>
        <v>1824.3237600000002</v>
      </c>
      <c r="I25" s="123">
        <f>SUMIF($K$13:$GT$13,"&lt;="&amp;Assumptions!$L$17,'Monthly Cash Flow'!K25:GT25)</f>
        <v>1824.3237600000002</v>
      </c>
      <c r="J25" s="34"/>
      <c r="K25" s="939">
        <v>0</v>
      </c>
      <c r="L25" s="1003">
        <v>0</v>
      </c>
      <c r="M25" s="1003">
        <v>0</v>
      </c>
      <c r="N25" s="1003">
        <v>0</v>
      </c>
      <c r="O25" s="1003">
        <v>0</v>
      </c>
      <c r="P25" s="1003">
        <v>0</v>
      </c>
      <c r="Q25" s="1003">
        <v>0</v>
      </c>
      <c r="R25" s="1003">
        <v>0</v>
      </c>
      <c r="S25" s="1003">
        <v>0</v>
      </c>
      <c r="T25" s="1003">
        <v>0</v>
      </c>
      <c r="U25" s="1003">
        <v>36.088500000000003</v>
      </c>
      <c r="V25" s="1003">
        <v>0</v>
      </c>
      <c r="W25" s="1003">
        <v>47.94</v>
      </c>
      <c r="X25" s="1003">
        <v>0</v>
      </c>
      <c r="Y25" s="1003">
        <v>0</v>
      </c>
      <c r="Z25" s="1003">
        <v>232.85550000000001</v>
      </c>
      <c r="AA25" s="1003">
        <v>0</v>
      </c>
      <c r="AB25" s="1003">
        <v>361.59280999999999</v>
      </c>
      <c r="AC25" s="1003">
        <v>0</v>
      </c>
      <c r="AD25" s="1003">
        <v>0</v>
      </c>
      <c r="AE25" s="1003">
        <v>403.95069999999998</v>
      </c>
      <c r="AF25" s="1003">
        <v>67.997609999999995</v>
      </c>
      <c r="AG25" s="1003">
        <v>145.09163999999998</v>
      </c>
      <c r="AH25" s="1003">
        <v>0</v>
      </c>
      <c r="AI25" s="1003">
        <v>0</v>
      </c>
      <c r="AJ25" s="1003">
        <v>0</v>
      </c>
      <c r="AK25" s="1003">
        <v>0</v>
      </c>
      <c r="AL25" s="1003">
        <v>1.98</v>
      </c>
      <c r="AM25" s="1003">
        <v>0</v>
      </c>
      <c r="AN25" s="1003">
        <v>16.797999999999998</v>
      </c>
      <c r="AO25" s="1003">
        <v>0</v>
      </c>
      <c r="AP25" s="1003">
        <v>0</v>
      </c>
      <c r="AQ25" s="1003">
        <v>3.8730000000000002</v>
      </c>
      <c r="AR25" s="1003">
        <v>0</v>
      </c>
      <c r="AS25" s="1003">
        <v>0</v>
      </c>
      <c r="AT25" s="1003">
        <v>0</v>
      </c>
      <c r="AU25" s="1003">
        <v>0</v>
      </c>
      <c r="AV25" s="1003">
        <v>0</v>
      </c>
      <c r="AW25" s="1003">
        <v>0</v>
      </c>
      <c r="AX25" s="1003">
        <v>0</v>
      </c>
      <c r="AY25" s="1003">
        <v>15.5</v>
      </c>
      <c r="AZ25" s="1003">
        <v>0</v>
      </c>
      <c r="BA25" s="1003">
        <v>0</v>
      </c>
      <c r="BB25" s="1003">
        <v>0</v>
      </c>
      <c r="BC25" s="1003">
        <v>142.10000000000002</v>
      </c>
      <c r="BD25" s="1003">
        <v>23.257999999999999</v>
      </c>
      <c r="BE25" s="1003">
        <v>0</v>
      </c>
      <c r="BF25" s="1003">
        <v>0</v>
      </c>
      <c r="BG25" s="1003">
        <v>0</v>
      </c>
      <c r="BH25" s="1003">
        <v>0</v>
      </c>
      <c r="BI25" s="1003">
        <v>0</v>
      </c>
      <c r="BJ25" s="1003">
        <v>0</v>
      </c>
      <c r="BK25" s="1003">
        <v>0</v>
      </c>
      <c r="BL25" s="1003">
        <v>0</v>
      </c>
      <c r="BM25" s="1003">
        <v>0</v>
      </c>
      <c r="BN25" s="1003">
        <v>0</v>
      </c>
      <c r="BO25" s="1003">
        <v>0</v>
      </c>
      <c r="BP25" s="1003">
        <v>0</v>
      </c>
      <c r="BQ25" s="1003">
        <v>0</v>
      </c>
      <c r="BR25" s="1529">
        <f>65924/1000</f>
        <v>65.924000000000007</v>
      </c>
      <c r="BS25" s="1529">
        <v>0</v>
      </c>
      <c r="BT25" s="1529">
        <v>0</v>
      </c>
      <c r="BU25" s="1529">
        <v>0</v>
      </c>
      <c r="BV25" s="1529">
        <v>0</v>
      </c>
      <c r="BW25" s="1529">
        <v>0</v>
      </c>
      <c r="BX25" s="1529">
        <v>0</v>
      </c>
      <c r="BY25" s="1529">
        <f>84080/1000</f>
        <v>84.08</v>
      </c>
      <c r="BZ25" s="1529">
        <v>0</v>
      </c>
      <c r="CA25" s="1529">
        <v>0</v>
      </c>
      <c r="CB25" s="1529">
        <v>0</v>
      </c>
      <c r="CC25" s="1529">
        <v>0</v>
      </c>
      <c r="CD25" s="1529">
        <f>(80957/1000)+(94337/1000)</f>
        <v>175.29399999999998</v>
      </c>
      <c r="CE25" s="1529">
        <v>0</v>
      </c>
      <c r="CF25" s="1529">
        <v>0</v>
      </c>
      <c r="CG25" s="1529">
        <v>0</v>
      </c>
      <c r="CH25" s="1529">
        <v>0</v>
      </c>
      <c r="CI25" s="940">
        <f>IF(AND(CI$13&gt;=$C25,CI$13&lt;=$E25),($H25-SUM($K25:CH25))/(($E25-CI$13+1)),0)</f>
        <v>0</v>
      </c>
      <c r="CJ25" s="940">
        <f>IF(AND(CJ$13&gt;=$C25,CJ$13&lt;=$E25),($H25-SUM($K25:CI25))/(($E25-CJ$13+1)),0)</f>
        <v>0</v>
      </c>
      <c r="CK25" s="940">
        <f>IF(AND(CK$13&gt;=$C25,CK$13&lt;=$E25),($H25-SUM($K25:CJ25))/(($E25-CK$13+1)),0)</f>
        <v>0</v>
      </c>
      <c r="CL25" s="940">
        <f>IF(AND(CL$13&gt;=$C25,CL$13&lt;=$E25),($H25-SUM($K25:CK25))/(($E25-CL$13+1)),0)</f>
        <v>0</v>
      </c>
      <c r="CM25" s="940">
        <f>IF(AND(CM$13&gt;=$C25,CM$13&lt;=$E25),($H25-SUM($K25:CL25))/(($E25-CM$13+1)),0)</f>
        <v>0</v>
      </c>
      <c r="CN25" s="940">
        <f>IF(AND(CN$13&gt;=$C25,CN$13&lt;=$E25),($H25-SUM($K25:CM25))/(($E25-CN$13+1)),0)</f>
        <v>0</v>
      </c>
      <c r="CO25" s="940">
        <f>IF(AND(CO$13&gt;=$C25,CO$13&lt;=$E25),($H25-SUM($K25:CN25))/(($E25-CO$13+1)),0)</f>
        <v>0</v>
      </c>
      <c r="CP25" s="940">
        <f>IF(AND(CP$13&gt;=$C25,CP$13&lt;=$E25),($H25-SUM($K25:CO25))/(($E25-CP$13+1)),0)</f>
        <v>0</v>
      </c>
      <c r="CQ25" s="940">
        <f>IF(AND(CQ$13&gt;=$C25,CQ$13&lt;=$E25),($H25-SUM($K25:CP25))/(($E25-CQ$13+1)),0)</f>
        <v>0</v>
      </c>
      <c r="CR25" s="940">
        <f>IF(AND(CR$13&gt;=$C25,CR$13&lt;=$E25),($H25-SUM($K25:CQ25))/(($E25-CR$13+1)),0)</f>
        <v>0</v>
      </c>
      <c r="CS25" s="940">
        <f>IF(AND(CS$13&gt;=$C25,CS$13&lt;=$E25),($H25-SUM($K25:CR25))/(($E25-CS$13+1)),0)</f>
        <v>0</v>
      </c>
      <c r="CT25" s="940">
        <f>IF(AND(CT$13&gt;=$C25,CT$13&lt;=$E25),($H25-SUM($K25:CS25))/(($E25-CT$13+1)),0)</f>
        <v>0</v>
      </c>
      <c r="CU25" s="940">
        <f>IF(AND(CU$13&gt;=$C25,CU$13&lt;=$E25),($H25-SUM($K25:CT25))/(($E25-CU$13+1)),0)</f>
        <v>0</v>
      </c>
      <c r="CV25" s="940">
        <f>IF(AND(CV$13&gt;=$C25,CV$13&lt;=$E25),($H25-SUM($K25:CU25))/(($E25-CV$13+1)),0)</f>
        <v>0</v>
      </c>
      <c r="CW25" s="940">
        <f>IF(AND(CW$13&gt;=$C25,CW$13&lt;=$E25),($H25-SUM($K25:CV25))/(($E25-CW$13+1)),0)</f>
        <v>0</v>
      </c>
      <c r="CX25" s="940">
        <f>IF(AND(CX$13&gt;=$C25,CX$13&lt;=$E25),($H25-SUM($K25:CW25))/(($E25-CX$13+1)),0)</f>
        <v>0</v>
      </c>
      <c r="CY25" s="940">
        <f>IF(AND(CY$13&gt;=$C25,CY$13&lt;=$E25),($H25-SUM($K25:CX25))/(($E25-CY$13+1)),0)</f>
        <v>0</v>
      </c>
      <c r="CZ25" s="940">
        <f>IF(AND(CZ$13&gt;=$C25,CZ$13&lt;=$E25),($H25-SUM($K25:CY25))/(($E25-CZ$13+1)),0)</f>
        <v>0</v>
      </c>
      <c r="DA25" s="940">
        <f>IF(AND(DA$13&gt;=$C25,DA$13&lt;=$E25),($H25-SUM($K25:CZ25))/(($E25-DA$13+1)),0)</f>
        <v>0</v>
      </c>
      <c r="DB25" s="940">
        <f>IF(AND(DB$13&gt;=$C25,DB$13&lt;=$E25),($H25-SUM($K25:DA25))/(($E25-DB$13+1)),0)</f>
        <v>0</v>
      </c>
      <c r="DC25" s="940">
        <f>IF(AND(DC$13&gt;=$C25,DC$13&lt;=$E25),($H25-SUM($K25:DB25))/(($E25-DC$13+1)),0)</f>
        <v>0</v>
      </c>
      <c r="DD25" s="940">
        <f>IF(AND(DD$13&gt;=$C25,DD$13&lt;=$E25),($H25-SUM($K25:DC25))/(($E25-DD$13+1)),0)</f>
        <v>0</v>
      </c>
      <c r="DE25" s="940">
        <f>IF(AND(DE$13&gt;=$C25,DE$13&lt;=$E25),($H25-SUM($K25:DD25))/(($E25-DE$13+1)),0)</f>
        <v>0</v>
      </c>
      <c r="DF25" s="940">
        <f>IF(AND(DF$13&gt;=$C25,DF$13&lt;=$E25),($H25-SUM($K25:DE25))/(($E25-DF$13+1)),0)</f>
        <v>0</v>
      </c>
      <c r="DG25" s="940">
        <f>IF(AND(DG$13&gt;=$C25,DG$13&lt;=$E25),($H25-SUM($K25:DF25))/(($E25-DG$13+1)),0)</f>
        <v>0</v>
      </c>
      <c r="DH25" s="940">
        <f>IF(AND(DH$13&gt;=$C25,DH$13&lt;=$E25),($H25-SUM($K25:DG25))/(($E25-DH$13+1)),0)</f>
        <v>0</v>
      </c>
      <c r="DI25" s="940">
        <f>IF(AND(DI$13&gt;=$C25,DI$13&lt;=$E25),($H25-SUM($K25:DH25))/(($E25-DI$13+1)),0)</f>
        <v>0</v>
      </c>
      <c r="DJ25" s="940">
        <f>IF(AND(DJ$13&gt;=$C25,DJ$13&lt;=$E25),($H25-SUM($K25:DI25))/(($E25-DJ$13+1)),0)</f>
        <v>0</v>
      </c>
      <c r="DK25" s="940">
        <f>IF(AND(DK$13&gt;=$C25,DK$13&lt;=$E25),($H25-SUM($K25:DJ25))/(($E25-DK$13+1)),0)</f>
        <v>0</v>
      </c>
      <c r="DL25" s="940">
        <f>IF(AND(DL$13&gt;=$C25,DL$13&lt;=$E25),($H25-SUM($K25:DK25))/(($E25-DL$13+1)),0)</f>
        <v>0</v>
      </c>
      <c r="DM25" s="940">
        <f>IF(AND(DM$13&gt;=$C25,DM$13&lt;=$E25),($H25-SUM($K25:DL25))/(($E25-DM$13+1)),0)</f>
        <v>0</v>
      </c>
      <c r="DN25" s="940">
        <f>IF(AND(DN$13&gt;=$C25,DN$13&lt;=$E25),($H25-SUM($K25:DM25))/(($E25-DN$13+1)),0)</f>
        <v>0</v>
      </c>
      <c r="DO25" s="940">
        <f>IF(AND(DO$13&gt;=$C25,DO$13&lt;=$E25),($H25-SUM($K25:DN25))/(($E25-DO$13+1)),0)</f>
        <v>0</v>
      </c>
      <c r="DP25" s="940">
        <f>IF(AND(DP$13&gt;=$C25,DP$13&lt;=$E25),($H25-SUM($K25:DO25))/(($E25-DP$13+1)),0)</f>
        <v>0</v>
      </c>
      <c r="DQ25" s="940">
        <f>IF(AND(DQ$13&gt;=$C25,DQ$13&lt;=$E25),($H25-SUM($K25:DP25))/(($E25-DQ$13+1)),0)</f>
        <v>0</v>
      </c>
      <c r="DR25" s="940">
        <f>IF(AND(DR$13&gt;=$C25,DR$13&lt;=$E25),($H25-SUM($K25:DQ25))/(($E25-DR$13+1)),0)</f>
        <v>0</v>
      </c>
      <c r="DS25" s="940">
        <f>IF(AND(DS$13&gt;=$C25,DS$13&lt;=$E25),($H25-SUM($K25:DR25))/(($E25-DS$13+1)),0)</f>
        <v>0</v>
      </c>
      <c r="DT25" s="940">
        <f>IF(AND(DT$13&gt;=$C25,DT$13&lt;=$E25),($H25-SUM($K25:DS25))/(($E25-DT$13+1)),0)</f>
        <v>0</v>
      </c>
      <c r="DU25" s="940">
        <f>IF(AND(DU$13&gt;=$C25,DU$13&lt;=$E25),($H25-SUM($K25:DT25))/(($E25-DU$13+1)),0)</f>
        <v>0</v>
      </c>
      <c r="DV25" s="940">
        <f>IF(AND(DV$13&gt;=$C25,DV$13&lt;=$E25),($H25-SUM($K25:DU25))/(($E25-DV$13+1)),0)</f>
        <v>0</v>
      </c>
      <c r="DW25" s="940">
        <f>IF(AND(DW$13&gt;=$C25,DW$13&lt;=$E25),($H25-SUM($K25:DV25))/(($E25-DW$13+1)),0)</f>
        <v>0</v>
      </c>
      <c r="DX25" s="940">
        <f>IF(AND(DX$13&gt;=$C25,DX$13&lt;=$E25),($H25-SUM($K25:DW25))/(($E25-DX$13+1)),0)</f>
        <v>0</v>
      </c>
      <c r="DY25" s="940">
        <f>IF(AND(DY$13&gt;=$C25,DY$13&lt;=$E25),($H25-SUM($K25:DX25))/(($E25-DY$13+1)),0)</f>
        <v>0</v>
      </c>
      <c r="DZ25" s="940">
        <f>IF(AND(DZ$13&gt;=$C25,DZ$13&lt;=$E25),($H25-SUM($K25:DY25))/(($E25-DZ$13+1)),0)</f>
        <v>0</v>
      </c>
      <c r="EA25" s="940">
        <f>IF(AND(EA$13&gt;=$C25,EA$13&lt;=$E25),($H25-SUM($K25:DZ25))/(($E25-EA$13+1)),0)</f>
        <v>0</v>
      </c>
      <c r="EB25" s="940">
        <f>IF(AND(EB$13&gt;=$C25,EB$13&lt;=$E25),($H25-SUM($K25:EA25))/(($E25-EB$13+1)),0)</f>
        <v>0</v>
      </c>
      <c r="EC25" s="940">
        <f>IF(AND(EC$13&gt;=$C25,EC$13&lt;=$E25),($H25-SUM($K25:EB25))/(($E25-EC$13+1)),0)</f>
        <v>0</v>
      </c>
      <c r="ED25" s="940">
        <f>IF(AND(ED$13&gt;=$C25,ED$13&lt;=$E25),($H25-SUM($K25:EC25))/(($E25-ED$13+1)),0)</f>
        <v>0</v>
      </c>
      <c r="EE25" s="940">
        <f>IF(AND(EE$13&gt;=$C25,EE$13&lt;=$E25),($H25-SUM($K25:ED25))/(($E25-EE$13+1)),0)</f>
        <v>0</v>
      </c>
      <c r="EF25" s="940">
        <f>IF(AND(EF$13&gt;=$C25,EF$13&lt;=$E25),($H25-SUM($K25:EE25))/(($E25-EF$13+1)),0)</f>
        <v>0</v>
      </c>
      <c r="EG25" s="940">
        <f>IF(AND(EG$13&gt;=$C25,EG$13&lt;=$E25),($H25-SUM($K25:EF25))/(($E25-EG$13+1)),0)</f>
        <v>0</v>
      </c>
      <c r="EH25" s="940">
        <f>IF(AND(EH$13&gt;=$C25,EH$13&lt;=$E25),($H25-SUM($K25:EG25))/(($E25-EH$13+1)),0)</f>
        <v>0</v>
      </c>
      <c r="EI25" s="940">
        <f>IF(AND(EI$13&gt;=$C25,EI$13&lt;=$E25),($H25-SUM($K25:EH25))/(($E25-EI$13+1)),0)</f>
        <v>0</v>
      </c>
      <c r="EJ25" s="940">
        <f>IF(AND(EJ$13&gt;=$C25,EJ$13&lt;=$E25),($H25-SUM($K25:EI25))/(($E25-EJ$13+1)),0)</f>
        <v>0</v>
      </c>
      <c r="EK25" s="940">
        <f>IF(AND(EK$13&gt;=$C25,EK$13&lt;=$E25),($H25-SUM($K25:EJ25))/(($E25-EK$13+1)),0)</f>
        <v>0</v>
      </c>
      <c r="EL25" s="940">
        <f>IF(AND(EL$13&gt;=$C25,EL$13&lt;=$E25),($H25-SUM($K25:EK25))/(($E25-EL$13+1)),0)</f>
        <v>0</v>
      </c>
      <c r="EM25" s="940">
        <f>IF(AND(EM$13&gt;=$C25,EM$13&lt;=$E25),($H25-SUM($K25:EL25))/(($E25-EM$13+1)),0)</f>
        <v>0</v>
      </c>
      <c r="EN25" s="940">
        <f>IF(AND(EN$13&gt;=$C25,EN$13&lt;=$E25),($H25-SUM($K25:EM25))/(($E25-EN$13+1)),0)</f>
        <v>0</v>
      </c>
      <c r="EO25" s="940">
        <f>IF(AND(EO$13&gt;=$C25,EO$13&lt;=$E25),($H25-SUM($K25:EN25))/(($E25-EO$13+1)),0)</f>
        <v>0</v>
      </c>
      <c r="EP25" s="940">
        <f>IF(AND(EP$13&gt;=$C25,EP$13&lt;=$E25),($H25-SUM($K25:EO25))/(($E25-EP$13+1)),0)</f>
        <v>0</v>
      </c>
      <c r="EQ25" s="940">
        <f>IF(AND(EQ$13&gt;=$C25,EQ$13&lt;=$E25),($H25-SUM($K25:EP25))/(($E25-EQ$13+1)),0)</f>
        <v>0</v>
      </c>
      <c r="ER25" s="940">
        <f>IF(AND(ER$13&gt;=$C25,ER$13&lt;=$E25),($H25-SUM($K25:EQ25))/(($E25-ER$13+1)),0)</f>
        <v>0</v>
      </c>
      <c r="ES25" s="940">
        <f>IF(AND(ES$13&gt;=$C25,ES$13&lt;=$E25),($H25-SUM($K25:ER25))/(($E25-ES$13+1)),0)</f>
        <v>0</v>
      </c>
      <c r="ET25" s="940">
        <f>IF(AND(ET$13&gt;=$C25,ET$13&lt;=$E25),($H25-SUM($K25:ES25))/(($E25-ET$13+1)),0)</f>
        <v>0</v>
      </c>
      <c r="EU25" s="940">
        <f>IF(AND(EU$13&gt;=$C25,EU$13&lt;=$E25),($H25-SUM($K25:ET25))/(($E25-EU$13+1)),0)</f>
        <v>0</v>
      </c>
      <c r="EV25" s="940">
        <f>IF(AND(EV$13&gt;=$C25,EV$13&lt;=$E25),($H25-SUM($K25:EU25))/(($E25-EV$13+1)),0)</f>
        <v>0</v>
      </c>
      <c r="EW25" s="940">
        <f>IF(AND(EW$13&gt;=$C25,EW$13&lt;=$E25),($H25-SUM($K25:EV25))/(($E25-EW$13+1)),0)</f>
        <v>0</v>
      </c>
      <c r="EX25" s="940">
        <f>IF(AND(EX$13&gt;=$C25,EX$13&lt;=$E25),($H25-SUM($K25:EW25))/(($E25-EX$13+1)),0)</f>
        <v>0</v>
      </c>
      <c r="EY25" s="940">
        <f>IF(AND(EY$13&gt;=$C25,EY$13&lt;=$E25),($H25-SUM($K25:EX25))/(($E25-EY$13+1)),0)</f>
        <v>0</v>
      </c>
      <c r="EZ25" s="940">
        <f>IF(AND(EZ$13&gt;=$C25,EZ$13&lt;=$E25),($H25-SUM($K25:EY25))/(($E25-EZ$13+1)),0)</f>
        <v>0</v>
      </c>
      <c r="FA25" s="940">
        <f>IF(AND(FA$13&gt;=$C25,FA$13&lt;=$E25),($H25-SUM($K25:EZ25))/(($E25-FA$13+1)),0)</f>
        <v>0</v>
      </c>
      <c r="FB25" s="940">
        <f>IF(AND(FB$13&gt;=$C25,FB$13&lt;=$E25),($H25-SUM($K25:FA25))/(($E25-FB$13+1)),0)</f>
        <v>0</v>
      </c>
      <c r="FC25" s="940">
        <f>IF(AND(FC$13&gt;=$C25,FC$13&lt;=$E25),($H25-SUM($K25:FB25))/(($E25-FC$13+1)),0)</f>
        <v>0</v>
      </c>
      <c r="FD25" s="940">
        <f>IF(AND(FD$13&gt;=$C25,FD$13&lt;=$E25),($H25-SUM($K25:FC25))/(($E25-FD$13+1)),0)</f>
        <v>0</v>
      </c>
      <c r="FE25" s="940">
        <f>IF(AND(FE$13&gt;=$C25,FE$13&lt;=$E25),($H25-SUM($K25:FD25))/(($E25-FE$13+1)),0)</f>
        <v>0</v>
      </c>
      <c r="FF25" s="940">
        <f>IF(AND(FF$13&gt;=$C25,FF$13&lt;=$E25),($H25-SUM($K25:FE25))/(($E25-FF$13+1)),0)</f>
        <v>0</v>
      </c>
      <c r="FG25" s="940">
        <f>IF(AND(FG$13&gt;=$C25,FG$13&lt;=$E25),($H25-SUM($K25:FF25))/(($E25-FG$13+1)),0)</f>
        <v>0</v>
      </c>
      <c r="FH25" s="940">
        <f>IF(AND(FH$13&gt;=$C25,FH$13&lt;=$E25),($H25-SUM($K25:FG25))/(($E25-FH$13+1)),0)</f>
        <v>0</v>
      </c>
      <c r="FI25" s="940">
        <f>IF(AND(FI$13&gt;=$C25,FI$13&lt;=$E25),($H25-SUM($K25:FH25))/(($E25-FI$13+1)),0)</f>
        <v>0</v>
      </c>
      <c r="FJ25" s="940">
        <f>IF(AND(FJ$13&gt;=$C25,FJ$13&lt;=$E25),($H25-SUM($K25:FI25))/(($E25-FJ$13+1)),0)</f>
        <v>0</v>
      </c>
      <c r="FK25" s="940">
        <f>IF(AND(FK$13&gt;=$C25,FK$13&lt;=$E25),($H25-SUM($K25:FJ25))/(($E25-FK$13+1)),0)</f>
        <v>0</v>
      </c>
      <c r="FL25" s="940">
        <f>IF(AND(FL$13&gt;=$C25,FL$13&lt;=$E25),($H25-SUM($K25:FK25))/(($E25-FL$13+1)),0)</f>
        <v>0</v>
      </c>
      <c r="FM25" s="940">
        <f>IF(AND(FM$13&gt;=$C25,FM$13&lt;=$E25),($H25-SUM($K25:FL25))/(($E25-FM$13+1)),0)</f>
        <v>0</v>
      </c>
      <c r="FN25" s="940">
        <f>IF(AND(FN$13&gt;=$C25,FN$13&lt;=$E25),($H25-SUM($K25:FM25))/(($E25-FN$13+1)),0)</f>
        <v>0</v>
      </c>
      <c r="FO25" s="940">
        <f>IF(AND(FO$13&gt;=$C25,FO$13&lt;=$E25),($H25-SUM($K25:FN25))/(($E25-FO$13+1)),0)</f>
        <v>0</v>
      </c>
      <c r="FP25" s="940">
        <f>IF(AND(FP$13&gt;=$C25,FP$13&lt;=$E25),($H25-SUM($K25:FO25))/(($E25-FP$13+1)),0)</f>
        <v>0</v>
      </c>
      <c r="FQ25" s="940">
        <f>IF(AND(FQ$13&gt;=$C25,FQ$13&lt;=$E25),($H25-SUM($K25:FP25))/(($E25-FQ$13+1)),0)</f>
        <v>0</v>
      </c>
      <c r="FR25" s="940">
        <f>IF(AND(FR$13&gt;=$C25,FR$13&lt;=$E25),($H25-SUM($K25:FQ25))/(($E25-FR$13+1)),0)</f>
        <v>0</v>
      </c>
      <c r="FS25" s="940">
        <f>IF(AND(FS$13&gt;=$C25,FS$13&lt;=$E25),($H25-SUM($K25:FR25))/(($E25-FS$13+1)),0)</f>
        <v>0</v>
      </c>
      <c r="FT25" s="940">
        <f>IF(AND(FT$13&gt;=$C25,FT$13&lt;=$E25),($H25-SUM($K25:FS25))/(($E25-FT$13+1)),0)</f>
        <v>0</v>
      </c>
      <c r="FU25" s="940">
        <f>IF(AND(FU$13&gt;=$C25,FU$13&lt;=$E25),($H25-SUM($K25:FT25))/(($E25-FU$13+1)),0)</f>
        <v>0</v>
      </c>
      <c r="FV25" s="940">
        <f>IF(AND(FV$13&gt;=$C25,FV$13&lt;=$E25),($H25-SUM($K25:FU25))/(($E25-FV$13+1)),0)</f>
        <v>0</v>
      </c>
      <c r="FW25" s="940">
        <f>IF(AND(FW$13&gt;=$C25,FW$13&lt;=$E25),($H25-SUM($K25:FV25))/(($E25-FW$13+1)),0)</f>
        <v>0</v>
      </c>
      <c r="FX25" s="940">
        <f>IF(AND(FX$13&gt;=$C25,FX$13&lt;=$E25),($H25-SUM($K25:FW25))/(($E25-FX$13+1)),0)</f>
        <v>0</v>
      </c>
      <c r="FY25" s="940">
        <f>IF(AND(FY$13&gt;=$C25,FY$13&lt;=$E25),($H25-SUM($K25:FX25))/(($E25-FY$13+1)),0)</f>
        <v>0</v>
      </c>
      <c r="FZ25" s="940">
        <f>IF(AND(FZ$13&gt;=$C25,FZ$13&lt;=$E25),($H25-SUM($K25:FY25))/(($E25-FZ$13+1)),0)</f>
        <v>0</v>
      </c>
      <c r="GA25" s="940">
        <f>IF(AND(GA$13&gt;=$C25,GA$13&lt;=$E25),($H25-SUM($K25:FZ25))/(($E25-GA$13+1)),0)</f>
        <v>0</v>
      </c>
      <c r="GB25" s="940">
        <f>IF(AND(GB$13&gt;=$C25,GB$13&lt;=$E25),($H25-SUM($K25:GA25))/(($E25-GB$13+1)),0)</f>
        <v>0</v>
      </c>
      <c r="GC25" s="940">
        <f>IF(AND(GC$13&gt;=$C25,GC$13&lt;=$E25),($H25-SUM($K25:GB25))/(($E25-GC$13+1)),0)</f>
        <v>0</v>
      </c>
      <c r="GD25" s="940">
        <f>IF(AND(GD$13&gt;=$C25,GD$13&lt;=$E25),($H25-SUM($K25:GC25))/(($E25-GD$13+1)),0)</f>
        <v>0</v>
      </c>
      <c r="GE25" s="940">
        <f>IF(AND(GE$13&gt;=$C25,GE$13&lt;=$E25),($H25-SUM($K25:GD25))/(($E25-GE$13+1)),0)</f>
        <v>0</v>
      </c>
      <c r="GF25" s="940">
        <f>IF(AND(GF$13&gt;=$C25,GF$13&lt;=$E25),($H25-SUM($K25:GE25))/(($E25-GF$13+1)),0)</f>
        <v>0</v>
      </c>
      <c r="GG25" s="940">
        <f>IF(AND(GG$13&gt;=$C25,GG$13&lt;=$E25),($H25-SUM($K25:GF25))/(($E25-GG$13+1)),0)</f>
        <v>0</v>
      </c>
      <c r="GH25" s="940">
        <f>IF(AND(GH$13&gt;=$C25,GH$13&lt;=$E25),($H25-SUM($K25:GG25))/(($E25-GH$13+1)),0)</f>
        <v>0</v>
      </c>
      <c r="GI25" s="940">
        <f>IF(AND(GI$13&gt;=$C25,GI$13&lt;=$E25),($H25-SUM($K25:GH25))/(($E25-GI$13+1)),0)</f>
        <v>0</v>
      </c>
      <c r="GJ25" s="940">
        <f>IF(AND(GJ$13&gt;=$C25,GJ$13&lt;=$E25),($H25-SUM($K25:GI25))/(($E25-GJ$13+1)),0)</f>
        <v>0</v>
      </c>
      <c r="GK25" s="940">
        <f>IF(AND(GK$13&gt;=$C25,GK$13&lt;=$E25),($H25-SUM($K25:GJ25))/(($E25-GK$13+1)),0)</f>
        <v>0</v>
      </c>
      <c r="GL25" s="940">
        <f>IF(AND(GL$13&gt;=$C25,GL$13&lt;=$E25),($H25-SUM($K25:GK25))/(($E25-GL$13+1)),0)</f>
        <v>0</v>
      </c>
      <c r="GM25" s="940">
        <f>IF(AND(GM$13&gt;=$C25,GM$13&lt;=$E25),($H25-SUM($K25:GL25))/(($E25-GM$13+1)),0)</f>
        <v>0</v>
      </c>
      <c r="GN25" s="940">
        <f>IF(AND(GN$13&gt;=$C25,GN$13&lt;=$E25),($H25-SUM($K25:GM25))/(($E25-GN$13+1)),0)</f>
        <v>0</v>
      </c>
      <c r="GO25" s="940">
        <f>IF(AND(GO$13&gt;=$C25,GO$13&lt;=$E25),($H25-SUM($K25:GN25))/(($E25-GO$13+1)),0)</f>
        <v>0</v>
      </c>
      <c r="GP25" s="940">
        <f>IF(AND(GP$13&gt;=$C25,GP$13&lt;=$E25),($H25-SUM($K25:GO25))/(($E25-GP$13+1)),0)</f>
        <v>0</v>
      </c>
      <c r="GQ25" s="940">
        <f>IF(AND(GQ$13&gt;=$C25,GQ$13&lt;=$E25),($H25-SUM($K25:GP25))/(($E25-GQ$13+1)),0)</f>
        <v>0</v>
      </c>
      <c r="GR25" s="940">
        <f>IF(AND(GR$13&gt;=$C25,GR$13&lt;=$E25),($H25-SUM($K25:GQ25))/(($E25-GR$13+1)),0)</f>
        <v>0</v>
      </c>
      <c r="GS25" s="940">
        <f>IF(AND(GS$13&gt;=$C25,GS$13&lt;=$E25),($H25-SUM($K25:GR25))/(($E25-GS$13+1)),0)</f>
        <v>0</v>
      </c>
      <c r="GT25" s="940">
        <f>IF(AND(GT$13&gt;=$C25,GT$13&lt;=$E25),($H25-SUM($K25:GS25))/(($E25-GT$13+1)),0)</f>
        <v>0</v>
      </c>
      <c r="GU25" s="940"/>
      <c r="GV25" s="940"/>
      <c r="GW25" s="940"/>
      <c r="GX25" s="940"/>
      <c r="GY25" s="940"/>
      <c r="GZ25" s="940"/>
      <c r="HA25" s="940"/>
      <c r="HB25" s="940"/>
      <c r="HC25" s="940"/>
      <c r="HD25" s="940"/>
      <c r="HE25" s="940"/>
      <c r="HF25" s="1" t="s">
        <v>212</v>
      </c>
      <c r="HG25" s="139">
        <f>HG23+1</f>
        <v>2</v>
      </c>
      <c r="HH25" s="33"/>
      <c r="HI25" s="34"/>
      <c r="HJ25" s="34"/>
      <c r="HK25" s="34"/>
      <c r="HL25" s="123"/>
      <c r="HM25" s="34"/>
      <c r="HN25" s="124"/>
      <c r="HO25" s="34"/>
      <c r="HP25" s="34"/>
      <c r="HQ25" s="34"/>
      <c r="HR25" s="34"/>
      <c r="HS25" s="34"/>
      <c r="HT25" s="34"/>
      <c r="HU25" s="34"/>
      <c r="HV25" s="34"/>
      <c r="HW25"/>
    </row>
    <row r="26" spans="1:231" s="33" customFormat="1" ht="15">
      <c r="A26" s="441" t="s">
        <v>719</v>
      </c>
      <c r="B26" s="33" t="str">
        <f>+Assumptions!B17</f>
        <v>CapEx</v>
      </c>
      <c r="C26" s="1582"/>
      <c r="E26" s="1582"/>
      <c r="F26" s="1583"/>
      <c r="G26" s="1583">
        <f>SUM(G22:G25)</f>
        <v>490</v>
      </c>
      <c r="H26" s="1583">
        <f>SUM(H22:H25)</f>
        <v>2314.3237600000002</v>
      </c>
      <c r="I26" s="134">
        <f>SUMIF($K$13:$GT$13,"&lt;="&amp;Assumptions!$L$17,'Monthly Cash Flow'!K26:GT26)</f>
        <v>2314.3237600000002</v>
      </c>
      <c r="J26" s="34"/>
      <c r="K26" s="1584">
        <f>SUBTOTAL(9,K22:K25)</f>
        <v>0</v>
      </c>
      <c r="L26" s="1585">
        <f t="shared" ref="L26:BV26" si="531">SUBTOTAL(9,L22:L25)</f>
        <v>0</v>
      </c>
      <c r="M26" s="32">
        <f t="shared" si="531"/>
        <v>0</v>
      </c>
      <c r="N26" s="32">
        <f t="shared" si="531"/>
        <v>0</v>
      </c>
      <c r="O26" s="32">
        <f t="shared" si="531"/>
        <v>0</v>
      </c>
      <c r="P26" s="32">
        <f t="shared" si="531"/>
        <v>0</v>
      </c>
      <c r="Q26" s="32">
        <f t="shared" si="531"/>
        <v>0</v>
      </c>
      <c r="R26" s="32">
        <f t="shared" si="531"/>
        <v>0</v>
      </c>
      <c r="S26" s="32">
        <f t="shared" si="531"/>
        <v>0</v>
      </c>
      <c r="T26" s="32">
        <f t="shared" si="531"/>
        <v>0</v>
      </c>
      <c r="U26" s="32">
        <f t="shared" si="531"/>
        <v>36.088500000000003</v>
      </c>
      <c r="V26" s="32">
        <f t="shared" si="531"/>
        <v>0</v>
      </c>
      <c r="W26" s="32">
        <f t="shared" si="531"/>
        <v>47.94</v>
      </c>
      <c r="X26" s="32">
        <f t="shared" si="531"/>
        <v>0</v>
      </c>
      <c r="Y26" s="32">
        <f t="shared" si="531"/>
        <v>0</v>
      </c>
      <c r="Z26" s="32">
        <f t="shared" si="531"/>
        <v>232.85550000000001</v>
      </c>
      <c r="AA26" s="32">
        <f t="shared" si="531"/>
        <v>0</v>
      </c>
      <c r="AB26" s="32">
        <f t="shared" si="531"/>
        <v>361.59280999999999</v>
      </c>
      <c r="AC26" s="32">
        <f t="shared" si="531"/>
        <v>0</v>
      </c>
      <c r="AD26" s="32">
        <f t="shared" si="531"/>
        <v>0</v>
      </c>
      <c r="AE26" s="32">
        <f t="shared" si="531"/>
        <v>403.95069999999998</v>
      </c>
      <c r="AF26" s="32">
        <f t="shared" si="531"/>
        <v>67.997609999999995</v>
      </c>
      <c r="AG26" s="32">
        <f t="shared" si="531"/>
        <v>145.09163999999998</v>
      </c>
      <c r="AH26" s="32">
        <f t="shared" si="531"/>
        <v>0</v>
      </c>
      <c r="AI26" s="32">
        <f t="shared" si="531"/>
        <v>0</v>
      </c>
      <c r="AJ26" s="32">
        <f t="shared" si="531"/>
        <v>0</v>
      </c>
      <c r="AK26" s="32">
        <f t="shared" si="531"/>
        <v>0</v>
      </c>
      <c r="AL26" s="32">
        <f t="shared" si="531"/>
        <v>1.98</v>
      </c>
      <c r="AM26" s="32">
        <f t="shared" si="531"/>
        <v>0</v>
      </c>
      <c r="AN26" s="32">
        <f t="shared" si="531"/>
        <v>16.797999999999998</v>
      </c>
      <c r="AO26" s="32">
        <f t="shared" si="531"/>
        <v>0</v>
      </c>
      <c r="AP26" s="32">
        <f t="shared" si="531"/>
        <v>0</v>
      </c>
      <c r="AQ26" s="32">
        <f t="shared" si="531"/>
        <v>3.8730000000000002</v>
      </c>
      <c r="AR26" s="32">
        <f t="shared" si="531"/>
        <v>0</v>
      </c>
      <c r="AS26" s="32">
        <f t="shared" si="531"/>
        <v>0</v>
      </c>
      <c r="AT26" s="32">
        <f t="shared" si="531"/>
        <v>0</v>
      </c>
      <c r="AU26" s="32">
        <f t="shared" si="531"/>
        <v>0</v>
      </c>
      <c r="AV26" s="32">
        <f t="shared" si="531"/>
        <v>0</v>
      </c>
      <c r="AW26" s="32">
        <f t="shared" si="531"/>
        <v>0</v>
      </c>
      <c r="AX26" s="32">
        <f t="shared" si="531"/>
        <v>0</v>
      </c>
      <c r="AY26" s="32">
        <f t="shared" si="531"/>
        <v>15.5</v>
      </c>
      <c r="AZ26" s="32">
        <f t="shared" si="531"/>
        <v>0</v>
      </c>
      <c r="BA26" s="32">
        <f t="shared" si="531"/>
        <v>0</v>
      </c>
      <c r="BB26" s="32">
        <f t="shared" si="531"/>
        <v>0</v>
      </c>
      <c r="BC26" s="32">
        <f t="shared" si="531"/>
        <v>142.10000000000002</v>
      </c>
      <c r="BD26" s="32">
        <f t="shared" si="531"/>
        <v>23.257999999999999</v>
      </c>
      <c r="BE26" s="32">
        <f t="shared" si="531"/>
        <v>0</v>
      </c>
      <c r="BF26" s="32">
        <f t="shared" si="531"/>
        <v>0</v>
      </c>
      <c r="BG26" s="32">
        <f t="shared" si="531"/>
        <v>0</v>
      </c>
      <c r="BH26" s="32">
        <f t="shared" si="531"/>
        <v>0</v>
      </c>
      <c r="BI26" s="32">
        <f t="shared" si="531"/>
        <v>0</v>
      </c>
      <c r="BJ26" s="32">
        <f t="shared" si="531"/>
        <v>0</v>
      </c>
      <c r="BK26" s="32">
        <f t="shared" si="531"/>
        <v>0</v>
      </c>
      <c r="BL26" s="32">
        <f t="shared" ref="BL26" si="532">SUBTOTAL(9,BL22:BL25)</f>
        <v>0</v>
      </c>
      <c r="BM26" s="32">
        <f t="shared" si="531"/>
        <v>0</v>
      </c>
      <c r="BN26" s="32">
        <f t="shared" si="531"/>
        <v>0</v>
      </c>
      <c r="BO26" s="32">
        <f t="shared" si="531"/>
        <v>0</v>
      </c>
      <c r="BP26" s="32">
        <f t="shared" si="531"/>
        <v>0</v>
      </c>
      <c r="BQ26" s="32">
        <f t="shared" si="531"/>
        <v>0</v>
      </c>
      <c r="BR26" s="32">
        <f t="shared" si="531"/>
        <v>65.924000000000007</v>
      </c>
      <c r="BS26" s="32">
        <f t="shared" si="531"/>
        <v>0</v>
      </c>
      <c r="BT26" s="32">
        <f t="shared" si="531"/>
        <v>0</v>
      </c>
      <c r="BU26" s="32">
        <f t="shared" si="531"/>
        <v>0</v>
      </c>
      <c r="BV26" s="32">
        <f t="shared" si="531"/>
        <v>0</v>
      </c>
      <c r="BW26" s="32">
        <f>SUBTOTAL(9,BW23:BW25)</f>
        <v>0</v>
      </c>
      <c r="BX26" s="32">
        <f>SUBTOTAL(9,BX23:BX25)</f>
        <v>0</v>
      </c>
      <c r="BY26" s="32">
        <f t="shared" ref="BY26:EI26" si="533">SUBTOTAL(9,BY22:BY25)</f>
        <v>84.08</v>
      </c>
      <c r="BZ26" s="32">
        <f t="shared" si="533"/>
        <v>0</v>
      </c>
      <c r="CA26" s="32">
        <f t="shared" si="533"/>
        <v>0</v>
      </c>
      <c r="CB26" s="32">
        <f t="shared" si="533"/>
        <v>0</v>
      </c>
      <c r="CC26" s="32">
        <f t="shared" si="533"/>
        <v>0</v>
      </c>
      <c r="CD26" s="32">
        <f t="shared" si="533"/>
        <v>175.29399999999998</v>
      </c>
      <c r="CE26" s="32">
        <f t="shared" si="533"/>
        <v>0</v>
      </c>
      <c r="CF26" s="32">
        <f t="shared" si="533"/>
        <v>0</v>
      </c>
      <c r="CG26" s="32">
        <f t="shared" si="533"/>
        <v>0</v>
      </c>
      <c r="CH26" s="32">
        <f t="shared" si="533"/>
        <v>0</v>
      </c>
      <c r="CI26" s="32">
        <f t="shared" si="533"/>
        <v>0</v>
      </c>
      <c r="CJ26" s="32">
        <f t="shared" si="533"/>
        <v>0</v>
      </c>
      <c r="CK26" s="32">
        <f t="shared" si="533"/>
        <v>0</v>
      </c>
      <c r="CL26" s="32">
        <f t="shared" si="533"/>
        <v>0</v>
      </c>
      <c r="CM26" s="32">
        <f t="shared" si="533"/>
        <v>62.063492063492063</v>
      </c>
      <c r="CN26" s="32">
        <f t="shared" si="533"/>
        <v>62.063492063492063</v>
      </c>
      <c r="CO26" s="32">
        <f t="shared" si="533"/>
        <v>62.06349206349207</v>
      </c>
      <c r="CP26" s="32">
        <f t="shared" si="533"/>
        <v>62.063492063492063</v>
      </c>
      <c r="CQ26" s="32">
        <f t="shared" si="533"/>
        <v>62.063492063492063</v>
      </c>
      <c r="CR26" s="32">
        <f t="shared" si="533"/>
        <v>62.06349206349207</v>
      </c>
      <c r="CS26" s="32">
        <f t="shared" si="533"/>
        <v>62.063492063492063</v>
      </c>
      <c r="CT26" s="32">
        <f t="shared" si="533"/>
        <v>27.777777777777786</v>
      </c>
      <c r="CU26" s="32">
        <f t="shared" si="533"/>
        <v>27.777777777777771</v>
      </c>
      <c r="CV26" s="32">
        <f t="shared" si="533"/>
        <v>0</v>
      </c>
      <c r="CW26" s="32">
        <f t="shared" si="533"/>
        <v>0</v>
      </c>
      <c r="CX26" s="32">
        <f t="shared" si="533"/>
        <v>0</v>
      </c>
      <c r="CY26" s="32">
        <f t="shared" si="533"/>
        <v>0</v>
      </c>
      <c r="CZ26" s="32">
        <f t="shared" si="533"/>
        <v>0</v>
      </c>
      <c r="DA26" s="32">
        <f t="shared" si="533"/>
        <v>0</v>
      </c>
      <c r="DB26" s="32">
        <f t="shared" si="533"/>
        <v>0</v>
      </c>
      <c r="DC26" s="32">
        <f t="shared" si="533"/>
        <v>0</v>
      </c>
      <c r="DD26" s="32">
        <f t="shared" si="533"/>
        <v>0</v>
      </c>
      <c r="DE26" s="32">
        <f t="shared" si="533"/>
        <v>0</v>
      </c>
      <c r="DF26" s="32">
        <f t="shared" si="533"/>
        <v>0</v>
      </c>
      <c r="DG26" s="32">
        <f t="shared" si="533"/>
        <v>0</v>
      </c>
      <c r="DH26" s="32">
        <f t="shared" si="533"/>
        <v>0</v>
      </c>
      <c r="DI26" s="32">
        <f t="shared" si="533"/>
        <v>0</v>
      </c>
      <c r="DJ26" s="32">
        <f t="shared" si="533"/>
        <v>0</v>
      </c>
      <c r="DK26" s="32">
        <f t="shared" si="533"/>
        <v>0</v>
      </c>
      <c r="DL26" s="32">
        <f t="shared" si="533"/>
        <v>0</v>
      </c>
      <c r="DM26" s="32">
        <f t="shared" si="533"/>
        <v>0</v>
      </c>
      <c r="DN26" s="32">
        <f t="shared" si="533"/>
        <v>0</v>
      </c>
      <c r="DO26" s="32">
        <f t="shared" si="533"/>
        <v>0</v>
      </c>
      <c r="DP26" s="32">
        <f t="shared" si="533"/>
        <v>0</v>
      </c>
      <c r="DQ26" s="32">
        <f t="shared" si="533"/>
        <v>0</v>
      </c>
      <c r="DR26" s="32">
        <f t="shared" si="533"/>
        <v>0</v>
      </c>
      <c r="DS26" s="32">
        <f t="shared" si="533"/>
        <v>0</v>
      </c>
      <c r="DT26" s="32">
        <f t="shared" si="533"/>
        <v>0</v>
      </c>
      <c r="DU26" s="32">
        <f t="shared" si="533"/>
        <v>0</v>
      </c>
      <c r="DV26" s="32">
        <f t="shared" si="533"/>
        <v>0</v>
      </c>
      <c r="DW26" s="32">
        <f t="shared" si="533"/>
        <v>0</v>
      </c>
      <c r="DX26" s="32">
        <f t="shared" si="533"/>
        <v>0</v>
      </c>
      <c r="DY26" s="32">
        <f t="shared" si="533"/>
        <v>0</v>
      </c>
      <c r="DZ26" s="32">
        <f t="shared" si="533"/>
        <v>0</v>
      </c>
      <c r="EA26" s="32">
        <f t="shared" si="533"/>
        <v>0</v>
      </c>
      <c r="EB26" s="32">
        <f t="shared" si="533"/>
        <v>0</v>
      </c>
      <c r="EC26" s="32">
        <f t="shared" si="533"/>
        <v>0</v>
      </c>
      <c r="ED26" s="32">
        <f t="shared" si="533"/>
        <v>0</v>
      </c>
      <c r="EE26" s="32">
        <f t="shared" si="533"/>
        <v>0</v>
      </c>
      <c r="EF26" s="32">
        <f t="shared" si="533"/>
        <v>0</v>
      </c>
      <c r="EG26" s="32">
        <f t="shared" si="533"/>
        <v>0</v>
      </c>
      <c r="EH26" s="32">
        <f t="shared" si="533"/>
        <v>0</v>
      </c>
      <c r="EI26" s="32">
        <f t="shared" si="533"/>
        <v>0</v>
      </c>
      <c r="EJ26" s="32">
        <f t="shared" ref="EJ26:EL26" si="534">SUBTOTAL(9,EJ22:EJ25)</f>
        <v>0</v>
      </c>
      <c r="EK26" s="32">
        <f t="shared" si="534"/>
        <v>0</v>
      </c>
      <c r="EL26" s="32">
        <f t="shared" si="534"/>
        <v>0</v>
      </c>
      <c r="EM26" s="32">
        <f t="shared" ref="EM26:FD26" si="535">SUBTOTAL(9,EM22:EM25)</f>
        <v>0</v>
      </c>
      <c r="EN26" s="32">
        <f t="shared" si="535"/>
        <v>0</v>
      </c>
      <c r="EO26" s="32">
        <f t="shared" si="535"/>
        <v>0</v>
      </c>
      <c r="EP26" s="32">
        <f t="shared" si="535"/>
        <v>0</v>
      </c>
      <c r="EQ26" s="32">
        <f t="shared" si="535"/>
        <v>0</v>
      </c>
      <c r="ER26" s="32">
        <f t="shared" si="535"/>
        <v>0</v>
      </c>
      <c r="ES26" s="32">
        <f t="shared" si="535"/>
        <v>0</v>
      </c>
      <c r="ET26" s="32">
        <f t="shared" si="535"/>
        <v>0</v>
      </c>
      <c r="EU26" s="32">
        <f t="shared" si="535"/>
        <v>0</v>
      </c>
      <c r="EV26" s="32">
        <f t="shared" si="535"/>
        <v>0</v>
      </c>
      <c r="EW26" s="32">
        <f t="shared" si="535"/>
        <v>0</v>
      </c>
      <c r="EX26" s="32">
        <f t="shared" si="535"/>
        <v>0</v>
      </c>
      <c r="EY26" s="32">
        <f t="shared" si="535"/>
        <v>0</v>
      </c>
      <c r="EZ26" s="32">
        <f t="shared" si="535"/>
        <v>0</v>
      </c>
      <c r="FA26" s="32">
        <f t="shared" si="535"/>
        <v>0</v>
      </c>
      <c r="FB26" s="32">
        <f t="shared" si="535"/>
        <v>0</v>
      </c>
      <c r="FC26" s="32">
        <f t="shared" si="535"/>
        <v>0</v>
      </c>
      <c r="FD26" s="32">
        <f t="shared" si="535"/>
        <v>0</v>
      </c>
      <c r="FE26" s="32">
        <f t="shared" ref="FE26:FI26" si="536">SUBTOTAL(9,FE22:FE25)</f>
        <v>0</v>
      </c>
      <c r="FF26" s="32">
        <f t="shared" si="536"/>
        <v>0</v>
      </c>
      <c r="FG26" s="32">
        <f t="shared" si="536"/>
        <v>0</v>
      </c>
      <c r="FH26" s="32">
        <f t="shared" si="536"/>
        <v>0</v>
      </c>
      <c r="FI26" s="32">
        <f t="shared" si="536"/>
        <v>0</v>
      </c>
      <c r="FJ26" s="32">
        <f t="shared" ref="FJ26:GC26" si="537">SUBTOTAL(9,FJ22:FJ25)</f>
        <v>0</v>
      </c>
      <c r="FK26" s="32">
        <f t="shared" si="537"/>
        <v>0</v>
      </c>
      <c r="FL26" s="32">
        <f t="shared" si="537"/>
        <v>0</v>
      </c>
      <c r="FM26" s="32">
        <f t="shared" si="537"/>
        <v>0</v>
      </c>
      <c r="FN26" s="32">
        <f t="shared" si="537"/>
        <v>0</v>
      </c>
      <c r="FO26" s="32">
        <f t="shared" si="537"/>
        <v>0</v>
      </c>
      <c r="FP26" s="32">
        <f t="shared" si="537"/>
        <v>0</v>
      </c>
      <c r="FQ26" s="32">
        <f t="shared" si="537"/>
        <v>0</v>
      </c>
      <c r="FR26" s="32">
        <f t="shared" si="537"/>
        <v>0</v>
      </c>
      <c r="FS26" s="32">
        <f t="shared" si="537"/>
        <v>0</v>
      </c>
      <c r="FT26" s="32">
        <f t="shared" si="537"/>
        <v>0</v>
      </c>
      <c r="FU26" s="32">
        <f t="shared" si="537"/>
        <v>0</v>
      </c>
      <c r="FV26" s="32">
        <f t="shared" si="537"/>
        <v>0</v>
      </c>
      <c r="FW26" s="32">
        <f t="shared" si="537"/>
        <v>0</v>
      </c>
      <c r="FX26" s="32">
        <f t="shared" si="537"/>
        <v>0</v>
      </c>
      <c r="FY26" s="32">
        <f t="shared" si="537"/>
        <v>0</v>
      </c>
      <c r="FZ26" s="32">
        <f t="shared" si="537"/>
        <v>0</v>
      </c>
      <c r="GA26" s="32">
        <f t="shared" si="537"/>
        <v>0</v>
      </c>
      <c r="GB26" s="32">
        <f t="shared" si="537"/>
        <v>0</v>
      </c>
      <c r="GC26" s="32">
        <f t="shared" si="537"/>
        <v>0</v>
      </c>
      <c r="GD26" s="32">
        <f t="shared" ref="GD26:GT26" si="538">SUBTOTAL(9,GD22:GD25)</f>
        <v>0</v>
      </c>
      <c r="GE26" s="32">
        <f t="shared" si="538"/>
        <v>0</v>
      </c>
      <c r="GF26" s="32">
        <f t="shared" si="538"/>
        <v>0</v>
      </c>
      <c r="GG26" s="32">
        <f t="shared" si="538"/>
        <v>0</v>
      </c>
      <c r="GH26" s="32">
        <f t="shared" si="538"/>
        <v>0</v>
      </c>
      <c r="GI26" s="32">
        <f t="shared" si="538"/>
        <v>0</v>
      </c>
      <c r="GJ26" s="32">
        <f t="shared" si="538"/>
        <v>0</v>
      </c>
      <c r="GK26" s="32">
        <f t="shared" si="538"/>
        <v>0</v>
      </c>
      <c r="GL26" s="32">
        <f t="shared" si="538"/>
        <v>0</v>
      </c>
      <c r="GM26" s="32">
        <f t="shared" si="538"/>
        <v>0</v>
      </c>
      <c r="GN26" s="32">
        <f t="shared" si="538"/>
        <v>0</v>
      </c>
      <c r="GO26" s="32">
        <f t="shared" si="538"/>
        <v>0</v>
      </c>
      <c r="GP26" s="32">
        <f t="shared" si="538"/>
        <v>0</v>
      </c>
      <c r="GQ26" s="32">
        <f t="shared" si="538"/>
        <v>0</v>
      </c>
      <c r="GR26" s="32">
        <f t="shared" si="538"/>
        <v>0</v>
      </c>
      <c r="GS26" s="32">
        <f t="shared" si="538"/>
        <v>0</v>
      </c>
      <c r="GT26" s="32">
        <f t="shared" si="538"/>
        <v>0</v>
      </c>
      <c r="GU26" s="34"/>
      <c r="GV26" s="34"/>
      <c r="GW26" s="34"/>
      <c r="GX26" s="34"/>
      <c r="GY26" s="34"/>
      <c r="GZ26" s="34"/>
      <c r="HA26" s="34"/>
      <c r="HB26" s="34"/>
      <c r="HC26" s="34"/>
      <c r="HD26" s="34"/>
      <c r="HE26" s="34"/>
      <c r="HF26" s="33" t="s">
        <v>212</v>
      </c>
      <c r="HG26" s="1506">
        <f t="shared" si="519"/>
        <v>3</v>
      </c>
      <c r="HH26" s="33" t="str">
        <f>+B26</f>
        <v>CapEx</v>
      </c>
      <c r="HI26" s="34"/>
      <c r="HJ26" s="34"/>
      <c r="HK26" s="34"/>
      <c r="HL26" s="123">
        <f>SUM(HN26:HV26)</f>
        <v>2314.3237600000002</v>
      </c>
      <c r="HM26" s="34"/>
      <c r="HN26" s="124">
        <f t="shared" ref="HN26:HV26" si="539">SUMIF($K$14:$GT$14,HN$14,$K26:$GT26)</f>
        <v>0</v>
      </c>
      <c r="HO26" s="34">
        <f t="shared" si="539"/>
        <v>84.028500000000008</v>
      </c>
      <c r="HP26" s="34">
        <f t="shared" si="539"/>
        <v>1211.4882600000001</v>
      </c>
      <c r="HQ26" s="34">
        <f t="shared" si="539"/>
        <v>22.651</v>
      </c>
      <c r="HR26" s="34">
        <f t="shared" si="539"/>
        <v>180.85800000000003</v>
      </c>
      <c r="HS26" s="34">
        <f t="shared" si="539"/>
        <v>65.924000000000007</v>
      </c>
      <c r="HT26" s="34">
        <f t="shared" si="539"/>
        <v>259.37399999999997</v>
      </c>
      <c r="HU26" s="34">
        <f t="shared" si="539"/>
        <v>310.3174603174603</v>
      </c>
      <c r="HV26" s="34">
        <f t="shared" si="539"/>
        <v>179.6825396825397</v>
      </c>
      <c r="HW26" s="1127"/>
    </row>
    <row r="27" spans="1:231" ht="15">
      <c r="B27" s="1531" t="s">
        <v>418</v>
      </c>
      <c r="C27" s="1532">
        <f>Assumptions!J13</f>
        <v>68</v>
      </c>
      <c r="D27" s="1409"/>
      <c r="E27" s="1532">
        <v>71</v>
      </c>
      <c r="F27" s="1212">
        <f>SUMIF($K$13:$GT$13,"&lt;="&amp;$C$13,'Monthly Cash Flow'!K27:GT27)</f>
        <v>798.30899924999994</v>
      </c>
      <c r="G27" s="1505"/>
      <c r="H27" s="1212">
        <f>SUM(F27:G27)</f>
        <v>798.30899924999994</v>
      </c>
      <c r="I27" s="132">
        <f>SUMIF($K$13:$GT$13,"&lt;="&amp;Assumptions!$L$17,'Monthly Cash Flow'!K27:GT27)</f>
        <v>798.30899924999994</v>
      </c>
      <c r="J27" s="34"/>
      <c r="K27" s="939">
        <v>0</v>
      </c>
      <c r="L27" s="1003">
        <v>0</v>
      </c>
      <c r="M27" s="1003">
        <v>0</v>
      </c>
      <c r="N27" s="1003">
        <v>0</v>
      </c>
      <c r="O27" s="1003">
        <v>0</v>
      </c>
      <c r="P27" s="1003">
        <v>0</v>
      </c>
      <c r="Q27" s="1003">
        <v>0</v>
      </c>
      <c r="R27" s="1003">
        <v>0</v>
      </c>
      <c r="S27" s="1003">
        <v>0</v>
      </c>
      <c r="T27" s="1003">
        <v>0</v>
      </c>
      <c r="U27" s="1003">
        <v>138.72732999999999</v>
      </c>
      <c r="V27" s="1003">
        <v>0</v>
      </c>
      <c r="W27" s="1003">
        <v>0</v>
      </c>
      <c r="X27" s="1003">
        <v>0</v>
      </c>
      <c r="Y27" s="1003">
        <v>0</v>
      </c>
      <c r="Z27" s="1003">
        <v>226.13480999999999</v>
      </c>
      <c r="AA27" s="1003">
        <v>0</v>
      </c>
      <c r="AB27" s="1003">
        <v>87.185980000000001</v>
      </c>
      <c r="AC27" s="1003">
        <v>0</v>
      </c>
      <c r="AD27" s="1003">
        <v>0</v>
      </c>
      <c r="AE27" s="1003">
        <v>83.588340000000002</v>
      </c>
      <c r="AF27" s="1003">
        <v>79.022689249999985</v>
      </c>
      <c r="AG27" s="1003">
        <v>49.540320000000001</v>
      </c>
      <c r="AH27" s="1003">
        <v>0</v>
      </c>
      <c r="AI27" s="1003">
        <v>4.3650000000000002</v>
      </c>
      <c r="AJ27" s="1003">
        <v>0</v>
      </c>
      <c r="AK27" s="1003">
        <v>0</v>
      </c>
      <c r="AL27" s="1003">
        <v>5.4489999999999998</v>
      </c>
      <c r="AM27" s="1003">
        <v>0</v>
      </c>
      <c r="AN27" s="1003">
        <v>11.146650000000001</v>
      </c>
      <c r="AO27" s="1003">
        <v>0</v>
      </c>
      <c r="AP27" s="1003">
        <v>0</v>
      </c>
      <c r="AQ27" s="1003">
        <v>5.6520000000000001</v>
      </c>
      <c r="AR27" s="1003">
        <v>0</v>
      </c>
      <c r="AS27" s="1003">
        <v>0</v>
      </c>
      <c r="AT27" s="1003">
        <v>0</v>
      </c>
      <c r="AU27" s="1003">
        <v>0</v>
      </c>
      <c r="AV27" s="1003">
        <v>0</v>
      </c>
      <c r="AW27" s="1003">
        <v>0</v>
      </c>
      <c r="AX27" s="1003">
        <v>0</v>
      </c>
      <c r="AY27" s="1003">
        <v>0</v>
      </c>
      <c r="AZ27" s="1003">
        <v>0</v>
      </c>
      <c r="BA27" s="1003">
        <v>0</v>
      </c>
      <c r="BB27" s="1003">
        <v>0</v>
      </c>
      <c r="BC27" s="1003">
        <v>0</v>
      </c>
      <c r="BD27" s="1003">
        <v>0</v>
      </c>
      <c r="BE27" s="1003">
        <v>0</v>
      </c>
      <c r="BF27" s="1003">
        <v>0</v>
      </c>
      <c r="BG27" s="1003">
        <v>0</v>
      </c>
      <c r="BH27" s="1003">
        <v>0</v>
      </c>
      <c r="BI27" s="1003">
        <v>0</v>
      </c>
      <c r="BJ27" s="1003">
        <v>0</v>
      </c>
      <c r="BK27" s="1003">
        <v>0</v>
      </c>
      <c r="BL27" s="1003">
        <v>0</v>
      </c>
      <c r="BM27" s="1003">
        <v>0</v>
      </c>
      <c r="BN27" s="1003">
        <v>0</v>
      </c>
      <c r="BO27" s="1003">
        <v>0</v>
      </c>
      <c r="BP27" s="1003">
        <v>0</v>
      </c>
      <c r="BQ27" s="1003">
        <v>0</v>
      </c>
      <c r="BR27" s="1003">
        <v>0</v>
      </c>
      <c r="BS27" s="1003">
        <v>0</v>
      </c>
      <c r="BT27" s="1003">
        <v>0</v>
      </c>
      <c r="BU27" s="1003">
        <v>0</v>
      </c>
      <c r="BV27" s="1003">
        <v>0</v>
      </c>
      <c r="BW27" s="1003">
        <v>0</v>
      </c>
      <c r="BX27" s="1003">
        <f>5506.62/1000</f>
        <v>5.5066199999999998</v>
      </c>
      <c r="BY27" s="1529">
        <f>3253.83/1000</f>
        <v>3.2538299999999998</v>
      </c>
      <c r="BZ27" s="1529">
        <v>0</v>
      </c>
      <c r="CA27" s="1529">
        <f>2500/1000</f>
        <v>2.5</v>
      </c>
      <c r="CB27" s="1529">
        <f>5000/1000</f>
        <v>5</v>
      </c>
      <c r="CC27" s="1529">
        <v>0</v>
      </c>
      <c r="CD27" s="1529">
        <f>2000/1000</f>
        <v>2</v>
      </c>
      <c r="CE27" s="940">
        <v>0</v>
      </c>
      <c r="CF27" s="1529">
        <f>(52949.96/1000)+(14000/1000)</f>
        <v>66.949960000000004</v>
      </c>
      <c r="CG27" s="940">
        <f>IF(AND(CG$13&gt;=$C27,CG$13&lt;=$E27),($H27-SUM($K27:CF27))/(($E27-CG$13+1)),0)</f>
        <v>0</v>
      </c>
      <c r="CH27" s="1529">
        <f>22286.47/1000</f>
        <v>22.286470000000001</v>
      </c>
      <c r="CI27" s="940">
        <f>IF(AND(CI$13&gt;=$C27,CI$13&lt;=$E27),($H27-SUM($K27:CH27))/(($E27-CI$13+1)),0)</f>
        <v>0</v>
      </c>
      <c r="CJ27" s="940">
        <f>IF(AND(CJ$13&gt;=$C27,CJ$13&lt;=$E27),($H27-SUM($K27:CI27))/(($E27-CJ$13+1)),0)</f>
        <v>0</v>
      </c>
      <c r="CK27" s="940">
        <f>IF(AND(CK$13&gt;=$C27,CK$13&lt;=$E27),($H27-SUM($K27:CJ27))/(($E27-CK$13+1)),0)</f>
        <v>0</v>
      </c>
      <c r="CL27" s="940">
        <f>IF(AND(CL$13&gt;=$C27,CL$13&lt;=$E27),($H27-SUM($K27:CK27))/(($E27-CL$13+1)),0)</f>
        <v>0</v>
      </c>
      <c r="CM27" s="940">
        <f>IF(AND(CM$13&gt;=$C27,CM$13&lt;=$E27),($H27-SUM($K27:CL27))/(($E27-CM$13+1)),0)</f>
        <v>0</v>
      </c>
      <c r="CN27" s="940">
        <f>IF(AND(CN$13&gt;=$C27,CN$13&lt;=$E27),($H27-SUM($K27:CM27))/(($E27-CN$13+1)),0)</f>
        <v>0</v>
      </c>
      <c r="CO27" s="940">
        <f>IF(AND(CO$13&gt;=$C27,CO$13&lt;=$E27),($H27-SUM($K27:CN27))/(($E27-CO$13+1)),0)</f>
        <v>0</v>
      </c>
      <c r="CP27" s="940">
        <f>IF(AND(CP$13&gt;=$C27,CP$13&lt;=$E27),($H27-SUM($K27:CO27))/(($E27-CP$13+1)),0)</f>
        <v>0</v>
      </c>
      <c r="CQ27" s="940">
        <f>IF(AND(CQ$13&gt;=$C27,CQ$13&lt;=$E27),($H27-SUM($K27:CP27))/(($E27-CQ$13+1)),0)</f>
        <v>0</v>
      </c>
      <c r="CR27" s="940">
        <f>IF(AND(CR$13&gt;=$C27,CR$13&lt;=$E27),($H27-SUM($K27:CQ27))/(($E27-CR$13+1)),0)</f>
        <v>0</v>
      </c>
      <c r="CS27" s="940">
        <f>IF(AND(CS$13&gt;=$C27,CS$13&lt;=$E27),($H27-SUM($K27:CR27))/(($E27-CS$13+1)),0)</f>
        <v>0</v>
      </c>
      <c r="CT27" s="940">
        <f>IF(AND(CT$13&gt;=$C27,CT$13&lt;=$E27),($H27-SUM($K27:CS27))/(($E27-CT$13+1)),0)</f>
        <v>0</v>
      </c>
      <c r="CU27" s="940">
        <f>IF(AND(CU$13&gt;=$C27,CU$13&lt;=$E27),($H27-SUM($K27:CT27))/(($E27-CU$13+1)),0)</f>
        <v>0</v>
      </c>
      <c r="CV27" s="940">
        <f>IF(AND(CV$13&gt;=$C27,CV$13&lt;=$E27),($H27-SUM($K27:CU27))/(($E27-CV$13+1)),0)</f>
        <v>0</v>
      </c>
      <c r="CW27" s="940">
        <f>IF(AND(CW$13&gt;=$C27,CW$13&lt;=$E27),($H27-SUM($K27:CV27))/(($E27-CW$13+1)),0)</f>
        <v>0</v>
      </c>
      <c r="CX27" s="940">
        <f>IF(AND(CX$13&gt;=$C27,CX$13&lt;=$E27),($H27-SUM($K27:CW27))/(($E27-CX$13+1)),0)</f>
        <v>0</v>
      </c>
      <c r="CY27" s="940">
        <f>IF(AND(CY$13&gt;=$C27,CY$13&lt;=$E27),($H27-SUM($K27:CX27))/(($E27-CY$13+1)),0)</f>
        <v>0</v>
      </c>
      <c r="CZ27" s="940">
        <f>IF(AND(CZ$13&gt;=$C27,CZ$13&lt;=$E27),($H27-SUM($K27:CY27))/(($E27-CZ$13+1)),0)</f>
        <v>0</v>
      </c>
      <c r="DA27" s="940">
        <f>IF(AND(DA$13&gt;=$C27,DA$13&lt;=$E27),($H27-SUM($K27:CZ27))/(($E27-DA$13+1)),0)</f>
        <v>0</v>
      </c>
      <c r="DB27" s="940">
        <f>IF(AND(DB$13&gt;=$C27,DB$13&lt;=$E27),($H27-SUM($K27:DA27))/(($E27-DB$13+1)),0)</f>
        <v>0</v>
      </c>
      <c r="DC27" s="940">
        <f>IF(AND(DC$13&gt;=$C27,DC$13&lt;=$E27),($H27-SUM($K27:DB27))/(($E27-DC$13+1)),0)</f>
        <v>0</v>
      </c>
      <c r="DD27" s="940">
        <f>IF(AND(DD$13&gt;=$C27,DD$13&lt;=$E27),($H27-SUM($K27:DC27))/(($E27-DD$13+1)),0)</f>
        <v>0</v>
      </c>
      <c r="DE27" s="940">
        <f>IF(AND(DE$13&gt;=$C27,DE$13&lt;=$E27),($H27-SUM($K27:DD27))/(($E27-DE$13+1)),0)</f>
        <v>0</v>
      </c>
      <c r="DF27" s="940">
        <f>IF(AND(DF$13&gt;=$C27,DF$13&lt;=$E27),($H27-SUM($K27:DE27))/(($E27-DF$13+1)),0)</f>
        <v>0</v>
      </c>
      <c r="DG27" s="940">
        <f>IF(AND(DG$13&gt;=$C27,DG$13&lt;=$E27),($H27-SUM($K27:DF27))/(($E27-DG$13+1)),0)</f>
        <v>0</v>
      </c>
      <c r="DH27" s="940">
        <f>IF(AND(DH$13&gt;=$C27,DH$13&lt;=$E27),($H27-SUM($K27:DG27))/(($E27-DH$13+1)),0)</f>
        <v>0</v>
      </c>
      <c r="DI27" s="940">
        <f>IF(AND(DI$13&gt;=$C27,DI$13&lt;=$E27),($H27-SUM($K27:DH27))/(($E27-DI$13+1)),0)</f>
        <v>0</v>
      </c>
      <c r="DJ27" s="940">
        <f>IF(AND(DJ$13&gt;=$C27,DJ$13&lt;=$E27),($H27-SUM($K27:DI27))/(($E27-DJ$13+1)),0)</f>
        <v>0</v>
      </c>
      <c r="DK27" s="940">
        <f>IF(AND(DK$13&gt;=$C27,DK$13&lt;=$E27),($H27-SUM($K27:DJ27))/(($E27-DK$13+1)),0)</f>
        <v>0</v>
      </c>
      <c r="DL27" s="940">
        <f>IF(AND(DL$13&gt;=$C27,DL$13&lt;=$E27),($H27-SUM($K27:DK27))/(($E27-DL$13+1)),0)</f>
        <v>0</v>
      </c>
      <c r="DM27" s="940">
        <f>IF(AND(DM$13&gt;=$C27,DM$13&lt;=$E27),($H27-SUM($K27:DL27))/(($E27-DM$13+1)),0)</f>
        <v>0</v>
      </c>
      <c r="DN27" s="940">
        <f>IF(AND(DN$13&gt;=$C27,DN$13&lt;=$E27),($H27-SUM($K27:DM27))/(($E27-DN$13+1)),0)</f>
        <v>0</v>
      </c>
      <c r="DO27" s="940">
        <f>IF(AND(DO$13&gt;=$C27,DO$13&lt;=$E27),($H27-SUM($K27:DN27))/(($E27-DO$13+1)),0)</f>
        <v>0</v>
      </c>
      <c r="DP27" s="940">
        <f>IF(AND(DP$13&gt;=$C27,DP$13&lt;=$E27),($H27-SUM($K27:DO27))/(($E27-DP$13+1)),0)</f>
        <v>0</v>
      </c>
      <c r="DQ27" s="940">
        <f>IF(AND(DQ$13&gt;=$C27,DQ$13&lt;=$E27),($H27-SUM($K27:DP27))/(($E27-DQ$13+1)),0)</f>
        <v>0</v>
      </c>
      <c r="DR27" s="940">
        <f>IF(AND(DR$13&gt;=$C27,DR$13&lt;=$E27),($H27-SUM($K27:DQ27))/(($E27-DR$13+1)),0)</f>
        <v>0</v>
      </c>
      <c r="DS27" s="940">
        <f>IF(AND(DS$13&gt;=$C27,DS$13&lt;=$E27),($H27-SUM($K27:DR27))/(($E27-DS$13+1)),0)</f>
        <v>0</v>
      </c>
      <c r="DT27" s="940">
        <f>IF(AND(DT$13&gt;=$C27,DT$13&lt;=$E27),($H27-SUM($K27:DS27))/(($E27-DT$13+1)),0)</f>
        <v>0</v>
      </c>
      <c r="DU27" s="940">
        <f>IF(AND(DU$13&gt;=$C27,DU$13&lt;=$E27),($H27-SUM($K27:DT27))/(($E27-DU$13+1)),0)</f>
        <v>0</v>
      </c>
      <c r="DV27" s="940">
        <f>IF(AND(DV$13&gt;=$C27,DV$13&lt;=$E27),($H27-SUM($K27:DU27))/(($E27-DV$13+1)),0)</f>
        <v>0</v>
      </c>
      <c r="DW27" s="940">
        <f>IF(AND(DW$13&gt;=$C27,DW$13&lt;=$E27),($H27-SUM($K27:DV27))/(($E27-DW$13+1)),0)</f>
        <v>0</v>
      </c>
      <c r="DX27" s="940">
        <f>IF(AND(DX$13&gt;=$C27,DX$13&lt;=$E27),($H27-SUM($K27:DW27))/(($E27-DX$13+1)),0)</f>
        <v>0</v>
      </c>
      <c r="DY27" s="940">
        <f>IF(AND(DY$13&gt;=$C27,DY$13&lt;=$E27),($H27-SUM($K27:DX27))/(($E27-DY$13+1)),0)</f>
        <v>0</v>
      </c>
      <c r="DZ27" s="940">
        <f>IF(AND(DZ$13&gt;=$C27,DZ$13&lt;=$E27),($H27-SUM($K27:DY27))/(($E27-DZ$13+1)),0)</f>
        <v>0</v>
      </c>
      <c r="EA27" s="940">
        <f>IF(AND(EA$13&gt;=$C27,EA$13&lt;=$E27),($H27-SUM($K27:DZ27))/(($E27-EA$13+1)),0)</f>
        <v>0</v>
      </c>
      <c r="EB27" s="940">
        <f>IF(AND(EB$13&gt;=$C27,EB$13&lt;=$E27),($H27-SUM($K27:EA27))/(($E27-EB$13+1)),0)</f>
        <v>0</v>
      </c>
      <c r="EC27" s="940">
        <f>IF(AND(EC$13&gt;=$C27,EC$13&lt;=$E27),($H27-SUM($K27:EB27))/(($E27-EC$13+1)),0)</f>
        <v>0</v>
      </c>
      <c r="ED27" s="940">
        <f>IF(AND(ED$13&gt;=$C27,ED$13&lt;=$E27),($H27-SUM($K27:EC27))/(($E27-ED$13+1)),0)</f>
        <v>0</v>
      </c>
      <c r="EE27" s="940">
        <f>IF(AND(EE$13&gt;=$C27,EE$13&lt;=$E27),($H27-SUM($K27:ED27))/(($E27-EE$13+1)),0)</f>
        <v>0</v>
      </c>
      <c r="EF27" s="940">
        <f>IF(AND(EF$13&gt;=$C27,EF$13&lt;=$E27),($H27-SUM($K27:EE27))/(($E27-EF$13+1)),0)</f>
        <v>0</v>
      </c>
      <c r="EG27" s="940">
        <f>IF(AND(EG$13&gt;=$C27,EG$13&lt;=$E27),($H27-SUM($K27:EF27))/(($E27-EG$13+1)),0)</f>
        <v>0</v>
      </c>
      <c r="EH27" s="940">
        <f>IF(AND(EH$13&gt;=$C27,EH$13&lt;=$E27),($H27-SUM($K27:EG27))/(($E27-EH$13+1)),0)</f>
        <v>0</v>
      </c>
      <c r="EI27" s="940">
        <f>IF(AND(EI$13&gt;=$C27,EI$13&lt;=$E27),($H27-SUM($K27:EH27))/(($E27-EI$13+1)),0)</f>
        <v>0</v>
      </c>
      <c r="EJ27" s="940">
        <f>IF(AND(EJ$13&gt;=$C27,EJ$13&lt;=$E27),($H27-SUM($K27:EI27))/(($E27-EJ$13+1)),0)</f>
        <v>0</v>
      </c>
      <c r="EK27" s="940">
        <f>IF(AND(EK$13&gt;=$C27,EK$13&lt;=$E27),($H27-SUM($K27:EJ27))/(($E27-EK$13+1)),0)</f>
        <v>0</v>
      </c>
      <c r="EL27" s="940">
        <f>IF(AND(EL$13&gt;=$C27,EL$13&lt;=$E27),($H27-SUM($K27:EK27))/(($E27-EL$13+1)),0)</f>
        <v>0</v>
      </c>
      <c r="EM27" s="940">
        <f>IF(AND(EM$13&gt;=$C27,EM$13&lt;=$E27),($H27-SUM($K27:EL27))/(($E27-EM$13+1)),0)</f>
        <v>0</v>
      </c>
      <c r="EN27" s="940">
        <f>IF(AND(EN$13&gt;=$C27,EN$13&lt;=$E27),($H27-SUM($K27:EM27))/(($E27-EN$13+1)),0)</f>
        <v>0</v>
      </c>
      <c r="EO27" s="940">
        <f>IF(AND(EO$13&gt;=$C27,EO$13&lt;=$E27),($H27-SUM($K27:EN27))/(($E27-EO$13+1)),0)</f>
        <v>0</v>
      </c>
      <c r="EP27" s="940">
        <f>IF(AND(EP$13&gt;=$C27,EP$13&lt;=$E27),($H27-SUM($K27:EO27))/(($E27-EP$13+1)),0)</f>
        <v>0</v>
      </c>
      <c r="EQ27" s="940">
        <f>IF(AND(EQ$13&gt;=$C27,EQ$13&lt;=$E27),($H27-SUM($K27:EP27))/(($E27-EQ$13+1)),0)</f>
        <v>0</v>
      </c>
      <c r="ER27" s="940">
        <f>IF(AND(ER$13&gt;=$C27,ER$13&lt;=$E27),($H27-SUM($K27:EQ27))/(($E27-ER$13+1)),0)</f>
        <v>0</v>
      </c>
      <c r="ES27" s="940">
        <f>IF(AND(ES$13&gt;=$C27,ES$13&lt;=$E27),($H27-SUM($K27:ER27))/(($E27-ES$13+1)),0)</f>
        <v>0</v>
      </c>
      <c r="ET27" s="940">
        <f>IF(AND(ET$13&gt;=$C27,ET$13&lt;=$E27),($H27-SUM($K27:ES27))/(($E27-ET$13+1)),0)</f>
        <v>0</v>
      </c>
      <c r="EU27" s="940">
        <f>IF(AND(EU$13&gt;=$C27,EU$13&lt;=$E27),($H27-SUM($K27:ET27))/(($E27-EU$13+1)),0)</f>
        <v>0</v>
      </c>
      <c r="EV27" s="940">
        <f>IF(AND(EV$13&gt;=$C27,EV$13&lt;=$E27),($H27-SUM($K27:EU27))/(($E27-EV$13+1)),0)</f>
        <v>0</v>
      </c>
      <c r="EW27" s="940">
        <f>IF(AND(EW$13&gt;=$C27,EW$13&lt;=$E27),($H27-SUM($K27:EV27))/(($E27-EW$13+1)),0)</f>
        <v>0</v>
      </c>
      <c r="EX27" s="940">
        <f>IF(AND(EX$13&gt;=$C27,EX$13&lt;=$E27),($H27-SUM($K27:EW27))/(($E27-EX$13+1)),0)</f>
        <v>0</v>
      </c>
      <c r="EY27" s="940">
        <f>IF(AND(EY$13&gt;=$C27,EY$13&lt;=$E27),($H27-SUM($K27:EX27))/(($E27-EY$13+1)),0)</f>
        <v>0</v>
      </c>
      <c r="EZ27" s="940">
        <f>IF(AND(EZ$13&gt;=$C27,EZ$13&lt;=$E27),($H27-SUM($K27:EY27))/(($E27-EZ$13+1)),0)</f>
        <v>0</v>
      </c>
      <c r="FA27" s="940">
        <f>IF(AND(FA$13&gt;=$C27,FA$13&lt;=$E27),($H27-SUM($K27:EZ27))/(($E27-FA$13+1)),0)</f>
        <v>0</v>
      </c>
      <c r="FB27" s="940">
        <f>IF(AND(FB$13&gt;=$C27,FB$13&lt;=$E27),($H27-SUM($K27:FA27))/(($E27-FB$13+1)),0)</f>
        <v>0</v>
      </c>
      <c r="FC27" s="940">
        <f>IF(AND(FC$13&gt;=$C27,FC$13&lt;=$E27),($H27-SUM($K27:FB27))/(($E27-FC$13+1)),0)</f>
        <v>0</v>
      </c>
      <c r="FD27" s="940">
        <f>IF(AND(FD$13&gt;=$C27,FD$13&lt;=$E27),($H27-SUM($K27:FC27))/(($E27-FD$13+1)),0)</f>
        <v>0</v>
      </c>
      <c r="FE27" s="940">
        <f>IF(AND(FE$13&gt;=$C27,FE$13&lt;=$E27),($H27-SUM($K27:FD27))/(($E27-FE$13+1)),0)</f>
        <v>0</v>
      </c>
      <c r="FF27" s="940">
        <f>IF(AND(FF$13&gt;=$C27,FF$13&lt;=$E27),($H27-SUM($K27:FE27))/(($E27-FF$13+1)),0)</f>
        <v>0</v>
      </c>
      <c r="FG27" s="940">
        <f>IF(AND(FG$13&gt;=$C27,FG$13&lt;=$E27),($H27-SUM($K27:FF27))/(($E27-FG$13+1)),0)</f>
        <v>0</v>
      </c>
      <c r="FH27" s="940">
        <f>IF(AND(FH$13&gt;=$C27,FH$13&lt;=$E27),($H27-SUM($K27:FG27))/(($E27-FH$13+1)),0)</f>
        <v>0</v>
      </c>
      <c r="FI27" s="940">
        <f>IF(AND(FI$13&gt;=$C27,FI$13&lt;=$E27),($H27-SUM($K27:FH27))/(($E27-FI$13+1)),0)</f>
        <v>0</v>
      </c>
      <c r="FJ27" s="940">
        <f>IF(AND(FJ$13&gt;=$C27,FJ$13&lt;=$E27),($H27-SUM($K27:FI27))/(($E27-FJ$13+1)),0)</f>
        <v>0</v>
      </c>
      <c r="FK27" s="940">
        <f>IF(AND(FK$13&gt;=$C27,FK$13&lt;=$E27),($H27-SUM($K27:FJ27))/(($E27-FK$13+1)),0)</f>
        <v>0</v>
      </c>
      <c r="FL27" s="940">
        <f>IF(AND(FL$13&gt;=$C27,FL$13&lt;=$E27),($H27-SUM($K27:FK27))/(($E27-FL$13+1)),0)</f>
        <v>0</v>
      </c>
      <c r="FM27" s="940">
        <f>IF(AND(FM$13&gt;=$C27,FM$13&lt;=$E27),($H27-SUM($K27:FL27))/(($E27-FM$13+1)),0)</f>
        <v>0</v>
      </c>
      <c r="FN27" s="940">
        <f>IF(AND(FN$13&gt;=$C27,FN$13&lt;=$E27),($H27-SUM($K27:FM27))/(($E27-FN$13+1)),0)</f>
        <v>0</v>
      </c>
      <c r="FO27" s="940">
        <f>IF(AND(FO$13&gt;=$C27,FO$13&lt;=$E27),($H27-SUM($K27:FN27))/(($E27-FO$13+1)),0)</f>
        <v>0</v>
      </c>
      <c r="FP27" s="940">
        <f>IF(AND(FP$13&gt;=$C27,FP$13&lt;=$E27),($H27-SUM($K27:FO27))/(($E27-FP$13+1)),0)</f>
        <v>0</v>
      </c>
      <c r="FQ27" s="940">
        <f>IF(AND(FQ$13&gt;=$C27,FQ$13&lt;=$E27),($H27-SUM($K27:FP27))/(($E27-FQ$13+1)),0)</f>
        <v>0</v>
      </c>
      <c r="FR27" s="940">
        <f>IF(AND(FR$13&gt;=$C27,FR$13&lt;=$E27),($H27-SUM($K27:FQ27))/(($E27-FR$13+1)),0)</f>
        <v>0</v>
      </c>
      <c r="FS27" s="940">
        <f>IF(AND(FS$13&gt;=$C27,FS$13&lt;=$E27),($H27-SUM($K27:FR27))/(($E27-FS$13+1)),0)</f>
        <v>0</v>
      </c>
      <c r="FT27" s="940">
        <f>IF(AND(FT$13&gt;=$C27,FT$13&lt;=$E27),($H27-SUM($K27:FS27))/(($E27-FT$13+1)),0)</f>
        <v>0</v>
      </c>
      <c r="FU27" s="940">
        <f>IF(AND(FU$13&gt;=$C27,FU$13&lt;=$E27),($H27-SUM($K27:FT27))/(($E27-FU$13+1)),0)</f>
        <v>0</v>
      </c>
      <c r="FV27" s="940">
        <f>IF(AND(FV$13&gt;=$C27,FV$13&lt;=$E27),($H27-SUM($K27:FU27))/(($E27-FV$13+1)),0)</f>
        <v>0</v>
      </c>
      <c r="FW27" s="940">
        <f>IF(AND(FW$13&gt;=$C27,FW$13&lt;=$E27),($H27-SUM($K27:FV27))/(($E27-FW$13+1)),0)</f>
        <v>0</v>
      </c>
      <c r="FX27" s="940">
        <f>IF(AND(FX$13&gt;=$C27,FX$13&lt;=$E27),($H27-SUM($K27:FW27))/(($E27-FX$13+1)),0)</f>
        <v>0</v>
      </c>
      <c r="FY27" s="940">
        <f>IF(AND(FY$13&gt;=$C27,FY$13&lt;=$E27),($H27-SUM($K27:FX27))/(($E27-FY$13+1)),0)</f>
        <v>0</v>
      </c>
      <c r="FZ27" s="940">
        <f>IF(AND(FZ$13&gt;=$C27,FZ$13&lt;=$E27),($H27-SUM($K27:FY27))/(($E27-FZ$13+1)),0)</f>
        <v>0</v>
      </c>
      <c r="GA27" s="940">
        <f>IF(AND(GA$13&gt;=$C27,GA$13&lt;=$E27),($H27-SUM($K27:FZ27))/(($E27-GA$13+1)),0)</f>
        <v>0</v>
      </c>
      <c r="GB27" s="940">
        <f>IF(AND(GB$13&gt;=$C27,GB$13&lt;=$E27),($H27-SUM($K27:GA27))/(($E27-GB$13+1)),0)</f>
        <v>0</v>
      </c>
      <c r="GC27" s="940">
        <f>IF(AND(GC$13&gt;=$C27,GC$13&lt;=$E27),($H27-SUM($K27:GB27))/(($E27-GC$13+1)),0)</f>
        <v>0</v>
      </c>
      <c r="GD27" s="940">
        <f>IF(AND(GD$13&gt;=$C27,GD$13&lt;=$E27),($H27-SUM($K27:GC27))/(($E27-GD$13+1)),0)</f>
        <v>0</v>
      </c>
      <c r="GE27" s="940">
        <f>IF(AND(GE$13&gt;=$C27,GE$13&lt;=$E27),($H27-SUM($K27:GD27))/(($E27-GE$13+1)),0)</f>
        <v>0</v>
      </c>
      <c r="GF27" s="940">
        <f>IF(AND(GF$13&gt;=$C27,GF$13&lt;=$E27),($H27-SUM($K27:GE27))/(($E27-GF$13+1)),0)</f>
        <v>0</v>
      </c>
      <c r="GG27" s="940">
        <f>IF(AND(GG$13&gt;=$C27,GG$13&lt;=$E27),($H27-SUM($K27:GF27))/(($E27-GG$13+1)),0)</f>
        <v>0</v>
      </c>
      <c r="GH27" s="940">
        <f>IF(AND(GH$13&gt;=$C27,GH$13&lt;=$E27),($H27-SUM($K27:GG27))/(($E27-GH$13+1)),0)</f>
        <v>0</v>
      </c>
      <c r="GI27" s="940">
        <f>IF(AND(GI$13&gt;=$C27,GI$13&lt;=$E27),($H27-SUM($K27:GH27))/(($E27-GI$13+1)),0)</f>
        <v>0</v>
      </c>
      <c r="GJ27" s="940">
        <f>IF(AND(GJ$13&gt;=$C27,GJ$13&lt;=$E27),($H27-SUM($K27:GI27))/(($E27-GJ$13+1)),0)</f>
        <v>0</v>
      </c>
      <c r="GK27" s="940">
        <f>IF(AND(GK$13&gt;=$C27,GK$13&lt;=$E27),($H27-SUM($K27:GJ27))/(($E27-GK$13+1)),0)</f>
        <v>0</v>
      </c>
      <c r="GL27" s="940">
        <f>IF(AND(GL$13&gt;=$C27,GL$13&lt;=$E27),($H27-SUM($K27:GK27))/(($E27-GL$13+1)),0)</f>
        <v>0</v>
      </c>
      <c r="GM27" s="940">
        <f>IF(AND(GM$13&gt;=$C27,GM$13&lt;=$E27),($H27-SUM($K27:GL27))/(($E27-GM$13+1)),0)</f>
        <v>0</v>
      </c>
      <c r="GN27" s="940">
        <f>IF(AND(GN$13&gt;=$C27,GN$13&lt;=$E27),($H27-SUM($K27:GM27))/(($E27-GN$13+1)),0)</f>
        <v>0</v>
      </c>
      <c r="GO27" s="940">
        <f>IF(AND(GO$13&gt;=$C27,GO$13&lt;=$E27),($H27-SUM($K27:GN27))/(($E27-GO$13+1)),0)</f>
        <v>0</v>
      </c>
      <c r="GP27" s="940">
        <f>IF(AND(GP$13&gt;=$C27,GP$13&lt;=$E27),($H27-SUM($K27:GO27))/(($E27-GP$13+1)),0)</f>
        <v>0</v>
      </c>
      <c r="GQ27" s="940">
        <f>IF(AND(GQ$13&gt;=$C27,GQ$13&lt;=$E27),($H27-SUM($K27:GP27))/(($E27-GQ$13+1)),0)</f>
        <v>0</v>
      </c>
      <c r="GR27" s="940">
        <f>IF(AND(GR$13&gt;=$C27,GR$13&lt;=$E27),($H27-SUM($K27:GQ27))/(($E27-GR$13+1)),0)</f>
        <v>0</v>
      </c>
      <c r="GS27" s="940">
        <f>IF(AND(GS$13&gt;=$C27,GS$13&lt;=$E27),($H27-SUM($K27:GR27))/(($E27-GS$13+1)),0)</f>
        <v>0</v>
      </c>
      <c r="GT27" s="940">
        <f>IF(AND(GT$13&gt;=$C27,GT$13&lt;=$E27),($H27-SUM($K27:GS27))/(($E27-GT$13+1)),0)</f>
        <v>0</v>
      </c>
      <c r="GU27" s="940"/>
      <c r="GV27" s="940"/>
      <c r="GW27" s="940"/>
      <c r="GX27" s="940"/>
      <c r="GY27" s="940"/>
      <c r="GZ27" s="940"/>
      <c r="HA27" s="940"/>
      <c r="HB27" s="940"/>
      <c r="HC27" s="940"/>
      <c r="HD27" s="940"/>
      <c r="HE27" s="940"/>
      <c r="HF27" s="1" t="s">
        <v>212</v>
      </c>
      <c r="HG27" s="139">
        <f>HG26+1</f>
        <v>4</v>
      </c>
      <c r="HH27" s="33"/>
      <c r="HI27" s="34"/>
      <c r="HJ27" s="34"/>
      <c r="HK27" s="34"/>
      <c r="HL27" s="123"/>
      <c r="HM27" s="34"/>
      <c r="HN27" s="131"/>
      <c r="HO27" s="18"/>
      <c r="HP27" s="18"/>
      <c r="HQ27" s="18"/>
      <c r="HR27" s="18"/>
      <c r="HS27" s="18"/>
      <c r="HT27" s="18"/>
      <c r="HU27" s="18"/>
      <c r="HV27" s="18"/>
      <c r="HW27"/>
    </row>
    <row r="28" spans="1:231" ht="15">
      <c r="B28" s="141" t="s">
        <v>2515</v>
      </c>
      <c r="C28" s="937">
        <v>80</v>
      </c>
      <c r="E28" s="937">
        <v>83</v>
      </c>
      <c r="F28" s="1212">
        <f>SUMIF($K$13:$GT$13,"&lt;="&amp;$C$13,'Monthly Cash Flow'!K28:GT28)</f>
        <v>0</v>
      </c>
      <c r="G28" s="1505">
        <f>Assumptions!L84</f>
        <v>25</v>
      </c>
      <c r="H28" s="1212">
        <f>G28</f>
        <v>25</v>
      </c>
      <c r="I28" s="123">
        <f>SUMIF($K$13:$GT$13,"&lt;="&amp;Assumptions!$L$17,'Monthly Cash Flow'!K28:GT28)</f>
        <v>25</v>
      </c>
      <c r="J28" s="34"/>
      <c r="K28" s="939">
        <v>0</v>
      </c>
      <c r="L28" s="1003">
        <v>0</v>
      </c>
      <c r="M28" s="1003">
        <v>0</v>
      </c>
      <c r="N28" s="1003">
        <v>0</v>
      </c>
      <c r="O28" s="1003">
        <v>0</v>
      </c>
      <c r="P28" s="1003">
        <v>0</v>
      </c>
      <c r="Q28" s="1003">
        <v>0</v>
      </c>
      <c r="R28" s="1003">
        <v>0</v>
      </c>
      <c r="S28" s="1003">
        <v>0</v>
      </c>
      <c r="T28" s="1003">
        <v>0</v>
      </c>
      <c r="U28" s="1003">
        <v>0</v>
      </c>
      <c r="V28" s="1003">
        <v>0</v>
      </c>
      <c r="W28" s="1003">
        <v>0</v>
      </c>
      <c r="X28" s="1003">
        <v>0</v>
      </c>
      <c r="Y28" s="1003">
        <v>0</v>
      </c>
      <c r="Z28" s="1003">
        <v>0</v>
      </c>
      <c r="AA28" s="1003">
        <v>0</v>
      </c>
      <c r="AB28" s="1003">
        <v>0</v>
      </c>
      <c r="AC28" s="1003">
        <v>0</v>
      </c>
      <c r="AD28" s="1003">
        <v>0</v>
      </c>
      <c r="AE28" s="1003">
        <v>0</v>
      </c>
      <c r="AF28" s="1003">
        <v>0</v>
      </c>
      <c r="AG28" s="1003">
        <v>0</v>
      </c>
      <c r="AH28" s="1003">
        <v>0</v>
      </c>
      <c r="AI28" s="1003">
        <v>0</v>
      </c>
      <c r="AJ28" s="1003">
        <v>0</v>
      </c>
      <c r="AK28" s="1003">
        <v>0</v>
      </c>
      <c r="AL28" s="1003">
        <v>0</v>
      </c>
      <c r="AM28" s="1003">
        <v>0</v>
      </c>
      <c r="AN28" s="1003">
        <v>0</v>
      </c>
      <c r="AO28" s="1003">
        <v>0</v>
      </c>
      <c r="AP28" s="1003">
        <v>0</v>
      </c>
      <c r="AQ28" s="1003">
        <v>0</v>
      </c>
      <c r="AR28" s="1003">
        <v>0</v>
      </c>
      <c r="AS28" s="1003">
        <v>0</v>
      </c>
      <c r="AT28" s="1003">
        <v>0</v>
      </c>
      <c r="AU28" s="1003">
        <v>0</v>
      </c>
      <c r="AV28" s="1003">
        <v>0</v>
      </c>
      <c r="AW28" s="1003">
        <v>0</v>
      </c>
      <c r="AX28" s="1003">
        <v>0</v>
      </c>
      <c r="AY28" s="1003">
        <v>0</v>
      </c>
      <c r="AZ28" s="1003">
        <v>0</v>
      </c>
      <c r="BA28" s="1003">
        <v>0</v>
      </c>
      <c r="BB28" s="1003">
        <v>0</v>
      </c>
      <c r="BC28" s="1003">
        <v>0</v>
      </c>
      <c r="BD28" s="1003">
        <v>0</v>
      </c>
      <c r="BE28" s="1003">
        <v>0</v>
      </c>
      <c r="BF28" s="1003">
        <v>0</v>
      </c>
      <c r="BG28" s="1003">
        <v>0</v>
      </c>
      <c r="BH28" s="1003">
        <v>0</v>
      </c>
      <c r="BI28" s="1003">
        <v>0</v>
      </c>
      <c r="BJ28" s="1003">
        <v>0</v>
      </c>
      <c r="BK28" s="1003">
        <v>0</v>
      </c>
      <c r="BL28" s="940">
        <f>IF(AND(BL$13&gt;=$C28,BL$13&lt;=$E28),($H28-SUM($K28:BK28))/(($E28-BL$13+1)),0)</f>
        <v>0</v>
      </c>
      <c r="BM28" s="940">
        <f>IF(AND(BM$13&gt;=$C28,BM$13&lt;=$E28),($H28-SUM($K28:BL28))/(($E28-BM$13+1)),0)</f>
        <v>0</v>
      </c>
      <c r="BN28" s="940">
        <f>IF(AND(BN$13&gt;=$C28,BN$13&lt;=$E28),($H28-SUM($K28:BM28))/(($E28-BN$13+1)),0)</f>
        <v>0</v>
      </c>
      <c r="BO28" s="940">
        <f>IF(AND(BO$13&gt;=$C28,BO$13&lt;=$E28),($H28-SUM($K28:BN28))/(($E28-BO$13+1)),0)</f>
        <v>0</v>
      </c>
      <c r="BP28" s="940">
        <f>IF(AND(BP$13&gt;=$C28,BP$13&lt;=$E28),($H28-SUM($K28:BO28))/(($E28-BP$13+1)),0)</f>
        <v>0</v>
      </c>
      <c r="BQ28" s="940">
        <f>IF(AND(BQ$13&gt;=$C28,BQ$13&lt;=$E28),($H28-SUM($K28:BP28))/(($E28-BQ$13+1)),0)</f>
        <v>0</v>
      </c>
      <c r="BR28" s="940">
        <f>IF(AND(BR$13&gt;=$C28,BR$13&lt;=$E28),($H28-SUM($K28:BQ28))/(($E28-BR$13+1)),0)</f>
        <v>0</v>
      </c>
      <c r="BS28" s="940">
        <f>IF(AND(BS$13&gt;=$C28,BS$13&lt;=$E28),($H28-SUM($K28:BR28))/(($E28-BS$13+1)),0)</f>
        <v>0</v>
      </c>
      <c r="BT28" s="940">
        <f>IF(AND(BT$13&gt;=$C28,BT$13&lt;=$E28),($H28-SUM($K28:BS28))/(($E28-BT$13+1)),0)</f>
        <v>0</v>
      </c>
      <c r="BU28" s="940">
        <f>IF(AND(BU$13&gt;=$C28,BU$13&lt;=$E28),($H28-SUM($K28:BT28))/(($E28-BU$13+1)),0)</f>
        <v>0</v>
      </c>
      <c r="BV28" s="940">
        <f>IF(AND(BV$13&gt;=$C28,BV$13&lt;=$E28),($H28-SUM($K28:BU28))/(($E28-BV$13+1)),0)</f>
        <v>0</v>
      </c>
      <c r="BW28" s="940">
        <f>IF(AND(BW$13&gt;=$C28,BW$13&lt;=$E28),($H28-SUM($K28:BV28))/(($E28-BW$13+1)),0)</f>
        <v>0</v>
      </c>
      <c r="BX28" s="940">
        <f>IF(AND(BX$13&gt;=$C28,BX$13&lt;=$E28),($H28-SUM($K28:BW28))/(($E28-BX$13+1)),0)</f>
        <v>0</v>
      </c>
      <c r="BY28" s="940">
        <f>IF(AND(BY$13&gt;=$C28,BY$13&lt;=$E28),($H28-SUM($K28:BX28))/(($E28-BY$13+1)),0)</f>
        <v>0</v>
      </c>
      <c r="BZ28" s="940">
        <f>IF(AND(BZ$13&gt;=$C28,BZ$13&lt;=$E28),($H28-SUM($K28:BY28))/(($E28-BZ$13+1)),0)</f>
        <v>0</v>
      </c>
      <c r="CA28" s="940">
        <f>IF(AND(CA$13&gt;=$C28,CA$13&lt;=$E28),($H28-SUM($K28:BZ28))/(($E28-CA$13+1)),0)</f>
        <v>0</v>
      </c>
      <c r="CB28" s="940">
        <f>IF(AND(CB$13&gt;=$C28,CB$13&lt;=$E28),($H28-SUM($K28:CA28))/(($E28-CB$13+1)),0)</f>
        <v>0</v>
      </c>
      <c r="CC28" s="940">
        <f>IF(AND(CC$13&gt;=$C28,CC$13&lt;=$E28),($H28-SUM($K28:CB28))/(($E28-CC$13+1)),0)</f>
        <v>0</v>
      </c>
      <c r="CD28" s="940">
        <f>IF(AND(CD$13&gt;=$C28,CD$13&lt;=$E28),($H28-SUM($K28:CC28))/(($E28-CD$13+1)),0)</f>
        <v>0</v>
      </c>
      <c r="CE28" s="940">
        <f>IF(AND(CE$13&gt;=$C28,CE$13&lt;=$E28),($H28-SUM($K28:CD28))/(($E28-CE$13+1)),0)</f>
        <v>0</v>
      </c>
      <c r="CF28" s="940">
        <f>IF(AND(CF$13&gt;=$C28,CF$13&lt;=$E28),($H28-SUM($K28:CE28))/(($E28-CF$13+1)),0)</f>
        <v>0</v>
      </c>
      <c r="CG28" s="940">
        <f>IF(AND(CG$13&gt;=$C28,CG$13&lt;=$E28),($H28-SUM($K28:CF28))/(($E28-CG$13+1)),0)</f>
        <v>0</v>
      </c>
      <c r="CH28" s="940">
        <f>IF(AND(CH$13&gt;=$C28,CH$13&lt;=$E28),($H28-SUM($K28:CG28))/(($E28-CH$13+1)),0)</f>
        <v>0</v>
      </c>
      <c r="CI28" s="940">
        <f>IF(AND(CI$13&gt;=$C28,CI$13&lt;=$E28),($H28-SUM($K28:CH28))/(($E28-CI$13+1)),0)</f>
        <v>0</v>
      </c>
      <c r="CJ28" s="940">
        <f>IF(AND(CJ$13&gt;=$C28,CJ$13&lt;=$E28),($H28-SUM($K28:CI28))/(($E28-CJ$13+1)),0)</f>
        <v>0</v>
      </c>
      <c r="CK28" s="940">
        <f>IF(AND(CK$13&gt;=$C28,CK$13&lt;=$E28),($H28-SUM($K28:CJ28))/(($E28-CK$13+1)),0)</f>
        <v>0</v>
      </c>
      <c r="CL28" s="940">
        <f>IF(AND(CL$13&gt;=$C28,CL$13&lt;=$E28),($H28-SUM($K28:CK28))/(($E28-CL$13+1)),0)</f>
        <v>0</v>
      </c>
      <c r="CM28" s="940">
        <f>IF(AND(CM$13&gt;=$C28,CM$13&lt;=$E28),($H28-SUM($K28:CL28))/(($E28-CM$13+1)),0)</f>
        <v>6.25</v>
      </c>
      <c r="CN28" s="940">
        <f>IF(AND(CN$13&gt;=$C28,CN$13&lt;=$E28),($H28-SUM($K28:CM28))/(($E28-CN$13+1)),0)</f>
        <v>6.25</v>
      </c>
      <c r="CO28" s="940">
        <f>IF(AND(CO$13&gt;=$C28,CO$13&lt;=$E28),($H28-SUM($K28:CN28))/(($E28-CO$13+1)),0)</f>
        <v>6.25</v>
      </c>
      <c r="CP28" s="940">
        <f>IF(AND(CP$13&gt;=$C28,CP$13&lt;=$E28),($H28-SUM($K28:CO28))/(($E28-CP$13+1)),0)</f>
        <v>6.25</v>
      </c>
      <c r="CQ28" s="940">
        <f>IF(AND(CQ$13&gt;=$C28,CQ$13&lt;=$E28),($H28-SUM($K28:CP28))/(($E28-CQ$13+1)),0)</f>
        <v>0</v>
      </c>
      <c r="CR28" s="940">
        <f>IF(AND(CR$13&gt;=$C28,CR$13&lt;=$E28),($H28-SUM($K28:CQ28))/(($E28-CR$13+1)),0)</f>
        <v>0</v>
      </c>
      <c r="CS28" s="940">
        <f>IF(AND(CS$13&gt;=$C28,CS$13&lt;=$E28),($H28-SUM($K28:CR28))/(($E28-CS$13+1)),0)</f>
        <v>0</v>
      </c>
      <c r="CT28" s="940">
        <f>IF(AND(CT$13&gt;=$C28,CT$13&lt;=$E28),($H28-SUM($K28:CS28))/(($E28-CT$13+1)),0)</f>
        <v>0</v>
      </c>
      <c r="CU28" s="940">
        <f>IF(AND(CU$13&gt;=$C28,CU$13&lt;=$E28),($H28-SUM($K28:CT28))/(($E28-CU$13+1)),0)</f>
        <v>0</v>
      </c>
      <c r="CV28" s="940">
        <f>IF(AND(CV$13&gt;=$C28,CV$13&lt;=$E28),($H28-SUM($K28:CU28))/(($E28-CV$13+1)),0)</f>
        <v>0</v>
      </c>
      <c r="CW28" s="940">
        <f>IF(AND(CW$13&gt;=$C28,CW$13&lt;=$E28),($H28-SUM($K28:CV28))/(($E28-CW$13+1)),0)</f>
        <v>0</v>
      </c>
      <c r="CX28" s="940">
        <f>IF(AND(CX$13&gt;=$C28,CX$13&lt;=$E28),($H28-SUM($K28:CW28))/(($E28-CX$13+1)),0)</f>
        <v>0</v>
      </c>
      <c r="CY28" s="940">
        <f>IF(AND(CY$13&gt;=$C28,CY$13&lt;=$E28),($H28-SUM($K28:CX28))/(($E28-CY$13+1)),0)</f>
        <v>0</v>
      </c>
      <c r="CZ28" s="940">
        <f>IF(AND(CZ$13&gt;=$C28,CZ$13&lt;=$E28),($H28-SUM($K28:CY28))/(($E28-CZ$13+1)),0)</f>
        <v>0</v>
      </c>
      <c r="DA28" s="940">
        <f>IF(AND(DA$13&gt;=$C28,DA$13&lt;=$E28),($H28-SUM($K28:CZ28))/(($E28-DA$13+1)),0)</f>
        <v>0</v>
      </c>
      <c r="DB28" s="940">
        <f>IF(AND(DB$13&gt;=$C28,DB$13&lt;=$E28),($H28-SUM($K28:DA28))/(($E28-DB$13+1)),0)</f>
        <v>0</v>
      </c>
      <c r="DC28" s="940">
        <f>IF(AND(DC$13&gt;=$C28,DC$13&lt;=$E28),($H28-SUM($K28:DB28))/(($E28-DC$13+1)),0)</f>
        <v>0</v>
      </c>
      <c r="DD28" s="940">
        <f>IF(AND(DD$13&gt;=$C28,DD$13&lt;=$E28),($H28-SUM($K28:DC28))/(($E28-DD$13+1)),0)</f>
        <v>0</v>
      </c>
      <c r="DE28" s="940">
        <f>IF(AND(DE$13&gt;=$C28,DE$13&lt;=$E28),($H28-SUM($K28:DD28))/(($E28-DE$13+1)),0)</f>
        <v>0</v>
      </c>
      <c r="DF28" s="940">
        <f>IF(AND(DF$13&gt;=$C28,DF$13&lt;=$E28),($H28-SUM($K28:DE28))/(($E28-DF$13+1)),0)</f>
        <v>0</v>
      </c>
      <c r="DG28" s="940">
        <f>IF(AND(DG$13&gt;=$C28,DG$13&lt;=$E28),($H28-SUM($K28:DF28))/(($E28-DG$13+1)),0)</f>
        <v>0</v>
      </c>
      <c r="DH28" s="940">
        <f>IF(AND(DH$13&gt;=$C28,DH$13&lt;=$E28),($H28-SUM($K28:DG28))/(($E28-DH$13+1)),0)</f>
        <v>0</v>
      </c>
      <c r="DI28" s="940">
        <f>IF(AND(DI$13&gt;=$C28,DI$13&lt;=$E28),($H28-SUM($K28:DH28))/(($E28-DI$13+1)),0)</f>
        <v>0</v>
      </c>
      <c r="DJ28" s="940">
        <f>IF(AND(DJ$13&gt;=$C28,DJ$13&lt;=$E28),($H28-SUM($K28:DI28))/(($E28-DJ$13+1)),0)</f>
        <v>0</v>
      </c>
      <c r="DK28" s="940">
        <f>IF(AND(DK$13&gt;=$C28,DK$13&lt;=$E28),($H28-SUM($K28:DJ28))/(($E28-DK$13+1)),0)</f>
        <v>0</v>
      </c>
      <c r="DL28" s="940">
        <f>IF(AND(DL$13&gt;=$C28,DL$13&lt;=$E28),($H28-SUM($K28:DK28))/(($E28-DL$13+1)),0)</f>
        <v>0</v>
      </c>
      <c r="DM28" s="940">
        <f>IF(AND(DM$13&gt;=$C28,DM$13&lt;=$E28),($H28-SUM($K28:DL28))/(($E28-DM$13+1)),0)</f>
        <v>0</v>
      </c>
      <c r="DN28" s="940">
        <f>IF(AND(DN$13&gt;=$C28,DN$13&lt;=$E28),($H28-SUM($K28:DM28))/(($E28-DN$13+1)),0)</f>
        <v>0</v>
      </c>
      <c r="DO28" s="940">
        <f>IF(AND(DO$13&gt;=$C28,DO$13&lt;=$E28),($H28-SUM($K28:DN28))/(($E28-DO$13+1)),0)</f>
        <v>0</v>
      </c>
      <c r="DP28" s="940">
        <f>IF(AND(DP$13&gt;=$C28,DP$13&lt;=$E28),($H28-SUM($K28:DO28))/(($E28-DP$13+1)),0)</f>
        <v>0</v>
      </c>
      <c r="DQ28" s="940">
        <f>IF(AND(DQ$13&gt;=$C28,DQ$13&lt;=$E28),($H28-SUM($K28:DP28))/(($E28-DQ$13+1)),0)</f>
        <v>0</v>
      </c>
      <c r="DR28" s="940">
        <f>IF(AND(DR$13&gt;=$C28,DR$13&lt;=$E28),($H28-SUM($K28:DQ28))/(($E28-DR$13+1)),0)</f>
        <v>0</v>
      </c>
      <c r="DS28" s="940">
        <f>IF(AND(DS$13&gt;=$C28,DS$13&lt;=$E28),($H28-SUM($K28:DR28))/(($E28-DS$13+1)),0)</f>
        <v>0</v>
      </c>
      <c r="DT28" s="940">
        <f>IF(AND(DT$13&gt;=$C28,DT$13&lt;=$E28),($H28-SUM($K28:DS28))/(($E28-DT$13+1)),0)</f>
        <v>0</v>
      </c>
      <c r="DU28" s="940">
        <f>IF(AND(DU$13&gt;=$C28,DU$13&lt;=$E28),($H28-SUM($K28:DT28))/(($E28-DU$13+1)),0)</f>
        <v>0</v>
      </c>
      <c r="DV28" s="940">
        <f>IF(AND(DV$13&gt;=$C28,DV$13&lt;=$E28),($H28-SUM($K28:DU28))/(($E28-DV$13+1)),0)</f>
        <v>0</v>
      </c>
      <c r="DW28" s="940">
        <f>IF(AND(DW$13&gt;=$C28,DW$13&lt;=$E28),($H28-SUM($K28:DV28))/(($E28-DW$13+1)),0)</f>
        <v>0</v>
      </c>
      <c r="DX28" s="940">
        <f>IF(AND(DX$13&gt;=$C28,DX$13&lt;=$E28),($H28-SUM($K28:DW28))/(($E28-DX$13+1)),0)</f>
        <v>0</v>
      </c>
      <c r="DY28" s="940">
        <f>IF(AND(DY$13&gt;=$C28,DY$13&lt;=$E28),($H28-SUM($K28:DX28))/(($E28-DY$13+1)),0)</f>
        <v>0</v>
      </c>
      <c r="DZ28" s="940">
        <f>IF(AND(DZ$13&gt;=$C28,DZ$13&lt;=$E28),($H28-SUM($K28:DY28))/(($E28-DZ$13+1)),0)</f>
        <v>0</v>
      </c>
      <c r="EA28" s="940">
        <f>IF(AND(EA$13&gt;=$C28,EA$13&lt;=$E28),($H28-SUM($K28:DZ28))/(($E28-EA$13+1)),0)</f>
        <v>0</v>
      </c>
      <c r="EB28" s="940">
        <f>IF(AND(EB$13&gt;=$C28,EB$13&lt;=$E28),($H28-SUM($K28:EA28))/(($E28-EB$13+1)),0)</f>
        <v>0</v>
      </c>
      <c r="EC28" s="940">
        <f>IF(AND(EC$13&gt;=$C28,EC$13&lt;=$E28),($H28-SUM($K28:EB28))/(($E28-EC$13+1)),0)</f>
        <v>0</v>
      </c>
      <c r="ED28" s="940">
        <f>IF(AND(ED$13&gt;=$C28,ED$13&lt;=$E28),($H28-SUM($K28:EC28))/(($E28-ED$13+1)),0)</f>
        <v>0</v>
      </c>
      <c r="EE28" s="940">
        <f>IF(AND(EE$13&gt;=$C28,EE$13&lt;=$E28),($H28-SUM($K28:ED28))/(($E28-EE$13+1)),0)</f>
        <v>0</v>
      </c>
      <c r="EF28" s="940">
        <f>IF(AND(EF$13&gt;=$C28,EF$13&lt;=$E28),($H28-SUM($K28:EE28))/(($E28-EF$13+1)),0)</f>
        <v>0</v>
      </c>
      <c r="EG28" s="940">
        <f>IF(AND(EG$13&gt;=$C28,EG$13&lt;=$E28),($H28-SUM($K28:EF28))/(($E28-EG$13+1)),0)</f>
        <v>0</v>
      </c>
      <c r="EH28" s="940">
        <f>IF(AND(EH$13&gt;=$C28,EH$13&lt;=$E28),($H28-SUM($K28:EG28))/(($E28-EH$13+1)),0)</f>
        <v>0</v>
      </c>
      <c r="EI28" s="940">
        <f>IF(AND(EI$13&gt;=$C28,EI$13&lt;=$E28),($H28-SUM($K28:EH28))/(($E28-EI$13+1)),0)</f>
        <v>0</v>
      </c>
      <c r="EJ28" s="940">
        <f>IF(AND(EJ$13&gt;=$C28,EJ$13&lt;=$E28),($H28-SUM($K28:EI28))/(($E28-EJ$13+1)),0)</f>
        <v>0</v>
      </c>
      <c r="EK28" s="940">
        <f>IF(AND(EK$13&gt;=$C28,EK$13&lt;=$E28),($H28-SUM($K28:EJ28))/(($E28-EK$13+1)),0)</f>
        <v>0</v>
      </c>
      <c r="EL28" s="940">
        <f>IF(AND(EL$13&gt;=$C28,EL$13&lt;=$E28),($H28-SUM($K28:EK28))/(($E28-EL$13+1)),0)</f>
        <v>0</v>
      </c>
      <c r="EM28" s="940">
        <f>IF(AND(EM$13&gt;=$C28,EM$13&lt;=$E28),($H28-SUM($K28:EL28))/(($E28-EM$13+1)),0)</f>
        <v>0</v>
      </c>
      <c r="EN28" s="940">
        <f>IF(AND(EN$13&gt;=$C28,EN$13&lt;=$E28),($H28-SUM($K28:EM28))/(($E28-EN$13+1)),0)</f>
        <v>0</v>
      </c>
      <c r="EO28" s="940">
        <f>IF(AND(EO$13&gt;=$C28,EO$13&lt;=$E28),($H28-SUM($K28:EN28))/(($E28-EO$13+1)),0)</f>
        <v>0</v>
      </c>
      <c r="EP28" s="940">
        <f>IF(AND(EP$13&gt;=$C28,EP$13&lt;=$E28),($H28-SUM($K28:EO28))/(($E28-EP$13+1)),0)</f>
        <v>0</v>
      </c>
      <c r="EQ28" s="940">
        <f>IF(AND(EQ$13&gt;=$C28,EQ$13&lt;=$E28),($H28-SUM($K28:EP28))/(($E28-EQ$13+1)),0)</f>
        <v>0</v>
      </c>
      <c r="ER28" s="940">
        <f>IF(AND(ER$13&gt;=$C28,ER$13&lt;=$E28),($H28-SUM($K28:EQ28))/(($E28-ER$13+1)),0)</f>
        <v>0</v>
      </c>
      <c r="ES28" s="940">
        <f>IF(AND(ES$13&gt;=$C28,ES$13&lt;=$E28),($H28-SUM($K28:ER28))/(($E28-ES$13+1)),0)</f>
        <v>0</v>
      </c>
      <c r="ET28" s="940">
        <f>IF(AND(ET$13&gt;=$C28,ET$13&lt;=$E28),($H28-SUM($K28:ES28))/(($E28-ET$13+1)),0)</f>
        <v>0</v>
      </c>
      <c r="EU28" s="940">
        <f>IF(AND(EU$13&gt;=$C28,EU$13&lt;=$E28),($H28-SUM($K28:ET28))/(($E28-EU$13+1)),0)</f>
        <v>0</v>
      </c>
      <c r="EV28" s="940">
        <f>IF(AND(EV$13&gt;=$C28,EV$13&lt;=$E28),($H28-SUM($K28:EU28))/(($E28-EV$13+1)),0)</f>
        <v>0</v>
      </c>
      <c r="EW28" s="940">
        <f>IF(AND(EW$13&gt;=$C28,EW$13&lt;=$E28),($H28-SUM($K28:EV28))/(($E28-EW$13+1)),0)</f>
        <v>0</v>
      </c>
      <c r="EX28" s="940">
        <f>IF(AND(EX$13&gt;=$C28,EX$13&lt;=$E28),($H28-SUM($K28:EW28))/(($E28-EX$13+1)),0)</f>
        <v>0</v>
      </c>
      <c r="EY28" s="940">
        <f>IF(AND(EY$13&gt;=$C28,EY$13&lt;=$E28),($H28-SUM($K28:EX28))/(($E28-EY$13+1)),0)</f>
        <v>0</v>
      </c>
      <c r="EZ28" s="940">
        <f>IF(AND(EZ$13&gt;=$C28,EZ$13&lt;=$E28),($H28-SUM($K28:EY28))/(($E28-EZ$13+1)),0)</f>
        <v>0</v>
      </c>
      <c r="FA28" s="940">
        <f>IF(AND(FA$13&gt;=$C28,FA$13&lt;=$E28),($H28-SUM($K28:EZ28))/(($E28-FA$13+1)),0)</f>
        <v>0</v>
      </c>
      <c r="FB28" s="940">
        <f>IF(AND(FB$13&gt;=$C28,FB$13&lt;=$E28),($H28-SUM($K28:FA28))/(($E28-FB$13+1)),0)</f>
        <v>0</v>
      </c>
      <c r="FC28" s="940">
        <f>IF(AND(FC$13&gt;=$C28,FC$13&lt;=$E28),($H28-SUM($K28:FB28))/(($E28-FC$13+1)),0)</f>
        <v>0</v>
      </c>
      <c r="FD28" s="940">
        <f>IF(AND(FD$13&gt;=$C28,FD$13&lt;=$E28),($H28-SUM($K28:FC28))/(($E28-FD$13+1)),0)</f>
        <v>0</v>
      </c>
      <c r="FE28" s="940">
        <f>IF(AND(FE$13&gt;=$C28,FE$13&lt;=$E28),($H28-SUM($K28:FD28))/(($E28-FE$13+1)),0)</f>
        <v>0</v>
      </c>
      <c r="FF28" s="940">
        <f>IF(AND(FF$13&gt;=$C28,FF$13&lt;=$E28),($H28-SUM($K28:FE28))/(($E28-FF$13+1)),0)</f>
        <v>0</v>
      </c>
      <c r="FG28" s="940">
        <f>IF(AND(FG$13&gt;=$C28,FG$13&lt;=$E28),($H28-SUM($K28:FF28))/(($E28-FG$13+1)),0)</f>
        <v>0</v>
      </c>
      <c r="FH28" s="940">
        <f>IF(AND(FH$13&gt;=$C28,FH$13&lt;=$E28),($H28-SUM($K28:FG28))/(($E28-FH$13+1)),0)</f>
        <v>0</v>
      </c>
      <c r="FI28" s="940">
        <f>IF(AND(FI$13&gt;=$C28,FI$13&lt;=$E28),($H28-SUM($K28:FH28))/(($E28-FI$13+1)),0)</f>
        <v>0</v>
      </c>
      <c r="FJ28" s="940">
        <f>IF(AND(FJ$13&gt;=$C28,FJ$13&lt;=$E28),($H28-SUM($K28:FI28))/(($E28-FJ$13+1)),0)</f>
        <v>0</v>
      </c>
      <c r="FK28" s="940">
        <f>IF(AND(FK$13&gt;=$C28,FK$13&lt;=$E28),($H28-SUM($K28:FJ28))/(($E28-FK$13+1)),0)</f>
        <v>0</v>
      </c>
      <c r="FL28" s="940">
        <f>IF(AND(FL$13&gt;=$C28,FL$13&lt;=$E28),($H28-SUM($K28:FK28))/(($E28-FL$13+1)),0)</f>
        <v>0</v>
      </c>
      <c r="FM28" s="940">
        <f>IF(AND(FM$13&gt;=$C28,FM$13&lt;=$E28),($H28-SUM($K28:FL28))/(($E28-FM$13+1)),0)</f>
        <v>0</v>
      </c>
      <c r="FN28" s="940">
        <f>IF(AND(FN$13&gt;=$C28,FN$13&lt;=$E28),($H28-SUM($K28:FM28))/(($E28-FN$13+1)),0)</f>
        <v>0</v>
      </c>
      <c r="FO28" s="940">
        <f>IF(AND(FO$13&gt;=$C28,FO$13&lt;=$E28),($H28-SUM($K28:FN28))/(($E28-FO$13+1)),0)</f>
        <v>0</v>
      </c>
      <c r="FP28" s="940">
        <f>IF(AND(FP$13&gt;=$C28,FP$13&lt;=$E28),($H28-SUM($K28:FO28))/(($E28-FP$13+1)),0)</f>
        <v>0</v>
      </c>
      <c r="FQ28" s="940">
        <f>IF(AND(FQ$13&gt;=$C28,FQ$13&lt;=$E28),($H28-SUM($K28:FP28))/(($E28-FQ$13+1)),0)</f>
        <v>0</v>
      </c>
      <c r="FR28" s="940">
        <f>IF(AND(FR$13&gt;=$C28,FR$13&lt;=$E28),($H28-SUM($K28:FQ28))/(($E28-FR$13+1)),0)</f>
        <v>0</v>
      </c>
      <c r="FS28" s="940">
        <f>IF(AND(FS$13&gt;=$C28,FS$13&lt;=$E28),($H28-SUM($K28:FR28))/(($E28-FS$13+1)),0)</f>
        <v>0</v>
      </c>
      <c r="FT28" s="940">
        <f>IF(AND(FT$13&gt;=$C28,FT$13&lt;=$E28),($H28-SUM($K28:FS28))/(($E28-FT$13+1)),0)</f>
        <v>0</v>
      </c>
      <c r="FU28" s="940">
        <f>IF(AND(FU$13&gt;=$C28,FU$13&lt;=$E28),($H28-SUM($K28:FT28))/(($E28-FU$13+1)),0)</f>
        <v>0</v>
      </c>
      <c r="FV28" s="940">
        <f>IF(AND(FV$13&gt;=$C28,FV$13&lt;=$E28),($H28-SUM($K28:FU28))/(($E28-FV$13+1)),0)</f>
        <v>0</v>
      </c>
      <c r="FW28" s="940">
        <f>IF(AND(FW$13&gt;=$C28,FW$13&lt;=$E28),($H28-SUM($K28:FV28))/(($E28-FW$13+1)),0)</f>
        <v>0</v>
      </c>
      <c r="FX28" s="940">
        <f>IF(AND(FX$13&gt;=$C28,FX$13&lt;=$E28),($H28-SUM($K28:FW28))/(($E28-FX$13+1)),0)</f>
        <v>0</v>
      </c>
      <c r="FY28" s="940">
        <f>IF(AND(FY$13&gt;=$C28,FY$13&lt;=$E28),($H28-SUM($K28:FX28))/(($E28-FY$13+1)),0)</f>
        <v>0</v>
      </c>
      <c r="FZ28" s="940">
        <f>IF(AND(FZ$13&gt;=$C28,FZ$13&lt;=$E28),($H28-SUM($K28:FY28))/(($E28-FZ$13+1)),0)</f>
        <v>0</v>
      </c>
      <c r="GA28" s="940">
        <f>IF(AND(GA$13&gt;=$C28,GA$13&lt;=$E28),($H28-SUM($K28:FZ28))/(($E28-GA$13+1)),0)</f>
        <v>0</v>
      </c>
      <c r="GB28" s="940">
        <f>IF(AND(GB$13&gt;=$C28,GB$13&lt;=$E28),($H28-SUM($K28:GA28))/(($E28-GB$13+1)),0)</f>
        <v>0</v>
      </c>
      <c r="GC28" s="940">
        <f>IF(AND(GC$13&gt;=$C28,GC$13&lt;=$E28),($H28-SUM($K28:GB28))/(($E28-GC$13+1)),0)</f>
        <v>0</v>
      </c>
      <c r="GD28" s="940">
        <f>IF(AND(GD$13&gt;=$C28,GD$13&lt;=$E28),($H28-SUM($K28:GC28))/(($E28-GD$13+1)),0)</f>
        <v>0</v>
      </c>
      <c r="GE28" s="940">
        <f>IF(AND(GE$13&gt;=$C28,GE$13&lt;=$E28),($H28-SUM($K28:GD28))/(($E28-GE$13+1)),0)</f>
        <v>0</v>
      </c>
      <c r="GF28" s="940">
        <f>IF(AND(GF$13&gt;=$C28,GF$13&lt;=$E28),($H28-SUM($K28:GE28))/(($E28-GF$13+1)),0)</f>
        <v>0</v>
      </c>
      <c r="GG28" s="940">
        <f>IF(AND(GG$13&gt;=$C28,GG$13&lt;=$E28),($H28-SUM($K28:GF28))/(($E28-GG$13+1)),0)</f>
        <v>0</v>
      </c>
      <c r="GH28" s="940">
        <f>IF(AND(GH$13&gt;=$C28,GH$13&lt;=$E28),($H28-SUM($K28:GG28))/(($E28-GH$13+1)),0)</f>
        <v>0</v>
      </c>
      <c r="GI28" s="940">
        <f>IF(AND(GI$13&gt;=$C28,GI$13&lt;=$E28),($H28-SUM($K28:GH28))/(($E28-GI$13+1)),0)</f>
        <v>0</v>
      </c>
      <c r="GJ28" s="940">
        <f>IF(AND(GJ$13&gt;=$C28,GJ$13&lt;=$E28),($H28-SUM($K28:GI28))/(($E28-GJ$13+1)),0)</f>
        <v>0</v>
      </c>
      <c r="GK28" s="940">
        <f>IF(AND(GK$13&gt;=$C28,GK$13&lt;=$E28),($H28-SUM($K28:GJ28))/(($E28-GK$13+1)),0)</f>
        <v>0</v>
      </c>
      <c r="GL28" s="940">
        <f>IF(AND(GL$13&gt;=$C28,GL$13&lt;=$E28),($H28-SUM($K28:GK28))/(($E28-GL$13+1)),0)</f>
        <v>0</v>
      </c>
      <c r="GM28" s="940">
        <f>IF(AND(GM$13&gt;=$C28,GM$13&lt;=$E28),($H28-SUM($K28:GL28))/(($E28-GM$13+1)),0)</f>
        <v>0</v>
      </c>
      <c r="GN28" s="940">
        <f>IF(AND(GN$13&gt;=$C28,GN$13&lt;=$E28),($H28-SUM($K28:GM28))/(($E28-GN$13+1)),0)</f>
        <v>0</v>
      </c>
      <c r="GO28" s="940">
        <f>IF(AND(GO$13&gt;=$C28,GO$13&lt;=$E28),($H28-SUM($K28:GN28))/(($E28-GO$13+1)),0)</f>
        <v>0</v>
      </c>
      <c r="GP28" s="940">
        <f>IF(AND(GP$13&gt;=$C28,GP$13&lt;=$E28),($H28-SUM($K28:GO28))/(($E28-GP$13+1)),0)</f>
        <v>0</v>
      </c>
      <c r="GQ28" s="940">
        <f>IF(AND(GQ$13&gt;=$C28,GQ$13&lt;=$E28),($H28-SUM($K28:GP28))/(($E28-GQ$13+1)),0)</f>
        <v>0</v>
      </c>
      <c r="GR28" s="940">
        <f>IF(AND(GR$13&gt;=$C28,GR$13&lt;=$E28),($H28-SUM($K28:GQ28))/(($E28-GR$13+1)),0)</f>
        <v>0</v>
      </c>
      <c r="GS28" s="940">
        <f>IF(AND(GS$13&gt;=$C28,GS$13&lt;=$E28),($H28-SUM($K28:GR28))/(($E28-GS$13+1)),0)</f>
        <v>0</v>
      </c>
      <c r="GT28" s="940">
        <f>IF(AND(GT$13&gt;=$C28,GT$13&lt;=$E28),($H28-SUM($K28:GS28))/(($E28-GT$13+1)),0)</f>
        <v>0</v>
      </c>
      <c r="GU28" s="940"/>
      <c r="GV28" s="940"/>
      <c r="GW28" s="940"/>
      <c r="GX28" s="940"/>
      <c r="GY28" s="940"/>
      <c r="GZ28" s="940"/>
      <c r="HA28" s="940"/>
      <c r="HB28" s="940"/>
      <c r="HC28" s="940"/>
      <c r="HD28" s="940"/>
      <c r="HE28" s="940"/>
      <c r="HF28" s="1" t="s">
        <v>212</v>
      </c>
      <c r="HG28" s="139">
        <f t="shared" si="519"/>
        <v>5</v>
      </c>
      <c r="HH28" s="33"/>
      <c r="HI28" s="34"/>
      <c r="HJ28" s="34"/>
      <c r="HK28" s="34"/>
      <c r="HL28" s="123"/>
      <c r="HM28" s="34"/>
      <c r="HN28" s="131"/>
      <c r="HO28" s="18"/>
      <c r="HP28" s="18"/>
      <c r="HQ28" s="18"/>
      <c r="HR28" s="18"/>
      <c r="HS28" s="18"/>
      <c r="HT28" s="18"/>
      <c r="HU28" s="18"/>
      <c r="HV28" s="18"/>
      <c r="HW28"/>
    </row>
    <row r="29" spans="1:231" ht="15">
      <c r="B29" s="33" t="str">
        <f>+Assumptions!B18</f>
        <v xml:space="preserve">Soft Costs </v>
      </c>
      <c r="C29" s="414"/>
      <c r="E29" s="414"/>
      <c r="F29" s="1213"/>
      <c r="G29" s="1213">
        <f>SUM(G27:G28)</f>
        <v>25</v>
      </c>
      <c r="H29" s="1213">
        <f>SUM(H27:H28)</f>
        <v>823.30899924999994</v>
      </c>
      <c r="I29" s="134">
        <f>SUMIF($K$13:$GT$13,"&lt;="&amp;Assumptions!$L$17,'Monthly Cash Flow'!K29:GT29)</f>
        <v>823.30899924999994</v>
      </c>
      <c r="J29" s="26"/>
      <c r="K29" s="1584">
        <f>SUBTOTAL(9,K27:K28)</f>
        <v>0</v>
      </c>
      <c r="L29" s="1586">
        <f t="shared" ref="L29:BW29" si="540">SUBTOTAL(9,L27:L28)</f>
        <v>0</v>
      </c>
      <c r="M29" s="1587">
        <f t="shared" si="540"/>
        <v>0</v>
      </c>
      <c r="N29" s="1587">
        <f t="shared" si="540"/>
        <v>0</v>
      </c>
      <c r="O29" s="1587">
        <f t="shared" si="540"/>
        <v>0</v>
      </c>
      <c r="P29" s="1587">
        <f t="shared" si="540"/>
        <v>0</v>
      </c>
      <c r="Q29" s="1587">
        <f t="shared" si="540"/>
        <v>0</v>
      </c>
      <c r="R29" s="1587">
        <f t="shared" si="540"/>
        <v>0</v>
      </c>
      <c r="S29" s="1587">
        <f t="shared" si="540"/>
        <v>0</v>
      </c>
      <c r="T29" s="1587">
        <f t="shared" si="540"/>
        <v>0</v>
      </c>
      <c r="U29" s="1587">
        <f t="shared" si="540"/>
        <v>138.72732999999999</v>
      </c>
      <c r="V29" s="1587">
        <f t="shared" si="540"/>
        <v>0</v>
      </c>
      <c r="W29" s="1587">
        <f t="shared" si="540"/>
        <v>0</v>
      </c>
      <c r="X29" s="1587">
        <f t="shared" si="540"/>
        <v>0</v>
      </c>
      <c r="Y29" s="1587">
        <f t="shared" si="540"/>
        <v>0</v>
      </c>
      <c r="Z29" s="1587">
        <f t="shared" si="540"/>
        <v>226.13480999999999</v>
      </c>
      <c r="AA29" s="1587">
        <f t="shared" si="540"/>
        <v>0</v>
      </c>
      <c r="AB29" s="1587">
        <f t="shared" si="540"/>
        <v>87.185980000000001</v>
      </c>
      <c r="AC29" s="1587">
        <f t="shared" si="540"/>
        <v>0</v>
      </c>
      <c r="AD29" s="1587">
        <f t="shared" si="540"/>
        <v>0</v>
      </c>
      <c r="AE29" s="1587">
        <f t="shared" si="540"/>
        <v>83.588340000000002</v>
      </c>
      <c r="AF29" s="1587">
        <f t="shared" si="540"/>
        <v>79.022689249999985</v>
      </c>
      <c r="AG29" s="1587">
        <f t="shared" si="540"/>
        <v>49.540320000000001</v>
      </c>
      <c r="AH29" s="1587">
        <f t="shared" si="540"/>
        <v>0</v>
      </c>
      <c r="AI29" s="1587">
        <f t="shared" si="540"/>
        <v>4.3650000000000002</v>
      </c>
      <c r="AJ29" s="1587">
        <f t="shared" si="540"/>
        <v>0</v>
      </c>
      <c r="AK29" s="1587">
        <f t="shared" si="540"/>
        <v>0</v>
      </c>
      <c r="AL29" s="1587">
        <f t="shared" si="540"/>
        <v>5.4489999999999998</v>
      </c>
      <c r="AM29" s="1587">
        <f t="shared" si="540"/>
        <v>0</v>
      </c>
      <c r="AN29" s="1587">
        <f t="shared" si="540"/>
        <v>11.146650000000001</v>
      </c>
      <c r="AO29" s="1587">
        <f t="shared" si="540"/>
        <v>0</v>
      </c>
      <c r="AP29" s="1587">
        <f t="shared" si="540"/>
        <v>0</v>
      </c>
      <c r="AQ29" s="1587">
        <f t="shared" si="540"/>
        <v>5.6520000000000001</v>
      </c>
      <c r="AR29" s="1587">
        <f t="shared" si="540"/>
        <v>0</v>
      </c>
      <c r="AS29" s="1587">
        <f t="shared" si="540"/>
        <v>0</v>
      </c>
      <c r="AT29" s="1587">
        <f t="shared" si="540"/>
        <v>0</v>
      </c>
      <c r="AU29" s="1587">
        <f t="shared" si="540"/>
        <v>0</v>
      </c>
      <c r="AV29" s="1587">
        <f t="shared" si="540"/>
        <v>0</v>
      </c>
      <c r="AW29" s="1587">
        <f t="shared" si="540"/>
        <v>0</v>
      </c>
      <c r="AX29" s="1587">
        <f t="shared" si="540"/>
        <v>0</v>
      </c>
      <c r="AY29" s="1587">
        <f t="shared" si="540"/>
        <v>0</v>
      </c>
      <c r="AZ29" s="1587">
        <f t="shared" si="540"/>
        <v>0</v>
      </c>
      <c r="BA29" s="1587">
        <f t="shared" si="540"/>
        <v>0</v>
      </c>
      <c r="BB29" s="1587">
        <f t="shared" si="540"/>
        <v>0</v>
      </c>
      <c r="BC29" s="1587">
        <f t="shared" si="540"/>
        <v>0</v>
      </c>
      <c r="BD29" s="1587">
        <f t="shared" si="540"/>
        <v>0</v>
      </c>
      <c r="BE29" s="1587">
        <f t="shared" si="540"/>
        <v>0</v>
      </c>
      <c r="BF29" s="1587">
        <f t="shared" si="540"/>
        <v>0</v>
      </c>
      <c r="BG29" s="1587">
        <f t="shared" si="540"/>
        <v>0</v>
      </c>
      <c r="BH29" s="1587">
        <f t="shared" si="540"/>
        <v>0</v>
      </c>
      <c r="BI29" s="1587">
        <f t="shared" si="540"/>
        <v>0</v>
      </c>
      <c r="BJ29" s="1587">
        <f t="shared" si="540"/>
        <v>0</v>
      </c>
      <c r="BK29" s="1587">
        <f t="shared" si="540"/>
        <v>0</v>
      </c>
      <c r="BL29" s="1587">
        <f t="shared" ref="BL29" si="541">SUBTOTAL(9,BL27:BL28)</f>
        <v>0</v>
      </c>
      <c r="BM29" s="1587">
        <f t="shared" si="540"/>
        <v>0</v>
      </c>
      <c r="BN29" s="1587">
        <f t="shared" si="540"/>
        <v>0</v>
      </c>
      <c r="BO29" s="1587">
        <f t="shared" si="540"/>
        <v>0</v>
      </c>
      <c r="BP29" s="1587">
        <f t="shared" si="540"/>
        <v>0</v>
      </c>
      <c r="BQ29" s="1587">
        <f t="shared" si="540"/>
        <v>0</v>
      </c>
      <c r="BR29" s="1587">
        <f t="shared" si="540"/>
        <v>0</v>
      </c>
      <c r="BS29" s="1587">
        <f t="shared" si="540"/>
        <v>0</v>
      </c>
      <c r="BT29" s="1587">
        <f t="shared" si="540"/>
        <v>0</v>
      </c>
      <c r="BU29" s="1587">
        <f t="shared" si="540"/>
        <v>0</v>
      </c>
      <c r="BV29" s="1587">
        <f t="shared" si="540"/>
        <v>0</v>
      </c>
      <c r="BW29" s="1587">
        <f t="shared" si="540"/>
        <v>0</v>
      </c>
      <c r="BX29" s="1587">
        <f t="shared" ref="BX29:EI29" si="542">SUBTOTAL(9,BX27:BX28)</f>
        <v>5.5066199999999998</v>
      </c>
      <c r="BY29" s="1587">
        <f t="shared" si="542"/>
        <v>3.2538299999999998</v>
      </c>
      <c r="BZ29" s="1587">
        <f t="shared" si="542"/>
        <v>0</v>
      </c>
      <c r="CA29" s="1587">
        <f t="shared" si="542"/>
        <v>2.5</v>
      </c>
      <c r="CB29" s="1587">
        <f t="shared" si="542"/>
        <v>5</v>
      </c>
      <c r="CC29" s="1587">
        <f t="shared" si="542"/>
        <v>0</v>
      </c>
      <c r="CD29" s="1587">
        <f t="shared" si="542"/>
        <v>2</v>
      </c>
      <c r="CE29" s="1587">
        <f t="shared" si="542"/>
        <v>0</v>
      </c>
      <c r="CF29" s="1587">
        <f t="shared" si="542"/>
        <v>66.949960000000004</v>
      </c>
      <c r="CG29" s="1587">
        <f t="shared" si="542"/>
        <v>0</v>
      </c>
      <c r="CH29" s="1587">
        <f t="shared" si="542"/>
        <v>22.286470000000001</v>
      </c>
      <c r="CI29" s="1587">
        <f t="shared" si="542"/>
        <v>0</v>
      </c>
      <c r="CJ29" s="1587">
        <f t="shared" si="542"/>
        <v>0</v>
      </c>
      <c r="CK29" s="1587">
        <f t="shared" si="542"/>
        <v>0</v>
      </c>
      <c r="CL29" s="1587">
        <f t="shared" si="542"/>
        <v>0</v>
      </c>
      <c r="CM29" s="1587">
        <f t="shared" si="542"/>
        <v>6.25</v>
      </c>
      <c r="CN29" s="1587">
        <f t="shared" si="542"/>
        <v>6.25</v>
      </c>
      <c r="CO29" s="1587">
        <f t="shared" si="542"/>
        <v>6.25</v>
      </c>
      <c r="CP29" s="1587">
        <f t="shared" si="542"/>
        <v>6.25</v>
      </c>
      <c r="CQ29" s="1587">
        <f t="shared" si="542"/>
        <v>0</v>
      </c>
      <c r="CR29" s="1587">
        <f t="shared" si="542"/>
        <v>0</v>
      </c>
      <c r="CS29" s="1587">
        <f t="shared" si="542"/>
        <v>0</v>
      </c>
      <c r="CT29" s="1587">
        <f t="shared" si="542"/>
        <v>0</v>
      </c>
      <c r="CU29" s="1587">
        <f t="shared" si="542"/>
        <v>0</v>
      </c>
      <c r="CV29" s="1587">
        <f t="shared" si="542"/>
        <v>0</v>
      </c>
      <c r="CW29" s="1587">
        <f t="shared" si="542"/>
        <v>0</v>
      </c>
      <c r="CX29" s="1587">
        <f t="shared" si="542"/>
        <v>0</v>
      </c>
      <c r="CY29" s="1587">
        <f t="shared" si="542"/>
        <v>0</v>
      </c>
      <c r="CZ29" s="1587">
        <f t="shared" si="542"/>
        <v>0</v>
      </c>
      <c r="DA29" s="1587">
        <f t="shared" si="542"/>
        <v>0</v>
      </c>
      <c r="DB29" s="1587">
        <f t="shared" si="542"/>
        <v>0</v>
      </c>
      <c r="DC29" s="1587">
        <f t="shared" si="542"/>
        <v>0</v>
      </c>
      <c r="DD29" s="1587">
        <f t="shared" si="542"/>
        <v>0</v>
      </c>
      <c r="DE29" s="1587">
        <f t="shared" si="542"/>
        <v>0</v>
      </c>
      <c r="DF29" s="1587">
        <f t="shared" si="542"/>
        <v>0</v>
      </c>
      <c r="DG29" s="1587">
        <f t="shared" si="542"/>
        <v>0</v>
      </c>
      <c r="DH29" s="1587">
        <f t="shared" si="542"/>
        <v>0</v>
      </c>
      <c r="DI29" s="1587">
        <f t="shared" si="542"/>
        <v>0</v>
      </c>
      <c r="DJ29" s="1587">
        <f t="shared" si="542"/>
        <v>0</v>
      </c>
      <c r="DK29" s="1587">
        <f t="shared" si="542"/>
        <v>0</v>
      </c>
      <c r="DL29" s="1587">
        <f t="shared" si="542"/>
        <v>0</v>
      </c>
      <c r="DM29" s="1587">
        <f t="shared" si="542"/>
        <v>0</v>
      </c>
      <c r="DN29" s="1587">
        <f t="shared" si="542"/>
        <v>0</v>
      </c>
      <c r="DO29" s="1587">
        <f t="shared" si="542"/>
        <v>0</v>
      </c>
      <c r="DP29" s="1587">
        <f t="shared" si="542"/>
        <v>0</v>
      </c>
      <c r="DQ29" s="1587">
        <f t="shared" si="542"/>
        <v>0</v>
      </c>
      <c r="DR29" s="1587">
        <f t="shared" si="542"/>
        <v>0</v>
      </c>
      <c r="DS29" s="1587">
        <f t="shared" si="542"/>
        <v>0</v>
      </c>
      <c r="DT29" s="1587">
        <f t="shared" si="542"/>
        <v>0</v>
      </c>
      <c r="DU29" s="1587">
        <f t="shared" si="542"/>
        <v>0</v>
      </c>
      <c r="DV29" s="1587">
        <f t="shared" si="542"/>
        <v>0</v>
      </c>
      <c r="DW29" s="1587">
        <f t="shared" si="542"/>
        <v>0</v>
      </c>
      <c r="DX29" s="1587">
        <f t="shared" si="542"/>
        <v>0</v>
      </c>
      <c r="DY29" s="1587">
        <f t="shared" si="542"/>
        <v>0</v>
      </c>
      <c r="DZ29" s="1587">
        <f t="shared" si="542"/>
        <v>0</v>
      </c>
      <c r="EA29" s="1587">
        <f t="shared" si="542"/>
        <v>0</v>
      </c>
      <c r="EB29" s="1587">
        <f t="shared" si="542"/>
        <v>0</v>
      </c>
      <c r="EC29" s="1587">
        <f t="shared" si="542"/>
        <v>0</v>
      </c>
      <c r="ED29" s="1587">
        <f t="shared" si="542"/>
        <v>0</v>
      </c>
      <c r="EE29" s="1587">
        <f t="shared" si="542"/>
        <v>0</v>
      </c>
      <c r="EF29" s="1587">
        <f t="shared" si="542"/>
        <v>0</v>
      </c>
      <c r="EG29" s="1587">
        <f t="shared" si="542"/>
        <v>0</v>
      </c>
      <c r="EH29" s="1587">
        <f t="shared" si="542"/>
        <v>0</v>
      </c>
      <c r="EI29" s="1587">
        <f t="shared" si="542"/>
        <v>0</v>
      </c>
      <c r="EJ29" s="1587">
        <f t="shared" ref="EJ29:EL29" si="543">SUBTOTAL(9,EJ27:EJ28)</f>
        <v>0</v>
      </c>
      <c r="EK29" s="1587">
        <f t="shared" si="543"/>
        <v>0</v>
      </c>
      <c r="EL29" s="1587">
        <f t="shared" si="543"/>
        <v>0</v>
      </c>
      <c r="EM29" s="1587">
        <f t="shared" ref="EM29:FD29" si="544">SUBTOTAL(9,EM27:EM28)</f>
        <v>0</v>
      </c>
      <c r="EN29" s="1587">
        <f t="shared" si="544"/>
        <v>0</v>
      </c>
      <c r="EO29" s="1587">
        <f t="shared" si="544"/>
        <v>0</v>
      </c>
      <c r="EP29" s="1587">
        <f t="shared" si="544"/>
        <v>0</v>
      </c>
      <c r="EQ29" s="1587">
        <f t="shared" si="544"/>
        <v>0</v>
      </c>
      <c r="ER29" s="1587">
        <f t="shared" si="544"/>
        <v>0</v>
      </c>
      <c r="ES29" s="1587">
        <f t="shared" si="544"/>
        <v>0</v>
      </c>
      <c r="ET29" s="1587">
        <f t="shared" si="544"/>
        <v>0</v>
      </c>
      <c r="EU29" s="1587">
        <f t="shared" si="544"/>
        <v>0</v>
      </c>
      <c r="EV29" s="1587">
        <f t="shared" si="544"/>
        <v>0</v>
      </c>
      <c r="EW29" s="1587">
        <f t="shared" si="544"/>
        <v>0</v>
      </c>
      <c r="EX29" s="1587">
        <f t="shared" si="544"/>
        <v>0</v>
      </c>
      <c r="EY29" s="1587">
        <f t="shared" si="544"/>
        <v>0</v>
      </c>
      <c r="EZ29" s="1587">
        <f t="shared" si="544"/>
        <v>0</v>
      </c>
      <c r="FA29" s="1587">
        <f t="shared" si="544"/>
        <v>0</v>
      </c>
      <c r="FB29" s="1587">
        <f t="shared" si="544"/>
        <v>0</v>
      </c>
      <c r="FC29" s="1587">
        <f t="shared" si="544"/>
        <v>0</v>
      </c>
      <c r="FD29" s="1587">
        <f t="shared" si="544"/>
        <v>0</v>
      </c>
      <c r="FE29" s="1587">
        <f t="shared" ref="FE29:FI29" si="545">SUBTOTAL(9,FE27:FE28)</f>
        <v>0</v>
      </c>
      <c r="FF29" s="1587">
        <f t="shared" si="545"/>
        <v>0</v>
      </c>
      <c r="FG29" s="1587">
        <f t="shared" si="545"/>
        <v>0</v>
      </c>
      <c r="FH29" s="1587">
        <f t="shared" si="545"/>
        <v>0</v>
      </c>
      <c r="FI29" s="1587">
        <f t="shared" si="545"/>
        <v>0</v>
      </c>
      <c r="FJ29" s="1587">
        <f t="shared" ref="FJ29:GC29" si="546">SUBTOTAL(9,FJ27:FJ28)</f>
        <v>0</v>
      </c>
      <c r="FK29" s="1587">
        <f t="shared" si="546"/>
        <v>0</v>
      </c>
      <c r="FL29" s="1587">
        <f t="shared" si="546"/>
        <v>0</v>
      </c>
      <c r="FM29" s="1587">
        <f t="shared" si="546"/>
        <v>0</v>
      </c>
      <c r="FN29" s="1587">
        <f t="shared" si="546"/>
        <v>0</v>
      </c>
      <c r="FO29" s="1587">
        <f t="shared" si="546"/>
        <v>0</v>
      </c>
      <c r="FP29" s="1587">
        <f t="shared" si="546"/>
        <v>0</v>
      </c>
      <c r="FQ29" s="1587">
        <f t="shared" si="546"/>
        <v>0</v>
      </c>
      <c r="FR29" s="1587">
        <f t="shared" si="546"/>
        <v>0</v>
      </c>
      <c r="FS29" s="1587">
        <f t="shared" si="546"/>
        <v>0</v>
      </c>
      <c r="FT29" s="1587">
        <f t="shared" si="546"/>
        <v>0</v>
      </c>
      <c r="FU29" s="1587">
        <f t="shared" si="546"/>
        <v>0</v>
      </c>
      <c r="FV29" s="1587">
        <f t="shared" si="546"/>
        <v>0</v>
      </c>
      <c r="FW29" s="1587">
        <f t="shared" si="546"/>
        <v>0</v>
      </c>
      <c r="FX29" s="1587">
        <f t="shared" si="546"/>
        <v>0</v>
      </c>
      <c r="FY29" s="1587">
        <f t="shared" si="546"/>
        <v>0</v>
      </c>
      <c r="FZ29" s="1587">
        <f t="shared" si="546"/>
        <v>0</v>
      </c>
      <c r="GA29" s="1587">
        <f t="shared" si="546"/>
        <v>0</v>
      </c>
      <c r="GB29" s="1587">
        <f t="shared" si="546"/>
        <v>0</v>
      </c>
      <c r="GC29" s="1587">
        <f t="shared" si="546"/>
        <v>0</v>
      </c>
      <c r="GD29" s="1587">
        <f t="shared" ref="GD29:GT29" si="547">SUBTOTAL(9,GD27:GD28)</f>
        <v>0</v>
      </c>
      <c r="GE29" s="1587">
        <f t="shared" si="547"/>
        <v>0</v>
      </c>
      <c r="GF29" s="1587">
        <f t="shared" si="547"/>
        <v>0</v>
      </c>
      <c r="GG29" s="1587">
        <f t="shared" si="547"/>
        <v>0</v>
      </c>
      <c r="GH29" s="1587">
        <f t="shared" si="547"/>
        <v>0</v>
      </c>
      <c r="GI29" s="1587">
        <f t="shared" si="547"/>
        <v>0</v>
      </c>
      <c r="GJ29" s="1587">
        <f t="shared" si="547"/>
        <v>0</v>
      </c>
      <c r="GK29" s="1587">
        <f t="shared" si="547"/>
        <v>0</v>
      </c>
      <c r="GL29" s="1587">
        <f t="shared" si="547"/>
        <v>0</v>
      </c>
      <c r="GM29" s="1587">
        <f t="shared" si="547"/>
        <v>0</v>
      </c>
      <c r="GN29" s="1587">
        <f t="shared" si="547"/>
        <v>0</v>
      </c>
      <c r="GO29" s="1587">
        <f t="shared" si="547"/>
        <v>0</v>
      </c>
      <c r="GP29" s="1587">
        <f t="shared" si="547"/>
        <v>0</v>
      </c>
      <c r="GQ29" s="1587">
        <f t="shared" si="547"/>
        <v>0</v>
      </c>
      <c r="GR29" s="1587">
        <f t="shared" si="547"/>
        <v>0</v>
      </c>
      <c r="GS29" s="1587">
        <f t="shared" si="547"/>
        <v>0</v>
      </c>
      <c r="GT29" s="1587">
        <f t="shared" si="547"/>
        <v>0</v>
      </c>
      <c r="GU29" s="26"/>
      <c r="GV29" s="26"/>
      <c r="GW29" s="26"/>
      <c r="GX29" s="26"/>
      <c r="GY29" s="26"/>
      <c r="GZ29" s="26"/>
      <c r="HA29" s="26"/>
      <c r="HB29" s="26"/>
      <c r="HC29" s="26"/>
      <c r="HD29" s="26"/>
      <c r="HE29" s="26"/>
      <c r="HF29" s="1" t="s">
        <v>212</v>
      </c>
      <c r="HG29" s="139">
        <f t="shared" si="519"/>
        <v>6</v>
      </c>
      <c r="HH29" s="33" t="str">
        <f>+B29</f>
        <v xml:space="preserve">Soft Costs </v>
      </c>
      <c r="HI29" s="26"/>
      <c r="HJ29" s="26"/>
      <c r="HK29" s="26"/>
      <c r="HL29" s="123">
        <f t="shared" ref="HL29:HL30" si="548">SUM(HN29:HV29)</f>
        <v>823.30899925000006</v>
      </c>
      <c r="HM29" s="26"/>
      <c r="HN29" s="133">
        <f t="shared" ref="HN29:HV30" si="549">SUMIF($K$14:$GT$14,HN$14,$K29:$GT29)</f>
        <v>0</v>
      </c>
      <c r="HO29" s="26">
        <f t="shared" si="549"/>
        <v>138.72732999999999</v>
      </c>
      <c r="HP29" s="26">
        <f t="shared" si="549"/>
        <v>529.83713924999995</v>
      </c>
      <c r="HQ29" s="26">
        <f t="shared" si="549"/>
        <v>22.24765</v>
      </c>
      <c r="HR29" s="26">
        <f t="shared" si="549"/>
        <v>0</v>
      </c>
      <c r="HS29" s="26">
        <f t="shared" si="549"/>
        <v>0</v>
      </c>
      <c r="HT29" s="26">
        <f t="shared" si="549"/>
        <v>18.260449999999999</v>
      </c>
      <c r="HU29" s="26">
        <f t="shared" si="549"/>
        <v>114.23643000000001</v>
      </c>
      <c r="HV29" s="26">
        <f t="shared" si="549"/>
        <v>0</v>
      </c>
      <c r="HW29"/>
    </row>
    <row r="30" spans="1:231" ht="15">
      <c r="B30" s="33" t="str">
        <f>+Assumptions!B19</f>
        <v>Contingency</v>
      </c>
      <c r="C30" s="414">
        <f>Assumptions!$J15</f>
        <v>0</v>
      </c>
      <c r="E30" s="414">
        <f>Assumptions!$L15</f>
        <v>0</v>
      </c>
      <c r="F30" s="1212">
        <f>SUMIF($K$13:$GT$13,"&lt;="&amp;$C$13,'Monthly Cash Flow'!K30:GT30)</f>
        <v>0</v>
      </c>
      <c r="G30" s="938"/>
      <c r="H30" s="938">
        <v>0</v>
      </c>
      <c r="I30" s="123">
        <f>SUMIF($K$13:$GT$13,"&lt;="&amp;Assumptions!$L$17,'Monthly Cash Flow'!K30:GT30)</f>
        <v>0</v>
      </c>
      <c r="J30" s="26"/>
      <c r="K30" s="133">
        <f t="shared" ref="K30:AP30" si="550">IF(AND(K$13&gt;=$C$30,K$13&lt;$E$30),$H$30/($E$30-$C$30),0)</f>
        <v>0</v>
      </c>
      <c r="L30" s="26">
        <f t="shared" si="550"/>
        <v>0</v>
      </c>
      <c r="M30" s="26">
        <f t="shared" si="550"/>
        <v>0</v>
      </c>
      <c r="N30" s="26">
        <f t="shared" si="550"/>
        <v>0</v>
      </c>
      <c r="O30" s="26">
        <f t="shared" si="550"/>
        <v>0</v>
      </c>
      <c r="P30" s="26">
        <f t="shared" si="550"/>
        <v>0</v>
      </c>
      <c r="Q30" s="26">
        <f t="shared" si="550"/>
        <v>0</v>
      </c>
      <c r="R30" s="26">
        <f t="shared" si="550"/>
        <v>0</v>
      </c>
      <c r="S30" s="26">
        <f t="shared" si="550"/>
        <v>0</v>
      </c>
      <c r="T30" s="26">
        <f t="shared" si="550"/>
        <v>0</v>
      </c>
      <c r="U30" s="26">
        <f t="shared" si="550"/>
        <v>0</v>
      </c>
      <c r="V30" s="26">
        <f t="shared" si="550"/>
        <v>0</v>
      </c>
      <c r="W30" s="26">
        <f t="shared" si="550"/>
        <v>0</v>
      </c>
      <c r="X30" s="26">
        <f t="shared" si="550"/>
        <v>0</v>
      </c>
      <c r="Y30" s="26">
        <f t="shared" si="550"/>
        <v>0</v>
      </c>
      <c r="Z30" s="26">
        <f t="shared" si="550"/>
        <v>0</v>
      </c>
      <c r="AA30" s="26">
        <f t="shared" si="550"/>
        <v>0</v>
      </c>
      <c r="AB30" s="26">
        <f t="shared" si="550"/>
        <v>0</v>
      </c>
      <c r="AC30" s="26">
        <f t="shared" si="550"/>
        <v>0</v>
      </c>
      <c r="AD30" s="26">
        <f t="shared" si="550"/>
        <v>0</v>
      </c>
      <c r="AE30" s="26">
        <f t="shared" si="550"/>
        <v>0</v>
      </c>
      <c r="AF30" s="26">
        <f t="shared" si="550"/>
        <v>0</v>
      </c>
      <c r="AG30" s="26">
        <f t="shared" si="550"/>
        <v>0</v>
      </c>
      <c r="AH30" s="26">
        <f t="shared" si="550"/>
        <v>0</v>
      </c>
      <c r="AI30" s="26">
        <f t="shared" si="550"/>
        <v>0</v>
      </c>
      <c r="AJ30" s="26">
        <f t="shared" si="550"/>
        <v>0</v>
      </c>
      <c r="AK30" s="26">
        <f t="shared" si="550"/>
        <v>0</v>
      </c>
      <c r="AL30" s="26">
        <f t="shared" si="550"/>
        <v>0</v>
      </c>
      <c r="AM30" s="26">
        <f t="shared" si="550"/>
        <v>0</v>
      </c>
      <c r="AN30" s="26">
        <f t="shared" si="550"/>
        <v>0</v>
      </c>
      <c r="AO30" s="26">
        <f t="shared" si="550"/>
        <v>0</v>
      </c>
      <c r="AP30" s="26">
        <f t="shared" si="550"/>
        <v>0</v>
      </c>
      <c r="AQ30" s="26">
        <f t="shared" ref="AQ30:BV30" si="551">IF(AND(AQ$13&gt;=$C$30,AQ$13&lt;$E$30),$H$30/($E$30-$C$30),0)</f>
        <v>0</v>
      </c>
      <c r="AR30" s="26">
        <f t="shared" si="551"/>
        <v>0</v>
      </c>
      <c r="AS30" s="26">
        <f t="shared" si="551"/>
        <v>0</v>
      </c>
      <c r="AT30" s="26">
        <f t="shared" si="551"/>
        <v>0</v>
      </c>
      <c r="AU30" s="26">
        <f t="shared" si="551"/>
        <v>0</v>
      </c>
      <c r="AV30" s="26">
        <f t="shared" si="551"/>
        <v>0</v>
      </c>
      <c r="AW30" s="26">
        <f t="shared" si="551"/>
        <v>0</v>
      </c>
      <c r="AX30" s="26">
        <f t="shared" si="551"/>
        <v>0</v>
      </c>
      <c r="AY30" s="26">
        <f t="shared" si="551"/>
        <v>0</v>
      </c>
      <c r="AZ30" s="26">
        <f t="shared" si="551"/>
        <v>0</v>
      </c>
      <c r="BA30" s="26">
        <f t="shared" si="551"/>
        <v>0</v>
      </c>
      <c r="BB30" s="26">
        <f t="shared" si="551"/>
        <v>0</v>
      </c>
      <c r="BC30" s="26">
        <f t="shared" si="551"/>
        <v>0</v>
      </c>
      <c r="BD30" s="26">
        <f t="shared" si="551"/>
        <v>0</v>
      </c>
      <c r="BE30" s="26">
        <f t="shared" si="551"/>
        <v>0</v>
      </c>
      <c r="BF30" s="26">
        <f t="shared" si="551"/>
        <v>0</v>
      </c>
      <c r="BG30" s="26">
        <f t="shared" si="551"/>
        <v>0</v>
      </c>
      <c r="BH30" s="26">
        <f t="shared" si="551"/>
        <v>0</v>
      </c>
      <c r="BI30" s="26">
        <f t="shared" si="551"/>
        <v>0</v>
      </c>
      <c r="BJ30" s="26">
        <f t="shared" si="551"/>
        <v>0</v>
      </c>
      <c r="BK30" s="26">
        <f t="shared" si="551"/>
        <v>0</v>
      </c>
      <c r="BL30" s="26">
        <f t="shared" si="551"/>
        <v>0</v>
      </c>
      <c r="BM30" s="26">
        <f t="shared" si="551"/>
        <v>0</v>
      </c>
      <c r="BN30" s="26">
        <f t="shared" si="551"/>
        <v>0</v>
      </c>
      <c r="BO30" s="26">
        <f t="shared" si="551"/>
        <v>0</v>
      </c>
      <c r="BP30" s="26">
        <f t="shared" si="551"/>
        <v>0</v>
      </c>
      <c r="BQ30" s="26">
        <f t="shared" si="551"/>
        <v>0</v>
      </c>
      <c r="BR30" s="26">
        <f t="shared" si="551"/>
        <v>0</v>
      </c>
      <c r="BS30" s="26">
        <f t="shared" si="551"/>
        <v>0</v>
      </c>
      <c r="BT30" s="26">
        <f t="shared" si="551"/>
        <v>0</v>
      </c>
      <c r="BU30" s="26">
        <f t="shared" si="551"/>
        <v>0</v>
      </c>
      <c r="BV30" s="26">
        <f t="shared" si="551"/>
        <v>0</v>
      </c>
      <c r="BW30" s="26">
        <f t="shared" ref="BW30:DB30" si="552">IF(AND(BW$13&gt;=$C$30,BW$13&lt;$E$30),$H$30/($E$30-$C$30),0)</f>
        <v>0</v>
      </c>
      <c r="BX30" s="26">
        <f t="shared" si="552"/>
        <v>0</v>
      </c>
      <c r="BY30" s="26">
        <f t="shared" si="552"/>
        <v>0</v>
      </c>
      <c r="BZ30" s="26">
        <f t="shared" si="552"/>
        <v>0</v>
      </c>
      <c r="CA30" s="26">
        <f t="shared" si="552"/>
        <v>0</v>
      </c>
      <c r="CB30" s="26">
        <f t="shared" si="552"/>
        <v>0</v>
      </c>
      <c r="CC30" s="26">
        <f t="shared" si="552"/>
        <v>0</v>
      </c>
      <c r="CD30" s="26">
        <f t="shared" si="552"/>
        <v>0</v>
      </c>
      <c r="CE30" s="26">
        <f t="shared" si="552"/>
        <v>0</v>
      </c>
      <c r="CF30" s="26">
        <f t="shared" si="552"/>
        <v>0</v>
      </c>
      <c r="CG30" s="26">
        <f t="shared" si="552"/>
        <v>0</v>
      </c>
      <c r="CH30" s="26">
        <f t="shared" si="552"/>
        <v>0</v>
      </c>
      <c r="CI30" s="26">
        <f t="shared" si="552"/>
        <v>0</v>
      </c>
      <c r="CJ30" s="26">
        <f t="shared" si="552"/>
        <v>0</v>
      </c>
      <c r="CK30" s="26">
        <f t="shared" si="552"/>
        <v>0</v>
      </c>
      <c r="CL30" s="26">
        <f t="shared" si="552"/>
        <v>0</v>
      </c>
      <c r="CM30" s="26">
        <f t="shared" si="552"/>
        <v>0</v>
      </c>
      <c r="CN30" s="26">
        <f t="shared" si="552"/>
        <v>0</v>
      </c>
      <c r="CO30" s="26">
        <f t="shared" si="552"/>
        <v>0</v>
      </c>
      <c r="CP30" s="26">
        <f t="shared" si="552"/>
        <v>0</v>
      </c>
      <c r="CQ30" s="26">
        <f t="shared" si="552"/>
        <v>0</v>
      </c>
      <c r="CR30" s="26">
        <f t="shared" si="552"/>
        <v>0</v>
      </c>
      <c r="CS30" s="26">
        <f t="shared" si="552"/>
        <v>0</v>
      </c>
      <c r="CT30" s="26">
        <f t="shared" si="552"/>
        <v>0</v>
      </c>
      <c r="CU30" s="26">
        <f t="shared" si="552"/>
        <v>0</v>
      </c>
      <c r="CV30" s="26">
        <f t="shared" si="552"/>
        <v>0</v>
      </c>
      <c r="CW30" s="26">
        <f t="shared" si="552"/>
        <v>0</v>
      </c>
      <c r="CX30" s="26">
        <f t="shared" si="552"/>
        <v>0</v>
      </c>
      <c r="CY30" s="26">
        <f t="shared" si="552"/>
        <v>0</v>
      </c>
      <c r="CZ30" s="26">
        <f t="shared" si="552"/>
        <v>0</v>
      </c>
      <c r="DA30" s="26">
        <f t="shared" si="552"/>
        <v>0</v>
      </c>
      <c r="DB30" s="26">
        <f t="shared" si="552"/>
        <v>0</v>
      </c>
      <c r="DC30" s="26">
        <f t="shared" ref="DC30:EH30" si="553">IF(AND(DC$13&gt;=$C$30,DC$13&lt;$E$30),$H$30/($E$30-$C$30),0)</f>
        <v>0</v>
      </c>
      <c r="DD30" s="26">
        <f t="shared" si="553"/>
        <v>0</v>
      </c>
      <c r="DE30" s="26">
        <f t="shared" si="553"/>
        <v>0</v>
      </c>
      <c r="DF30" s="26">
        <f t="shared" si="553"/>
        <v>0</v>
      </c>
      <c r="DG30" s="26">
        <f t="shared" si="553"/>
        <v>0</v>
      </c>
      <c r="DH30" s="26">
        <f t="shared" si="553"/>
        <v>0</v>
      </c>
      <c r="DI30" s="26">
        <f t="shared" si="553"/>
        <v>0</v>
      </c>
      <c r="DJ30" s="26">
        <f t="shared" si="553"/>
        <v>0</v>
      </c>
      <c r="DK30" s="26">
        <f t="shared" si="553"/>
        <v>0</v>
      </c>
      <c r="DL30" s="26">
        <f t="shared" si="553"/>
        <v>0</v>
      </c>
      <c r="DM30" s="26">
        <f t="shared" si="553"/>
        <v>0</v>
      </c>
      <c r="DN30" s="26">
        <f t="shared" si="553"/>
        <v>0</v>
      </c>
      <c r="DO30" s="26">
        <f t="shared" si="553"/>
        <v>0</v>
      </c>
      <c r="DP30" s="26">
        <f t="shared" si="553"/>
        <v>0</v>
      </c>
      <c r="DQ30" s="26">
        <f t="shared" si="553"/>
        <v>0</v>
      </c>
      <c r="DR30" s="26">
        <f t="shared" si="553"/>
        <v>0</v>
      </c>
      <c r="DS30" s="26">
        <f t="shared" si="553"/>
        <v>0</v>
      </c>
      <c r="DT30" s="26">
        <f t="shared" si="553"/>
        <v>0</v>
      </c>
      <c r="DU30" s="26">
        <f t="shared" si="553"/>
        <v>0</v>
      </c>
      <c r="DV30" s="26">
        <f t="shared" si="553"/>
        <v>0</v>
      </c>
      <c r="DW30" s="26">
        <f t="shared" si="553"/>
        <v>0</v>
      </c>
      <c r="DX30" s="26">
        <f t="shared" si="553"/>
        <v>0</v>
      </c>
      <c r="DY30" s="26">
        <f t="shared" si="553"/>
        <v>0</v>
      </c>
      <c r="DZ30" s="26">
        <f t="shared" si="553"/>
        <v>0</v>
      </c>
      <c r="EA30" s="26">
        <f t="shared" si="553"/>
        <v>0</v>
      </c>
      <c r="EB30" s="26">
        <f t="shared" si="553"/>
        <v>0</v>
      </c>
      <c r="EC30" s="26">
        <f t="shared" si="553"/>
        <v>0</v>
      </c>
      <c r="ED30" s="26">
        <f t="shared" si="553"/>
        <v>0</v>
      </c>
      <c r="EE30" s="26">
        <f t="shared" si="553"/>
        <v>0</v>
      </c>
      <c r="EF30" s="26">
        <f t="shared" si="553"/>
        <v>0</v>
      </c>
      <c r="EG30" s="26">
        <f t="shared" si="553"/>
        <v>0</v>
      </c>
      <c r="EH30" s="26">
        <f t="shared" si="553"/>
        <v>0</v>
      </c>
      <c r="EI30" s="26">
        <f t="shared" ref="EI30:FN30" si="554">IF(AND(EI$13&gt;=$C$30,EI$13&lt;$E$30),$H$30/($E$30-$C$30),0)</f>
        <v>0</v>
      </c>
      <c r="EJ30" s="26">
        <f t="shared" si="554"/>
        <v>0</v>
      </c>
      <c r="EK30" s="26">
        <f t="shared" si="554"/>
        <v>0</v>
      </c>
      <c r="EL30" s="26">
        <f t="shared" si="554"/>
        <v>0</v>
      </c>
      <c r="EM30" s="26">
        <f t="shared" si="554"/>
        <v>0</v>
      </c>
      <c r="EN30" s="26">
        <f t="shared" si="554"/>
        <v>0</v>
      </c>
      <c r="EO30" s="26">
        <f t="shared" si="554"/>
        <v>0</v>
      </c>
      <c r="EP30" s="26">
        <f t="shared" si="554"/>
        <v>0</v>
      </c>
      <c r="EQ30" s="26">
        <f t="shared" si="554"/>
        <v>0</v>
      </c>
      <c r="ER30" s="26">
        <f t="shared" si="554"/>
        <v>0</v>
      </c>
      <c r="ES30" s="26">
        <f t="shared" si="554"/>
        <v>0</v>
      </c>
      <c r="ET30" s="26">
        <f t="shared" si="554"/>
        <v>0</v>
      </c>
      <c r="EU30" s="26">
        <f t="shared" si="554"/>
        <v>0</v>
      </c>
      <c r="EV30" s="26">
        <f t="shared" si="554"/>
        <v>0</v>
      </c>
      <c r="EW30" s="26">
        <f t="shared" si="554"/>
        <v>0</v>
      </c>
      <c r="EX30" s="26">
        <f t="shared" si="554"/>
        <v>0</v>
      </c>
      <c r="EY30" s="26">
        <f t="shared" si="554"/>
        <v>0</v>
      </c>
      <c r="EZ30" s="26">
        <f t="shared" si="554"/>
        <v>0</v>
      </c>
      <c r="FA30" s="26">
        <f t="shared" si="554"/>
        <v>0</v>
      </c>
      <c r="FB30" s="26">
        <f t="shared" si="554"/>
        <v>0</v>
      </c>
      <c r="FC30" s="26">
        <f t="shared" si="554"/>
        <v>0</v>
      </c>
      <c r="FD30" s="26">
        <f t="shared" si="554"/>
        <v>0</v>
      </c>
      <c r="FE30" s="26">
        <f t="shared" si="554"/>
        <v>0</v>
      </c>
      <c r="FF30" s="26">
        <f t="shared" si="554"/>
        <v>0</v>
      </c>
      <c r="FG30" s="26">
        <f t="shared" si="554"/>
        <v>0</v>
      </c>
      <c r="FH30" s="26">
        <f t="shared" si="554"/>
        <v>0</v>
      </c>
      <c r="FI30" s="26">
        <f t="shared" si="554"/>
        <v>0</v>
      </c>
      <c r="FJ30" s="26">
        <f t="shared" si="554"/>
        <v>0</v>
      </c>
      <c r="FK30" s="26">
        <f t="shared" si="554"/>
        <v>0</v>
      </c>
      <c r="FL30" s="26">
        <f t="shared" si="554"/>
        <v>0</v>
      </c>
      <c r="FM30" s="26">
        <f t="shared" si="554"/>
        <v>0</v>
      </c>
      <c r="FN30" s="26">
        <f t="shared" si="554"/>
        <v>0</v>
      </c>
      <c r="FO30" s="26">
        <f t="shared" ref="FO30:GT30" si="555">IF(AND(FO$13&gt;=$C$30,FO$13&lt;$E$30),$H$30/($E$30-$C$30),0)</f>
        <v>0</v>
      </c>
      <c r="FP30" s="26">
        <f t="shared" si="555"/>
        <v>0</v>
      </c>
      <c r="FQ30" s="26">
        <f t="shared" si="555"/>
        <v>0</v>
      </c>
      <c r="FR30" s="26">
        <f t="shared" si="555"/>
        <v>0</v>
      </c>
      <c r="FS30" s="26">
        <f t="shared" si="555"/>
        <v>0</v>
      </c>
      <c r="FT30" s="26">
        <f t="shared" si="555"/>
        <v>0</v>
      </c>
      <c r="FU30" s="26">
        <f t="shared" si="555"/>
        <v>0</v>
      </c>
      <c r="FV30" s="26">
        <f t="shared" si="555"/>
        <v>0</v>
      </c>
      <c r="FW30" s="26">
        <f t="shared" si="555"/>
        <v>0</v>
      </c>
      <c r="FX30" s="26">
        <f t="shared" si="555"/>
        <v>0</v>
      </c>
      <c r="FY30" s="26">
        <f t="shared" si="555"/>
        <v>0</v>
      </c>
      <c r="FZ30" s="26">
        <f t="shared" si="555"/>
        <v>0</v>
      </c>
      <c r="GA30" s="26">
        <f t="shared" si="555"/>
        <v>0</v>
      </c>
      <c r="GB30" s="26">
        <f t="shared" si="555"/>
        <v>0</v>
      </c>
      <c r="GC30" s="26">
        <f t="shared" si="555"/>
        <v>0</v>
      </c>
      <c r="GD30" s="26">
        <f t="shared" si="555"/>
        <v>0</v>
      </c>
      <c r="GE30" s="26">
        <f t="shared" si="555"/>
        <v>0</v>
      </c>
      <c r="GF30" s="26">
        <f t="shared" si="555"/>
        <v>0</v>
      </c>
      <c r="GG30" s="26">
        <f t="shared" si="555"/>
        <v>0</v>
      </c>
      <c r="GH30" s="26">
        <f t="shared" si="555"/>
        <v>0</v>
      </c>
      <c r="GI30" s="26">
        <f t="shared" si="555"/>
        <v>0</v>
      </c>
      <c r="GJ30" s="26">
        <f t="shared" si="555"/>
        <v>0</v>
      </c>
      <c r="GK30" s="26">
        <f t="shared" si="555"/>
        <v>0</v>
      </c>
      <c r="GL30" s="26">
        <f t="shared" si="555"/>
        <v>0</v>
      </c>
      <c r="GM30" s="26">
        <f t="shared" si="555"/>
        <v>0</v>
      </c>
      <c r="GN30" s="26">
        <f t="shared" si="555"/>
        <v>0</v>
      </c>
      <c r="GO30" s="26">
        <f t="shared" si="555"/>
        <v>0</v>
      </c>
      <c r="GP30" s="26">
        <f t="shared" si="555"/>
        <v>0</v>
      </c>
      <c r="GQ30" s="26">
        <f t="shared" si="555"/>
        <v>0</v>
      </c>
      <c r="GR30" s="26">
        <f t="shared" si="555"/>
        <v>0</v>
      </c>
      <c r="GS30" s="26">
        <f t="shared" si="555"/>
        <v>0</v>
      </c>
      <c r="GT30" s="26">
        <f t="shared" si="555"/>
        <v>0</v>
      </c>
      <c r="GU30" s="26"/>
      <c r="GV30" s="26"/>
      <c r="GW30" s="26"/>
      <c r="GX30" s="26"/>
      <c r="GY30" s="26"/>
      <c r="GZ30" s="26"/>
      <c r="HA30" s="26"/>
      <c r="HB30" s="26"/>
      <c r="HC30" s="26"/>
      <c r="HD30" s="26"/>
      <c r="HE30" s="26"/>
      <c r="HF30" s="1" t="s">
        <v>212</v>
      </c>
      <c r="HG30" s="139">
        <f t="shared" si="519"/>
        <v>7</v>
      </c>
      <c r="HH30" s="33" t="str">
        <f>+B30</f>
        <v>Contingency</v>
      </c>
      <c r="HI30" s="26"/>
      <c r="HJ30" s="26"/>
      <c r="HK30" s="26"/>
      <c r="HL30" s="123">
        <f t="shared" si="548"/>
        <v>0</v>
      </c>
      <c r="HM30" s="26"/>
      <c r="HN30" s="133">
        <f t="shared" si="549"/>
        <v>0</v>
      </c>
      <c r="HO30" s="26">
        <f t="shared" si="549"/>
        <v>0</v>
      </c>
      <c r="HP30" s="26">
        <f t="shared" si="549"/>
        <v>0</v>
      </c>
      <c r="HQ30" s="26">
        <f t="shared" si="549"/>
        <v>0</v>
      </c>
      <c r="HR30" s="26">
        <f t="shared" si="549"/>
        <v>0</v>
      </c>
      <c r="HS30" s="26">
        <f t="shared" si="549"/>
        <v>0</v>
      </c>
      <c r="HT30" s="26">
        <f t="shared" si="549"/>
        <v>0</v>
      </c>
      <c r="HU30" s="26">
        <f t="shared" si="549"/>
        <v>0</v>
      </c>
      <c r="HV30" s="26">
        <f t="shared" si="549"/>
        <v>0</v>
      </c>
      <c r="HW30"/>
    </row>
    <row r="31" spans="1:231" ht="15">
      <c r="F31" s="1214"/>
      <c r="G31" s="414"/>
      <c r="H31" s="415"/>
      <c r="I31" s="123"/>
      <c r="J31" s="26"/>
      <c r="K31" s="133"/>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c r="FO31" s="26"/>
      <c r="FP31" s="26"/>
      <c r="FQ31" s="26"/>
      <c r="FR31" s="26"/>
      <c r="FS31" s="26"/>
      <c r="FT31" s="26"/>
      <c r="FU31" s="26"/>
      <c r="FV31" s="26"/>
      <c r="FW31" s="26"/>
      <c r="FX31" s="26"/>
      <c r="FY31" s="26"/>
      <c r="FZ31" s="26"/>
      <c r="GA31" s="26"/>
      <c r="GB31" s="26"/>
      <c r="GC31" s="26"/>
      <c r="GD31" s="26"/>
      <c r="GE31" s="26"/>
      <c r="GF31" s="26"/>
      <c r="GG31" s="26"/>
      <c r="GH31" s="26"/>
      <c r="GI31" s="26"/>
      <c r="GJ31" s="26"/>
      <c r="GK31" s="26"/>
      <c r="GL31" s="26"/>
      <c r="GM31" s="26"/>
      <c r="GN31" s="26"/>
      <c r="GO31" s="26"/>
      <c r="GP31" s="26"/>
      <c r="GQ31" s="26"/>
      <c r="GR31" s="26"/>
      <c r="GS31" s="26"/>
      <c r="GT31" s="26"/>
      <c r="GU31" s="26"/>
      <c r="GV31" s="26"/>
      <c r="GW31" s="26"/>
      <c r="GX31" s="26"/>
      <c r="GY31" s="26"/>
      <c r="GZ31" s="26"/>
      <c r="HA31" s="26"/>
      <c r="HB31" s="26"/>
      <c r="HC31" s="26"/>
      <c r="HD31" s="26"/>
      <c r="HE31" s="26"/>
      <c r="HF31" s="1" t="s">
        <v>212</v>
      </c>
      <c r="HG31" s="139">
        <f t="shared" si="519"/>
        <v>8</v>
      </c>
      <c r="HI31" s="26"/>
      <c r="HJ31" s="26"/>
      <c r="HK31" s="26"/>
      <c r="HL31" s="132"/>
      <c r="HM31" s="26"/>
      <c r="HN31" s="133"/>
      <c r="HO31" s="26"/>
      <c r="HP31" s="26"/>
      <c r="HQ31" s="26"/>
      <c r="HR31" s="26"/>
      <c r="HS31" s="26"/>
      <c r="HT31" s="26"/>
      <c r="HU31" s="26"/>
      <c r="HV31" s="26"/>
      <c r="HW31"/>
    </row>
    <row r="32" spans="1:231" ht="15">
      <c r="B32" s="16" t="s">
        <v>97</v>
      </c>
      <c r="F32" s="430"/>
      <c r="I32" s="125"/>
      <c r="K32" s="126"/>
      <c r="L32" s="127"/>
      <c r="M32" s="127"/>
      <c r="N32" s="127"/>
      <c r="O32" s="127"/>
      <c r="P32" s="127"/>
      <c r="Q32" s="127"/>
      <c r="R32" s="127"/>
      <c r="S32" s="127"/>
      <c r="T32" s="127"/>
      <c r="U32" s="127"/>
      <c r="V32" s="127"/>
      <c r="W32" s="127"/>
      <c r="X32" s="127"/>
      <c r="Y32" s="127"/>
      <c r="Z32" s="127"/>
      <c r="AA32" s="127"/>
      <c r="AB32" s="127"/>
      <c r="AC32" s="127"/>
      <c r="AD32" s="127"/>
      <c r="AE32" s="127"/>
      <c r="AF32" s="127"/>
      <c r="AG32" s="127"/>
      <c r="AH32" s="127"/>
      <c r="AI32" s="127"/>
      <c r="AJ32" s="127"/>
      <c r="AK32" s="127"/>
      <c r="AL32" s="127"/>
      <c r="AM32" s="127"/>
      <c r="AN32" s="127"/>
      <c r="AO32" s="127"/>
      <c r="AP32" s="127"/>
      <c r="AQ32" s="127"/>
      <c r="AR32" s="127"/>
      <c r="AS32" s="127"/>
      <c r="AT32" s="127"/>
      <c r="AU32" s="127"/>
      <c r="AV32" s="127"/>
      <c r="AW32" s="127"/>
      <c r="AX32" s="127"/>
      <c r="AY32" s="127"/>
      <c r="AZ32" s="127"/>
      <c r="BA32" s="127"/>
      <c r="BB32" s="127"/>
      <c r="BC32" s="127"/>
      <c r="BD32" s="127"/>
      <c r="BE32" s="127"/>
      <c r="BF32" s="127"/>
      <c r="BG32" s="127"/>
      <c r="BH32" s="127"/>
      <c r="BI32" s="127"/>
      <c r="BJ32" s="127"/>
      <c r="BK32" s="127"/>
      <c r="BL32" s="127"/>
      <c r="BM32" s="127"/>
      <c r="BN32" s="127"/>
      <c r="BO32" s="127"/>
      <c r="BP32" s="127"/>
      <c r="BQ32" s="127"/>
      <c r="BR32" s="127"/>
      <c r="BS32" s="127"/>
      <c r="BT32" s="127"/>
      <c r="BU32" s="127"/>
      <c r="BV32" s="127"/>
      <c r="BW32" s="127"/>
      <c r="BX32" s="127"/>
      <c r="BY32" s="127"/>
      <c r="BZ32" s="127"/>
      <c r="CA32" s="127"/>
      <c r="CB32" s="127"/>
      <c r="CC32" s="127"/>
      <c r="CD32" s="127"/>
      <c r="CE32" s="127"/>
      <c r="CF32" s="127"/>
      <c r="CG32" s="127"/>
      <c r="CH32" s="127"/>
      <c r="CI32" s="127"/>
      <c r="CJ32" s="127"/>
      <c r="CK32" s="127"/>
      <c r="CL32" s="127"/>
      <c r="CM32" s="127"/>
      <c r="CN32" s="127"/>
      <c r="CO32" s="127"/>
      <c r="CP32" s="127"/>
      <c r="CQ32" s="127"/>
      <c r="CR32" s="127"/>
      <c r="CS32" s="127"/>
      <c r="CT32" s="127"/>
      <c r="CU32" s="127"/>
      <c r="CV32" s="127"/>
      <c r="CW32" s="127"/>
      <c r="CX32" s="127"/>
      <c r="CY32" s="127"/>
      <c r="CZ32" s="127"/>
      <c r="DA32" s="127"/>
      <c r="DB32" s="127"/>
      <c r="DC32" s="127"/>
      <c r="DD32" s="127"/>
      <c r="DE32" s="127"/>
      <c r="DF32" s="127"/>
      <c r="DG32" s="127"/>
      <c r="DH32" s="127"/>
      <c r="DI32" s="127"/>
      <c r="DJ32" s="127"/>
      <c r="DK32" s="127"/>
      <c r="DL32" s="127"/>
      <c r="DM32" s="127"/>
      <c r="DN32" s="127"/>
      <c r="DO32" s="127"/>
      <c r="DP32" s="127"/>
      <c r="DQ32" s="127"/>
      <c r="DR32" s="127"/>
      <c r="DS32" s="127"/>
      <c r="DT32" s="127"/>
      <c r="DU32" s="127"/>
      <c r="DV32" s="127"/>
      <c r="DW32" s="127"/>
      <c r="DX32" s="127"/>
      <c r="DY32" s="127"/>
      <c r="DZ32" s="127"/>
      <c r="EA32" s="127"/>
      <c r="EB32" s="127"/>
      <c r="EC32" s="127"/>
      <c r="ED32" s="127"/>
      <c r="EE32" s="127"/>
      <c r="EF32" s="127"/>
      <c r="EG32" s="127"/>
      <c r="EH32" s="127"/>
      <c r="EI32" s="127"/>
      <c r="EJ32" s="127"/>
      <c r="EK32" s="127"/>
      <c r="EL32" s="127"/>
      <c r="EM32" s="127"/>
      <c r="EN32" s="127"/>
      <c r="EO32" s="127"/>
      <c r="EP32" s="127"/>
      <c r="EQ32" s="127"/>
      <c r="ER32" s="127"/>
      <c r="ES32" s="127"/>
      <c r="ET32" s="127"/>
      <c r="EU32" s="127"/>
      <c r="EV32" s="127"/>
      <c r="EW32" s="127"/>
      <c r="EX32" s="127"/>
      <c r="EY32" s="127"/>
      <c r="EZ32" s="127"/>
      <c r="FA32" s="127"/>
      <c r="FB32" s="127"/>
      <c r="FC32" s="127"/>
      <c r="FD32" s="127"/>
      <c r="FE32" s="127"/>
      <c r="FF32" s="127"/>
      <c r="FG32" s="127"/>
      <c r="FH32" s="127"/>
      <c r="FI32" s="127"/>
      <c r="FJ32" s="127"/>
      <c r="FK32" s="127"/>
      <c r="FL32" s="127"/>
      <c r="FM32" s="127"/>
      <c r="FN32" s="127"/>
      <c r="FO32" s="127"/>
      <c r="FP32" s="127"/>
      <c r="FQ32" s="127"/>
      <c r="FR32" s="127"/>
      <c r="FS32" s="127"/>
      <c r="FT32" s="127"/>
      <c r="FU32" s="127"/>
      <c r="FV32" s="127"/>
      <c r="FW32" s="127"/>
      <c r="FX32" s="127"/>
      <c r="FY32" s="127"/>
      <c r="FZ32" s="127"/>
      <c r="GA32" s="127"/>
      <c r="GB32" s="127"/>
      <c r="GC32" s="127"/>
      <c r="GD32" s="127"/>
      <c r="GE32" s="127"/>
      <c r="GF32" s="127"/>
      <c r="GG32" s="127"/>
      <c r="GH32" s="127"/>
      <c r="GI32" s="127"/>
      <c r="GJ32" s="127"/>
      <c r="GK32" s="127"/>
      <c r="GL32" s="127"/>
      <c r="GM32" s="127"/>
      <c r="GN32" s="127"/>
      <c r="GO32" s="127"/>
      <c r="GP32" s="127"/>
      <c r="GQ32" s="127"/>
      <c r="GR32" s="127"/>
      <c r="GS32" s="127"/>
      <c r="GT32" s="127"/>
      <c r="GU32" s="127"/>
      <c r="GV32" s="127"/>
      <c r="GW32" s="127"/>
      <c r="GX32" s="127"/>
      <c r="GY32" s="127"/>
      <c r="GZ32" s="127"/>
      <c r="HA32" s="127"/>
      <c r="HB32" s="127"/>
      <c r="HC32" s="127"/>
      <c r="HD32" s="127"/>
      <c r="HE32" s="127"/>
      <c r="HF32" s="1" t="s">
        <v>212</v>
      </c>
      <c r="HG32" s="139">
        <f t="shared" si="519"/>
        <v>9</v>
      </c>
      <c r="HH32" s="16" t="str">
        <f t="shared" ref="HH32:HH37" si="556">B32</f>
        <v>Leasing Costs</v>
      </c>
      <c r="HI32" s="128"/>
      <c r="HJ32" s="128"/>
      <c r="HK32" s="128"/>
      <c r="HL32" s="125"/>
      <c r="HN32" s="126"/>
      <c r="HO32" s="127"/>
      <c r="HP32" s="127"/>
      <c r="HQ32" s="127"/>
      <c r="HR32" s="127"/>
      <c r="HS32" s="127"/>
      <c r="HT32" s="127"/>
      <c r="HU32" s="127"/>
      <c r="HV32" s="127"/>
      <c r="HW32"/>
    </row>
    <row r="33" spans="1:231" ht="15">
      <c r="A33" s="441" t="s">
        <v>408</v>
      </c>
      <c r="B33" s="9" t="s">
        <v>442</v>
      </c>
      <c r="E33" s="129"/>
      <c r="F33" s="130"/>
      <c r="H33" s="26"/>
      <c r="I33" s="123">
        <f ca="1">SUMIF($K$13:$GT$13,"&lt;="&amp;Assumptions!$L$17,'Monthly Cash Flow'!K33:GT33)</f>
        <v>2716.7109999999993</v>
      </c>
      <c r="J33" s="18"/>
      <c r="K33" s="939">
        <v>0</v>
      </c>
      <c r="L33" s="1003">
        <v>0</v>
      </c>
      <c r="M33" s="1003">
        <v>0</v>
      </c>
      <c r="N33" s="1003">
        <v>0</v>
      </c>
      <c r="O33" s="1003">
        <v>0</v>
      </c>
      <c r="P33" s="1003">
        <v>0</v>
      </c>
      <c r="Q33" s="1003">
        <v>0</v>
      </c>
      <c r="R33" s="1003">
        <v>0</v>
      </c>
      <c r="S33" s="1003">
        <v>0</v>
      </c>
      <c r="T33" s="1003">
        <v>0</v>
      </c>
      <c r="U33" s="1003">
        <v>0</v>
      </c>
      <c r="V33" s="1003">
        <v>0</v>
      </c>
      <c r="W33" s="1003">
        <v>41.12</v>
      </c>
      <c r="X33" s="1003">
        <v>0</v>
      </c>
      <c r="Y33" s="1003">
        <v>0</v>
      </c>
      <c r="Z33" s="1003">
        <v>0</v>
      </c>
      <c r="AA33" s="1003">
        <v>0</v>
      </c>
      <c r="AB33" s="1003">
        <v>0</v>
      </c>
      <c r="AC33" s="1003">
        <v>0</v>
      </c>
      <c r="AD33" s="1003">
        <v>0</v>
      </c>
      <c r="AE33" s="1003">
        <v>0</v>
      </c>
      <c r="AF33" s="1003">
        <v>0</v>
      </c>
      <c r="AG33" s="1003">
        <v>73.629000000000005</v>
      </c>
      <c r="AH33" s="1003">
        <v>0</v>
      </c>
      <c r="AI33" s="1003">
        <v>0</v>
      </c>
      <c r="AJ33" s="1003">
        <v>0</v>
      </c>
      <c r="AK33" s="1003">
        <v>0</v>
      </c>
      <c r="AL33" s="1003">
        <v>170.17500000000001</v>
      </c>
      <c r="AM33" s="1003">
        <v>0</v>
      </c>
      <c r="AN33" s="1003">
        <v>0</v>
      </c>
      <c r="AO33" s="1003">
        <v>0</v>
      </c>
      <c r="AP33" s="1003">
        <v>93.039999999999992</v>
      </c>
      <c r="AQ33" s="1003">
        <v>0</v>
      </c>
      <c r="AR33" s="1003">
        <v>0</v>
      </c>
      <c r="AS33" s="1003">
        <v>0</v>
      </c>
      <c r="AT33" s="1003">
        <v>0</v>
      </c>
      <c r="AU33" s="1003">
        <v>0</v>
      </c>
      <c r="AV33" s="1003">
        <v>0</v>
      </c>
      <c r="AW33" s="1003">
        <v>205.82499999999999</v>
      </c>
      <c r="AX33" s="1003">
        <v>0</v>
      </c>
      <c r="AY33" s="1003">
        <v>0</v>
      </c>
      <c r="AZ33" s="1003">
        <v>54.720000000000006</v>
      </c>
      <c r="BA33" s="1003">
        <v>88.185000000000002</v>
      </c>
      <c r="BB33" s="1003">
        <v>0</v>
      </c>
      <c r="BC33" s="1003">
        <v>0</v>
      </c>
      <c r="BD33" s="1003">
        <v>0</v>
      </c>
      <c r="BE33" s="1003">
        <v>0</v>
      </c>
      <c r="BF33" s="1003">
        <v>0</v>
      </c>
      <c r="BG33" s="1003">
        <v>0</v>
      </c>
      <c r="BH33" s="1003">
        <v>0</v>
      </c>
      <c r="BI33" s="1003">
        <v>0</v>
      </c>
      <c r="BJ33" s="1003">
        <v>0</v>
      </c>
      <c r="BK33" s="1003">
        <v>0</v>
      </c>
      <c r="BL33" s="940">
        <f ca="1">IFERROR(OFFSET(ARGUS!$A$3, MATCH($A33, ARGUS!$A$3:$A$176, 0)-1,MATCH(EOMONTH(BL$15,1), ARGUS!$B$4:$LG$4, 0)-1,1,1)/1000, 0)</f>
        <v>0</v>
      </c>
      <c r="BM33" s="940">
        <f ca="1">IFERROR(OFFSET(ARGUS!$A$3, MATCH($A33, ARGUS!$A$3:$A$176, 0)-1,MATCH(EOMONTH(BM$15,1), ARGUS!$B$4:$LG$4, 0)-1,1,1)/1000, 0)</f>
        <v>0</v>
      </c>
      <c r="BN33" s="940">
        <f ca="1">IFERROR(OFFSET(ARGUS!$A$3, MATCH($A33, ARGUS!$A$3:$A$176, 0)-1,MATCH(EOMONTH(BN$15,1), ARGUS!$B$4:$LG$4, 0)-1,1,1)/1000, 0)</f>
        <v>0</v>
      </c>
      <c r="BO33" s="940">
        <f ca="1">IFERROR(OFFSET(ARGUS!$A$3, MATCH($A33, ARGUS!$A$3:$A$176, 0)-1,MATCH(EOMONTH(BO$15,1), ARGUS!$B$4:$LG$4, 0)-1,1,1)/1000, 0)</f>
        <v>0</v>
      </c>
      <c r="BP33" s="940">
        <f ca="1">IFERROR(OFFSET(ARGUS!$A$3, MATCH($A33, ARGUS!$A$3:$A$176, 0)-1,MATCH(EOMONTH(BP$15,1), ARGUS!$B$4:$LG$4, 0)-1,1,1)/1000, 0)</f>
        <v>0</v>
      </c>
      <c r="BQ33" s="940">
        <f ca="1">IFERROR(OFFSET(ARGUS!$A$3, MATCH($A33, ARGUS!$A$3:$A$176, 0)-1,MATCH(EOMONTH(BQ$15,1), ARGUS!$B$4:$LG$4, 0)-1,1,1)/1000, 0)</f>
        <v>0</v>
      </c>
      <c r="BR33" s="940">
        <f ca="1">IFERROR(OFFSET(ARGUS!$A$3, MATCH($A33, ARGUS!$A$3:$A$176, 0)-1,MATCH(EOMONTH(BR$15,1), ARGUS!$B$4:$LG$4, 0)-1,1,1)/1000, 0)</f>
        <v>0</v>
      </c>
      <c r="BS33" s="940">
        <f ca="1">IFERROR(OFFSET(ARGUS!$A$3, MATCH($A33, ARGUS!$A$3:$A$176, 0)-1,MATCH(EOMONTH(BS$15,1), ARGUS!$B$4:$LG$4, 0)-1,1,1)/1000, 0)</f>
        <v>0</v>
      </c>
      <c r="BT33" s="940">
        <f ca="1">IFERROR(OFFSET(ARGUS!$A$3, MATCH($A33, ARGUS!$A$3:$A$176, 0)-1,MATCH(EOMONTH(BT$15,1), ARGUS!$B$4:$LG$4, 0)-1,1,1)/1000, 0)</f>
        <v>0</v>
      </c>
      <c r="BU33" s="940">
        <f ca="1">IFERROR(OFFSET(ARGUS!$A$3, MATCH($A33, ARGUS!$A$3:$A$176, 0)-1,MATCH(EOMONTH(BU$15,1), ARGUS!$B$4:$LG$4, 0)-1,1,1)/1000, 0)</f>
        <v>0</v>
      </c>
      <c r="BV33" s="940">
        <f ca="1">IFERROR(OFFSET(ARGUS!$A$3, MATCH($A33, ARGUS!$A$3:$A$176, 0)-1,MATCH(EOMONTH(BV$15,1), ARGUS!$B$4:$LG$4, 0)-1,1,1)/1000, 0)</f>
        <v>0</v>
      </c>
      <c r="BW33" s="940">
        <f ca="1">IFERROR(OFFSET(ARGUS!$A$3, MATCH($A33, ARGUS!$A$3:$A$176, 0)-1,MATCH(EOMONTH(BW$15,1), ARGUS!$B$4:$LG$4, 0)-1,1,1)/1000, 0)</f>
        <v>0</v>
      </c>
      <c r="BX33" s="940">
        <f ca="1">IFERROR(OFFSET(ARGUS!$A$3, MATCH($A33, ARGUS!$A$3:$A$176, 0)-1,MATCH(EOMONTH(BX$15,1), ARGUS!$B$4:$LG$4, 0)-1,1,1)/1000, 0)</f>
        <v>0</v>
      </c>
      <c r="BY33" s="940">
        <f ca="1">IFERROR(OFFSET(ARGUS!$A$3, MATCH($A33, ARGUS!$A$3:$A$176, 0)-1,MATCH(EOMONTH(BY$15,1), ARGUS!$B$4:$LG$4, 0)-1,1,1)/1000, 0)</f>
        <v>0</v>
      </c>
      <c r="BZ33" s="940">
        <f ca="1">IFERROR(OFFSET(ARGUS!$A$3, MATCH($A33, ARGUS!$A$3:$A$176, 0)-1,MATCH(EOMONTH(BZ$15,1), ARGUS!$B$4:$LG$4, 0)-1,1,1)/1000, 0)</f>
        <v>0</v>
      </c>
      <c r="CA33" s="1529">
        <f>96915/1000</f>
        <v>96.915000000000006</v>
      </c>
      <c r="CB33" s="940">
        <f ca="1">IFERROR(OFFSET(ARGUS!$A$3, MATCH($A33, ARGUS!$A$3:$A$176, 0)-1,MATCH(EOMONTH(CB$15,1), ARGUS!$B$4:$LG$4, 0)-1,1,1)/1000, 0)</f>
        <v>0</v>
      </c>
      <c r="CC33" s="940">
        <f ca="1">IFERROR(OFFSET(ARGUS!$A$3, MATCH($A33, ARGUS!$A$3:$A$176, 0)-1,MATCH(EOMONTH(CC$15,1), ARGUS!$B$4:$LG$4, 0)-1,1,1)/1000, 0)</f>
        <v>0</v>
      </c>
      <c r="CD33" s="1529">
        <f>102360/1000</f>
        <v>102.36</v>
      </c>
      <c r="CE33" s="940">
        <f ca="1">IFERROR(OFFSET(ARGUS!$A$3, MATCH($A33, ARGUS!$A$3:$A$176, 0)-1,MATCH(EOMONTH(CE$15,1), ARGUS!$B$4:$LG$4, 0)-1,1,1)/1000, 0)</f>
        <v>0</v>
      </c>
      <c r="CF33" s="940">
        <f ca="1">IFERROR(OFFSET(ARGUS!$A$3, MATCH($A33, ARGUS!$A$3:$A$176, 0)-1,MATCH(EOMONTH(CF$15,1), ARGUS!$B$4:$LG$4, 0)-1,1,1)/1000, 0)</f>
        <v>0</v>
      </c>
      <c r="CG33" s="940">
        <f ca="1">IFERROR(OFFSET(ARGUS!$A$3, MATCH($A33, ARGUS!$A$3:$A$176, 0)-1,MATCH(EOMONTH(CG$15,1), ARGUS!$B$4:$LG$4, 0)-1,1,1)/1000, 0)</f>
        <v>0</v>
      </c>
      <c r="CH33" s="940">
        <f ca="1">IFERROR(OFFSET(ARGUS!$A$3, MATCH($A33, ARGUS!$A$3:$A$176, 0)-1,MATCH(EOMONTH(CH$15,1), ARGUS!$B$4:$LG$4, 0)-1,1,1)/1000, 0)</f>
        <v>0</v>
      </c>
      <c r="CI33" s="940">
        <f ca="1">IFERROR(OFFSET(ARGUS!$A$3, MATCH($A33, ARGUS!$A$3:$A$176, 0)-1,MATCH(EOMONTH(CI$15,1), ARGUS!$B$4:$LG$4, 0)-1,1,1)/1000, 0)</f>
        <v>0</v>
      </c>
      <c r="CJ33" s="940">
        <f ca="1">IFERROR(OFFSET(ARGUS!$A$3, MATCH($A33, ARGUS!$A$3:$A$176, 0)-1,MATCH(EOMONTH(CJ$15,1), ARGUS!$B$4:$LG$4, 0)-1,1,1)/1000, 0)</f>
        <v>0</v>
      </c>
      <c r="CK33" s="940">
        <f ca="1">IFERROR(OFFSET(ARGUS!$A$3, MATCH($A33, ARGUS!$A$3:$A$176, 0)-1,MATCH(EOMONTH(CK$15,1), ARGUS!$B$4:$LG$4, 0)-1,1,1)/1000, 0)</f>
        <v>0</v>
      </c>
      <c r="CL33" s="940">
        <f ca="1">IFERROR(OFFSET(ARGUS!$A$3, MATCH($A33, ARGUS!$A$3:$A$176, 0)-1,MATCH(EOMONTH(CL$15,1), ARGUS!$B$4:$LG$4, 0)-1,1,1)/1000, 0)</f>
        <v>0</v>
      </c>
      <c r="CM33" s="940">
        <f ca="1">IFERROR(OFFSET(ARGUS!$A$3, MATCH($A33, ARGUS!$A$3:$A$176, 0)-1,MATCH(EOMONTH(CM$15,1), ARGUS!$B$4:$LG$4, 0)-1,1,1)/1000, 0)</f>
        <v>0</v>
      </c>
      <c r="CN33" s="940">
        <f ca="1">IFERROR(OFFSET(ARGUS!$A$3, MATCH($A33, ARGUS!$A$3:$A$176, 0)-1,MATCH(EOMONTH(CN$15,1), ARGUS!$B$4:$LG$4, 0)-1,1,1)/1000, 0)</f>
        <v>0</v>
      </c>
      <c r="CO33" s="940">
        <f ca="1">IFERROR(OFFSET(ARGUS!$A$3, MATCH($A33, ARGUS!$A$3:$A$176, 0)-1,MATCH(EOMONTH(CO$15,1), ARGUS!$B$4:$LG$4, 0)-1,1,1)/1000, 0)</f>
        <v>0</v>
      </c>
      <c r="CP33" s="940">
        <f ca="1">IFERROR(OFFSET(ARGUS!$A$3, MATCH($A33, ARGUS!$A$3:$A$176, 0)-1,MATCH(EOMONTH(CP$15,1), ARGUS!$B$4:$LG$4, 0)-1,1,1)/1000, 0)</f>
        <v>65.7</v>
      </c>
      <c r="CQ33" s="940">
        <f ca="1">IFERROR(OFFSET(ARGUS!$A$3, MATCH($A33, ARGUS!$A$3:$A$176, 0)-1,MATCH(EOMONTH(CQ$15,1), ARGUS!$B$4:$LG$4, 0)-1,1,1)/1000, 0)</f>
        <v>0</v>
      </c>
      <c r="CR33" s="940">
        <f ca="1">IFERROR(OFFSET(ARGUS!$A$3, MATCH($A33, ARGUS!$A$3:$A$176, 0)-1,MATCH(EOMONTH(CR$15,1), ARGUS!$B$4:$LG$4, 0)-1,1,1)/1000, 0)</f>
        <v>0</v>
      </c>
      <c r="CS33" s="940">
        <f ca="1">IFERROR(OFFSET(ARGUS!$A$3, MATCH($A33, ARGUS!$A$3:$A$176, 0)-1,MATCH(EOMONTH(CS$15,1), ARGUS!$B$4:$LG$4, 0)-1,1,1)/1000, 0)</f>
        <v>102.96</v>
      </c>
      <c r="CT33" s="940">
        <f ca="1">IFERROR(OFFSET(ARGUS!$A$3, MATCH($A33, ARGUS!$A$3:$A$176, 0)-1,MATCH(EOMONTH(CT$15,1), ARGUS!$B$4:$LG$4, 0)-1,1,1)/1000, 0)</f>
        <v>154.36799999999999</v>
      </c>
      <c r="CU33" s="940">
        <f ca="1">IFERROR(OFFSET(ARGUS!$A$3, MATCH($A33, ARGUS!$A$3:$A$176, 0)-1,MATCH(EOMONTH(CU$15,1), ARGUS!$B$4:$LG$4, 0)-1,1,1)/1000, 0)</f>
        <v>0</v>
      </c>
      <c r="CV33" s="940">
        <f ca="1">IFERROR(OFFSET(ARGUS!$A$3, MATCH($A33, ARGUS!$A$3:$A$176, 0)-1,MATCH(EOMONTH(CV$15,1), ARGUS!$B$4:$LG$4, 0)-1,1,1)/1000, 0)</f>
        <v>0</v>
      </c>
      <c r="CW33" s="940">
        <f ca="1">IFERROR(OFFSET(ARGUS!$A$3, MATCH($A33, ARGUS!$A$3:$A$176, 0)-1,MATCH(EOMONTH(CW$15,1), ARGUS!$B$4:$LG$4, 0)-1,1,1)/1000, 0)</f>
        <v>0</v>
      </c>
      <c r="CX33" s="940">
        <f ca="1">IFERROR(OFFSET(ARGUS!$A$3, MATCH($A33, ARGUS!$A$3:$A$176, 0)-1,MATCH(EOMONTH(CX$15,1), ARGUS!$B$4:$LG$4, 0)-1,1,1)/1000, 0)</f>
        <v>0</v>
      </c>
      <c r="CY33" s="940">
        <f ca="1">IFERROR(OFFSET(ARGUS!$A$3, MATCH($A33, ARGUS!$A$3:$A$176, 0)-1,MATCH(EOMONTH(CY$15,1), ARGUS!$B$4:$LG$4, 0)-1,1,1)/1000, 0)</f>
        <v>103.86</v>
      </c>
      <c r="CZ33" s="940">
        <f ca="1">IFERROR(OFFSET(ARGUS!$A$3, MATCH($A33, ARGUS!$A$3:$A$176, 0)-1,MATCH(EOMONTH(CZ$15,1), ARGUS!$B$4:$LG$4, 0)-1,1,1)/1000, 0)</f>
        <v>0</v>
      </c>
      <c r="DA33" s="940">
        <f ca="1">IFERROR(OFFSET(ARGUS!$A$3, MATCH($A33, ARGUS!$A$3:$A$176, 0)-1,MATCH(EOMONTH(DA$15,1), ARGUS!$B$4:$LG$4, 0)-1,1,1)/1000, 0)</f>
        <v>91.403999999999996</v>
      </c>
      <c r="DB33" s="940">
        <f ca="1">IFERROR(OFFSET(ARGUS!$A$3, MATCH($A33, ARGUS!$A$3:$A$176, 0)-1,MATCH(EOMONTH(DB$15,1), ARGUS!$B$4:$LG$4, 0)-1,1,1)/1000, 0)</f>
        <v>1125</v>
      </c>
      <c r="DC33" s="940">
        <f ca="1">IFERROR(OFFSET(ARGUS!$A$3, MATCH($A33, ARGUS!$A$3:$A$176, 0)-1,MATCH(EOMONTH(DC$15,1), ARGUS!$B$4:$LG$4, 0)-1,1,1)/1000, 0)</f>
        <v>147.44999999999999</v>
      </c>
      <c r="DD33" s="940">
        <f ca="1">IFERROR(OFFSET(ARGUS!$A$3, MATCH($A33, ARGUS!$A$3:$A$176, 0)-1,MATCH(EOMONTH(DD$15,1), ARGUS!$B$4:$LG$4, 0)-1,1,1)/1000, 0)</f>
        <v>0</v>
      </c>
      <c r="DE33" s="940">
        <f ca="1">IFERROR(OFFSET(ARGUS!$A$3, MATCH($A33, ARGUS!$A$3:$A$176, 0)-1,MATCH(EOMONTH(DE$15,1), ARGUS!$B$4:$LG$4, 0)-1,1,1)/1000, 0)</f>
        <v>0</v>
      </c>
      <c r="DF33" s="940">
        <f ca="1">IFERROR(OFFSET(ARGUS!$A$3, MATCH($A33, ARGUS!$A$3:$A$176, 0)-1,MATCH(EOMONTH(DF$15,1), ARGUS!$B$4:$LG$4, 0)-1,1,1)/1000, 0)</f>
        <v>0</v>
      </c>
      <c r="DG33" s="940">
        <f ca="1">IFERROR(OFFSET(ARGUS!$A$3, MATCH($A33, ARGUS!$A$3:$A$176, 0)-1,MATCH(EOMONTH(DG$15,1), ARGUS!$B$4:$LG$4, 0)-1,1,1)/1000, 0)</f>
        <v>0</v>
      </c>
      <c r="DH33" s="940">
        <f ca="1">IFERROR(OFFSET(ARGUS!$A$3, MATCH($A33, ARGUS!$A$3:$A$176, 0)-1,MATCH(EOMONTH(DH$15,1), ARGUS!$B$4:$LG$4, 0)-1,1,1)/1000, 0)</f>
        <v>0</v>
      </c>
      <c r="DI33" s="940">
        <f ca="1">IFERROR(OFFSET(ARGUS!$A$3, MATCH($A33, ARGUS!$A$3:$A$176, 0)-1,MATCH(EOMONTH(DI$15,1), ARGUS!$B$4:$LG$4, 0)-1,1,1)/1000, 0)</f>
        <v>0</v>
      </c>
      <c r="DJ33" s="940">
        <f ca="1">IFERROR(OFFSET(ARGUS!$A$3, MATCH($A33, ARGUS!$A$3:$A$176, 0)-1,MATCH(EOMONTH(DJ$15,1), ARGUS!$B$4:$LG$4, 0)-1,1,1)/1000, 0)</f>
        <v>0</v>
      </c>
      <c r="DK33" s="940">
        <f ca="1">IFERROR(OFFSET(ARGUS!$A$3, MATCH($A33, ARGUS!$A$3:$A$176, 0)-1,MATCH(EOMONTH(DK$15,1), ARGUS!$B$4:$LG$4, 0)-1,1,1)/1000, 0)</f>
        <v>0</v>
      </c>
      <c r="DL33" s="940">
        <f ca="1">IFERROR(OFFSET(ARGUS!$A$3, MATCH($A33, ARGUS!$A$3:$A$176, 0)-1,MATCH(EOMONTH(DL$15,1), ARGUS!$B$4:$LG$4, 0)-1,1,1)/1000, 0)</f>
        <v>0</v>
      </c>
      <c r="DM33" s="940">
        <f ca="1">IFERROR(OFFSET(ARGUS!$A$3, MATCH($A33, ARGUS!$A$3:$A$176, 0)-1,MATCH(EOMONTH(DM$15,1), ARGUS!$B$4:$LG$4, 0)-1,1,1)/1000, 0)</f>
        <v>0</v>
      </c>
      <c r="DN33" s="940">
        <f ca="1">IFERROR(OFFSET(ARGUS!$A$3, MATCH($A33, ARGUS!$A$3:$A$176, 0)-1,MATCH(EOMONTH(DN$15,1), ARGUS!$B$4:$LG$4, 0)-1,1,1)/1000, 0)</f>
        <v>0</v>
      </c>
      <c r="DO33" s="940">
        <f ca="1">IFERROR(OFFSET(ARGUS!$A$3, MATCH($A33, ARGUS!$A$3:$A$176, 0)-1,MATCH(EOMONTH(DO$15,1), ARGUS!$B$4:$LG$4, 0)-1,1,1)/1000, 0)</f>
        <v>37.008000000000003</v>
      </c>
      <c r="DP33" s="940">
        <f ca="1">IFERROR(OFFSET(ARGUS!$A$3, MATCH($A33, ARGUS!$A$3:$A$176, 0)-1,MATCH(EOMONTH(DP$15,1), ARGUS!$B$4:$LG$4, 0)-1,1,1)/1000, 0)</f>
        <v>0</v>
      </c>
      <c r="DQ33" s="940">
        <f ca="1">IFERROR(OFFSET(ARGUS!$A$3, MATCH($A33, ARGUS!$A$3:$A$176, 0)-1,MATCH(EOMONTH(DQ$15,1), ARGUS!$B$4:$LG$4, 0)-1,1,1)/1000, 0)</f>
        <v>0</v>
      </c>
      <c r="DR33" s="940">
        <f ca="1">IFERROR(OFFSET(ARGUS!$A$3, MATCH($A33, ARGUS!$A$3:$A$176, 0)-1,MATCH(EOMONTH(DR$15,1), ARGUS!$B$4:$LG$4, 0)-1,1,1)/1000, 0)</f>
        <v>0</v>
      </c>
      <c r="DS33" s="940">
        <f ca="1">IFERROR(OFFSET(ARGUS!$A$3, MATCH($A33, ARGUS!$A$3:$A$176, 0)-1,MATCH(EOMONTH(DS$15,1), ARGUS!$B$4:$LG$4, 0)-1,1,1)/1000, 0)</f>
        <v>0</v>
      </c>
      <c r="DT33" s="940">
        <f ca="1">IFERROR(OFFSET(ARGUS!$A$3, MATCH($A33, ARGUS!$A$3:$A$176, 0)-1,MATCH(EOMONTH(DT$15,1), ARGUS!$B$4:$LG$4, 0)-1,1,1)/1000, 0)</f>
        <v>0</v>
      </c>
      <c r="DU33" s="940">
        <f ca="1">IFERROR(OFFSET(ARGUS!$A$3, MATCH($A33, ARGUS!$A$3:$A$176, 0)-1,MATCH(EOMONTH(DU$15,1), ARGUS!$B$4:$LG$4, 0)-1,1,1)/1000, 0)</f>
        <v>0</v>
      </c>
      <c r="DV33" s="940">
        <f ca="1">IFERROR(OFFSET(ARGUS!$A$3, MATCH($A33, ARGUS!$A$3:$A$176, 0)-1,MATCH(EOMONTH(DV$15,1), ARGUS!$B$4:$LG$4, 0)-1,1,1)/1000, 0)</f>
        <v>0</v>
      </c>
      <c r="DW33" s="940">
        <f ca="1">IFERROR(OFFSET(ARGUS!$A$3, MATCH($A33, ARGUS!$A$3:$A$176, 0)-1,MATCH(EOMONTH(DW$15,1), ARGUS!$B$4:$LG$4, 0)-1,1,1)/1000, 0)</f>
        <v>0</v>
      </c>
      <c r="DX33" s="940">
        <f ca="1">IFERROR(OFFSET(ARGUS!$A$3, MATCH($A33, ARGUS!$A$3:$A$176, 0)-1,MATCH(EOMONTH(DX$15,1), ARGUS!$B$4:$LG$4, 0)-1,1,1)/1000, 0)</f>
        <v>0</v>
      </c>
      <c r="DY33" s="940">
        <f ca="1">IFERROR(OFFSET(ARGUS!$A$3, MATCH($A33, ARGUS!$A$3:$A$176, 0)-1,MATCH(EOMONTH(DY$15,1), ARGUS!$B$4:$LG$4, 0)-1,1,1)/1000, 0)</f>
        <v>0</v>
      </c>
      <c r="DZ33" s="940">
        <f ca="1">IFERROR(OFFSET(ARGUS!$A$3, MATCH($A33, ARGUS!$A$3:$A$176, 0)-1,MATCH(EOMONTH(DZ$15,1), ARGUS!$B$4:$LG$4, 0)-1,1,1)/1000, 0)</f>
        <v>0</v>
      </c>
      <c r="EA33" s="940">
        <f ca="1">IFERROR(OFFSET(ARGUS!$A$3, MATCH($A33, ARGUS!$A$3:$A$176, 0)-1,MATCH(EOMONTH(EA$15,1), ARGUS!$B$4:$LG$4, 0)-1,1,1)/1000, 0)</f>
        <v>0</v>
      </c>
      <c r="EB33" s="940">
        <f ca="1">IFERROR(OFFSET(ARGUS!$A$3, MATCH($A33, ARGUS!$A$3:$A$176, 0)-1,MATCH(EOMONTH(EB$15,1), ARGUS!$B$4:$LG$4, 0)-1,1,1)/1000, 0)</f>
        <v>0</v>
      </c>
      <c r="EC33" s="940">
        <f ca="1">IFERROR(OFFSET(ARGUS!$A$3, MATCH($A33, ARGUS!$A$3:$A$176, 0)-1,MATCH(EOMONTH(EC$15,1), ARGUS!$B$4:$LG$4, 0)-1,1,1)/1000, 0)</f>
        <v>0</v>
      </c>
      <c r="ED33" s="940">
        <f ca="1">IFERROR(OFFSET(ARGUS!$A$3, MATCH($A33, ARGUS!$A$3:$A$176, 0)-1,MATCH(EOMONTH(ED$15,1), ARGUS!$B$4:$LG$4, 0)-1,1,1)/1000, 0)</f>
        <v>0</v>
      </c>
      <c r="EE33" s="940">
        <f ca="1">IFERROR(OFFSET(ARGUS!$A$3, MATCH($A33, ARGUS!$A$3:$A$176, 0)-1,MATCH(EOMONTH(EE$15,1), ARGUS!$B$4:$LG$4, 0)-1,1,1)/1000, 0)</f>
        <v>0</v>
      </c>
      <c r="EF33" s="940">
        <f ca="1">IFERROR(OFFSET(ARGUS!$A$3, MATCH($A33, ARGUS!$A$3:$A$176, 0)-1,MATCH(EOMONTH(EF$15,1), ARGUS!$B$4:$LG$4, 0)-1,1,1)/1000, 0)</f>
        <v>99.683999999999997</v>
      </c>
      <c r="EG33" s="940">
        <f ca="1">IFERROR(OFFSET(ARGUS!$A$3, MATCH($A33, ARGUS!$A$3:$A$176, 0)-1,MATCH(EOMONTH(EG$15,1), ARGUS!$B$4:$LG$4, 0)-1,1,1)/1000, 0)</f>
        <v>114.98399999999999</v>
      </c>
      <c r="EH33" s="940">
        <f ca="1">IFERROR(OFFSET(ARGUS!$A$3, MATCH($A33, ARGUS!$A$3:$A$176, 0)-1,MATCH(EOMONTH(EH$15,1), ARGUS!$B$4:$LG$4, 0)-1,1,1)/1000, 0)</f>
        <v>0</v>
      </c>
      <c r="EI33" s="940">
        <f ca="1">IFERROR(OFFSET(ARGUS!$A$3, MATCH($A33, ARGUS!$A$3:$A$176, 0)-1,MATCH(EOMONTH(EI$15,1), ARGUS!$B$4:$LG$4, 0)-1,1,1)/1000, 0)</f>
        <v>0</v>
      </c>
      <c r="EJ33" s="940">
        <f ca="1">IFERROR(OFFSET(ARGUS!$A$3, MATCH($A33, ARGUS!$A$3:$A$176, 0)-1,MATCH(EOMONTH(EJ$15,1), ARGUS!$B$4:$LG$4, 0)-1,1,1)/1000, 0)</f>
        <v>0</v>
      </c>
      <c r="EK33" s="940">
        <f ca="1">IFERROR(OFFSET(ARGUS!$A$3, MATCH($A33, ARGUS!$A$3:$A$176, 0)-1,MATCH(EOMONTH(EK$15,1), ARGUS!$B$4:$LG$4, 0)-1,1,1)/1000, 0)</f>
        <v>0</v>
      </c>
      <c r="EL33" s="940">
        <f ca="1">IFERROR(OFFSET(ARGUS!$A$3, MATCH($A33, ARGUS!$A$3:$A$176, 0)-1,MATCH(EOMONTH(EL$15,1), ARGUS!$B$4:$LG$4, 0)-1,1,1)/1000, 0)</f>
        <v>0</v>
      </c>
      <c r="EM33" s="940">
        <f ca="1">IFERROR(OFFSET(ARGUS!$A$3, MATCH($A33, ARGUS!$A$3:$A$176, 0)-1,MATCH(EOMONTH(EM$15,1), ARGUS!$B$4:$LG$4, 0)-1,1,1)/1000, 0)</f>
        <v>0</v>
      </c>
      <c r="EN33" s="940">
        <f ca="1">IFERROR(OFFSET(ARGUS!$A$3, MATCH($A33, ARGUS!$A$3:$A$176, 0)-1,MATCH(EOMONTH(EN$15,1), ARGUS!$B$4:$LG$4, 0)-1,1,1)/1000, 0)</f>
        <v>0</v>
      </c>
      <c r="EO33" s="940">
        <f ca="1">IFERROR(OFFSET(ARGUS!$A$3, MATCH($A33, ARGUS!$A$3:$A$176, 0)-1,MATCH(EOMONTH(EO$15,1), ARGUS!$B$4:$LG$4, 0)-1,1,1)/1000, 0)</f>
        <v>0</v>
      </c>
      <c r="EP33" s="940">
        <f ca="1">IFERROR(OFFSET(ARGUS!$A$3, MATCH($A33, ARGUS!$A$3:$A$176, 0)-1,MATCH(EOMONTH(EP$15,1), ARGUS!$B$4:$LG$4, 0)-1,1,1)/1000, 0)</f>
        <v>0</v>
      </c>
      <c r="EQ33" s="940">
        <f ca="1">IFERROR(OFFSET(ARGUS!$A$3, MATCH($A33, ARGUS!$A$3:$A$176, 0)-1,MATCH(EOMONTH(EQ$15,1), ARGUS!$B$4:$LG$4, 0)-1,1,1)/1000, 0)</f>
        <v>0</v>
      </c>
      <c r="ER33" s="940">
        <f ca="1">IFERROR(OFFSET(ARGUS!$A$3, MATCH($A33, ARGUS!$A$3:$A$176, 0)-1,MATCH(EOMONTH(ER$15,1), ARGUS!$B$4:$LG$4, 0)-1,1,1)/1000, 0)</f>
        <v>62.856000000000002</v>
      </c>
      <c r="ES33" s="940">
        <f ca="1">IFERROR(OFFSET(ARGUS!$A$3, MATCH($A33, ARGUS!$A$3:$A$176, 0)-1,MATCH(EOMONTH(ES$15,1), ARGUS!$B$4:$LG$4, 0)-1,1,1)/1000, 0)</f>
        <v>0</v>
      </c>
      <c r="ET33" s="940">
        <f ca="1">IFERROR(OFFSET(ARGUS!$A$3, MATCH($A33, ARGUS!$A$3:$A$176, 0)-1,MATCH(EOMONTH(ET$15,1), ARGUS!$B$4:$LG$4, 0)-1,1,1)/1000, 0)</f>
        <v>0</v>
      </c>
      <c r="EU33" s="940">
        <f ca="1">IFERROR(OFFSET(ARGUS!$A$3, MATCH($A33, ARGUS!$A$3:$A$176, 0)-1,MATCH(EOMONTH(EU$15,1), ARGUS!$B$4:$LG$4, 0)-1,1,1)/1000, 0)</f>
        <v>0</v>
      </c>
      <c r="EV33" s="940">
        <f ca="1">IFERROR(OFFSET(ARGUS!$A$3, MATCH($A33, ARGUS!$A$3:$A$176, 0)-1,MATCH(EOMONTH(EV$15,1), ARGUS!$B$4:$LG$4, 0)-1,1,1)/1000, 0)</f>
        <v>0</v>
      </c>
      <c r="EW33" s="940">
        <f ca="1">IFERROR(OFFSET(ARGUS!$A$3, MATCH($A33, ARGUS!$A$3:$A$176, 0)-1,MATCH(EOMONTH(EW$15,1), ARGUS!$B$4:$LG$4, 0)-1,1,1)/1000, 0)</f>
        <v>0</v>
      </c>
      <c r="EX33" s="940">
        <f ca="1">IFERROR(OFFSET(ARGUS!$A$3, MATCH($A33, ARGUS!$A$3:$A$176, 0)-1,MATCH(EOMONTH(EX$15,1), ARGUS!$B$4:$LG$4, 0)-1,1,1)/1000, 0)</f>
        <v>0</v>
      </c>
      <c r="EY33" s="940">
        <f ca="1">IFERROR(OFFSET(ARGUS!$A$3, MATCH($A33, ARGUS!$A$3:$A$176, 0)-1,MATCH(EOMONTH(EY$15,1), ARGUS!$B$4:$LG$4, 0)-1,1,1)/1000, 0)</f>
        <v>39.42</v>
      </c>
      <c r="EZ33" s="940">
        <f ca="1">IFERROR(OFFSET(ARGUS!$A$3, MATCH($A33, ARGUS!$A$3:$A$176, 0)-1,MATCH(EOMONTH(EZ$15,1), ARGUS!$B$4:$LG$4, 0)-1,1,1)/1000, 0)</f>
        <v>81.683999999999997</v>
      </c>
      <c r="FA33" s="940">
        <f ca="1">IFERROR(OFFSET(ARGUS!$A$3, MATCH($A33, ARGUS!$A$3:$A$176, 0)-1,MATCH(EOMONTH(FA$15,1), ARGUS!$B$4:$LG$4, 0)-1,1,1)/1000, 0)</f>
        <v>0</v>
      </c>
      <c r="FB33" s="940">
        <f ca="1">IFERROR(OFFSET(ARGUS!$A$3, MATCH($A33, ARGUS!$A$3:$A$176, 0)-1,MATCH(EOMONTH(FB$15,1), ARGUS!$B$4:$LG$4, 0)-1,1,1)/1000, 0)</f>
        <v>102.96</v>
      </c>
      <c r="FC33" s="940">
        <f ca="1">IFERROR(OFFSET(ARGUS!$A$3, MATCH($A33, ARGUS!$A$3:$A$176, 0)-1,MATCH(EOMONTH(FC$15,1), ARGUS!$B$4:$LG$4, 0)-1,1,1)/1000, 0)</f>
        <v>154.36799999999999</v>
      </c>
      <c r="FD33" s="940">
        <f ca="1">IFERROR(OFFSET(ARGUS!$A$3, MATCH($A33, ARGUS!$A$3:$A$176, 0)-1,MATCH(EOMONTH(FD$15,1), ARGUS!$B$4:$LG$4, 0)-1,1,1)/1000, 0)</f>
        <v>0</v>
      </c>
      <c r="FE33" s="940">
        <f ca="1">IFERROR(OFFSET(ARGUS!$A$3, MATCH($A33, ARGUS!$A$3:$A$176, 0)-1,MATCH(EOMONTH(FE$15,1), ARGUS!$B$4:$LG$4, 0)-1,1,1)/1000, 0)</f>
        <v>0</v>
      </c>
      <c r="FF33" s="940">
        <f ca="1">IFERROR(OFFSET(ARGUS!$A$3, MATCH($A33, ARGUS!$A$3:$A$176, 0)-1,MATCH(EOMONTH(FF$15,1), ARGUS!$B$4:$LG$4, 0)-1,1,1)/1000, 0)</f>
        <v>0</v>
      </c>
      <c r="FG33" s="940">
        <f ca="1">IFERROR(OFFSET(ARGUS!$A$3, MATCH($A33, ARGUS!$A$3:$A$176, 0)-1,MATCH(EOMONTH(FG$15,1), ARGUS!$B$4:$LG$4, 0)-1,1,1)/1000, 0)</f>
        <v>0</v>
      </c>
      <c r="FH33" s="940">
        <f ca="1">IFERROR(OFFSET(ARGUS!$A$3, MATCH($A33, ARGUS!$A$3:$A$176, 0)-1,MATCH(EOMONTH(FH$15,1), ARGUS!$B$4:$LG$4, 0)-1,1,1)/1000, 0)</f>
        <v>103.86</v>
      </c>
      <c r="FI33" s="940">
        <f ca="1">IFERROR(OFFSET(ARGUS!$A$3, MATCH($A33, ARGUS!$A$3:$A$176, 0)-1,MATCH(EOMONTH(FI$15,1), ARGUS!$B$4:$LG$4, 0)-1,1,1)/1000, 0)</f>
        <v>0</v>
      </c>
      <c r="FJ33" s="940">
        <f ca="1">IFERROR(OFFSET(ARGUS!$A$3, MATCH($A33, ARGUS!$A$3:$A$176, 0)-1,MATCH(EOMONTH(FJ$15,1), ARGUS!$B$4:$LG$4, 0)-1,1,1)/1000, 0)</f>
        <v>91.403999999999996</v>
      </c>
      <c r="FK33" s="940">
        <f ca="1">IFERROR(OFFSET(ARGUS!$A$3, MATCH($A33, ARGUS!$A$3:$A$176, 0)-1,MATCH(EOMONTH(FK$15,1), ARGUS!$B$4:$LG$4, 0)-1,1,1)/1000, 0)</f>
        <v>0</v>
      </c>
      <c r="FL33" s="940">
        <f ca="1">IFERROR(OFFSET(ARGUS!$A$3, MATCH($A33, ARGUS!$A$3:$A$176, 0)-1,MATCH(EOMONTH(FL$15,1), ARGUS!$B$4:$LG$4, 0)-1,1,1)/1000, 0)</f>
        <v>63.503999999999998</v>
      </c>
      <c r="FM33" s="940">
        <f ca="1">IFERROR(OFFSET(ARGUS!$A$3, MATCH($A33, ARGUS!$A$3:$A$176, 0)-1,MATCH(EOMONTH(FM$15,1), ARGUS!$B$4:$LG$4, 0)-1,1,1)/1000, 0)</f>
        <v>88.47</v>
      </c>
      <c r="FN33" s="940">
        <f ca="1">IFERROR(OFFSET(ARGUS!$A$3, MATCH($A33, ARGUS!$A$3:$A$176, 0)-1,MATCH(EOMONTH(FN$15,1), ARGUS!$B$4:$LG$4, 0)-1,1,1)/1000, 0)</f>
        <v>0</v>
      </c>
      <c r="FO33" s="940">
        <f ca="1">IFERROR(OFFSET(ARGUS!$A$3, MATCH($A33, ARGUS!$A$3:$A$176, 0)-1,MATCH(EOMONTH(FO$15,1), ARGUS!$B$4:$LG$4, 0)-1,1,1)/1000, 0)</f>
        <v>0</v>
      </c>
      <c r="FP33" s="940">
        <f ca="1">IFERROR(OFFSET(ARGUS!$A$3, MATCH($A33, ARGUS!$A$3:$A$176, 0)-1,MATCH(EOMONTH(FP$15,1), ARGUS!$B$4:$LG$4, 0)-1,1,1)/1000, 0)</f>
        <v>0</v>
      </c>
      <c r="FQ33" s="940">
        <f ca="1">IFERROR(OFFSET(ARGUS!$A$3, MATCH($A33, ARGUS!$A$3:$A$176, 0)-1,MATCH(EOMONTH(FQ$15,1), ARGUS!$B$4:$LG$4, 0)-1,1,1)/1000, 0)</f>
        <v>0</v>
      </c>
      <c r="FR33" s="940">
        <f ca="1">IFERROR(OFFSET(ARGUS!$A$3, MATCH($A33, ARGUS!$A$3:$A$176, 0)-1,MATCH(EOMONTH(FR$15,1), ARGUS!$B$4:$LG$4, 0)-1,1,1)/1000, 0)</f>
        <v>0</v>
      </c>
      <c r="FS33" s="940">
        <f ca="1">IFERROR(OFFSET(ARGUS!$A$3, MATCH($A33, ARGUS!$A$3:$A$176, 0)-1,MATCH(EOMONTH(FS$15,1), ARGUS!$B$4:$LG$4, 0)-1,1,1)/1000, 0)</f>
        <v>0</v>
      </c>
      <c r="FT33" s="940">
        <f ca="1">IFERROR(OFFSET(ARGUS!$A$3, MATCH($A33, ARGUS!$A$3:$A$176, 0)-1,MATCH(EOMONTH(FT$15,1), ARGUS!$B$4:$LG$4, 0)-1,1,1)/1000, 0)</f>
        <v>0</v>
      </c>
      <c r="FU33" s="940">
        <f ca="1">IFERROR(OFFSET(ARGUS!$A$3, MATCH($A33, ARGUS!$A$3:$A$176, 0)-1,MATCH(EOMONTH(FU$15,1), ARGUS!$B$4:$LG$4, 0)-1,1,1)/1000, 0)</f>
        <v>0</v>
      </c>
      <c r="FV33" s="940">
        <f ca="1">IFERROR(OFFSET(ARGUS!$A$3, MATCH($A33, ARGUS!$A$3:$A$176, 0)-1,MATCH(EOMONTH(FV$15,1), ARGUS!$B$4:$LG$4, 0)-1,1,1)/1000, 0)</f>
        <v>0</v>
      </c>
      <c r="FW33" s="940">
        <f ca="1">IFERROR(OFFSET(ARGUS!$A$3, MATCH($A33, ARGUS!$A$3:$A$176, 0)-1,MATCH(EOMONTH(FW$15,1), ARGUS!$B$4:$LG$4, 0)-1,1,1)/1000, 0)</f>
        <v>0</v>
      </c>
      <c r="FX33" s="940">
        <f ca="1">IFERROR(OFFSET(ARGUS!$A$3, MATCH($A33, ARGUS!$A$3:$A$176, 0)-1,MATCH(EOMONTH(FX$15,1), ARGUS!$B$4:$LG$4, 0)-1,1,1)/1000, 0)</f>
        <v>37.008000000000003</v>
      </c>
      <c r="FY33" s="940">
        <f ca="1">IFERROR(OFFSET(ARGUS!$A$3, MATCH($A33, ARGUS!$A$3:$A$176, 0)-1,MATCH(EOMONTH(FY$15,1), ARGUS!$B$4:$LG$4, 0)-1,1,1)/1000, 0)</f>
        <v>0</v>
      </c>
      <c r="FZ33" s="940">
        <f ca="1">IFERROR(OFFSET(ARGUS!$A$3, MATCH($A33, ARGUS!$A$3:$A$176, 0)-1,MATCH(EOMONTH(FZ$15,1), ARGUS!$B$4:$LG$4, 0)-1,1,1)/1000, 0)</f>
        <v>0</v>
      </c>
      <c r="GA33" s="940">
        <f ca="1">IFERROR(OFFSET(ARGUS!$A$3, MATCH($A33, ARGUS!$A$3:$A$176, 0)-1,MATCH(EOMONTH(GA$15,1), ARGUS!$B$4:$LG$4, 0)-1,1,1)/1000, 0)</f>
        <v>0</v>
      </c>
      <c r="GB33" s="940">
        <f ca="1">IFERROR(OFFSET(ARGUS!$A$3, MATCH($A33, ARGUS!$A$3:$A$176, 0)-1,MATCH(EOMONTH(GB$15,1), ARGUS!$B$4:$LG$4, 0)-1,1,1)/1000, 0)</f>
        <v>0</v>
      </c>
      <c r="GC33" s="940">
        <f ca="1">IFERROR(OFFSET(ARGUS!$A$3, MATCH($A33, ARGUS!$A$3:$A$176, 0)-1,MATCH(EOMONTH(GC$15,1), ARGUS!$B$4:$LG$4, 0)-1,1,1)/1000, 0)</f>
        <v>0</v>
      </c>
      <c r="GD33" s="940">
        <f ca="1">IFERROR(OFFSET(ARGUS!$A$3, MATCH($A33, ARGUS!$A$3:$A$176, 0)-1,MATCH(EOMONTH(GD$15,1), ARGUS!$B$4:$LG$4, 0)-1,1,1)/1000, 0)</f>
        <v>0</v>
      </c>
      <c r="GE33" s="940">
        <f ca="1">IFERROR(OFFSET(ARGUS!$A$3, MATCH($A33, ARGUS!$A$3:$A$176, 0)-1,MATCH(EOMONTH(GE$15,1), ARGUS!$B$4:$LG$4, 0)-1,1,1)/1000, 0)</f>
        <v>0</v>
      </c>
      <c r="GF33" s="940">
        <f ca="1">IFERROR(OFFSET(ARGUS!$A$3, MATCH($A33, ARGUS!$A$3:$A$176, 0)-1,MATCH(EOMONTH(GF$15,1), ARGUS!$B$4:$LG$4, 0)-1,1,1)/1000, 0)</f>
        <v>0</v>
      </c>
      <c r="GG33" s="940">
        <f ca="1">IFERROR(OFFSET(ARGUS!$A$3, MATCH($A33, ARGUS!$A$3:$A$176, 0)-1,MATCH(EOMONTH(GG$15,1), ARGUS!$B$4:$LG$4, 0)-1,1,1)/1000, 0)</f>
        <v>0</v>
      </c>
      <c r="GH33" s="940">
        <f ca="1">IFERROR(OFFSET(ARGUS!$A$3, MATCH($A33, ARGUS!$A$3:$A$176, 0)-1,MATCH(EOMONTH(GH$15,1), ARGUS!$B$4:$LG$4, 0)-1,1,1)/1000, 0)</f>
        <v>0</v>
      </c>
      <c r="GI33" s="940">
        <f ca="1">IFERROR(OFFSET(ARGUS!$A$3, MATCH($A33, ARGUS!$A$3:$A$176, 0)-1,MATCH(EOMONTH(GI$15,1), ARGUS!$B$4:$LG$4, 0)-1,1,1)/1000, 0)</f>
        <v>0</v>
      </c>
      <c r="GJ33" s="940">
        <f ca="1">IFERROR(OFFSET(ARGUS!$A$3, MATCH($A33, ARGUS!$A$3:$A$176, 0)-1,MATCH(EOMONTH(GJ$15,1), ARGUS!$B$4:$LG$4, 0)-1,1,1)/1000, 0)</f>
        <v>0</v>
      </c>
      <c r="GK33" s="940">
        <f ca="1">IFERROR(OFFSET(ARGUS!$A$3, MATCH($A33, ARGUS!$A$3:$A$176, 0)-1,MATCH(EOMONTH(GK$15,1), ARGUS!$B$4:$LG$4, 0)-1,1,1)/1000, 0)</f>
        <v>0</v>
      </c>
      <c r="GL33" s="940">
        <f ca="1">IFERROR(OFFSET(ARGUS!$A$3, MATCH($A33, ARGUS!$A$3:$A$176, 0)-1,MATCH(EOMONTH(GL$15,1), ARGUS!$B$4:$LG$4, 0)-1,1,1)/1000, 0)</f>
        <v>0</v>
      </c>
      <c r="GM33" s="940">
        <f ca="1">IFERROR(OFFSET(ARGUS!$A$3, MATCH($A33, ARGUS!$A$3:$A$176, 0)-1,MATCH(EOMONTH(GM$15,1), ARGUS!$B$4:$LG$4, 0)-1,1,1)/1000, 0)</f>
        <v>0</v>
      </c>
      <c r="GN33" s="940">
        <f ca="1">IFERROR(OFFSET(ARGUS!$A$3, MATCH($A33, ARGUS!$A$3:$A$176, 0)-1,MATCH(EOMONTH(GN$15,1), ARGUS!$B$4:$LG$4, 0)-1,1,1)/1000, 0)</f>
        <v>0</v>
      </c>
      <c r="GO33" s="940">
        <f ca="1">IFERROR(OFFSET(ARGUS!$A$3, MATCH($A33, ARGUS!$A$3:$A$176, 0)-1,MATCH(EOMONTH(GO$15,1), ARGUS!$B$4:$LG$4, 0)-1,1,1)/1000, 0)</f>
        <v>99.683999999999997</v>
      </c>
      <c r="GP33" s="940">
        <f ca="1">IFERROR(OFFSET(ARGUS!$A$3, MATCH($A33, ARGUS!$A$3:$A$176, 0)-1,MATCH(EOMONTH(GP$15,1), ARGUS!$B$4:$LG$4, 0)-1,1,1)/1000, 0)</f>
        <v>114.98399999999999</v>
      </c>
      <c r="GQ33" s="940">
        <f ca="1">IFERROR(OFFSET(ARGUS!$A$3, MATCH($A33, ARGUS!$A$3:$A$176, 0)-1,MATCH(EOMONTH(GQ$15,1), ARGUS!$B$4:$LG$4, 0)-1,1,1)/1000, 0)</f>
        <v>0</v>
      </c>
      <c r="GR33" s="940">
        <f ca="1">IFERROR(OFFSET(ARGUS!$A$3, MATCH($A33, ARGUS!$A$3:$A$176, 0)-1,MATCH(EOMONTH(GR$15,1), ARGUS!$B$4:$LG$4, 0)-1,1,1)/1000, 0)</f>
        <v>0</v>
      </c>
      <c r="GS33" s="940">
        <f ca="1">IFERROR(OFFSET(ARGUS!$A$3, MATCH($A33, ARGUS!$A$3:$A$176, 0)-1,MATCH(EOMONTH(GS$15,1), ARGUS!$B$4:$LG$4, 0)-1,1,1)/1000, 0)</f>
        <v>0</v>
      </c>
      <c r="GT33" s="940">
        <f ca="1">IFERROR(OFFSET(ARGUS!$A$3, MATCH($A33, ARGUS!$A$3:$A$176, 0)-1,MATCH(EOMONTH(GT$15,1), ARGUS!$B$4:$LG$4, 0)-1,1,1)/1000, 0)</f>
        <v>0</v>
      </c>
      <c r="GU33" s="940"/>
      <c r="GV33" s="940"/>
      <c r="GW33" s="940"/>
      <c r="GX33" s="940"/>
      <c r="GY33" s="940"/>
      <c r="GZ33" s="940"/>
      <c r="HA33" s="940"/>
      <c r="HB33" s="940"/>
      <c r="HC33" s="940"/>
      <c r="HD33" s="940"/>
      <c r="HE33" s="940"/>
      <c r="HF33" s="1" t="s">
        <v>212</v>
      </c>
      <c r="HG33" s="139">
        <f t="shared" si="519"/>
        <v>10</v>
      </c>
      <c r="HH33" s="9" t="str">
        <f t="shared" si="556"/>
        <v>Tenant Improvements</v>
      </c>
      <c r="HI33" s="18"/>
      <c r="HJ33" s="18"/>
      <c r="HK33" s="18"/>
      <c r="HL33" s="116">
        <f t="shared" ref="HL33:HL41" ca="1" si="557">SUM(HN33:HV33)</f>
        <v>2716.7110000000002</v>
      </c>
      <c r="HM33" s="18"/>
      <c r="HN33" s="131">
        <f t="shared" ref="HN33:HV37" si="558">SUMIF($K$14:$GT$14,HN$14,$K33:$GT33)</f>
        <v>0</v>
      </c>
      <c r="HO33" s="18">
        <f t="shared" si="558"/>
        <v>41.12</v>
      </c>
      <c r="HP33" s="18">
        <f t="shared" si="558"/>
        <v>73.629000000000005</v>
      </c>
      <c r="HQ33" s="18">
        <f t="shared" si="558"/>
        <v>263.21500000000003</v>
      </c>
      <c r="HR33" s="18">
        <f t="shared" si="558"/>
        <v>348.73</v>
      </c>
      <c r="HS33" s="18">
        <f t="shared" ca="1" si="558"/>
        <v>0</v>
      </c>
      <c r="HT33" s="18">
        <f t="shared" ca="1" si="558"/>
        <v>199.27500000000001</v>
      </c>
      <c r="HU33" s="18">
        <f t="shared" ca="1" si="558"/>
        <v>65.7</v>
      </c>
      <c r="HV33" s="18">
        <f t="shared" ca="1" si="558"/>
        <v>1725.0420000000001</v>
      </c>
      <c r="HW33"/>
    </row>
    <row r="34" spans="1:231" ht="15">
      <c r="B34" s="31" t="s">
        <v>98</v>
      </c>
      <c r="C34" s="8"/>
      <c r="D34" s="8"/>
      <c r="E34" s="8"/>
      <c r="F34" s="8"/>
      <c r="G34" s="8"/>
      <c r="H34" s="406"/>
      <c r="I34" s="134">
        <f ca="1">SUMIF($K$13:$GT$13,"&lt;="&amp;Assumptions!$L$17,'Monthly Cash Flow'!K34:GT34)</f>
        <v>2716.7109999999993</v>
      </c>
      <c r="J34" s="32"/>
      <c r="K34" s="135">
        <f>SUBTOTAL(9,K33:K33)</f>
        <v>0</v>
      </c>
      <c r="L34" s="32">
        <f>IF(L$13&lt;=Assumptions!$L$17,SUBTOTAL(9,L33:L33),0)</f>
        <v>0</v>
      </c>
      <c r="M34" s="32">
        <f>IF(M$13&lt;=Assumptions!$L$17,SUBTOTAL(9,M33:M33),0)</f>
        <v>0</v>
      </c>
      <c r="N34" s="32">
        <f>IF(N$13&lt;=Assumptions!$L$17,SUBTOTAL(9,N33:N33),0)</f>
        <v>0</v>
      </c>
      <c r="O34" s="32">
        <f>IF(O$13&lt;=Assumptions!$L$17,SUBTOTAL(9,O33:O33),0)</f>
        <v>0</v>
      </c>
      <c r="P34" s="32">
        <f>IF(P$13&lt;=Assumptions!$L$17,SUBTOTAL(9,P33:P33),0)</f>
        <v>0</v>
      </c>
      <c r="Q34" s="32">
        <f>IF(Q$13&lt;=Assumptions!$L$17,SUBTOTAL(9,Q33:Q33),0)</f>
        <v>0</v>
      </c>
      <c r="R34" s="32">
        <f>IF(R$13&lt;=Assumptions!$L$17,SUBTOTAL(9,R33:R33),0)</f>
        <v>0</v>
      </c>
      <c r="S34" s="32">
        <f>IF(S$13&lt;=Assumptions!$L$17,SUBTOTAL(9,S33:S33),0)</f>
        <v>0</v>
      </c>
      <c r="T34" s="32">
        <f>IF(T$13&lt;=Assumptions!$L$17,SUBTOTAL(9,T33:T33),0)</f>
        <v>0</v>
      </c>
      <c r="U34" s="32">
        <f>IF(U$13&lt;=Assumptions!$L$17,SUBTOTAL(9,U33:U33),0)</f>
        <v>0</v>
      </c>
      <c r="V34" s="32">
        <f>IF(V$13&lt;=Assumptions!$L$17,SUBTOTAL(9,V33:V33),0)</f>
        <v>0</v>
      </c>
      <c r="W34" s="32">
        <f>IF(W$13&lt;=Assumptions!$L$17,SUBTOTAL(9,W33:W33),0)</f>
        <v>41.12</v>
      </c>
      <c r="X34" s="32">
        <f>IF(X$13&lt;=Assumptions!$L$17,SUBTOTAL(9,X33:X33),0)</f>
        <v>0</v>
      </c>
      <c r="Y34" s="32">
        <f>IF(Y$13&lt;=Assumptions!$L$17,SUBTOTAL(9,Y33:Y33),0)</f>
        <v>0</v>
      </c>
      <c r="Z34" s="32">
        <f>IF(Z$13&lt;=Assumptions!$L$17,SUBTOTAL(9,Z33:Z33),0)</f>
        <v>0</v>
      </c>
      <c r="AA34" s="32">
        <f>IF(AA$13&lt;=Assumptions!$L$17,SUBTOTAL(9,AA33:AA33),0)</f>
        <v>0</v>
      </c>
      <c r="AB34" s="32">
        <f>IF(AB$13&lt;=Assumptions!$L$17,SUBTOTAL(9,AB33:AB33),0)</f>
        <v>0</v>
      </c>
      <c r="AC34" s="32">
        <f>IF(AC$13&lt;=Assumptions!$L$17,SUBTOTAL(9,AC33:AC33),0)</f>
        <v>0</v>
      </c>
      <c r="AD34" s="32">
        <f>IF(AD$13&lt;=Assumptions!$L$17,SUBTOTAL(9,AD33:AD33),0)</f>
        <v>0</v>
      </c>
      <c r="AE34" s="32">
        <f>IF(AE$13&lt;=Assumptions!$L$17,SUBTOTAL(9,AE33:AE33),0)</f>
        <v>0</v>
      </c>
      <c r="AF34" s="32">
        <f>IF(AF$13&lt;=Assumptions!$L$17,SUBTOTAL(9,AF33:AF33),0)</f>
        <v>0</v>
      </c>
      <c r="AG34" s="32">
        <f>IF(AG$13&lt;=Assumptions!$L$17,SUBTOTAL(9,AG33:AG33),0)</f>
        <v>73.629000000000005</v>
      </c>
      <c r="AH34" s="32">
        <f>IF(AH$13&lt;=Assumptions!$L$17,SUBTOTAL(9,AH33:AH33),0)</f>
        <v>0</v>
      </c>
      <c r="AI34" s="32">
        <f>IF(AI$13&lt;=Assumptions!$L$17,SUBTOTAL(9,AI33:AI33),0)</f>
        <v>0</v>
      </c>
      <c r="AJ34" s="32">
        <f>IF(AJ$13&lt;=Assumptions!$L$17,SUBTOTAL(9,AJ33:AJ33),0)</f>
        <v>0</v>
      </c>
      <c r="AK34" s="32">
        <f>IF(AK$13&lt;=Assumptions!$L$17,SUBTOTAL(9,AK33:AK33),0)</f>
        <v>0</v>
      </c>
      <c r="AL34" s="32">
        <f>IF(AL$13&lt;=Assumptions!$L$17,SUBTOTAL(9,AL33:AL33),0)</f>
        <v>170.17500000000001</v>
      </c>
      <c r="AM34" s="32">
        <f>IF(AM$13&lt;=Assumptions!$L$17,SUBTOTAL(9,AM33:AM33),0)</f>
        <v>0</v>
      </c>
      <c r="AN34" s="32">
        <f>IF(AN$13&lt;=Assumptions!$L$17,SUBTOTAL(9,AN33:AN33),0)</f>
        <v>0</v>
      </c>
      <c r="AO34" s="32">
        <f>IF(AO$13&lt;=Assumptions!$L$17,SUBTOTAL(9,AO33:AO33),0)</f>
        <v>0</v>
      </c>
      <c r="AP34" s="32">
        <f>IF(AP$13&lt;=Assumptions!$L$17,SUBTOTAL(9,AP33:AP33),0)</f>
        <v>93.039999999999992</v>
      </c>
      <c r="AQ34" s="32">
        <f>IF(AQ$13&lt;=Assumptions!$L$17,SUBTOTAL(9,AQ33:AQ33),0)</f>
        <v>0</v>
      </c>
      <c r="AR34" s="32">
        <f>IF(AR$13&lt;=Assumptions!$L$17,SUBTOTAL(9,AR33:AR33),0)</f>
        <v>0</v>
      </c>
      <c r="AS34" s="32">
        <f>IF(AS$13&lt;=Assumptions!$L$17,SUBTOTAL(9,AS33:AS33),0)</f>
        <v>0</v>
      </c>
      <c r="AT34" s="32">
        <f>IF(AT$13&lt;=Assumptions!$L$17,SUBTOTAL(9,AT33:AT33),0)</f>
        <v>0</v>
      </c>
      <c r="AU34" s="32">
        <f>IF(AU$13&lt;=Assumptions!$L$17,SUBTOTAL(9,AU33:AU33),0)</f>
        <v>0</v>
      </c>
      <c r="AV34" s="32">
        <f>IF(AV$13&lt;=Assumptions!$L$17,SUBTOTAL(9,AV33:AV33),0)</f>
        <v>0</v>
      </c>
      <c r="AW34" s="32">
        <f>IF(AW$13&lt;=Assumptions!$L$17,SUBTOTAL(9,AW33:AW33),0)</f>
        <v>205.82499999999999</v>
      </c>
      <c r="AX34" s="32">
        <f>IF(AX$13&lt;=Assumptions!$L$17,SUBTOTAL(9,AX33:AX33),0)</f>
        <v>0</v>
      </c>
      <c r="AY34" s="32">
        <f>IF(AY$13&lt;=Assumptions!$L$17,SUBTOTAL(9,AY33:AY33),0)</f>
        <v>0</v>
      </c>
      <c r="AZ34" s="32">
        <f>IF(AZ$13&lt;=Assumptions!$L$17,SUBTOTAL(9,AZ33:AZ33),0)</f>
        <v>54.720000000000006</v>
      </c>
      <c r="BA34" s="32">
        <f>IF(BA$13&lt;=Assumptions!$L$17,SUBTOTAL(9,BA33:BA33),0)</f>
        <v>88.185000000000002</v>
      </c>
      <c r="BB34" s="32">
        <f>IF(BB$13&lt;=Assumptions!$L$17,SUBTOTAL(9,BB33:BB33),0)</f>
        <v>0</v>
      </c>
      <c r="BC34" s="32">
        <f>IF(BC$13&lt;=Assumptions!$L$17,SUBTOTAL(9,BC33:BC33),0)</f>
        <v>0</v>
      </c>
      <c r="BD34" s="32">
        <f>IF(BD$13&lt;=Assumptions!$L$17,SUBTOTAL(9,BD33:BD33),0)</f>
        <v>0</v>
      </c>
      <c r="BE34" s="32">
        <f>IF(BE$13&lt;=Assumptions!$L$17,SUBTOTAL(9,BE33:BE33),0)</f>
        <v>0</v>
      </c>
      <c r="BF34" s="32">
        <f>IF(BF$13&lt;=Assumptions!$L$17,SUBTOTAL(9,BF33:BF33),0)</f>
        <v>0</v>
      </c>
      <c r="BG34" s="32">
        <f>IF(BG$13&lt;=Assumptions!$L$17,SUBTOTAL(9,BG33:BG33),0)</f>
        <v>0</v>
      </c>
      <c r="BH34" s="32">
        <f>IF(BH$13&lt;=Assumptions!$L$17,SUBTOTAL(9,BH33:BH33),0)</f>
        <v>0</v>
      </c>
      <c r="BI34" s="32">
        <f>IF(BI$13&lt;=Assumptions!$L$17,SUBTOTAL(9,BI33:BI33),0)</f>
        <v>0</v>
      </c>
      <c r="BJ34" s="32">
        <f>IF(BJ$13&lt;=Assumptions!$L$17,SUBTOTAL(9,BJ33:BJ33),0)</f>
        <v>0</v>
      </c>
      <c r="BK34" s="32">
        <f>IF(BK$13&lt;=Assumptions!$L$17,SUBTOTAL(9,BK33:BK33),0)</f>
        <v>0</v>
      </c>
      <c r="BL34" s="32">
        <f ca="1">IF(BL$13&lt;=Assumptions!$L$17,SUBTOTAL(9,BL33:BL33),0)</f>
        <v>0</v>
      </c>
      <c r="BM34" s="32">
        <f ca="1">IF(BM$13&lt;=Assumptions!$L$17,SUBTOTAL(9,BM33:BM33),0)</f>
        <v>0</v>
      </c>
      <c r="BN34" s="32">
        <f ca="1">IF(BN$13&lt;=Assumptions!$L$17,SUBTOTAL(9,BN33:BN33),0)</f>
        <v>0</v>
      </c>
      <c r="BO34" s="32">
        <f ca="1">IF(BO$13&lt;=Assumptions!$L$17,SUBTOTAL(9,BO33:BO33),0)</f>
        <v>0</v>
      </c>
      <c r="BP34" s="32">
        <f ca="1">IF(BP$13&lt;=Assumptions!$L$17,SUBTOTAL(9,BP33:BP33),0)</f>
        <v>0</v>
      </c>
      <c r="BQ34" s="32">
        <f ca="1">IF(BQ$13&lt;=Assumptions!$L$17,SUBTOTAL(9,BQ33:BQ33),0)</f>
        <v>0</v>
      </c>
      <c r="BR34" s="32">
        <f ca="1">IF(BR$13&lt;=Assumptions!$L$17,SUBTOTAL(9,BR33:BR33),0)</f>
        <v>0</v>
      </c>
      <c r="BS34" s="32">
        <f ca="1">IF(BS$13&lt;=Assumptions!$L$17,SUBTOTAL(9,BS33:BS33),0)</f>
        <v>0</v>
      </c>
      <c r="BT34" s="32">
        <f ca="1">IF(BT$13&lt;=Assumptions!$L$17,SUBTOTAL(9,BT33:BT33),0)</f>
        <v>0</v>
      </c>
      <c r="BU34" s="32">
        <f ca="1">IF(BU$13&lt;=Assumptions!$L$17,SUBTOTAL(9,BU33:BU33),0)</f>
        <v>0</v>
      </c>
      <c r="BV34" s="32">
        <f ca="1">IF(BV$13&lt;=Assumptions!$L$17,SUBTOTAL(9,BV33:BV33),0)</f>
        <v>0</v>
      </c>
      <c r="BW34" s="32">
        <f ca="1">IF(BW$13&lt;=Assumptions!$L$17,SUBTOTAL(9,BW33:BW33),0)</f>
        <v>0</v>
      </c>
      <c r="BX34" s="32">
        <f ca="1">IF(BX$13&lt;=Assumptions!$L$17,SUBTOTAL(9,BX33:BX33),0)</f>
        <v>0</v>
      </c>
      <c r="BY34" s="32">
        <f ca="1">IF(BY$13&lt;=Assumptions!$L$17,SUBTOTAL(9,BY33:BY33),0)</f>
        <v>0</v>
      </c>
      <c r="BZ34" s="32">
        <f ca="1">IF(BZ$13&lt;=Assumptions!$L$17,SUBTOTAL(9,BZ33:BZ33),0)</f>
        <v>0</v>
      </c>
      <c r="CA34" s="32">
        <f>IF(CA$13&lt;=Assumptions!$L$17,SUBTOTAL(9,CA33:CA33),0)</f>
        <v>96.915000000000006</v>
      </c>
      <c r="CB34" s="32">
        <f ca="1">IF(CB$13&lt;=Assumptions!$L$17,SUBTOTAL(9,CB33:CB33),0)</f>
        <v>0</v>
      </c>
      <c r="CC34" s="32">
        <f ca="1">IF(CC$13&lt;=Assumptions!$L$17,SUBTOTAL(9,CC33:CC33),0)</f>
        <v>0</v>
      </c>
      <c r="CD34" s="32">
        <f>IF(CD$13&lt;=Assumptions!$L$17,SUBTOTAL(9,CD33:CD33),0)</f>
        <v>102.36</v>
      </c>
      <c r="CE34" s="32">
        <f ca="1">IF(CE$13&lt;=Assumptions!$L$17,SUBTOTAL(9,CE33:CE33),0)</f>
        <v>0</v>
      </c>
      <c r="CF34" s="32">
        <f ca="1">IF(CF$13&lt;=Assumptions!$L$17,SUBTOTAL(9,CF33:CF33),0)</f>
        <v>0</v>
      </c>
      <c r="CG34" s="32">
        <f ca="1">IF(CG$13&lt;=Assumptions!$L$17,SUBTOTAL(9,CG33:CG33),0)</f>
        <v>0</v>
      </c>
      <c r="CH34" s="32">
        <f ca="1">IF(CH$13&lt;=Assumptions!$L$17,SUBTOTAL(9,CH33:CH33),0)</f>
        <v>0</v>
      </c>
      <c r="CI34" s="32">
        <f ca="1">IF(CI$13&lt;=Assumptions!$L$17,SUBTOTAL(9,CI33:CI33),0)</f>
        <v>0</v>
      </c>
      <c r="CJ34" s="32">
        <f ca="1">IF(CJ$13&lt;=Assumptions!$L$17,SUBTOTAL(9,CJ33:CJ33),0)</f>
        <v>0</v>
      </c>
      <c r="CK34" s="32">
        <f ca="1">IF(CK$13&lt;=Assumptions!$L$17,SUBTOTAL(9,CK33:CK33),0)</f>
        <v>0</v>
      </c>
      <c r="CL34" s="32">
        <f ca="1">IF(CL$13&lt;=Assumptions!$L$17,SUBTOTAL(9,CL33:CL33),0)</f>
        <v>0</v>
      </c>
      <c r="CM34" s="32">
        <f ca="1">IF(CM$13&lt;=Assumptions!$L$17,SUBTOTAL(9,CM33:CM33),0)</f>
        <v>0</v>
      </c>
      <c r="CN34" s="32">
        <f ca="1">IF(CN$13&lt;=Assumptions!$L$17,SUBTOTAL(9,CN33:CN33),0)</f>
        <v>0</v>
      </c>
      <c r="CO34" s="32">
        <f ca="1">IF(CO$13&lt;=Assumptions!$L$17,SUBTOTAL(9,CO33:CO33),0)</f>
        <v>0</v>
      </c>
      <c r="CP34" s="32">
        <f ca="1">IF(CP$13&lt;=Assumptions!$L$17,SUBTOTAL(9,CP33:CP33),0)</f>
        <v>65.7</v>
      </c>
      <c r="CQ34" s="32">
        <f ca="1">IF(CQ$13&lt;=Assumptions!$L$17,SUBTOTAL(9,CQ33:CQ33),0)</f>
        <v>0</v>
      </c>
      <c r="CR34" s="32">
        <f ca="1">IF(CR$13&lt;=Assumptions!$L$17,SUBTOTAL(9,CR33:CR33),0)</f>
        <v>0</v>
      </c>
      <c r="CS34" s="32">
        <f ca="1">IF(CS$13&lt;=Assumptions!$L$17,SUBTOTAL(9,CS33:CS33),0)</f>
        <v>102.96</v>
      </c>
      <c r="CT34" s="32">
        <f ca="1">IF(CT$13&lt;=Assumptions!$L$17,SUBTOTAL(9,CT33:CT33),0)</f>
        <v>154.36799999999999</v>
      </c>
      <c r="CU34" s="32">
        <f ca="1">IF(CU$13&lt;=Assumptions!$L$17,SUBTOTAL(9,CU33:CU33),0)</f>
        <v>0</v>
      </c>
      <c r="CV34" s="32">
        <f ca="1">IF(CV$13&lt;=Assumptions!$L$17,SUBTOTAL(9,CV33:CV33),0)</f>
        <v>0</v>
      </c>
      <c r="CW34" s="32">
        <f ca="1">IF(CW$13&lt;=Assumptions!$L$17,SUBTOTAL(9,CW33:CW33),0)</f>
        <v>0</v>
      </c>
      <c r="CX34" s="32">
        <f ca="1">IF(CX$13&lt;=Assumptions!$L$17,SUBTOTAL(9,CX33:CX33),0)</f>
        <v>0</v>
      </c>
      <c r="CY34" s="32">
        <f ca="1">IF(CY$13&lt;=Assumptions!$L$17,SUBTOTAL(9,CY33:CY33),0)</f>
        <v>103.86</v>
      </c>
      <c r="CZ34" s="32">
        <f ca="1">IF(CZ$13&lt;=Assumptions!$L$17,SUBTOTAL(9,CZ33:CZ33),0)</f>
        <v>0</v>
      </c>
      <c r="DA34" s="32">
        <f ca="1">IF(DA$13&lt;=Assumptions!$L$17,SUBTOTAL(9,DA33:DA33),0)</f>
        <v>91.403999999999996</v>
      </c>
      <c r="DB34" s="32">
        <f ca="1">IF(DB$13&lt;=Assumptions!$L$17,SUBTOTAL(9,DB33:DB33),0)</f>
        <v>1125</v>
      </c>
      <c r="DC34" s="32">
        <f ca="1">IF(DC$13&lt;=Assumptions!$L$17,SUBTOTAL(9,DC33:DC33),0)</f>
        <v>147.44999999999999</v>
      </c>
      <c r="DD34" s="32">
        <f ca="1">IF(DD$13&lt;=Assumptions!$L$17,SUBTOTAL(9,DD33:DD33),0)</f>
        <v>0</v>
      </c>
      <c r="DE34" s="32">
        <f ca="1">IF(DE$13&lt;=Assumptions!$L$17,SUBTOTAL(9,DE33:DE33),0)</f>
        <v>0</v>
      </c>
      <c r="DF34" s="32">
        <f ca="1">IF(DF$13&lt;=Assumptions!$L$17,SUBTOTAL(9,DF33:DF33),0)</f>
        <v>0</v>
      </c>
      <c r="DG34" s="32">
        <f ca="1">IF(DG$13&lt;=Assumptions!$L$17,SUBTOTAL(9,DG33:DG33),0)</f>
        <v>0</v>
      </c>
      <c r="DH34" s="32">
        <f ca="1">IF(DH$13&lt;=Assumptions!$L$17,SUBTOTAL(9,DH33:DH33),0)</f>
        <v>0</v>
      </c>
      <c r="DI34" s="32">
        <f ca="1">IF(DI$13&lt;=Assumptions!$L$17,SUBTOTAL(9,DI33:DI33),0)</f>
        <v>0</v>
      </c>
      <c r="DJ34" s="32">
        <f>IF(DJ$13&lt;=Assumptions!$L$17,SUBTOTAL(9,DJ33:DJ33),0)</f>
        <v>0</v>
      </c>
      <c r="DK34" s="32">
        <f>IF(DK$13&lt;=Assumptions!$L$17,SUBTOTAL(9,DK33:DK33),0)</f>
        <v>0</v>
      </c>
      <c r="DL34" s="32">
        <f>IF(DL$13&lt;=Assumptions!$L$17,SUBTOTAL(9,DL33:DL33),0)</f>
        <v>0</v>
      </c>
      <c r="DM34" s="32">
        <f>IF(DM$13&lt;=Assumptions!$L$17,SUBTOTAL(9,DM33:DM33),0)</f>
        <v>0</v>
      </c>
      <c r="DN34" s="32">
        <f>IF(DN$13&lt;=Assumptions!$L$17,SUBTOTAL(9,DN33:DN33),0)</f>
        <v>0</v>
      </c>
      <c r="DO34" s="32">
        <f>IF(DO$13&lt;=Assumptions!$L$17,SUBTOTAL(9,DO33:DO33),0)</f>
        <v>0</v>
      </c>
      <c r="DP34" s="32">
        <f>IF(DP$13&lt;=Assumptions!$L$17,SUBTOTAL(9,DP33:DP33),0)</f>
        <v>0</v>
      </c>
      <c r="DQ34" s="32">
        <f>IF(DQ$13&lt;=Assumptions!$L$17,SUBTOTAL(9,DQ33:DQ33),0)</f>
        <v>0</v>
      </c>
      <c r="DR34" s="32">
        <f>IF(DR$13&lt;=Assumptions!$L$17,SUBTOTAL(9,DR33:DR33),0)</f>
        <v>0</v>
      </c>
      <c r="DS34" s="32">
        <f>IF(DS$13&lt;=Assumptions!$L$17,SUBTOTAL(9,DS33:DS33),0)</f>
        <v>0</v>
      </c>
      <c r="DT34" s="32">
        <f>IF(DT$13&lt;=Assumptions!$L$17,SUBTOTAL(9,DT33:DT33),0)</f>
        <v>0</v>
      </c>
      <c r="DU34" s="32">
        <f>IF(DU$13&lt;=Assumptions!$L$17,SUBTOTAL(9,DU33:DU33),0)</f>
        <v>0</v>
      </c>
      <c r="DV34" s="32">
        <f>IF(DV$13&lt;=Assumptions!$L$17,SUBTOTAL(9,DV33:DV33),0)</f>
        <v>0</v>
      </c>
      <c r="DW34" s="32">
        <f>IF(DW$13&lt;=Assumptions!$L$17,SUBTOTAL(9,DW33:DW33),0)</f>
        <v>0</v>
      </c>
      <c r="DX34" s="32">
        <f>IF(DX$13&lt;=Assumptions!$L$17,SUBTOTAL(9,DX33:DX33),0)</f>
        <v>0</v>
      </c>
      <c r="DY34" s="32">
        <f>IF(DY$13&lt;=Assumptions!$L$17,SUBTOTAL(9,DY33:DY33),0)</f>
        <v>0</v>
      </c>
      <c r="DZ34" s="32">
        <f>IF(DZ$13&lt;=Assumptions!$L$17,SUBTOTAL(9,DZ33:DZ33),0)</f>
        <v>0</v>
      </c>
      <c r="EA34" s="32">
        <f>IF(EA$13&lt;=Assumptions!$L$17,SUBTOTAL(9,EA33:EA33),0)</f>
        <v>0</v>
      </c>
      <c r="EB34" s="32">
        <f>IF(EB$13&lt;=Assumptions!$L$17,SUBTOTAL(9,EB33:EB33),0)</f>
        <v>0</v>
      </c>
      <c r="EC34" s="32">
        <f>IF(EC$13&lt;=Assumptions!$L$17,SUBTOTAL(9,EC33:EC33),0)</f>
        <v>0</v>
      </c>
      <c r="ED34" s="32">
        <f>IF(ED$13&lt;=Assumptions!$L$17,SUBTOTAL(9,ED33:ED33),0)</f>
        <v>0</v>
      </c>
      <c r="EE34" s="32">
        <f>IF(EE$13&lt;=Assumptions!$L$17,SUBTOTAL(9,EE33:EE33),0)</f>
        <v>0</v>
      </c>
      <c r="EF34" s="32">
        <f>IF(EF$13&lt;=Assumptions!$L$17,SUBTOTAL(9,EF33:EF33),0)</f>
        <v>0</v>
      </c>
      <c r="EG34" s="32">
        <f>IF(EG$13&lt;=Assumptions!$L$17,SUBTOTAL(9,EG33:EG33),0)</f>
        <v>0</v>
      </c>
      <c r="EH34" s="32">
        <f>IF(EH$13&lt;=Assumptions!$L$17,SUBTOTAL(9,EH33:EH33),0)</f>
        <v>0</v>
      </c>
      <c r="EI34" s="32">
        <f>IF(EI$13&lt;=Assumptions!$L$17,SUBTOTAL(9,EI33:EI33),0)</f>
        <v>0</v>
      </c>
      <c r="EJ34" s="32">
        <f>IF(EJ$13&lt;=Assumptions!$L$17,SUBTOTAL(9,EJ33:EJ33),0)</f>
        <v>0</v>
      </c>
      <c r="EK34" s="32">
        <f>IF(EK$13&lt;=Assumptions!$L$17,SUBTOTAL(9,EK33:EK33),0)</f>
        <v>0</v>
      </c>
      <c r="EL34" s="32">
        <f>IF(EL$13&lt;=Assumptions!$L$17,SUBTOTAL(9,EL33:EL33),0)</f>
        <v>0</v>
      </c>
      <c r="EM34" s="32">
        <f>IF(EM$13&lt;=Assumptions!$L$17,SUBTOTAL(9,EM33:EM33),0)</f>
        <v>0</v>
      </c>
      <c r="EN34" s="32">
        <f>IF(EN$13&lt;=Assumptions!$L$17,SUBTOTAL(9,EN33:EN33),0)</f>
        <v>0</v>
      </c>
      <c r="EO34" s="32">
        <f>IF(EO$13&lt;=Assumptions!$L$17,SUBTOTAL(9,EO33:EO33),0)</f>
        <v>0</v>
      </c>
      <c r="EP34" s="32">
        <f>IF(EP$13&lt;=Assumptions!$L$17,SUBTOTAL(9,EP33:EP33),0)</f>
        <v>0</v>
      </c>
      <c r="EQ34" s="32">
        <f>IF(EQ$13&lt;=Assumptions!$L$17,SUBTOTAL(9,EQ33:EQ33),0)</f>
        <v>0</v>
      </c>
      <c r="ER34" s="32">
        <f>IF(ER$13&lt;=Assumptions!$L$17,SUBTOTAL(9,ER33:ER33),0)</f>
        <v>0</v>
      </c>
      <c r="ES34" s="32">
        <f>IF(ES$13&lt;=Assumptions!$L$17,SUBTOTAL(9,ES33:ES33),0)</f>
        <v>0</v>
      </c>
      <c r="ET34" s="32">
        <f>IF(ET$13&lt;=Assumptions!$L$17,SUBTOTAL(9,ET33:ET33),0)</f>
        <v>0</v>
      </c>
      <c r="EU34" s="32">
        <f>IF(EU$13&lt;=Assumptions!$L$17,SUBTOTAL(9,EU33:EU33),0)</f>
        <v>0</v>
      </c>
      <c r="EV34" s="32">
        <f>IF(EV$13&lt;=Assumptions!$L$17,SUBTOTAL(9,EV33:EV33),0)</f>
        <v>0</v>
      </c>
      <c r="EW34" s="32">
        <f>IF(EW$13&lt;=Assumptions!$L$17,SUBTOTAL(9,EW33:EW33),0)</f>
        <v>0</v>
      </c>
      <c r="EX34" s="32">
        <f>IF(EX$13&lt;=Assumptions!$L$17,SUBTOTAL(9,EX33:EX33),0)</f>
        <v>0</v>
      </c>
      <c r="EY34" s="32">
        <f>IF(EY$13&lt;=Assumptions!$L$17,SUBTOTAL(9,EY33:EY33),0)</f>
        <v>0</v>
      </c>
      <c r="EZ34" s="32">
        <f>IF(EZ$13&lt;=Assumptions!$L$17,SUBTOTAL(9,EZ33:EZ33),0)</f>
        <v>0</v>
      </c>
      <c r="FA34" s="32">
        <f>IF(FA$13&lt;=Assumptions!$L$17,SUBTOTAL(9,FA33:FA33),0)</f>
        <v>0</v>
      </c>
      <c r="FB34" s="32">
        <f>IF(FB$13&lt;=Assumptions!$L$17,SUBTOTAL(9,FB33:FB33),0)</f>
        <v>0</v>
      </c>
      <c r="FC34" s="32">
        <f>IF(FC$13&lt;=Assumptions!$L$17,SUBTOTAL(9,FC33:FC33),0)</f>
        <v>0</v>
      </c>
      <c r="FD34" s="32">
        <f>IF(FD$13&lt;=Assumptions!$L$17,SUBTOTAL(9,FD33:FD33),0)</f>
        <v>0</v>
      </c>
      <c r="FE34" s="32">
        <f>IF(FE$13&lt;=Assumptions!$L$17,SUBTOTAL(9,FE33:FE33),0)</f>
        <v>0</v>
      </c>
      <c r="FF34" s="32">
        <f>IF(FF$13&lt;=Assumptions!$L$17,SUBTOTAL(9,FF33:FF33),0)</f>
        <v>0</v>
      </c>
      <c r="FG34" s="32">
        <f>IF(FG$13&lt;=Assumptions!$L$17,SUBTOTAL(9,FG33:FG33),0)</f>
        <v>0</v>
      </c>
      <c r="FH34" s="32">
        <f>IF(FH$13&lt;=Assumptions!$L$17,SUBTOTAL(9,FH33:FH33),0)</f>
        <v>0</v>
      </c>
      <c r="FI34" s="32">
        <f>IF(FI$13&lt;=Assumptions!$L$17,SUBTOTAL(9,FI33:FI33),0)</f>
        <v>0</v>
      </c>
      <c r="FJ34" s="32">
        <f>IF(FJ$13&lt;=Assumptions!$L$17,SUBTOTAL(9,FJ33:FJ33),0)</f>
        <v>0</v>
      </c>
      <c r="FK34" s="32">
        <f>IF(FK$13&lt;=Assumptions!$L$17,SUBTOTAL(9,FK33:FK33),0)</f>
        <v>0</v>
      </c>
      <c r="FL34" s="32">
        <f>IF(FL$13&lt;=Assumptions!$L$17,SUBTOTAL(9,FL33:FL33),0)</f>
        <v>0</v>
      </c>
      <c r="FM34" s="32">
        <f>IF(FM$13&lt;=Assumptions!$L$17,SUBTOTAL(9,FM33:FM33),0)</f>
        <v>0</v>
      </c>
      <c r="FN34" s="32">
        <f>IF(FN$13&lt;=Assumptions!$L$17,SUBTOTAL(9,FN33:FN33),0)</f>
        <v>0</v>
      </c>
      <c r="FO34" s="32">
        <f>IF(FO$13&lt;=Assumptions!$L$17,SUBTOTAL(9,FO33:FO33),0)</f>
        <v>0</v>
      </c>
      <c r="FP34" s="32">
        <f>IF(FP$13&lt;=Assumptions!$L$17,SUBTOTAL(9,FP33:FP33),0)</f>
        <v>0</v>
      </c>
      <c r="FQ34" s="32">
        <f>IF(FQ$13&lt;=Assumptions!$L$17,SUBTOTAL(9,FQ33:FQ33),0)</f>
        <v>0</v>
      </c>
      <c r="FR34" s="32">
        <f>IF(FR$13&lt;=Assumptions!$L$17,SUBTOTAL(9,FR33:FR33),0)</f>
        <v>0</v>
      </c>
      <c r="FS34" s="32">
        <f>IF(FS$13&lt;=Assumptions!$L$17,SUBTOTAL(9,FS33:FS33),0)</f>
        <v>0</v>
      </c>
      <c r="FT34" s="32">
        <f>IF(FT$13&lt;=Assumptions!$L$17,SUBTOTAL(9,FT33:FT33),0)</f>
        <v>0</v>
      </c>
      <c r="FU34" s="32">
        <f>IF(FU$13&lt;=Assumptions!$L$17,SUBTOTAL(9,FU33:FU33),0)</f>
        <v>0</v>
      </c>
      <c r="FV34" s="32">
        <f>IF(FV$13&lt;=Assumptions!$L$17,SUBTOTAL(9,FV33:FV33),0)</f>
        <v>0</v>
      </c>
      <c r="FW34" s="32">
        <f>IF(FW$13&lt;=Assumptions!$L$17,SUBTOTAL(9,FW33:FW33),0)</f>
        <v>0</v>
      </c>
      <c r="FX34" s="32">
        <f>IF(FX$13&lt;=Assumptions!$L$17,SUBTOTAL(9,FX33:FX33),0)</f>
        <v>0</v>
      </c>
      <c r="FY34" s="32">
        <f>IF(FY$13&lt;=Assumptions!$L$17,SUBTOTAL(9,FY33:FY33),0)</f>
        <v>0</v>
      </c>
      <c r="FZ34" s="32">
        <f>IF(FZ$13&lt;=Assumptions!$L$17,SUBTOTAL(9,FZ33:FZ33),0)</f>
        <v>0</v>
      </c>
      <c r="GA34" s="32">
        <f>IF(GA$13&lt;=Assumptions!$L$17,SUBTOTAL(9,GA33:GA33),0)</f>
        <v>0</v>
      </c>
      <c r="GB34" s="32">
        <f>IF(GB$13&lt;=Assumptions!$L$17,SUBTOTAL(9,GB33:GB33),0)</f>
        <v>0</v>
      </c>
      <c r="GC34" s="32">
        <f>IF(GC$13&lt;=Assumptions!$L$17,SUBTOTAL(9,GC33:GC33),0)</f>
        <v>0</v>
      </c>
      <c r="GD34" s="32">
        <f>IF(GD$13&lt;=Assumptions!$L$17,SUBTOTAL(9,GD33:GD33),0)</f>
        <v>0</v>
      </c>
      <c r="GE34" s="32">
        <f>IF(GE$13&lt;=Assumptions!$L$17,SUBTOTAL(9,GE33:GE33),0)</f>
        <v>0</v>
      </c>
      <c r="GF34" s="32">
        <f>IF(GF$13&lt;=Assumptions!$L$17,SUBTOTAL(9,GF33:GF33),0)</f>
        <v>0</v>
      </c>
      <c r="GG34" s="32">
        <f>IF(GG$13&lt;=Assumptions!$L$17,SUBTOTAL(9,GG33:GG33),0)</f>
        <v>0</v>
      </c>
      <c r="GH34" s="32">
        <f>IF(GH$13&lt;=Assumptions!$L$17,SUBTOTAL(9,GH33:GH33),0)</f>
        <v>0</v>
      </c>
      <c r="GI34" s="32">
        <f>IF(GI$13&lt;=Assumptions!$L$17,SUBTOTAL(9,GI33:GI33),0)</f>
        <v>0</v>
      </c>
      <c r="GJ34" s="32">
        <f>IF(GJ$13&lt;=Assumptions!$L$17,SUBTOTAL(9,GJ33:GJ33),0)</f>
        <v>0</v>
      </c>
      <c r="GK34" s="32">
        <f>IF(GK$13&lt;=Assumptions!$L$17,SUBTOTAL(9,GK33:GK33),0)</f>
        <v>0</v>
      </c>
      <c r="GL34" s="32">
        <f>IF(GL$13&lt;=Assumptions!$L$17,SUBTOTAL(9,GL33:GL33),0)</f>
        <v>0</v>
      </c>
      <c r="GM34" s="32">
        <f>IF(GM$13&lt;=Assumptions!$L$17,SUBTOTAL(9,GM33:GM33),0)</f>
        <v>0</v>
      </c>
      <c r="GN34" s="32">
        <f>IF(GN$13&lt;=Assumptions!$L$17,SUBTOTAL(9,GN33:GN33),0)</f>
        <v>0</v>
      </c>
      <c r="GO34" s="32">
        <f>IF(GO$13&lt;=Assumptions!$L$17,SUBTOTAL(9,GO33:GO33),0)</f>
        <v>0</v>
      </c>
      <c r="GP34" s="32">
        <f>IF(GP$13&lt;=Assumptions!$L$17,SUBTOTAL(9,GP33:GP33),0)</f>
        <v>0</v>
      </c>
      <c r="GQ34" s="32">
        <f>IF(GQ$13&lt;=Assumptions!$L$17,SUBTOTAL(9,GQ33:GQ33),0)</f>
        <v>0</v>
      </c>
      <c r="GR34" s="32">
        <f>IF(GR$13&lt;=Assumptions!$L$17,SUBTOTAL(9,GR33:GR33),0)</f>
        <v>0</v>
      </c>
      <c r="GS34" s="32">
        <f>IF(GS$13&lt;=Assumptions!$L$17,SUBTOTAL(9,GS33:GS33),0)</f>
        <v>0</v>
      </c>
      <c r="GT34" s="32">
        <f>IF(GT$13&lt;=Assumptions!$L$17,SUBTOTAL(9,GT33:GT33),0)</f>
        <v>0</v>
      </c>
      <c r="GU34" s="34"/>
      <c r="GV34" s="34"/>
      <c r="GW34" s="34"/>
      <c r="GX34" s="34"/>
      <c r="GY34" s="34"/>
      <c r="GZ34" s="34"/>
      <c r="HA34" s="34"/>
      <c r="HB34" s="34"/>
      <c r="HC34" s="34"/>
      <c r="HD34" s="34"/>
      <c r="HE34" s="34"/>
      <c r="HF34" s="1" t="s">
        <v>212</v>
      </c>
      <c r="HG34" s="139" t="e">
        <f>#REF!+1</f>
        <v>#REF!</v>
      </c>
      <c r="HH34" s="31" t="str">
        <f t="shared" si="556"/>
        <v>Total TI Allowance</v>
      </c>
      <c r="HI34" s="32"/>
      <c r="HJ34" s="32"/>
      <c r="HK34" s="32"/>
      <c r="HL34" s="134">
        <f t="shared" ca="1" si="557"/>
        <v>2716.7110000000002</v>
      </c>
      <c r="HM34" s="32"/>
      <c r="HN34" s="135">
        <f t="shared" si="558"/>
        <v>0</v>
      </c>
      <c r="HO34" s="32">
        <f t="shared" si="558"/>
        <v>41.12</v>
      </c>
      <c r="HP34" s="32">
        <f t="shared" si="558"/>
        <v>73.629000000000005</v>
      </c>
      <c r="HQ34" s="32">
        <f t="shared" si="558"/>
        <v>263.21500000000003</v>
      </c>
      <c r="HR34" s="32">
        <f t="shared" si="558"/>
        <v>348.73</v>
      </c>
      <c r="HS34" s="32">
        <f t="shared" ca="1" si="558"/>
        <v>0</v>
      </c>
      <c r="HT34" s="32">
        <f t="shared" ca="1" si="558"/>
        <v>199.27500000000001</v>
      </c>
      <c r="HU34" s="32">
        <f t="shared" ca="1" si="558"/>
        <v>65.7</v>
      </c>
      <c r="HV34" s="32">
        <f t="shared" ca="1" si="558"/>
        <v>1725.0420000000001</v>
      </c>
      <c r="HW34"/>
    </row>
    <row r="35" spans="1:231" ht="15">
      <c r="B35" s="33"/>
      <c r="H35" s="1454"/>
      <c r="I35" s="123"/>
      <c r="J35" s="34"/>
      <c r="K35" s="12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c r="CK35" s="34"/>
      <c r="CL35" s="34"/>
      <c r="CM35" s="34"/>
      <c r="CN35" s="34"/>
      <c r="CO35" s="34"/>
      <c r="CP35" s="34"/>
      <c r="CQ35" s="34"/>
      <c r="CR35" s="34"/>
      <c r="CS35" s="34"/>
      <c r="CT35" s="34"/>
      <c r="CU35" s="34"/>
      <c r="CV35" s="34"/>
      <c r="CW35" s="34"/>
      <c r="CX35" s="34"/>
      <c r="CY35" s="34"/>
      <c r="CZ35" s="34"/>
      <c r="DA35" s="34"/>
      <c r="DB35" s="34"/>
      <c r="DC35" s="34"/>
      <c r="DD35" s="34"/>
      <c r="DE35" s="34"/>
      <c r="DF35" s="34"/>
      <c r="DG35" s="34"/>
      <c r="DH35" s="34"/>
      <c r="DI35" s="34"/>
      <c r="DJ35" s="34"/>
      <c r="DK35" s="34"/>
      <c r="DL35" s="34"/>
      <c r="DM35" s="34"/>
      <c r="DN35" s="34"/>
      <c r="DO35" s="34"/>
      <c r="DP35" s="34"/>
      <c r="DQ35" s="34"/>
      <c r="DR35" s="34"/>
      <c r="DS35" s="34"/>
      <c r="DT35" s="34"/>
      <c r="DU35" s="34"/>
      <c r="DV35" s="34"/>
      <c r="DW35" s="34"/>
      <c r="DX35" s="34"/>
      <c r="DY35" s="34"/>
      <c r="DZ35" s="34"/>
      <c r="EA35" s="34"/>
      <c r="EB35" s="34"/>
      <c r="EC35" s="34"/>
      <c r="ED35" s="34"/>
      <c r="EE35" s="34"/>
      <c r="EF35" s="34"/>
      <c r="EG35" s="34"/>
      <c r="EH35" s="34"/>
      <c r="EI35" s="34"/>
      <c r="EJ35" s="34"/>
      <c r="EK35" s="34"/>
      <c r="EL35" s="34"/>
      <c r="EM35" s="34"/>
      <c r="EN35" s="34"/>
      <c r="EO35" s="34"/>
      <c r="EP35" s="34"/>
      <c r="EQ35" s="34"/>
      <c r="ER35" s="34"/>
      <c r="ES35" s="34"/>
      <c r="ET35" s="34"/>
      <c r="EU35" s="34"/>
      <c r="EV35" s="34"/>
      <c r="EW35" s="34"/>
      <c r="EX35" s="34"/>
      <c r="EY35" s="34"/>
      <c r="EZ35" s="34"/>
      <c r="FA35" s="34"/>
      <c r="FB35" s="34"/>
      <c r="FC35" s="34"/>
      <c r="FD35" s="34"/>
      <c r="FE35" s="34"/>
      <c r="FF35" s="34"/>
      <c r="FG35" s="34"/>
      <c r="FH35" s="34"/>
      <c r="FI35" s="34"/>
      <c r="FJ35" s="34"/>
      <c r="FK35" s="34"/>
      <c r="FL35" s="34"/>
      <c r="FM35" s="34"/>
      <c r="FN35" s="34"/>
      <c r="FO35" s="34"/>
      <c r="FP35" s="34"/>
      <c r="FQ35" s="34"/>
      <c r="FR35" s="34"/>
      <c r="FS35" s="34"/>
      <c r="FT35" s="34"/>
      <c r="FU35" s="34"/>
      <c r="FV35" s="34"/>
      <c r="FW35" s="34"/>
      <c r="FX35" s="34"/>
      <c r="FY35" s="34"/>
      <c r="FZ35" s="34"/>
      <c r="GA35" s="34"/>
      <c r="GB35" s="34"/>
      <c r="GC35" s="34"/>
      <c r="GD35" s="34"/>
      <c r="GE35" s="34"/>
      <c r="GF35" s="34"/>
      <c r="GG35" s="34"/>
      <c r="GH35" s="34"/>
      <c r="GI35" s="34"/>
      <c r="GJ35" s="34"/>
      <c r="GK35" s="34"/>
      <c r="GL35" s="34"/>
      <c r="GM35" s="34"/>
      <c r="GN35" s="34"/>
      <c r="GO35" s="34"/>
      <c r="GP35" s="34"/>
      <c r="GQ35" s="34"/>
      <c r="GR35" s="34"/>
      <c r="GS35" s="34"/>
      <c r="GT35" s="34"/>
      <c r="GU35" s="34"/>
      <c r="GV35" s="34"/>
      <c r="GW35" s="34"/>
      <c r="GX35" s="34"/>
      <c r="GY35" s="34"/>
      <c r="GZ35" s="34"/>
      <c r="HA35" s="34"/>
      <c r="HB35" s="34"/>
      <c r="HC35" s="34"/>
      <c r="HD35" s="34"/>
      <c r="HE35" s="34"/>
      <c r="HG35" s="139"/>
      <c r="HH35" s="33"/>
      <c r="HI35" s="34"/>
      <c r="HJ35" s="34"/>
      <c r="HK35" s="34"/>
      <c r="HL35" s="123"/>
      <c r="HM35" s="34"/>
      <c r="HN35" s="124"/>
      <c r="HO35" s="34"/>
      <c r="HP35" s="34"/>
      <c r="HQ35" s="34"/>
      <c r="HR35" s="34"/>
      <c r="HS35" s="34"/>
      <c r="HT35" s="34"/>
      <c r="HU35" s="34"/>
      <c r="HV35" s="34"/>
      <c r="HW35"/>
    </row>
    <row r="36" spans="1:231" ht="15">
      <c r="A36" s="441" t="s">
        <v>409</v>
      </c>
      <c r="B36" s="9" t="s">
        <v>443</v>
      </c>
      <c r="F36" s="130"/>
      <c r="I36" s="132">
        <f ca="1">SUMIF($K$13:$GT$13,"&lt;="&amp;Assumptions!$L$17,'Monthly Cash Flow'!K36:GT36)</f>
        <v>976.22774520042606</v>
      </c>
      <c r="J36" s="26"/>
      <c r="K36" s="939">
        <v>0</v>
      </c>
      <c r="L36" s="1003">
        <v>0</v>
      </c>
      <c r="M36" s="1003">
        <v>0</v>
      </c>
      <c r="N36" s="1003">
        <v>0</v>
      </c>
      <c r="O36" s="1003">
        <v>0</v>
      </c>
      <c r="P36" s="1003">
        <v>0</v>
      </c>
      <c r="Q36" s="1003">
        <v>0</v>
      </c>
      <c r="R36" s="1003">
        <v>0</v>
      </c>
      <c r="S36" s="1003">
        <v>0</v>
      </c>
      <c r="T36" s="1003">
        <v>0</v>
      </c>
      <c r="U36" s="1003">
        <v>10.160909999999999</v>
      </c>
      <c r="V36" s="1003">
        <v>0</v>
      </c>
      <c r="W36" s="1003">
        <v>19.708590000000001</v>
      </c>
      <c r="X36" s="1003">
        <v>3.6021399999999999</v>
      </c>
      <c r="Y36" s="1003">
        <v>0</v>
      </c>
      <c r="Z36" s="1003">
        <v>3.2014699999999996</v>
      </c>
      <c r="AA36" s="1003">
        <v>0</v>
      </c>
      <c r="AB36" s="1003">
        <v>9.5476799999999997</v>
      </c>
      <c r="AC36" s="1003">
        <v>0</v>
      </c>
      <c r="AD36" s="1003">
        <v>2.28E-15</v>
      </c>
      <c r="AE36" s="1003">
        <v>0</v>
      </c>
      <c r="AF36" s="1003">
        <v>60.946201595428299</v>
      </c>
      <c r="AG36" s="1003">
        <v>0</v>
      </c>
      <c r="AH36" s="1003">
        <v>0</v>
      </c>
      <c r="AI36" s="1003">
        <v>78.125880000000009</v>
      </c>
      <c r="AJ36" s="1003">
        <v>0</v>
      </c>
      <c r="AK36" s="1003">
        <v>0</v>
      </c>
      <c r="AL36" s="1003">
        <v>41.669880000000006</v>
      </c>
      <c r="AM36" s="1003">
        <v>0</v>
      </c>
      <c r="AN36" s="1003">
        <v>4.166999999999998</v>
      </c>
      <c r="AO36" s="1003">
        <v>0</v>
      </c>
      <c r="AP36" s="1003">
        <v>65.716534023883781</v>
      </c>
      <c r="AQ36" s="1003">
        <v>32.401150000000001</v>
      </c>
      <c r="AR36" s="1003">
        <v>0</v>
      </c>
      <c r="AS36" s="1003">
        <v>0</v>
      </c>
      <c r="AT36" s="1003">
        <v>0</v>
      </c>
      <c r="AU36" s="1003">
        <v>0</v>
      </c>
      <c r="AV36" s="1003">
        <v>0</v>
      </c>
      <c r="AW36" s="1003">
        <v>51.2</v>
      </c>
      <c r="AX36" s="1003">
        <v>0</v>
      </c>
      <c r="AY36" s="1003">
        <v>-19</v>
      </c>
      <c r="AZ36" s="1003">
        <v>74.106459581114052</v>
      </c>
      <c r="BA36" s="1003">
        <v>61.246000000000009</v>
      </c>
      <c r="BB36" s="1003">
        <v>0</v>
      </c>
      <c r="BC36" s="1003">
        <v>0</v>
      </c>
      <c r="BD36" s="1003">
        <v>0</v>
      </c>
      <c r="BE36" s="1003">
        <v>0</v>
      </c>
      <c r="BF36" s="1003">
        <v>0</v>
      </c>
      <c r="BG36" s="1003">
        <v>0</v>
      </c>
      <c r="BH36" s="1003">
        <v>0</v>
      </c>
      <c r="BI36" s="1003">
        <v>0</v>
      </c>
      <c r="BJ36" s="1003">
        <v>0</v>
      </c>
      <c r="BK36" s="1003">
        <v>0</v>
      </c>
      <c r="BL36" s="940">
        <f ca="1">IFERROR(OFFSET(ARGUS!$A$3, MATCH($A36, ARGUS!$A$3:$A$176, 0)-1,MATCH(EOMONTH(BL$15,1), ARGUS!$B$4:$LG$4, 0)-1,1,1)/1000, 0)</f>
        <v>0</v>
      </c>
      <c r="BM36" s="940">
        <f ca="1">IFERROR(OFFSET(ARGUS!$A$3, MATCH($A36, ARGUS!$A$3:$A$176, 0)-1,MATCH(EOMONTH(BM$15,1), ARGUS!$B$4:$LG$4, 0)-1,1,1)/1000, 0)</f>
        <v>0</v>
      </c>
      <c r="BN36" s="1529">
        <v>0</v>
      </c>
      <c r="BO36" s="1529">
        <v>0</v>
      </c>
      <c r="BP36" s="1529">
        <v>0</v>
      </c>
      <c r="BQ36" s="1529">
        <v>0</v>
      </c>
      <c r="BR36" s="1529">
        <v>0</v>
      </c>
      <c r="BS36" s="1529">
        <v>0</v>
      </c>
      <c r="BT36" s="1529">
        <v>0</v>
      </c>
      <c r="BU36" s="1529">
        <v>0</v>
      </c>
      <c r="BV36" s="1529">
        <v>0</v>
      </c>
      <c r="BW36" s="1529">
        <f>9345.19/1000</f>
        <v>9.3451900000000006</v>
      </c>
      <c r="BX36" s="1529">
        <f>21707.66/1000</f>
        <v>21.707660000000001</v>
      </c>
      <c r="BY36" s="940">
        <f ca="1">IFERROR(OFFSET(ARGUS!$A$3, MATCH($A36, ARGUS!$A$3:$A$176, 0)-1,MATCH(EOMONTH(BY$15,1), ARGUS!$B$4:$LG$4, 0)-1,1,1)/1000, 0)</f>
        <v>0</v>
      </c>
      <c r="BZ36" s="940">
        <f ca="1">IFERROR(OFFSET(ARGUS!$A$3, MATCH($A36, ARGUS!$A$3:$A$176, 0)-1,MATCH(EOMONTH(BZ$15,1), ARGUS!$B$4:$LG$4, 0)-1,1,1)/1000, 0)</f>
        <v>0</v>
      </c>
      <c r="CA36" s="940">
        <f ca="1">IFERROR(OFFSET(ARGUS!$A$3, MATCH($A36, ARGUS!$A$3:$A$176, 0)-1,MATCH(EOMONTH(CA$15,1), ARGUS!$B$4:$LG$4, 0)-1,1,1)/1000, 0)</f>
        <v>0</v>
      </c>
      <c r="CB36" s="940">
        <f ca="1">IFERROR(OFFSET(ARGUS!$A$3, MATCH($A36, ARGUS!$A$3:$A$176, 0)-1,MATCH(EOMONTH(CB$15,1), ARGUS!$B$4:$LG$4, 0)-1,1,1)/1000, 0)</f>
        <v>0</v>
      </c>
      <c r="CC36" s="940">
        <f ca="1">IFERROR(OFFSET(ARGUS!$A$3, MATCH($A36, ARGUS!$A$3:$A$176, 0)-1,MATCH(EOMONTH(CC$15,1), ARGUS!$B$4:$LG$4, 0)-1,1,1)/1000, 0)</f>
        <v>0</v>
      </c>
      <c r="CD36" s="940">
        <f ca="1">IFERROR(OFFSET(ARGUS!$A$3, MATCH($A36, ARGUS!$A$3:$A$176, 0)-1,MATCH(EOMONTH(CD$15,1), ARGUS!$B$4:$LG$4, 0)-1,1,1)/1000, 0)</f>
        <v>0</v>
      </c>
      <c r="CE36" s="940">
        <f ca="1">IFERROR(OFFSET(ARGUS!$A$3, MATCH($A36, ARGUS!$A$3:$A$176, 0)-1,MATCH(EOMONTH(CE$15,1), ARGUS!$B$4:$LG$4, 0)-1,1,1)/1000, 0)</f>
        <v>0</v>
      </c>
      <c r="CF36" s="940">
        <f ca="1">IFERROR(OFFSET(ARGUS!$A$3, MATCH($A36, ARGUS!$A$3:$A$176, 0)-1,MATCH(EOMONTH(CF$15,1), ARGUS!$B$4:$LG$4, 0)-1,1,1)/1000, 0)</f>
        <v>0</v>
      </c>
      <c r="CG36" s="940">
        <f ca="1">IFERROR(OFFSET(ARGUS!$A$3, MATCH($A36, ARGUS!$A$3:$A$176, 0)-1,MATCH(EOMONTH(CG$15,1), ARGUS!$B$4:$LG$4, 0)-1,1,1)/1000, 0)</f>
        <v>0</v>
      </c>
      <c r="CH36" s="940">
        <f ca="1">IFERROR(OFFSET(ARGUS!$A$3, MATCH($A36, ARGUS!$A$3:$A$176, 0)-1,MATCH(EOMONTH(CH$15,1), ARGUS!$B$4:$LG$4, 0)-1,1,1)/1000, 0)</f>
        <v>0</v>
      </c>
      <c r="CI36" s="940">
        <f ca="1">IFERROR(OFFSET(ARGUS!$A$3, MATCH($A36, ARGUS!$A$3:$A$176, 0)-1,MATCH(EOMONTH(CI$15,1), ARGUS!$B$4:$LG$4, 0)-1,1,1)/1000, 0)</f>
        <v>0</v>
      </c>
      <c r="CJ36" s="940">
        <f ca="1">IFERROR(OFFSET(ARGUS!$A$3, MATCH($A36, ARGUS!$A$3:$A$176, 0)-1,MATCH(EOMONTH(CJ$15,1), ARGUS!$B$4:$LG$4, 0)-1,1,1)/1000, 0)</f>
        <v>0</v>
      </c>
      <c r="CK36" s="940">
        <f ca="1">IFERROR(OFFSET(ARGUS!$A$3, MATCH($A36, ARGUS!$A$3:$A$176, 0)-1,MATCH(EOMONTH(CK$15,1), ARGUS!$B$4:$LG$4, 0)-1,1,1)/1000, 0)</f>
        <v>0</v>
      </c>
      <c r="CL36" s="940">
        <f ca="1">IFERROR(OFFSET(ARGUS!$A$3, MATCH($A36, ARGUS!$A$3:$A$176, 0)-1,MATCH(EOMONTH(CL$15,1), ARGUS!$B$4:$LG$4, 0)-1,1,1)/1000, 0)</f>
        <v>0</v>
      </c>
      <c r="CM36" s="940">
        <f ca="1">IFERROR(OFFSET(ARGUS!$A$3, MATCH($A36, ARGUS!$A$3:$A$176, 0)-1,MATCH(EOMONTH(CM$15,1), ARGUS!$B$4:$LG$4, 0)-1,1,1)/1000, 0)</f>
        <v>0</v>
      </c>
      <c r="CN36" s="940">
        <f ca="1">IFERROR(OFFSET(ARGUS!$A$3, MATCH($A36, ARGUS!$A$3:$A$176, 0)-1,MATCH(EOMONTH(CN$15,1), ARGUS!$B$4:$LG$4, 0)-1,1,1)/1000, 0)</f>
        <v>0</v>
      </c>
      <c r="CO36" s="940">
        <f ca="1">IFERROR(OFFSET(ARGUS!$A$3, MATCH($A36, ARGUS!$A$3:$A$176, 0)-1,MATCH(EOMONTH(CO$15,1), ARGUS!$B$4:$LG$4, 0)-1,1,1)/1000, 0)</f>
        <v>0</v>
      </c>
      <c r="CP36" s="940">
        <f ca="1">IFERROR(OFFSET(ARGUS!$A$3, MATCH($A36, ARGUS!$A$3:$A$176, 0)-1,MATCH(EOMONTH(CP$15,1), ARGUS!$B$4:$LG$4, 0)-1,1,1)/1000, 0)</f>
        <v>27.209</v>
      </c>
      <c r="CQ36" s="940">
        <f ca="1">IFERROR(OFFSET(ARGUS!$A$3, MATCH($A36, ARGUS!$A$3:$A$176, 0)-1,MATCH(EOMONTH(CQ$15,1), ARGUS!$B$4:$LG$4, 0)-1,1,1)/1000, 0)</f>
        <v>0</v>
      </c>
      <c r="CR36" s="940">
        <f ca="1">IFERROR(OFFSET(ARGUS!$A$3, MATCH($A36, ARGUS!$A$3:$A$176, 0)-1,MATCH(EOMONTH(CR$15,1), ARGUS!$B$4:$LG$4, 0)-1,1,1)/1000, 0)</f>
        <v>0</v>
      </c>
      <c r="CS36" s="940">
        <f ca="1">IFERROR(OFFSET(ARGUS!$A$3, MATCH($A36, ARGUS!$A$3:$A$176, 0)-1,MATCH(EOMONTH(CS$15,1), ARGUS!$B$4:$LG$4, 0)-1,1,1)/1000, 0)</f>
        <v>70.641999999999996</v>
      </c>
      <c r="CT36" s="940">
        <f ca="1">IFERROR(OFFSET(ARGUS!$A$3, MATCH($A36, ARGUS!$A$3:$A$176, 0)-1,MATCH(EOMONTH(CT$15,1), ARGUS!$B$4:$LG$4, 0)-1,1,1)/1000, 0)</f>
        <v>114.55800000000001</v>
      </c>
      <c r="CU36" s="940">
        <f ca="1">IFERROR(OFFSET(ARGUS!$A$3, MATCH($A36, ARGUS!$A$3:$A$176, 0)-1,MATCH(EOMONTH(CU$15,1), ARGUS!$B$4:$LG$4, 0)-1,1,1)/1000, 0)</f>
        <v>0</v>
      </c>
      <c r="CV36" s="940">
        <f ca="1">IFERROR(OFFSET(ARGUS!$A$3, MATCH($A36, ARGUS!$A$3:$A$176, 0)-1,MATCH(EOMONTH(CV$15,1), ARGUS!$B$4:$LG$4, 0)-1,1,1)/1000, 0)</f>
        <v>0</v>
      </c>
      <c r="CW36" s="940">
        <f ca="1">IFERROR(OFFSET(ARGUS!$A$3, MATCH($A36, ARGUS!$A$3:$A$176, 0)-1,MATCH(EOMONTH(CW$15,1), ARGUS!$B$4:$LG$4, 0)-1,1,1)/1000, 0)</f>
        <v>0</v>
      </c>
      <c r="CX36" s="940">
        <f ca="1">IFERROR(OFFSET(ARGUS!$A$3, MATCH($A36, ARGUS!$A$3:$A$176, 0)-1,MATCH(EOMONTH(CX$15,1), ARGUS!$B$4:$LG$4, 0)-1,1,1)/1000, 0)</f>
        <v>0</v>
      </c>
      <c r="CY36" s="940">
        <f ca="1">IFERROR(OFFSET(ARGUS!$A$3, MATCH($A36, ARGUS!$A$3:$A$176, 0)-1,MATCH(EOMONTH(CY$15,1), ARGUS!$B$4:$LG$4, 0)-1,1,1)/1000, 0)</f>
        <v>71.259</v>
      </c>
      <c r="CZ36" s="940">
        <f ca="1">IFERROR(OFFSET(ARGUS!$A$3, MATCH($A36, ARGUS!$A$3:$A$176, 0)-1,MATCH(EOMONTH(CZ$15,1), ARGUS!$B$4:$LG$4, 0)-1,1,1)/1000, 0)</f>
        <v>0</v>
      </c>
      <c r="DA36" s="940">
        <f ca="1">IFERROR(OFFSET(ARGUS!$A$3, MATCH($A36, ARGUS!$A$3:$A$176, 0)-1,MATCH(EOMONTH(DA$15,1), ARGUS!$B$4:$LG$4, 0)-1,1,1)/1000, 0)</f>
        <v>62.713000000000001</v>
      </c>
      <c r="DB36" s="940">
        <f ca="1">IFERROR(OFFSET(ARGUS!$A$3, MATCH($A36, ARGUS!$A$3:$A$176, 0)-1,MATCH(EOMONTH(DB$15,1), ARGUS!$B$4:$LG$4, 0)-1,1,1)/1000, 0)</f>
        <v>56.643000000000001</v>
      </c>
      <c r="DC36" s="940">
        <f ca="1">IFERROR(OFFSET(ARGUS!$A$3, MATCH($A36, ARGUS!$A$3:$A$176, 0)-1,MATCH(EOMONTH(DC$15,1), ARGUS!$B$4:$LG$4, 0)-1,1,1)/1000, 0)</f>
        <v>45.350999999999999</v>
      </c>
      <c r="DD36" s="940">
        <f ca="1">IFERROR(OFFSET(ARGUS!$A$3, MATCH($A36, ARGUS!$A$3:$A$176, 0)-1,MATCH(EOMONTH(DD$15,1), ARGUS!$B$4:$LG$4, 0)-1,1,1)/1000, 0)</f>
        <v>0</v>
      </c>
      <c r="DE36" s="940">
        <f ca="1">IFERROR(OFFSET(ARGUS!$A$3, MATCH($A36, ARGUS!$A$3:$A$176, 0)-1,MATCH(EOMONTH(DE$15,1), ARGUS!$B$4:$LG$4, 0)-1,1,1)/1000, 0)</f>
        <v>0</v>
      </c>
      <c r="DF36" s="940">
        <f ca="1">IFERROR(OFFSET(ARGUS!$A$3, MATCH($A36, ARGUS!$A$3:$A$176, 0)-1,MATCH(EOMONTH(DF$15,1), ARGUS!$B$4:$LG$4, 0)-1,1,1)/1000, 0)</f>
        <v>0</v>
      </c>
      <c r="DG36" s="940">
        <f ca="1">IFERROR(OFFSET(ARGUS!$A$3, MATCH($A36, ARGUS!$A$3:$A$176, 0)-1,MATCH(EOMONTH(DG$15,1), ARGUS!$B$4:$LG$4, 0)-1,1,1)/1000, 0)</f>
        <v>0</v>
      </c>
      <c r="DH36" s="940">
        <f ca="1">IFERROR(OFFSET(ARGUS!$A$3, MATCH($A36, ARGUS!$A$3:$A$176, 0)-1,MATCH(EOMONTH(DH$15,1), ARGUS!$B$4:$LG$4, 0)-1,1,1)/1000, 0)</f>
        <v>0</v>
      </c>
      <c r="DI36" s="940">
        <f ca="1">IFERROR(OFFSET(ARGUS!$A$3, MATCH($A36, ARGUS!$A$3:$A$176, 0)-1,MATCH(EOMONTH(DI$15,1), ARGUS!$B$4:$LG$4, 0)-1,1,1)/1000, 0)</f>
        <v>0</v>
      </c>
      <c r="DJ36" s="940">
        <f ca="1">IFERROR(OFFSET(ARGUS!$A$3, MATCH($A36, ARGUS!$A$3:$A$176, 0)-1,MATCH(EOMONTH(DJ$15,1), ARGUS!$B$4:$LG$4, 0)-1,1,1)/1000, 0)</f>
        <v>0</v>
      </c>
      <c r="DK36" s="940">
        <f ca="1">IFERROR(OFFSET(ARGUS!$A$3, MATCH($A36, ARGUS!$A$3:$A$176, 0)-1,MATCH(EOMONTH(DK$15,1), ARGUS!$B$4:$LG$4, 0)-1,1,1)/1000, 0)</f>
        <v>0</v>
      </c>
      <c r="DL36" s="940">
        <f ca="1">IFERROR(OFFSET(ARGUS!$A$3, MATCH($A36, ARGUS!$A$3:$A$176, 0)-1,MATCH(EOMONTH(DL$15,1), ARGUS!$B$4:$LG$4, 0)-1,1,1)/1000, 0)</f>
        <v>0</v>
      </c>
      <c r="DM36" s="940">
        <f ca="1">IFERROR(OFFSET(ARGUS!$A$3, MATCH($A36, ARGUS!$A$3:$A$176, 0)-1,MATCH(EOMONTH(DM$15,1), ARGUS!$B$4:$LG$4, 0)-1,1,1)/1000, 0)</f>
        <v>0</v>
      </c>
      <c r="DN36" s="940">
        <f ca="1">IFERROR(OFFSET(ARGUS!$A$3, MATCH($A36, ARGUS!$A$3:$A$176, 0)-1,MATCH(EOMONTH(DN$15,1), ARGUS!$B$4:$LG$4, 0)-1,1,1)/1000, 0)</f>
        <v>0</v>
      </c>
      <c r="DO36" s="940">
        <f ca="1">IFERROR(OFFSET(ARGUS!$A$3, MATCH($A36, ARGUS!$A$3:$A$176, 0)-1,MATCH(EOMONTH(DO$15,1), ARGUS!$B$4:$LG$4, 0)-1,1,1)/1000, 0)</f>
        <v>22.462</v>
      </c>
      <c r="DP36" s="940">
        <f ca="1">IFERROR(OFFSET(ARGUS!$A$3, MATCH($A36, ARGUS!$A$3:$A$176, 0)-1,MATCH(EOMONTH(DP$15,1), ARGUS!$B$4:$LG$4, 0)-1,1,1)/1000, 0)</f>
        <v>0</v>
      </c>
      <c r="DQ36" s="940">
        <f ca="1">IFERROR(OFFSET(ARGUS!$A$3, MATCH($A36, ARGUS!$A$3:$A$176, 0)-1,MATCH(EOMONTH(DQ$15,1), ARGUS!$B$4:$LG$4, 0)-1,1,1)/1000, 0)</f>
        <v>0</v>
      </c>
      <c r="DR36" s="940">
        <f ca="1">IFERROR(OFFSET(ARGUS!$A$3, MATCH($A36, ARGUS!$A$3:$A$176, 0)-1,MATCH(EOMONTH(DR$15,1), ARGUS!$B$4:$LG$4, 0)-1,1,1)/1000, 0)</f>
        <v>0</v>
      </c>
      <c r="DS36" s="940">
        <f ca="1">IFERROR(OFFSET(ARGUS!$A$3, MATCH($A36, ARGUS!$A$3:$A$176, 0)-1,MATCH(EOMONTH(DS$15,1), ARGUS!$B$4:$LG$4, 0)-1,1,1)/1000, 0)</f>
        <v>0</v>
      </c>
      <c r="DT36" s="940">
        <f ca="1">IFERROR(OFFSET(ARGUS!$A$3, MATCH($A36, ARGUS!$A$3:$A$176, 0)-1,MATCH(EOMONTH(DT$15,1), ARGUS!$B$4:$LG$4, 0)-1,1,1)/1000, 0)</f>
        <v>0</v>
      </c>
      <c r="DU36" s="940">
        <f ca="1">IFERROR(OFFSET(ARGUS!$A$3, MATCH($A36, ARGUS!$A$3:$A$176, 0)-1,MATCH(EOMONTH(DU$15,1), ARGUS!$B$4:$LG$4, 0)-1,1,1)/1000, 0)</f>
        <v>0</v>
      </c>
      <c r="DV36" s="940">
        <f ca="1">IFERROR(OFFSET(ARGUS!$A$3, MATCH($A36, ARGUS!$A$3:$A$176, 0)-1,MATCH(EOMONTH(DV$15,1), ARGUS!$B$4:$LG$4, 0)-1,1,1)/1000, 0)</f>
        <v>0</v>
      </c>
      <c r="DW36" s="940">
        <f ca="1">IFERROR(OFFSET(ARGUS!$A$3, MATCH($A36, ARGUS!$A$3:$A$176, 0)-1,MATCH(EOMONTH(DW$15,1), ARGUS!$B$4:$LG$4, 0)-1,1,1)/1000, 0)</f>
        <v>0</v>
      </c>
      <c r="DX36" s="940">
        <f ca="1">IFERROR(OFFSET(ARGUS!$A$3, MATCH($A36, ARGUS!$A$3:$A$176, 0)-1,MATCH(EOMONTH(DX$15,1), ARGUS!$B$4:$LG$4, 0)-1,1,1)/1000, 0)</f>
        <v>0</v>
      </c>
      <c r="DY36" s="940">
        <f ca="1">IFERROR(OFFSET(ARGUS!$A$3, MATCH($A36, ARGUS!$A$3:$A$176, 0)-1,MATCH(EOMONTH(DY$15,1), ARGUS!$B$4:$LG$4, 0)-1,1,1)/1000, 0)</f>
        <v>0</v>
      </c>
      <c r="DZ36" s="940">
        <f ca="1">IFERROR(OFFSET(ARGUS!$A$3, MATCH($A36, ARGUS!$A$3:$A$176, 0)-1,MATCH(EOMONTH(DZ$15,1), ARGUS!$B$4:$LG$4, 0)-1,1,1)/1000, 0)</f>
        <v>0</v>
      </c>
      <c r="EA36" s="940">
        <f ca="1">IFERROR(OFFSET(ARGUS!$A$3, MATCH($A36, ARGUS!$A$3:$A$176, 0)-1,MATCH(EOMONTH(EA$15,1), ARGUS!$B$4:$LG$4, 0)-1,1,1)/1000, 0)</f>
        <v>0</v>
      </c>
      <c r="EB36" s="940">
        <f ca="1">IFERROR(OFFSET(ARGUS!$A$3, MATCH($A36, ARGUS!$A$3:$A$176, 0)-1,MATCH(EOMONTH(EB$15,1), ARGUS!$B$4:$LG$4, 0)-1,1,1)/1000, 0)</f>
        <v>0</v>
      </c>
      <c r="EC36" s="940">
        <f ca="1">IFERROR(OFFSET(ARGUS!$A$3, MATCH($A36, ARGUS!$A$3:$A$176, 0)-1,MATCH(EOMONTH(EC$15,1), ARGUS!$B$4:$LG$4, 0)-1,1,1)/1000, 0)</f>
        <v>0</v>
      </c>
      <c r="ED36" s="940">
        <f ca="1">IFERROR(OFFSET(ARGUS!$A$3, MATCH($A36, ARGUS!$A$3:$A$176, 0)-1,MATCH(EOMONTH(ED$15,1), ARGUS!$B$4:$LG$4, 0)-1,1,1)/1000, 0)</f>
        <v>0</v>
      </c>
      <c r="EE36" s="940">
        <f ca="1">IFERROR(OFFSET(ARGUS!$A$3, MATCH($A36, ARGUS!$A$3:$A$176, 0)-1,MATCH(EOMONTH(EE$15,1), ARGUS!$B$4:$LG$4, 0)-1,1,1)/1000, 0)</f>
        <v>0</v>
      </c>
      <c r="EF36" s="940">
        <f ca="1">IFERROR(OFFSET(ARGUS!$A$3, MATCH($A36, ARGUS!$A$3:$A$176, 0)-1,MATCH(EOMONTH(EF$15,1), ARGUS!$B$4:$LG$4, 0)-1,1,1)/1000, 0)</f>
        <v>60.502000000000002</v>
      </c>
      <c r="EG36" s="940">
        <f ca="1">IFERROR(OFFSET(ARGUS!$A$3, MATCH($A36, ARGUS!$A$3:$A$176, 0)-1,MATCH(EOMONTH(EG$15,1), ARGUS!$B$4:$LG$4, 0)-1,1,1)/1000, 0)</f>
        <v>78.891999999999996</v>
      </c>
      <c r="EH36" s="940">
        <f ca="1">IFERROR(OFFSET(ARGUS!$A$3, MATCH($A36, ARGUS!$A$3:$A$176, 0)-1,MATCH(EOMONTH(EH$15,1), ARGUS!$B$4:$LG$4, 0)-1,1,1)/1000, 0)</f>
        <v>0</v>
      </c>
      <c r="EI36" s="940">
        <f ca="1">IFERROR(OFFSET(ARGUS!$A$3, MATCH($A36, ARGUS!$A$3:$A$176, 0)-1,MATCH(EOMONTH(EI$15,1), ARGUS!$B$4:$LG$4, 0)-1,1,1)/1000, 0)</f>
        <v>0</v>
      </c>
      <c r="EJ36" s="940">
        <f ca="1">IFERROR(OFFSET(ARGUS!$A$3, MATCH($A36, ARGUS!$A$3:$A$176, 0)-1,MATCH(EOMONTH(EJ$15,1), ARGUS!$B$4:$LG$4, 0)-1,1,1)/1000, 0)</f>
        <v>0</v>
      </c>
      <c r="EK36" s="940">
        <f ca="1">IFERROR(OFFSET(ARGUS!$A$3, MATCH($A36, ARGUS!$A$3:$A$176, 0)-1,MATCH(EOMONTH(EK$15,1), ARGUS!$B$4:$LG$4, 0)-1,1,1)/1000, 0)</f>
        <v>0</v>
      </c>
      <c r="EL36" s="940">
        <f ca="1">IFERROR(OFFSET(ARGUS!$A$3, MATCH($A36, ARGUS!$A$3:$A$176, 0)-1,MATCH(EOMONTH(EL$15,1), ARGUS!$B$4:$LG$4, 0)-1,1,1)/1000, 0)</f>
        <v>0</v>
      </c>
      <c r="EM36" s="940">
        <f ca="1">IFERROR(OFFSET(ARGUS!$A$3, MATCH($A36, ARGUS!$A$3:$A$176, 0)-1,MATCH(EOMONTH(EM$15,1), ARGUS!$B$4:$LG$4, 0)-1,1,1)/1000, 0)</f>
        <v>0</v>
      </c>
      <c r="EN36" s="940">
        <f ca="1">IFERROR(OFFSET(ARGUS!$A$3, MATCH($A36, ARGUS!$A$3:$A$176, 0)-1,MATCH(EOMONTH(EN$15,1), ARGUS!$B$4:$LG$4, 0)-1,1,1)/1000, 0)</f>
        <v>0</v>
      </c>
      <c r="EO36" s="940">
        <f ca="1">IFERROR(OFFSET(ARGUS!$A$3, MATCH($A36, ARGUS!$A$3:$A$176, 0)-1,MATCH(EOMONTH(EO$15,1), ARGUS!$B$4:$LG$4, 0)-1,1,1)/1000, 0)</f>
        <v>0</v>
      </c>
      <c r="EP36" s="940">
        <f ca="1">IFERROR(OFFSET(ARGUS!$A$3, MATCH($A36, ARGUS!$A$3:$A$176, 0)-1,MATCH(EOMONTH(EP$15,1), ARGUS!$B$4:$LG$4, 0)-1,1,1)/1000, 0)</f>
        <v>0</v>
      </c>
      <c r="EQ36" s="940">
        <f ca="1">IFERROR(OFFSET(ARGUS!$A$3, MATCH($A36, ARGUS!$A$3:$A$176, 0)-1,MATCH(EOMONTH(EQ$15,1), ARGUS!$B$4:$LG$4, 0)-1,1,1)/1000, 0)</f>
        <v>0</v>
      </c>
      <c r="ER36" s="940">
        <f ca="1">IFERROR(OFFSET(ARGUS!$A$3, MATCH($A36, ARGUS!$A$3:$A$176, 0)-1,MATCH(EOMONTH(ER$15,1), ARGUS!$B$4:$LG$4, 0)-1,1,1)/1000, 0)</f>
        <v>38.15</v>
      </c>
      <c r="ES36" s="940">
        <f ca="1">IFERROR(OFFSET(ARGUS!$A$3, MATCH($A36, ARGUS!$A$3:$A$176, 0)-1,MATCH(EOMONTH(ES$15,1), ARGUS!$B$4:$LG$4, 0)-1,1,1)/1000, 0)</f>
        <v>0</v>
      </c>
      <c r="ET36" s="940">
        <f ca="1">IFERROR(OFFSET(ARGUS!$A$3, MATCH($A36, ARGUS!$A$3:$A$176, 0)-1,MATCH(EOMONTH(ET$15,1), ARGUS!$B$4:$LG$4, 0)-1,1,1)/1000, 0)</f>
        <v>0</v>
      </c>
      <c r="EU36" s="940">
        <f ca="1">IFERROR(OFFSET(ARGUS!$A$3, MATCH($A36, ARGUS!$A$3:$A$176, 0)-1,MATCH(EOMONTH(EU$15,1), ARGUS!$B$4:$LG$4, 0)-1,1,1)/1000, 0)</f>
        <v>0</v>
      </c>
      <c r="EV36" s="940">
        <f ca="1">IFERROR(OFFSET(ARGUS!$A$3, MATCH($A36, ARGUS!$A$3:$A$176, 0)-1,MATCH(EOMONTH(EV$15,1), ARGUS!$B$4:$LG$4, 0)-1,1,1)/1000, 0)</f>
        <v>0</v>
      </c>
      <c r="EW36" s="940">
        <f ca="1">IFERROR(OFFSET(ARGUS!$A$3, MATCH($A36, ARGUS!$A$3:$A$176, 0)-1,MATCH(EOMONTH(EW$15,1), ARGUS!$B$4:$LG$4, 0)-1,1,1)/1000, 0)</f>
        <v>0</v>
      </c>
      <c r="EX36" s="940">
        <f ca="1">IFERROR(OFFSET(ARGUS!$A$3, MATCH($A36, ARGUS!$A$3:$A$176, 0)-1,MATCH(EOMONTH(EX$15,1), ARGUS!$B$4:$LG$4, 0)-1,1,1)/1000, 0)</f>
        <v>0</v>
      </c>
      <c r="EY36" s="940">
        <f ca="1">IFERROR(OFFSET(ARGUS!$A$3, MATCH($A36, ARGUS!$A$3:$A$176, 0)-1,MATCH(EOMONTH(EY$15,1), ARGUS!$B$4:$LG$4, 0)-1,1,1)/1000, 0)</f>
        <v>27.209</v>
      </c>
      <c r="EZ36" s="940">
        <f ca="1">IFERROR(OFFSET(ARGUS!$A$3, MATCH($A36, ARGUS!$A$3:$A$176, 0)-1,MATCH(EOMONTH(EZ$15,1), ARGUS!$B$4:$LG$4, 0)-1,1,1)/1000, 0)</f>
        <v>49.578000000000003</v>
      </c>
      <c r="FA36" s="940">
        <f ca="1">IFERROR(OFFSET(ARGUS!$A$3, MATCH($A36, ARGUS!$A$3:$A$176, 0)-1,MATCH(EOMONTH(FA$15,1), ARGUS!$B$4:$LG$4, 0)-1,1,1)/1000, 0)</f>
        <v>0</v>
      </c>
      <c r="FB36" s="940">
        <f ca="1">IFERROR(OFFSET(ARGUS!$A$3, MATCH($A36, ARGUS!$A$3:$A$176, 0)-1,MATCH(EOMONTH(FB$15,1), ARGUS!$B$4:$LG$4, 0)-1,1,1)/1000, 0)</f>
        <v>70.641999999999996</v>
      </c>
      <c r="FC36" s="940">
        <f ca="1">IFERROR(OFFSET(ARGUS!$A$3, MATCH($A36, ARGUS!$A$3:$A$176, 0)-1,MATCH(EOMONTH(FC$15,1), ARGUS!$B$4:$LG$4, 0)-1,1,1)/1000, 0)</f>
        <v>114.55800000000001</v>
      </c>
      <c r="FD36" s="940">
        <f ca="1">IFERROR(OFFSET(ARGUS!$A$3, MATCH($A36, ARGUS!$A$3:$A$176, 0)-1,MATCH(EOMONTH(FD$15,1), ARGUS!$B$4:$LG$4, 0)-1,1,1)/1000, 0)</f>
        <v>0</v>
      </c>
      <c r="FE36" s="940">
        <f ca="1">IFERROR(OFFSET(ARGUS!$A$3, MATCH($A36, ARGUS!$A$3:$A$176, 0)-1,MATCH(EOMONTH(FE$15,1), ARGUS!$B$4:$LG$4, 0)-1,1,1)/1000, 0)</f>
        <v>0</v>
      </c>
      <c r="FF36" s="940">
        <f ca="1">IFERROR(OFFSET(ARGUS!$A$3, MATCH($A36, ARGUS!$A$3:$A$176, 0)-1,MATCH(EOMONTH(FF$15,1), ARGUS!$B$4:$LG$4, 0)-1,1,1)/1000, 0)</f>
        <v>0</v>
      </c>
      <c r="FG36" s="940">
        <f ca="1">IFERROR(OFFSET(ARGUS!$A$3, MATCH($A36, ARGUS!$A$3:$A$176, 0)-1,MATCH(EOMONTH(FG$15,1), ARGUS!$B$4:$LG$4, 0)-1,1,1)/1000, 0)</f>
        <v>0</v>
      </c>
      <c r="FH36" s="940">
        <f ca="1">IFERROR(OFFSET(ARGUS!$A$3, MATCH($A36, ARGUS!$A$3:$A$176, 0)-1,MATCH(EOMONTH(FH$15,1), ARGUS!$B$4:$LG$4, 0)-1,1,1)/1000, 0)</f>
        <v>71.259</v>
      </c>
      <c r="FI36" s="940">
        <f ca="1">IFERROR(OFFSET(ARGUS!$A$3, MATCH($A36, ARGUS!$A$3:$A$176, 0)-1,MATCH(EOMONTH(FI$15,1), ARGUS!$B$4:$LG$4, 0)-1,1,1)/1000, 0)</f>
        <v>0</v>
      </c>
      <c r="FJ36" s="940">
        <f ca="1">IFERROR(OFFSET(ARGUS!$A$3, MATCH($A36, ARGUS!$A$3:$A$176, 0)-1,MATCH(EOMONTH(FJ$15,1), ARGUS!$B$4:$LG$4, 0)-1,1,1)/1000, 0)</f>
        <v>62.713000000000001</v>
      </c>
      <c r="FK36" s="940">
        <f ca="1">IFERROR(OFFSET(ARGUS!$A$3, MATCH($A36, ARGUS!$A$3:$A$176, 0)-1,MATCH(EOMONTH(FK$15,1), ARGUS!$B$4:$LG$4, 0)-1,1,1)/1000, 0)</f>
        <v>0</v>
      </c>
      <c r="FL36" s="940">
        <f ca="1">IFERROR(OFFSET(ARGUS!$A$3, MATCH($A36, ARGUS!$A$3:$A$176, 0)-1,MATCH(EOMONTH(FL$15,1), ARGUS!$B$4:$LG$4, 0)-1,1,1)/1000, 0)</f>
        <v>42.603999999999999</v>
      </c>
      <c r="FM36" s="940">
        <f ca="1">IFERROR(OFFSET(ARGUS!$A$3, MATCH($A36, ARGUS!$A$3:$A$176, 0)-1,MATCH(EOMONTH(FM$15,1), ARGUS!$B$4:$LG$4, 0)-1,1,1)/1000, 0)</f>
        <v>45.350999999999999</v>
      </c>
      <c r="FN36" s="940">
        <f ca="1">IFERROR(OFFSET(ARGUS!$A$3, MATCH($A36, ARGUS!$A$3:$A$176, 0)-1,MATCH(EOMONTH(FN$15,1), ARGUS!$B$4:$LG$4, 0)-1,1,1)/1000, 0)</f>
        <v>0</v>
      </c>
      <c r="FO36" s="940">
        <f ca="1">IFERROR(OFFSET(ARGUS!$A$3, MATCH($A36, ARGUS!$A$3:$A$176, 0)-1,MATCH(EOMONTH(FO$15,1), ARGUS!$B$4:$LG$4, 0)-1,1,1)/1000, 0)</f>
        <v>0</v>
      </c>
      <c r="FP36" s="940">
        <f ca="1">IFERROR(OFFSET(ARGUS!$A$3, MATCH($A36, ARGUS!$A$3:$A$176, 0)-1,MATCH(EOMONTH(FP$15,1), ARGUS!$B$4:$LG$4, 0)-1,1,1)/1000, 0)</f>
        <v>0</v>
      </c>
      <c r="FQ36" s="940">
        <f ca="1">IFERROR(OFFSET(ARGUS!$A$3, MATCH($A36, ARGUS!$A$3:$A$176, 0)-1,MATCH(EOMONTH(FQ$15,1), ARGUS!$B$4:$LG$4, 0)-1,1,1)/1000, 0)</f>
        <v>0</v>
      </c>
      <c r="FR36" s="940">
        <f ca="1">IFERROR(OFFSET(ARGUS!$A$3, MATCH($A36, ARGUS!$A$3:$A$176, 0)-1,MATCH(EOMONTH(FR$15,1), ARGUS!$B$4:$LG$4, 0)-1,1,1)/1000, 0)</f>
        <v>0</v>
      </c>
      <c r="FS36" s="940">
        <f ca="1">IFERROR(OFFSET(ARGUS!$A$3, MATCH($A36, ARGUS!$A$3:$A$176, 0)-1,MATCH(EOMONTH(FS$15,1), ARGUS!$B$4:$LG$4, 0)-1,1,1)/1000, 0)</f>
        <v>0</v>
      </c>
      <c r="FT36" s="940">
        <f ca="1">IFERROR(OFFSET(ARGUS!$A$3, MATCH($A36, ARGUS!$A$3:$A$176, 0)-1,MATCH(EOMONTH(FT$15,1), ARGUS!$B$4:$LG$4, 0)-1,1,1)/1000, 0)</f>
        <v>0</v>
      </c>
      <c r="FU36" s="940">
        <f ca="1">IFERROR(OFFSET(ARGUS!$A$3, MATCH($A36, ARGUS!$A$3:$A$176, 0)-1,MATCH(EOMONTH(FU$15,1), ARGUS!$B$4:$LG$4, 0)-1,1,1)/1000, 0)</f>
        <v>0</v>
      </c>
      <c r="FV36" s="940">
        <f ca="1">IFERROR(OFFSET(ARGUS!$A$3, MATCH($A36, ARGUS!$A$3:$A$176, 0)-1,MATCH(EOMONTH(FV$15,1), ARGUS!$B$4:$LG$4, 0)-1,1,1)/1000, 0)</f>
        <v>0</v>
      </c>
      <c r="FW36" s="940">
        <f ca="1">IFERROR(OFFSET(ARGUS!$A$3, MATCH($A36, ARGUS!$A$3:$A$176, 0)-1,MATCH(EOMONTH(FW$15,1), ARGUS!$B$4:$LG$4, 0)-1,1,1)/1000, 0)</f>
        <v>0</v>
      </c>
      <c r="FX36" s="940">
        <f ca="1">IFERROR(OFFSET(ARGUS!$A$3, MATCH($A36, ARGUS!$A$3:$A$176, 0)-1,MATCH(EOMONTH(FX$15,1), ARGUS!$B$4:$LG$4, 0)-1,1,1)/1000, 0)</f>
        <v>22.462</v>
      </c>
      <c r="FY36" s="940">
        <f ca="1">IFERROR(OFFSET(ARGUS!$A$3, MATCH($A36, ARGUS!$A$3:$A$176, 0)-1,MATCH(EOMONTH(FY$15,1), ARGUS!$B$4:$LG$4, 0)-1,1,1)/1000, 0)</f>
        <v>0</v>
      </c>
      <c r="FZ36" s="940">
        <f ca="1">IFERROR(OFFSET(ARGUS!$A$3, MATCH($A36, ARGUS!$A$3:$A$176, 0)-1,MATCH(EOMONTH(FZ$15,1), ARGUS!$B$4:$LG$4, 0)-1,1,1)/1000, 0)</f>
        <v>0</v>
      </c>
      <c r="GA36" s="940">
        <f ca="1">IFERROR(OFFSET(ARGUS!$A$3, MATCH($A36, ARGUS!$A$3:$A$176, 0)-1,MATCH(EOMONTH(GA$15,1), ARGUS!$B$4:$LG$4, 0)-1,1,1)/1000, 0)</f>
        <v>0</v>
      </c>
      <c r="GB36" s="940">
        <f ca="1">IFERROR(OFFSET(ARGUS!$A$3, MATCH($A36, ARGUS!$A$3:$A$176, 0)-1,MATCH(EOMONTH(GB$15,1), ARGUS!$B$4:$LG$4, 0)-1,1,1)/1000, 0)</f>
        <v>0</v>
      </c>
      <c r="GC36" s="940">
        <f ca="1">IFERROR(OFFSET(ARGUS!$A$3, MATCH($A36, ARGUS!$A$3:$A$176, 0)-1,MATCH(EOMONTH(GC$15,1), ARGUS!$B$4:$LG$4, 0)-1,1,1)/1000, 0)</f>
        <v>0</v>
      </c>
      <c r="GD36" s="940">
        <f ca="1">IFERROR(OFFSET(ARGUS!$A$3, MATCH($A36, ARGUS!$A$3:$A$176, 0)-1,MATCH(EOMONTH(GD$15,1), ARGUS!$B$4:$LG$4, 0)-1,1,1)/1000, 0)</f>
        <v>0</v>
      </c>
      <c r="GE36" s="940">
        <f ca="1">IFERROR(OFFSET(ARGUS!$A$3, MATCH($A36, ARGUS!$A$3:$A$176, 0)-1,MATCH(EOMONTH(GE$15,1), ARGUS!$B$4:$LG$4, 0)-1,1,1)/1000, 0)</f>
        <v>0</v>
      </c>
      <c r="GF36" s="940">
        <f ca="1">IFERROR(OFFSET(ARGUS!$A$3, MATCH($A36, ARGUS!$A$3:$A$176, 0)-1,MATCH(EOMONTH(GF$15,1), ARGUS!$B$4:$LG$4, 0)-1,1,1)/1000, 0)</f>
        <v>0</v>
      </c>
      <c r="GG36" s="940">
        <f ca="1">IFERROR(OFFSET(ARGUS!$A$3, MATCH($A36, ARGUS!$A$3:$A$176, 0)-1,MATCH(EOMONTH(GG$15,1), ARGUS!$B$4:$LG$4, 0)-1,1,1)/1000, 0)</f>
        <v>0</v>
      </c>
      <c r="GH36" s="940">
        <f ca="1">IFERROR(OFFSET(ARGUS!$A$3, MATCH($A36, ARGUS!$A$3:$A$176, 0)-1,MATCH(EOMONTH(GH$15,1), ARGUS!$B$4:$LG$4, 0)-1,1,1)/1000, 0)</f>
        <v>0</v>
      </c>
      <c r="GI36" s="940">
        <f ca="1">IFERROR(OFFSET(ARGUS!$A$3, MATCH($A36, ARGUS!$A$3:$A$176, 0)-1,MATCH(EOMONTH(GI$15,1), ARGUS!$B$4:$LG$4, 0)-1,1,1)/1000, 0)</f>
        <v>0</v>
      </c>
      <c r="GJ36" s="940">
        <f ca="1">IFERROR(OFFSET(ARGUS!$A$3, MATCH($A36, ARGUS!$A$3:$A$176, 0)-1,MATCH(EOMONTH(GJ$15,1), ARGUS!$B$4:$LG$4, 0)-1,1,1)/1000, 0)</f>
        <v>0</v>
      </c>
      <c r="GK36" s="940">
        <f ca="1">IFERROR(OFFSET(ARGUS!$A$3, MATCH($A36, ARGUS!$A$3:$A$176, 0)-1,MATCH(EOMONTH(GK$15,1), ARGUS!$B$4:$LG$4, 0)-1,1,1)/1000, 0)</f>
        <v>0</v>
      </c>
      <c r="GL36" s="940">
        <f ca="1">IFERROR(OFFSET(ARGUS!$A$3, MATCH($A36, ARGUS!$A$3:$A$176, 0)-1,MATCH(EOMONTH(GL$15,1), ARGUS!$B$4:$LG$4, 0)-1,1,1)/1000, 0)</f>
        <v>0</v>
      </c>
      <c r="GM36" s="940">
        <f ca="1">IFERROR(OFFSET(ARGUS!$A$3, MATCH($A36, ARGUS!$A$3:$A$176, 0)-1,MATCH(EOMONTH(GM$15,1), ARGUS!$B$4:$LG$4, 0)-1,1,1)/1000, 0)</f>
        <v>0</v>
      </c>
      <c r="GN36" s="940">
        <f ca="1">IFERROR(OFFSET(ARGUS!$A$3, MATCH($A36, ARGUS!$A$3:$A$176, 0)-1,MATCH(EOMONTH(GN$15,1), ARGUS!$B$4:$LG$4, 0)-1,1,1)/1000, 0)</f>
        <v>0</v>
      </c>
      <c r="GO36" s="940">
        <f ca="1">IFERROR(OFFSET(ARGUS!$A$3, MATCH($A36, ARGUS!$A$3:$A$176, 0)-1,MATCH(EOMONTH(GO$15,1), ARGUS!$B$4:$LG$4, 0)-1,1,1)/1000, 0)</f>
        <v>60.502000000000002</v>
      </c>
      <c r="GP36" s="940">
        <f ca="1">IFERROR(OFFSET(ARGUS!$A$3, MATCH($A36, ARGUS!$A$3:$A$176, 0)-1,MATCH(EOMONTH(GP$15,1), ARGUS!$B$4:$LG$4, 0)-1,1,1)/1000, 0)</f>
        <v>78.891999999999996</v>
      </c>
      <c r="GQ36" s="940">
        <f ca="1">IFERROR(OFFSET(ARGUS!$A$3, MATCH($A36, ARGUS!$A$3:$A$176, 0)-1,MATCH(EOMONTH(GQ$15,1), ARGUS!$B$4:$LG$4, 0)-1,1,1)/1000, 0)</f>
        <v>0</v>
      </c>
      <c r="GR36" s="940">
        <f ca="1">IFERROR(OFFSET(ARGUS!$A$3, MATCH($A36, ARGUS!$A$3:$A$176, 0)-1,MATCH(EOMONTH(GR$15,1), ARGUS!$B$4:$LG$4, 0)-1,1,1)/1000, 0)</f>
        <v>0</v>
      </c>
      <c r="GS36" s="940">
        <f ca="1">IFERROR(OFFSET(ARGUS!$A$3, MATCH($A36, ARGUS!$A$3:$A$176, 0)-1,MATCH(EOMONTH(GS$15,1), ARGUS!$B$4:$LG$4, 0)-1,1,1)/1000, 0)</f>
        <v>0</v>
      </c>
      <c r="GT36" s="940">
        <f ca="1">IFERROR(OFFSET(ARGUS!$A$3, MATCH($A36, ARGUS!$A$3:$A$176, 0)-1,MATCH(EOMONTH(GT$15,1), ARGUS!$B$4:$LG$4, 0)-1,1,1)/1000, 0)</f>
        <v>0</v>
      </c>
      <c r="GU36" s="940"/>
      <c r="GV36" s="940"/>
      <c r="GW36" s="940"/>
      <c r="GX36" s="940"/>
      <c r="GY36" s="940"/>
      <c r="GZ36" s="940"/>
      <c r="HA36" s="940"/>
      <c r="HB36" s="940"/>
      <c r="HC36" s="940"/>
      <c r="HD36" s="940"/>
      <c r="HE36" s="940"/>
      <c r="HF36" s="1" t="s">
        <v>212</v>
      </c>
      <c r="HG36" s="139" t="e">
        <f>HG34+1</f>
        <v>#REF!</v>
      </c>
      <c r="HH36" s="9" t="str">
        <f t="shared" si="556"/>
        <v>Leasing Commissions</v>
      </c>
      <c r="HI36" s="26"/>
      <c r="HJ36" s="26"/>
      <c r="HK36" s="26"/>
      <c r="HL36" s="132">
        <f t="shared" ca="1" si="557"/>
        <v>976.22774520042617</v>
      </c>
      <c r="HM36" s="26"/>
      <c r="HN36" s="133">
        <f t="shared" si="558"/>
        <v>0</v>
      </c>
      <c r="HO36" s="26">
        <f t="shared" si="558"/>
        <v>29.869500000000002</v>
      </c>
      <c r="HP36" s="26">
        <f t="shared" si="558"/>
        <v>155.42337159542831</v>
      </c>
      <c r="HQ36" s="26">
        <f t="shared" si="558"/>
        <v>143.95456402388379</v>
      </c>
      <c r="HR36" s="26">
        <f t="shared" si="558"/>
        <v>167.55245958111408</v>
      </c>
      <c r="HS36" s="26">
        <f t="shared" ca="1" si="558"/>
        <v>0</v>
      </c>
      <c r="HT36" s="26">
        <f t="shared" ca="1" si="558"/>
        <v>31.052849999999999</v>
      </c>
      <c r="HU36" s="26">
        <f t="shared" ca="1" si="558"/>
        <v>27.209</v>
      </c>
      <c r="HV36" s="26">
        <f t="shared" ca="1" si="558"/>
        <v>421.16600000000005</v>
      </c>
      <c r="HW36"/>
    </row>
    <row r="37" spans="1:231" ht="15">
      <c r="B37" s="31" t="s">
        <v>99</v>
      </c>
      <c r="C37" s="8"/>
      <c r="D37" s="8"/>
      <c r="E37" s="8"/>
      <c r="F37" s="8"/>
      <c r="G37" s="8"/>
      <c r="H37" s="8"/>
      <c r="I37" s="134">
        <f ca="1">SUMIF($K$13:$GT$13,"&lt;="&amp;Assumptions!$L$17,'Monthly Cash Flow'!K37:GT37)</f>
        <v>976.22774520042606</v>
      </c>
      <c r="J37" s="32"/>
      <c r="K37" s="135">
        <f>SUBTOTAL(9,K36:K36)</f>
        <v>0</v>
      </c>
      <c r="L37" s="32">
        <f>IF(L$13&lt;=Assumptions!$L$17,SUBTOTAL(9,L36:L36),0)</f>
        <v>0</v>
      </c>
      <c r="M37" s="32">
        <f>IF(M$13&lt;=Assumptions!$L$17,SUBTOTAL(9,M36:M36),0)</f>
        <v>0</v>
      </c>
      <c r="N37" s="32">
        <f>IF(N$13&lt;=Assumptions!$L$17,SUBTOTAL(9,N36:N36),0)</f>
        <v>0</v>
      </c>
      <c r="O37" s="32">
        <f>IF(O$13&lt;=Assumptions!$L$17,SUBTOTAL(9,O36:O36),0)</f>
        <v>0</v>
      </c>
      <c r="P37" s="32">
        <f>IF(P$13&lt;=Assumptions!$L$17,SUBTOTAL(9,P36:P36),0)</f>
        <v>0</v>
      </c>
      <c r="Q37" s="32">
        <f>IF(Q$13&lt;=Assumptions!$L$17,SUBTOTAL(9,Q36:Q36),0)</f>
        <v>0</v>
      </c>
      <c r="R37" s="32">
        <f>IF(R$13&lt;=Assumptions!$L$17,SUBTOTAL(9,R36:R36),0)</f>
        <v>0</v>
      </c>
      <c r="S37" s="32">
        <f>IF(S$13&lt;=Assumptions!$L$17,SUBTOTAL(9,S36:S36),0)</f>
        <v>0</v>
      </c>
      <c r="T37" s="32">
        <f>IF(T$13&lt;=Assumptions!$L$17,SUBTOTAL(9,T36:T36),0)</f>
        <v>0</v>
      </c>
      <c r="U37" s="32">
        <f>IF(U$13&lt;=Assumptions!$L$17,SUBTOTAL(9,U36:U36),0)</f>
        <v>10.160909999999999</v>
      </c>
      <c r="V37" s="32">
        <f>IF(V$13&lt;=Assumptions!$L$17,SUBTOTAL(9,V36:V36),0)</f>
        <v>0</v>
      </c>
      <c r="W37" s="32">
        <f>IF(W$13&lt;=Assumptions!$L$17,SUBTOTAL(9,W36:W36),0)</f>
        <v>19.708590000000001</v>
      </c>
      <c r="X37" s="32">
        <f>IF(X$13&lt;=Assumptions!$L$17,SUBTOTAL(9,X36:X36),0)</f>
        <v>3.6021399999999999</v>
      </c>
      <c r="Y37" s="32">
        <f>IF(Y$13&lt;=Assumptions!$L$17,SUBTOTAL(9,Y36:Y36),0)</f>
        <v>0</v>
      </c>
      <c r="Z37" s="32">
        <f>IF(Z$13&lt;=Assumptions!$L$17,SUBTOTAL(9,Z36:Z36),0)</f>
        <v>3.2014699999999996</v>
      </c>
      <c r="AA37" s="32">
        <f>IF(AA$13&lt;=Assumptions!$L$17,SUBTOTAL(9,AA36:AA36),0)</f>
        <v>0</v>
      </c>
      <c r="AB37" s="32">
        <f>IF(AB$13&lt;=Assumptions!$L$17,SUBTOTAL(9,AB36:AB36),0)</f>
        <v>9.5476799999999997</v>
      </c>
      <c r="AC37" s="32">
        <f>IF(AC$13&lt;=Assumptions!$L$17,SUBTOTAL(9,AC36:AC36),0)</f>
        <v>0</v>
      </c>
      <c r="AD37" s="32">
        <f>IF(AD$13&lt;=Assumptions!$L$17,SUBTOTAL(9,AD36:AD36),0)</f>
        <v>2.28E-15</v>
      </c>
      <c r="AE37" s="32">
        <f>IF(AE$13&lt;=Assumptions!$L$17,SUBTOTAL(9,AE36:AE36),0)</f>
        <v>0</v>
      </c>
      <c r="AF37" s="32">
        <f>IF(AF$13&lt;=Assumptions!$L$17,SUBTOTAL(9,AF36:AF36),0)</f>
        <v>60.946201595428299</v>
      </c>
      <c r="AG37" s="32">
        <f>IF(AG$13&lt;=Assumptions!$L$17,SUBTOTAL(9,AG36:AG36),0)</f>
        <v>0</v>
      </c>
      <c r="AH37" s="32">
        <f>IF(AH$13&lt;=Assumptions!$L$17,SUBTOTAL(9,AH36:AH36),0)</f>
        <v>0</v>
      </c>
      <c r="AI37" s="32">
        <f>IF(AI$13&lt;=Assumptions!$L$17,SUBTOTAL(9,AI36:AI36),0)</f>
        <v>78.125880000000009</v>
      </c>
      <c r="AJ37" s="32">
        <f>IF(AJ$13&lt;=Assumptions!$L$17,SUBTOTAL(9,AJ36:AJ36),0)</f>
        <v>0</v>
      </c>
      <c r="AK37" s="32">
        <f>IF(AK$13&lt;=Assumptions!$L$17,SUBTOTAL(9,AK36:AK36),0)</f>
        <v>0</v>
      </c>
      <c r="AL37" s="32">
        <f>IF(AL$13&lt;=Assumptions!$L$17,SUBTOTAL(9,AL36:AL36),0)</f>
        <v>41.669880000000006</v>
      </c>
      <c r="AM37" s="32">
        <f>IF(AM$13&lt;=Assumptions!$L$17,SUBTOTAL(9,AM36:AM36),0)</f>
        <v>0</v>
      </c>
      <c r="AN37" s="32">
        <f>IF(AN$13&lt;=Assumptions!$L$17,SUBTOTAL(9,AN36:AN36),0)</f>
        <v>4.166999999999998</v>
      </c>
      <c r="AO37" s="32">
        <f>IF(AO$13&lt;=Assumptions!$L$17,SUBTOTAL(9,AO36:AO36),0)</f>
        <v>0</v>
      </c>
      <c r="AP37" s="32">
        <f>IF(AP$13&lt;=Assumptions!$L$17,SUBTOTAL(9,AP36:AP36),0)</f>
        <v>65.716534023883781</v>
      </c>
      <c r="AQ37" s="32">
        <f>IF(AQ$13&lt;=Assumptions!$L$17,SUBTOTAL(9,AQ36:AQ36),0)</f>
        <v>32.401150000000001</v>
      </c>
      <c r="AR37" s="32">
        <f>IF(AR$13&lt;=Assumptions!$L$17,SUBTOTAL(9,AR36:AR36),0)</f>
        <v>0</v>
      </c>
      <c r="AS37" s="32">
        <f>IF(AS$13&lt;=Assumptions!$L$17,SUBTOTAL(9,AS36:AS36),0)</f>
        <v>0</v>
      </c>
      <c r="AT37" s="32">
        <f>IF(AT$13&lt;=Assumptions!$L$17,SUBTOTAL(9,AT36:AT36),0)</f>
        <v>0</v>
      </c>
      <c r="AU37" s="32">
        <f>IF(AU$13&lt;=Assumptions!$L$17,SUBTOTAL(9,AU36:AU36),0)</f>
        <v>0</v>
      </c>
      <c r="AV37" s="32">
        <f>IF(AV$13&lt;=Assumptions!$L$17,SUBTOTAL(9,AV36:AV36),0)</f>
        <v>0</v>
      </c>
      <c r="AW37" s="32">
        <f>IF(AW$13&lt;=Assumptions!$L$17,SUBTOTAL(9,AW36:AW36),0)</f>
        <v>51.2</v>
      </c>
      <c r="AX37" s="32">
        <f>IF(AX$13&lt;=Assumptions!$L$17,SUBTOTAL(9,AX36:AX36),0)</f>
        <v>0</v>
      </c>
      <c r="AY37" s="32">
        <f>IF(AY$13&lt;=Assumptions!$L$17,SUBTOTAL(9,AY36:AY36),0)</f>
        <v>-19</v>
      </c>
      <c r="AZ37" s="32">
        <f>IF(AZ$13&lt;=Assumptions!$L$17,SUBTOTAL(9,AZ36:AZ36),0)</f>
        <v>74.106459581114052</v>
      </c>
      <c r="BA37" s="32">
        <f>IF(BA$13&lt;=Assumptions!$L$17,SUBTOTAL(9,BA36:BA36),0)</f>
        <v>61.246000000000009</v>
      </c>
      <c r="BB37" s="32">
        <f>IF(BB$13&lt;=Assumptions!$L$17,SUBTOTAL(9,BB36:BB36),0)</f>
        <v>0</v>
      </c>
      <c r="BC37" s="32">
        <f>IF(BC$13&lt;=Assumptions!$L$17,SUBTOTAL(9,BC36:BC36),0)</f>
        <v>0</v>
      </c>
      <c r="BD37" s="32">
        <f>IF(BD$13&lt;=Assumptions!$L$17,SUBTOTAL(9,BD36:BD36),0)</f>
        <v>0</v>
      </c>
      <c r="BE37" s="32">
        <f>IF(BE$13&lt;=Assumptions!$L$17,SUBTOTAL(9,BE36:BE36),0)</f>
        <v>0</v>
      </c>
      <c r="BF37" s="32">
        <f>IF(BF$13&lt;=Assumptions!$L$17,SUBTOTAL(9,BF36:BF36),0)</f>
        <v>0</v>
      </c>
      <c r="BG37" s="32">
        <f>IF(BG$13&lt;=Assumptions!$L$17,SUBTOTAL(9,BG36:BG36),0)</f>
        <v>0</v>
      </c>
      <c r="BH37" s="32">
        <f>IF(BH$13&lt;=Assumptions!$L$17,SUBTOTAL(9,BH36:BH36),0)</f>
        <v>0</v>
      </c>
      <c r="BI37" s="32">
        <f>IF(BI$13&lt;=Assumptions!$L$17,SUBTOTAL(9,BI36:BI36),0)</f>
        <v>0</v>
      </c>
      <c r="BJ37" s="32">
        <f>IF(BJ$13&lt;=Assumptions!$L$17,SUBTOTAL(9,BJ36:BJ36),0)</f>
        <v>0</v>
      </c>
      <c r="BK37" s="32">
        <f>IF(BK$13&lt;=Assumptions!$L$17,SUBTOTAL(9,BK36:BK36),0)</f>
        <v>0</v>
      </c>
      <c r="BL37" s="32">
        <f ca="1">IF(BL$13&lt;=Assumptions!$L$17,SUBTOTAL(9,BL36:BL36),0)</f>
        <v>0</v>
      </c>
      <c r="BM37" s="32">
        <f ca="1">IF(BM$13&lt;=Assumptions!$L$17,SUBTOTAL(9,BM36:BM36),0)</f>
        <v>0</v>
      </c>
      <c r="BN37" s="32">
        <f>IF(BN$13&lt;=Assumptions!$L$17,SUBTOTAL(9,BN36:BN36),0)</f>
        <v>0</v>
      </c>
      <c r="BO37" s="32">
        <f>IF(BO$13&lt;=Assumptions!$L$17,SUBTOTAL(9,BO36:BO36),0)</f>
        <v>0</v>
      </c>
      <c r="BP37" s="32">
        <f>IF(BP$13&lt;=Assumptions!$L$17,SUBTOTAL(9,BP36:BP36),0)</f>
        <v>0</v>
      </c>
      <c r="BQ37" s="32">
        <f>IF(BQ$13&lt;=Assumptions!$L$17,SUBTOTAL(9,BQ36:BQ36),0)</f>
        <v>0</v>
      </c>
      <c r="BR37" s="32">
        <f>IF(BR$13&lt;=Assumptions!$L$17,SUBTOTAL(9,BR36:BR36),0)</f>
        <v>0</v>
      </c>
      <c r="BS37" s="32">
        <f>IF(BS$13&lt;=Assumptions!$L$17,SUBTOTAL(9,BS36:BS36),0)</f>
        <v>0</v>
      </c>
      <c r="BT37" s="32">
        <f>IF(BT$13&lt;=Assumptions!$L$17,SUBTOTAL(9,BT36:BT36),0)</f>
        <v>0</v>
      </c>
      <c r="BU37" s="32">
        <f>IF(BU$13&lt;=Assumptions!$L$17,SUBTOTAL(9,BU36:BU36),0)</f>
        <v>0</v>
      </c>
      <c r="BV37" s="32">
        <f>IF(BV$13&lt;=Assumptions!$L$17,SUBTOTAL(9,BV36:BV36),0)</f>
        <v>0</v>
      </c>
      <c r="BW37" s="32">
        <f>IF(BW$13&lt;=Assumptions!$L$17,SUBTOTAL(9,BW36:BW36),0)</f>
        <v>9.3451900000000006</v>
      </c>
      <c r="BX37" s="32">
        <f>IF(BX$13&lt;=Assumptions!$L$17,SUBTOTAL(9,BX36:BX36),0)</f>
        <v>21.707660000000001</v>
      </c>
      <c r="BY37" s="32">
        <f ca="1">IF(BY$13&lt;=Assumptions!$L$17,SUBTOTAL(9,BY36:BY36),0)</f>
        <v>0</v>
      </c>
      <c r="BZ37" s="32">
        <f ca="1">IF(BZ$13&lt;=Assumptions!$L$17,SUBTOTAL(9,BZ36:BZ36),0)</f>
        <v>0</v>
      </c>
      <c r="CA37" s="32">
        <f ca="1">IF(CA$13&lt;=Assumptions!$L$17,SUBTOTAL(9,CA36:CA36),0)</f>
        <v>0</v>
      </c>
      <c r="CB37" s="32">
        <f ca="1">IF(CB$13&lt;=Assumptions!$L$17,SUBTOTAL(9,CB36:CB36),0)</f>
        <v>0</v>
      </c>
      <c r="CC37" s="32">
        <f ca="1">IF(CC$13&lt;=Assumptions!$L$17,SUBTOTAL(9,CC36:CC36),0)</f>
        <v>0</v>
      </c>
      <c r="CD37" s="32">
        <f ca="1">IF(CD$13&lt;=Assumptions!$L$17,SUBTOTAL(9,CD36:CD36),0)</f>
        <v>0</v>
      </c>
      <c r="CE37" s="32">
        <f ca="1">IF(CE$13&lt;=Assumptions!$L$17,SUBTOTAL(9,CE36:CE36),0)</f>
        <v>0</v>
      </c>
      <c r="CF37" s="32">
        <f ca="1">IF(CF$13&lt;=Assumptions!$L$17,SUBTOTAL(9,CF36:CF36),0)</f>
        <v>0</v>
      </c>
      <c r="CG37" s="32">
        <f ca="1">IF(CG$13&lt;=Assumptions!$L$17,SUBTOTAL(9,CG36:CG36),0)</f>
        <v>0</v>
      </c>
      <c r="CH37" s="32">
        <f ca="1">IF(CH$13&lt;=Assumptions!$L$17,SUBTOTAL(9,CH36:CH36),0)</f>
        <v>0</v>
      </c>
      <c r="CI37" s="32">
        <f ca="1">IF(CI$13&lt;=Assumptions!$L$17,SUBTOTAL(9,CI36:CI36),0)</f>
        <v>0</v>
      </c>
      <c r="CJ37" s="32">
        <f ca="1">IF(CJ$13&lt;=Assumptions!$L$17,SUBTOTAL(9,CJ36:CJ36),0)</f>
        <v>0</v>
      </c>
      <c r="CK37" s="32">
        <f ca="1">IF(CK$13&lt;=Assumptions!$L$17,SUBTOTAL(9,CK36:CK36),0)</f>
        <v>0</v>
      </c>
      <c r="CL37" s="32">
        <f ca="1">IF(CL$13&lt;=Assumptions!$L$17,SUBTOTAL(9,CL36:CL36),0)</f>
        <v>0</v>
      </c>
      <c r="CM37" s="32">
        <f ca="1">IF(CM$13&lt;=Assumptions!$L$17,SUBTOTAL(9,CM36:CM36),0)</f>
        <v>0</v>
      </c>
      <c r="CN37" s="32">
        <f ca="1">IF(CN$13&lt;=Assumptions!$L$17,SUBTOTAL(9,CN36:CN36),0)</f>
        <v>0</v>
      </c>
      <c r="CO37" s="32">
        <f ca="1">IF(CO$13&lt;=Assumptions!$L$17,SUBTOTAL(9,CO36:CO36),0)</f>
        <v>0</v>
      </c>
      <c r="CP37" s="32">
        <f ca="1">IF(CP$13&lt;=Assumptions!$L$17,SUBTOTAL(9,CP36:CP36),0)</f>
        <v>27.209</v>
      </c>
      <c r="CQ37" s="32">
        <f ca="1">IF(CQ$13&lt;=Assumptions!$L$17,SUBTOTAL(9,CQ36:CQ36),0)</f>
        <v>0</v>
      </c>
      <c r="CR37" s="32">
        <f ca="1">IF(CR$13&lt;=Assumptions!$L$17,SUBTOTAL(9,CR36:CR36),0)</f>
        <v>0</v>
      </c>
      <c r="CS37" s="32">
        <f ca="1">IF(CS$13&lt;=Assumptions!$L$17,SUBTOTAL(9,CS36:CS36),0)</f>
        <v>70.641999999999996</v>
      </c>
      <c r="CT37" s="32">
        <f ca="1">IF(CT$13&lt;=Assumptions!$L$17,SUBTOTAL(9,CT36:CT36),0)</f>
        <v>114.55800000000001</v>
      </c>
      <c r="CU37" s="32">
        <f ca="1">IF(CU$13&lt;=Assumptions!$L$17,SUBTOTAL(9,CU36:CU36),0)</f>
        <v>0</v>
      </c>
      <c r="CV37" s="32">
        <f ca="1">IF(CV$13&lt;=Assumptions!$L$17,SUBTOTAL(9,CV36:CV36),0)</f>
        <v>0</v>
      </c>
      <c r="CW37" s="32">
        <f ca="1">IF(CW$13&lt;=Assumptions!$L$17,SUBTOTAL(9,CW36:CW36),0)</f>
        <v>0</v>
      </c>
      <c r="CX37" s="32">
        <f ca="1">IF(CX$13&lt;=Assumptions!$L$17,SUBTOTAL(9,CX36:CX36),0)</f>
        <v>0</v>
      </c>
      <c r="CY37" s="32">
        <f ca="1">IF(CY$13&lt;=Assumptions!$L$17,SUBTOTAL(9,CY36:CY36),0)</f>
        <v>71.259</v>
      </c>
      <c r="CZ37" s="32">
        <f ca="1">IF(CZ$13&lt;=Assumptions!$L$17,SUBTOTAL(9,CZ36:CZ36),0)</f>
        <v>0</v>
      </c>
      <c r="DA37" s="32">
        <f ca="1">IF(DA$13&lt;=Assumptions!$L$17,SUBTOTAL(9,DA36:DA36),0)</f>
        <v>62.713000000000001</v>
      </c>
      <c r="DB37" s="32">
        <f ca="1">IF(DB$13&lt;=Assumptions!$L$17,SUBTOTAL(9,DB36:DB36),0)</f>
        <v>56.643000000000001</v>
      </c>
      <c r="DC37" s="32">
        <f ca="1">IF(DC$13&lt;=Assumptions!$L$17,SUBTOTAL(9,DC36:DC36),0)</f>
        <v>45.350999999999999</v>
      </c>
      <c r="DD37" s="32">
        <f ca="1">IF(DD$13&lt;=Assumptions!$L$17,SUBTOTAL(9,DD36:DD36),0)</f>
        <v>0</v>
      </c>
      <c r="DE37" s="32">
        <f ca="1">IF(DE$13&lt;=Assumptions!$L$17,SUBTOTAL(9,DE36:DE36),0)</f>
        <v>0</v>
      </c>
      <c r="DF37" s="32">
        <f ca="1">IF(DF$13&lt;=Assumptions!$L$17,SUBTOTAL(9,DF36:DF36),0)</f>
        <v>0</v>
      </c>
      <c r="DG37" s="32">
        <f ca="1">IF(DG$13&lt;=Assumptions!$L$17,SUBTOTAL(9,DG36:DG36),0)</f>
        <v>0</v>
      </c>
      <c r="DH37" s="32">
        <f ca="1">IF(DH$13&lt;=Assumptions!$L$17,SUBTOTAL(9,DH36:DH36),0)</f>
        <v>0</v>
      </c>
      <c r="DI37" s="32">
        <f ca="1">IF(DI$13&lt;=Assumptions!$L$17,SUBTOTAL(9,DI36:DI36),0)</f>
        <v>0</v>
      </c>
      <c r="DJ37" s="32">
        <f>IF(DJ$13&lt;=Assumptions!$L$17,SUBTOTAL(9,DJ36:DJ36),0)</f>
        <v>0</v>
      </c>
      <c r="DK37" s="32">
        <f>IF(DK$13&lt;=Assumptions!$L$17,SUBTOTAL(9,DK36:DK36),0)</f>
        <v>0</v>
      </c>
      <c r="DL37" s="32">
        <f>IF(DL$13&lt;=Assumptions!$L$17,SUBTOTAL(9,DL36:DL36),0)</f>
        <v>0</v>
      </c>
      <c r="DM37" s="32">
        <f>IF(DM$13&lt;=Assumptions!$L$17,SUBTOTAL(9,DM36:DM36),0)</f>
        <v>0</v>
      </c>
      <c r="DN37" s="32">
        <f>IF(DN$13&lt;=Assumptions!$L$17,SUBTOTAL(9,DN36:DN36),0)</f>
        <v>0</v>
      </c>
      <c r="DO37" s="32">
        <f>IF(DO$13&lt;=Assumptions!$L$17,SUBTOTAL(9,DO36:DO36),0)</f>
        <v>0</v>
      </c>
      <c r="DP37" s="32">
        <f>IF(DP$13&lt;=Assumptions!$L$17,SUBTOTAL(9,DP36:DP36),0)</f>
        <v>0</v>
      </c>
      <c r="DQ37" s="32">
        <f>IF(DQ$13&lt;=Assumptions!$L$17,SUBTOTAL(9,DQ36:DQ36),0)</f>
        <v>0</v>
      </c>
      <c r="DR37" s="32">
        <f>IF(DR$13&lt;=Assumptions!$L$17,SUBTOTAL(9,DR36:DR36),0)</f>
        <v>0</v>
      </c>
      <c r="DS37" s="32">
        <f>IF(DS$13&lt;=Assumptions!$L$17,SUBTOTAL(9,DS36:DS36),0)</f>
        <v>0</v>
      </c>
      <c r="DT37" s="32">
        <f>IF(DT$13&lt;=Assumptions!$L$17,SUBTOTAL(9,DT36:DT36),0)</f>
        <v>0</v>
      </c>
      <c r="DU37" s="32">
        <f>IF(DU$13&lt;=Assumptions!$L$17,SUBTOTAL(9,DU36:DU36),0)</f>
        <v>0</v>
      </c>
      <c r="DV37" s="32">
        <f>IF(DV$13&lt;=Assumptions!$L$17,SUBTOTAL(9,DV36:DV36),0)</f>
        <v>0</v>
      </c>
      <c r="DW37" s="32">
        <f>IF(DW$13&lt;=Assumptions!$L$17,SUBTOTAL(9,DW36:DW36),0)</f>
        <v>0</v>
      </c>
      <c r="DX37" s="32">
        <f>IF(DX$13&lt;=Assumptions!$L$17,SUBTOTAL(9,DX36:DX36),0)</f>
        <v>0</v>
      </c>
      <c r="DY37" s="32">
        <f>IF(DY$13&lt;=Assumptions!$L$17,SUBTOTAL(9,DY36:DY36),0)</f>
        <v>0</v>
      </c>
      <c r="DZ37" s="32">
        <f>IF(DZ$13&lt;=Assumptions!$L$17,SUBTOTAL(9,DZ36:DZ36),0)</f>
        <v>0</v>
      </c>
      <c r="EA37" s="32">
        <f>IF(EA$13&lt;=Assumptions!$L$17,SUBTOTAL(9,EA36:EA36),0)</f>
        <v>0</v>
      </c>
      <c r="EB37" s="32">
        <f>IF(EB$13&lt;=Assumptions!$L$17,SUBTOTAL(9,EB36:EB36),0)</f>
        <v>0</v>
      </c>
      <c r="EC37" s="32">
        <f>IF(EC$13&lt;=Assumptions!$L$17,SUBTOTAL(9,EC36:EC36),0)</f>
        <v>0</v>
      </c>
      <c r="ED37" s="32">
        <f>IF(ED$13&lt;=Assumptions!$L$17,SUBTOTAL(9,ED36:ED36),0)</f>
        <v>0</v>
      </c>
      <c r="EE37" s="32">
        <f>IF(EE$13&lt;=Assumptions!$L$17,SUBTOTAL(9,EE36:EE36),0)</f>
        <v>0</v>
      </c>
      <c r="EF37" s="32">
        <f>IF(EF$13&lt;=Assumptions!$L$17,SUBTOTAL(9,EF36:EF36),0)</f>
        <v>0</v>
      </c>
      <c r="EG37" s="32">
        <f>IF(EG$13&lt;=Assumptions!$L$17,SUBTOTAL(9,EG36:EG36),0)</f>
        <v>0</v>
      </c>
      <c r="EH37" s="32">
        <f>IF(EH$13&lt;=Assumptions!$L$17,SUBTOTAL(9,EH36:EH36),0)</f>
        <v>0</v>
      </c>
      <c r="EI37" s="32">
        <f>IF(EI$13&lt;=Assumptions!$L$17,SUBTOTAL(9,EI36:EI36),0)</f>
        <v>0</v>
      </c>
      <c r="EJ37" s="32">
        <f>IF(EJ$13&lt;=Assumptions!$L$17,SUBTOTAL(9,EJ36:EJ36),0)</f>
        <v>0</v>
      </c>
      <c r="EK37" s="32">
        <f>IF(EK$13&lt;=Assumptions!$L$17,SUBTOTAL(9,EK36:EK36),0)</f>
        <v>0</v>
      </c>
      <c r="EL37" s="32">
        <f>IF(EL$13&lt;=Assumptions!$L$17,SUBTOTAL(9,EL36:EL36),0)</f>
        <v>0</v>
      </c>
      <c r="EM37" s="32">
        <f>IF(EM$13&lt;=Assumptions!$L$17,SUBTOTAL(9,EM36:EM36),0)</f>
        <v>0</v>
      </c>
      <c r="EN37" s="32">
        <f>IF(EN$13&lt;=Assumptions!$L$17,SUBTOTAL(9,EN36:EN36),0)</f>
        <v>0</v>
      </c>
      <c r="EO37" s="32">
        <f>IF(EO$13&lt;=Assumptions!$L$17,SUBTOTAL(9,EO36:EO36),0)</f>
        <v>0</v>
      </c>
      <c r="EP37" s="32">
        <f>IF(EP$13&lt;=Assumptions!$L$17,SUBTOTAL(9,EP36:EP36),0)</f>
        <v>0</v>
      </c>
      <c r="EQ37" s="32">
        <f>IF(EQ$13&lt;=Assumptions!$L$17,SUBTOTAL(9,EQ36:EQ36),0)</f>
        <v>0</v>
      </c>
      <c r="ER37" s="32">
        <f>IF(ER$13&lt;=Assumptions!$L$17,SUBTOTAL(9,ER36:ER36),0)</f>
        <v>0</v>
      </c>
      <c r="ES37" s="32">
        <f>IF(ES$13&lt;=Assumptions!$L$17,SUBTOTAL(9,ES36:ES36),0)</f>
        <v>0</v>
      </c>
      <c r="ET37" s="32">
        <f>IF(ET$13&lt;=Assumptions!$L$17,SUBTOTAL(9,ET36:ET36),0)</f>
        <v>0</v>
      </c>
      <c r="EU37" s="32">
        <f>IF(EU$13&lt;=Assumptions!$L$17,SUBTOTAL(9,EU36:EU36),0)</f>
        <v>0</v>
      </c>
      <c r="EV37" s="32">
        <f>IF(EV$13&lt;=Assumptions!$L$17,SUBTOTAL(9,EV36:EV36),0)</f>
        <v>0</v>
      </c>
      <c r="EW37" s="32">
        <f>IF(EW$13&lt;=Assumptions!$L$17,SUBTOTAL(9,EW36:EW36),0)</f>
        <v>0</v>
      </c>
      <c r="EX37" s="32">
        <f>IF(EX$13&lt;=Assumptions!$L$17,SUBTOTAL(9,EX36:EX36),0)</f>
        <v>0</v>
      </c>
      <c r="EY37" s="32">
        <f>IF(EY$13&lt;=Assumptions!$L$17,SUBTOTAL(9,EY36:EY36),0)</f>
        <v>0</v>
      </c>
      <c r="EZ37" s="32">
        <f>IF(EZ$13&lt;=Assumptions!$L$17,SUBTOTAL(9,EZ36:EZ36),0)</f>
        <v>0</v>
      </c>
      <c r="FA37" s="32">
        <f>IF(FA$13&lt;=Assumptions!$L$17,SUBTOTAL(9,FA36:FA36),0)</f>
        <v>0</v>
      </c>
      <c r="FB37" s="32">
        <f>IF(FB$13&lt;=Assumptions!$L$17,SUBTOTAL(9,FB36:FB36),0)</f>
        <v>0</v>
      </c>
      <c r="FC37" s="32">
        <f>IF(FC$13&lt;=Assumptions!$L$17,SUBTOTAL(9,FC36:FC36),0)</f>
        <v>0</v>
      </c>
      <c r="FD37" s="32">
        <f>IF(FD$13&lt;=Assumptions!$L$17,SUBTOTAL(9,FD36:FD36),0)</f>
        <v>0</v>
      </c>
      <c r="FE37" s="32">
        <f>IF(FE$13&lt;=Assumptions!$L$17,SUBTOTAL(9,FE36:FE36),0)</f>
        <v>0</v>
      </c>
      <c r="FF37" s="32">
        <f>IF(FF$13&lt;=Assumptions!$L$17,SUBTOTAL(9,FF36:FF36),0)</f>
        <v>0</v>
      </c>
      <c r="FG37" s="32">
        <f>IF(FG$13&lt;=Assumptions!$L$17,SUBTOTAL(9,FG36:FG36),0)</f>
        <v>0</v>
      </c>
      <c r="FH37" s="32">
        <f>IF(FH$13&lt;=Assumptions!$L$17,SUBTOTAL(9,FH36:FH36),0)</f>
        <v>0</v>
      </c>
      <c r="FI37" s="32">
        <f>IF(FI$13&lt;=Assumptions!$L$17,SUBTOTAL(9,FI36:FI36),0)</f>
        <v>0</v>
      </c>
      <c r="FJ37" s="32">
        <f>IF(FJ$13&lt;=Assumptions!$L$17,SUBTOTAL(9,FJ36:FJ36),0)</f>
        <v>0</v>
      </c>
      <c r="FK37" s="32">
        <f>IF(FK$13&lt;=Assumptions!$L$17,SUBTOTAL(9,FK36:FK36),0)</f>
        <v>0</v>
      </c>
      <c r="FL37" s="32">
        <f>IF(FL$13&lt;=Assumptions!$L$17,SUBTOTAL(9,FL36:FL36),0)</f>
        <v>0</v>
      </c>
      <c r="FM37" s="32">
        <f>IF(FM$13&lt;=Assumptions!$L$17,SUBTOTAL(9,FM36:FM36),0)</f>
        <v>0</v>
      </c>
      <c r="FN37" s="32">
        <f>IF(FN$13&lt;=Assumptions!$L$17,SUBTOTAL(9,FN36:FN36),0)</f>
        <v>0</v>
      </c>
      <c r="FO37" s="32">
        <f>IF(FO$13&lt;=Assumptions!$L$17,SUBTOTAL(9,FO36:FO36),0)</f>
        <v>0</v>
      </c>
      <c r="FP37" s="32">
        <f>IF(FP$13&lt;=Assumptions!$L$17,SUBTOTAL(9,FP36:FP36),0)</f>
        <v>0</v>
      </c>
      <c r="FQ37" s="32">
        <f>IF(FQ$13&lt;=Assumptions!$L$17,SUBTOTAL(9,FQ36:FQ36),0)</f>
        <v>0</v>
      </c>
      <c r="FR37" s="32">
        <f>IF(FR$13&lt;=Assumptions!$L$17,SUBTOTAL(9,FR36:FR36),0)</f>
        <v>0</v>
      </c>
      <c r="FS37" s="32">
        <f>IF(FS$13&lt;=Assumptions!$L$17,SUBTOTAL(9,FS36:FS36),0)</f>
        <v>0</v>
      </c>
      <c r="FT37" s="32">
        <f>IF(FT$13&lt;=Assumptions!$L$17,SUBTOTAL(9,FT36:FT36),0)</f>
        <v>0</v>
      </c>
      <c r="FU37" s="32">
        <f>IF(FU$13&lt;=Assumptions!$L$17,SUBTOTAL(9,FU36:FU36),0)</f>
        <v>0</v>
      </c>
      <c r="FV37" s="32">
        <f>IF(FV$13&lt;=Assumptions!$L$17,SUBTOTAL(9,FV36:FV36),0)</f>
        <v>0</v>
      </c>
      <c r="FW37" s="32">
        <f>IF(FW$13&lt;=Assumptions!$L$17,SUBTOTAL(9,FW36:FW36),0)</f>
        <v>0</v>
      </c>
      <c r="FX37" s="32">
        <f>IF(FX$13&lt;=Assumptions!$L$17,SUBTOTAL(9,FX36:FX36),0)</f>
        <v>0</v>
      </c>
      <c r="FY37" s="32">
        <f>IF(FY$13&lt;=Assumptions!$L$17,SUBTOTAL(9,FY36:FY36),0)</f>
        <v>0</v>
      </c>
      <c r="FZ37" s="32">
        <f>IF(FZ$13&lt;=Assumptions!$L$17,SUBTOTAL(9,FZ36:FZ36),0)</f>
        <v>0</v>
      </c>
      <c r="GA37" s="32">
        <f>IF(GA$13&lt;=Assumptions!$L$17,SUBTOTAL(9,GA36:GA36),0)</f>
        <v>0</v>
      </c>
      <c r="GB37" s="32">
        <f>IF(GB$13&lt;=Assumptions!$L$17,SUBTOTAL(9,GB36:GB36),0)</f>
        <v>0</v>
      </c>
      <c r="GC37" s="32">
        <f>IF(GC$13&lt;=Assumptions!$L$17,SUBTOTAL(9,GC36:GC36),0)</f>
        <v>0</v>
      </c>
      <c r="GD37" s="32">
        <f>IF(GD$13&lt;=Assumptions!$L$17,SUBTOTAL(9,GD36:GD36),0)</f>
        <v>0</v>
      </c>
      <c r="GE37" s="32">
        <f>IF(GE$13&lt;=Assumptions!$L$17,SUBTOTAL(9,GE36:GE36),0)</f>
        <v>0</v>
      </c>
      <c r="GF37" s="32">
        <f>IF(GF$13&lt;=Assumptions!$L$17,SUBTOTAL(9,GF36:GF36),0)</f>
        <v>0</v>
      </c>
      <c r="GG37" s="32">
        <f>IF(GG$13&lt;=Assumptions!$L$17,SUBTOTAL(9,GG36:GG36),0)</f>
        <v>0</v>
      </c>
      <c r="GH37" s="32">
        <f>IF(GH$13&lt;=Assumptions!$L$17,SUBTOTAL(9,GH36:GH36),0)</f>
        <v>0</v>
      </c>
      <c r="GI37" s="32">
        <f>IF(GI$13&lt;=Assumptions!$L$17,SUBTOTAL(9,GI36:GI36),0)</f>
        <v>0</v>
      </c>
      <c r="GJ37" s="32">
        <f>IF(GJ$13&lt;=Assumptions!$L$17,SUBTOTAL(9,GJ36:GJ36),0)</f>
        <v>0</v>
      </c>
      <c r="GK37" s="32">
        <f>IF(GK$13&lt;=Assumptions!$L$17,SUBTOTAL(9,GK36:GK36),0)</f>
        <v>0</v>
      </c>
      <c r="GL37" s="32">
        <f>IF(GL$13&lt;=Assumptions!$L$17,SUBTOTAL(9,GL36:GL36),0)</f>
        <v>0</v>
      </c>
      <c r="GM37" s="32">
        <f>IF(GM$13&lt;=Assumptions!$L$17,SUBTOTAL(9,GM36:GM36),0)</f>
        <v>0</v>
      </c>
      <c r="GN37" s="32">
        <f>IF(GN$13&lt;=Assumptions!$L$17,SUBTOTAL(9,GN36:GN36),0)</f>
        <v>0</v>
      </c>
      <c r="GO37" s="32">
        <f>IF(GO$13&lt;=Assumptions!$L$17,SUBTOTAL(9,GO36:GO36),0)</f>
        <v>0</v>
      </c>
      <c r="GP37" s="32">
        <f>IF(GP$13&lt;=Assumptions!$L$17,SUBTOTAL(9,GP36:GP36),0)</f>
        <v>0</v>
      </c>
      <c r="GQ37" s="32">
        <f>IF(GQ$13&lt;=Assumptions!$L$17,SUBTOTAL(9,GQ36:GQ36),0)</f>
        <v>0</v>
      </c>
      <c r="GR37" s="32">
        <f>IF(GR$13&lt;=Assumptions!$L$17,SUBTOTAL(9,GR36:GR36),0)</f>
        <v>0</v>
      </c>
      <c r="GS37" s="32">
        <f>IF(GS$13&lt;=Assumptions!$L$17,SUBTOTAL(9,GS36:GS36),0)</f>
        <v>0</v>
      </c>
      <c r="GT37" s="32">
        <f>IF(GT$13&lt;=Assumptions!$L$17,SUBTOTAL(9,GT36:GT36),0)</f>
        <v>0</v>
      </c>
      <c r="GU37" s="34"/>
      <c r="GV37" s="34"/>
      <c r="GW37" s="34"/>
      <c r="GX37" s="34"/>
      <c r="GY37" s="34"/>
      <c r="GZ37" s="34"/>
      <c r="HA37" s="34"/>
      <c r="HB37" s="34"/>
      <c r="HC37" s="34"/>
      <c r="HD37" s="34"/>
      <c r="HE37" s="34"/>
      <c r="HF37" s="1" t="s">
        <v>212</v>
      </c>
      <c r="HG37" s="139" t="e">
        <f>#REF!+1</f>
        <v>#REF!</v>
      </c>
      <c r="HH37" s="31" t="str">
        <f t="shared" si="556"/>
        <v>Total Leasing Commissions</v>
      </c>
      <c r="HI37" s="32"/>
      <c r="HJ37" s="32"/>
      <c r="HK37" s="32"/>
      <c r="HL37" s="134">
        <f t="shared" ca="1" si="557"/>
        <v>976.22774520042617</v>
      </c>
      <c r="HM37" s="32"/>
      <c r="HN37" s="32">
        <f t="shared" si="558"/>
        <v>0</v>
      </c>
      <c r="HO37" s="32">
        <f t="shared" si="558"/>
        <v>29.869500000000002</v>
      </c>
      <c r="HP37" s="32">
        <f t="shared" si="558"/>
        <v>155.42337159542831</v>
      </c>
      <c r="HQ37" s="32">
        <f t="shared" si="558"/>
        <v>143.95456402388379</v>
      </c>
      <c r="HR37" s="32">
        <f t="shared" si="558"/>
        <v>167.55245958111408</v>
      </c>
      <c r="HS37" s="32">
        <f t="shared" ca="1" si="558"/>
        <v>0</v>
      </c>
      <c r="HT37" s="32">
        <f t="shared" ca="1" si="558"/>
        <v>31.052849999999999</v>
      </c>
      <c r="HU37" s="32">
        <f t="shared" ca="1" si="558"/>
        <v>27.209</v>
      </c>
      <c r="HV37" s="32">
        <f t="shared" ca="1" si="558"/>
        <v>421.16600000000005</v>
      </c>
      <c r="HW37"/>
    </row>
    <row r="38" spans="1:231">
      <c r="HF38" s="1" t="s">
        <v>212</v>
      </c>
      <c r="HG38" s="139" t="e">
        <f t="shared" si="519"/>
        <v>#REF!</v>
      </c>
      <c r="HL38" s="97"/>
    </row>
    <row r="39" spans="1:231">
      <c r="A39" s="441">
        <v>14</v>
      </c>
      <c r="B39" s="1" t="s">
        <v>444</v>
      </c>
      <c r="I39" s="34">
        <f ca="1">SUMIF($K$13:$GT$13,"&lt;="&amp;Assumptions!$L$17,'Monthly Cash Flow'!K39:GT39)</f>
        <v>0</v>
      </c>
      <c r="K39" s="102">
        <v>0</v>
      </c>
      <c r="L39" s="18">
        <f ca="1">IFERROR(OFFSET(ARGUS!$B$3, MATCH($A39, ARGUS!$A$3:$A$176, 0)-1,MATCH(L$15, ARGUS!$B$4:$LG$4, 0)-1,1,1)/1000, 0)</f>
        <v>0</v>
      </c>
      <c r="M39" s="18">
        <f ca="1">IFERROR(OFFSET(ARGUS!$B$3, MATCH($A39, ARGUS!$A$3:$A$176, 0)-1,MATCH(M$15, ARGUS!$B$4:$LG$4, 0)-1,1,1)/1000, 0)</f>
        <v>0</v>
      </c>
      <c r="N39" s="18">
        <f ca="1">IFERROR(OFFSET(ARGUS!$A$3, MATCH($A39, ARGUS!$A$3:$A$176, 0)-1,MATCH(EOMONTH(N$15,1), ARGUS!$B$4:$LG$4, 0)-1,1,1)/1000, 0)</f>
        <v>0</v>
      </c>
      <c r="O39" s="18">
        <f ca="1">IFERROR(OFFSET(ARGUS!$A$3, MATCH($A39, ARGUS!$A$3:$A$176, 0)-1,MATCH(EOMONTH(O$15,1), ARGUS!$B$4:$LG$4, 0)-1,1,1)/1000, 0)</f>
        <v>0</v>
      </c>
      <c r="P39" s="18">
        <f ca="1">IFERROR(OFFSET(ARGUS!$A$3, MATCH($A39, ARGUS!$A$3:$A$176, 0)-1,MATCH(EOMONTH(P$15,1), ARGUS!$B$4:$LG$4, 0)-1,1,1)/1000, 0)</f>
        <v>0</v>
      </c>
      <c r="Q39" s="18">
        <f ca="1">IFERROR(OFFSET(ARGUS!$A$3, MATCH($A39, ARGUS!$A$3:$A$176, 0)-1,MATCH(EOMONTH(Q$15,1), ARGUS!$B$4:$LG$4, 0)-1,1,1)/1000, 0)</f>
        <v>0</v>
      </c>
      <c r="R39" s="18">
        <f ca="1">IFERROR(OFFSET(ARGUS!$A$3, MATCH($A39, ARGUS!$A$3:$A$176, 0)-1,MATCH(EOMONTH(R$15,1), ARGUS!$B$4:$LG$4, 0)-1,1,1)/1000, 0)</f>
        <v>0</v>
      </c>
      <c r="S39" s="18">
        <f ca="1">IFERROR(OFFSET(ARGUS!$A$3, MATCH($A39, ARGUS!$A$3:$A$176, 0)-1,MATCH(EOMONTH(S$15,1), ARGUS!$B$4:$LG$4, 0)-1,1,1)/1000, 0)</f>
        <v>0</v>
      </c>
      <c r="T39" s="18">
        <f ca="1">IFERROR(OFFSET(ARGUS!$A$3, MATCH($A39, ARGUS!$A$3:$A$176, 0)-1,MATCH(EOMONTH(T$15,1), ARGUS!$B$4:$LG$4, 0)-1,1,1)/1000, 0)</f>
        <v>0</v>
      </c>
      <c r="U39" s="18">
        <f ca="1">IFERROR(OFFSET(ARGUS!$A$3, MATCH($A39, ARGUS!$A$3:$A$176, 0)-1,MATCH(EOMONTH(U$15,1), ARGUS!$B$4:$LG$4, 0)-1,1,1)/1000, 0)</f>
        <v>0</v>
      </c>
      <c r="V39" s="18">
        <f ca="1">IFERROR(OFFSET(ARGUS!$A$3, MATCH($A39, ARGUS!$A$3:$A$176, 0)-1,MATCH(EOMONTH(V$15,1), ARGUS!$B$4:$LG$4, 0)-1,1,1)/1000, 0)</f>
        <v>0</v>
      </c>
      <c r="W39" s="18">
        <f ca="1">IFERROR(OFFSET(ARGUS!$A$3, MATCH($A39, ARGUS!$A$3:$A$176, 0)-1,MATCH(EOMONTH(W$15,1), ARGUS!$B$4:$LG$4, 0)-1,1,1)/1000, 0)</f>
        <v>0</v>
      </c>
      <c r="X39" s="18">
        <f ca="1">IFERROR(OFFSET(ARGUS!$A$3, MATCH($A39, ARGUS!$A$3:$A$176, 0)-1,MATCH(EOMONTH(X$15,1), ARGUS!$B$4:$LG$4, 0)-1,1,1)/1000, 0)</f>
        <v>0</v>
      </c>
      <c r="Y39" s="18">
        <f ca="1">IFERROR(OFFSET(ARGUS!$A$3, MATCH($A39, ARGUS!$A$3:$A$176, 0)-1,MATCH(EOMONTH(Y$15,1), ARGUS!$B$4:$LG$4, 0)-1,1,1)/1000, 0)</f>
        <v>0</v>
      </c>
      <c r="Z39" s="18">
        <f ca="1">IFERROR(OFFSET(ARGUS!$A$3, MATCH($A39, ARGUS!$A$3:$A$176, 0)-1,MATCH(EOMONTH(Z$15,1), ARGUS!$B$4:$LG$4, 0)-1,1,1)/1000, 0)</f>
        <v>0</v>
      </c>
      <c r="AA39" s="18">
        <f ca="1">IFERROR(OFFSET(ARGUS!$A$3, MATCH($A39, ARGUS!$A$3:$A$176, 0)-1,MATCH(EOMONTH(AA$15,1), ARGUS!$B$4:$LG$4, 0)-1,1,1)/1000, 0)</f>
        <v>0</v>
      </c>
      <c r="AB39" s="18">
        <f ca="1">IFERROR(OFFSET(ARGUS!$A$3, MATCH($A39, ARGUS!$A$3:$A$176, 0)-1,MATCH(EOMONTH(AB$15,1), ARGUS!$B$4:$LG$4, 0)-1,1,1)/1000, 0)</f>
        <v>0</v>
      </c>
      <c r="AC39" s="18">
        <f ca="1">IFERROR(OFFSET(ARGUS!$A$3, MATCH($A39, ARGUS!$A$3:$A$176, 0)-1,MATCH(EOMONTH(AC$15,1), ARGUS!$B$4:$LG$4, 0)-1,1,1)/1000, 0)</f>
        <v>0</v>
      </c>
      <c r="AD39" s="18">
        <f ca="1">IFERROR(OFFSET(ARGUS!$A$3, MATCH($A39, ARGUS!$A$3:$A$176, 0)-1,MATCH(EOMONTH(AD$15,1), ARGUS!$B$4:$LG$4, 0)-1,1,1)/1000, 0)</f>
        <v>0</v>
      </c>
      <c r="AE39" s="18">
        <f ca="1">IFERROR(OFFSET(ARGUS!$A$3, MATCH($A39, ARGUS!$A$3:$A$176, 0)-1,MATCH(EOMONTH(AE$15,1), ARGUS!$B$4:$LG$4, 0)-1,1,1)/1000, 0)</f>
        <v>0</v>
      </c>
      <c r="AF39" s="18">
        <f ca="1">IFERROR(OFFSET(ARGUS!$A$3, MATCH($A39, ARGUS!$A$3:$A$176, 0)-1,MATCH(EOMONTH(AF$15,1), ARGUS!$B$4:$LG$4, 0)-1,1,1)/1000, 0)</f>
        <v>0</v>
      </c>
      <c r="AG39" s="18">
        <f ca="1">IFERROR(OFFSET(ARGUS!$A$3, MATCH($A39, ARGUS!$A$3:$A$176, 0)-1,MATCH(EOMONTH(AG$15,1), ARGUS!$B$4:$LG$4, 0)-1,1,1)/1000, 0)</f>
        <v>0</v>
      </c>
      <c r="AH39" s="18">
        <f ca="1">IFERROR(OFFSET(ARGUS!$A$3, MATCH($A39, ARGUS!$A$3:$A$176, 0)-1,MATCH(EOMONTH(AH$15,1), ARGUS!$B$4:$LG$4, 0)-1,1,1)/1000, 0)</f>
        <v>0</v>
      </c>
      <c r="AI39" s="18">
        <f ca="1">IFERROR(OFFSET(ARGUS!$A$3, MATCH($A39, ARGUS!$A$3:$A$176, 0)-1,MATCH(EOMONTH(AI$15,1), ARGUS!$B$4:$LG$4, 0)-1,1,1)/1000, 0)</f>
        <v>0</v>
      </c>
      <c r="AJ39" s="18">
        <f ca="1">IFERROR(OFFSET(ARGUS!$A$3, MATCH($A39, ARGUS!$A$3:$A$176, 0)-1,MATCH(EOMONTH(AJ$15,1), ARGUS!$B$4:$LG$4, 0)-1,1,1)/1000, 0)</f>
        <v>0</v>
      </c>
      <c r="AK39" s="18">
        <f ca="1">IFERROR(OFFSET(ARGUS!$A$3, MATCH($A39, ARGUS!$A$3:$A$176, 0)-1,MATCH(EOMONTH(AK$15,1), ARGUS!$B$4:$LG$4, 0)-1,1,1)/1000, 0)</f>
        <v>0</v>
      </c>
      <c r="AL39" s="18">
        <f ca="1">IFERROR(OFFSET(ARGUS!$A$3, MATCH($A39, ARGUS!$A$3:$A$176, 0)-1,MATCH(EOMONTH(AL$15,1), ARGUS!$B$4:$LG$4, 0)-1,1,1)/1000, 0)</f>
        <v>0</v>
      </c>
      <c r="AM39" s="18">
        <f ca="1">IFERROR(OFFSET(ARGUS!$A$3, MATCH($A39, ARGUS!$A$3:$A$176, 0)-1,MATCH(EOMONTH(AM$15,1), ARGUS!$B$4:$LG$4, 0)-1,1,1)/1000, 0)</f>
        <v>0</v>
      </c>
      <c r="AN39" s="18">
        <f ca="1">IFERROR(OFFSET(ARGUS!$A$3, MATCH($A39, ARGUS!$A$3:$A$176, 0)-1,MATCH(EOMONTH(AN$15,1), ARGUS!$B$4:$LG$4, 0)-1,1,1)/1000, 0)</f>
        <v>0</v>
      </c>
      <c r="AO39" s="18">
        <f ca="1">IFERROR(OFFSET(ARGUS!$A$3, MATCH($A39, ARGUS!$A$3:$A$176, 0)-1,MATCH(EOMONTH(AO$15,1), ARGUS!$B$4:$LG$4, 0)-1,1,1)/1000, 0)</f>
        <v>0</v>
      </c>
      <c r="AP39" s="18">
        <f ca="1">IFERROR(OFFSET(ARGUS!$A$3, MATCH($A39, ARGUS!$A$3:$A$176, 0)-1,MATCH(EOMONTH(AP$15,1), ARGUS!$B$4:$LG$4, 0)-1,1,1)/1000, 0)</f>
        <v>0</v>
      </c>
      <c r="AQ39" s="18">
        <f ca="1">IFERROR(OFFSET(ARGUS!$A$3, MATCH($A39, ARGUS!$A$3:$A$176, 0)-1,MATCH(EOMONTH(AQ$15,1), ARGUS!$B$4:$LG$4, 0)-1,1,1)/1000, 0)</f>
        <v>0</v>
      </c>
      <c r="AR39" s="18">
        <f ca="1">IFERROR(OFFSET(ARGUS!$A$3, MATCH($A39, ARGUS!$A$3:$A$176, 0)-1,MATCH(EOMONTH(AR$15,1), ARGUS!$B$4:$LG$4, 0)-1,1,1)/1000, 0)</f>
        <v>0</v>
      </c>
      <c r="AS39" s="18">
        <f ca="1">IFERROR(OFFSET(ARGUS!$A$3, MATCH($A39, ARGUS!$A$3:$A$176, 0)-1,MATCH(EOMONTH(AS$15,1), ARGUS!$B$4:$LG$4, 0)-1,1,1)/1000, 0)</f>
        <v>0</v>
      </c>
      <c r="AT39" s="18">
        <f ca="1">IFERROR(OFFSET(ARGUS!$A$3, MATCH($A39, ARGUS!$A$3:$A$176, 0)-1,MATCH(EOMONTH(AT$15,1), ARGUS!$B$4:$LG$4, 0)-1,1,1)/1000, 0)</f>
        <v>0</v>
      </c>
      <c r="AU39" s="18">
        <f ca="1">IFERROR(OFFSET(ARGUS!$A$3, MATCH($A39, ARGUS!$A$3:$A$176, 0)-1,MATCH(EOMONTH(AU$15,1), ARGUS!$B$4:$LG$4, 0)-1,1,1)/1000, 0)</f>
        <v>0</v>
      </c>
      <c r="AV39" s="18">
        <f ca="1">IFERROR(OFFSET(ARGUS!$A$3, MATCH($A39, ARGUS!$A$3:$A$176, 0)-1,MATCH(EOMONTH(AV$15,1), ARGUS!$B$4:$LG$4, 0)-1,1,1)/1000, 0)</f>
        <v>0</v>
      </c>
      <c r="AW39" s="18">
        <f ca="1">IFERROR(OFFSET(ARGUS!$A$3, MATCH($A39, ARGUS!$A$3:$A$176, 0)-1,MATCH(EOMONTH(AW$15,1), ARGUS!$B$4:$LG$4, 0)-1,1,1)/1000, 0)</f>
        <v>0</v>
      </c>
      <c r="AX39" s="18">
        <f ca="1">IFERROR(OFFSET(ARGUS!$A$3, MATCH($A39, ARGUS!$A$3:$A$176, 0)-1,MATCH(EOMONTH(AX$15,1), ARGUS!$B$4:$LG$4, 0)-1,1,1)/1000, 0)</f>
        <v>0</v>
      </c>
      <c r="AY39" s="18">
        <f ca="1">IFERROR(OFFSET(ARGUS!$A$3, MATCH($A39, ARGUS!$A$3:$A$176, 0)-1,MATCH(EOMONTH(AY$15,1), ARGUS!$B$4:$LG$4, 0)-1,1,1)/1000, 0)</f>
        <v>0</v>
      </c>
      <c r="AZ39" s="18">
        <f ca="1">IFERROR(OFFSET(ARGUS!$A$3, MATCH($A39, ARGUS!$A$3:$A$176, 0)-1,MATCH(EOMONTH(AZ$15,1), ARGUS!$B$4:$LG$4, 0)-1,1,1)/1000, 0)</f>
        <v>0</v>
      </c>
      <c r="BA39" s="18">
        <f ca="1">IFERROR(OFFSET(ARGUS!$A$3, MATCH($A39, ARGUS!$A$3:$A$176, 0)-1,MATCH(EOMONTH(BA$15,1), ARGUS!$B$4:$LG$4, 0)-1,1,1)/1000, 0)</f>
        <v>0</v>
      </c>
      <c r="BB39" s="18">
        <f ca="1">IFERROR(OFFSET(ARGUS!$A$3, MATCH($A39, ARGUS!$A$3:$A$176, 0)-1,MATCH(EOMONTH(BB$15,1), ARGUS!$B$4:$LG$4, 0)-1,1,1)/1000, 0)</f>
        <v>0</v>
      </c>
      <c r="BC39" s="18">
        <f ca="1">IFERROR(OFFSET(ARGUS!$A$3, MATCH($A39, ARGUS!$A$3:$A$176, 0)-1,MATCH(EOMONTH(BC$15,1), ARGUS!$B$4:$LG$4, 0)-1,1,1)/1000, 0)</f>
        <v>0</v>
      </c>
      <c r="BD39" s="18">
        <f ca="1">IFERROR(OFFSET(ARGUS!$A$3, MATCH($A39, ARGUS!$A$3:$A$176, 0)-1,MATCH(EOMONTH(BD$15,1), ARGUS!$B$4:$LG$4, 0)-1,1,1)/1000, 0)</f>
        <v>0</v>
      </c>
      <c r="BE39" s="18">
        <f ca="1">IFERROR(OFFSET(ARGUS!$A$3, MATCH($A39, ARGUS!$A$3:$A$176, 0)-1,MATCH(EOMONTH(BE$15,1), ARGUS!$B$4:$LG$4, 0)-1,1,1)/1000, 0)</f>
        <v>0</v>
      </c>
      <c r="BF39" s="18">
        <f ca="1">IFERROR(OFFSET(ARGUS!$A$3, MATCH($A39, ARGUS!$A$3:$A$176, 0)-1,MATCH(EOMONTH(BF$15,1), ARGUS!$B$4:$LG$4, 0)-1,1,1)/1000, 0)</f>
        <v>0</v>
      </c>
      <c r="BG39" s="18">
        <f ca="1">IFERROR(OFFSET(ARGUS!$A$3, MATCH($A39, ARGUS!$A$3:$A$176, 0)-1,MATCH(EOMONTH(BG$15,1), ARGUS!$B$4:$LG$4, 0)-1,1,1)/1000, 0)</f>
        <v>0</v>
      </c>
      <c r="BH39" s="18">
        <f ca="1">IFERROR(OFFSET(ARGUS!$A$3, MATCH($A39, ARGUS!$A$3:$A$176, 0)-1,MATCH(EOMONTH(BH$15,1), ARGUS!$B$4:$LG$4, 0)-1,1,1)/1000, 0)</f>
        <v>0</v>
      </c>
      <c r="BI39" s="18">
        <f ca="1">IFERROR(OFFSET(ARGUS!$A$3, MATCH($A39, ARGUS!$A$3:$A$176, 0)-1,MATCH(EOMONTH(BI$15,1), ARGUS!$B$4:$LG$4, 0)-1,1,1)/1000, 0)</f>
        <v>0</v>
      </c>
      <c r="BJ39" s="18">
        <f ca="1">IFERROR(OFFSET(ARGUS!$A$3, MATCH($A39, ARGUS!$A$3:$A$176, 0)-1,MATCH(EOMONTH(BJ$15,1), ARGUS!$B$4:$LG$4, 0)-1,1,1)/1000, 0)</f>
        <v>0</v>
      </c>
      <c r="BK39" s="18">
        <f ca="1">IFERROR(OFFSET(ARGUS!$A$3, MATCH($A39, ARGUS!$A$3:$A$176, 0)-1,MATCH(EOMONTH(BK$15,1), ARGUS!$B$4:$LG$4, 0)-1,1,1)/1000, 0)</f>
        <v>0</v>
      </c>
      <c r="BL39" s="18">
        <f ca="1">IFERROR(OFFSET(ARGUS!$A$3, MATCH($A39, ARGUS!$A$3:$A$176, 0)-1,MATCH(EOMONTH(BL$15,1), ARGUS!$B$4:$LG$4, 0)-1,1,1)/1000, 0)</f>
        <v>0</v>
      </c>
      <c r="BM39" s="18">
        <f ca="1">IFERROR(OFFSET(ARGUS!$A$3, MATCH($A39, ARGUS!$A$3:$A$176, 0)-1,MATCH(EOMONTH(BM$15,1), ARGUS!$B$4:$LG$4, 0)-1,1,1)/1000, 0)</f>
        <v>0</v>
      </c>
      <c r="BN39" s="18">
        <f ca="1">IFERROR(OFFSET(ARGUS!$A$3, MATCH($A39, ARGUS!$A$3:$A$176, 0)-1,MATCH(EOMONTH(BN$15,1), ARGUS!$B$4:$LG$4, 0)-1,1,1)/1000, 0)</f>
        <v>0</v>
      </c>
      <c r="BO39" s="18">
        <f ca="1">IFERROR(OFFSET(ARGUS!$A$3, MATCH($A39, ARGUS!$A$3:$A$176, 0)-1,MATCH(EOMONTH(BO$15,1), ARGUS!$B$4:$LG$4, 0)-1,1,1)/1000, 0)</f>
        <v>0</v>
      </c>
      <c r="BP39" s="18">
        <f ca="1">IFERROR(OFFSET(ARGUS!$A$3, MATCH($A39, ARGUS!$A$3:$A$176, 0)-1,MATCH(EOMONTH(BP$15,1), ARGUS!$B$4:$LG$4, 0)-1,1,1)/1000, 0)</f>
        <v>0</v>
      </c>
      <c r="BQ39" s="18">
        <f ca="1">IFERROR(OFFSET(ARGUS!$A$3, MATCH($A39, ARGUS!$A$3:$A$176, 0)-1,MATCH(EOMONTH(BQ$15,1), ARGUS!$B$4:$LG$4, 0)-1,1,1)/1000, 0)</f>
        <v>0</v>
      </c>
      <c r="BR39" s="18">
        <f ca="1">IFERROR(OFFSET(ARGUS!$A$3, MATCH($A39, ARGUS!$A$3:$A$176, 0)-1,MATCH(EOMONTH(BR$15,1), ARGUS!$B$4:$LG$4, 0)-1,1,1)/1000, 0)</f>
        <v>0</v>
      </c>
      <c r="BS39" s="18">
        <f ca="1">IFERROR(OFFSET(ARGUS!$A$3, MATCH($A39, ARGUS!$A$3:$A$176, 0)-1,MATCH(EOMONTH(BS$15,1), ARGUS!$B$4:$LG$4, 0)-1,1,1)/1000, 0)</f>
        <v>0</v>
      </c>
      <c r="BT39" s="18">
        <f ca="1">IFERROR(OFFSET(ARGUS!$A$3, MATCH($A39, ARGUS!$A$3:$A$176, 0)-1,MATCH(EOMONTH(BT$15,1), ARGUS!$B$4:$LG$4, 0)-1,1,1)/1000, 0)</f>
        <v>0</v>
      </c>
      <c r="BU39" s="18">
        <f ca="1">IFERROR(OFFSET(ARGUS!$A$3, MATCH($A39, ARGUS!$A$3:$A$176, 0)-1,MATCH(EOMONTH(BU$15,1), ARGUS!$B$4:$LG$4, 0)-1,1,1)/1000, 0)</f>
        <v>0</v>
      </c>
      <c r="BV39" s="18">
        <f ca="1">IFERROR(OFFSET(ARGUS!$A$3, MATCH($A39, ARGUS!$A$3:$A$176, 0)-1,MATCH(EOMONTH(BV$15,1), ARGUS!$B$4:$LG$4, 0)-1,1,1)/1000, 0)</f>
        <v>0</v>
      </c>
      <c r="BW39" s="18">
        <f ca="1">IFERROR(OFFSET(ARGUS!$A$3, MATCH($A39, ARGUS!$A$3:$A$176, 0)-1,MATCH(EOMONTH(BW$15,1), ARGUS!$B$4:$LG$4, 0)-1,1,1)/1000, 0)</f>
        <v>0</v>
      </c>
      <c r="BX39" s="18">
        <f ca="1">IFERROR(OFFSET(ARGUS!$A$3, MATCH($A39, ARGUS!$A$3:$A$176, 0)-1,MATCH(EOMONTH(BX$15,1), ARGUS!$B$4:$LG$4, 0)-1,1,1)/1000, 0)</f>
        <v>0</v>
      </c>
      <c r="BY39" s="18">
        <f ca="1">IFERROR(OFFSET(ARGUS!$A$3, MATCH($A39, ARGUS!$A$3:$A$176, 0)-1,MATCH(EOMONTH(BY$15,1), ARGUS!$B$4:$LG$4, 0)-1,1,1)/1000, 0)</f>
        <v>0</v>
      </c>
      <c r="BZ39" s="18">
        <f ca="1">IFERROR(OFFSET(ARGUS!$A$3, MATCH($A39, ARGUS!$A$3:$A$176, 0)-1,MATCH(EOMONTH(BZ$15,1), ARGUS!$B$4:$LG$4, 0)-1,1,1)/1000, 0)</f>
        <v>0</v>
      </c>
      <c r="CA39" s="18">
        <f ca="1">IFERROR(OFFSET(ARGUS!$A$3, MATCH($A39, ARGUS!$A$3:$A$176, 0)-1,MATCH(EOMONTH(CA$15,1), ARGUS!$B$4:$LG$4, 0)-1,1,1)/1000, 0)</f>
        <v>0</v>
      </c>
      <c r="CB39" s="18">
        <f ca="1">IFERROR(OFFSET(ARGUS!$A$3, MATCH($A39, ARGUS!$A$3:$A$176, 0)-1,MATCH(EOMONTH(CB$15,1), ARGUS!$B$4:$LG$4, 0)-1,1,1)/1000, 0)</f>
        <v>0</v>
      </c>
      <c r="CC39" s="18">
        <f ca="1">IFERROR(OFFSET(ARGUS!$A$3, MATCH($A39, ARGUS!$A$3:$A$176, 0)-1,MATCH(EOMONTH(CC$15,1), ARGUS!$B$4:$LG$4, 0)-1,1,1)/1000, 0)</f>
        <v>0</v>
      </c>
      <c r="CD39" s="18">
        <f ca="1">IFERROR(OFFSET(ARGUS!$A$3, MATCH($A39, ARGUS!$A$3:$A$176, 0)-1,MATCH(EOMONTH(CD$15,1), ARGUS!$B$4:$LG$4, 0)-1,1,1)/1000, 0)</f>
        <v>0</v>
      </c>
      <c r="CE39" s="18">
        <f ca="1">IFERROR(OFFSET(ARGUS!$A$3, MATCH($A39, ARGUS!$A$3:$A$176, 0)-1,MATCH(EOMONTH(CE$15,1), ARGUS!$B$4:$LG$4, 0)-1,1,1)/1000, 0)</f>
        <v>0</v>
      </c>
      <c r="CF39" s="18">
        <f ca="1">IFERROR(OFFSET(ARGUS!$A$3, MATCH($A39, ARGUS!$A$3:$A$176, 0)-1,MATCH(EOMONTH(CF$15,1), ARGUS!$B$4:$LG$4, 0)-1,1,1)/1000, 0)</f>
        <v>0</v>
      </c>
      <c r="CG39" s="18">
        <f ca="1">IFERROR(OFFSET(ARGUS!$A$3, MATCH($A39, ARGUS!$A$3:$A$176, 0)-1,MATCH(EOMONTH(CG$15,1), ARGUS!$B$4:$LG$4, 0)-1,1,1)/1000, 0)</f>
        <v>0</v>
      </c>
      <c r="CH39" s="18">
        <f ca="1">IFERROR(OFFSET(ARGUS!$A$3, MATCH($A39, ARGUS!$A$3:$A$176, 0)-1,MATCH(EOMONTH(CH$15,1), ARGUS!$B$4:$LG$4, 0)-1,1,1)/1000, 0)</f>
        <v>0</v>
      </c>
      <c r="CI39" s="18">
        <f ca="1">IFERROR(OFFSET(ARGUS!$A$3, MATCH($A39, ARGUS!$A$3:$A$176, 0)-1,MATCH(EOMONTH(CI$15,1), ARGUS!$B$4:$LG$4, 0)-1,1,1)/1000, 0)</f>
        <v>0</v>
      </c>
      <c r="CJ39" s="18">
        <f ca="1">IFERROR(OFFSET(ARGUS!$A$3, MATCH($A39, ARGUS!$A$3:$A$176, 0)-1,MATCH(EOMONTH(CJ$15,1), ARGUS!$B$4:$LG$4, 0)-1,1,1)/1000, 0)</f>
        <v>0</v>
      </c>
      <c r="CK39" s="18">
        <f ca="1">IFERROR(OFFSET(ARGUS!$A$3, MATCH($A39, ARGUS!$A$3:$A$176, 0)-1,MATCH(EOMONTH(CK$15,1), ARGUS!$B$4:$LG$4, 0)-1,1,1)/1000, 0)</f>
        <v>0</v>
      </c>
      <c r="CL39" s="18">
        <f ca="1">IFERROR(OFFSET(ARGUS!$A$3, MATCH($A39, ARGUS!$A$3:$A$176, 0)-1,MATCH(EOMONTH(CL$15,1), ARGUS!$B$4:$LG$4, 0)-1,1,1)/1000, 0)</f>
        <v>0</v>
      </c>
      <c r="CM39" s="18">
        <f ca="1">IFERROR(OFFSET(ARGUS!$A$3, MATCH($A39, ARGUS!$A$3:$A$176, 0)-1,MATCH(EOMONTH(CM$15,1), ARGUS!$B$4:$LG$4, 0)-1,1,1)/1000, 0)</f>
        <v>0</v>
      </c>
      <c r="CN39" s="18">
        <f ca="1">IFERROR(OFFSET(ARGUS!$A$3, MATCH($A39, ARGUS!$A$3:$A$176, 0)-1,MATCH(EOMONTH(CN$15,1), ARGUS!$B$4:$LG$4, 0)-1,1,1)/1000, 0)</f>
        <v>0</v>
      </c>
      <c r="CO39" s="18">
        <f ca="1">IFERROR(OFFSET(ARGUS!$A$3, MATCH($A39, ARGUS!$A$3:$A$176, 0)-1,MATCH(EOMONTH(CO$15,1), ARGUS!$B$4:$LG$4, 0)-1,1,1)/1000, 0)</f>
        <v>0</v>
      </c>
      <c r="CP39" s="18">
        <f ca="1">IFERROR(OFFSET(ARGUS!$A$3, MATCH($A39, ARGUS!$A$3:$A$176, 0)-1,MATCH(EOMONTH(CP$15,1), ARGUS!$B$4:$LG$4, 0)-1,1,1)/1000, 0)</f>
        <v>0</v>
      </c>
      <c r="CQ39" s="18">
        <f ca="1">IFERROR(OFFSET(ARGUS!$A$3, MATCH($A39, ARGUS!$A$3:$A$176, 0)-1,MATCH(EOMONTH(CQ$15,1), ARGUS!$B$4:$LG$4, 0)-1,1,1)/1000, 0)</f>
        <v>0</v>
      </c>
      <c r="CR39" s="18">
        <f ca="1">IFERROR(OFFSET(ARGUS!$A$3, MATCH($A39, ARGUS!$A$3:$A$176, 0)-1,MATCH(EOMONTH(CR$15,1), ARGUS!$B$4:$LG$4, 0)-1,1,1)/1000, 0)</f>
        <v>0</v>
      </c>
      <c r="CS39" s="18">
        <f ca="1">IFERROR(OFFSET(ARGUS!$A$3, MATCH($A39, ARGUS!$A$3:$A$176, 0)-1,MATCH(EOMONTH(CS$15,1), ARGUS!$B$4:$LG$4, 0)-1,1,1)/1000, 0)</f>
        <v>0</v>
      </c>
      <c r="CT39" s="18">
        <f ca="1">IFERROR(OFFSET(ARGUS!$A$3, MATCH($A39, ARGUS!$A$3:$A$176, 0)-1,MATCH(EOMONTH(CT$15,1), ARGUS!$B$4:$LG$4, 0)-1,1,1)/1000, 0)</f>
        <v>0</v>
      </c>
      <c r="CU39" s="18">
        <f ca="1">IFERROR(OFFSET(ARGUS!$A$3, MATCH($A39, ARGUS!$A$3:$A$176, 0)-1,MATCH(EOMONTH(CU$15,1), ARGUS!$B$4:$LG$4, 0)-1,1,1)/1000, 0)</f>
        <v>0</v>
      </c>
      <c r="CV39" s="18">
        <f ca="1">IFERROR(OFFSET(ARGUS!$A$3, MATCH($A39, ARGUS!$A$3:$A$176, 0)-1,MATCH(EOMONTH(CV$15,1), ARGUS!$B$4:$LG$4, 0)-1,1,1)/1000, 0)</f>
        <v>0</v>
      </c>
      <c r="CW39" s="18">
        <f ca="1">IFERROR(OFFSET(ARGUS!$A$3, MATCH($A39, ARGUS!$A$3:$A$176, 0)-1,MATCH(EOMONTH(CW$15,1), ARGUS!$B$4:$LG$4, 0)-1,1,1)/1000, 0)</f>
        <v>0</v>
      </c>
      <c r="CX39" s="18">
        <f ca="1">IFERROR(OFFSET(ARGUS!$A$3, MATCH($A39, ARGUS!$A$3:$A$176, 0)-1,MATCH(EOMONTH(CX$15,1), ARGUS!$B$4:$LG$4, 0)-1,1,1)/1000, 0)</f>
        <v>0</v>
      </c>
      <c r="CY39" s="18">
        <f ca="1">IFERROR(OFFSET(ARGUS!$A$3, MATCH($A39, ARGUS!$A$3:$A$176, 0)-1,MATCH(EOMONTH(CY$15,1), ARGUS!$B$4:$LG$4, 0)-1,1,1)/1000, 0)</f>
        <v>0</v>
      </c>
      <c r="CZ39" s="18">
        <f ca="1">IFERROR(OFFSET(ARGUS!$A$3, MATCH($A39, ARGUS!$A$3:$A$176, 0)-1,MATCH(EOMONTH(CZ$15,1), ARGUS!$B$4:$LG$4, 0)-1,1,1)/1000, 0)</f>
        <v>0</v>
      </c>
      <c r="DA39" s="18">
        <f ca="1">IFERROR(OFFSET(ARGUS!$A$3, MATCH($A39, ARGUS!$A$3:$A$176, 0)-1,MATCH(EOMONTH(DA$15,1), ARGUS!$B$4:$LG$4, 0)-1,1,1)/1000, 0)</f>
        <v>0</v>
      </c>
      <c r="DB39" s="18">
        <f ca="1">IFERROR(OFFSET(ARGUS!$A$3, MATCH($A39, ARGUS!$A$3:$A$176, 0)-1,MATCH(EOMONTH(DB$15,1), ARGUS!$B$4:$LG$4, 0)-1,1,1)/1000, 0)</f>
        <v>0</v>
      </c>
      <c r="DC39" s="18">
        <f ca="1">IFERROR(OFFSET(ARGUS!$A$3, MATCH($A39, ARGUS!$A$3:$A$176, 0)-1,MATCH(EOMONTH(DC$15,1), ARGUS!$B$4:$LG$4, 0)-1,1,1)/1000, 0)</f>
        <v>0</v>
      </c>
      <c r="DD39" s="18">
        <f ca="1">IFERROR(OFFSET(ARGUS!$A$3, MATCH($A39, ARGUS!$A$3:$A$176, 0)-1,MATCH(EOMONTH(DD$15,1), ARGUS!$B$4:$LG$4, 0)-1,1,1)/1000, 0)</f>
        <v>0</v>
      </c>
      <c r="DE39" s="18">
        <f ca="1">IFERROR(OFFSET(ARGUS!$A$3, MATCH($A39, ARGUS!$A$3:$A$176, 0)-1,MATCH(EOMONTH(DE$15,1), ARGUS!$B$4:$LG$4, 0)-1,1,1)/1000, 0)</f>
        <v>0</v>
      </c>
      <c r="DF39" s="18">
        <f ca="1">IFERROR(OFFSET(ARGUS!$A$3, MATCH($A39, ARGUS!$A$3:$A$176, 0)-1,MATCH(EOMONTH(DF$15,1), ARGUS!$B$4:$LG$4, 0)-1,1,1)/1000, 0)</f>
        <v>0</v>
      </c>
      <c r="DG39" s="18">
        <f ca="1">IFERROR(OFFSET(ARGUS!$A$3, MATCH($A39, ARGUS!$A$3:$A$176, 0)-1,MATCH(EOMONTH(DG$15,1), ARGUS!$B$4:$LG$4, 0)-1,1,1)/1000, 0)</f>
        <v>0</v>
      </c>
      <c r="DH39" s="18">
        <f ca="1">IFERROR(OFFSET(ARGUS!$A$3, MATCH($A39, ARGUS!$A$3:$A$176, 0)-1,MATCH(EOMONTH(DH$15,1), ARGUS!$B$4:$LG$4, 0)-1,1,1)/1000, 0)</f>
        <v>0</v>
      </c>
      <c r="DI39" s="18">
        <f ca="1">IFERROR(OFFSET(ARGUS!$A$3, MATCH($A39, ARGUS!$A$3:$A$176, 0)-1,MATCH(EOMONTH(DI$15,1), ARGUS!$B$4:$LG$4, 0)-1,1,1)/1000, 0)</f>
        <v>0</v>
      </c>
      <c r="DJ39" s="18">
        <f ca="1">IFERROR(OFFSET(ARGUS!$A$3, MATCH($A39, ARGUS!$A$3:$A$176, 0)-1,MATCH(EOMONTH(DJ$15,1), ARGUS!$B$4:$LG$4, 0)-1,1,1)/1000, 0)</f>
        <v>0</v>
      </c>
      <c r="DK39" s="18">
        <f ca="1">IFERROR(OFFSET(ARGUS!$A$3, MATCH($A39, ARGUS!$A$3:$A$176, 0)-1,MATCH(EOMONTH(DK$15,1), ARGUS!$B$4:$LG$4, 0)-1,1,1)/1000, 0)</f>
        <v>0</v>
      </c>
      <c r="DL39" s="18">
        <f ca="1">IFERROR(OFFSET(ARGUS!$A$3, MATCH($A39, ARGUS!$A$3:$A$176, 0)-1,MATCH(EOMONTH(DL$15,1), ARGUS!$B$4:$LG$4, 0)-1,1,1)/1000, 0)</f>
        <v>0</v>
      </c>
      <c r="DM39" s="18">
        <f ca="1">IFERROR(OFFSET(ARGUS!$A$3, MATCH($A39, ARGUS!$A$3:$A$176, 0)-1,MATCH(EOMONTH(DM$15,1), ARGUS!$B$4:$LG$4, 0)-1,1,1)/1000, 0)</f>
        <v>0</v>
      </c>
      <c r="DN39" s="18">
        <f ca="1">IFERROR(OFFSET(ARGUS!$A$3, MATCH($A39, ARGUS!$A$3:$A$176, 0)-1,MATCH(EOMONTH(DN$15,1), ARGUS!$B$4:$LG$4, 0)-1,1,1)/1000, 0)</f>
        <v>0</v>
      </c>
      <c r="DO39" s="18">
        <f ca="1">IFERROR(OFFSET(ARGUS!$A$3, MATCH($A39, ARGUS!$A$3:$A$176, 0)-1,MATCH(EOMONTH(DO$15,1), ARGUS!$B$4:$LG$4, 0)-1,1,1)/1000, 0)</f>
        <v>0</v>
      </c>
      <c r="DP39" s="18">
        <f ca="1">IFERROR(OFFSET(ARGUS!$A$3, MATCH($A39, ARGUS!$A$3:$A$176, 0)-1,MATCH(EOMONTH(DP$15,1), ARGUS!$B$4:$LG$4, 0)-1,1,1)/1000, 0)</f>
        <v>0</v>
      </c>
      <c r="DQ39" s="18">
        <f ca="1">IFERROR(OFFSET(ARGUS!$A$3, MATCH($A39, ARGUS!$A$3:$A$176, 0)-1,MATCH(EOMONTH(DQ$15,1), ARGUS!$B$4:$LG$4, 0)-1,1,1)/1000, 0)</f>
        <v>0</v>
      </c>
      <c r="DR39" s="18">
        <f ca="1">IFERROR(OFFSET(ARGUS!$A$3, MATCH($A39, ARGUS!$A$3:$A$176, 0)-1,MATCH(EOMONTH(DR$15,1), ARGUS!$B$4:$LG$4, 0)-1,1,1)/1000, 0)</f>
        <v>0</v>
      </c>
      <c r="DS39" s="18">
        <f ca="1">IFERROR(OFFSET(ARGUS!$A$3, MATCH($A39, ARGUS!$A$3:$A$176, 0)-1,MATCH(EOMONTH(DS$15,1), ARGUS!$B$4:$LG$4, 0)-1,1,1)/1000, 0)</f>
        <v>0</v>
      </c>
      <c r="DT39" s="18">
        <f ca="1">IFERROR(OFFSET(ARGUS!$A$3, MATCH($A39, ARGUS!$A$3:$A$176, 0)-1,MATCH(EOMONTH(DT$15,1), ARGUS!$B$4:$LG$4, 0)-1,1,1)/1000, 0)</f>
        <v>0</v>
      </c>
      <c r="DU39" s="18">
        <f ca="1">IFERROR(OFFSET(ARGUS!$A$3, MATCH($A39, ARGUS!$A$3:$A$176, 0)-1,MATCH(EOMONTH(DU$15,1), ARGUS!$B$4:$LG$4, 0)-1,1,1)/1000, 0)</f>
        <v>0</v>
      </c>
      <c r="DV39" s="18">
        <f ca="1">IFERROR(OFFSET(ARGUS!$A$3, MATCH($A39, ARGUS!$A$3:$A$176, 0)-1,MATCH(EOMONTH(DV$15,1), ARGUS!$B$4:$LG$4, 0)-1,1,1)/1000, 0)</f>
        <v>0</v>
      </c>
      <c r="DW39" s="18">
        <f ca="1">IFERROR(OFFSET(ARGUS!$A$3, MATCH($A39, ARGUS!$A$3:$A$176, 0)-1,MATCH(EOMONTH(DW$15,1), ARGUS!$B$4:$LG$4, 0)-1,1,1)/1000, 0)</f>
        <v>0</v>
      </c>
      <c r="DX39" s="18">
        <f ca="1">IFERROR(OFFSET(ARGUS!$A$3, MATCH($A39, ARGUS!$A$3:$A$176, 0)-1,MATCH(EOMONTH(DX$15,1), ARGUS!$B$4:$LG$4, 0)-1,1,1)/1000, 0)</f>
        <v>0</v>
      </c>
      <c r="DY39" s="18">
        <f ca="1">IFERROR(OFFSET(ARGUS!$A$3, MATCH($A39, ARGUS!$A$3:$A$176, 0)-1,MATCH(EOMONTH(DY$15,1), ARGUS!$B$4:$LG$4, 0)-1,1,1)/1000, 0)</f>
        <v>0</v>
      </c>
      <c r="DZ39" s="18">
        <f ca="1">IFERROR(OFFSET(ARGUS!$A$3, MATCH($A39, ARGUS!$A$3:$A$176, 0)-1,MATCH(EOMONTH(DZ$15,1), ARGUS!$B$4:$LG$4, 0)-1,1,1)/1000, 0)</f>
        <v>0</v>
      </c>
      <c r="EA39" s="18">
        <f ca="1">IFERROR(OFFSET(ARGUS!$A$3, MATCH($A39, ARGUS!$A$3:$A$176, 0)-1,MATCH(EOMONTH(EA$15,1), ARGUS!$B$4:$LG$4, 0)-1,1,1)/1000, 0)</f>
        <v>0</v>
      </c>
      <c r="EB39" s="18">
        <f ca="1">IFERROR(OFFSET(ARGUS!$A$3, MATCH($A39, ARGUS!$A$3:$A$176, 0)-1,MATCH(EOMONTH(EB$15,1), ARGUS!$B$4:$LG$4, 0)-1,1,1)/1000, 0)</f>
        <v>0</v>
      </c>
      <c r="EC39" s="18">
        <f ca="1">IFERROR(OFFSET(ARGUS!$A$3, MATCH($A39, ARGUS!$A$3:$A$176, 0)-1,MATCH(EOMONTH(EC$15,1), ARGUS!$B$4:$LG$4, 0)-1,1,1)/1000, 0)</f>
        <v>0</v>
      </c>
      <c r="ED39" s="18">
        <f ca="1">IFERROR(OFFSET(ARGUS!$A$3, MATCH($A39, ARGUS!$A$3:$A$176, 0)-1,MATCH(EOMONTH(ED$15,1), ARGUS!$B$4:$LG$4, 0)-1,1,1)/1000, 0)</f>
        <v>0</v>
      </c>
      <c r="EE39" s="18">
        <f ca="1">IFERROR(OFFSET(ARGUS!$A$3, MATCH($A39, ARGUS!$A$3:$A$176, 0)-1,MATCH(EOMONTH(EE$15,1), ARGUS!$B$4:$LG$4, 0)-1,1,1)/1000, 0)</f>
        <v>0</v>
      </c>
      <c r="EF39" s="18">
        <f ca="1">IFERROR(OFFSET(ARGUS!$A$3, MATCH($A39, ARGUS!$A$3:$A$176, 0)-1,MATCH(EOMONTH(EF$15,1), ARGUS!$B$4:$LG$4, 0)-1,1,1)/1000, 0)</f>
        <v>0</v>
      </c>
      <c r="EG39" s="18">
        <f ca="1">IFERROR(OFFSET(ARGUS!$A$3, MATCH($A39, ARGUS!$A$3:$A$176, 0)-1,MATCH(EOMONTH(EG$15,1), ARGUS!$B$4:$LG$4, 0)-1,1,1)/1000, 0)</f>
        <v>0</v>
      </c>
      <c r="EH39" s="18">
        <f ca="1">IFERROR(OFFSET(ARGUS!$A$3, MATCH($A39, ARGUS!$A$3:$A$176, 0)-1,MATCH(EOMONTH(EH$15,1), ARGUS!$B$4:$LG$4, 0)-1,1,1)/1000, 0)</f>
        <v>0</v>
      </c>
      <c r="EI39" s="18">
        <f ca="1">IFERROR(OFFSET(ARGUS!$A$3, MATCH($A39, ARGUS!$A$3:$A$176, 0)-1,MATCH(EOMONTH(EI$15,1), ARGUS!$B$4:$LG$4, 0)-1,1,1)/1000, 0)</f>
        <v>0</v>
      </c>
      <c r="EJ39" s="18">
        <f ca="1">IFERROR(OFFSET(ARGUS!$A$3, MATCH($A39, ARGUS!$A$3:$A$176, 0)-1,MATCH(EOMONTH(EJ$15,1), ARGUS!$B$4:$LG$4, 0)-1,1,1)/1000, 0)</f>
        <v>0</v>
      </c>
      <c r="EK39" s="18">
        <f ca="1">IFERROR(OFFSET(ARGUS!$A$3, MATCH($A39, ARGUS!$A$3:$A$176, 0)-1,MATCH(EOMONTH(EK$15,1), ARGUS!$B$4:$LG$4, 0)-1,1,1)/1000, 0)</f>
        <v>0</v>
      </c>
      <c r="EL39" s="18">
        <f ca="1">IFERROR(OFFSET(ARGUS!$A$3, MATCH($A39, ARGUS!$A$3:$A$176, 0)-1,MATCH(EOMONTH(EL$15,1), ARGUS!$B$4:$LG$4, 0)-1,1,1)/1000, 0)</f>
        <v>0</v>
      </c>
      <c r="EM39" s="18">
        <f ca="1">IFERROR(OFFSET(ARGUS!$A$3, MATCH($A39, ARGUS!$A$3:$A$176, 0)-1,MATCH(EOMONTH(EM$15,1), ARGUS!$B$4:$LG$4, 0)-1,1,1)/1000, 0)</f>
        <v>0</v>
      </c>
      <c r="EN39" s="18">
        <f ca="1">IFERROR(OFFSET(ARGUS!$A$3, MATCH($A39, ARGUS!$A$3:$A$176, 0)-1,MATCH(EOMONTH(EN$15,1), ARGUS!$B$4:$LG$4, 0)-1,1,1)/1000, 0)</f>
        <v>0</v>
      </c>
      <c r="EO39" s="18">
        <f ca="1">IFERROR(OFFSET(ARGUS!$A$3, MATCH($A39, ARGUS!$A$3:$A$176, 0)-1,MATCH(EOMONTH(EO$15,1), ARGUS!$B$4:$LG$4, 0)-1,1,1)/1000, 0)</f>
        <v>0</v>
      </c>
      <c r="EP39" s="18">
        <f ca="1">IFERROR(OFFSET(ARGUS!$A$3, MATCH($A39, ARGUS!$A$3:$A$176, 0)-1,MATCH(EOMONTH(EP$15,1), ARGUS!$B$4:$LG$4, 0)-1,1,1)/1000, 0)</f>
        <v>0</v>
      </c>
      <c r="EQ39" s="18">
        <f ca="1">IFERROR(OFFSET(ARGUS!$A$3, MATCH($A39, ARGUS!$A$3:$A$176, 0)-1,MATCH(EOMONTH(EQ$15,1), ARGUS!$B$4:$LG$4, 0)-1,1,1)/1000, 0)</f>
        <v>0</v>
      </c>
      <c r="ER39" s="18">
        <f ca="1">IFERROR(OFFSET(ARGUS!$A$3, MATCH($A39, ARGUS!$A$3:$A$176, 0)-1,MATCH(EOMONTH(ER$15,1), ARGUS!$B$4:$LG$4, 0)-1,1,1)/1000, 0)</f>
        <v>0</v>
      </c>
      <c r="ES39" s="18">
        <f ca="1">IFERROR(OFFSET(ARGUS!$A$3, MATCH($A39, ARGUS!$A$3:$A$176, 0)-1,MATCH(EOMONTH(ES$15,1), ARGUS!$B$4:$LG$4, 0)-1,1,1)/1000, 0)</f>
        <v>0</v>
      </c>
      <c r="ET39" s="18">
        <f ca="1">IFERROR(OFFSET(ARGUS!$A$3, MATCH($A39, ARGUS!$A$3:$A$176, 0)-1,MATCH(EOMONTH(ET$15,1), ARGUS!$B$4:$LG$4, 0)-1,1,1)/1000, 0)</f>
        <v>0</v>
      </c>
      <c r="EU39" s="18">
        <f ca="1">IFERROR(OFFSET(ARGUS!$A$3, MATCH($A39, ARGUS!$A$3:$A$176, 0)-1,MATCH(EOMONTH(EU$15,1), ARGUS!$B$4:$LG$4, 0)-1,1,1)/1000, 0)</f>
        <v>0</v>
      </c>
      <c r="EV39" s="18">
        <f ca="1">IFERROR(OFFSET(ARGUS!$A$3, MATCH($A39, ARGUS!$A$3:$A$176, 0)-1,MATCH(EOMONTH(EV$15,1), ARGUS!$B$4:$LG$4, 0)-1,1,1)/1000, 0)</f>
        <v>0</v>
      </c>
      <c r="EW39" s="18">
        <f ca="1">IFERROR(OFFSET(ARGUS!$A$3, MATCH($A39, ARGUS!$A$3:$A$176, 0)-1,MATCH(EOMONTH(EW$15,1), ARGUS!$B$4:$LG$4, 0)-1,1,1)/1000, 0)</f>
        <v>0</v>
      </c>
      <c r="EX39" s="18">
        <f ca="1">IFERROR(OFFSET(ARGUS!$A$3, MATCH($A39, ARGUS!$A$3:$A$176, 0)-1,MATCH(EOMONTH(EX$15,1), ARGUS!$B$4:$LG$4, 0)-1,1,1)/1000, 0)</f>
        <v>0</v>
      </c>
      <c r="EY39" s="18">
        <f ca="1">IFERROR(OFFSET(ARGUS!$A$3, MATCH($A39, ARGUS!$A$3:$A$176, 0)-1,MATCH(EOMONTH(EY$15,1), ARGUS!$B$4:$LG$4, 0)-1,1,1)/1000, 0)</f>
        <v>0</v>
      </c>
      <c r="EZ39" s="18">
        <f ca="1">IFERROR(OFFSET(ARGUS!$A$3, MATCH($A39, ARGUS!$A$3:$A$176, 0)-1,MATCH(EOMONTH(EZ$15,1), ARGUS!$B$4:$LG$4, 0)-1,1,1)/1000, 0)</f>
        <v>0</v>
      </c>
      <c r="FA39" s="18">
        <f ca="1">IFERROR(OFFSET(ARGUS!$A$3, MATCH($A39, ARGUS!$A$3:$A$176, 0)-1,MATCH(EOMONTH(FA$15,1), ARGUS!$B$4:$LG$4, 0)-1,1,1)/1000, 0)</f>
        <v>0</v>
      </c>
      <c r="FB39" s="18">
        <f ca="1">IFERROR(OFFSET(ARGUS!$A$3, MATCH($A39, ARGUS!$A$3:$A$176, 0)-1,MATCH(EOMONTH(FB$15,1), ARGUS!$B$4:$LG$4, 0)-1,1,1)/1000, 0)</f>
        <v>0</v>
      </c>
      <c r="FC39" s="18">
        <f ca="1">IFERROR(OFFSET(ARGUS!$A$3, MATCH($A39, ARGUS!$A$3:$A$176, 0)-1,MATCH(EOMONTH(FC$15,1), ARGUS!$B$4:$LG$4, 0)-1,1,1)/1000, 0)</f>
        <v>0</v>
      </c>
      <c r="FD39" s="18">
        <f ca="1">IFERROR(OFFSET(ARGUS!$A$3, MATCH($A39, ARGUS!$A$3:$A$176, 0)-1,MATCH(EOMONTH(FD$15,1), ARGUS!$B$4:$LG$4, 0)-1,1,1)/1000, 0)</f>
        <v>0</v>
      </c>
      <c r="FE39" s="18">
        <f ca="1">IFERROR(OFFSET(ARGUS!$A$3, MATCH($A39, ARGUS!$A$3:$A$176, 0)-1,MATCH(EOMONTH(FE$15,1), ARGUS!$B$4:$LG$4, 0)-1,1,1)/1000, 0)</f>
        <v>0</v>
      </c>
      <c r="FF39" s="18">
        <f ca="1">IFERROR(OFFSET(ARGUS!$A$3, MATCH($A39, ARGUS!$A$3:$A$176, 0)-1,MATCH(EOMONTH(FF$15,1), ARGUS!$B$4:$LG$4, 0)-1,1,1)/1000, 0)</f>
        <v>0</v>
      </c>
      <c r="FG39" s="18">
        <f ca="1">IFERROR(OFFSET(ARGUS!$A$3, MATCH($A39, ARGUS!$A$3:$A$176, 0)-1,MATCH(EOMONTH(FG$15,1), ARGUS!$B$4:$LG$4, 0)-1,1,1)/1000, 0)</f>
        <v>0</v>
      </c>
      <c r="FH39" s="18">
        <f ca="1">IFERROR(OFFSET(ARGUS!$A$3, MATCH($A39, ARGUS!$A$3:$A$176, 0)-1,MATCH(EOMONTH(FH$15,1), ARGUS!$B$4:$LG$4, 0)-1,1,1)/1000, 0)</f>
        <v>0</v>
      </c>
      <c r="FI39" s="18">
        <f ca="1">IFERROR(OFFSET(ARGUS!$A$3, MATCH($A39, ARGUS!$A$3:$A$176, 0)-1,MATCH(EOMONTH(FI$15,1), ARGUS!$B$4:$LG$4, 0)-1,1,1)/1000, 0)</f>
        <v>0</v>
      </c>
      <c r="FJ39" s="18">
        <f ca="1">IFERROR(OFFSET(ARGUS!$A$3, MATCH($A39, ARGUS!$A$3:$A$176, 0)-1,MATCH(EOMONTH(FJ$15,1), ARGUS!$B$4:$LG$4, 0)-1,1,1)/1000, 0)</f>
        <v>0</v>
      </c>
      <c r="FK39" s="18">
        <f ca="1">IFERROR(OFFSET(ARGUS!$A$3, MATCH($A39, ARGUS!$A$3:$A$176, 0)-1,MATCH(EOMONTH(FK$15,1), ARGUS!$B$4:$LG$4, 0)-1,1,1)/1000, 0)</f>
        <v>0</v>
      </c>
      <c r="FL39" s="18">
        <f ca="1">IFERROR(OFFSET(ARGUS!$A$3, MATCH($A39, ARGUS!$A$3:$A$176, 0)-1,MATCH(EOMONTH(FL$15,1), ARGUS!$B$4:$LG$4, 0)-1,1,1)/1000, 0)</f>
        <v>0</v>
      </c>
      <c r="FM39" s="18">
        <f ca="1">IFERROR(OFFSET(ARGUS!$A$3, MATCH($A39, ARGUS!$A$3:$A$176, 0)-1,MATCH(EOMONTH(FM$15,1), ARGUS!$B$4:$LG$4, 0)-1,1,1)/1000, 0)</f>
        <v>0</v>
      </c>
      <c r="FN39" s="18">
        <f ca="1">IFERROR(OFFSET(ARGUS!$A$3, MATCH($A39, ARGUS!$A$3:$A$176, 0)-1,MATCH(EOMONTH(FN$15,1), ARGUS!$B$4:$LG$4, 0)-1,1,1)/1000, 0)</f>
        <v>0</v>
      </c>
      <c r="FO39" s="18">
        <f ca="1">IFERROR(OFFSET(ARGUS!$A$3, MATCH($A39, ARGUS!$A$3:$A$176, 0)-1,MATCH(EOMONTH(FO$15,1), ARGUS!$B$4:$LG$4, 0)-1,1,1)/1000, 0)</f>
        <v>0</v>
      </c>
      <c r="FP39" s="18">
        <f ca="1">IFERROR(OFFSET(ARGUS!$A$3, MATCH($A39, ARGUS!$A$3:$A$176, 0)-1,MATCH(EOMONTH(FP$15,1), ARGUS!$B$4:$LG$4, 0)-1,1,1)/1000, 0)</f>
        <v>0</v>
      </c>
      <c r="FQ39" s="18">
        <f ca="1">IFERROR(OFFSET(ARGUS!$A$3, MATCH($A39, ARGUS!$A$3:$A$176, 0)-1,MATCH(EOMONTH(FQ$15,1), ARGUS!$B$4:$LG$4, 0)-1,1,1)/1000, 0)</f>
        <v>0</v>
      </c>
      <c r="FR39" s="18">
        <f ca="1">IFERROR(OFFSET(ARGUS!$A$3, MATCH($A39, ARGUS!$A$3:$A$176, 0)-1,MATCH(EOMONTH(FR$15,1), ARGUS!$B$4:$LG$4, 0)-1,1,1)/1000, 0)</f>
        <v>0</v>
      </c>
      <c r="FS39" s="18">
        <f ca="1">IFERROR(OFFSET(ARGUS!$A$3, MATCH($A39, ARGUS!$A$3:$A$176, 0)-1,MATCH(EOMONTH(FS$15,1), ARGUS!$B$4:$LG$4, 0)-1,1,1)/1000, 0)</f>
        <v>0</v>
      </c>
      <c r="FT39" s="18">
        <f ca="1">IFERROR(OFFSET(ARGUS!$A$3, MATCH($A39, ARGUS!$A$3:$A$176, 0)-1,MATCH(EOMONTH(FT$15,1), ARGUS!$B$4:$LG$4, 0)-1,1,1)/1000, 0)</f>
        <v>0</v>
      </c>
      <c r="FU39" s="18">
        <f ca="1">IFERROR(OFFSET(ARGUS!$A$3, MATCH($A39, ARGUS!$A$3:$A$176, 0)-1,MATCH(EOMONTH(FU$15,1), ARGUS!$B$4:$LG$4, 0)-1,1,1)/1000, 0)</f>
        <v>0</v>
      </c>
      <c r="FV39" s="18">
        <f ca="1">IFERROR(OFFSET(ARGUS!$A$3, MATCH($A39, ARGUS!$A$3:$A$176, 0)-1,MATCH(EOMONTH(FV$15,1), ARGUS!$B$4:$LG$4, 0)-1,1,1)/1000, 0)</f>
        <v>0</v>
      </c>
      <c r="FW39" s="18">
        <f ca="1">IFERROR(OFFSET(ARGUS!$A$3, MATCH($A39, ARGUS!$A$3:$A$176, 0)-1,MATCH(EOMONTH(FW$15,1), ARGUS!$B$4:$LG$4, 0)-1,1,1)/1000, 0)</f>
        <v>0</v>
      </c>
      <c r="FX39" s="18">
        <f ca="1">IFERROR(OFFSET(ARGUS!$A$3, MATCH($A39, ARGUS!$A$3:$A$176, 0)-1,MATCH(EOMONTH(FX$15,1), ARGUS!$B$4:$LG$4, 0)-1,1,1)/1000, 0)</f>
        <v>0</v>
      </c>
      <c r="FY39" s="18">
        <f ca="1">IFERROR(OFFSET(ARGUS!$A$3, MATCH($A39, ARGUS!$A$3:$A$176, 0)-1,MATCH(EOMONTH(FY$15,1), ARGUS!$B$4:$LG$4, 0)-1,1,1)/1000, 0)</f>
        <v>0</v>
      </c>
      <c r="FZ39" s="18">
        <f ca="1">IFERROR(OFFSET(ARGUS!$A$3, MATCH($A39, ARGUS!$A$3:$A$176, 0)-1,MATCH(EOMONTH(FZ$15,1), ARGUS!$B$4:$LG$4, 0)-1,1,1)/1000, 0)</f>
        <v>0</v>
      </c>
      <c r="GA39" s="18">
        <f ca="1">IFERROR(OFFSET(ARGUS!$A$3, MATCH($A39, ARGUS!$A$3:$A$176, 0)-1,MATCH(EOMONTH(GA$15,1), ARGUS!$B$4:$LG$4, 0)-1,1,1)/1000, 0)</f>
        <v>0</v>
      </c>
      <c r="GB39" s="18">
        <f ca="1">IFERROR(OFFSET(ARGUS!$A$3, MATCH($A39, ARGUS!$A$3:$A$176, 0)-1,MATCH(EOMONTH(GB$15,1), ARGUS!$B$4:$LG$4, 0)-1,1,1)/1000, 0)</f>
        <v>0</v>
      </c>
      <c r="GC39" s="18">
        <f ca="1">IFERROR(OFFSET(ARGUS!$A$3, MATCH($A39, ARGUS!$A$3:$A$176, 0)-1,MATCH(EOMONTH(GC$15,1), ARGUS!$B$4:$LG$4, 0)-1,1,1)/1000, 0)</f>
        <v>0</v>
      </c>
      <c r="GD39" s="18">
        <f ca="1">IFERROR(OFFSET(ARGUS!$A$3, MATCH($A39, ARGUS!$A$3:$A$176, 0)-1,MATCH(EOMONTH(GD$15,1), ARGUS!$B$4:$LG$4, 0)-1,1,1)/1000, 0)</f>
        <v>0</v>
      </c>
      <c r="GE39" s="18">
        <f ca="1">IFERROR(OFFSET(ARGUS!$A$3, MATCH($A39, ARGUS!$A$3:$A$176, 0)-1,MATCH(EOMONTH(GE$15,1), ARGUS!$B$4:$LG$4, 0)-1,1,1)/1000, 0)</f>
        <v>0</v>
      </c>
      <c r="GF39" s="18">
        <f ca="1">IFERROR(OFFSET(ARGUS!$A$3, MATCH($A39, ARGUS!$A$3:$A$176, 0)-1,MATCH(EOMONTH(GF$15,1), ARGUS!$B$4:$LG$4, 0)-1,1,1)/1000, 0)</f>
        <v>0</v>
      </c>
      <c r="GG39" s="18">
        <f ca="1">IFERROR(OFFSET(ARGUS!$A$3, MATCH($A39, ARGUS!$A$3:$A$176, 0)-1,MATCH(EOMONTH(GG$15,1), ARGUS!$B$4:$LG$4, 0)-1,1,1)/1000, 0)</f>
        <v>0</v>
      </c>
      <c r="GH39" s="18">
        <f ca="1">IFERROR(OFFSET(ARGUS!$A$3, MATCH($A39, ARGUS!$A$3:$A$176, 0)-1,MATCH(EOMONTH(GH$15,1), ARGUS!$B$4:$LG$4, 0)-1,1,1)/1000, 0)</f>
        <v>0</v>
      </c>
      <c r="GI39" s="18">
        <f ca="1">IFERROR(OFFSET(ARGUS!$A$3, MATCH($A39, ARGUS!$A$3:$A$176, 0)-1,MATCH(EOMONTH(GI$15,1), ARGUS!$B$4:$LG$4, 0)-1,1,1)/1000, 0)</f>
        <v>0</v>
      </c>
      <c r="GJ39" s="18">
        <f ca="1">IFERROR(OFFSET(ARGUS!$A$3, MATCH($A39, ARGUS!$A$3:$A$176, 0)-1,MATCH(EOMONTH(GJ$15,1), ARGUS!$B$4:$LG$4, 0)-1,1,1)/1000, 0)</f>
        <v>0</v>
      </c>
      <c r="GK39" s="18">
        <f ca="1">IFERROR(OFFSET(ARGUS!$A$3, MATCH($A39, ARGUS!$A$3:$A$176, 0)-1,MATCH(EOMONTH(GK$15,1), ARGUS!$B$4:$LG$4, 0)-1,1,1)/1000, 0)</f>
        <v>0</v>
      </c>
      <c r="GL39" s="18">
        <f ca="1">IFERROR(OFFSET(ARGUS!$A$3, MATCH($A39, ARGUS!$A$3:$A$176, 0)-1,MATCH(EOMONTH(GL$15,1), ARGUS!$B$4:$LG$4, 0)-1,1,1)/1000, 0)</f>
        <v>0</v>
      </c>
      <c r="GM39" s="18">
        <f ca="1">IFERROR(OFFSET(ARGUS!$A$3, MATCH($A39, ARGUS!$A$3:$A$176, 0)-1,MATCH(EOMONTH(GM$15,1), ARGUS!$B$4:$LG$4, 0)-1,1,1)/1000, 0)</f>
        <v>0</v>
      </c>
      <c r="GN39" s="18">
        <f ca="1">IFERROR(OFFSET(ARGUS!$A$3, MATCH($A39, ARGUS!$A$3:$A$176, 0)-1,MATCH(EOMONTH(GN$15,1), ARGUS!$B$4:$LG$4, 0)-1,1,1)/1000, 0)</f>
        <v>0</v>
      </c>
      <c r="GO39" s="18">
        <f ca="1">IFERROR(OFFSET(ARGUS!$A$3, MATCH($A39, ARGUS!$A$3:$A$176, 0)-1,MATCH(EOMONTH(GO$15,1), ARGUS!$B$4:$LG$4, 0)-1,1,1)/1000, 0)</f>
        <v>0</v>
      </c>
      <c r="GP39" s="18">
        <f ca="1">IFERROR(OFFSET(ARGUS!$A$3, MATCH($A39, ARGUS!$A$3:$A$176, 0)-1,MATCH(EOMONTH(GP$15,1), ARGUS!$B$4:$LG$4, 0)-1,1,1)/1000, 0)</f>
        <v>0</v>
      </c>
      <c r="GQ39" s="18">
        <f ca="1">IFERROR(OFFSET(ARGUS!$A$3, MATCH($A39, ARGUS!$A$3:$A$176, 0)-1,MATCH(EOMONTH(GQ$15,1), ARGUS!$B$4:$LG$4, 0)-1,1,1)/1000, 0)</f>
        <v>0</v>
      </c>
      <c r="GR39" s="18">
        <f ca="1">IFERROR(OFFSET(ARGUS!$A$3, MATCH($A39, ARGUS!$A$3:$A$176, 0)-1,MATCH(EOMONTH(GR$15,1), ARGUS!$B$4:$LG$4, 0)-1,1,1)/1000, 0)</f>
        <v>0</v>
      </c>
      <c r="GS39" s="18">
        <f ca="1">IFERROR(OFFSET(ARGUS!$A$3, MATCH($A39, ARGUS!$A$3:$A$176, 0)-1,MATCH(EOMONTH(GS$15,1), ARGUS!$B$4:$LG$4, 0)-1,1,1)/1000, 0)</f>
        <v>0</v>
      </c>
      <c r="GT39" s="18">
        <f ca="1">IFERROR(OFFSET(ARGUS!$A$3, MATCH($A39, ARGUS!$A$3:$A$176, 0)-1,MATCH(EOMONTH(GT$15,1), ARGUS!$B$4:$LG$4, 0)-1,1,1)/1000, 0)</f>
        <v>0</v>
      </c>
      <c r="GU39" s="18"/>
      <c r="GV39" s="18"/>
      <c r="GW39" s="18"/>
      <c r="GX39" s="18"/>
      <c r="GY39" s="18"/>
      <c r="GZ39" s="18"/>
      <c r="HA39" s="18"/>
      <c r="HB39" s="18"/>
      <c r="HC39" s="18"/>
      <c r="HD39" s="18"/>
      <c r="HE39" s="18"/>
      <c r="HF39" s="1" t="s">
        <v>212</v>
      </c>
      <c r="HG39" s="139" t="e">
        <f t="shared" si="519"/>
        <v>#REF!</v>
      </c>
      <c r="HH39" s="1" t="str">
        <f>+B39</f>
        <v>Capital Reserves</v>
      </c>
      <c r="HL39" s="123">
        <f t="shared" ca="1" si="557"/>
        <v>0</v>
      </c>
      <c r="HN39" s="34">
        <f t="shared" ref="HN39:HV39" si="559">SUMIF($K$14:$GT$14,HN$14,$K39:$GT39)</f>
        <v>0</v>
      </c>
      <c r="HO39" s="34">
        <f t="shared" ca="1" si="559"/>
        <v>0</v>
      </c>
      <c r="HP39" s="34">
        <f t="shared" ca="1" si="559"/>
        <v>0</v>
      </c>
      <c r="HQ39" s="34">
        <f t="shared" ca="1" si="559"/>
        <v>0</v>
      </c>
      <c r="HR39" s="34">
        <f t="shared" ca="1" si="559"/>
        <v>0</v>
      </c>
      <c r="HS39" s="34">
        <f t="shared" ca="1" si="559"/>
        <v>0</v>
      </c>
      <c r="HT39" s="34">
        <f t="shared" ca="1" si="559"/>
        <v>0</v>
      </c>
      <c r="HU39" s="34">
        <f t="shared" ca="1" si="559"/>
        <v>0</v>
      </c>
      <c r="HV39" s="34">
        <f t="shared" ca="1" si="559"/>
        <v>0</v>
      </c>
    </row>
    <row r="40" spans="1:231">
      <c r="HF40" s="1" t="s">
        <v>212</v>
      </c>
      <c r="HG40" s="139" t="e">
        <f t="shared" si="519"/>
        <v>#REF!</v>
      </c>
      <c r="HH40" s="84"/>
      <c r="HI40" s="84"/>
      <c r="HJ40" s="84"/>
      <c r="HK40" s="84"/>
      <c r="HL40" s="164"/>
      <c r="HM40" s="84"/>
      <c r="HN40" s="84"/>
      <c r="HO40" s="84"/>
      <c r="HP40" s="84"/>
      <c r="HQ40" s="84"/>
      <c r="HR40" s="84"/>
      <c r="HS40" s="84"/>
      <c r="HT40" s="84"/>
      <c r="HU40" s="84"/>
      <c r="HV40" s="84"/>
    </row>
    <row r="41" spans="1:231" ht="16" thickBot="1">
      <c r="B41" s="94" t="s">
        <v>100</v>
      </c>
      <c r="C41" s="95"/>
      <c r="D41" s="95"/>
      <c r="E41" s="95"/>
      <c r="F41" s="95"/>
      <c r="G41" s="95"/>
      <c r="H41" s="95"/>
      <c r="I41" s="136">
        <f ca="1">SUMIF($K$13:$GT$13,"&lt;="&amp;Assumptions!$L$17,'Monthly Cash Flow'!K41:GT41)</f>
        <v>37036.571504450425</v>
      </c>
      <c r="J41" s="137"/>
      <c r="K41" s="137">
        <f>SUBTOTAL(9,K18:K39)</f>
        <v>30206</v>
      </c>
      <c r="L41" s="137">
        <f ca="1">IF(L13&lt;=Assumptions!$L$17,SUBTOTAL(9,L18:L39),0)</f>
        <v>0</v>
      </c>
      <c r="M41" s="137">
        <f ca="1">IF(M13&lt;=Assumptions!$L$17,SUBTOTAL(9,M18:M39),0)</f>
        <v>0</v>
      </c>
      <c r="N41" s="137">
        <f ca="1">IF(N13&lt;=Assumptions!$L$17,SUBTOTAL(9,N18:N39),0)</f>
        <v>0</v>
      </c>
      <c r="O41" s="137">
        <f ca="1">IF(O13&lt;=Assumptions!$L$17,SUBTOTAL(9,O18:O39),0)</f>
        <v>0</v>
      </c>
      <c r="P41" s="137">
        <f ca="1">IF(P13&lt;=Assumptions!$L$17,SUBTOTAL(9,P18:P39),0)</f>
        <v>0</v>
      </c>
      <c r="Q41" s="137">
        <f ca="1">IF(Q13&lt;=Assumptions!$L$17,SUBTOTAL(9,Q18:Q39),0)</f>
        <v>0</v>
      </c>
      <c r="R41" s="137">
        <f ca="1">IF(R13&lt;=Assumptions!$L$17,SUBTOTAL(9,R18:R39),0)</f>
        <v>0</v>
      </c>
      <c r="S41" s="137">
        <f ca="1">IF(S13&lt;=Assumptions!$L$17,SUBTOTAL(9,S18:S39),0)</f>
        <v>0</v>
      </c>
      <c r="T41" s="137">
        <f ca="1">IF(T13&lt;=Assumptions!$L$17,SUBTOTAL(9,T18:T39),0)</f>
        <v>0</v>
      </c>
      <c r="U41" s="137">
        <f ca="1">IF(U13&lt;=Assumptions!$L$17,SUBTOTAL(9,U18:U39),0)</f>
        <v>184.97674000000001</v>
      </c>
      <c r="V41" s="137">
        <f ca="1">IF(V13&lt;=Assumptions!$L$17,SUBTOTAL(9,V18:V39),0)</f>
        <v>0</v>
      </c>
      <c r="W41" s="137">
        <f ca="1">IF(W13&lt;=Assumptions!$L$17,SUBTOTAL(9,W18:W39),0)</f>
        <v>108.76859</v>
      </c>
      <c r="X41" s="137">
        <f ca="1">IF(X13&lt;=Assumptions!$L$17,SUBTOTAL(9,X18:X39),0)</f>
        <v>3.6021399999999999</v>
      </c>
      <c r="Y41" s="137">
        <f ca="1">IF(Y13&lt;=Assumptions!$L$17,SUBTOTAL(9,Y18:Y39),0)</f>
        <v>0</v>
      </c>
      <c r="Z41" s="137">
        <f ca="1">IF(Z13&lt;=Assumptions!$L$17,SUBTOTAL(9,Z18:Z39),0)</f>
        <v>462.19177999999999</v>
      </c>
      <c r="AA41" s="137">
        <f ca="1">IF(AA13&lt;=Assumptions!$L$17,SUBTOTAL(9,AA18:AA39),0)</f>
        <v>0</v>
      </c>
      <c r="AB41" s="137">
        <f ca="1">IF(AB13&lt;=Assumptions!$L$17,SUBTOTAL(9,AB18:AB39),0)</f>
        <v>458.32646999999997</v>
      </c>
      <c r="AC41" s="137">
        <f ca="1">IF(AC13&lt;=Assumptions!$L$17,SUBTOTAL(9,AC18:AC39),0)</f>
        <v>0</v>
      </c>
      <c r="AD41" s="137">
        <f ca="1">IF(AD13&lt;=Assumptions!$L$17,SUBTOTAL(9,AD18:AD39),0)</f>
        <v>2.28E-15</v>
      </c>
      <c r="AE41" s="137">
        <f ca="1">IF(AE13&lt;=Assumptions!$L$17,SUBTOTAL(9,AE18:AE39),0)</f>
        <v>487.53904</v>
      </c>
      <c r="AF41" s="137">
        <f ca="1">IF(AF13&lt;=Assumptions!$L$17,SUBTOTAL(9,AF18:AF39),0)</f>
        <v>207.9665008454283</v>
      </c>
      <c r="AG41" s="137">
        <f ca="1">IF(AG13&lt;=Assumptions!$L$17,SUBTOTAL(9,AG18:AG39),0)</f>
        <v>268.26096000000001</v>
      </c>
      <c r="AH41" s="137">
        <f ca="1">IF(AH13&lt;=Assumptions!$L$17,SUBTOTAL(9,AH18:AH39),0)</f>
        <v>0</v>
      </c>
      <c r="AI41" s="137">
        <f ca="1">IF(AI13&lt;=Assumptions!$L$17,SUBTOTAL(9,AI18:AI39),0)</f>
        <v>82.490880000000004</v>
      </c>
      <c r="AJ41" s="137">
        <f ca="1">IF(AJ13&lt;=Assumptions!$L$17,SUBTOTAL(9,AJ18:AJ39),0)</f>
        <v>0</v>
      </c>
      <c r="AK41" s="137">
        <f ca="1">IF(AK13&lt;=Assumptions!$L$17,SUBTOTAL(9,AK18:AK39),0)</f>
        <v>0</v>
      </c>
      <c r="AL41" s="137">
        <f ca="1">IF(AL13&lt;=Assumptions!$L$17,SUBTOTAL(9,AL18:AL39),0)</f>
        <v>219.27388000000002</v>
      </c>
      <c r="AM41" s="137">
        <f ca="1">IF(AM13&lt;=Assumptions!$L$17,SUBTOTAL(9,AM18:AM39),0)</f>
        <v>0</v>
      </c>
      <c r="AN41" s="137">
        <f ca="1">IF(AN13&lt;=Assumptions!$L$17,SUBTOTAL(9,AN18:AN39),0)</f>
        <v>32.111649999999997</v>
      </c>
      <c r="AO41" s="137">
        <f ca="1">IF(AO13&lt;=Assumptions!$L$17,SUBTOTAL(9,AO18:AO39),0)</f>
        <v>0</v>
      </c>
      <c r="AP41" s="137">
        <f ca="1">IF(AP13&lt;=Assumptions!$L$17,SUBTOTAL(9,AP18:AP39),0)</f>
        <v>158.75653402388377</v>
      </c>
      <c r="AQ41" s="137">
        <f ca="1">IF(AQ13&lt;=Assumptions!$L$17,SUBTOTAL(9,AQ18:AQ39),0)</f>
        <v>41.92615</v>
      </c>
      <c r="AR41" s="137">
        <f ca="1">IF(AR13&lt;=Assumptions!$L$17,SUBTOTAL(9,AR18:AR39),0)</f>
        <v>0</v>
      </c>
      <c r="AS41" s="137">
        <f ca="1">IF(AS13&lt;=Assumptions!$L$17,SUBTOTAL(9,AS18:AS39),0)</f>
        <v>0</v>
      </c>
      <c r="AT41" s="137">
        <f ca="1">IF(AT13&lt;=Assumptions!$L$17,SUBTOTAL(9,AT18:AT39),0)</f>
        <v>0</v>
      </c>
      <c r="AU41" s="137">
        <f ca="1">IF(AU13&lt;=Assumptions!$L$17,SUBTOTAL(9,AU18:AU39),0)</f>
        <v>0</v>
      </c>
      <c r="AV41" s="137">
        <f ca="1">IF(AV13&lt;=Assumptions!$L$17,SUBTOTAL(9,AV18:AV39),0)</f>
        <v>0</v>
      </c>
      <c r="AW41" s="137">
        <f ca="1">IF(AW13&lt;=Assumptions!$L$17,SUBTOTAL(9,AW18:AW39),0)</f>
        <v>257.02499999999998</v>
      </c>
      <c r="AX41" s="137">
        <f ca="1">IF(AX13&lt;=Assumptions!$L$17,SUBTOTAL(9,AX18:AX39),0)</f>
        <v>0</v>
      </c>
      <c r="AY41" s="137">
        <f ca="1">IF(AY13&lt;=Assumptions!$L$17,SUBTOTAL(9,AY18:AY39),0)</f>
        <v>-3.5</v>
      </c>
      <c r="AZ41" s="137">
        <f ca="1">IF(AZ13&lt;=Assumptions!$L$17,SUBTOTAL(9,AZ18:AZ39),0)</f>
        <v>128.82645958111405</v>
      </c>
      <c r="BA41" s="137">
        <f ca="1">IF(BA13&lt;=Assumptions!$L$17,SUBTOTAL(9,BA18:BA39),0)</f>
        <v>149.43100000000001</v>
      </c>
      <c r="BB41" s="137">
        <f ca="1">IF(BB13&lt;=Assumptions!$L$17,SUBTOTAL(9,BB18:BB39),0)</f>
        <v>0</v>
      </c>
      <c r="BC41" s="137">
        <f ca="1">IF(BC13&lt;=Assumptions!$L$17,SUBTOTAL(9,BC18:BC39),0)</f>
        <v>142.10000000000002</v>
      </c>
      <c r="BD41" s="137">
        <f ca="1">IF(BD13&lt;=Assumptions!$L$17,SUBTOTAL(9,BD18:BD39),0)</f>
        <v>23.257999999999999</v>
      </c>
      <c r="BE41" s="137">
        <f ca="1">IF(BE13&lt;=Assumptions!$L$17,SUBTOTAL(9,BE18:BE39),0)</f>
        <v>0</v>
      </c>
      <c r="BF41" s="137">
        <f ca="1">IF(BF13&lt;=Assumptions!$L$17,SUBTOTAL(9,BF18:BF39),0)</f>
        <v>0</v>
      </c>
      <c r="BG41" s="137">
        <f ca="1">IF(BG13&lt;=Assumptions!$L$17,SUBTOTAL(9,BG18:BG39),0)</f>
        <v>0</v>
      </c>
      <c r="BH41" s="137">
        <f ca="1">IF(BH13&lt;=Assumptions!$L$17,SUBTOTAL(9,BH18:BH39),0)</f>
        <v>0</v>
      </c>
      <c r="BI41" s="137">
        <f ca="1">IF(BI13&lt;=Assumptions!$L$17,SUBTOTAL(9,BI18:BI39),0)</f>
        <v>0</v>
      </c>
      <c r="BJ41" s="137">
        <f ca="1">IF(BJ13&lt;=Assumptions!$L$17,SUBTOTAL(9,BJ18:BJ39),0)</f>
        <v>0</v>
      </c>
      <c r="BK41" s="137">
        <f ca="1">IF(BK13&lt;=Assumptions!$L$17,SUBTOTAL(9,BK18:BK39),0)</f>
        <v>0</v>
      </c>
      <c r="BL41" s="137">
        <f ca="1">IF(BL13&lt;=Assumptions!$L$17,SUBTOTAL(9,BL18:BL39),0)</f>
        <v>0</v>
      </c>
      <c r="BM41" s="137">
        <f ca="1">IF(BM13&lt;=Assumptions!$L$17,SUBTOTAL(9,BM18:BM39),0)</f>
        <v>0</v>
      </c>
      <c r="BN41" s="137">
        <f ca="1">IF(BN13&lt;=Assumptions!$L$17,SUBTOTAL(9,BN18:BN39),0)</f>
        <v>0</v>
      </c>
      <c r="BO41" s="137">
        <f ca="1">IF(BO13&lt;=Assumptions!$L$17,SUBTOTAL(9,BO18:BO39),0)</f>
        <v>0</v>
      </c>
      <c r="BP41" s="137">
        <f ca="1">IF(BP13&lt;=Assumptions!$L$17,SUBTOTAL(9,BP18:BP39),0)</f>
        <v>0</v>
      </c>
      <c r="BQ41" s="137">
        <f ca="1">IF(BQ13&lt;=Assumptions!$L$17,SUBTOTAL(9,BQ18:BQ39),0)</f>
        <v>0</v>
      </c>
      <c r="BR41" s="137">
        <f ca="1">IF(BR13&lt;=Assumptions!$L$17,SUBTOTAL(9,BR18:BR39),0)</f>
        <v>65.924000000000007</v>
      </c>
      <c r="BS41" s="137">
        <f ca="1">IF(BS13&lt;=Assumptions!$L$17,SUBTOTAL(9,BS18:BS39),0)</f>
        <v>0</v>
      </c>
      <c r="BT41" s="137">
        <f ca="1">IF(BT13&lt;=Assumptions!$L$17,SUBTOTAL(9,BT18:BT39),0)</f>
        <v>0</v>
      </c>
      <c r="BU41" s="137">
        <f ca="1">IF(BU13&lt;=Assumptions!$L$17,SUBTOTAL(9,BU18:BU39),0)</f>
        <v>0</v>
      </c>
      <c r="BV41" s="137">
        <f ca="1">IF(BV13&lt;=Assumptions!$L$17,SUBTOTAL(9,BV18:BV39),0)</f>
        <v>0</v>
      </c>
      <c r="BW41" s="137">
        <f ca="1">IF(BW13&lt;=Assumptions!$L$17,SUBTOTAL(9,BW18:BW39),0)</f>
        <v>9.3451900000000006</v>
      </c>
      <c r="BX41" s="137">
        <f ca="1">IF(BX13&lt;=Assumptions!$L$17,SUBTOTAL(9,BX18:BX39),0)</f>
        <v>27.214280000000002</v>
      </c>
      <c r="BY41" s="137">
        <f ca="1">IF(BY13&lt;=Assumptions!$L$17,SUBTOTAL(9,BY18:BY39),0)</f>
        <v>87.333829999999992</v>
      </c>
      <c r="BZ41" s="137">
        <f ca="1">IF(BZ13&lt;=Assumptions!$L$17,SUBTOTAL(9,BZ18:BZ39),0)</f>
        <v>0</v>
      </c>
      <c r="CA41" s="137">
        <f ca="1">IF(CA13&lt;=Assumptions!$L$17,SUBTOTAL(9,CA18:CA39),0)</f>
        <v>99.415000000000006</v>
      </c>
      <c r="CB41" s="137">
        <f ca="1">IF(CB13&lt;=Assumptions!$L$17,SUBTOTAL(9,CB18:CB39),0)</f>
        <v>5</v>
      </c>
      <c r="CC41" s="137">
        <f ca="1">IF(CC13&lt;=Assumptions!$L$17,SUBTOTAL(9,CC18:CC39),0)</f>
        <v>0</v>
      </c>
      <c r="CD41" s="137">
        <f ca="1">IF(CD13&lt;=Assumptions!$L$17,SUBTOTAL(9,CD18:CD39),0)</f>
        <v>279.654</v>
      </c>
      <c r="CE41" s="137">
        <f ca="1">IF(CE13&lt;=Assumptions!$L$17,SUBTOTAL(9,CE18:CE39),0)</f>
        <v>0</v>
      </c>
      <c r="CF41" s="137">
        <f ca="1">IF(CF13&lt;=Assumptions!$L$17,SUBTOTAL(9,CF18:CF39),0)</f>
        <v>66.949960000000004</v>
      </c>
      <c r="CG41" s="137">
        <f ca="1">IF(CG13&lt;=Assumptions!$L$17,SUBTOTAL(9,CG18:CG39),0)</f>
        <v>0</v>
      </c>
      <c r="CH41" s="137">
        <f ca="1">IF(CH13&lt;=Assumptions!$L$17,SUBTOTAL(9,CH18:CH39),0)</f>
        <v>22.286470000000001</v>
      </c>
      <c r="CI41" s="137">
        <f ca="1">IF(CI13&lt;=Assumptions!$L$17,SUBTOTAL(9,CI18:CI39),0)</f>
        <v>0</v>
      </c>
      <c r="CJ41" s="137">
        <f ca="1">IF(CJ13&lt;=Assumptions!$L$17,SUBTOTAL(9,CJ18:CJ39),0)</f>
        <v>0</v>
      </c>
      <c r="CK41" s="137">
        <f ca="1">IF(CK13&lt;=Assumptions!$L$17,SUBTOTAL(9,CK18:CK39),0)</f>
        <v>0</v>
      </c>
      <c r="CL41" s="137">
        <f ca="1">IF(CL13&lt;=Assumptions!$L$17,SUBTOTAL(9,CL18:CL39),0)</f>
        <v>0</v>
      </c>
      <c r="CM41" s="137">
        <f ca="1">IF(CM13&lt;=Assumptions!$L$17,SUBTOTAL(9,CM18:CM39),0)</f>
        <v>68.313492063492063</v>
      </c>
      <c r="CN41" s="137">
        <f ca="1">IF(CN13&lt;=Assumptions!$L$17,SUBTOTAL(9,CN18:CN39),0)</f>
        <v>68.313492063492063</v>
      </c>
      <c r="CO41" s="137">
        <f ca="1">IF(CO13&lt;=Assumptions!$L$17,SUBTOTAL(9,CO18:CO39),0)</f>
        <v>68.313492063492077</v>
      </c>
      <c r="CP41" s="137">
        <f ca="1">IF(CP13&lt;=Assumptions!$L$17,SUBTOTAL(9,CP18:CP39),0)</f>
        <v>161.22249206349207</v>
      </c>
      <c r="CQ41" s="137">
        <f ca="1">IF(CQ13&lt;=Assumptions!$L$17,SUBTOTAL(9,CQ18:CQ39),0)</f>
        <v>62.063492063492063</v>
      </c>
      <c r="CR41" s="137">
        <f ca="1">IF(CR13&lt;=Assumptions!$L$17,SUBTOTAL(9,CR18:CR39),0)</f>
        <v>62.06349206349207</v>
      </c>
      <c r="CS41" s="137">
        <f ca="1">IF(CS13&lt;=Assumptions!$L$17,SUBTOTAL(9,CS18:CS39),0)</f>
        <v>235.66549206349205</v>
      </c>
      <c r="CT41" s="137">
        <f ca="1">IF(CT13&lt;=Assumptions!$L$17,SUBTOTAL(9,CT18:CT39),0)</f>
        <v>296.70377777777776</v>
      </c>
      <c r="CU41" s="137">
        <f ca="1">IF(CU13&lt;=Assumptions!$L$17,SUBTOTAL(9,CU18:CU39),0)</f>
        <v>27.777777777777771</v>
      </c>
      <c r="CV41" s="137">
        <f ca="1">IF(CV13&lt;=Assumptions!$L$17,SUBTOTAL(9,CV18:CV39),0)</f>
        <v>0</v>
      </c>
      <c r="CW41" s="137">
        <f ca="1">IF(CW13&lt;=Assumptions!$L$17,SUBTOTAL(9,CW18:CW39),0)</f>
        <v>0</v>
      </c>
      <c r="CX41" s="137">
        <f ca="1">IF(CX13&lt;=Assumptions!$L$17,SUBTOTAL(9,CX18:CX39),0)</f>
        <v>0</v>
      </c>
      <c r="CY41" s="137">
        <f ca="1">IF(CY13&lt;=Assumptions!$L$17,SUBTOTAL(9,CY18:CY39),0)</f>
        <v>175.119</v>
      </c>
      <c r="CZ41" s="137">
        <f ca="1">IF(CZ13&lt;=Assumptions!$L$17,SUBTOTAL(9,CZ18:CZ39),0)</f>
        <v>0</v>
      </c>
      <c r="DA41" s="137">
        <f ca="1">IF(DA13&lt;=Assumptions!$L$17,SUBTOTAL(9,DA18:DA39),0)</f>
        <v>154.11699999999999</v>
      </c>
      <c r="DB41" s="137">
        <f ca="1">IF(DB13&lt;=Assumptions!$L$17,SUBTOTAL(9,DB18:DB39),0)</f>
        <v>1181.643</v>
      </c>
      <c r="DC41" s="137">
        <f ca="1">IF(DC13&lt;=Assumptions!$L$17,SUBTOTAL(9,DC18:DC39),0)</f>
        <v>192.80099999999999</v>
      </c>
      <c r="DD41" s="137">
        <f ca="1">IF(DD13&lt;=Assumptions!$L$17,SUBTOTAL(9,DD18:DD39),0)</f>
        <v>0</v>
      </c>
      <c r="DE41" s="137">
        <f ca="1">IF(DE13&lt;=Assumptions!$L$17,SUBTOTAL(9,DE18:DE39),0)</f>
        <v>0</v>
      </c>
      <c r="DF41" s="137">
        <f ca="1">IF(DF13&lt;=Assumptions!$L$17,SUBTOTAL(9,DF18:DF39),0)</f>
        <v>0</v>
      </c>
      <c r="DG41" s="137">
        <f ca="1">IF(DG13&lt;=Assumptions!$L$17,SUBTOTAL(9,DG18:DG39),0)</f>
        <v>0</v>
      </c>
      <c r="DH41" s="137">
        <f ca="1">IF(DH13&lt;=Assumptions!$L$17,SUBTOTAL(9,DH18:DH39),0)</f>
        <v>0</v>
      </c>
      <c r="DI41" s="137">
        <f ca="1">IF(DI13&lt;=Assumptions!$L$17,SUBTOTAL(9,DI18:DI39),0)</f>
        <v>0</v>
      </c>
      <c r="DJ41" s="137">
        <f>IF(DJ13&lt;=Assumptions!$L$17,SUBTOTAL(9,DJ18:DJ39),0)</f>
        <v>0</v>
      </c>
      <c r="DK41" s="137">
        <f>IF(DK13&lt;=Assumptions!$L$17,SUBTOTAL(9,DK18:DK39),0)</f>
        <v>0</v>
      </c>
      <c r="DL41" s="137">
        <f>IF(DL13&lt;=Assumptions!$L$17,SUBTOTAL(9,DL18:DL39),0)</f>
        <v>0</v>
      </c>
      <c r="DM41" s="137">
        <f>IF(DM13&lt;=Assumptions!$L$17,SUBTOTAL(9,DM18:DM39),0)</f>
        <v>0</v>
      </c>
      <c r="DN41" s="137">
        <f>IF(DN13&lt;=Assumptions!$L$17,SUBTOTAL(9,DN18:DN39),0)</f>
        <v>0</v>
      </c>
      <c r="DO41" s="137">
        <f>IF(DO13&lt;=Assumptions!$L$17,SUBTOTAL(9,DO18:DO39),0)</f>
        <v>0</v>
      </c>
      <c r="DP41" s="137">
        <f>IF(DP13&lt;=Assumptions!$L$17,SUBTOTAL(9,DP18:DP39),0)</f>
        <v>0</v>
      </c>
      <c r="DQ41" s="137">
        <f>IF(DQ13&lt;=Assumptions!$L$17,SUBTOTAL(9,DQ18:DQ39),0)</f>
        <v>0</v>
      </c>
      <c r="DR41" s="137">
        <f>IF(DR13&lt;=Assumptions!$L$17,SUBTOTAL(9,DR18:DR39),0)</f>
        <v>0</v>
      </c>
      <c r="DS41" s="137">
        <f>IF(DS13&lt;=Assumptions!$L$17,SUBTOTAL(9,DS18:DS39),0)</f>
        <v>0</v>
      </c>
      <c r="DT41" s="137">
        <f>IF(DT13&lt;=Assumptions!$L$17,SUBTOTAL(9,DT18:DT39),0)</f>
        <v>0</v>
      </c>
      <c r="DU41" s="137">
        <f>IF(DU13&lt;=Assumptions!$L$17,SUBTOTAL(9,DU18:DU39),0)</f>
        <v>0</v>
      </c>
      <c r="DV41" s="137">
        <f>IF(DV13&lt;=Assumptions!$L$17,SUBTOTAL(9,DV18:DV39),0)</f>
        <v>0</v>
      </c>
      <c r="DW41" s="137">
        <f>IF(DW13&lt;=Assumptions!$L$17,SUBTOTAL(9,DW18:DW39),0)</f>
        <v>0</v>
      </c>
      <c r="DX41" s="137">
        <f>IF(DX13&lt;=Assumptions!$L$17,SUBTOTAL(9,DX18:DX39),0)</f>
        <v>0</v>
      </c>
      <c r="DY41" s="137">
        <f>IF(DY13&lt;=Assumptions!$L$17,SUBTOTAL(9,DY18:DY39),0)</f>
        <v>0</v>
      </c>
      <c r="DZ41" s="137">
        <f>IF(DZ13&lt;=Assumptions!$L$17,SUBTOTAL(9,DZ18:DZ39),0)</f>
        <v>0</v>
      </c>
      <c r="EA41" s="137">
        <f>IF(EA13&lt;=Assumptions!$L$17,SUBTOTAL(9,EA18:EA39),0)</f>
        <v>0</v>
      </c>
      <c r="EB41" s="137">
        <f>IF(EB13&lt;=Assumptions!$L$17,SUBTOTAL(9,EB18:EB39),0)</f>
        <v>0</v>
      </c>
      <c r="EC41" s="137">
        <f>IF(EC13&lt;=Assumptions!$L$17,SUBTOTAL(9,EC18:EC39),0)</f>
        <v>0</v>
      </c>
      <c r="ED41" s="137">
        <f>IF(ED13&lt;=Assumptions!$L$17,SUBTOTAL(9,ED18:ED39),0)</f>
        <v>0</v>
      </c>
      <c r="EE41" s="137">
        <f>IF(EE13&lt;=Assumptions!$L$17,SUBTOTAL(9,EE18:EE39),0)</f>
        <v>0</v>
      </c>
      <c r="EF41" s="137">
        <f>IF(EF13&lt;=Assumptions!$L$17,SUBTOTAL(9,EF18:EF39),0)</f>
        <v>0</v>
      </c>
      <c r="EG41" s="137">
        <f>IF(EG13&lt;=Assumptions!$L$17,SUBTOTAL(9,EG18:EG39),0)</f>
        <v>0</v>
      </c>
      <c r="EH41" s="137">
        <f>IF(EH13&lt;=Assumptions!$L$17,SUBTOTAL(9,EH18:EH39),0)</f>
        <v>0</v>
      </c>
      <c r="EI41" s="137">
        <f>IF(EI13&lt;=Assumptions!$L$17,SUBTOTAL(9,EI18:EI39),0)</f>
        <v>0</v>
      </c>
      <c r="EJ41" s="137">
        <f>IF(EJ13&lt;=Assumptions!$L$17,SUBTOTAL(9,EJ18:EJ39),0)</f>
        <v>0</v>
      </c>
      <c r="EK41" s="137">
        <f>IF(EK13&lt;=Assumptions!$L$17,SUBTOTAL(9,EK18:EK39),0)</f>
        <v>0</v>
      </c>
      <c r="EL41" s="137">
        <f>IF(EL13&lt;=Assumptions!$L$17,SUBTOTAL(9,EL18:EL39),0)</f>
        <v>0</v>
      </c>
      <c r="EM41" s="137">
        <f>IF(EM13&lt;=Assumptions!$L$17,SUBTOTAL(9,EM18:EM39),0)</f>
        <v>0</v>
      </c>
      <c r="EN41" s="137">
        <f>IF(EN13&lt;=Assumptions!$L$17,SUBTOTAL(9,EN18:EN39),0)</f>
        <v>0</v>
      </c>
      <c r="EO41" s="137">
        <f>IF(EO13&lt;=Assumptions!$L$17,SUBTOTAL(9,EO18:EO39),0)</f>
        <v>0</v>
      </c>
      <c r="EP41" s="137">
        <f>IF(EP13&lt;=Assumptions!$L$17,SUBTOTAL(9,EP18:EP39),0)</f>
        <v>0</v>
      </c>
      <c r="EQ41" s="137">
        <f>IF(EQ13&lt;=Assumptions!$L$17,SUBTOTAL(9,EQ18:EQ39),0)</f>
        <v>0</v>
      </c>
      <c r="ER41" s="137">
        <f>IF(ER13&lt;=Assumptions!$L$17,SUBTOTAL(9,ER18:ER39),0)</f>
        <v>0</v>
      </c>
      <c r="ES41" s="137">
        <f>IF(ES13&lt;=Assumptions!$L$17,SUBTOTAL(9,ES18:ES39),0)</f>
        <v>0</v>
      </c>
      <c r="ET41" s="137">
        <f>IF(ET13&lt;=Assumptions!$L$17,SUBTOTAL(9,ET18:ET39),0)</f>
        <v>0</v>
      </c>
      <c r="EU41" s="137">
        <f>IF(EU13&lt;=Assumptions!$L$17,SUBTOTAL(9,EU18:EU39),0)</f>
        <v>0</v>
      </c>
      <c r="EV41" s="137">
        <f>IF(EV13&lt;=Assumptions!$L$17,SUBTOTAL(9,EV18:EV39),0)</f>
        <v>0</v>
      </c>
      <c r="EW41" s="137">
        <f>IF(EW13&lt;=Assumptions!$L$17,SUBTOTAL(9,EW18:EW39),0)</f>
        <v>0</v>
      </c>
      <c r="EX41" s="137">
        <f>IF(EX13&lt;=Assumptions!$L$17,SUBTOTAL(9,EX18:EX39),0)</f>
        <v>0</v>
      </c>
      <c r="EY41" s="137">
        <f>IF(EY13&lt;=Assumptions!$L$17,SUBTOTAL(9,EY18:EY39),0)</f>
        <v>0</v>
      </c>
      <c r="EZ41" s="137">
        <f>IF(EZ13&lt;=Assumptions!$L$17,SUBTOTAL(9,EZ18:EZ39),0)</f>
        <v>0</v>
      </c>
      <c r="FA41" s="137">
        <f>IF(FA13&lt;=Assumptions!$L$17,SUBTOTAL(9,FA18:FA39),0)</f>
        <v>0</v>
      </c>
      <c r="FB41" s="137">
        <f>IF(FB13&lt;=Assumptions!$L$17,SUBTOTAL(9,FB18:FB39),0)</f>
        <v>0</v>
      </c>
      <c r="FC41" s="137">
        <f>IF(FC13&lt;=Assumptions!$L$17,SUBTOTAL(9,FC18:FC39),0)</f>
        <v>0</v>
      </c>
      <c r="FD41" s="137">
        <f>IF(FD13&lt;=Assumptions!$L$17,SUBTOTAL(9,FD18:FD39),0)</f>
        <v>0</v>
      </c>
      <c r="FE41" s="137">
        <f>IF(FE13&lt;=Assumptions!$L$17,SUBTOTAL(9,FE18:FE39),0)</f>
        <v>0</v>
      </c>
      <c r="FF41" s="137">
        <f>IF(FF13&lt;=Assumptions!$L$17,SUBTOTAL(9,FF18:FF39),0)</f>
        <v>0</v>
      </c>
      <c r="FG41" s="137">
        <f>IF(FG13&lt;=Assumptions!$L$17,SUBTOTAL(9,FG18:FG39),0)</f>
        <v>0</v>
      </c>
      <c r="FH41" s="137">
        <f>IF(FH13&lt;=Assumptions!$L$17,SUBTOTAL(9,FH18:FH39),0)</f>
        <v>0</v>
      </c>
      <c r="FI41" s="137">
        <f>IF(FI13&lt;=Assumptions!$L$17,SUBTOTAL(9,FI18:FI39),0)</f>
        <v>0</v>
      </c>
      <c r="FJ41" s="137">
        <f>IF(FJ13&lt;=Assumptions!$L$17,SUBTOTAL(9,FJ18:FJ39),0)</f>
        <v>0</v>
      </c>
      <c r="FK41" s="137">
        <f>IF(FK13&lt;=Assumptions!$L$17,SUBTOTAL(9,FK18:FK39),0)</f>
        <v>0</v>
      </c>
      <c r="FL41" s="137">
        <f>IF(FL13&lt;=Assumptions!$L$17,SUBTOTAL(9,FL18:FL39),0)</f>
        <v>0</v>
      </c>
      <c r="FM41" s="137">
        <f>IF(FM13&lt;=Assumptions!$L$17,SUBTOTAL(9,FM18:FM39),0)</f>
        <v>0</v>
      </c>
      <c r="FN41" s="137">
        <f>IF(FN13&lt;=Assumptions!$L$17,SUBTOTAL(9,FN18:FN39),0)</f>
        <v>0</v>
      </c>
      <c r="FO41" s="137">
        <f>IF(FO13&lt;=Assumptions!$L$17,SUBTOTAL(9,FO18:FO39),0)</f>
        <v>0</v>
      </c>
      <c r="FP41" s="137">
        <f>IF(FP13&lt;=Assumptions!$L$17,SUBTOTAL(9,FP18:FP39),0)</f>
        <v>0</v>
      </c>
      <c r="FQ41" s="137">
        <f>IF(FQ13&lt;=Assumptions!$L$17,SUBTOTAL(9,FQ18:FQ39),0)</f>
        <v>0</v>
      </c>
      <c r="FR41" s="137">
        <f>IF(FR13&lt;=Assumptions!$L$17,SUBTOTAL(9,FR18:FR39),0)</f>
        <v>0</v>
      </c>
      <c r="FS41" s="137">
        <f>IF(FS13&lt;=Assumptions!$L$17,SUBTOTAL(9,FS18:FS39),0)</f>
        <v>0</v>
      </c>
      <c r="FT41" s="137">
        <f>IF(FT13&lt;=Assumptions!$L$17,SUBTOTAL(9,FT18:FT39),0)</f>
        <v>0</v>
      </c>
      <c r="FU41" s="137">
        <f>IF(FU13&lt;=Assumptions!$L$17,SUBTOTAL(9,FU18:FU39),0)</f>
        <v>0</v>
      </c>
      <c r="FV41" s="137">
        <f>IF(FV13&lt;=Assumptions!$L$17,SUBTOTAL(9,FV18:FV39),0)</f>
        <v>0</v>
      </c>
      <c r="FW41" s="137">
        <f>IF(FW13&lt;=Assumptions!$L$17,SUBTOTAL(9,FW18:FW39),0)</f>
        <v>0</v>
      </c>
      <c r="FX41" s="137">
        <f>IF(FX13&lt;=Assumptions!$L$17,SUBTOTAL(9,FX18:FX39),0)</f>
        <v>0</v>
      </c>
      <c r="FY41" s="137">
        <f>IF(FY13&lt;=Assumptions!$L$17,SUBTOTAL(9,FY18:FY39),0)</f>
        <v>0</v>
      </c>
      <c r="FZ41" s="137">
        <f>IF(FZ13&lt;=Assumptions!$L$17,SUBTOTAL(9,FZ18:FZ39),0)</f>
        <v>0</v>
      </c>
      <c r="GA41" s="137">
        <f>IF(GA13&lt;=Assumptions!$L$17,SUBTOTAL(9,GA18:GA39),0)</f>
        <v>0</v>
      </c>
      <c r="GB41" s="137">
        <f>IF(GB13&lt;=Assumptions!$L$17,SUBTOTAL(9,GB18:GB39),0)</f>
        <v>0</v>
      </c>
      <c r="GC41" s="137">
        <f>IF(GC13&lt;=Assumptions!$L$17,SUBTOTAL(9,GC18:GC39),0)</f>
        <v>0</v>
      </c>
      <c r="GD41" s="137">
        <f>IF(GD13&lt;=Assumptions!$L$17,SUBTOTAL(9,GD18:GD39),0)</f>
        <v>0</v>
      </c>
      <c r="GE41" s="137">
        <f>IF(GE13&lt;=Assumptions!$L$17,SUBTOTAL(9,GE18:GE39),0)</f>
        <v>0</v>
      </c>
      <c r="GF41" s="137">
        <f>IF(GF13&lt;=Assumptions!$L$17,SUBTOTAL(9,GF18:GF39),0)</f>
        <v>0</v>
      </c>
      <c r="GG41" s="137">
        <f>IF(GG13&lt;=Assumptions!$L$17,SUBTOTAL(9,GG18:GG39),0)</f>
        <v>0</v>
      </c>
      <c r="GH41" s="137">
        <f>IF(GH13&lt;=Assumptions!$L$17,SUBTOTAL(9,GH18:GH39),0)</f>
        <v>0</v>
      </c>
      <c r="GI41" s="137">
        <f>IF(GI13&lt;=Assumptions!$L$17,SUBTOTAL(9,GI18:GI39),0)</f>
        <v>0</v>
      </c>
      <c r="GJ41" s="137">
        <f>IF(GJ13&lt;=Assumptions!$L$17,SUBTOTAL(9,GJ18:GJ39),0)</f>
        <v>0</v>
      </c>
      <c r="GK41" s="137">
        <f>IF(GK13&lt;=Assumptions!$L$17,SUBTOTAL(9,GK18:GK39),0)</f>
        <v>0</v>
      </c>
      <c r="GL41" s="137">
        <f>IF(GL13&lt;=Assumptions!$L$17,SUBTOTAL(9,GL18:GL39),0)</f>
        <v>0</v>
      </c>
      <c r="GM41" s="137">
        <f>IF(GM13&lt;=Assumptions!$L$17,SUBTOTAL(9,GM18:GM39),0)</f>
        <v>0</v>
      </c>
      <c r="GN41" s="137">
        <f>IF(GN13&lt;=Assumptions!$L$17,SUBTOTAL(9,GN18:GN39),0)</f>
        <v>0</v>
      </c>
      <c r="GO41" s="137">
        <f>IF(GO13&lt;=Assumptions!$L$17,SUBTOTAL(9,GO18:GO39),0)</f>
        <v>0</v>
      </c>
      <c r="GP41" s="137">
        <f>IF(GP13&lt;=Assumptions!$L$17,SUBTOTAL(9,GP18:GP39),0)</f>
        <v>0</v>
      </c>
      <c r="GQ41" s="137">
        <f>IF(GQ13&lt;=Assumptions!$L$17,SUBTOTAL(9,GQ18:GQ39),0)</f>
        <v>0</v>
      </c>
      <c r="GR41" s="137">
        <f>IF(GR13&lt;=Assumptions!$L$17,SUBTOTAL(9,GR18:GR39),0)</f>
        <v>0</v>
      </c>
      <c r="GS41" s="137">
        <f>IF(GS13&lt;=Assumptions!$L$17,SUBTOTAL(9,GS18:GS39),0)</f>
        <v>0</v>
      </c>
      <c r="GT41" s="137">
        <f>IF(GT13&lt;=Assumptions!$L$17,SUBTOTAL(9,GT18:GT39),0)</f>
        <v>0</v>
      </c>
      <c r="GU41" s="34"/>
      <c r="GV41" s="34"/>
      <c r="GW41" s="34"/>
      <c r="GX41" s="34"/>
      <c r="GY41" s="34"/>
      <c r="GZ41" s="34"/>
      <c r="HA41" s="34"/>
      <c r="HB41" s="34"/>
      <c r="HC41" s="34"/>
      <c r="HD41" s="34"/>
      <c r="HE41" s="34"/>
      <c r="HF41" s="1" t="s">
        <v>212</v>
      </c>
      <c r="HG41" s="139" t="e">
        <f t="shared" si="519"/>
        <v>#REF!</v>
      </c>
      <c r="HH41" s="11" t="str">
        <f>B41</f>
        <v>Total Unlevered Costs</v>
      </c>
      <c r="HI41" s="438"/>
      <c r="HJ41" s="438"/>
      <c r="HK41" s="438"/>
      <c r="HL41" s="437">
        <f t="shared" ca="1" si="557"/>
        <v>37036.571504450425</v>
      </c>
      <c r="HM41" s="438"/>
      <c r="HN41" s="439">
        <f t="shared" ref="HN41:HV41" si="560">SUMIF($K$14:$GT$14,HN$14,$K41:$GT41)</f>
        <v>30206</v>
      </c>
      <c r="HO41" s="438">
        <f t="shared" ca="1" si="560"/>
        <v>293.74533000000002</v>
      </c>
      <c r="HP41" s="438">
        <f t="shared" ca="1" si="560"/>
        <v>1970.3777708454286</v>
      </c>
      <c r="HQ41" s="438">
        <f t="shared" ca="1" si="560"/>
        <v>452.0682140238838</v>
      </c>
      <c r="HR41" s="438">
        <f t="shared" ca="1" si="560"/>
        <v>697.1404595811141</v>
      </c>
      <c r="HS41" s="438">
        <f t="shared" ca="1" si="560"/>
        <v>65.924000000000007</v>
      </c>
      <c r="HT41" s="438">
        <f t="shared" ca="1" si="560"/>
        <v>507.96230000000003</v>
      </c>
      <c r="HU41" s="438">
        <f t="shared" ca="1" si="560"/>
        <v>517.46289031746028</v>
      </c>
      <c r="HV41" s="438">
        <f t="shared" ca="1" si="560"/>
        <v>2325.8905396825398</v>
      </c>
      <c r="HW41"/>
    </row>
    <row r="42" spans="1:231" ht="15">
      <c r="I42" s="97"/>
      <c r="HF42" s="1" t="s">
        <v>212</v>
      </c>
      <c r="HG42" s="139" t="e">
        <f t="shared" si="519"/>
        <v>#REF!</v>
      </c>
      <c r="HL42" s="97"/>
      <c r="HN42" s="102"/>
      <c r="HW42"/>
    </row>
    <row r="43" spans="1:231" ht="15" hidden="1" outlineLevel="1">
      <c r="B43" s="9"/>
      <c r="D43" s="466"/>
      <c r="I43" s="132"/>
      <c r="J43" s="26"/>
      <c r="K43" s="133"/>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c r="FI43" s="26"/>
      <c r="FJ43" s="26"/>
      <c r="FK43" s="26"/>
      <c r="FL43" s="26"/>
      <c r="FM43" s="26"/>
      <c r="FN43" s="26"/>
      <c r="FO43" s="26"/>
      <c r="FP43" s="26"/>
      <c r="FQ43" s="26"/>
      <c r="FR43" s="26"/>
      <c r="FS43" s="26"/>
      <c r="FT43" s="26"/>
      <c r="FU43" s="26"/>
      <c r="FV43" s="26"/>
      <c r="FW43" s="26"/>
      <c r="FX43" s="26"/>
      <c r="FY43" s="26"/>
      <c r="FZ43" s="26"/>
      <c r="GA43" s="26"/>
      <c r="GB43" s="26"/>
      <c r="GC43" s="26"/>
      <c r="GD43" s="26"/>
      <c r="GE43" s="26"/>
      <c r="GF43" s="26"/>
      <c r="GG43" s="26"/>
      <c r="GH43" s="26"/>
      <c r="GI43" s="26"/>
      <c r="GJ43" s="26"/>
      <c r="GK43" s="26"/>
      <c r="GL43" s="26"/>
      <c r="GM43" s="26"/>
      <c r="GN43" s="26"/>
      <c r="GO43" s="26"/>
      <c r="GP43" s="26"/>
      <c r="GQ43" s="26"/>
      <c r="GR43" s="26"/>
      <c r="GS43" s="26"/>
      <c r="GT43" s="26"/>
      <c r="GU43" s="26"/>
      <c r="GV43" s="26"/>
      <c r="GW43" s="26"/>
      <c r="GX43" s="26"/>
      <c r="GY43" s="26"/>
      <c r="GZ43" s="26"/>
      <c r="HA43" s="26"/>
      <c r="HB43" s="26"/>
      <c r="HC43" s="26"/>
      <c r="HD43" s="26"/>
      <c r="HE43" s="26"/>
      <c r="HF43" s="1" t="s">
        <v>212</v>
      </c>
      <c r="HG43" s="139" t="e">
        <f t="shared" si="519"/>
        <v>#REF!</v>
      </c>
      <c r="HH43" s="9"/>
      <c r="HI43" s="26"/>
      <c r="HJ43" s="26"/>
      <c r="HK43" s="26"/>
      <c r="HL43" s="132"/>
      <c r="HM43" s="26"/>
      <c r="HN43" s="133"/>
      <c r="HO43" s="26"/>
      <c r="HP43" s="26"/>
      <c r="HQ43" s="26"/>
      <c r="HR43" s="26"/>
      <c r="HS43" s="26"/>
      <c r="HT43" s="26"/>
      <c r="HU43" s="26"/>
      <c r="HV43" s="26"/>
      <c r="HW43"/>
    </row>
    <row r="44" spans="1:231" ht="15" hidden="1" outlineLevel="1">
      <c r="B44" s="43" t="s">
        <v>144</v>
      </c>
      <c r="C44" s="84"/>
      <c r="D44" s="467"/>
      <c r="E44" s="468"/>
      <c r="F44" s="469"/>
      <c r="G44" s="84" t="s">
        <v>58</v>
      </c>
      <c r="H44" s="84"/>
      <c r="I44" s="119">
        <f ca="1">SUMIF($K$13:$GT$13,"&lt;="&amp;Assumptions!$L$17,'Monthly Cash Flow'!K44:GT44)</f>
        <v>0</v>
      </c>
      <c r="J44" s="120"/>
      <c r="K44" s="140">
        <f ca="1">IF(K$13&gt;$F46,OFFSET(K$46,0,-$F44),0)</f>
        <v>0</v>
      </c>
      <c r="L44" s="120">
        <f t="shared" ref="L44:AC44" ca="1" si="561">+L45-K45</f>
        <v>0</v>
      </c>
      <c r="M44" s="120">
        <f ca="1">+M45-L45</f>
        <v>0</v>
      </c>
      <c r="N44" s="120">
        <f t="shared" ca="1" si="561"/>
        <v>0</v>
      </c>
      <c r="O44" s="120">
        <f t="shared" ca="1" si="561"/>
        <v>0</v>
      </c>
      <c r="P44" s="120">
        <f t="shared" ca="1" si="561"/>
        <v>0</v>
      </c>
      <c r="Q44" s="120">
        <f t="shared" ca="1" si="561"/>
        <v>0</v>
      </c>
      <c r="R44" s="120">
        <f t="shared" ca="1" si="561"/>
        <v>0</v>
      </c>
      <c r="S44" s="120">
        <f t="shared" ca="1" si="561"/>
        <v>0</v>
      </c>
      <c r="T44" s="120">
        <f t="shared" ca="1" si="561"/>
        <v>0</v>
      </c>
      <c r="U44" s="120">
        <f t="shared" ca="1" si="561"/>
        <v>0</v>
      </c>
      <c r="V44" s="120">
        <f t="shared" ca="1" si="561"/>
        <v>0</v>
      </c>
      <c r="W44" s="120">
        <f t="shared" ca="1" si="561"/>
        <v>0</v>
      </c>
      <c r="X44" s="120">
        <f t="shared" ca="1" si="561"/>
        <v>0</v>
      </c>
      <c r="Y44" s="120">
        <f t="shared" ca="1" si="561"/>
        <v>0</v>
      </c>
      <c r="Z44" s="120">
        <f t="shared" ca="1" si="561"/>
        <v>0</v>
      </c>
      <c r="AA44" s="120">
        <f t="shared" ca="1" si="561"/>
        <v>0</v>
      </c>
      <c r="AB44" s="120">
        <f t="shared" ca="1" si="561"/>
        <v>0</v>
      </c>
      <c r="AC44" s="120">
        <f t="shared" ca="1" si="561"/>
        <v>0</v>
      </c>
      <c r="AD44" s="120">
        <f ca="1">+AD45-AC45</f>
        <v>0</v>
      </c>
      <c r="AE44" s="120">
        <f t="shared" ref="AE44:CP44" ca="1" si="562">+AE45-AD45</f>
        <v>0</v>
      </c>
      <c r="AF44" s="120">
        <f t="shared" ca="1" si="562"/>
        <v>0</v>
      </c>
      <c r="AG44" s="120">
        <f t="shared" ca="1" si="562"/>
        <v>0</v>
      </c>
      <c r="AH44" s="120">
        <f t="shared" ca="1" si="562"/>
        <v>0</v>
      </c>
      <c r="AI44" s="120">
        <f t="shared" ca="1" si="562"/>
        <v>0</v>
      </c>
      <c r="AJ44" s="120">
        <f t="shared" ca="1" si="562"/>
        <v>0</v>
      </c>
      <c r="AK44" s="120">
        <f t="shared" ca="1" si="562"/>
        <v>0</v>
      </c>
      <c r="AL44" s="120">
        <f t="shared" ca="1" si="562"/>
        <v>0</v>
      </c>
      <c r="AM44" s="120">
        <f t="shared" ca="1" si="562"/>
        <v>0</v>
      </c>
      <c r="AN44" s="120">
        <f t="shared" ca="1" si="562"/>
        <v>0</v>
      </c>
      <c r="AO44" s="120">
        <f t="shared" ca="1" si="562"/>
        <v>0</v>
      </c>
      <c r="AP44" s="120">
        <f t="shared" ca="1" si="562"/>
        <v>0</v>
      </c>
      <c r="AQ44" s="120">
        <f t="shared" ca="1" si="562"/>
        <v>0</v>
      </c>
      <c r="AR44" s="120">
        <f t="shared" ca="1" si="562"/>
        <v>0</v>
      </c>
      <c r="AS44" s="120">
        <f t="shared" ca="1" si="562"/>
        <v>0</v>
      </c>
      <c r="AT44" s="120">
        <f t="shared" ca="1" si="562"/>
        <v>0</v>
      </c>
      <c r="AU44" s="120">
        <f t="shared" ca="1" si="562"/>
        <v>0</v>
      </c>
      <c r="AV44" s="120">
        <f t="shared" ca="1" si="562"/>
        <v>0</v>
      </c>
      <c r="AW44" s="120">
        <f t="shared" ca="1" si="562"/>
        <v>0</v>
      </c>
      <c r="AX44" s="120">
        <f t="shared" ca="1" si="562"/>
        <v>0</v>
      </c>
      <c r="AY44" s="120">
        <f t="shared" ca="1" si="562"/>
        <v>0</v>
      </c>
      <c r="AZ44" s="120">
        <f t="shared" ca="1" si="562"/>
        <v>0</v>
      </c>
      <c r="BA44" s="120">
        <f t="shared" ca="1" si="562"/>
        <v>0</v>
      </c>
      <c r="BB44" s="120">
        <f t="shared" ca="1" si="562"/>
        <v>0</v>
      </c>
      <c r="BC44" s="120">
        <f t="shared" ca="1" si="562"/>
        <v>0</v>
      </c>
      <c r="BD44" s="120">
        <f t="shared" ca="1" si="562"/>
        <v>0</v>
      </c>
      <c r="BE44" s="120">
        <f t="shared" ca="1" si="562"/>
        <v>0</v>
      </c>
      <c r="BF44" s="120">
        <f t="shared" ca="1" si="562"/>
        <v>0</v>
      </c>
      <c r="BG44" s="120">
        <f t="shared" ca="1" si="562"/>
        <v>0</v>
      </c>
      <c r="BH44" s="120">
        <f t="shared" ca="1" si="562"/>
        <v>0</v>
      </c>
      <c r="BI44" s="120">
        <f t="shared" ca="1" si="562"/>
        <v>0</v>
      </c>
      <c r="BJ44" s="120">
        <f t="shared" ca="1" si="562"/>
        <v>0</v>
      </c>
      <c r="BK44" s="120">
        <f t="shared" ca="1" si="562"/>
        <v>0</v>
      </c>
      <c r="BL44" s="120">
        <f t="shared" ca="1" si="562"/>
        <v>0</v>
      </c>
      <c r="BM44" s="120">
        <f t="shared" ca="1" si="562"/>
        <v>0</v>
      </c>
      <c r="BN44" s="120">
        <f t="shared" ca="1" si="562"/>
        <v>0</v>
      </c>
      <c r="BO44" s="120">
        <f t="shared" ca="1" si="562"/>
        <v>0</v>
      </c>
      <c r="BP44" s="120">
        <f t="shared" ca="1" si="562"/>
        <v>0</v>
      </c>
      <c r="BQ44" s="120">
        <f t="shared" ca="1" si="562"/>
        <v>0</v>
      </c>
      <c r="BR44" s="120">
        <f t="shared" ca="1" si="562"/>
        <v>0</v>
      </c>
      <c r="BS44" s="120">
        <f t="shared" ca="1" si="562"/>
        <v>0</v>
      </c>
      <c r="BT44" s="120">
        <f t="shared" ca="1" si="562"/>
        <v>0</v>
      </c>
      <c r="BU44" s="120">
        <f t="shared" ca="1" si="562"/>
        <v>0</v>
      </c>
      <c r="BV44" s="120">
        <f t="shared" ca="1" si="562"/>
        <v>0</v>
      </c>
      <c r="BW44" s="120">
        <f t="shared" ca="1" si="562"/>
        <v>0</v>
      </c>
      <c r="BX44" s="120">
        <f t="shared" ca="1" si="562"/>
        <v>0</v>
      </c>
      <c r="BY44" s="120">
        <f t="shared" ca="1" si="562"/>
        <v>0</v>
      </c>
      <c r="BZ44" s="120">
        <f t="shared" ca="1" si="562"/>
        <v>0</v>
      </c>
      <c r="CA44" s="120">
        <f t="shared" ca="1" si="562"/>
        <v>0</v>
      </c>
      <c r="CB44" s="120">
        <f t="shared" ca="1" si="562"/>
        <v>0</v>
      </c>
      <c r="CC44" s="120">
        <f t="shared" ca="1" si="562"/>
        <v>0</v>
      </c>
      <c r="CD44" s="120">
        <f t="shared" ca="1" si="562"/>
        <v>0</v>
      </c>
      <c r="CE44" s="120">
        <f t="shared" ca="1" si="562"/>
        <v>0</v>
      </c>
      <c r="CF44" s="120">
        <f t="shared" ca="1" si="562"/>
        <v>0</v>
      </c>
      <c r="CG44" s="120">
        <f t="shared" ca="1" si="562"/>
        <v>0</v>
      </c>
      <c r="CH44" s="120">
        <f t="shared" ca="1" si="562"/>
        <v>0</v>
      </c>
      <c r="CI44" s="120">
        <f t="shared" ca="1" si="562"/>
        <v>0</v>
      </c>
      <c r="CJ44" s="120">
        <f t="shared" ca="1" si="562"/>
        <v>0</v>
      </c>
      <c r="CK44" s="120">
        <f t="shared" ca="1" si="562"/>
        <v>0</v>
      </c>
      <c r="CL44" s="120">
        <f t="shared" ca="1" si="562"/>
        <v>0</v>
      </c>
      <c r="CM44" s="120">
        <f t="shared" ca="1" si="562"/>
        <v>0</v>
      </c>
      <c r="CN44" s="120">
        <f t="shared" ca="1" si="562"/>
        <v>0</v>
      </c>
      <c r="CO44" s="120">
        <f t="shared" ca="1" si="562"/>
        <v>0</v>
      </c>
      <c r="CP44" s="120">
        <f t="shared" ca="1" si="562"/>
        <v>0</v>
      </c>
      <c r="CQ44" s="120">
        <f t="shared" ref="CQ44:EL44" ca="1" si="563">+CQ45-CP45</f>
        <v>0</v>
      </c>
      <c r="CR44" s="120">
        <f t="shared" ca="1" si="563"/>
        <v>0</v>
      </c>
      <c r="CS44" s="120">
        <f t="shared" ca="1" si="563"/>
        <v>0</v>
      </c>
      <c r="CT44" s="120">
        <f t="shared" ca="1" si="563"/>
        <v>0</v>
      </c>
      <c r="CU44" s="120">
        <f t="shared" ca="1" si="563"/>
        <v>0</v>
      </c>
      <c r="CV44" s="120">
        <f t="shared" ca="1" si="563"/>
        <v>0</v>
      </c>
      <c r="CW44" s="120">
        <f t="shared" ca="1" si="563"/>
        <v>0</v>
      </c>
      <c r="CX44" s="120">
        <f t="shared" ca="1" si="563"/>
        <v>0</v>
      </c>
      <c r="CY44" s="120">
        <f t="shared" ca="1" si="563"/>
        <v>0</v>
      </c>
      <c r="CZ44" s="120">
        <f t="shared" ca="1" si="563"/>
        <v>0</v>
      </c>
      <c r="DA44" s="120">
        <f t="shared" ca="1" si="563"/>
        <v>0</v>
      </c>
      <c r="DB44" s="120">
        <f t="shared" ca="1" si="563"/>
        <v>0</v>
      </c>
      <c r="DC44" s="120">
        <f t="shared" ca="1" si="563"/>
        <v>0</v>
      </c>
      <c r="DD44" s="120">
        <f t="shared" ca="1" si="563"/>
        <v>0</v>
      </c>
      <c r="DE44" s="120">
        <f t="shared" ca="1" si="563"/>
        <v>0</v>
      </c>
      <c r="DF44" s="120">
        <f t="shared" ca="1" si="563"/>
        <v>0</v>
      </c>
      <c r="DG44" s="120">
        <f t="shared" ca="1" si="563"/>
        <v>0</v>
      </c>
      <c r="DH44" s="120">
        <f t="shared" ca="1" si="563"/>
        <v>0</v>
      </c>
      <c r="DI44" s="120">
        <f t="shared" ca="1" si="563"/>
        <v>0</v>
      </c>
      <c r="DJ44" s="120">
        <f t="shared" ca="1" si="563"/>
        <v>0</v>
      </c>
      <c r="DK44" s="120">
        <f t="shared" ca="1" si="563"/>
        <v>0</v>
      </c>
      <c r="DL44" s="120">
        <f t="shared" ca="1" si="563"/>
        <v>0</v>
      </c>
      <c r="DM44" s="120">
        <f t="shared" ca="1" si="563"/>
        <v>0</v>
      </c>
      <c r="DN44" s="120">
        <f t="shared" ca="1" si="563"/>
        <v>0</v>
      </c>
      <c r="DO44" s="120">
        <f t="shared" ca="1" si="563"/>
        <v>0</v>
      </c>
      <c r="DP44" s="120">
        <f t="shared" ca="1" si="563"/>
        <v>0</v>
      </c>
      <c r="DQ44" s="120">
        <f t="shared" ca="1" si="563"/>
        <v>0</v>
      </c>
      <c r="DR44" s="120">
        <f t="shared" ca="1" si="563"/>
        <v>0</v>
      </c>
      <c r="DS44" s="120">
        <f t="shared" ca="1" si="563"/>
        <v>0</v>
      </c>
      <c r="DT44" s="120">
        <f t="shared" ca="1" si="563"/>
        <v>0</v>
      </c>
      <c r="DU44" s="120">
        <f t="shared" ca="1" si="563"/>
        <v>0</v>
      </c>
      <c r="DV44" s="120">
        <f t="shared" ca="1" si="563"/>
        <v>0</v>
      </c>
      <c r="DW44" s="120">
        <f t="shared" ca="1" si="563"/>
        <v>0</v>
      </c>
      <c r="DX44" s="120">
        <f t="shared" ca="1" si="563"/>
        <v>0</v>
      </c>
      <c r="DY44" s="120">
        <f t="shared" ca="1" si="563"/>
        <v>0</v>
      </c>
      <c r="DZ44" s="120">
        <f t="shared" ca="1" si="563"/>
        <v>0</v>
      </c>
      <c r="EA44" s="120">
        <f t="shared" ca="1" si="563"/>
        <v>0</v>
      </c>
      <c r="EB44" s="120">
        <f t="shared" ca="1" si="563"/>
        <v>0</v>
      </c>
      <c r="EC44" s="120">
        <f t="shared" ca="1" si="563"/>
        <v>0</v>
      </c>
      <c r="ED44" s="120">
        <f t="shared" ca="1" si="563"/>
        <v>0</v>
      </c>
      <c r="EE44" s="120">
        <f t="shared" ca="1" si="563"/>
        <v>0</v>
      </c>
      <c r="EF44" s="120">
        <f t="shared" ca="1" si="563"/>
        <v>0</v>
      </c>
      <c r="EG44" s="120">
        <f t="shared" ca="1" si="563"/>
        <v>0</v>
      </c>
      <c r="EH44" s="120">
        <f t="shared" ca="1" si="563"/>
        <v>0</v>
      </c>
      <c r="EI44" s="120">
        <f t="shared" ca="1" si="563"/>
        <v>0</v>
      </c>
      <c r="EJ44" s="120">
        <f t="shared" ca="1" si="563"/>
        <v>0</v>
      </c>
      <c r="EK44" s="120">
        <f t="shared" ca="1" si="563"/>
        <v>0</v>
      </c>
      <c r="EL44" s="120">
        <f t="shared" ca="1" si="563"/>
        <v>0</v>
      </c>
      <c r="EM44" s="120">
        <f t="shared" ref="EM44" ca="1" si="564">+EM45-EL45</f>
        <v>0</v>
      </c>
      <c r="EN44" s="120">
        <f t="shared" ref="EN44" ca="1" si="565">+EN45-EM45</f>
        <v>0</v>
      </c>
      <c r="EO44" s="120">
        <f t="shared" ref="EO44" ca="1" si="566">+EO45-EN45</f>
        <v>0</v>
      </c>
      <c r="EP44" s="120">
        <f t="shared" ref="EP44" ca="1" si="567">+EP45-EO45</f>
        <v>0</v>
      </c>
      <c r="EQ44" s="120">
        <f t="shared" ref="EQ44" ca="1" si="568">+EQ45-EP45</f>
        <v>0</v>
      </c>
      <c r="ER44" s="120">
        <f t="shared" ref="ER44" ca="1" si="569">+ER45-EQ45</f>
        <v>0</v>
      </c>
      <c r="ES44" s="120">
        <f t="shared" ref="ES44" ca="1" si="570">+ES45-ER45</f>
        <v>0</v>
      </c>
      <c r="ET44" s="120">
        <f t="shared" ref="ET44" ca="1" si="571">+ET45-ES45</f>
        <v>0</v>
      </c>
      <c r="EU44" s="120">
        <f t="shared" ref="EU44" ca="1" si="572">+EU45-ET45</f>
        <v>0</v>
      </c>
      <c r="EV44" s="120">
        <f t="shared" ref="EV44" ca="1" si="573">+EV45-EU45</f>
        <v>0</v>
      </c>
      <c r="EW44" s="120">
        <f t="shared" ref="EW44" ca="1" si="574">+EW45-EV45</f>
        <v>0</v>
      </c>
      <c r="EX44" s="120">
        <f t="shared" ref="EX44" ca="1" si="575">+EX45-EW45</f>
        <v>0</v>
      </c>
      <c r="EY44" s="120">
        <f t="shared" ref="EY44" ca="1" si="576">+EY45-EX45</f>
        <v>0</v>
      </c>
      <c r="EZ44" s="120">
        <f t="shared" ref="EZ44" ca="1" si="577">+EZ45-EY45</f>
        <v>0</v>
      </c>
      <c r="FA44" s="120">
        <f t="shared" ref="FA44" ca="1" si="578">+FA45-EZ45</f>
        <v>0</v>
      </c>
      <c r="FB44" s="120">
        <f t="shared" ref="FB44" ca="1" si="579">+FB45-FA45</f>
        <v>0</v>
      </c>
      <c r="FC44" s="120">
        <f t="shared" ref="FC44" ca="1" si="580">+FC45-FB45</f>
        <v>0</v>
      </c>
      <c r="FD44" s="120">
        <f t="shared" ref="FD44" ca="1" si="581">+FD45-FC45</f>
        <v>0</v>
      </c>
      <c r="FE44" s="120">
        <f t="shared" ref="FE44" ca="1" si="582">+FE45-FD45</f>
        <v>0</v>
      </c>
      <c r="FF44" s="120">
        <f t="shared" ref="FF44" ca="1" si="583">+FF45-FE45</f>
        <v>0</v>
      </c>
      <c r="FG44" s="120">
        <f t="shared" ref="FG44" ca="1" si="584">+FG45-FF45</f>
        <v>0</v>
      </c>
      <c r="FH44" s="120">
        <f t="shared" ref="FH44" ca="1" si="585">+FH45-FG45</f>
        <v>0</v>
      </c>
      <c r="FI44" s="120">
        <f t="shared" ref="FI44" ca="1" si="586">+FI45-FH45</f>
        <v>0</v>
      </c>
      <c r="FJ44" s="120">
        <f t="shared" ref="FJ44" ca="1" si="587">+FJ45-FI45</f>
        <v>0</v>
      </c>
      <c r="FK44" s="120">
        <f t="shared" ref="FK44" ca="1" si="588">+FK45-FJ45</f>
        <v>0</v>
      </c>
      <c r="FL44" s="120">
        <f t="shared" ref="FL44" ca="1" si="589">+FL45-FK45</f>
        <v>0</v>
      </c>
      <c r="FM44" s="120">
        <f t="shared" ref="FM44" ca="1" si="590">+FM45-FL45</f>
        <v>0</v>
      </c>
      <c r="FN44" s="120">
        <f t="shared" ref="FN44" ca="1" si="591">+FN45-FM45</f>
        <v>0</v>
      </c>
      <c r="FO44" s="120">
        <f t="shared" ref="FO44" ca="1" si="592">+FO45-FN45</f>
        <v>0</v>
      </c>
      <c r="FP44" s="120">
        <f t="shared" ref="FP44" ca="1" si="593">+FP45-FO45</f>
        <v>0</v>
      </c>
      <c r="FQ44" s="120">
        <f t="shared" ref="FQ44" ca="1" si="594">+FQ45-FP45</f>
        <v>0</v>
      </c>
      <c r="FR44" s="120">
        <f t="shared" ref="FR44" ca="1" si="595">+FR45-FQ45</f>
        <v>0</v>
      </c>
      <c r="FS44" s="120">
        <f t="shared" ref="FS44" ca="1" si="596">+FS45-FR45</f>
        <v>0</v>
      </c>
      <c r="FT44" s="120">
        <f t="shared" ref="FT44" ca="1" si="597">+FT45-FS45</f>
        <v>0</v>
      </c>
      <c r="FU44" s="120">
        <f t="shared" ref="FU44" ca="1" si="598">+FU45-FT45</f>
        <v>0</v>
      </c>
      <c r="FV44" s="120">
        <f t="shared" ref="FV44" ca="1" si="599">+FV45-FU45</f>
        <v>0</v>
      </c>
      <c r="FW44" s="120">
        <f t="shared" ref="FW44" ca="1" si="600">+FW45-FV45</f>
        <v>0</v>
      </c>
      <c r="FX44" s="120">
        <f t="shared" ref="FX44" ca="1" si="601">+FX45-FW45</f>
        <v>0</v>
      </c>
      <c r="FY44" s="120">
        <f t="shared" ref="FY44" ca="1" si="602">+FY45-FX45</f>
        <v>0</v>
      </c>
      <c r="FZ44" s="120">
        <f t="shared" ref="FZ44" ca="1" si="603">+FZ45-FY45</f>
        <v>0</v>
      </c>
      <c r="GA44" s="120">
        <f t="shared" ref="GA44" ca="1" si="604">+GA45-FZ45</f>
        <v>0</v>
      </c>
      <c r="GB44" s="120">
        <f t="shared" ref="GB44" ca="1" si="605">+GB45-GA45</f>
        <v>0</v>
      </c>
      <c r="GC44" s="120">
        <f t="shared" ref="GC44" ca="1" si="606">+GC45-GB45</f>
        <v>0</v>
      </c>
      <c r="GD44" s="120">
        <f t="shared" ref="GD44" ca="1" si="607">+GD45-GC45</f>
        <v>0</v>
      </c>
      <c r="GE44" s="120">
        <f t="shared" ref="GE44" ca="1" si="608">+GE45-GD45</f>
        <v>0</v>
      </c>
      <c r="GF44" s="120">
        <f t="shared" ref="GF44" ca="1" si="609">+GF45-GE45</f>
        <v>0</v>
      </c>
      <c r="GG44" s="120">
        <f t="shared" ref="GG44" ca="1" si="610">+GG45-GF45</f>
        <v>0</v>
      </c>
      <c r="GH44" s="120">
        <f t="shared" ref="GH44" ca="1" si="611">+GH45-GG45</f>
        <v>0</v>
      </c>
      <c r="GI44" s="120">
        <f t="shared" ref="GI44" ca="1" si="612">+GI45-GH45</f>
        <v>0</v>
      </c>
      <c r="GJ44" s="120">
        <f t="shared" ref="GJ44" ca="1" si="613">+GJ45-GI45</f>
        <v>0</v>
      </c>
      <c r="GK44" s="120">
        <f t="shared" ref="GK44" ca="1" si="614">+GK45-GJ45</f>
        <v>0</v>
      </c>
      <c r="GL44" s="120">
        <f t="shared" ref="GL44" ca="1" si="615">+GL45-GK45</f>
        <v>0</v>
      </c>
      <c r="GM44" s="120">
        <f t="shared" ref="GM44" ca="1" si="616">+GM45-GL45</f>
        <v>0</v>
      </c>
      <c r="GN44" s="120">
        <f t="shared" ref="GN44" ca="1" si="617">+GN45-GM45</f>
        <v>0</v>
      </c>
      <c r="GO44" s="120">
        <f t="shared" ref="GO44" ca="1" si="618">+GO45-GN45</f>
        <v>0</v>
      </c>
      <c r="GP44" s="120">
        <f t="shared" ref="GP44" ca="1" si="619">+GP45-GO45</f>
        <v>0</v>
      </c>
      <c r="GQ44" s="120">
        <f t="shared" ref="GQ44" ca="1" si="620">+GQ45-GP45</f>
        <v>0</v>
      </c>
      <c r="GR44" s="120">
        <f t="shared" ref="GR44" ca="1" si="621">+GR45-GQ45</f>
        <v>0</v>
      </c>
      <c r="GS44" s="120">
        <f t="shared" ref="GS44" ca="1" si="622">+GS45-GR45</f>
        <v>0</v>
      </c>
      <c r="GT44" s="120">
        <f t="shared" ref="GT44" ca="1" si="623">+GT45-GS45</f>
        <v>0</v>
      </c>
      <c r="GU44" s="26"/>
      <c r="GV44" s="26"/>
      <c r="GW44" s="26"/>
      <c r="GX44" s="26"/>
      <c r="GY44" s="26"/>
      <c r="GZ44" s="26"/>
      <c r="HA44" s="26"/>
      <c r="HB44" s="26"/>
      <c r="HC44" s="26"/>
      <c r="HD44" s="26"/>
      <c r="HE44" s="26"/>
      <c r="HF44" s="1" t="s">
        <v>212</v>
      </c>
      <c r="HG44" s="139" t="e">
        <f t="shared" si="519"/>
        <v>#REF!</v>
      </c>
      <c r="HH44" s="43" t="str">
        <f>B44</f>
        <v>Office SF Absorbed</v>
      </c>
      <c r="HI44" s="120"/>
      <c r="HJ44" s="120"/>
      <c r="HK44" s="120"/>
      <c r="HL44" s="119">
        <f t="shared" ref="HL44" ca="1" si="624">SUM(HN44:HV44)</f>
        <v>0</v>
      </c>
      <c r="HM44" s="120"/>
      <c r="HN44" s="140">
        <f t="shared" ref="HN44:HV44" ca="1" si="625">SUMIF($K$14:$GT$14,HN$14,$K44:$GT44)</f>
        <v>0</v>
      </c>
      <c r="HO44" s="120">
        <f t="shared" ca="1" si="625"/>
        <v>0</v>
      </c>
      <c r="HP44" s="120">
        <f t="shared" ca="1" si="625"/>
        <v>0</v>
      </c>
      <c r="HQ44" s="120">
        <f t="shared" ca="1" si="625"/>
        <v>0</v>
      </c>
      <c r="HR44" s="120">
        <f t="shared" ca="1" si="625"/>
        <v>0</v>
      </c>
      <c r="HS44" s="120">
        <f t="shared" ca="1" si="625"/>
        <v>0</v>
      </c>
      <c r="HT44" s="120">
        <f t="shared" ca="1" si="625"/>
        <v>0</v>
      </c>
      <c r="HU44" s="120">
        <f t="shared" ca="1" si="625"/>
        <v>0</v>
      </c>
      <c r="HV44" s="120">
        <f t="shared" ca="1" si="625"/>
        <v>0</v>
      </c>
      <c r="HW44"/>
    </row>
    <row r="45" spans="1:231" ht="15" hidden="1" outlineLevel="1">
      <c r="B45" s="33" t="s">
        <v>207</v>
      </c>
      <c r="D45" s="33"/>
      <c r="E45" s="33"/>
      <c r="F45" s="33"/>
      <c r="I45" s="206">
        <f ca="1">SUM(I43:I44)</f>
        <v>0</v>
      </c>
      <c r="J45" s="26"/>
      <c r="K45" s="470">
        <f ca="1">SUBTOTAL(9,K43:K44)</f>
        <v>0</v>
      </c>
      <c r="L45" s="209">
        <f ca="1">IFERROR(OFFSET(#REF!, MATCH("    Total Area",#REF!, 0)-1, MATCH(L15,#REF!, 0)-1), 0)</f>
        <v>0</v>
      </c>
      <c r="M45" s="209">
        <f ca="1">IFERROR(OFFSET(#REF!, MATCH("    Total Area",#REF!, 0)-1, MATCH(M15,#REF!, 0)-1), 0)</f>
        <v>0</v>
      </c>
      <c r="N45" s="209">
        <f ca="1">IFERROR(OFFSET(#REF!, MATCH("    Total Area",#REF!, 0)-1, MATCH(N15,#REF!, 0)-1), 0)</f>
        <v>0</v>
      </c>
      <c r="O45" s="209">
        <f ca="1">IFERROR(OFFSET(#REF!, MATCH("    Total Area",#REF!, 0)-1, MATCH(O15,#REF!, 0)-1), 0)</f>
        <v>0</v>
      </c>
      <c r="P45" s="209">
        <f ca="1">IFERROR(OFFSET(#REF!, MATCH("    Total Area",#REF!, 0)-1, MATCH(P15,#REF!, 0)-1), 0)</f>
        <v>0</v>
      </c>
      <c r="Q45" s="209">
        <f ca="1">IFERROR(OFFSET(#REF!, MATCH("    Total Area",#REF!, 0)-1, MATCH(Q15,#REF!, 0)-1), 0)</f>
        <v>0</v>
      </c>
      <c r="R45" s="209">
        <f ca="1">IFERROR(OFFSET(#REF!, MATCH("    Total Area",#REF!, 0)-1, MATCH(R15,#REF!, 0)-1), 0)</f>
        <v>0</v>
      </c>
      <c r="S45" s="209">
        <f ca="1">IFERROR(OFFSET(#REF!, MATCH("    Total Area",#REF!, 0)-1, MATCH(S15,#REF!, 0)-1), 0)</f>
        <v>0</v>
      </c>
      <c r="T45" s="209">
        <f ca="1">IFERROR(OFFSET(#REF!, MATCH("    Total Area",#REF!, 0)-1, MATCH(T15,#REF!, 0)-1), 0)</f>
        <v>0</v>
      </c>
      <c r="U45" s="209">
        <f ca="1">IFERROR(OFFSET(#REF!, MATCH("    Total Area",#REF!, 0)-1, MATCH(U15,#REF!, 0)-1), 0)</f>
        <v>0</v>
      </c>
      <c r="V45" s="209">
        <f ca="1">IFERROR(OFFSET(#REF!, MATCH("    Total Area",#REF!, 0)-1, MATCH(V15,#REF!, 0)-1), 0)</f>
        <v>0</v>
      </c>
      <c r="W45" s="209">
        <f ca="1">IFERROR(OFFSET(#REF!, MATCH("    Total Area",#REF!, 0)-1, MATCH(W15,#REF!, 0)-1), 0)</f>
        <v>0</v>
      </c>
      <c r="X45" s="209">
        <f ca="1">IFERROR(OFFSET(#REF!, MATCH("    Total Area",#REF!, 0)-1, MATCH(X15,#REF!, 0)-1), 0)</f>
        <v>0</v>
      </c>
      <c r="Y45" s="209">
        <f ca="1">IFERROR(OFFSET(#REF!, MATCH("    Total Area",#REF!, 0)-1, MATCH(Y15,#REF!, 0)-1), 0)</f>
        <v>0</v>
      </c>
      <c r="Z45" s="209">
        <f ca="1">IFERROR(OFFSET(#REF!, MATCH("    Total Area",#REF!, 0)-1, MATCH(Z15,#REF!, 0)-1), 0)</f>
        <v>0</v>
      </c>
      <c r="AA45" s="209">
        <f ca="1">IFERROR(OFFSET(#REF!, MATCH("    Total Area",#REF!, 0)-1, MATCH(AA15,#REF!, 0)-1), 0)</f>
        <v>0</v>
      </c>
      <c r="AB45" s="209">
        <f ca="1">IFERROR(OFFSET(#REF!, MATCH("    Total Area",#REF!, 0)-1, MATCH(AB15,#REF!, 0)-1), 0)</f>
        <v>0</v>
      </c>
      <c r="AC45" s="209">
        <f ca="1">IFERROR(OFFSET(#REF!, MATCH("    Total Area",#REF!, 0)-1, MATCH(AC15,#REF!, 0)-1), 0)</f>
        <v>0</v>
      </c>
      <c r="AD45" s="209">
        <f ca="1">IFERROR(OFFSET(#REF!, MATCH("    Total Area",#REF!, 0)-1, MATCH(AD15,#REF!, 0)-1), 0)</f>
        <v>0</v>
      </c>
      <c r="AE45" s="209">
        <f ca="1">IFERROR(OFFSET(#REF!, MATCH("    Total Area",#REF!, 0)-1, MATCH(AE15,#REF!, 0)-1), 0)</f>
        <v>0</v>
      </c>
      <c r="AF45" s="209">
        <f ca="1">IFERROR(OFFSET(#REF!, MATCH("    Total Area",#REF!, 0)-1, MATCH(AF15,#REF!, 0)-1), 0)</f>
        <v>0</v>
      </c>
      <c r="AG45" s="209">
        <f ca="1">IFERROR(OFFSET(#REF!, MATCH("    Total Area",#REF!, 0)-1, MATCH(AG15,#REF!, 0)-1), 0)</f>
        <v>0</v>
      </c>
      <c r="AH45" s="209">
        <f ca="1">IFERROR(OFFSET(#REF!, MATCH("    Total Area",#REF!, 0)-1, MATCH(AH15,#REF!, 0)-1), 0)</f>
        <v>0</v>
      </c>
      <c r="AI45" s="209">
        <f ca="1">IFERROR(OFFSET(#REF!, MATCH("    Total Area",#REF!, 0)-1, MATCH(AI15,#REF!, 0)-1), 0)</f>
        <v>0</v>
      </c>
      <c r="AJ45" s="209">
        <f ca="1">IFERROR(OFFSET(#REF!, MATCH("    Total Area",#REF!, 0)-1, MATCH(AJ15,#REF!, 0)-1), 0)</f>
        <v>0</v>
      </c>
      <c r="AK45" s="209">
        <f ca="1">IFERROR(OFFSET(#REF!, MATCH("    Total Area",#REF!, 0)-1, MATCH(AK15,#REF!, 0)-1), 0)</f>
        <v>0</v>
      </c>
      <c r="AL45" s="209">
        <f ca="1">IFERROR(OFFSET(#REF!, MATCH("    Total Area",#REF!, 0)-1, MATCH(AL15,#REF!, 0)-1), 0)</f>
        <v>0</v>
      </c>
      <c r="AM45" s="209">
        <f ca="1">IFERROR(OFFSET(#REF!, MATCH("    Total Area",#REF!, 0)-1, MATCH(AM15,#REF!, 0)-1), 0)</f>
        <v>0</v>
      </c>
      <c r="AN45" s="209">
        <f ca="1">IFERROR(OFFSET(#REF!, MATCH("    Total Area",#REF!, 0)-1, MATCH(AN15,#REF!, 0)-1), 0)</f>
        <v>0</v>
      </c>
      <c r="AO45" s="209">
        <f ca="1">IFERROR(OFFSET(#REF!, MATCH("    Total Area",#REF!, 0)-1, MATCH(AO15,#REF!, 0)-1), 0)</f>
        <v>0</v>
      </c>
      <c r="AP45" s="209">
        <f ca="1">IFERROR(OFFSET(#REF!, MATCH("    Total Area",#REF!, 0)-1, MATCH(AP15,#REF!, 0)-1), 0)</f>
        <v>0</v>
      </c>
      <c r="AQ45" s="209">
        <f ca="1">IFERROR(OFFSET(#REF!, MATCH("    Total Area",#REF!, 0)-1, MATCH(AQ15,#REF!, 0)-1), 0)</f>
        <v>0</v>
      </c>
      <c r="AR45" s="209">
        <f ca="1">IFERROR(OFFSET(#REF!, MATCH("    Total Area",#REF!, 0)-1, MATCH(AR15,#REF!, 0)-1), 0)</f>
        <v>0</v>
      </c>
      <c r="AS45" s="209">
        <f ca="1">IFERROR(OFFSET(#REF!, MATCH("    Total Area",#REF!, 0)-1, MATCH(AS15,#REF!, 0)-1), 0)</f>
        <v>0</v>
      </c>
      <c r="AT45" s="209">
        <f ca="1">IFERROR(OFFSET(#REF!, MATCH("    Total Area",#REF!, 0)-1, MATCH(AT15,#REF!, 0)-1), 0)</f>
        <v>0</v>
      </c>
      <c r="AU45" s="209">
        <f ca="1">IFERROR(OFFSET(#REF!, MATCH("    Total Area",#REF!, 0)-1, MATCH(AU15,#REF!, 0)-1), 0)</f>
        <v>0</v>
      </c>
      <c r="AV45" s="209">
        <f ca="1">IFERROR(OFFSET(#REF!, MATCH("    Total Area",#REF!, 0)-1, MATCH(AV15,#REF!, 0)-1), 0)</f>
        <v>0</v>
      </c>
      <c r="AW45" s="209">
        <f ca="1">IFERROR(OFFSET(#REF!, MATCH("    Total Area",#REF!, 0)-1, MATCH(AW15,#REF!, 0)-1), 0)</f>
        <v>0</v>
      </c>
      <c r="AX45" s="209">
        <f ca="1">IFERROR(OFFSET(#REF!, MATCH("    Total Area",#REF!, 0)-1, MATCH(AX15,#REF!, 0)-1), 0)</f>
        <v>0</v>
      </c>
      <c r="AY45" s="209">
        <f ca="1">IFERROR(OFFSET(#REF!, MATCH("    Total Area",#REF!, 0)-1, MATCH(AY15,#REF!, 0)-1), 0)</f>
        <v>0</v>
      </c>
      <c r="AZ45" s="209">
        <f ca="1">IFERROR(OFFSET(#REF!, MATCH("    Total Area",#REF!, 0)-1, MATCH(AZ15,#REF!, 0)-1), 0)</f>
        <v>0</v>
      </c>
      <c r="BA45" s="209">
        <f ca="1">IFERROR(OFFSET(#REF!, MATCH("    Total Area",#REF!, 0)-1, MATCH(BA15,#REF!, 0)-1), 0)</f>
        <v>0</v>
      </c>
      <c r="BB45" s="209">
        <f ca="1">IFERROR(OFFSET(#REF!, MATCH("    Total Area",#REF!, 0)-1, MATCH(BB15,#REF!, 0)-1), 0)</f>
        <v>0</v>
      </c>
      <c r="BC45" s="209">
        <f ca="1">IFERROR(OFFSET(#REF!, MATCH("    Total Area",#REF!, 0)-1, MATCH(BC15,#REF!, 0)-1), 0)</f>
        <v>0</v>
      </c>
      <c r="BD45" s="209">
        <f ca="1">IFERROR(OFFSET(#REF!, MATCH("    Total Area",#REF!, 0)-1, MATCH(BD15,#REF!, 0)-1), 0)</f>
        <v>0</v>
      </c>
      <c r="BE45" s="209">
        <f ca="1">IFERROR(OFFSET(#REF!, MATCH("    Total Area",#REF!, 0)-1, MATCH(BE15,#REF!, 0)-1), 0)</f>
        <v>0</v>
      </c>
      <c r="BF45" s="209">
        <f ca="1">IFERROR(OFFSET(#REF!, MATCH("    Total Area",#REF!, 0)-1, MATCH(BF15,#REF!, 0)-1), 0)</f>
        <v>0</v>
      </c>
      <c r="BG45" s="209">
        <f ca="1">IFERROR(OFFSET(#REF!, MATCH("    Total Area",#REF!, 0)-1, MATCH(BG15,#REF!, 0)-1), 0)</f>
        <v>0</v>
      </c>
      <c r="BH45" s="209">
        <f ca="1">IFERROR(OFFSET(#REF!, MATCH("    Total Area",#REF!, 0)-1, MATCH(BH15,#REF!, 0)-1), 0)</f>
        <v>0</v>
      </c>
      <c r="BI45" s="209">
        <f ca="1">IFERROR(OFFSET(#REF!, MATCH("    Total Area",#REF!, 0)-1, MATCH(BI15,#REF!, 0)-1), 0)</f>
        <v>0</v>
      </c>
      <c r="BJ45" s="209">
        <f ca="1">IFERROR(OFFSET(#REF!, MATCH("    Total Area",#REF!, 0)-1, MATCH(BJ15,#REF!, 0)-1), 0)</f>
        <v>0</v>
      </c>
      <c r="BK45" s="209">
        <f ca="1">IFERROR(OFFSET(#REF!, MATCH("    Total Area",#REF!, 0)-1, MATCH(BK15,#REF!, 0)-1), 0)</f>
        <v>0</v>
      </c>
      <c r="BL45" s="209">
        <f ca="1">IFERROR(OFFSET(#REF!, MATCH("    Total Area",#REF!, 0)-1, MATCH(BL15,#REF!, 0)-1), 0)</f>
        <v>0</v>
      </c>
      <c r="BM45" s="209">
        <f ca="1">IFERROR(OFFSET(#REF!, MATCH("    Total Area",#REF!, 0)-1, MATCH(BM15,#REF!, 0)-1), 0)</f>
        <v>0</v>
      </c>
      <c r="BN45" s="209">
        <f ca="1">IFERROR(OFFSET(#REF!, MATCH("    Total Area",#REF!, 0)-1, MATCH(BN15,#REF!, 0)-1), 0)</f>
        <v>0</v>
      </c>
      <c r="BO45" s="209">
        <f ca="1">IFERROR(OFFSET(#REF!, MATCH("    Total Area",#REF!, 0)-1, MATCH(BO15,#REF!, 0)-1), 0)</f>
        <v>0</v>
      </c>
      <c r="BP45" s="209">
        <f ca="1">IFERROR(OFFSET(#REF!, MATCH("    Total Area",#REF!, 0)-1, MATCH(BP15,#REF!, 0)-1), 0)</f>
        <v>0</v>
      </c>
      <c r="BQ45" s="209">
        <f ca="1">IFERROR(OFFSET(#REF!, MATCH("    Total Area",#REF!, 0)-1, MATCH(BQ15,#REF!, 0)-1), 0)</f>
        <v>0</v>
      </c>
      <c r="BR45" s="209">
        <f ca="1">IFERROR(OFFSET(#REF!, MATCH("    Total Area",#REF!, 0)-1, MATCH(BR15,#REF!, 0)-1), 0)</f>
        <v>0</v>
      </c>
      <c r="BS45" s="209">
        <f ca="1">IFERROR(OFFSET(#REF!, MATCH("    Total Area",#REF!, 0)-1, MATCH(BS15,#REF!, 0)-1), 0)</f>
        <v>0</v>
      </c>
      <c r="BT45" s="209">
        <f ca="1">IFERROR(OFFSET(#REF!, MATCH("    Total Area",#REF!, 0)-1, MATCH(BT15,#REF!, 0)-1), 0)</f>
        <v>0</v>
      </c>
      <c r="BU45" s="209">
        <f ca="1">IFERROR(OFFSET(#REF!, MATCH("    Total Area",#REF!, 0)-1, MATCH(BU15,#REF!, 0)-1), 0)</f>
        <v>0</v>
      </c>
      <c r="BV45" s="209">
        <f ca="1">IFERROR(OFFSET(#REF!, MATCH("    Total Area",#REF!, 0)-1, MATCH(BV15,#REF!, 0)-1), 0)</f>
        <v>0</v>
      </c>
      <c r="BW45" s="209">
        <f ca="1">IFERROR(OFFSET(#REF!, MATCH("    Total Area",#REF!, 0)-1, MATCH(BW15,#REF!, 0)-1), 0)</f>
        <v>0</v>
      </c>
      <c r="BX45" s="209">
        <f ca="1">IFERROR(OFFSET(#REF!, MATCH("    Total Area",#REF!, 0)-1, MATCH(BX15,#REF!, 0)-1), 0)</f>
        <v>0</v>
      </c>
      <c r="BY45" s="209">
        <f ca="1">IFERROR(OFFSET(#REF!, MATCH("    Total Area",#REF!, 0)-1, MATCH(BY15,#REF!, 0)-1), 0)</f>
        <v>0</v>
      </c>
      <c r="BZ45" s="209">
        <f ca="1">IFERROR(OFFSET(#REF!, MATCH("    Total Area",#REF!, 0)-1, MATCH(BZ15,#REF!, 0)-1), 0)</f>
        <v>0</v>
      </c>
      <c r="CA45" s="209">
        <f ca="1">IFERROR(OFFSET(#REF!, MATCH("    Total Area",#REF!, 0)-1, MATCH(CA15,#REF!, 0)-1), 0)</f>
        <v>0</v>
      </c>
      <c r="CB45" s="209">
        <f ca="1">IFERROR(OFFSET(#REF!, MATCH("    Total Area",#REF!, 0)-1, MATCH(CB15,#REF!, 0)-1), 0)</f>
        <v>0</v>
      </c>
      <c r="CC45" s="209">
        <f ca="1">IFERROR(OFFSET(#REF!, MATCH("    Total Area",#REF!, 0)-1, MATCH(CC15,#REF!, 0)-1), 0)</f>
        <v>0</v>
      </c>
      <c r="CD45" s="209">
        <f ca="1">IFERROR(OFFSET(#REF!, MATCH("    Total Area",#REF!, 0)-1, MATCH(CD15,#REF!, 0)-1), 0)</f>
        <v>0</v>
      </c>
      <c r="CE45" s="209">
        <f ca="1">IFERROR(OFFSET(#REF!, MATCH("    Total Area",#REF!, 0)-1, MATCH(CE15,#REF!, 0)-1), 0)</f>
        <v>0</v>
      </c>
      <c r="CF45" s="209">
        <f ca="1">IFERROR(OFFSET(#REF!, MATCH("    Total Area",#REF!, 0)-1, MATCH(CF15,#REF!, 0)-1), 0)</f>
        <v>0</v>
      </c>
      <c r="CG45" s="209">
        <f ca="1">IFERROR(OFFSET(#REF!, MATCH("    Total Area",#REF!, 0)-1, MATCH(CG15,#REF!, 0)-1), 0)</f>
        <v>0</v>
      </c>
      <c r="CH45" s="209">
        <f ca="1">IFERROR(OFFSET(#REF!, MATCH("    Total Area",#REF!, 0)-1, MATCH(CH15,#REF!, 0)-1), 0)</f>
        <v>0</v>
      </c>
      <c r="CI45" s="209">
        <f ca="1">IFERROR(OFFSET(#REF!, MATCH("    Total Area",#REF!, 0)-1, MATCH(CI15,#REF!, 0)-1), 0)</f>
        <v>0</v>
      </c>
      <c r="CJ45" s="209">
        <f ca="1">IFERROR(OFFSET(#REF!, MATCH("    Total Area",#REF!, 0)-1, MATCH(CJ15,#REF!, 0)-1), 0)</f>
        <v>0</v>
      </c>
      <c r="CK45" s="209">
        <f ca="1">IFERROR(OFFSET(#REF!, MATCH("    Total Area",#REF!, 0)-1, MATCH(CK15,#REF!, 0)-1), 0)</f>
        <v>0</v>
      </c>
      <c r="CL45" s="209">
        <f ca="1">IFERROR(OFFSET(#REF!, MATCH("    Total Area",#REF!, 0)-1, MATCH(CL15,#REF!, 0)-1), 0)</f>
        <v>0</v>
      </c>
      <c r="CM45" s="209">
        <f ca="1">IFERROR(OFFSET(#REF!, MATCH("    Total Area",#REF!, 0)-1, MATCH(CM15,#REF!, 0)-1), 0)</f>
        <v>0</v>
      </c>
      <c r="CN45" s="209">
        <f ca="1">IFERROR(OFFSET(#REF!, MATCH("    Total Area",#REF!, 0)-1, MATCH(CN15,#REF!, 0)-1), 0)</f>
        <v>0</v>
      </c>
      <c r="CO45" s="209">
        <f ca="1">IFERROR(OFFSET(#REF!, MATCH("    Total Area",#REF!, 0)-1, MATCH(CO15,#REF!, 0)-1), 0)</f>
        <v>0</v>
      </c>
      <c r="CP45" s="209">
        <f ca="1">IFERROR(OFFSET(#REF!, MATCH("    Total Area",#REF!, 0)-1, MATCH(CP15,#REF!, 0)-1), 0)</f>
        <v>0</v>
      </c>
      <c r="CQ45" s="209">
        <f ca="1">IFERROR(OFFSET(#REF!, MATCH("    Total Area",#REF!, 0)-1, MATCH(CQ15,#REF!, 0)-1), 0)</f>
        <v>0</v>
      </c>
      <c r="CR45" s="209">
        <f ca="1">IFERROR(OFFSET(#REF!, MATCH("    Total Area",#REF!, 0)-1, MATCH(CR15,#REF!, 0)-1), 0)</f>
        <v>0</v>
      </c>
      <c r="CS45" s="209">
        <f ca="1">IFERROR(OFFSET(#REF!, MATCH("    Total Area",#REF!, 0)-1, MATCH(CS15,#REF!, 0)-1), 0)</f>
        <v>0</v>
      </c>
      <c r="CT45" s="209">
        <f ca="1">IFERROR(OFFSET(#REF!, MATCH("    Total Area",#REF!, 0)-1, MATCH(CT15,#REF!, 0)-1), 0)</f>
        <v>0</v>
      </c>
      <c r="CU45" s="209">
        <f ca="1">IFERROR(OFFSET(#REF!, MATCH("    Total Area",#REF!, 0)-1, MATCH(CU15,#REF!, 0)-1), 0)</f>
        <v>0</v>
      </c>
      <c r="CV45" s="209">
        <f ca="1">IFERROR(OFFSET(#REF!, MATCH("    Total Area",#REF!, 0)-1, MATCH(CV15,#REF!, 0)-1), 0)</f>
        <v>0</v>
      </c>
      <c r="CW45" s="209">
        <f ca="1">IFERROR(OFFSET(#REF!, MATCH("    Total Area",#REF!, 0)-1, MATCH(CW15,#REF!, 0)-1), 0)</f>
        <v>0</v>
      </c>
      <c r="CX45" s="209">
        <f ca="1">IFERROR(OFFSET(#REF!, MATCH("    Total Area",#REF!, 0)-1, MATCH(CX15,#REF!, 0)-1), 0)</f>
        <v>0</v>
      </c>
      <c r="CY45" s="209">
        <f ca="1">IFERROR(OFFSET(#REF!, MATCH("    Total Area",#REF!, 0)-1, MATCH(CY15,#REF!, 0)-1), 0)</f>
        <v>0</v>
      </c>
      <c r="CZ45" s="209">
        <f ca="1">IFERROR(OFFSET(#REF!, MATCH("    Total Area",#REF!, 0)-1, MATCH(CZ15,#REF!, 0)-1), 0)</f>
        <v>0</v>
      </c>
      <c r="DA45" s="209">
        <f ca="1">IFERROR(OFFSET(#REF!, MATCH("    Total Area",#REF!, 0)-1, MATCH(DA15,#REF!, 0)-1), 0)</f>
        <v>0</v>
      </c>
      <c r="DB45" s="209">
        <f ca="1">IFERROR(OFFSET(#REF!, MATCH("    Total Area",#REF!, 0)-1, MATCH(DB15,#REF!, 0)-1), 0)</f>
        <v>0</v>
      </c>
      <c r="DC45" s="209">
        <f ca="1">IFERROR(OFFSET(#REF!, MATCH("    Total Area",#REF!, 0)-1, MATCH(DC15,#REF!, 0)-1), 0)</f>
        <v>0</v>
      </c>
      <c r="DD45" s="209">
        <f ca="1">IFERROR(OFFSET(#REF!, MATCH("    Total Area",#REF!, 0)-1, MATCH(DD15,#REF!, 0)-1), 0)</f>
        <v>0</v>
      </c>
      <c r="DE45" s="209">
        <f ca="1">IFERROR(OFFSET(#REF!, MATCH("    Total Area",#REF!, 0)-1, MATCH(DE15,#REF!, 0)-1), 0)</f>
        <v>0</v>
      </c>
      <c r="DF45" s="209">
        <f ca="1">IFERROR(OFFSET(#REF!, MATCH("    Total Area",#REF!, 0)-1, MATCH(DF15,#REF!, 0)-1), 0)</f>
        <v>0</v>
      </c>
      <c r="DG45" s="209">
        <f ca="1">IFERROR(OFFSET(#REF!, MATCH("    Total Area",#REF!, 0)-1, MATCH(DG15,#REF!, 0)-1), 0)</f>
        <v>0</v>
      </c>
      <c r="DH45" s="209">
        <f ca="1">IFERROR(OFFSET(#REF!, MATCH("    Total Area",#REF!, 0)-1, MATCH(DH15,#REF!, 0)-1), 0)</f>
        <v>0</v>
      </c>
      <c r="DI45" s="209">
        <f ca="1">IFERROR(OFFSET(#REF!, MATCH("    Total Area",#REF!, 0)-1, MATCH(DI15,#REF!, 0)-1), 0)</f>
        <v>0</v>
      </c>
      <c r="DJ45" s="209">
        <f ca="1">IFERROR(OFFSET(#REF!, MATCH("    Total Area",#REF!, 0)-1, MATCH(DJ15,#REF!, 0)-1), 0)</f>
        <v>0</v>
      </c>
      <c r="DK45" s="209">
        <f ca="1">IFERROR(OFFSET(#REF!, MATCH("    Total Area",#REF!, 0)-1, MATCH(DK15,#REF!, 0)-1), 0)</f>
        <v>0</v>
      </c>
      <c r="DL45" s="209">
        <f ca="1">IFERROR(OFFSET(#REF!, MATCH("    Total Area",#REF!, 0)-1, MATCH(DL15,#REF!, 0)-1), 0)</f>
        <v>0</v>
      </c>
      <c r="DM45" s="209">
        <f ca="1">IFERROR(OFFSET(#REF!, MATCH("    Total Area",#REF!, 0)-1, MATCH(DM15,#REF!, 0)-1), 0)</f>
        <v>0</v>
      </c>
      <c r="DN45" s="209">
        <f ca="1">IFERROR(OFFSET(#REF!, MATCH("    Total Area",#REF!, 0)-1, MATCH(DN15,#REF!, 0)-1), 0)</f>
        <v>0</v>
      </c>
      <c r="DO45" s="209">
        <f ca="1">IFERROR(OFFSET(#REF!, MATCH("    Total Area",#REF!, 0)-1, MATCH(DO15,#REF!, 0)-1), 0)</f>
        <v>0</v>
      </c>
      <c r="DP45" s="209">
        <f ca="1">IFERROR(OFFSET(#REF!, MATCH("    Total Area",#REF!, 0)-1, MATCH(DP15,#REF!, 0)-1), 0)</f>
        <v>0</v>
      </c>
      <c r="DQ45" s="209">
        <f ca="1">IFERROR(OFFSET(#REF!, MATCH("    Total Area",#REF!, 0)-1, MATCH(DQ15,#REF!, 0)-1), 0)</f>
        <v>0</v>
      </c>
      <c r="DR45" s="209">
        <f ca="1">IFERROR(OFFSET(#REF!, MATCH("    Total Area",#REF!, 0)-1, MATCH(DR15,#REF!, 0)-1), 0)</f>
        <v>0</v>
      </c>
      <c r="DS45" s="209">
        <f ca="1">IFERROR(OFFSET(#REF!, MATCH("    Total Area",#REF!, 0)-1, MATCH(DS15,#REF!, 0)-1), 0)</f>
        <v>0</v>
      </c>
      <c r="DT45" s="209">
        <f ca="1">IFERROR(OFFSET(#REF!, MATCH("    Total Area",#REF!, 0)-1, MATCH(DT15,#REF!, 0)-1), 0)</f>
        <v>0</v>
      </c>
      <c r="DU45" s="209">
        <f ca="1">IFERROR(OFFSET(#REF!, MATCH("    Total Area",#REF!, 0)-1, MATCH(DU15,#REF!, 0)-1), 0)</f>
        <v>0</v>
      </c>
      <c r="DV45" s="209">
        <f ca="1">IFERROR(OFFSET(#REF!, MATCH("    Total Area",#REF!, 0)-1, MATCH(DV15,#REF!, 0)-1), 0)</f>
        <v>0</v>
      </c>
      <c r="DW45" s="209">
        <f ca="1">IFERROR(OFFSET(#REF!, MATCH("    Total Area",#REF!, 0)-1, MATCH(DW15,#REF!, 0)-1), 0)</f>
        <v>0</v>
      </c>
      <c r="DX45" s="209">
        <f ca="1">IFERROR(OFFSET(#REF!, MATCH("    Total Area",#REF!, 0)-1, MATCH(DX15,#REF!, 0)-1), 0)</f>
        <v>0</v>
      </c>
      <c r="DY45" s="209">
        <f ca="1">IFERROR(OFFSET(#REF!, MATCH("    Total Area",#REF!, 0)-1, MATCH(DY15,#REF!, 0)-1), 0)</f>
        <v>0</v>
      </c>
      <c r="DZ45" s="209">
        <f ca="1">IFERROR(OFFSET(#REF!, MATCH("    Total Area",#REF!, 0)-1, MATCH(DZ15,#REF!, 0)-1), 0)</f>
        <v>0</v>
      </c>
      <c r="EA45" s="209">
        <f ca="1">IFERROR(OFFSET(#REF!, MATCH("    Total Area",#REF!, 0)-1, MATCH(EA15,#REF!, 0)-1), 0)</f>
        <v>0</v>
      </c>
      <c r="EB45" s="209">
        <f ca="1">IFERROR(OFFSET(#REF!, MATCH("    Total Area",#REF!, 0)-1, MATCH(EB15,#REF!, 0)-1), 0)</f>
        <v>0</v>
      </c>
      <c r="EC45" s="209">
        <f ca="1">IFERROR(OFFSET(#REF!, MATCH("    Total Area",#REF!, 0)-1, MATCH(EC15,#REF!, 0)-1), 0)</f>
        <v>0</v>
      </c>
      <c r="ED45" s="209">
        <f ca="1">IFERROR(OFFSET(#REF!, MATCH("    Total Area",#REF!, 0)-1, MATCH(ED15,#REF!, 0)-1), 0)</f>
        <v>0</v>
      </c>
      <c r="EE45" s="209">
        <f ca="1">IFERROR(OFFSET(#REF!, MATCH("    Total Area",#REF!, 0)-1, MATCH(EE15,#REF!, 0)-1), 0)</f>
        <v>0</v>
      </c>
      <c r="EF45" s="209">
        <f ca="1">IFERROR(OFFSET(#REF!, MATCH("    Total Area",#REF!, 0)-1, MATCH(EF15,#REF!, 0)-1), 0)</f>
        <v>0</v>
      </c>
      <c r="EG45" s="209">
        <f ca="1">IFERROR(OFFSET(#REF!, MATCH("    Total Area",#REF!, 0)-1, MATCH(EG15,#REF!, 0)-1), 0)</f>
        <v>0</v>
      </c>
      <c r="EH45" s="209">
        <f ca="1">IFERROR(OFFSET(#REF!, MATCH("    Total Area",#REF!, 0)-1, MATCH(EH15,#REF!, 0)-1), 0)</f>
        <v>0</v>
      </c>
      <c r="EI45" s="209">
        <f ca="1">IFERROR(OFFSET(#REF!, MATCH("    Total Area",#REF!, 0)-1, MATCH(EI15,#REF!, 0)-1), 0)</f>
        <v>0</v>
      </c>
      <c r="EJ45" s="209">
        <f ca="1">IFERROR(OFFSET(#REF!, MATCH("    Total Area",#REF!, 0)-1, MATCH(EJ15,#REF!, 0)-1), 0)</f>
        <v>0</v>
      </c>
      <c r="EK45" s="209">
        <f ca="1">IFERROR(OFFSET(#REF!, MATCH("    Total Area",#REF!, 0)-1, MATCH(EK15,#REF!, 0)-1), 0)</f>
        <v>0</v>
      </c>
      <c r="EL45" s="209">
        <f ca="1">IFERROR(OFFSET(#REF!, MATCH("    Total Area",#REF!, 0)-1, MATCH(EL15,#REF!, 0)-1), 0)</f>
        <v>0</v>
      </c>
      <c r="EM45" s="209">
        <f ca="1">IFERROR(OFFSET(#REF!, MATCH("    Total Area",#REF!, 0)-1, MATCH(EM15,#REF!, 0)-1), 0)</f>
        <v>0</v>
      </c>
      <c r="EN45" s="209">
        <f ca="1">IFERROR(OFFSET(#REF!, MATCH("    Total Area",#REF!, 0)-1, MATCH(EN15,#REF!, 0)-1), 0)</f>
        <v>0</v>
      </c>
      <c r="EO45" s="209">
        <f ca="1">IFERROR(OFFSET(#REF!, MATCH("    Total Area",#REF!, 0)-1, MATCH(EO15,#REF!, 0)-1), 0)</f>
        <v>0</v>
      </c>
      <c r="EP45" s="209">
        <f ca="1">IFERROR(OFFSET(#REF!, MATCH("    Total Area",#REF!, 0)-1, MATCH(EP15,#REF!, 0)-1), 0)</f>
        <v>0</v>
      </c>
      <c r="EQ45" s="209">
        <f ca="1">IFERROR(OFFSET(#REF!, MATCH("    Total Area",#REF!, 0)-1, MATCH(EQ15,#REF!, 0)-1), 0)</f>
        <v>0</v>
      </c>
      <c r="ER45" s="209">
        <f ca="1">IFERROR(OFFSET(#REF!, MATCH("    Total Area",#REF!, 0)-1, MATCH(ER15,#REF!, 0)-1), 0)</f>
        <v>0</v>
      </c>
      <c r="ES45" s="209">
        <f ca="1">IFERROR(OFFSET(#REF!, MATCH("    Total Area",#REF!, 0)-1, MATCH(ES15,#REF!, 0)-1), 0)</f>
        <v>0</v>
      </c>
      <c r="ET45" s="209">
        <f ca="1">IFERROR(OFFSET(#REF!, MATCH("    Total Area",#REF!, 0)-1, MATCH(ET15,#REF!, 0)-1), 0)</f>
        <v>0</v>
      </c>
      <c r="EU45" s="209">
        <f ca="1">IFERROR(OFFSET(#REF!, MATCH("    Total Area",#REF!, 0)-1, MATCH(EU15,#REF!, 0)-1), 0)</f>
        <v>0</v>
      </c>
      <c r="EV45" s="209">
        <f ca="1">IFERROR(OFFSET(#REF!, MATCH("    Total Area",#REF!, 0)-1, MATCH(EV15,#REF!, 0)-1), 0)</f>
        <v>0</v>
      </c>
      <c r="EW45" s="209">
        <f ca="1">IFERROR(OFFSET(#REF!, MATCH("    Total Area",#REF!, 0)-1, MATCH(EW15,#REF!, 0)-1), 0)</f>
        <v>0</v>
      </c>
      <c r="EX45" s="209">
        <f ca="1">IFERROR(OFFSET(#REF!, MATCH("    Total Area",#REF!, 0)-1, MATCH(EX15,#REF!, 0)-1), 0)</f>
        <v>0</v>
      </c>
      <c r="EY45" s="209">
        <f ca="1">IFERROR(OFFSET(#REF!, MATCH("    Total Area",#REF!, 0)-1, MATCH(EY15,#REF!, 0)-1), 0)</f>
        <v>0</v>
      </c>
      <c r="EZ45" s="209">
        <f ca="1">IFERROR(OFFSET(#REF!, MATCH("    Total Area",#REF!, 0)-1, MATCH(EZ15,#REF!, 0)-1), 0)</f>
        <v>0</v>
      </c>
      <c r="FA45" s="209">
        <f ca="1">IFERROR(OFFSET(#REF!, MATCH("    Total Area",#REF!, 0)-1, MATCH(FA15,#REF!, 0)-1), 0)</f>
        <v>0</v>
      </c>
      <c r="FB45" s="209">
        <f ca="1">IFERROR(OFFSET(#REF!, MATCH("    Total Area",#REF!, 0)-1, MATCH(FB15,#REF!, 0)-1), 0)</f>
        <v>0</v>
      </c>
      <c r="FC45" s="209">
        <f ca="1">IFERROR(OFFSET(#REF!, MATCH("    Total Area",#REF!, 0)-1, MATCH(FC15,#REF!, 0)-1), 0)</f>
        <v>0</v>
      </c>
      <c r="FD45" s="209">
        <f ca="1">IFERROR(OFFSET(#REF!, MATCH("    Total Area",#REF!, 0)-1, MATCH(FD15,#REF!, 0)-1), 0)</f>
        <v>0</v>
      </c>
      <c r="FE45" s="209">
        <f ca="1">IFERROR(OFFSET(#REF!, MATCH("    Total Area",#REF!, 0)-1, MATCH(FE15,#REF!, 0)-1), 0)</f>
        <v>0</v>
      </c>
      <c r="FF45" s="209">
        <f ca="1">IFERROR(OFFSET(#REF!, MATCH("    Total Area",#REF!, 0)-1, MATCH(FF15,#REF!, 0)-1), 0)</f>
        <v>0</v>
      </c>
      <c r="FG45" s="209">
        <f ca="1">IFERROR(OFFSET(#REF!, MATCH("    Total Area",#REF!, 0)-1, MATCH(FG15,#REF!, 0)-1), 0)</f>
        <v>0</v>
      </c>
      <c r="FH45" s="209">
        <f ca="1">IFERROR(OFFSET(#REF!, MATCH("    Total Area",#REF!, 0)-1, MATCH(FH15,#REF!, 0)-1), 0)</f>
        <v>0</v>
      </c>
      <c r="FI45" s="209">
        <f ca="1">IFERROR(OFFSET(#REF!, MATCH("    Total Area",#REF!, 0)-1, MATCH(FI15,#REF!, 0)-1), 0)</f>
        <v>0</v>
      </c>
      <c r="FJ45" s="209">
        <f ca="1">IFERROR(OFFSET(#REF!, MATCH("    Total Area",#REF!, 0)-1, MATCH(FJ15,#REF!, 0)-1), 0)</f>
        <v>0</v>
      </c>
      <c r="FK45" s="209">
        <f ca="1">IFERROR(OFFSET(#REF!, MATCH("    Total Area",#REF!, 0)-1, MATCH(FK15,#REF!, 0)-1), 0)</f>
        <v>0</v>
      </c>
      <c r="FL45" s="209">
        <f ca="1">IFERROR(OFFSET(#REF!, MATCH("    Total Area",#REF!, 0)-1, MATCH(FL15,#REF!, 0)-1), 0)</f>
        <v>0</v>
      </c>
      <c r="FM45" s="209">
        <f ca="1">IFERROR(OFFSET(#REF!, MATCH("    Total Area",#REF!, 0)-1, MATCH(FM15,#REF!, 0)-1), 0)</f>
        <v>0</v>
      </c>
      <c r="FN45" s="209">
        <f ca="1">IFERROR(OFFSET(#REF!, MATCH("    Total Area",#REF!, 0)-1, MATCH(FN15,#REF!, 0)-1), 0)</f>
        <v>0</v>
      </c>
      <c r="FO45" s="209">
        <f ca="1">IFERROR(OFFSET(#REF!, MATCH("    Total Area",#REF!, 0)-1, MATCH(FO15,#REF!, 0)-1), 0)</f>
        <v>0</v>
      </c>
      <c r="FP45" s="209">
        <f ca="1">IFERROR(OFFSET(#REF!, MATCH("    Total Area",#REF!, 0)-1, MATCH(FP15,#REF!, 0)-1), 0)</f>
        <v>0</v>
      </c>
      <c r="FQ45" s="209">
        <f ca="1">IFERROR(OFFSET(#REF!, MATCH("    Total Area",#REF!, 0)-1, MATCH(FQ15,#REF!, 0)-1), 0)</f>
        <v>0</v>
      </c>
      <c r="FR45" s="209">
        <f ca="1">IFERROR(OFFSET(#REF!, MATCH("    Total Area",#REF!, 0)-1, MATCH(FR15,#REF!, 0)-1), 0)</f>
        <v>0</v>
      </c>
      <c r="FS45" s="209">
        <f ca="1">IFERROR(OFFSET(#REF!, MATCH("    Total Area",#REF!, 0)-1, MATCH(FS15,#REF!, 0)-1), 0)</f>
        <v>0</v>
      </c>
      <c r="FT45" s="209">
        <f ca="1">IFERROR(OFFSET(#REF!, MATCH("    Total Area",#REF!, 0)-1, MATCH(FT15,#REF!, 0)-1), 0)</f>
        <v>0</v>
      </c>
      <c r="FU45" s="209">
        <f ca="1">IFERROR(OFFSET(#REF!, MATCH("    Total Area",#REF!, 0)-1, MATCH(FU15,#REF!, 0)-1), 0)</f>
        <v>0</v>
      </c>
      <c r="FV45" s="209">
        <f ca="1">IFERROR(OFFSET(#REF!, MATCH("    Total Area",#REF!, 0)-1, MATCH(FV15,#REF!, 0)-1), 0)</f>
        <v>0</v>
      </c>
      <c r="FW45" s="209">
        <f ca="1">IFERROR(OFFSET(#REF!, MATCH("    Total Area",#REF!, 0)-1, MATCH(FW15,#REF!, 0)-1), 0)</f>
        <v>0</v>
      </c>
      <c r="FX45" s="209">
        <f ca="1">IFERROR(OFFSET(#REF!, MATCH("    Total Area",#REF!, 0)-1, MATCH(FX15,#REF!, 0)-1), 0)</f>
        <v>0</v>
      </c>
      <c r="FY45" s="209">
        <f ca="1">IFERROR(OFFSET(#REF!, MATCH("    Total Area",#REF!, 0)-1, MATCH(FY15,#REF!, 0)-1), 0)</f>
        <v>0</v>
      </c>
      <c r="FZ45" s="209">
        <f ca="1">IFERROR(OFFSET(#REF!, MATCH("    Total Area",#REF!, 0)-1, MATCH(FZ15,#REF!, 0)-1), 0)</f>
        <v>0</v>
      </c>
      <c r="GA45" s="209">
        <f ca="1">IFERROR(OFFSET(#REF!, MATCH("    Total Area",#REF!, 0)-1, MATCH(GA15,#REF!, 0)-1), 0)</f>
        <v>0</v>
      </c>
      <c r="GB45" s="209">
        <f ca="1">IFERROR(OFFSET(#REF!, MATCH("    Total Area",#REF!, 0)-1, MATCH(GB15,#REF!, 0)-1), 0)</f>
        <v>0</v>
      </c>
      <c r="GC45" s="209">
        <f ca="1">IFERROR(OFFSET(#REF!, MATCH("    Total Area",#REF!, 0)-1, MATCH(GC15,#REF!, 0)-1), 0)</f>
        <v>0</v>
      </c>
      <c r="GD45" s="209">
        <f ca="1">IFERROR(OFFSET(#REF!, MATCH("    Total Area",#REF!, 0)-1, MATCH(GD15,#REF!, 0)-1), 0)</f>
        <v>0</v>
      </c>
      <c r="GE45" s="209">
        <f ca="1">IFERROR(OFFSET(#REF!, MATCH("    Total Area",#REF!, 0)-1, MATCH(GE15,#REF!, 0)-1), 0)</f>
        <v>0</v>
      </c>
      <c r="GF45" s="209">
        <f ca="1">IFERROR(OFFSET(#REF!, MATCH("    Total Area",#REF!, 0)-1, MATCH(GF15,#REF!, 0)-1), 0)</f>
        <v>0</v>
      </c>
      <c r="GG45" s="209">
        <f ca="1">IFERROR(OFFSET(#REF!, MATCH("    Total Area",#REF!, 0)-1, MATCH(GG15,#REF!, 0)-1), 0)</f>
        <v>0</v>
      </c>
      <c r="GH45" s="209">
        <f ca="1">IFERROR(OFFSET(#REF!, MATCH("    Total Area",#REF!, 0)-1, MATCH(GH15,#REF!, 0)-1), 0)</f>
        <v>0</v>
      </c>
      <c r="GI45" s="209">
        <f ca="1">IFERROR(OFFSET(#REF!, MATCH("    Total Area",#REF!, 0)-1, MATCH(GI15,#REF!, 0)-1), 0)</f>
        <v>0</v>
      </c>
      <c r="GJ45" s="209">
        <f ca="1">IFERROR(OFFSET(#REF!, MATCH("    Total Area",#REF!, 0)-1, MATCH(GJ15,#REF!, 0)-1), 0)</f>
        <v>0</v>
      </c>
      <c r="GK45" s="209">
        <f ca="1">IFERROR(OFFSET(#REF!, MATCH("    Total Area",#REF!, 0)-1, MATCH(GK15,#REF!, 0)-1), 0)</f>
        <v>0</v>
      </c>
      <c r="GL45" s="209">
        <f ca="1">IFERROR(OFFSET(#REF!, MATCH("    Total Area",#REF!, 0)-1, MATCH(GL15,#REF!, 0)-1), 0)</f>
        <v>0</v>
      </c>
      <c r="GM45" s="209">
        <f ca="1">IFERROR(OFFSET(#REF!, MATCH("    Total Area",#REF!, 0)-1, MATCH(GM15,#REF!, 0)-1), 0)</f>
        <v>0</v>
      </c>
      <c r="GN45" s="209">
        <f ca="1">IFERROR(OFFSET(#REF!, MATCH("    Total Area",#REF!, 0)-1, MATCH(GN15,#REF!, 0)-1), 0)</f>
        <v>0</v>
      </c>
      <c r="GO45" s="209">
        <f ca="1">IFERROR(OFFSET(#REF!, MATCH("    Total Area",#REF!, 0)-1, MATCH(GO15,#REF!, 0)-1), 0)</f>
        <v>0</v>
      </c>
      <c r="GP45" s="209">
        <f ca="1">IFERROR(OFFSET(#REF!, MATCH("    Total Area",#REF!, 0)-1, MATCH(GP15,#REF!, 0)-1), 0)</f>
        <v>0</v>
      </c>
      <c r="GQ45" s="209">
        <f ca="1">IFERROR(OFFSET(#REF!, MATCH("    Total Area",#REF!, 0)-1, MATCH(GQ15,#REF!, 0)-1), 0)</f>
        <v>0</v>
      </c>
      <c r="GR45" s="209">
        <f ca="1">IFERROR(OFFSET(#REF!, MATCH("    Total Area",#REF!, 0)-1, MATCH(GR15,#REF!, 0)-1), 0)</f>
        <v>0</v>
      </c>
      <c r="GS45" s="209">
        <f ca="1">IFERROR(OFFSET(#REF!, MATCH("    Total Area",#REF!, 0)-1, MATCH(GS15,#REF!, 0)-1), 0)</f>
        <v>0</v>
      </c>
      <c r="GT45" s="209">
        <f ca="1">IFERROR(OFFSET(#REF!, MATCH("    Total Area",#REF!, 0)-1, MATCH(GT15,#REF!, 0)-1), 0)</f>
        <v>0</v>
      </c>
      <c r="GU45" s="209"/>
      <c r="GV45" s="209"/>
      <c r="GW45" s="209"/>
      <c r="GX45" s="209"/>
      <c r="GY45" s="209"/>
      <c r="GZ45" s="209"/>
      <c r="HA45" s="209"/>
      <c r="HB45" s="209"/>
      <c r="HC45" s="209"/>
      <c r="HD45" s="209"/>
      <c r="HE45" s="209"/>
      <c r="HF45" s="1" t="s">
        <v>212</v>
      </c>
      <c r="HG45" s="139" t="e">
        <f t="shared" si="519"/>
        <v>#REF!</v>
      </c>
      <c r="HH45" s="33" t="str">
        <f>B45</f>
        <v>Total Leased SF @ New Rate</v>
      </c>
      <c r="HI45" s="209"/>
      <c r="HJ45" s="209"/>
      <c r="HK45" s="209"/>
      <c r="HL45" s="206">
        <f ca="1">SUM(HL43:HL44)</f>
        <v>0</v>
      </c>
      <c r="HM45" s="26"/>
      <c r="HN45" s="470">
        <f ca="1">SUMIF($K$14:$GT$14,HN$14,$K45:$GT45)</f>
        <v>0</v>
      </c>
      <c r="HO45" s="209">
        <f t="shared" ref="HO45:HV45" ca="1" si="626">SUM(HO43:HO44)</f>
        <v>0</v>
      </c>
      <c r="HP45" s="209">
        <f t="shared" ca="1" si="626"/>
        <v>0</v>
      </c>
      <c r="HQ45" s="209">
        <f t="shared" ca="1" si="626"/>
        <v>0</v>
      </c>
      <c r="HR45" s="209">
        <f t="shared" ca="1" si="626"/>
        <v>0</v>
      </c>
      <c r="HS45" s="209">
        <f t="shared" ca="1" si="626"/>
        <v>0</v>
      </c>
      <c r="HT45" s="209">
        <f t="shared" ca="1" si="626"/>
        <v>0</v>
      </c>
      <c r="HU45" s="209">
        <f t="shared" ca="1" si="626"/>
        <v>0</v>
      </c>
      <c r="HV45" s="209">
        <f t="shared" ca="1" si="626"/>
        <v>0</v>
      </c>
      <c r="HW45"/>
    </row>
    <row r="46" spans="1:231" ht="15" hidden="1" outlineLevel="1">
      <c r="B46" s="141" t="s">
        <v>145</v>
      </c>
      <c r="D46" s="471"/>
      <c r="E46" s="472"/>
      <c r="F46" s="473"/>
      <c r="I46" s="132">
        <f ca="1">SUMIF($K$13:$GT$13,"&lt;="&amp;Assumptions!$L$17,'Monthly Cash Flow'!K46:GT46)</f>
        <v>0</v>
      </c>
      <c r="J46" s="26"/>
      <c r="K46" s="133"/>
      <c r="L46" s="26">
        <f t="shared" ref="L46:AC46" ca="1" si="627">+L44</f>
        <v>0</v>
      </c>
      <c r="M46" s="26">
        <f t="shared" ca="1" si="627"/>
        <v>0</v>
      </c>
      <c r="N46" s="26">
        <f t="shared" ca="1" si="627"/>
        <v>0</v>
      </c>
      <c r="O46" s="26">
        <f t="shared" ca="1" si="627"/>
        <v>0</v>
      </c>
      <c r="P46" s="26">
        <f t="shared" ca="1" si="627"/>
        <v>0</v>
      </c>
      <c r="Q46" s="26">
        <f t="shared" ca="1" si="627"/>
        <v>0</v>
      </c>
      <c r="R46" s="26">
        <f t="shared" ca="1" si="627"/>
        <v>0</v>
      </c>
      <c r="S46" s="26">
        <f t="shared" ca="1" si="627"/>
        <v>0</v>
      </c>
      <c r="T46" s="26">
        <f t="shared" ca="1" si="627"/>
        <v>0</v>
      </c>
      <c r="U46" s="26">
        <f t="shared" ca="1" si="627"/>
        <v>0</v>
      </c>
      <c r="V46" s="26">
        <f t="shared" ca="1" si="627"/>
        <v>0</v>
      </c>
      <c r="W46" s="26">
        <f t="shared" ca="1" si="627"/>
        <v>0</v>
      </c>
      <c r="X46" s="26">
        <f t="shared" ca="1" si="627"/>
        <v>0</v>
      </c>
      <c r="Y46" s="26">
        <f t="shared" ca="1" si="627"/>
        <v>0</v>
      </c>
      <c r="Z46" s="26">
        <f t="shared" ca="1" si="627"/>
        <v>0</v>
      </c>
      <c r="AA46" s="26">
        <f t="shared" ca="1" si="627"/>
        <v>0</v>
      </c>
      <c r="AB46" s="26">
        <f t="shared" ca="1" si="627"/>
        <v>0</v>
      </c>
      <c r="AC46" s="26">
        <f t="shared" ca="1" si="627"/>
        <v>0</v>
      </c>
      <c r="AD46" s="26">
        <f ca="1">+AD44</f>
        <v>0</v>
      </c>
      <c r="AE46" s="26">
        <f t="shared" ref="AE46:CP46" ca="1" si="628">+AE44</f>
        <v>0</v>
      </c>
      <c r="AF46" s="26">
        <f t="shared" ca="1" si="628"/>
        <v>0</v>
      </c>
      <c r="AG46" s="26">
        <f t="shared" ca="1" si="628"/>
        <v>0</v>
      </c>
      <c r="AH46" s="26">
        <f t="shared" ca="1" si="628"/>
        <v>0</v>
      </c>
      <c r="AI46" s="26">
        <f t="shared" ca="1" si="628"/>
        <v>0</v>
      </c>
      <c r="AJ46" s="26">
        <f t="shared" ca="1" si="628"/>
        <v>0</v>
      </c>
      <c r="AK46" s="26">
        <f t="shared" ca="1" si="628"/>
        <v>0</v>
      </c>
      <c r="AL46" s="26">
        <f t="shared" ca="1" si="628"/>
        <v>0</v>
      </c>
      <c r="AM46" s="26">
        <f t="shared" ca="1" si="628"/>
        <v>0</v>
      </c>
      <c r="AN46" s="26">
        <f t="shared" ca="1" si="628"/>
        <v>0</v>
      </c>
      <c r="AO46" s="26">
        <f t="shared" ca="1" si="628"/>
        <v>0</v>
      </c>
      <c r="AP46" s="26">
        <f t="shared" ca="1" si="628"/>
        <v>0</v>
      </c>
      <c r="AQ46" s="26">
        <f t="shared" ca="1" si="628"/>
        <v>0</v>
      </c>
      <c r="AR46" s="26">
        <f t="shared" ca="1" si="628"/>
        <v>0</v>
      </c>
      <c r="AS46" s="26">
        <f t="shared" ca="1" si="628"/>
        <v>0</v>
      </c>
      <c r="AT46" s="26">
        <f t="shared" ca="1" si="628"/>
        <v>0</v>
      </c>
      <c r="AU46" s="26">
        <f t="shared" ca="1" si="628"/>
        <v>0</v>
      </c>
      <c r="AV46" s="26">
        <f t="shared" ca="1" si="628"/>
        <v>0</v>
      </c>
      <c r="AW46" s="26">
        <f t="shared" ca="1" si="628"/>
        <v>0</v>
      </c>
      <c r="AX46" s="26">
        <f t="shared" ca="1" si="628"/>
        <v>0</v>
      </c>
      <c r="AY46" s="26">
        <f t="shared" ca="1" si="628"/>
        <v>0</v>
      </c>
      <c r="AZ46" s="26">
        <f t="shared" ca="1" si="628"/>
        <v>0</v>
      </c>
      <c r="BA46" s="26">
        <f t="shared" ca="1" si="628"/>
        <v>0</v>
      </c>
      <c r="BB46" s="26">
        <f t="shared" ca="1" si="628"/>
        <v>0</v>
      </c>
      <c r="BC46" s="26">
        <f t="shared" ca="1" si="628"/>
        <v>0</v>
      </c>
      <c r="BD46" s="26">
        <f t="shared" ca="1" si="628"/>
        <v>0</v>
      </c>
      <c r="BE46" s="26">
        <f t="shared" ca="1" si="628"/>
        <v>0</v>
      </c>
      <c r="BF46" s="26">
        <f t="shared" ca="1" si="628"/>
        <v>0</v>
      </c>
      <c r="BG46" s="26">
        <f t="shared" ca="1" si="628"/>
        <v>0</v>
      </c>
      <c r="BH46" s="26">
        <f t="shared" ca="1" si="628"/>
        <v>0</v>
      </c>
      <c r="BI46" s="26">
        <f t="shared" ca="1" si="628"/>
        <v>0</v>
      </c>
      <c r="BJ46" s="26">
        <f t="shared" ca="1" si="628"/>
        <v>0</v>
      </c>
      <c r="BK46" s="26">
        <f t="shared" ca="1" si="628"/>
        <v>0</v>
      </c>
      <c r="BL46" s="26">
        <f t="shared" ca="1" si="628"/>
        <v>0</v>
      </c>
      <c r="BM46" s="26">
        <f t="shared" ca="1" si="628"/>
        <v>0</v>
      </c>
      <c r="BN46" s="26">
        <f t="shared" ca="1" si="628"/>
        <v>0</v>
      </c>
      <c r="BO46" s="26">
        <f t="shared" ca="1" si="628"/>
        <v>0</v>
      </c>
      <c r="BP46" s="26">
        <f t="shared" ca="1" si="628"/>
        <v>0</v>
      </c>
      <c r="BQ46" s="26">
        <f t="shared" ca="1" si="628"/>
        <v>0</v>
      </c>
      <c r="BR46" s="26">
        <f t="shared" ca="1" si="628"/>
        <v>0</v>
      </c>
      <c r="BS46" s="26">
        <f t="shared" ca="1" si="628"/>
        <v>0</v>
      </c>
      <c r="BT46" s="26">
        <f t="shared" ca="1" si="628"/>
        <v>0</v>
      </c>
      <c r="BU46" s="26">
        <f t="shared" ca="1" si="628"/>
        <v>0</v>
      </c>
      <c r="BV46" s="26">
        <f t="shared" ca="1" si="628"/>
        <v>0</v>
      </c>
      <c r="BW46" s="26">
        <f t="shared" ca="1" si="628"/>
        <v>0</v>
      </c>
      <c r="BX46" s="26">
        <f t="shared" ca="1" si="628"/>
        <v>0</v>
      </c>
      <c r="BY46" s="26">
        <f t="shared" ca="1" si="628"/>
        <v>0</v>
      </c>
      <c r="BZ46" s="26">
        <f t="shared" ca="1" si="628"/>
        <v>0</v>
      </c>
      <c r="CA46" s="26">
        <f t="shared" ca="1" si="628"/>
        <v>0</v>
      </c>
      <c r="CB46" s="26">
        <f t="shared" ca="1" si="628"/>
        <v>0</v>
      </c>
      <c r="CC46" s="26">
        <f t="shared" ca="1" si="628"/>
        <v>0</v>
      </c>
      <c r="CD46" s="26">
        <f t="shared" ca="1" si="628"/>
        <v>0</v>
      </c>
      <c r="CE46" s="26">
        <f t="shared" ca="1" si="628"/>
        <v>0</v>
      </c>
      <c r="CF46" s="26">
        <f t="shared" ca="1" si="628"/>
        <v>0</v>
      </c>
      <c r="CG46" s="26">
        <f t="shared" ca="1" si="628"/>
        <v>0</v>
      </c>
      <c r="CH46" s="26">
        <f t="shared" ca="1" si="628"/>
        <v>0</v>
      </c>
      <c r="CI46" s="26">
        <f t="shared" ca="1" si="628"/>
        <v>0</v>
      </c>
      <c r="CJ46" s="26">
        <f t="shared" ca="1" si="628"/>
        <v>0</v>
      </c>
      <c r="CK46" s="26">
        <f t="shared" ca="1" si="628"/>
        <v>0</v>
      </c>
      <c r="CL46" s="26">
        <f t="shared" ca="1" si="628"/>
        <v>0</v>
      </c>
      <c r="CM46" s="26">
        <f t="shared" ca="1" si="628"/>
        <v>0</v>
      </c>
      <c r="CN46" s="26">
        <f t="shared" ca="1" si="628"/>
        <v>0</v>
      </c>
      <c r="CO46" s="26">
        <f t="shared" ca="1" si="628"/>
        <v>0</v>
      </c>
      <c r="CP46" s="26">
        <f t="shared" ca="1" si="628"/>
        <v>0</v>
      </c>
      <c r="CQ46" s="26">
        <f t="shared" ref="CQ46:EL46" ca="1" si="629">+CQ44</f>
        <v>0</v>
      </c>
      <c r="CR46" s="26">
        <f t="shared" ca="1" si="629"/>
        <v>0</v>
      </c>
      <c r="CS46" s="26">
        <f t="shared" ca="1" si="629"/>
        <v>0</v>
      </c>
      <c r="CT46" s="26">
        <f t="shared" ca="1" si="629"/>
        <v>0</v>
      </c>
      <c r="CU46" s="26">
        <f t="shared" ca="1" si="629"/>
        <v>0</v>
      </c>
      <c r="CV46" s="26">
        <f t="shared" ca="1" si="629"/>
        <v>0</v>
      </c>
      <c r="CW46" s="26">
        <f t="shared" ca="1" si="629"/>
        <v>0</v>
      </c>
      <c r="CX46" s="26">
        <f t="shared" ca="1" si="629"/>
        <v>0</v>
      </c>
      <c r="CY46" s="26">
        <f t="shared" ca="1" si="629"/>
        <v>0</v>
      </c>
      <c r="CZ46" s="26">
        <f t="shared" ca="1" si="629"/>
        <v>0</v>
      </c>
      <c r="DA46" s="26">
        <f t="shared" ca="1" si="629"/>
        <v>0</v>
      </c>
      <c r="DB46" s="26">
        <f t="shared" ca="1" si="629"/>
        <v>0</v>
      </c>
      <c r="DC46" s="26">
        <f t="shared" ca="1" si="629"/>
        <v>0</v>
      </c>
      <c r="DD46" s="26">
        <f t="shared" ca="1" si="629"/>
        <v>0</v>
      </c>
      <c r="DE46" s="26">
        <f t="shared" ca="1" si="629"/>
        <v>0</v>
      </c>
      <c r="DF46" s="26">
        <f t="shared" ca="1" si="629"/>
        <v>0</v>
      </c>
      <c r="DG46" s="26">
        <f t="shared" ca="1" si="629"/>
        <v>0</v>
      </c>
      <c r="DH46" s="26">
        <f t="shared" ca="1" si="629"/>
        <v>0</v>
      </c>
      <c r="DI46" s="26">
        <f t="shared" ca="1" si="629"/>
        <v>0</v>
      </c>
      <c r="DJ46" s="26">
        <f t="shared" ca="1" si="629"/>
        <v>0</v>
      </c>
      <c r="DK46" s="26">
        <f t="shared" ca="1" si="629"/>
        <v>0</v>
      </c>
      <c r="DL46" s="26">
        <f t="shared" ca="1" si="629"/>
        <v>0</v>
      </c>
      <c r="DM46" s="26">
        <f t="shared" ca="1" si="629"/>
        <v>0</v>
      </c>
      <c r="DN46" s="26">
        <f t="shared" ca="1" si="629"/>
        <v>0</v>
      </c>
      <c r="DO46" s="26">
        <f t="shared" ca="1" si="629"/>
        <v>0</v>
      </c>
      <c r="DP46" s="26">
        <f t="shared" ca="1" si="629"/>
        <v>0</v>
      </c>
      <c r="DQ46" s="26">
        <f t="shared" ca="1" si="629"/>
        <v>0</v>
      </c>
      <c r="DR46" s="26">
        <f t="shared" ca="1" si="629"/>
        <v>0</v>
      </c>
      <c r="DS46" s="26">
        <f t="shared" ca="1" si="629"/>
        <v>0</v>
      </c>
      <c r="DT46" s="26">
        <f t="shared" ca="1" si="629"/>
        <v>0</v>
      </c>
      <c r="DU46" s="26">
        <f t="shared" ca="1" si="629"/>
        <v>0</v>
      </c>
      <c r="DV46" s="26">
        <f t="shared" ca="1" si="629"/>
        <v>0</v>
      </c>
      <c r="DW46" s="26">
        <f t="shared" ca="1" si="629"/>
        <v>0</v>
      </c>
      <c r="DX46" s="26">
        <f t="shared" ca="1" si="629"/>
        <v>0</v>
      </c>
      <c r="DY46" s="26">
        <f t="shared" ca="1" si="629"/>
        <v>0</v>
      </c>
      <c r="DZ46" s="26">
        <f t="shared" ca="1" si="629"/>
        <v>0</v>
      </c>
      <c r="EA46" s="26">
        <f t="shared" ca="1" si="629"/>
        <v>0</v>
      </c>
      <c r="EB46" s="26">
        <f t="shared" ca="1" si="629"/>
        <v>0</v>
      </c>
      <c r="EC46" s="26">
        <f t="shared" ca="1" si="629"/>
        <v>0</v>
      </c>
      <c r="ED46" s="26">
        <f t="shared" ca="1" si="629"/>
        <v>0</v>
      </c>
      <c r="EE46" s="26">
        <f t="shared" ca="1" si="629"/>
        <v>0</v>
      </c>
      <c r="EF46" s="26">
        <f t="shared" ca="1" si="629"/>
        <v>0</v>
      </c>
      <c r="EG46" s="26">
        <f t="shared" ca="1" si="629"/>
        <v>0</v>
      </c>
      <c r="EH46" s="26">
        <f t="shared" ca="1" si="629"/>
        <v>0</v>
      </c>
      <c r="EI46" s="26">
        <f t="shared" ca="1" si="629"/>
        <v>0</v>
      </c>
      <c r="EJ46" s="26">
        <f t="shared" ca="1" si="629"/>
        <v>0</v>
      </c>
      <c r="EK46" s="26">
        <f t="shared" ca="1" si="629"/>
        <v>0</v>
      </c>
      <c r="EL46" s="26">
        <f t="shared" ca="1" si="629"/>
        <v>0</v>
      </c>
      <c r="EM46" s="26">
        <f t="shared" ref="EM46:FD46" ca="1" si="630">+EM44</f>
        <v>0</v>
      </c>
      <c r="EN46" s="26">
        <f t="shared" ca="1" si="630"/>
        <v>0</v>
      </c>
      <c r="EO46" s="26">
        <f t="shared" ca="1" si="630"/>
        <v>0</v>
      </c>
      <c r="EP46" s="26">
        <f t="shared" ca="1" si="630"/>
        <v>0</v>
      </c>
      <c r="EQ46" s="26">
        <f t="shared" ca="1" si="630"/>
        <v>0</v>
      </c>
      <c r="ER46" s="26">
        <f t="shared" ca="1" si="630"/>
        <v>0</v>
      </c>
      <c r="ES46" s="26">
        <f t="shared" ca="1" si="630"/>
        <v>0</v>
      </c>
      <c r="ET46" s="26">
        <f t="shared" ca="1" si="630"/>
        <v>0</v>
      </c>
      <c r="EU46" s="26">
        <f t="shared" ca="1" si="630"/>
        <v>0</v>
      </c>
      <c r="EV46" s="26">
        <f t="shared" ca="1" si="630"/>
        <v>0</v>
      </c>
      <c r="EW46" s="26">
        <f t="shared" ca="1" si="630"/>
        <v>0</v>
      </c>
      <c r="EX46" s="26">
        <f t="shared" ca="1" si="630"/>
        <v>0</v>
      </c>
      <c r="EY46" s="26">
        <f t="shared" ca="1" si="630"/>
        <v>0</v>
      </c>
      <c r="EZ46" s="26">
        <f t="shared" ca="1" si="630"/>
        <v>0</v>
      </c>
      <c r="FA46" s="26">
        <f t="shared" ca="1" si="630"/>
        <v>0</v>
      </c>
      <c r="FB46" s="26">
        <f t="shared" ca="1" si="630"/>
        <v>0</v>
      </c>
      <c r="FC46" s="26">
        <f t="shared" ca="1" si="630"/>
        <v>0</v>
      </c>
      <c r="FD46" s="26">
        <f t="shared" ca="1" si="630"/>
        <v>0</v>
      </c>
      <c r="FE46" s="26">
        <f t="shared" ref="FE46:FI46" ca="1" si="631">+FE44</f>
        <v>0</v>
      </c>
      <c r="FF46" s="26">
        <f t="shared" ca="1" si="631"/>
        <v>0</v>
      </c>
      <c r="FG46" s="26">
        <f t="shared" ca="1" si="631"/>
        <v>0</v>
      </c>
      <c r="FH46" s="26">
        <f t="shared" ca="1" si="631"/>
        <v>0</v>
      </c>
      <c r="FI46" s="26">
        <f t="shared" ca="1" si="631"/>
        <v>0</v>
      </c>
      <c r="FJ46" s="26">
        <f t="shared" ref="FJ46:GC46" ca="1" si="632">+FJ44</f>
        <v>0</v>
      </c>
      <c r="FK46" s="26">
        <f t="shared" ca="1" si="632"/>
        <v>0</v>
      </c>
      <c r="FL46" s="26">
        <f t="shared" ca="1" si="632"/>
        <v>0</v>
      </c>
      <c r="FM46" s="26">
        <f t="shared" ca="1" si="632"/>
        <v>0</v>
      </c>
      <c r="FN46" s="26">
        <f t="shared" ca="1" si="632"/>
        <v>0</v>
      </c>
      <c r="FO46" s="26">
        <f t="shared" ca="1" si="632"/>
        <v>0</v>
      </c>
      <c r="FP46" s="26">
        <f t="shared" ca="1" si="632"/>
        <v>0</v>
      </c>
      <c r="FQ46" s="26">
        <f t="shared" ca="1" si="632"/>
        <v>0</v>
      </c>
      <c r="FR46" s="26">
        <f t="shared" ca="1" si="632"/>
        <v>0</v>
      </c>
      <c r="FS46" s="26">
        <f t="shared" ca="1" si="632"/>
        <v>0</v>
      </c>
      <c r="FT46" s="26">
        <f t="shared" ca="1" si="632"/>
        <v>0</v>
      </c>
      <c r="FU46" s="26">
        <f t="shared" ca="1" si="632"/>
        <v>0</v>
      </c>
      <c r="FV46" s="26">
        <f t="shared" ca="1" si="632"/>
        <v>0</v>
      </c>
      <c r="FW46" s="26">
        <f t="shared" ca="1" si="632"/>
        <v>0</v>
      </c>
      <c r="FX46" s="26">
        <f t="shared" ca="1" si="632"/>
        <v>0</v>
      </c>
      <c r="FY46" s="26">
        <f t="shared" ca="1" si="632"/>
        <v>0</v>
      </c>
      <c r="FZ46" s="26">
        <f t="shared" ca="1" si="632"/>
        <v>0</v>
      </c>
      <c r="GA46" s="26">
        <f t="shared" ca="1" si="632"/>
        <v>0</v>
      </c>
      <c r="GB46" s="26">
        <f t="shared" ca="1" si="632"/>
        <v>0</v>
      </c>
      <c r="GC46" s="26">
        <f t="shared" ca="1" si="632"/>
        <v>0</v>
      </c>
      <c r="GD46" s="26">
        <f t="shared" ref="GD46:GT46" ca="1" si="633">+GD44</f>
        <v>0</v>
      </c>
      <c r="GE46" s="26">
        <f t="shared" ca="1" si="633"/>
        <v>0</v>
      </c>
      <c r="GF46" s="26">
        <f t="shared" ca="1" si="633"/>
        <v>0</v>
      </c>
      <c r="GG46" s="26">
        <f t="shared" ca="1" si="633"/>
        <v>0</v>
      </c>
      <c r="GH46" s="26">
        <f t="shared" ca="1" si="633"/>
        <v>0</v>
      </c>
      <c r="GI46" s="26">
        <f t="shared" ca="1" si="633"/>
        <v>0</v>
      </c>
      <c r="GJ46" s="26">
        <f t="shared" ca="1" si="633"/>
        <v>0</v>
      </c>
      <c r="GK46" s="26">
        <f t="shared" ca="1" si="633"/>
        <v>0</v>
      </c>
      <c r="GL46" s="26">
        <f t="shared" ca="1" si="633"/>
        <v>0</v>
      </c>
      <c r="GM46" s="26">
        <f t="shared" ca="1" si="633"/>
        <v>0</v>
      </c>
      <c r="GN46" s="26">
        <f t="shared" ca="1" si="633"/>
        <v>0</v>
      </c>
      <c r="GO46" s="26">
        <f t="shared" ca="1" si="633"/>
        <v>0</v>
      </c>
      <c r="GP46" s="26">
        <f t="shared" ca="1" si="633"/>
        <v>0</v>
      </c>
      <c r="GQ46" s="26">
        <f t="shared" ca="1" si="633"/>
        <v>0</v>
      </c>
      <c r="GR46" s="26">
        <f t="shared" ca="1" si="633"/>
        <v>0</v>
      </c>
      <c r="GS46" s="26">
        <f t="shared" ca="1" si="633"/>
        <v>0</v>
      </c>
      <c r="GT46" s="26">
        <f t="shared" ca="1" si="633"/>
        <v>0</v>
      </c>
      <c r="GU46" s="26"/>
      <c r="GV46" s="26"/>
      <c r="GW46" s="26"/>
      <c r="GX46" s="26"/>
      <c r="GY46" s="26"/>
      <c r="GZ46" s="26"/>
      <c r="HA46" s="26"/>
      <c r="HB46" s="26"/>
      <c r="HC46" s="26"/>
      <c r="HD46" s="26"/>
      <c r="HE46" s="26"/>
      <c r="HF46" s="1" t="s">
        <v>212</v>
      </c>
      <c r="HG46" s="139" t="e">
        <f t="shared" si="519"/>
        <v>#REF!</v>
      </c>
      <c r="HH46" s="141" t="str">
        <f>B46</f>
        <v>Office SF Leased</v>
      </c>
      <c r="HI46" s="26"/>
      <c r="HJ46" s="26"/>
      <c r="HK46" s="26"/>
      <c r="HL46" s="132">
        <f ca="1">SUM(HN46:HV46)</f>
        <v>0</v>
      </c>
      <c r="HM46" s="26"/>
      <c r="HN46" s="133">
        <f>SUMIF($K$14:$GT$14,HN$14,$K46:$GT46)</f>
        <v>0</v>
      </c>
      <c r="HO46" s="26">
        <f t="shared" ref="HO46:HV46" ca="1" si="634">SUMIF($K$14:$GT$14,HO$14,$K46:$GT46)</f>
        <v>0</v>
      </c>
      <c r="HP46" s="26">
        <f t="shared" ca="1" si="634"/>
        <v>0</v>
      </c>
      <c r="HQ46" s="26">
        <f t="shared" ca="1" si="634"/>
        <v>0</v>
      </c>
      <c r="HR46" s="26">
        <f t="shared" ca="1" si="634"/>
        <v>0</v>
      </c>
      <c r="HS46" s="26">
        <f t="shared" ca="1" si="634"/>
        <v>0</v>
      </c>
      <c r="HT46" s="26">
        <f t="shared" ca="1" si="634"/>
        <v>0</v>
      </c>
      <c r="HU46" s="26">
        <f t="shared" ca="1" si="634"/>
        <v>0</v>
      </c>
      <c r="HV46" s="26">
        <f t="shared" ca="1" si="634"/>
        <v>0</v>
      </c>
      <c r="HW46"/>
    </row>
    <row r="47" spans="1:231" ht="15" hidden="1" outlineLevel="1">
      <c r="B47" s="141"/>
      <c r="D47" s="471"/>
      <c r="E47" s="472"/>
      <c r="F47" s="474"/>
      <c r="I47" s="132"/>
      <c r="J47" s="26"/>
      <c r="K47" s="133"/>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c r="FJ47" s="26"/>
      <c r="FK47" s="26"/>
      <c r="FL47" s="26"/>
      <c r="FM47" s="26"/>
      <c r="FN47" s="26"/>
      <c r="FO47" s="26"/>
      <c r="FP47" s="26"/>
      <c r="FQ47" s="26"/>
      <c r="FR47" s="26"/>
      <c r="FS47" s="26"/>
      <c r="FT47" s="26"/>
      <c r="FU47" s="26"/>
      <c r="FV47" s="26"/>
      <c r="FW47" s="26"/>
      <c r="FX47" s="26"/>
      <c r="FY47" s="26"/>
      <c r="FZ47" s="26"/>
      <c r="GA47" s="26"/>
      <c r="GB47" s="26"/>
      <c r="GC47" s="26"/>
      <c r="GD47" s="26"/>
      <c r="GE47" s="26"/>
      <c r="GF47" s="26"/>
      <c r="GG47" s="26"/>
      <c r="GH47" s="26"/>
      <c r="GI47" s="26"/>
      <c r="GJ47" s="26"/>
      <c r="GK47" s="26"/>
      <c r="GL47" s="26"/>
      <c r="GM47" s="26"/>
      <c r="GN47" s="26"/>
      <c r="GO47" s="26"/>
      <c r="GP47" s="26"/>
      <c r="GQ47" s="26"/>
      <c r="GR47" s="26"/>
      <c r="GS47" s="26"/>
      <c r="GT47" s="26"/>
      <c r="GU47" s="26"/>
      <c r="GV47" s="26"/>
      <c r="GW47" s="26"/>
      <c r="GX47" s="26"/>
      <c r="GY47" s="26"/>
      <c r="GZ47" s="26"/>
      <c r="HA47" s="26"/>
      <c r="HB47" s="26"/>
      <c r="HC47" s="26"/>
      <c r="HD47" s="26"/>
      <c r="HE47" s="26"/>
      <c r="HF47" s="1" t="s">
        <v>212</v>
      </c>
      <c r="HG47" s="139" t="e">
        <f t="shared" si="519"/>
        <v>#REF!</v>
      </c>
      <c r="HH47" s="141"/>
      <c r="HI47" s="26"/>
      <c r="HJ47" s="26"/>
      <c r="HK47" s="26"/>
      <c r="HL47" s="132"/>
      <c r="HM47" s="26"/>
      <c r="HN47" s="133"/>
      <c r="HO47" s="26"/>
      <c r="HP47" s="26"/>
      <c r="HQ47" s="26"/>
      <c r="HR47" s="26"/>
      <c r="HS47" s="26"/>
      <c r="HT47" s="26"/>
      <c r="HU47" s="26"/>
      <c r="HV47" s="26"/>
      <c r="HW47"/>
    </row>
    <row r="48" spans="1:231" ht="15" hidden="1" outlineLevel="1">
      <c r="B48" s="1005" t="s">
        <v>208</v>
      </c>
      <c r="D48" s="471"/>
      <c r="E48" s="472"/>
      <c r="F48" s="474"/>
      <c r="I48" s="132"/>
      <c r="J48" s="26"/>
      <c r="K48" s="133">
        <f ca="1">K45</f>
        <v>0</v>
      </c>
      <c r="L48" s="26">
        <f ca="1">L45</f>
        <v>0</v>
      </c>
      <c r="M48" s="26">
        <f ca="1">M45</f>
        <v>0</v>
      </c>
      <c r="N48" s="26">
        <f t="shared" ref="N48:BX48" ca="1" si="635">N45</f>
        <v>0</v>
      </c>
      <c r="O48" s="26">
        <f t="shared" ca="1" si="635"/>
        <v>0</v>
      </c>
      <c r="P48" s="26">
        <f t="shared" ca="1" si="635"/>
        <v>0</v>
      </c>
      <c r="Q48" s="26">
        <f t="shared" ca="1" si="635"/>
        <v>0</v>
      </c>
      <c r="R48" s="26">
        <f t="shared" ca="1" si="635"/>
        <v>0</v>
      </c>
      <c r="S48" s="26">
        <f t="shared" ca="1" si="635"/>
        <v>0</v>
      </c>
      <c r="T48" s="26">
        <f t="shared" ca="1" si="635"/>
        <v>0</v>
      </c>
      <c r="U48" s="26">
        <f t="shared" ca="1" si="635"/>
        <v>0</v>
      </c>
      <c r="V48" s="26">
        <f t="shared" ca="1" si="635"/>
        <v>0</v>
      </c>
      <c r="W48" s="26">
        <f t="shared" ca="1" si="635"/>
        <v>0</v>
      </c>
      <c r="X48" s="26">
        <f t="shared" ca="1" si="635"/>
        <v>0</v>
      </c>
      <c r="Y48" s="26">
        <f t="shared" ca="1" si="635"/>
        <v>0</v>
      </c>
      <c r="Z48" s="26">
        <f t="shared" ca="1" si="635"/>
        <v>0</v>
      </c>
      <c r="AA48" s="26">
        <f t="shared" ca="1" si="635"/>
        <v>0</v>
      </c>
      <c r="AB48" s="26">
        <f t="shared" ca="1" si="635"/>
        <v>0</v>
      </c>
      <c r="AC48" s="26">
        <f t="shared" ca="1" si="635"/>
        <v>0</v>
      </c>
      <c r="AD48" s="26">
        <f t="shared" ca="1" si="635"/>
        <v>0</v>
      </c>
      <c r="AE48" s="26">
        <f t="shared" ca="1" si="635"/>
        <v>0</v>
      </c>
      <c r="AF48" s="26">
        <f t="shared" ca="1" si="635"/>
        <v>0</v>
      </c>
      <c r="AG48" s="26">
        <f t="shared" ca="1" si="635"/>
        <v>0</v>
      </c>
      <c r="AH48" s="26">
        <f t="shared" ca="1" si="635"/>
        <v>0</v>
      </c>
      <c r="AI48" s="26">
        <f t="shared" ca="1" si="635"/>
        <v>0</v>
      </c>
      <c r="AJ48" s="26">
        <f t="shared" ca="1" si="635"/>
        <v>0</v>
      </c>
      <c r="AK48" s="26">
        <f t="shared" ca="1" si="635"/>
        <v>0</v>
      </c>
      <c r="AL48" s="26">
        <f t="shared" ca="1" si="635"/>
        <v>0</v>
      </c>
      <c r="AM48" s="26">
        <f t="shared" ca="1" si="635"/>
        <v>0</v>
      </c>
      <c r="AN48" s="26">
        <f t="shared" ca="1" si="635"/>
        <v>0</v>
      </c>
      <c r="AO48" s="26">
        <f t="shared" ca="1" si="635"/>
        <v>0</v>
      </c>
      <c r="AP48" s="26">
        <f t="shared" ca="1" si="635"/>
        <v>0</v>
      </c>
      <c r="AQ48" s="26">
        <f t="shared" ca="1" si="635"/>
        <v>0</v>
      </c>
      <c r="AR48" s="26">
        <f t="shared" ca="1" si="635"/>
        <v>0</v>
      </c>
      <c r="AS48" s="26">
        <f t="shared" ca="1" si="635"/>
        <v>0</v>
      </c>
      <c r="AT48" s="26">
        <f t="shared" ca="1" si="635"/>
        <v>0</v>
      </c>
      <c r="AU48" s="26">
        <f t="shared" ca="1" si="635"/>
        <v>0</v>
      </c>
      <c r="AV48" s="26">
        <f t="shared" ca="1" si="635"/>
        <v>0</v>
      </c>
      <c r="AW48" s="26">
        <f t="shared" ca="1" si="635"/>
        <v>0</v>
      </c>
      <c r="AX48" s="26">
        <f t="shared" ca="1" si="635"/>
        <v>0</v>
      </c>
      <c r="AY48" s="26">
        <f t="shared" ca="1" si="635"/>
        <v>0</v>
      </c>
      <c r="AZ48" s="26">
        <f t="shared" ca="1" si="635"/>
        <v>0</v>
      </c>
      <c r="BA48" s="26">
        <f t="shared" ca="1" si="635"/>
        <v>0</v>
      </c>
      <c r="BB48" s="26">
        <f t="shared" ca="1" si="635"/>
        <v>0</v>
      </c>
      <c r="BC48" s="26">
        <f t="shared" ca="1" si="635"/>
        <v>0</v>
      </c>
      <c r="BD48" s="26">
        <f t="shared" ca="1" si="635"/>
        <v>0</v>
      </c>
      <c r="BE48" s="26">
        <f t="shared" ca="1" si="635"/>
        <v>0</v>
      </c>
      <c r="BF48" s="26">
        <f t="shared" ca="1" si="635"/>
        <v>0</v>
      </c>
      <c r="BG48" s="26">
        <f t="shared" ca="1" si="635"/>
        <v>0</v>
      </c>
      <c r="BH48" s="26">
        <f t="shared" ca="1" si="635"/>
        <v>0</v>
      </c>
      <c r="BI48" s="26">
        <f t="shared" ca="1" si="635"/>
        <v>0</v>
      </c>
      <c r="BJ48" s="26">
        <f t="shared" ca="1" si="635"/>
        <v>0</v>
      </c>
      <c r="BK48" s="26">
        <f t="shared" ca="1" si="635"/>
        <v>0</v>
      </c>
      <c r="BL48" s="26">
        <f t="shared" ca="1" si="635"/>
        <v>0</v>
      </c>
      <c r="BM48" s="26">
        <f t="shared" ca="1" si="635"/>
        <v>0</v>
      </c>
      <c r="BN48" s="26">
        <f t="shared" ca="1" si="635"/>
        <v>0</v>
      </c>
      <c r="BO48" s="26">
        <f t="shared" ca="1" si="635"/>
        <v>0</v>
      </c>
      <c r="BP48" s="26">
        <f t="shared" ca="1" si="635"/>
        <v>0</v>
      </c>
      <c r="BQ48" s="26">
        <f t="shared" ca="1" si="635"/>
        <v>0</v>
      </c>
      <c r="BR48" s="26">
        <f t="shared" ca="1" si="635"/>
        <v>0</v>
      </c>
      <c r="BS48" s="26">
        <f t="shared" ca="1" si="635"/>
        <v>0</v>
      </c>
      <c r="BT48" s="26">
        <f t="shared" ca="1" si="635"/>
        <v>0</v>
      </c>
      <c r="BU48" s="26">
        <f t="shared" ca="1" si="635"/>
        <v>0</v>
      </c>
      <c r="BV48" s="26">
        <f t="shared" ca="1" si="635"/>
        <v>0</v>
      </c>
      <c r="BW48" s="26">
        <f t="shared" ca="1" si="635"/>
        <v>0</v>
      </c>
      <c r="BX48" s="26">
        <f t="shared" ca="1" si="635"/>
        <v>0</v>
      </c>
      <c r="BY48" s="26">
        <f t="shared" ref="BY48:EJ48" ca="1" si="636">BY45</f>
        <v>0</v>
      </c>
      <c r="BZ48" s="26">
        <f t="shared" ca="1" si="636"/>
        <v>0</v>
      </c>
      <c r="CA48" s="26">
        <f t="shared" ca="1" si="636"/>
        <v>0</v>
      </c>
      <c r="CB48" s="26">
        <f t="shared" ca="1" si="636"/>
        <v>0</v>
      </c>
      <c r="CC48" s="26">
        <f t="shared" ca="1" si="636"/>
        <v>0</v>
      </c>
      <c r="CD48" s="26">
        <f t="shared" ca="1" si="636"/>
        <v>0</v>
      </c>
      <c r="CE48" s="26">
        <f t="shared" ca="1" si="636"/>
        <v>0</v>
      </c>
      <c r="CF48" s="26">
        <f t="shared" ca="1" si="636"/>
        <v>0</v>
      </c>
      <c r="CG48" s="26">
        <f t="shared" ca="1" si="636"/>
        <v>0</v>
      </c>
      <c r="CH48" s="26">
        <f t="shared" ca="1" si="636"/>
        <v>0</v>
      </c>
      <c r="CI48" s="26">
        <f t="shared" ca="1" si="636"/>
        <v>0</v>
      </c>
      <c r="CJ48" s="26">
        <f t="shared" ca="1" si="636"/>
        <v>0</v>
      </c>
      <c r="CK48" s="26">
        <f t="shared" ca="1" si="636"/>
        <v>0</v>
      </c>
      <c r="CL48" s="26">
        <f t="shared" ca="1" si="636"/>
        <v>0</v>
      </c>
      <c r="CM48" s="26">
        <f t="shared" ca="1" si="636"/>
        <v>0</v>
      </c>
      <c r="CN48" s="26">
        <f t="shared" ca="1" si="636"/>
        <v>0</v>
      </c>
      <c r="CO48" s="26">
        <f t="shared" ca="1" si="636"/>
        <v>0</v>
      </c>
      <c r="CP48" s="26">
        <f t="shared" ca="1" si="636"/>
        <v>0</v>
      </c>
      <c r="CQ48" s="26">
        <f t="shared" ca="1" si="636"/>
        <v>0</v>
      </c>
      <c r="CR48" s="26">
        <f t="shared" ca="1" si="636"/>
        <v>0</v>
      </c>
      <c r="CS48" s="26">
        <f t="shared" ca="1" si="636"/>
        <v>0</v>
      </c>
      <c r="CT48" s="26">
        <f t="shared" ca="1" si="636"/>
        <v>0</v>
      </c>
      <c r="CU48" s="26">
        <f t="shared" ca="1" si="636"/>
        <v>0</v>
      </c>
      <c r="CV48" s="26">
        <f t="shared" ca="1" si="636"/>
        <v>0</v>
      </c>
      <c r="CW48" s="26">
        <f t="shared" ca="1" si="636"/>
        <v>0</v>
      </c>
      <c r="CX48" s="26">
        <f t="shared" ca="1" si="636"/>
        <v>0</v>
      </c>
      <c r="CY48" s="26">
        <f t="shared" ca="1" si="636"/>
        <v>0</v>
      </c>
      <c r="CZ48" s="26">
        <f t="shared" ca="1" si="636"/>
        <v>0</v>
      </c>
      <c r="DA48" s="26">
        <f t="shared" ca="1" si="636"/>
        <v>0</v>
      </c>
      <c r="DB48" s="26">
        <f t="shared" ca="1" si="636"/>
        <v>0</v>
      </c>
      <c r="DC48" s="26">
        <f t="shared" ca="1" si="636"/>
        <v>0</v>
      </c>
      <c r="DD48" s="26">
        <f t="shared" ca="1" si="636"/>
        <v>0</v>
      </c>
      <c r="DE48" s="26">
        <f t="shared" ca="1" si="636"/>
        <v>0</v>
      </c>
      <c r="DF48" s="26">
        <f t="shared" ca="1" si="636"/>
        <v>0</v>
      </c>
      <c r="DG48" s="26">
        <f t="shared" ca="1" si="636"/>
        <v>0</v>
      </c>
      <c r="DH48" s="26">
        <f t="shared" ca="1" si="636"/>
        <v>0</v>
      </c>
      <c r="DI48" s="26">
        <f t="shared" ca="1" si="636"/>
        <v>0</v>
      </c>
      <c r="DJ48" s="26">
        <f t="shared" ca="1" si="636"/>
        <v>0</v>
      </c>
      <c r="DK48" s="26">
        <f t="shared" ca="1" si="636"/>
        <v>0</v>
      </c>
      <c r="DL48" s="26">
        <f t="shared" ca="1" si="636"/>
        <v>0</v>
      </c>
      <c r="DM48" s="26">
        <f t="shared" ca="1" si="636"/>
        <v>0</v>
      </c>
      <c r="DN48" s="26">
        <f t="shared" ca="1" si="636"/>
        <v>0</v>
      </c>
      <c r="DO48" s="26">
        <f t="shared" ca="1" si="636"/>
        <v>0</v>
      </c>
      <c r="DP48" s="26">
        <f t="shared" ca="1" si="636"/>
        <v>0</v>
      </c>
      <c r="DQ48" s="26">
        <f t="shared" ca="1" si="636"/>
        <v>0</v>
      </c>
      <c r="DR48" s="26">
        <f t="shared" ca="1" si="636"/>
        <v>0</v>
      </c>
      <c r="DS48" s="26">
        <f t="shared" ca="1" si="636"/>
        <v>0</v>
      </c>
      <c r="DT48" s="26">
        <f t="shared" ca="1" si="636"/>
        <v>0</v>
      </c>
      <c r="DU48" s="26">
        <f t="shared" ca="1" si="636"/>
        <v>0</v>
      </c>
      <c r="DV48" s="26">
        <f t="shared" ca="1" si="636"/>
        <v>0</v>
      </c>
      <c r="DW48" s="26">
        <f t="shared" ca="1" si="636"/>
        <v>0</v>
      </c>
      <c r="DX48" s="26">
        <f t="shared" ca="1" si="636"/>
        <v>0</v>
      </c>
      <c r="DY48" s="26">
        <f t="shared" ca="1" si="636"/>
        <v>0</v>
      </c>
      <c r="DZ48" s="26">
        <f t="shared" ca="1" si="636"/>
        <v>0</v>
      </c>
      <c r="EA48" s="26">
        <f t="shared" ca="1" si="636"/>
        <v>0</v>
      </c>
      <c r="EB48" s="26">
        <f t="shared" ca="1" si="636"/>
        <v>0</v>
      </c>
      <c r="EC48" s="26">
        <f t="shared" ca="1" si="636"/>
        <v>0</v>
      </c>
      <c r="ED48" s="26">
        <f t="shared" ca="1" si="636"/>
        <v>0</v>
      </c>
      <c r="EE48" s="26">
        <f t="shared" ca="1" si="636"/>
        <v>0</v>
      </c>
      <c r="EF48" s="26">
        <f t="shared" ca="1" si="636"/>
        <v>0</v>
      </c>
      <c r="EG48" s="26">
        <f t="shared" ca="1" si="636"/>
        <v>0</v>
      </c>
      <c r="EH48" s="26">
        <f t="shared" ca="1" si="636"/>
        <v>0</v>
      </c>
      <c r="EI48" s="26">
        <f t="shared" ca="1" si="636"/>
        <v>0</v>
      </c>
      <c r="EJ48" s="26">
        <f t="shared" ca="1" si="636"/>
        <v>0</v>
      </c>
      <c r="EK48" s="26">
        <f t="shared" ref="EK48:EL48" ca="1" si="637">EK45</f>
        <v>0</v>
      </c>
      <c r="EL48" s="26">
        <f t="shared" ca="1" si="637"/>
        <v>0</v>
      </c>
      <c r="EM48" s="26">
        <f t="shared" ref="EM48:FD48" ca="1" si="638">EM45</f>
        <v>0</v>
      </c>
      <c r="EN48" s="26">
        <f t="shared" ca="1" si="638"/>
        <v>0</v>
      </c>
      <c r="EO48" s="26">
        <f t="shared" ca="1" si="638"/>
        <v>0</v>
      </c>
      <c r="EP48" s="26">
        <f t="shared" ca="1" si="638"/>
        <v>0</v>
      </c>
      <c r="EQ48" s="26">
        <f t="shared" ca="1" si="638"/>
        <v>0</v>
      </c>
      <c r="ER48" s="26">
        <f t="shared" ca="1" si="638"/>
        <v>0</v>
      </c>
      <c r="ES48" s="26">
        <f t="shared" ca="1" si="638"/>
        <v>0</v>
      </c>
      <c r="ET48" s="26">
        <f t="shared" ca="1" si="638"/>
        <v>0</v>
      </c>
      <c r="EU48" s="26">
        <f t="shared" ca="1" si="638"/>
        <v>0</v>
      </c>
      <c r="EV48" s="26">
        <f t="shared" ca="1" si="638"/>
        <v>0</v>
      </c>
      <c r="EW48" s="26">
        <f t="shared" ca="1" si="638"/>
        <v>0</v>
      </c>
      <c r="EX48" s="26">
        <f t="shared" ca="1" si="638"/>
        <v>0</v>
      </c>
      <c r="EY48" s="26">
        <f t="shared" ca="1" si="638"/>
        <v>0</v>
      </c>
      <c r="EZ48" s="26">
        <f t="shared" ca="1" si="638"/>
        <v>0</v>
      </c>
      <c r="FA48" s="26">
        <f t="shared" ca="1" si="638"/>
        <v>0</v>
      </c>
      <c r="FB48" s="26">
        <f t="shared" ca="1" si="638"/>
        <v>0</v>
      </c>
      <c r="FC48" s="26">
        <f t="shared" ca="1" si="638"/>
        <v>0</v>
      </c>
      <c r="FD48" s="26">
        <f t="shared" ca="1" si="638"/>
        <v>0</v>
      </c>
      <c r="FE48" s="26">
        <f t="shared" ref="FE48:FI48" ca="1" si="639">FE45</f>
        <v>0</v>
      </c>
      <c r="FF48" s="26">
        <f t="shared" ca="1" si="639"/>
        <v>0</v>
      </c>
      <c r="FG48" s="26">
        <f t="shared" ca="1" si="639"/>
        <v>0</v>
      </c>
      <c r="FH48" s="26">
        <f t="shared" ca="1" si="639"/>
        <v>0</v>
      </c>
      <c r="FI48" s="26">
        <f t="shared" ca="1" si="639"/>
        <v>0</v>
      </c>
      <c r="FJ48" s="26">
        <f t="shared" ref="FJ48:GC48" ca="1" si="640">FJ45</f>
        <v>0</v>
      </c>
      <c r="FK48" s="26">
        <f t="shared" ca="1" si="640"/>
        <v>0</v>
      </c>
      <c r="FL48" s="26">
        <f t="shared" ca="1" si="640"/>
        <v>0</v>
      </c>
      <c r="FM48" s="26">
        <f t="shared" ca="1" si="640"/>
        <v>0</v>
      </c>
      <c r="FN48" s="26">
        <f t="shared" ca="1" si="640"/>
        <v>0</v>
      </c>
      <c r="FO48" s="26">
        <f t="shared" ca="1" si="640"/>
        <v>0</v>
      </c>
      <c r="FP48" s="26">
        <f t="shared" ca="1" si="640"/>
        <v>0</v>
      </c>
      <c r="FQ48" s="26">
        <f t="shared" ca="1" si="640"/>
        <v>0</v>
      </c>
      <c r="FR48" s="26">
        <f t="shared" ca="1" si="640"/>
        <v>0</v>
      </c>
      <c r="FS48" s="26">
        <f t="shared" ca="1" si="640"/>
        <v>0</v>
      </c>
      <c r="FT48" s="26">
        <f t="shared" ca="1" si="640"/>
        <v>0</v>
      </c>
      <c r="FU48" s="26">
        <f t="shared" ca="1" si="640"/>
        <v>0</v>
      </c>
      <c r="FV48" s="26">
        <f t="shared" ca="1" si="640"/>
        <v>0</v>
      </c>
      <c r="FW48" s="26">
        <f t="shared" ca="1" si="640"/>
        <v>0</v>
      </c>
      <c r="FX48" s="26">
        <f t="shared" ca="1" si="640"/>
        <v>0</v>
      </c>
      <c r="FY48" s="26">
        <f t="shared" ca="1" si="640"/>
        <v>0</v>
      </c>
      <c r="FZ48" s="26">
        <f t="shared" ca="1" si="640"/>
        <v>0</v>
      </c>
      <c r="GA48" s="26">
        <f t="shared" ca="1" si="640"/>
        <v>0</v>
      </c>
      <c r="GB48" s="26">
        <f t="shared" ca="1" si="640"/>
        <v>0</v>
      </c>
      <c r="GC48" s="26">
        <f t="shared" ca="1" si="640"/>
        <v>0</v>
      </c>
      <c r="GD48" s="26">
        <f t="shared" ref="GD48:GT48" ca="1" si="641">GD45</f>
        <v>0</v>
      </c>
      <c r="GE48" s="26">
        <f t="shared" ca="1" si="641"/>
        <v>0</v>
      </c>
      <c r="GF48" s="26">
        <f t="shared" ca="1" si="641"/>
        <v>0</v>
      </c>
      <c r="GG48" s="26">
        <f t="shared" ca="1" si="641"/>
        <v>0</v>
      </c>
      <c r="GH48" s="26">
        <f t="shared" ca="1" si="641"/>
        <v>0</v>
      </c>
      <c r="GI48" s="26">
        <f t="shared" ca="1" si="641"/>
        <v>0</v>
      </c>
      <c r="GJ48" s="26">
        <f t="shared" ca="1" si="641"/>
        <v>0</v>
      </c>
      <c r="GK48" s="26">
        <f t="shared" ca="1" si="641"/>
        <v>0</v>
      </c>
      <c r="GL48" s="26">
        <f t="shared" ca="1" si="641"/>
        <v>0</v>
      </c>
      <c r="GM48" s="26">
        <f t="shared" ca="1" si="641"/>
        <v>0</v>
      </c>
      <c r="GN48" s="26">
        <f t="shared" ca="1" si="641"/>
        <v>0</v>
      </c>
      <c r="GO48" s="26">
        <f t="shared" ca="1" si="641"/>
        <v>0</v>
      </c>
      <c r="GP48" s="26">
        <f t="shared" ca="1" si="641"/>
        <v>0</v>
      </c>
      <c r="GQ48" s="26">
        <f t="shared" ca="1" si="641"/>
        <v>0</v>
      </c>
      <c r="GR48" s="26">
        <f t="shared" ca="1" si="641"/>
        <v>0</v>
      </c>
      <c r="GS48" s="26">
        <f t="shared" ca="1" si="641"/>
        <v>0</v>
      </c>
      <c r="GT48" s="26">
        <f t="shared" ca="1" si="641"/>
        <v>0</v>
      </c>
      <c r="GU48" s="26"/>
      <c r="GV48" s="26"/>
      <c r="GW48" s="26"/>
      <c r="GX48" s="26"/>
      <c r="GY48" s="26"/>
      <c r="GZ48" s="26"/>
      <c r="HA48" s="26"/>
      <c r="HB48" s="26"/>
      <c r="HC48" s="26"/>
      <c r="HD48" s="26"/>
      <c r="HE48" s="26"/>
      <c r="HF48" s="1" t="s">
        <v>212</v>
      </c>
      <c r="HG48" s="139" t="e">
        <f t="shared" si="519"/>
        <v>#REF!</v>
      </c>
      <c r="HH48" s="141"/>
      <c r="HI48" s="26"/>
      <c r="HJ48" s="26"/>
      <c r="HK48" s="26"/>
      <c r="HL48" s="132"/>
      <c r="HM48" s="26"/>
      <c r="HN48" s="133"/>
      <c r="HO48" s="26"/>
      <c r="HP48" s="26"/>
      <c r="HQ48" s="26"/>
      <c r="HR48" s="26"/>
      <c r="HS48" s="26"/>
      <c r="HT48" s="26"/>
      <c r="HU48" s="26"/>
      <c r="HV48" s="26"/>
      <c r="HW48"/>
    </row>
    <row r="49" spans="1:231" ht="15" collapsed="1">
      <c r="B49" s="141" t="s">
        <v>1961</v>
      </c>
      <c r="I49" s="97"/>
      <c r="K49" s="142">
        <f ca="1">K48/Assumptions!$F$7</f>
        <v>0</v>
      </c>
      <c r="L49" s="534">
        <f t="shared" ref="L49:BW49" si="642">(L55+L61)/L54+1</f>
        <v>1</v>
      </c>
      <c r="M49" s="534">
        <f t="shared" si="642"/>
        <v>1</v>
      </c>
      <c r="N49" s="534">
        <f t="shared" si="642"/>
        <v>1</v>
      </c>
      <c r="O49" s="534">
        <f t="shared" si="642"/>
        <v>1</v>
      </c>
      <c r="P49" s="534">
        <f t="shared" si="642"/>
        <v>1</v>
      </c>
      <c r="Q49" s="534">
        <f t="shared" si="642"/>
        <v>1</v>
      </c>
      <c r="R49" s="534">
        <f t="shared" si="642"/>
        <v>1</v>
      </c>
      <c r="S49" s="534">
        <f t="shared" si="642"/>
        <v>1</v>
      </c>
      <c r="T49" s="534">
        <f t="shared" si="642"/>
        <v>1</v>
      </c>
      <c r="U49" s="534">
        <f t="shared" si="642"/>
        <v>1</v>
      </c>
      <c r="V49" s="534">
        <f t="shared" si="642"/>
        <v>1</v>
      </c>
      <c r="W49" s="534">
        <f t="shared" si="642"/>
        <v>1</v>
      </c>
      <c r="X49" s="534">
        <f t="shared" si="642"/>
        <v>1</v>
      </c>
      <c r="Y49" s="534">
        <f t="shared" si="642"/>
        <v>1</v>
      </c>
      <c r="Z49" s="534">
        <f t="shared" si="642"/>
        <v>1</v>
      </c>
      <c r="AA49" s="534">
        <f t="shared" si="642"/>
        <v>1</v>
      </c>
      <c r="AB49" s="534">
        <f t="shared" si="642"/>
        <v>1</v>
      </c>
      <c r="AC49" s="534">
        <f t="shared" si="642"/>
        <v>1</v>
      </c>
      <c r="AD49" s="534">
        <f t="shared" si="642"/>
        <v>1</v>
      </c>
      <c r="AE49" s="534">
        <f t="shared" si="642"/>
        <v>1</v>
      </c>
      <c r="AF49" s="534">
        <f t="shared" si="642"/>
        <v>1</v>
      </c>
      <c r="AG49" s="534">
        <f t="shared" si="642"/>
        <v>1</v>
      </c>
      <c r="AH49" s="534">
        <f t="shared" si="642"/>
        <v>1</v>
      </c>
      <c r="AI49" s="534">
        <f t="shared" si="642"/>
        <v>1</v>
      </c>
      <c r="AJ49" s="534">
        <f t="shared" si="642"/>
        <v>1</v>
      </c>
      <c r="AK49" s="534">
        <f t="shared" si="642"/>
        <v>1</v>
      </c>
      <c r="AL49" s="534">
        <f t="shared" si="642"/>
        <v>1</v>
      </c>
      <c r="AM49" s="534">
        <f t="shared" si="642"/>
        <v>1</v>
      </c>
      <c r="AN49" s="534">
        <f t="shared" si="642"/>
        <v>1</v>
      </c>
      <c r="AO49" s="534">
        <f t="shared" si="642"/>
        <v>1</v>
      </c>
      <c r="AP49" s="534">
        <f t="shared" si="642"/>
        <v>1</v>
      </c>
      <c r="AQ49" s="534">
        <f t="shared" si="642"/>
        <v>1</v>
      </c>
      <c r="AR49" s="534">
        <f t="shared" si="642"/>
        <v>1</v>
      </c>
      <c r="AS49" s="534">
        <f t="shared" si="642"/>
        <v>1</v>
      </c>
      <c r="AT49" s="534">
        <f t="shared" si="642"/>
        <v>1</v>
      </c>
      <c r="AU49" s="534">
        <f t="shared" si="642"/>
        <v>1</v>
      </c>
      <c r="AV49" s="534">
        <f t="shared" si="642"/>
        <v>1</v>
      </c>
      <c r="AW49" s="534">
        <f t="shared" si="642"/>
        <v>1</v>
      </c>
      <c r="AX49" s="534">
        <f t="shared" si="642"/>
        <v>1</v>
      </c>
      <c r="AY49" s="534">
        <f t="shared" si="642"/>
        <v>1</v>
      </c>
      <c r="AZ49" s="534">
        <f t="shared" si="642"/>
        <v>1</v>
      </c>
      <c r="BA49" s="534">
        <f t="shared" si="642"/>
        <v>1</v>
      </c>
      <c r="BB49" s="534">
        <f t="shared" si="642"/>
        <v>1</v>
      </c>
      <c r="BC49" s="534">
        <f t="shared" si="642"/>
        <v>1</v>
      </c>
      <c r="BD49" s="534">
        <f t="shared" si="642"/>
        <v>1</v>
      </c>
      <c r="BE49" s="534">
        <f t="shared" si="642"/>
        <v>1</v>
      </c>
      <c r="BF49" s="534">
        <f t="shared" si="642"/>
        <v>1</v>
      </c>
      <c r="BG49" s="534">
        <f t="shared" si="642"/>
        <v>1</v>
      </c>
      <c r="BH49" s="534">
        <f t="shared" si="642"/>
        <v>1</v>
      </c>
      <c r="BI49" s="534">
        <f t="shared" si="642"/>
        <v>1</v>
      </c>
      <c r="BJ49" s="534">
        <f t="shared" si="642"/>
        <v>1</v>
      </c>
      <c r="BK49" s="534">
        <f t="shared" si="642"/>
        <v>1</v>
      </c>
      <c r="BL49" s="534">
        <f t="shared" ca="1" si="642"/>
        <v>1</v>
      </c>
      <c r="BM49" s="534">
        <f t="shared" ca="1" si="642"/>
        <v>1</v>
      </c>
      <c r="BN49" s="534">
        <f t="shared" ca="1" si="642"/>
        <v>1</v>
      </c>
      <c r="BO49" s="534">
        <f t="shared" ca="1" si="642"/>
        <v>1</v>
      </c>
      <c r="BP49" s="534">
        <f t="shared" ca="1" si="642"/>
        <v>1</v>
      </c>
      <c r="BQ49" s="534">
        <f t="shared" ca="1" si="642"/>
        <v>1</v>
      </c>
      <c r="BR49" s="534">
        <f t="shared" ca="1" si="642"/>
        <v>1</v>
      </c>
      <c r="BS49" s="534">
        <f t="shared" ca="1" si="642"/>
        <v>1</v>
      </c>
      <c r="BT49" s="534">
        <f t="shared" ca="1" si="642"/>
        <v>1</v>
      </c>
      <c r="BU49" s="534">
        <f t="shared" ca="1" si="642"/>
        <v>1</v>
      </c>
      <c r="BV49" s="534">
        <f t="shared" ca="1" si="642"/>
        <v>1</v>
      </c>
      <c r="BW49" s="534">
        <f t="shared" ca="1" si="642"/>
        <v>1</v>
      </c>
      <c r="BX49" s="534">
        <f t="shared" ref="BX49:EI49" ca="1" si="643">(BX55+BX61)/BX54+1</f>
        <v>1</v>
      </c>
      <c r="BY49" s="534">
        <f t="shared" ca="1" si="643"/>
        <v>1</v>
      </c>
      <c r="BZ49" s="534">
        <f t="shared" ca="1" si="643"/>
        <v>1</v>
      </c>
      <c r="CA49" s="534">
        <f t="shared" ca="1" si="643"/>
        <v>1</v>
      </c>
      <c r="CB49" s="534">
        <f t="shared" ca="1" si="643"/>
        <v>1</v>
      </c>
      <c r="CC49" s="534">
        <f t="shared" ca="1" si="643"/>
        <v>1</v>
      </c>
      <c r="CD49" s="534">
        <f t="shared" ca="1" si="643"/>
        <v>1</v>
      </c>
      <c r="CE49" s="534">
        <f t="shared" ca="1" si="643"/>
        <v>1</v>
      </c>
      <c r="CF49" s="534">
        <f t="shared" ca="1" si="643"/>
        <v>1</v>
      </c>
      <c r="CG49" s="534">
        <f t="shared" ca="1" si="643"/>
        <v>1</v>
      </c>
      <c r="CH49" s="534">
        <f t="shared" ca="1" si="643"/>
        <v>1</v>
      </c>
      <c r="CI49" s="534">
        <f t="shared" ca="1" si="643"/>
        <v>0.84037463043637239</v>
      </c>
      <c r="CJ49" s="534">
        <f t="shared" ca="1" si="643"/>
        <v>0.84122720423962172</v>
      </c>
      <c r="CK49" s="534">
        <f t="shared" ca="1" si="643"/>
        <v>0.84122720423962172</v>
      </c>
      <c r="CL49" s="534">
        <f t="shared" ca="1" si="643"/>
        <v>0.84167715797054143</v>
      </c>
      <c r="CM49" s="534">
        <f t="shared" ca="1" si="643"/>
        <v>0.84167715797054143</v>
      </c>
      <c r="CN49" s="534">
        <f t="shared" ca="1" si="643"/>
        <v>0.84208051263500594</v>
      </c>
      <c r="CO49" s="534">
        <f t="shared" ca="1" si="643"/>
        <v>0.84208051263500594</v>
      </c>
      <c r="CP49" s="534">
        <f t="shared" ca="1" si="643"/>
        <v>0.87920415885848213</v>
      </c>
      <c r="CQ49" s="534">
        <f t="shared" ca="1" si="643"/>
        <v>0.87985232500821553</v>
      </c>
      <c r="CR49" s="534">
        <f t="shared" ca="1" si="643"/>
        <v>0.79315559759209453</v>
      </c>
      <c r="CS49" s="534">
        <f t="shared" ca="1" si="643"/>
        <v>0.73835712156674949</v>
      </c>
      <c r="CT49" s="534">
        <f t="shared" ca="1" si="643"/>
        <v>0.88566500368917145</v>
      </c>
      <c r="CU49" s="534">
        <f t="shared" ca="1" si="643"/>
        <v>0.88738081830476823</v>
      </c>
      <c r="CV49" s="534">
        <f t="shared" ca="1" si="643"/>
        <v>0.88784665970071996</v>
      </c>
      <c r="CW49" s="534">
        <f t="shared" ca="1" si="643"/>
        <v>0.88784665970071996</v>
      </c>
      <c r="CX49" s="534">
        <f t="shared" ca="1" si="643"/>
        <v>0.79792706370779454</v>
      </c>
      <c r="CY49" s="534">
        <f t="shared" ca="1" si="643"/>
        <v>0.88508910292982512</v>
      </c>
      <c r="CZ49" s="534">
        <f t="shared" ca="1" si="643"/>
        <v>0.80832288529252105</v>
      </c>
      <c r="DA49" s="534">
        <f t="shared" ca="1" si="643"/>
        <v>0.88759829564833093</v>
      </c>
      <c r="DB49" s="534">
        <f t="shared" ca="1" si="643"/>
        <v>0.92625821943288933</v>
      </c>
      <c r="DC49" s="534">
        <f t="shared" ca="1" si="643"/>
        <v>0.9498599561728126</v>
      </c>
      <c r="DD49" s="534">
        <f t="shared" ca="1" si="643"/>
        <v>0.9498599561728126</v>
      </c>
      <c r="DE49" s="534">
        <f t="shared" ca="1" si="643"/>
        <v>0.94999493436382842</v>
      </c>
      <c r="DF49" s="534">
        <f t="shared" ca="1" si="643"/>
        <v>0.95021207303189981</v>
      </c>
      <c r="DG49" s="534">
        <f t="shared" ca="1" si="643"/>
        <v>0.94942997444217903</v>
      </c>
      <c r="DH49" s="534">
        <f t="shared" ca="1" si="643"/>
        <v>0.9496461505468583</v>
      </c>
      <c r="DI49" s="534">
        <f t="shared" ca="1" si="643"/>
        <v>0.94978924408243959</v>
      </c>
      <c r="DJ49" s="534">
        <f t="shared" ca="1" si="643"/>
        <v>0.94983882529991792</v>
      </c>
      <c r="DK49" s="534">
        <f t="shared" ca="1" si="643"/>
        <v>0.94997253839889395</v>
      </c>
      <c r="DL49" s="534">
        <f t="shared" ca="1" si="643"/>
        <v>0.94997253839889395</v>
      </c>
      <c r="DM49" s="534">
        <f t="shared" ca="1" si="643"/>
        <v>0.95008951388528051</v>
      </c>
      <c r="DN49" s="534">
        <f t="shared" ca="1" si="643"/>
        <v>0.9219935045875034</v>
      </c>
      <c r="DO49" s="534">
        <f t="shared" ca="1" si="643"/>
        <v>0.95019561630921512</v>
      </c>
      <c r="DP49" s="534">
        <f t="shared" ca="1" si="643"/>
        <v>0.95019561630921512</v>
      </c>
      <c r="DQ49" s="534">
        <f t="shared" ca="1" si="643"/>
        <v>0.95033023857092491</v>
      </c>
      <c r="DR49" s="534">
        <f t="shared" ca="1" si="643"/>
        <v>0.95054667315685026</v>
      </c>
      <c r="DS49" s="534">
        <f t="shared" ca="1" si="643"/>
        <v>0.94935014666585837</v>
      </c>
      <c r="DT49" s="534">
        <f t="shared" ca="1" si="643"/>
        <v>0.94956956994140207</v>
      </c>
      <c r="DU49" s="534">
        <f t="shared" ca="1" si="643"/>
        <v>0.94973016005257949</v>
      </c>
      <c r="DV49" s="534">
        <f t="shared" ca="1" si="643"/>
        <v>0.94973016005257949</v>
      </c>
      <c r="DW49" s="534">
        <f t="shared" ca="1" si="643"/>
        <v>0.94986474883905569</v>
      </c>
      <c r="DX49" s="534">
        <f t="shared" ca="1" si="643"/>
        <v>0.94986474883905569</v>
      </c>
      <c r="DY49" s="534">
        <f t="shared" ca="1" si="643"/>
        <v>0.94998250009210472</v>
      </c>
      <c r="DZ49" s="534">
        <f t="shared" ca="1" si="643"/>
        <v>0.9500824987705615</v>
      </c>
      <c r="EA49" s="534">
        <f t="shared" ca="1" si="643"/>
        <v>0.95032359869188376</v>
      </c>
      <c r="EB49" s="534">
        <f t="shared" ca="1" si="643"/>
        <v>0.95032359869188376</v>
      </c>
      <c r="EC49" s="534">
        <f t="shared" ca="1" si="643"/>
        <v>0.95045774471210209</v>
      </c>
      <c r="ED49" s="534">
        <f t="shared" ca="1" si="643"/>
        <v>0.95067374549814476</v>
      </c>
      <c r="EE49" s="534">
        <f t="shared" ca="1" si="643"/>
        <v>0.87885555595499154</v>
      </c>
      <c r="EF49" s="534">
        <f t="shared" ca="1" si="643"/>
        <v>0.85481956315289653</v>
      </c>
      <c r="EG49" s="534">
        <f t="shared" ca="1" si="643"/>
        <v>0.9496082621082621</v>
      </c>
      <c r="EH49" s="534">
        <f t="shared" ca="1" si="643"/>
        <v>0.9496082621082621</v>
      </c>
      <c r="EI49" s="534">
        <f t="shared" ca="1" si="643"/>
        <v>0.94974524294124874</v>
      </c>
      <c r="EJ49" s="534">
        <f t="shared" ref="EJ49:EL49" ca="1" si="644">(EJ55+EJ61)/EJ54+1</f>
        <v>0.94974524294124874</v>
      </c>
      <c r="EK49" s="534">
        <f t="shared" ca="1" si="644"/>
        <v>0.94986508953149273</v>
      </c>
      <c r="EL49" s="534">
        <f t="shared" ca="1" si="644"/>
        <v>0.94996690753148316</v>
      </c>
      <c r="EM49" s="534">
        <f t="shared" ref="EM49:FD49" ca="1" si="645">(EM55+EM61)/EM54+1</f>
        <v>0.95021269109494189</v>
      </c>
      <c r="EN49" s="534">
        <f t="shared" ca="1" si="645"/>
        <v>0.95021269109494189</v>
      </c>
      <c r="EO49" s="534">
        <f t="shared" ca="1" si="645"/>
        <v>0.95034909038561888</v>
      </c>
      <c r="EP49" s="534">
        <f t="shared" ca="1" si="645"/>
        <v>0.9506393141293118</v>
      </c>
      <c r="EQ49" s="534">
        <f t="shared" ca="1" si="645"/>
        <v>0.90418561627996608</v>
      </c>
      <c r="ER49" s="534">
        <f t="shared" ca="1" si="645"/>
        <v>0.94981879385935142</v>
      </c>
      <c r="ES49" s="534">
        <f t="shared" ca="1" si="645"/>
        <v>0.95010639111443007</v>
      </c>
      <c r="ET49" s="534">
        <f t="shared" ca="1" si="645"/>
        <v>0.95015728923242859</v>
      </c>
      <c r="EU49" s="534">
        <f t="shared" ca="1" si="645"/>
        <v>0.95029466466488899</v>
      </c>
      <c r="EV49" s="534">
        <f t="shared" ca="1" si="645"/>
        <v>0.95029466466488899</v>
      </c>
      <c r="EW49" s="534">
        <f t="shared" ca="1" si="645"/>
        <v>0.9504148858169853</v>
      </c>
      <c r="EX49" s="534">
        <f t="shared" ca="1" si="645"/>
        <v>0.91815584963026409</v>
      </c>
      <c r="EY49" s="534">
        <f t="shared" ca="1" si="645"/>
        <v>0.89162079400856686</v>
      </c>
      <c r="EZ49" s="534">
        <f t="shared" ca="1" si="645"/>
        <v>0.95020160022988709</v>
      </c>
      <c r="FA49" s="534">
        <f t="shared" ca="1" si="645"/>
        <v>0.86532205004877827</v>
      </c>
      <c r="FB49" s="534">
        <f t="shared" ca="1" si="645"/>
        <v>0.80961306734502614</v>
      </c>
      <c r="FC49" s="534">
        <f t="shared" ca="1" si="645"/>
        <v>0.95066504771446114</v>
      </c>
      <c r="FD49" s="534">
        <f t="shared" ca="1" si="645"/>
        <v>0.95084500952188189</v>
      </c>
      <c r="FE49" s="534">
        <f t="shared" ref="FE49:FI49" ca="1" si="646">(FE55+FE61)/FE54+1</f>
        <v>0.9509897448127832</v>
      </c>
      <c r="FF49" s="534">
        <f t="shared" ca="1" si="646"/>
        <v>0.9509897448127832</v>
      </c>
      <c r="FG49" s="534">
        <f t="shared" ca="1" si="646"/>
        <v>0.86350738587364728</v>
      </c>
      <c r="FH49" s="534">
        <f t="shared" ca="1" si="646"/>
        <v>0.95045483628675553</v>
      </c>
      <c r="FI49" s="534">
        <f t="shared" ca="1" si="646"/>
        <v>0.87271254757479721</v>
      </c>
      <c r="FJ49" s="534">
        <f t="shared" ref="FJ49:GC49" ca="1" si="647">(FJ55+FJ61)/FJ54+1</f>
        <v>0.95002735728615717</v>
      </c>
      <c r="FK49" s="534">
        <f t="shared" ca="1" si="647"/>
        <v>0.83776111100454609</v>
      </c>
      <c r="FL49" s="534">
        <f t="shared" ca="1" si="647"/>
        <v>0.89172565969280548</v>
      </c>
      <c r="FM49" s="534">
        <f t="shared" ca="1" si="647"/>
        <v>0.94885196938585026</v>
      </c>
      <c r="FN49" s="534">
        <f t="shared" ca="1" si="647"/>
        <v>0.94898821372821396</v>
      </c>
      <c r="FO49" s="534">
        <f t="shared" ca="1" si="647"/>
        <v>0.94950685647741051</v>
      </c>
      <c r="FP49" s="534">
        <f t="shared" ca="1" si="647"/>
        <v>0.94970218085056013</v>
      </c>
      <c r="FQ49" s="534">
        <f t="shared" ca="1" si="647"/>
        <v>0.94985910706447085</v>
      </c>
      <c r="FR49" s="534">
        <f t="shared" ca="1" si="647"/>
        <v>0.94985910706447085</v>
      </c>
      <c r="FS49" s="534">
        <f t="shared" ca="1" si="647"/>
        <v>0.94985910706447085</v>
      </c>
      <c r="FT49" s="534">
        <f t="shared" ca="1" si="647"/>
        <v>0.94999176179828171</v>
      </c>
      <c r="FU49" s="534">
        <f t="shared" ca="1" si="647"/>
        <v>0.94999176179828171</v>
      </c>
      <c r="FV49" s="534">
        <f t="shared" ca="1" si="647"/>
        <v>0.95016255928839843</v>
      </c>
      <c r="FW49" s="534">
        <f t="shared" ca="1" si="647"/>
        <v>0.92227633409800314</v>
      </c>
      <c r="FX49" s="534">
        <f t="shared" ca="1" si="647"/>
        <v>0.95023586783905711</v>
      </c>
      <c r="FY49" s="534">
        <f t="shared" ca="1" si="647"/>
        <v>0.95031918625043843</v>
      </c>
      <c r="FZ49" s="534">
        <f t="shared" ca="1" si="647"/>
        <v>0.95045242537313435</v>
      </c>
      <c r="GA49" s="534">
        <f t="shared" ca="1" si="647"/>
        <v>0.94925022407363546</v>
      </c>
      <c r="GB49" s="534">
        <f t="shared" ca="1" si="647"/>
        <v>0.94944789589819267</v>
      </c>
      <c r="GC49" s="534">
        <f t="shared" ca="1" si="647"/>
        <v>0.94977110183670088</v>
      </c>
      <c r="GD49" s="534">
        <f t="shared" ref="GD49:GT49" ca="1" si="648">(GD55+GD61)/GD54+1</f>
        <v>0.94982806194361169</v>
      </c>
      <c r="GE49" s="534">
        <f t="shared" ca="1" si="648"/>
        <v>0.94982806194361169</v>
      </c>
      <c r="GF49" s="534">
        <f t="shared" ca="1" si="648"/>
        <v>0.94996130792935607</v>
      </c>
      <c r="GG49" s="534">
        <f t="shared" ca="1" si="648"/>
        <v>0.94996130792935607</v>
      </c>
      <c r="GH49" s="534">
        <f t="shared" ca="1" si="648"/>
        <v>0.9501323354932919</v>
      </c>
      <c r="GI49" s="534">
        <f t="shared" ca="1" si="648"/>
        <v>0.95020663698870445</v>
      </c>
      <c r="GJ49" s="534">
        <f t="shared" ca="1" si="648"/>
        <v>0.95041877262869434</v>
      </c>
      <c r="GK49" s="534">
        <f t="shared" ca="1" si="648"/>
        <v>0.95050141773940777</v>
      </c>
      <c r="GL49" s="534">
        <f t="shared" ca="1" si="648"/>
        <v>0.95063379200057818</v>
      </c>
      <c r="GM49" s="534">
        <f t="shared" ca="1" si="648"/>
        <v>0.95058135612279315</v>
      </c>
      <c r="GN49" s="534">
        <f t="shared" ca="1" si="648"/>
        <v>0.87804999637444714</v>
      </c>
      <c r="GO49" s="534">
        <f t="shared" ca="1" si="648"/>
        <v>0.85440103462034112</v>
      </c>
      <c r="GP49" s="534">
        <f t="shared" ca="1" si="648"/>
        <v>0.94961270528454356</v>
      </c>
      <c r="GQ49" s="534">
        <f t="shared" ca="1" si="648"/>
        <v>0.94961270528454356</v>
      </c>
      <c r="GR49" s="534">
        <f t="shared" ca="1" si="648"/>
        <v>0.94975005373958943</v>
      </c>
      <c r="GS49" s="534">
        <f t="shared" ca="1" si="648"/>
        <v>0.94975005373958943</v>
      </c>
      <c r="GT49" s="534">
        <f t="shared" ca="1" si="648"/>
        <v>0.94992708048491481</v>
      </c>
      <c r="GU49" s="534"/>
      <c r="GV49" s="534"/>
      <c r="GW49" s="534"/>
      <c r="GX49" s="534"/>
      <c r="GY49" s="534"/>
      <c r="GZ49" s="534"/>
      <c r="HA49" s="534"/>
      <c r="HB49" s="534"/>
      <c r="HC49" s="534"/>
      <c r="HD49" s="534"/>
      <c r="HE49" s="534"/>
      <c r="HF49" s="1" t="s">
        <v>212</v>
      </c>
      <c r="HG49" s="139" t="e">
        <f t="shared" si="519"/>
        <v>#REF!</v>
      </c>
      <c r="HH49" s="141"/>
      <c r="HL49" s="97"/>
      <c r="HN49" s="142"/>
      <c r="HO49" s="143"/>
      <c r="HP49" s="143"/>
      <c r="HQ49" s="143"/>
      <c r="HR49" s="143"/>
      <c r="HS49" s="143"/>
      <c r="HT49" s="143"/>
      <c r="HU49" s="143"/>
      <c r="HV49" s="143"/>
      <c r="HW49"/>
    </row>
    <row r="50" spans="1:231" ht="15">
      <c r="B50" s="141"/>
      <c r="I50" s="97"/>
      <c r="K50" s="354"/>
      <c r="L50" s="355"/>
      <c r="M50" s="355"/>
      <c r="N50" s="355"/>
      <c r="O50" s="355"/>
      <c r="P50" s="355"/>
      <c r="Q50" s="355"/>
      <c r="R50" s="355"/>
      <c r="S50" s="355"/>
      <c r="T50" s="355"/>
      <c r="U50" s="355"/>
      <c r="V50" s="355"/>
      <c r="W50" s="355"/>
      <c r="X50" s="355"/>
      <c r="Y50" s="355"/>
      <c r="Z50" s="355"/>
      <c r="AA50" s="355"/>
      <c r="AB50" s="355"/>
      <c r="AC50" s="355"/>
      <c r="AD50" s="355"/>
      <c r="AE50" s="355"/>
      <c r="AF50" s="355"/>
      <c r="AG50" s="355"/>
      <c r="AH50" s="355"/>
      <c r="AI50" s="355"/>
      <c r="AJ50" s="355"/>
      <c r="AK50" s="355"/>
      <c r="AL50" s="355"/>
      <c r="AM50" s="355"/>
      <c r="AN50" s="355"/>
      <c r="AO50" s="355"/>
      <c r="AP50" s="355"/>
      <c r="AQ50" s="355"/>
      <c r="AR50" s="355"/>
      <c r="AS50" s="355"/>
      <c r="AT50" s="355"/>
      <c r="AU50" s="355"/>
      <c r="AV50" s="355"/>
      <c r="AW50" s="355"/>
      <c r="AX50" s="355"/>
      <c r="AY50" s="355"/>
      <c r="AZ50" s="355"/>
      <c r="BA50" s="355"/>
      <c r="BB50" s="355"/>
      <c r="BC50" s="355"/>
      <c r="BD50" s="355"/>
      <c r="BE50" s="355"/>
      <c r="BF50" s="355"/>
      <c r="BG50" s="355"/>
      <c r="BH50" s="355"/>
      <c r="BI50" s="355"/>
      <c r="BJ50" s="355"/>
      <c r="BK50" s="355"/>
      <c r="BL50" s="355"/>
      <c r="BM50" s="355"/>
      <c r="BN50" s="355"/>
      <c r="BO50" s="355"/>
      <c r="BP50" s="355"/>
      <c r="BQ50" s="355"/>
      <c r="BR50" s="355"/>
      <c r="BS50" s="355"/>
      <c r="BT50" s="355"/>
      <c r="BU50" s="355"/>
      <c r="BV50" s="355"/>
      <c r="BW50" s="355"/>
      <c r="BX50" s="355"/>
      <c r="BY50" s="355"/>
      <c r="BZ50" s="355"/>
      <c r="CA50" s="355"/>
      <c r="CB50" s="355"/>
      <c r="CC50" s="355"/>
      <c r="CD50" s="355"/>
      <c r="CE50" s="355"/>
      <c r="CF50" s="355"/>
      <c r="CG50" s="355"/>
      <c r="CH50" s="355"/>
      <c r="CI50" s="355"/>
      <c r="CJ50" s="355"/>
      <c r="CK50" s="355"/>
      <c r="CL50" s="355"/>
      <c r="CM50" s="355"/>
      <c r="CN50" s="355"/>
      <c r="CO50" s="355"/>
      <c r="CP50" s="355"/>
      <c r="CQ50" s="355"/>
      <c r="CR50" s="355"/>
      <c r="CS50" s="355"/>
      <c r="CT50" s="355"/>
      <c r="CU50" s="355"/>
      <c r="CV50" s="355"/>
      <c r="CW50" s="355"/>
      <c r="CX50" s="355"/>
      <c r="CY50" s="355"/>
      <c r="CZ50" s="355"/>
      <c r="DA50" s="355"/>
      <c r="DB50" s="355"/>
      <c r="DC50" s="355"/>
      <c r="DD50" s="355"/>
      <c r="DE50" s="355"/>
      <c r="DF50" s="355"/>
      <c r="DG50" s="355"/>
      <c r="DH50" s="355"/>
      <c r="DI50" s="355"/>
      <c r="DJ50" s="355"/>
      <c r="DK50" s="355"/>
      <c r="DL50" s="355"/>
      <c r="DM50" s="355"/>
      <c r="DN50" s="355"/>
      <c r="DO50" s="355"/>
      <c r="DP50" s="355"/>
      <c r="DQ50" s="355"/>
      <c r="DR50" s="355"/>
      <c r="DS50" s="355"/>
      <c r="DT50" s="355"/>
      <c r="DU50" s="355"/>
      <c r="DV50" s="355"/>
      <c r="DW50" s="355"/>
      <c r="DX50" s="355"/>
      <c r="DY50" s="355"/>
      <c r="DZ50" s="355"/>
      <c r="EA50" s="355"/>
      <c r="EB50" s="355"/>
      <c r="EC50" s="355"/>
      <c r="ED50" s="355"/>
      <c r="EE50" s="355"/>
      <c r="EF50" s="355"/>
      <c r="EG50" s="355"/>
      <c r="EH50" s="355"/>
      <c r="EI50" s="355"/>
      <c r="EJ50" s="355"/>
      <c r="EK50" s="355"/>
      <c r="EL50" s="355"/>
      <c r="EM50" s="355"/>
      <c r="EN50" s="355"/>
      <c r="EO50" s="355"/>
      <c r="EP50" s="355"/>
      <c r="EQ50" s="355"/>
      <c r="ER50" s="355"/>
      <c r="ES50" s="355"/>
      <c r="ET50" s="355"/>
      <c r="EU50" s="355"/>
      <c r="EV50" s="355"/>
      <c r="EW50" s="355"/>
      <c r="EX50" s="355"/>
      <c r="EY50" s="355"/>
      <c r="EZ50" s="355"/>
      <c r="FA50" s="355"/>
      <c r="FB50" s="355"/>
      <c r="FC50" s="355"/>
      <c r="FD50" s="355"/>
      <c r="FE50" s="355"/>
      <c r="FF50" s="355"/>
      <c r="FG50" s="355"/>
      <c r="FH50" s="355"/>
      <c r="FI50" s="355"/>
      <c r="FJ50" s="355"/>
      <c r="FK50" s="355"/>
      <c r="FL50" s="355"/>
      <c r="FM50" s="355"/>
      <c r="FN50" s="355"/>
      <c r="FO50" s="355"/>
      <c r="FP50" s="355"/>
      <c r="FQ50" s="355"/>
      <c r="FR50" s="355"/>
      <c r="FS50" s="355"/>
      <c r="FT50" s="355"/>
      <c r="FU50" s="355"/>
      <c r="FV50" s="355"/>
      <c r="FW50" s="355"/>
      <c r="FX50" s="355"/>
      <c r="FY50" s="355"/>
      <c r="FZ50" s="355"/>
      <c r="GA50" s="355"/>
      <c r="GB50" s="355"/>
      <c r="GC50" s="355"/>
      <c r="GD50" s="355"/>
      <c r="GE50" s="355"/>
      <c r="GF50" s="355"/>
      <c r="GG50" s="355"/>
      <c r="GH50" s="355"/>
      <c r="GI50" s="355"/>
      <c r="GJ50" s="355"/>
      <c r="GK50" s="355"/>
      <c r="GL50" s="355"/>
      <c r="GM50" s="355"/>
      <c r="GN50" s="355"/>
      <c r="GO50" s="355"/>
      <c r="GP50" s="355"/>
      <c r="GQ50" s="355"/>
      <c r="GR50" s="355"/>
      <c r="GS50" s="355"/>
      <c r="GT50" s="355"/>
      <c r="GU50" s="355"/>
      <c r="GV50" s="355"/>
      <c r="GW50" s="355"/>
      <c r="GX50" s="355"/>
      <c r="GY50" s="355"/>
      <c r="GZ50" s="355"/>
      <c r="HA50" s="355"/>
      <c r="HB50" s="355"/>
      <c r="HC50" s="355"/>
      <c r="HD50" s="355"/>
      <c r="HE50" s="355"/>
      <c r="HF50" s="1" t="s">
        <v>212</v>
      </c>
      <c r="HG50" s="139" t="e">
        <f t="shared" si="519"/>
        <v>#REF!</v>
      </c>
      <c r="HH50" s="141"/>
      <c r="HL50" s="97"/>
      <c r="HN50" s="142"/>
      <c r="HO50" s="143"/>
      <c r="HP50" s="143"/>
      <c r="HQ50" s="143"/>
      <c r="HR50" s="143"/>
      <c r="HS50" s="143"/>
      <c r="HT50" s="143"/>
      <c r="HU50" s="143"/>
      <c r="HV50" s="143"/>
      <c r="HW50"/>
    </row>
    <row r="51" spans="1:231" ht="15">
      <c r="B51" s="1421" t="s">
        <v>103</v>
      </c>
      <c r="C51" s="1421"/>
      <c r="D51" s="1421"/>
      <c r="E51" s="1421"/>
      <c r="F51" s="1421"/>
      <c r="G51" s="1421"/>
      <c r="H51" s="1421"/>
      <c r="I51" s="97"/>
      <c r="HF51" s="1" t="s">
        <v>212</v>
      </c>
      <c r="HG51" s="139" t="e">
        <f t="shared" si="519"/>
        <v>#REF!</v>
      </c>
      <c r="HH51" s="1631" t="str">
        <f>B51</f>
        <v>New Project Revenues</v>
      </c>
      <c r="HI51" s="1631"/>
      <c r="HJ51" s="1631"/>
      <c r="HK51" s="1631"/>
      <c r="HL51" s="97"/>
      <c r="HN51" s="102"/>
      <c r="HW51"/>
    </row>
    <row r="52" spans="1:231" ht="15">
      <c r="I52" s="97"/>
      <c r="HF52" s="1" t="s">
        <v>212</v>
      </c>
      <c r="HG52" s="139" t="e">
        <f t="shared" si="519"/>
        <v>#REF!</v>
      </c>
      <c r="HL52" s="97"/>
      <c r="HN52" s="102"/>
      <c r="HW52"/>
    </row>
    <row r="53" spans="1:231" ht="15">
      <c r="B53" s="16" t="s">
        <v>724</v>
      </c>
      <c r="I53" s="97"/>
      <c r="N53" s="931"/>
      <c r="V53" s="931"/>
      <c r="X53" s="27"/>
      <c r="Y53" s="27"/>
      <c r="Z53" s="27"/>
      <c r="AA53" s="27"/>
      <c r="AB53" s="27"/>
      <c r="AC53" s="27"/>
      <c r="AD53" s="586"/>
      <c r="AE53" s="27"/>
      <c r="AF53" s="27"/>
      <c r="AG53" s="27"/>
      <c r="AH53" s="27"/>
      <c r="AI53" s="27"/>
      <c r="AJ53" s="27"/>
      <c r="HF53" s="1" t="s">
        <v>212</v>
      </c>
      <c r="HG53" s="139" t="e">
        <f t="shared" si="519"/>
        <v>#REF!</v>
      </c>
      <c r="HH53" s="16" t="str">
        <f t="shared" ref="HH53:HH62" si="649">B53</f>
        <v>Retail</v>
      </c>
      <c r="HL53" s="97"/>
      <c r="HN53" s="102"/>
      <c r="HW53"/>
    </row>
    <row r="54" spans="1:231" ht="15">
      <c r="A54" s="441">
        <v>1</v>
      </c>
      <c r="B54" s="9" t="s">
        <v>421</v>
      </c>
      <c r="E54" s="362"/>
      <c r="G54" s="148"/>
      <c r="I54" s="116">
        <f ca="1">SUMIF($K$13:$GT$13,"&lt;="&amp;Assumptions!$L$17,'Monthly Cash Flow'!K54:GT54)</f>
        <v>15821.277449999998</v>
      </c>
      <c r="J54" s="18"/>
      <c r="K54" s="131"/>
      <c r="L54" s="930">
        <f>Historicals!D3</f>
        <v>111.19469000000001</v>
      </c>
      <c r="M54" s="930">
        <f>Historicals!E3</f>
        <v>112.08559</v>
      </c>
      <c r="N54" s="930">
        <f>Historicals!F3</f>
        <v>116.37649</v>
      </c>
      <c r="O54" s="930">
        <f>Historicals!G3</f>
        <v>111.89583999999999</v>
      </c>
      <c r="P54" s="930">
        <f>Historicals!H3</f>
        <v>111.72</v>
      </c>
      <c r="Q54" s="930">
        <f>Historicals!I3</f>
        <v>109.71383</v>
      </c>
      <c r="R54" s="930">
        <f>Historicals!J3</f>
        <v>107.67871000000001</v>
      </c>
      <c r="S54" s="930">
        <f>Historicals!K3</f>
        <v>102.30149</v>
      </c>
      <c r="T54" s="930">
        <f>Historicals!L3</f>
        <v>104.71634</v>
      </c>
      <c r="U54" s="930">
        <f>Historicals!M3</f>
        <v>106.37723</v>
      </c>
      <c r="V54" s="930">
        <f>Historicals!N3</f>
        <v>297.25702999999999</v>
      </c>
      <c r="W54" s="930">
        <f>Historicals!O3</f>
        <v>-7.1614899999999997</v>
      </c>
      <c r="X54" s="930">
        <f>Historicals!P3</f>
        <v>118.49027000000001</v>
      </c>
      <c r="Y54" s="930">
        <f>Historicals!Q3</f>
        <v>122.37916</v>
      </c>
      <c r="Z54" s="930">
        <f>Historicals!R3</f>
        <v>116.04395</v>
      </c>
      <c r="AA54" s="930">
        <f>Historicals!S3</f>
        <v>123.90202000000001</v>
      </c>
      <c r="AB54" s="930">
        <f>Historicals!T3</f>
        <v>122.03621000000001</v>
      </c>
      <c r="AC54" s="930">
        <f>Historicals!U3</f>
        <v>122.11190999999999</v>
      </c>
      <c r="AD54" s="930">
        <f>Historicals!V3</f>
        <v>128.85194999999999</v>
      </c>
      <c r="AE54" s="930">
        <f>Historicals!W3</f>
        <v>125.44580999999999</v>
      </c>
      <c r="AF54" s="930">
        <f>Historicals!X3</f>
        <v>129.90099000000001</v>
      </c>
      <c r="AG54" s="930">
        <f>Historicals!Y3</f>
        <v>114.57918000000001</v>
      </c>
      <c r="AH54" s="930">
        <f>Historicals!Z3</f>
        <v>161.30314999999999</v>
      </c>
      <c r="AI54" s="930">
        <f>Historicals!AA3</f>
        <v>132.32930999999999</v>
      </c>
      <c r="AJ54" s="930">
        <f>Historicals!AB3</f>
        <v>125.71440000000001</v>
      </c>
      <c r="AK54" s="930">
        <f>Historicals!AC3</f>
        <v>131.61227</v>
      </c>
      <c r="AL54" s="930">
        <f>Historicals!AD3</f>
        <v>123.25532000000001</v>
      </c>
      <c r="AM54" s="930">
        <f>Historicals!AE3</f>
        <v>121.92822000000001</v>
      </c>
      <c r="AN54" s="930">
        <f>Historicals!AF3</f>
        <v>136.53062</v>
      </c>
      <c r="AO54" s="930">
        <f>Historicals!AG3</f>
        <v>136.53062</v>
      </c>
      <c r="AP54" s="930">
        <f>Historicals!AH3</f>
        <v>139.86024</v>
      </c>
      <c r="AQ54" s="930">
        <f>Historicals!AI3</f>
        <v>142.28937999999999</v>
      </c>
      <c r="AR54" s="930">
        <f>Historicals!AJ3</f>
        <v>145.36828</v>
      </c>
      <c r="AS54" s="930">
        <f>Historicals!AK3</f>
        <v>145.53022000000001</v>
      </c>
      <c r="AT54" s="930">
        <f>Historicals!AL3</f>
        <v>147.66809000000001</v>
      </c>
      <c r="AU54" s="930">
        <f>Historicals!AM3</f>
        <v>149.82757000000001</v>
      </c>
      <c r="AV54" s="930">
        <f>Historicals!AN3</f>
        <v>151.92160999999999</v>
      </c>
      <c r="AW54" s="930">
        <f>Historicals!AO3</f>
        <v>157.02044000000001</v>
      </c>
      <c r="AX54" s="930">
        <f>Historicals!AP3</f>
        <v>157.06484</v>
      </c>
      <c r="AY54" s="930">
        <f>Historicals!AQ3</f>
        <v>156.07832000000002</v>
      </c>
      <c r="AZ54" s="930">
        <f>Historicals!AR3</f>
        <v>157.90381000000002</v>
      </c>
      <c r="BA54" s="930">
        <f>Historicals!AS3</f>
        <v>157.90380999999999</v>
      </c>
      <c r="BB54" s="930">
        <f>Historicals!AT3</f>
        <v>175.36306999999999</v>
      </c>
      <c r="BC54" s="930">
        <f>Historicals!AU3</f>
        <v>131.34563999999997</v>
      </c>
      <c r="BD54" s="930">
        <f>Historicals!AV3</f>
        <v>153.98707000000002</v>
      </c>
      <c r="BE54" s="930">
        <f>Historicals!AW3</f>
        <v>153.98707000000002</v>
      </c>
      <c r="BF54" s="930">
        <f>Historicals!AX3</f>
        <v>159.50755999999998</v>
      </c>
      <c r="BG54" s="930">
        <f>Historicals!AY3</f>
        <v>146.71283</v>
      </c>
      <c r="BH54" s="930">
        <f>Historicals!AZ3</f>
        <v>146.71283</v>
      </c>
      <c r="BI54" s="930">
        <f>Historicals!BA3</f>
        <v>147.72592</v>
      </c>
      <c r="BJ54" s="930">
        <f>Historicals!BB3</f>
        <v>147.91535999999999</v>
      </c>
      <c r="BK54" s="930">
        <f>Historicals!BC3</f>
        <v>148.23484999999999</v>
      </c>
      <c r="BL54" s="930">
        <f>Historicals!BD3</f>
        <v>155.6739</v>
      </c>
      <c r="BM54" s="930">
        <f>Historicals!BE3</f>
        <v>156.29787999999999</v>
      </c>
      <c r="BN54" s="930">
        <f>Historicals!BF3</f>
        <v>136.86797000000001</v>
      </c>
      <c r="BO54" s="930">
        <f>Historicals!BG3</f>
        <v>136.86797000000001</v>
      </c>
      <c r="BP54" s="930">
        <f>Historicals!BH3</f>
        <v>72.60166000000001</v>
      </c>
      <c r="BQ54" s="930">
        <f>Historicals!BI3</f>
        <v>137.33261999999999</v>
      </c>
      <c r="BR54" s="930">
        <f>Historicals!BJ3</f>
        <v>137.51862</v>
      </c>
      <c r="BS54" s="930">
        <f>Historicals!BK3</f>
        <v>137.85316</v>
      </c>
      <c r="BT54" s="930">
        <f>Historicals!BL3</f>
        <v>137.85316</v>
      </c>
      <c r="BU54" s="930">
        <f>Historicals!BM3</f>
        <v>150.18857999999997</v>
      </c>
      <c r="BV54" s="930">
        <f>Historicals!BN3</f>
        <v>141.49274</v>
      </c>
      <c r="BW54" s="930">
        <f>Historicals!BO3</f>
        <v>150.82107999999999</v>
      </c>
      <c r="BX54" s="930">
        <f>Historicals!BP3</f>
        <v>150.82107999999999</v>
      </c>
      <c r="BY54" s="930">
        <f>Historicals!BQ3</f>
        <v>157.57866000000001</v>
      </c>
      <c r="BZ54" s="930">
        <f>Historicals!BR3</f>
        <v>151.35253</v>
      </c>
      <c r="CA54" s="930">
        <f>Historicals!BS3</f>
        <v>153.53873000000002</v>
      </c>
      <c r="CB54" s="930">
        <f>Historicals!BT3</f>
        <v>154.08807999999999</v>
      </c>
      <c r="CC54" s="930">
        <f>Historicals!BU3</f>
        <v>146.24198000000001</v>
      </c>
      <c r="CD54" s="930">
        <f>Historicals!BV3</f>
        <v>155.41320999999999</v>
      </c>
      <c r="CE54" s="930">
        <f>Historicals!BW3</f>
        <v>155.79179000000002</v>
      </c>
      <c r="CF54" s="930">
        <f>Historicals!BX3</f>
        <v>156.28437</v>
      </c>
      <c r="CG54" s="930">
        <f>Historicals!BY3</f>
        <v>157.38013000000001</v>
      </c>
      <c r="CH54" s="930">
        <f>Historicals!BZ3</f>
        <v>160.54263</v>
      </c>
      <c r="CI54" s="18">
        <f ca="1">IFERROR(OFFSET(ARGUS!$A$3, MATCH($A54, ARGUS!$A$3:$A$176, 0)-1,MATCH(EOMONTH(CI$15,1), ARGUS!$B$4:$LG$4, 0)-1,1,1)/1000, 0)</f>
        <v>191.44200000000001</v>
      </c>
      <c r="CJ54" s="18">
        <f ca="1">IFERROR(OFFSET(ARGUS!$A$3, MATCH($A54, ARGUS!$A$3:$A$176, 0)-1,MATCH(EOMONTH(CJ$15,1), ARGUS!$B$4:$LG$4, 0)-1,1,1)/1000, 0)</f>
        <v>192.47</v>
      </c>
      <c r="CK54" s="18">
        <f ca="1">IFERROR(OFFSET(ARGUS!$A$3, MATCH($A54, ARGUS!$A$3:$A$176, 0)-1,MATCH(EOMONTH(CK$15,1), ARGUS!$B$4:$LG$4, 0)-1,1,1)/1000, 0)</f>
        <v>192.47</v>
      </c>
      <c r="CL54" s="18">
        <f ca="1">IFERROR(OFFSET(ARGUS!$A$3, MATCH($A54, ARGUS!$A$3:$A$176, 0)-1,MATCH(EOMONTH(CL$15,1), ARGUS!$B$4:$LG$4, 0)-1,1,1)/1000, 0)</f>
        <v>193.017</v>
      </c>
      <c r="CM54" s="18">
        <f ca="1">IFERROR(OFFSET(ARGUS!$A$3, MATCH($A54, ARGUS!$A$3:$A$176, 0)-1,MATCH(EOMONTH(CM$15,1), ARGUS!$B$4:$LG$4, 0)-1,1,1)/1000, 0)</f>
        <v>193.017</v>
      </c>
      <c r="CN54" s="18">
        <f ca="1">IFERROR(OFFSET(ARGUS!$A$3, MATCH($A54, ARGUS!$A$3:$A$176, 0)-1,MATCH(EOMONTH(CN$15,1), ARGUS!$B$4:$LG$4, 0)-1,1,1)/1000, 0)</f>
        <v>193.51</v>
      </c>
      <c r="CO54" s="18">
        <f ca="1">IFERROR(OFFSET(ARGUS!$A$3, MATCH($A54, ARGUS!$A$3:$A$176, 0)-1,MATCH(EOMONTH(CO$15,1), ARGUS!$B$4:$LG$4, 0)-1,1,1)/1000, 0)</f>
        <v>193.51</v>
      </c>
      <c r="CP54" s="18">
        <f ca="1">IFERROR(OFFSET(ARGUS!$A$3, MATCH($A54, ARGUS!$A$3:$A$176, 0)-1,MATCH(EOMONTH(CP$15,1), ARGUS!$B$4:$LG$4, 0)-1,1,1)/1000, 0)</f>
        <v>193.70699999999999</v>
      </c>
      <c r="CQ54" s="18">
        <f ca="1">IFERROR(OFFSET(ARGUS!$A$3, MATCH($A54, ARGUS!$A$3:$A$176, 0)-1,MATCH(EOMONTH(CQ$15,1), ARGUS!$B$4:$LG$4, 0)-1,1,1)/1000, 0)</f>
        <v>194.75200000000001</v>
      </c>
      <c r="CR54" s="18">
        <f ca="1">IFERROR(OFFSET(ARGUS!$A$3, MATCH($A54, ARGUS!$A$3:$A$176, 0)-1,MATCH(EOMONTH(CR$15,1), ARGUS!$B$4:$LG$4, 0)-1,1,1)/1000, 0)</f>
        <v>202.99799999999999</v>
      </c>
      <c r="CS54" s="18">
        <f ca="1">IFERROR(OFFSET(ARGUS!$A$3, MATCH($A54, ARGUS!$A$3:$A$176, 0)-1,MATCH(EOMONTH(CS$15,1), ARGUS!$B$4:$LG$4, 0)-1,1,1)/1000, 0)</f>
        <v>204.65299999999999</v>
      </c>
      <c r="CT54" s="18">
        <f ca="1">IFERROR(OFFSET(ARGUS!$A$3, MATCH($A54, ARGUS!$A$3:$A$176, 0)-1,MATCH(EOMONTH(CT$15,1), ARGUS!$B$4:$LG$4, 0)-1,1,1)/1000, 0)</f>
        <v>204.65299999999999</v>
      </c>
      <c r="CU54" s="18">
        <f ca="1">IFERROR(OFFSET(ARGUS!$A$3, MATCH($A54, ARGUS!$A$3:$A$176, 0)-1,MATCH(EOMONTH(CU$15,1), ARGUS!$B$4:$LG$4, 0)-1,1,1)/1000, 0)</f>
        <v>207.77099999999999</v>
      </c>
      <c r="CV54" s="18">
        <f ca="1">IFERROR(OFFSET(ARGUS!$A$3, MATCH($A54, ARGUS!$A$3:$A$176, 0)-1,MATCH(EOMONTH(CV$15,1), ARGUS!$B$4:$LG$4, 0)-1,1,1)/1000, 0)</f>
        <v>208.63399999999999</v>
      </c>
      <c r="CW54" s="18">
        <f ca="1">IFERROR(OFFSET(ARGUS!$A$3, MATCH($A54, ARGUS!$A$3:$A$176, 0)-1,MATCH(EOMONTH(CW$15,1), ARGUS!$B$4:$LG$4, 0)-1,1,1)/1000, 0)</f>
        <v>208.63399999999999</v>
      </c>
      <c r="CX54" s="18">
        <f ca="1">IFERROR(OFFSET(ARGUS!$A$3, MATCH($A54, ARGUS!$A$3:$A$176, 0)-1,MATCH(EOMONTH(CX$15,1), ARGUS!$B$4:$LG$4, 0)-1,1,1)/1000, 0)</f>
        <v>208.59299999999999</v>
      </c>
      <c r="CY54" s="18">
        <f ca="1">IFERROR(OFFSET(ARGUS!$A$3, MATCH($A54, ARGUS!$A$3:$A$176, 0)-1,MATCH(EOMONTH(CY$15,1), ARGUS!$B$4:$LG$4, 0)-1,1,1)/1000, 0)</f>
        <v>208.57900000000001</v>
      </c>
      <c r="CZ54" s="18">
        <f ca="1">IFERROR(OFFSET(ARGUS!$A$3, MATCH($A54, ARGUS!$A$3:$A$176, 0)-1,MATCH(EOMONTH(CZ$15,1), ARGUS!$B$4:$LG$4, 0)-1,1,1)/1000, 0)</f>
        <v>208.173</v>
      </c>
      <c r="DA54" s="18">
        <f ca="1">IFERROR(OFFSET(ARGUS!$A$3, MATCH($A54, ARGUS!$A$3:$A$176, 0)-1,MATCH(EOMONTH(DA$15,1), ARGUS!$B$4:$LG$4, 0)-1,1,1)/1000, 0)</f>
        <v>208.173</v>
      </c>
      <c r="DB54" s="18">
        <f ca="1">IFERROR(OFFSET(ARGUS!$A$3, MATCH($A54, ARGUS!$A$3:$A$176, 0)-1,MATCH(EOMONTH(DB$15,1), ARGUS!$B$4:$LG$4, 0)-1,1,1)/1000, 0)</f>
        <v>206.97900000000001</v>
      </c>
      <c r="DC54" s="18">
        <f ca="1">IFERROR(OFFSET(ARGUS!$A$3, MATCH($A54, ARGUS!$A$3:$A$176, 0)-1,MATCH(EOMONTH(DC$15,1), ARGUS!$B$4:$LG$4, 0)-1,1,1)/1000, 0)</f>
        <v>206.721</v>
      </c>
      <c r="DD54" s="18">
        <f ca="1">IFERROR(OFFSET(ARGUS!$A$3, MATCH($A54, ARGUS!$A$3:$A$176, 0)-1,MATCH(EOMONTH(DD$15,1), ARGUS!$B$4:$LG$4, 0)-1,1,1)/1000, 0)</f>
        <v>206.721</v>
      </c>
      <c r="DE54" s="18">
        <f ca="1">IFERROR(OFFSET(ARGUS!$A$3, MATCH($A54, ARGUS!$A$3:$A$176, 0)-1,MATCH(EOMONTH(DE$15,1), ARGUS!$B$4:$LG$4, 0)-1,1,1)/1000, 0)</f>
        <v>207.279</v>
      </c>
      <c r="DF54" s="18">
        <f ca="1">IFERROR(OFFSET(ARGUS!$A$3, MATCH($A54, ARGUS!$A$3:$A$176, 0)-1,MATCH(EOMONTH(DF$15,1), ARGUS!$B$4:$LG$4, 0)-1,1,1)/1000, 0)</f>
        <v>208.18299999999999</v>
      </c>
      <c r="DG54" s="18">
        <f ca="1">IFERROR(OFFSET(ARGUS!$A$3, MATCH($A54, ARGUS!$A$3:$A$176, 0)-1,MATCH(EOMONTH(DG$15,1), ARGUS!$B$4:$LG$4, 0)-1,1,1)/1000, 0)</f>
        <v>208.93799999999999</v>
      </c>
      <c r="DH54" s="18">
        <f ca="1">IFERROR(OFFSET(ARGUS!$A$3, MATCH($A54, ARGUS!$A$3:$A$176, 0)-1,MATCH(EOMONTH(DH$15,1), ARGUS!$B$4:$LG$4, 0)-1,1,1)/1000, 0)</f>
        <v>209.83500000000001</v>
      </c>
      <c r="DI54" s="18">
        <f ca="1">IFERROR(OFFSET(ARGUS!$A$3, MATCH($A54, ARGUS!$A$3:$A$176, 0)-1,MATCH(EOMONTH(DI$15,1), ARGUS!$B$4:$LG$4, 0)-1,1,1)/1000, 0)</f>
        <v>210.43299999999999</v>
      </c>
      <c r="DJ54" s="18">
        <f ca="1">IFERROR(OFFSET(ARGUS!$A$3, MATCH($A54, ARGUS!$A$3:$A$176, 0)-1,MATCH(EOMONTH(DJ$15,1), ARGUS!$B$4:$LG$4, 0)-1,1,1)/1000, 0)</f>
        <v>210.64099999999999</v>
      </c>
      <c r="DK54" s="18">
        <f ca="1">IFERROR(OFFSET(ARGUS!$A$3, MATCH($A54, ARGUS!$A$3:$A$176, 0)-1,MATCH(EOMONTH(DK$15,1), ARGUS!$B$4:$LG$4, 0)-1,1,1)/1000, 0)</f>
        <v>211.20400000000001</v>
      </c>
      <c r="DL54" s="18">
        <f ca="1">IFERROR(OFFSET(ARGUS!$A$3, MATCH($A54, ARGUS!$A$3:$A$176, 0)-1,MATCH(EOMONTH(DL$15,1), ARGUS!$B$4:$LG$4, 0)-1,1,1)/1000, 0)</f>
        <v>211.20400000000001</v>
      </c>
      <c r="DM54" s="18">
        <f ca="1">IFERROR(OFFSET(ARGUS!$A$3, MATCH($A54, ARGUS!$A$3:$A$176, 0)-1,MATCH(EOMONTH(DM$15,1), ARGUS!$B$4:$LG$4, 0)-1,1,1)/1000, 0)</f>
        <v>211.69900000000001</v>
      </c>
      <c r="DN54" s="18">
        <f ca="1">IFERROR(OFFSET(ARGUS!$A$3, MATCH($A54, ARGUS!$A$3:$A$176, 0)-1,MATCH(EOMONTH(DN$15,1), ARGUS!$B$4:$LG$4, 0)-1,1,1)/1000, 0)</f>
        <v>211.226</v>
      </c>
      <c r="DO54" s="18">
        <f ca="1">IFERROR(OFFSET(ARGUS!$A$3, MATCH($A54, ARGUS!$A$3:$A$176, 0)-1,MATCH(EOMONTH(DO$15,1), ARGUS!$B$4:$LG$4, 0)-1,1,1)/1000, 0)</f>
        <v>212.15</v>
      </c>
      <c r="DP54" s="18">
        <f ca="1">IFERROR(OFFSET(ARGUS!$A$3, MATCH($A54, ARGUS!$A$3:$A$176, 0)-1,MATCH(EOMONTH(DP$15,1), ARGUS!$B$4:$LG$4, 0)-1,1,1)/1000, 0)</f>
        <v>212.15</v>
      </c>
      <c r="DQ54" s="18">
        <f ca="1">IFERROR(OFFSET(ARGUS!$A$3, MATCH($A54, ARGUS!$A$3:$A$176, 0)-1,MATCH(EOMONTH(DQ$15,1), ARGUS!$B$4:$LG$4, 0)-1,1,1)/1000, 0)</f>
        <v>212.72499999999999</v>
      </c>
      <c r="DR54" s="18">
        <f ca="1">IFERROR(OFFSET(ARGUS!$A$3, MATCH($A54, ARGUS!$A$3:$A$176, 0)-1,MATCH(EOMONTH(DR$15,1), ARGUS!$B$4:$LG$4, 0)-1,1,1)/1000, 0)</f>
        <v>213.65600000000001</v>
      </c>
      <c r="DS54" s="18">
        <f ca="1">IFERROR(OFFSET(ARGUS!$A$3, MATCH($A54, ARGUS!$A$3:$A$176, 0)-1,MATCH(EOMONTH(DS$15,1), ARGUS!$B$4:$LG$4, 0)-1,1,1)/1000, 0)</f>
        <v>214.43299999999999</v>
      </c>
      <c r="DT54" s="18">
        <f ca="1">IFERROR(OFFSET(ARGUS!$A$3, MATCH($A54, ARGUS!$A$3:$A$176, 0)-1,MATCH(EOMONTH(DT$15,1), ARGUS!$B$4:$LG$4, 0)-1,1,1)/1000, 0)</f>
        <v>215.36600000000001</v>
      </c>
      <c r="DU54" s="18">
        <f ca="1">IFERROR(OFFSET(ARGUS!$A$3, MATCH($A54, ARGUS!$A$3:$A$176, 0)-1,MATCH(EOMONTH(DU$15,1), ARGUS!$B$4:$LG$4, 0)-1,1,1)/1000, 0)</f>
        <v>216.054</v>
      </c>
      <c r="DV54" s="18">
        <f ca="1">IFERROR(OFFSET(ARGUS!$A$3, MATCH($A54, ARGUS!$A$3:$A$176, 0)-1,MATCH(EOMONTH(DV$15,1), ARGUS!$B$4:$LG$4, 0)-1,1,1)/1000, 0)</f>
        <v>216.054</v>
      </c>
      <c r="DW54" s="18">
        <f ca="1">IFERROR(OFFSET(ARGUS!$A$3, MATCH($A54, ARGUS!$A$3:$A$176, 0)-1,MATCH(EOMONTH(DW$15,1), ARGUS!$B$4:$LG$4, 0)-1,1,1)/1000, 0)</f>
        <v>216.63399999999999</v>
      </c>
      <c r="DX54" s="18">
        <f ca="1">IFERROR(OFFSET(ARGUS!$A$3, MATCH($A54, ARGUS!$A$3:$A$176, 0)-1,MATCH(EOMONTH(DX$15,1), ARGUS!$B$4:$LG$4, 0)-1,1,1)/1000, 0)</f>
        <v>216.63399999999999</v>
      </c>
      <c r="DY54" s="18">
        <f ca="1">IFERROR(OFFSET(ARGUS!$A$3, MATCH($A54, ARGUS!$A$3:$A$176, 0)-1,MATCH(EOMONTH(DY$15,1), ARGUS!$B$4:$LG$4, 0)-1,1,1)/1000, 0)</f>
        <v>217.14400000000001</v>
      </c>
      <c r="DZ54" s="18">
        <f ca="1">IFERROR(OFFSET(ARGUS!$A$3, MATCH($A54, ARGUS!$A$3:$A$176, 0)-1,MATCH(EOMONTH(DZ$15,1), ARGUS!$B$4:$LG$4, 0)-1,1,1)/1000, 0)</f>
        <v>217.57900000000001</v>
      </c>
      <c r="EA54" s="18">
        <f ca="1">IFERROR(OFFSET(ARGUS!$A$3, MATCH($A54, ARGUS!$A$3:$A$176, 0)-1,MATCH(EOMONTH(EA$15,1), ARGUS!$B$4:$LG$4, 0)-1,1,1)/1000, 0)</f>
        <v>218.63499999999999</v>
      </c>
      <c r="EB54" s="18">
        <f ca="1">IFERROR(OFFSET(ARGUS!$A$3, MATCH($A54, ARGUS!$A$3:$A$176, 0)-1,MATCH(EOMONTH(EB$15,1), ARGUS!$B$4:$LG$4, 0)-1,1,1)/1000, 0)</f>
        <v>218.63499999999999</v>
      </c>
      <c r="EC54" s="18">
        <f ca="1">IFERROR(OFFSET(ARGUS!$A$3, MATCH($A54, ARGUS!$A$3:$A$176, 0)-1,MATCH(EOMONTH(EC$15,1), ARGUS!$B$4:$LG$4, 0)-1,1,1)/1000, 0)</f>
        <v>219.227</v>
      </c>
      <c r="ED54" s="18">
        <f ca="1">IFERROR(OFFSET(ARGUS!$A$3, MATCH($A54, ARGUS!$A$3:$A$176, 0)-1,MATCH(EOMONTH(ED$15,1), ARGUS!$B$4:$LG$4, 0)-1,1,1)/1000, 0)</f>
        <v>220.18700000000001</v>
      </c>
      <c r="EE54" s="18">
        <f ca="1">IFERROR(OFFSET(ARGUS!$A$3, MATCH($A54, ARGUS!$A$3:$A$176, 0)-1,MATCH(EOMONTH(EE$15,1), ARGUS!$B$4:$LG$4, 0)-1,1,1)/1000, 0)</f>
        <v>222.536</v>
      </c>
      <c r="EF54" s="18">
        <f ca="1">IFERROR(OFFSET(ARGUS!$A$3, MATCH($A54, ARGUS!$A$3:$A$176, 0)-1,MATCH(EOMONTH(EF$15,1), ARGUS!$B$4:$LG$4, 0)-1,1,1)/1000, 0)</f>
        <v>219.024</v>
      </c>
      <c r="EG54" s="18">
        <f ca="1">IFERROR(OFFSET(ARGUS!$A$3, MATCH($A54, ARGUS!$A$3:$A$176, 0)-1,MATCH(EOMONTH(EG$15,1), ARGUS!$B$4:$LG$4, 0)-1,1,1)/1000, 0)</f>
        <v>219.024</v>
      </c>
      <c r="EH54" s="18">
        <f ca="1">IFERROR(OFFSET(ARGUS!$A$3, MATCH($A54, ARGUS!$A$3:$A$176, 0)-1,MATCH(EOMONTH(EH$15,1), ARGUS!$B$4:$LG$4, 0)-1,1,1)/1000, 0)</f>
        <v>219.024</v>
      </c>
      <c r="EI54" s="18">
        <f ca="1">IFERROR(OFFSET(ARGUS!$A$3, MATCH($A54, ARGUS!$A$3:$A$176, 0)-1,MATCH(EOMONTH(EI$15,1), ARGUS!$B$4:$LG$4, 0)-1,1,1)/1000, 0)</f>
        <v>219.62100000000001</v>
      </c>
      <c r="EJ54" s="18">
        <f ca="1">IFERROR(OFFSET(ARGUS!$A$3, MATCH($A54, ARGUS!$A$3:$A$176, 0)-1,MATCH(EOMONTH(EJ$15,1), ARGUS!$B$4:$LG$4, 0)-1,1,1)/1000, 0)</f>
        <v>219.62100000000001</v>
      </c>
      <c r="EK54" s="18">
        <f ca="1">IFERROR(OFFSET(ARGUS!$A$3, MATCH($A54, ARGUS!$A$3:$A$176, 0)-1,MATCH(EOMONTH(EK$15,1), ARGUS!$B$4:$LG$4, 0)-1,1,1)/1000, 0)</f>
        <v>220.14599999999999</v>
      </c>
      <c r="EL54" s="18">
        <f ca="1">IFERROR(OFFSET(ARGUS!$A$3, MATCH($A54, ARGUS!$A$3:$A$176, 0)-1,MATCH(EOMONTH(EL$15,1), ARGUS!$B$4:$LG$4, 0)-1,1,1)/1000, 0)</f>
        <v>220.59399999999999</v>
      </c>
      <c r="EM54" s="18">
        <f ca="1">IFERROR(OFFSET(ARGUS!$A$3, MATCH($A54, ARGUS!$A$3:$A$176, 0)-1,MATCH(EOMONTH(EM$15,1), ARGUS!$B$4:$LG$4, 0)-1,1,1)/1000, 0)</f>
        <v>221.68299999999999</v>
      </c>
      <c r="EN54" s="18">
        <f ca="1">IFERROR(OFFSET(ARGUS!$A$3, MATCH($A54, ARGUS!$A$3:$A$176, 0)-1,MATCH(EOMONTH(EN$15,1), ARGUS!$B$4:$LG$4, 0)-1,1,1)/1000, 0)</f>
        <v>221.68299999999999</v>
      </c>
      <c r="EO54" s="18">
        <f ca="1">IFERROR(OFFSET(ARGUS!$A$3, MATCH($A54, ARGUS!$A$3:$A$176, 0)-1,MATCH(EOMONTH(EO$15,1), ARGUS!$B$4:$LG$4, 0)-1,1,1)/1000, 0)</f>
        <v>222.292</v>
      </c>
      <c r="EP54" s="18">
        <f ca="1">IFERROR(OFFSET(ARGUS!$A$3, MATCH($A54, ARGUS!$A$3:$A$176, 0)-1,MATCH(EOMONTH(EP$15,1), ARGUS!$B$4:$LG$4, 0)-1,1,1)/1000, 0)</f>
        <v>223.59899999999999</v>
      </c>
      <c r="EQ54" s="18">
        <f ca="1">IFERROR(OFFSET(ARGUS!$A$3, MATCH($A54, ARGUS!$A$3:$A$176, 0)-1,MATCH(EOMONTH(EQ$15,1), ARGUS!$B$4:$LG$4, 0)-1,1,1)/1000, 0)</f>
        <v>220.541</v>
      </c>
      <c r="ER54" s="18">
        <f ca="1">IFERROR(OFFSET(ARGUS!$A$3, MATCH($A54, ARGUS!$A$3:$A$176, 0)-1,MATCH(EOMONTH(ER$15,1), ARGUS!$B$4:$LG$4, 0)-1,1,1)/1000, 0)</f>
        <v>221.01900000000001</v>
      </c>
      <c r="ES54" s="18">
        <f ca="1">IFERROR(OFFSET(ARGUS!$A$3, MATCH($A54, ARGUS!$A$3:$A$176, 0)-1,MATCH(EOMONTH(ES$15,1), ARGUS!$B$4:$LG$4, 0)-1,1,1)/1000, 0)</f>
        <v>222.29300000000001</v>
      </c>
      <c r="ET54" s="18">
        <f ca="1">IFERROR(OFFSET(ARGUS!$A$3, MATCH($A54, ARGUS!$A$3:$A$176, 0)-1,MATCH(EOMONTH(ET$15,1), ARGUS!$B$4:$LG$4, 0)-1,1,1)/1000, 0)</f>
        <v>222.52</v>
      </c>
      <c r="EU54" s="18">
        <f ca="1">IFERROR(OFFSET(ARGUS!$A$3, MATCH($A54, ARGUS!$A$3:$A$176, 0)-1,MATCH(EOMONTH(EU$15,1), ARGUS!$B$4:$LG$4, 0)-1,1,1)/1000, 0)</f>
        <v>223.13499999999999</v>
      </c>
      <c r="EV54" s="18">
        <f ca="1">IFERROR(OFFSET(ARGUS!$A$3, MATCH($A54, ARGUS!$A$3:$A$176, 0)-1,MATCH(EOMONTH(EV$15,1), ARGUS!$B$4:$LG$4, 0)-1,1,1)/1000, 0)</f>
        <v>223.13499999999999</v>
      </c>
      <c r="EW54" s="18">
        <f ca="1">IFERROR(OFFSET(ARGUS!$A$3, MATCH($A54, ARGUS!$A$3:$A$176, 0)-1,MATCH(EOMONTH(EW$15,1), ARGUS!$B$4:$LG$4, 0)-1,1,1)/1000, 0)</f>
        <v>223.67599999999999</v>
      </c>
      <c r="EX54" s="18">
        <f ca="1">IFERROR(OFFSET(ARGUS!$A$3, MATCH($A54, ARGUS!$A$3:$A$176, 0)-1,MATCH(EOMONTH(EX$15,1), ARGUS!$B$4:$LG$4, 0)-1,1,1)/1000, 0)</f>
        <v>222.99700000000001</v>
      </c>
      <c r="EY54" s="18">
        <f ca="1">IFERROR(OFFSET(ARGUS!$A$3, MATCH($A54, ARGUS!$A$3:$A$176, 0)-1,MATCH(EOMONTH(EY$15,1), ARGUS!$B$4:$LG$4, 0)-1,1,1)/1000, 0)</f>
        <v>222.71799999999999</v>
      </c>
      <c r="EZ54" s="18">
        <f ca="1">IFERROR(OFFSET(ARGUS!$A$3, MATCH($A54, ARGUS!$A$3:$A$176, 0)-1,MATCH(EOMONTH(EZ$15,1), ARGUS!$B$4:$LG$4, 0)-1,1,1)/1000, 0)</f>
        <v>222.71799999999999</v>
      </c>
      <c r="FA54" s="18">
        <f ca="1">IFERROR(OFFSET(ARGUS!$A$3, MATCH($A54, ARGUS!$A$3:$A$176, 0)-1,MATCH(EOMONTH(FA$15,1), ARGUS!$B$4:$LG$4, 0)-1,1,1)/1000, 0)</f>
        <v>220.38499999999999</v>
      </c>
      <c r="FB54" s="18">
        <f ca="1">IFERROR(OFFSET(ARGUS!$A$3, MATCH($A54, ARGUS!$A$3:$A$176, 0)-1,MATCH(EOMONTH(FB$15,1), ARGUS!$B$4:$LG$4, 0)-1,1,1)/1000, 0)</f>
        <v>216.601</v>
      </c>
      <c r="FC54" s="18">
        <f ca="1">IFERROR(OFFSET(ARGUS!$A$3, MATCH($A54, ARGUS!$A$3:$A$176, 0)-1,MATCH(EOMONTH(FC$15,1), ARGUS!$B$4:$LG$4, 0)-1,1,1)/1000, 0)</f>
        <v>216.601</v>
      </c>
      <c r="FD54" s="18">
        <f ca="1">IFERROR(OFFSET(ARGUS!$A$3, MATCH($A54, ARGUS!$A$3:$A$176, 0)-1,MATCH(EOMONTH(FD$15,1), ARGUS!$B$4:$LG$4, 0)-1,1,1)/1000, 0)</f>
        <v>217.39400000000001</v>
      </c>
      <c r="FE54" s="18">
        <f ca="1">IFERROR(OFFSET(ARGUS!$A$3, MATCH($A54, ARGUS!$A$3:$A$176, 0)-1,MATCH(EOMONTH(FE$15,1), ARGUS!$B$4:$LG$4, 0)-1,1,1)/1000, 0)</f>
        <v>218.036</v>
      </c>
      <c r="FF54" s="18">
        <f ca="1">IFERROR(OFFSET(ARGUS!$A$3, MATCH($A54, ARGUS!$A$3:$A$176, 0)-1,MATCH(EOMONTH(FF$15,1), ARGUS!$B$4:$LG$4, 0)-1,1,1)/1000, 0)</f>
        <v>218.036</v>
      </c>
      <c r="FG54" s="18">
        <f ca="1">IFERROR(OFFSET(ARGUS!$A$3, MATCH($A54, ARGUS!$A$3:$A$176, 0)-1,MATCH(EOMONTH(FG$15,1), ARGUS!$B$4:$LG$4, 0)-1,1,1)/1000, 0)</f>
        <v>215.68199999999999</v>
      </c>
      <c r="FH54" s="18">
        <f ca="1">IFERROR(OFFSET(ARGUS!$A$3, MATCH($A54, ARGUS!$A$3:$A$176, 0)-1,MATCH(EOMONTH(FH$15,1), ARGUS!$B$4:$LG$4, 0)-1,1,1)/1000, 0)</f>
        <v>215.68199999999999</v>
      </c>
      <c r="FI54" s="18">
        <f ca="1">IFERROR(OFFSET(ARGUS!$A$3, MATCH($A54, ARGUS!$A$3:$A$176, 0)-1,MATCH(EOMONTH(FI$15,1), ARGUS!$B$4:$LG$4, 0)-1,1,1)/1000, 0)</f>
        <v>213.61099999999999</v>
      </c>
      <c r="FJ54" s="18">
        <f ca="1">IFERROR(OFFSET(ARGUS!$A$3, MATCH($A54, ARGUS!$A$3:$A$176, 0)-1,MATCH(EOMONTH(FJ$15,1), ARGUS!$B$4:$LG$4, 0)-1,1,1)/1000, 0)</f>
        <v>213.83699999999999</v>
      </c>
      <c r="FK54" s="18">
        <f ca="1">IFERROR(OFFSET(ARGUS!$A$3, MATCH($A54, ARGUS!$A$3:$A$176, 0)-1,MATCH(EOMONTH(FK$15,1), ARGUS!$B$4:$LG$4, 0)-1,1,1)/1000, 0)</f>
        <v>208.53200000000001</v>
      </c>
      <c r="FL54" s="18">
        <f ca="1">IFERROR(OFFSET(ARGUS!$A$3, MATCH($A54, ARGUS!$A$3:$A$176, 0)-1,MATCH(EOMONTH(FL$15,1), ARGUS!$B$4:$LG$4, 0)-1,1,1)/1000, 0)</f>
        <v>208.923</v>
      </c>
      <c r="FM54" s="18">
        <f ca="1">IFERROR(OFFSET(ARGUS!$A$3, MATCH($A54, ARGUS!$A$3:$A$176, 0)-1,MATCH(EOMONTH(FM$15,1), ARGUS!$B$4:$LG$4, 0)-1,1,1)/1000, 0)</f>
        <v>208.923</v>
      </c>
      <c r="FN54" s="18">
        <f ca="1">IFERROR(OFFSET(ARGUS!$A$3, MATCH($A54, ARGUS!$A$3:$A$176, 0)-1,MATCH(EOMONTH(FN$15,1), ARGUS!$B$4:$LG$4, 0)-1,1,1)/1000, 0)</f>
        <v>209.48099999999999</v>
      </c>
      <c r="FO54" s="18">
        <f ca="1">IFERROR(OFFSET(ARGUS!$A$3, MATCH($A54, ARGUS!$A$3:$A$176, 0)-1,MATCH(EOMONTH(FO$15,1), ARGUS!$B$4:$LG$4, 0)-1,1,1)/1000, 0)</f>
        <v>210.38499999999999</v>
      </c>
      <c r="FP54" s="18">
        <f ca="1">IFERROR(OFFSET(ARGUS!$A$3, MATCH($A54, ARGUS!$A$3:$A$176, 0)-1,MATCH(EOMONTH(FP$15,1), ARGUS!$B$4:$LG$4, 0)-1,1,1)/1000, 0)</f>
        <v>211.202</v>
      </c>
      <c r="FQ54" s="18">
        <f ca="1">IFERROR(OFFSET(ARGUS!$A$3, MATCH($A54, ARGUS!$A$3:$A$176, 0)-1,MATCH(EOMONTH(FQ$15,1), ARGUS!$B$4:$LG$4, 0)-1,1,1)/1000, 0)</f>
        <v>211.863</v>
      </c>
      <c r="FR54" s="18">
        <f ca="1">IFERROR(OFFSET(ARGUS!$A$3, MATCH($A54, ARGUS!$A$3:$A$176, 0)-1,MATCH(EOMONTH(FR$15,1), ARGUS!$B$4:$LG$4, 0)-1,1,1)/1000, 0)</f>
        <v>211.863</v>
      </c>
      <c r="FS54" s="18">
        <f ca="1">IFERROR(OFFSET(ARGUS!$A$3, MATCH($A54, ARGUS!$A$3:$A$176, 0)-1,MATCH(EOMONTH(FS$15,1), ARGUS!$B$4:$LG$4, 0)-1,1,1)/1000, 0)</f>
        <v>211.863</v>
      </c>
      <c r="FT54" s="18">
        <f ca="1">IFERROR(OFFSET(ARGUS!$A$3, MATCH($A54, ARGUS!$A$3:$A$176, 0)-1,MATCH(EOMONTH(FT$15,1), ARGUS!$B$4:$LG$4, 0)-1,1,1)/1000, 0)</f>
        <v>212.42500000000001</v>
      </c>
      <c r="FU54" s="18">
        <f ca="1">IFERROR(OFFSET(ARGUS!$A$3, MATCH($A54, ARGUS!$A$3:$A$176, 0)-1,MATCH(EOMONTH(FU$15,1), ARGUS!$B$4:$LG$4, 0)-1,1,1)/1000, 0)</f>
        <v>212.42500000000001</v>
      </c>
      <c r="FV54" s="18">
        <f ca="1">IFERROR(OFFSET(ARGUS!$A$3, MATCH($A54, ARGUS!$A$3:$A$176, 0)-1,MATCH(EOMONTH(FV$15,1), ARGUS!$B$4:$LG$4, 0)-1,1,1)/1000, 0)</f>
        <v>213.15299999999999</v>
      </c>
      <c r="FW54" s="18">
        <f ca="1">IFERROR(OFFSET(ARGUS!$A$3, MATCH($A54, ARGUS!$A$3:$A$176, 0)-1,MATCH(EOMONTH(FW$15,1), ARGUS!$B$4:$LG$4, 0)-1,1,1)/1000, 0)</f>
        <v>212.72800000000001</v>
      </c>
      <c r="FX54" s="18">
        <f ca="1">IFERROR(OFFSET(ARGUS!$A$3, MATCH($A54, ARGUS!$A$3:$A$176, 0)-1,MATCH(EOMONTH(FX$15,1), ARGUS!$B$4:$LG$4, 0)-1,1,1)/1000, 0)</f>
        <v>213.46700000000001</v>
      </c>
      <c r="FY54" s="18">
        <f ca="1">IFERROR(OFFSET(ARGUS!$A$3, MATCH($A54, ARGUS!$A$3:$A$176, 0)-1,MATCH(EOMONTH(FY$15,1), ARGUS!$B$4:$LG$4, 0)-1,1,1)/1000, 0)</f>
        <v>213.82499999999999</v>
      </c>
      <c r="FZ54" s="18">
        <f ca="1">IFERROR(OFFSET(ARGUS!$A$3, MATCH($A54, ARGUS!$A$3:$A$176, 0)-1,MATCH(EOMONTH(FZ$15,1), ARGUS!$B$4:$LG$4, 0)-1,1,1)/1000, 0)</f>
        <v>214.4</v>
      </c>
      <c r="GA54" s="18">
        <f ca="1">IFERROR(OFFSET(ARGUS!$A$3, MATCH($A54, ARGUS!$A$3:$A$176, 0)-1,MATCH(EOMONTH(GA$15,1), ARGUS!$B$4:$LG$4, 0)-1,1,1)/1000, 0)</f>
        <v>215.33099999999999</v>
      </c>
      <c r="GB54" s="18">
        <f ca="1">IFERROR(OFFSET(ARGUS!$A$3, MATCH($A54, ARGUS!$A$3:$A$176, 0)-1,MATCH(EOMONTH(GB$15,1), ARGUS!$B$4:$LG$4, 0)-1,1,1)/1000, 0)</f>
        <v>216.173</v>
      </c>
      <c r="GC54" s="18">
        <f ca="1">IFERROR(OFFSET(ARGUS!$A$3, MATCH($A54, ARGUS!$A$3:$A$176, 0)-1,MATCH(EOMONTH(GC$15,1), ARGUS!$B$4:$LG$4, 0)-1,1,1)/1000, 0)</f>
        <v>217.56399999999999</v>
      </c>
      <c r="GD54" s="18">
        <f ca="1">IFERROR(OFFSET(ARGUS!$A$3, MATCH($A54, ARGUS!$A$3:$A$176, 0)-1,MATCH(EOMONTH(GD$15,1), ARGUS!$B$4:$LG$4, 0)-1,1,1)/1000, 0)</f>
        <v>217.81100000000001</v>
      </c>
      <c r="GE54" s="18">
        <f ca="1">IFERROR(OFFSET(ARGUS!$A$3, MATCH($A54, ARGUS!$A$3:$A$176, 0)-1,MATCH(EOMONTH(GE$15,1), ARGUS!$B$4:$LG$4, 0)-1,1,1)/1000, 0)</f>
        <v>217.81100000000001</v>
      </c>
      <c r="GF54" s="18">
        <f ca="1">IFERROR(OFFSET(ARGUS!$A$3, MATCH($A54, ARGUS!$A$3:$A$176, 0)-1,MATCH(EOMONTH(GF$15,1), ARGUS!$B$4:$LG$4, 0)-1,1,1)/1000, 0)</f>
        <v>218.39099999999999</v>
      </c>
      <c r="GG54" s="18">
        <f ca="1">IFERROR(OFFSET(ARGUS!$A$3, MATCH($A54, ARGUS!$A$3:$A$176, 0)-1,MATCH(EOMONTH(GG$15,1), ARGUS!$B$4:$LG$4, 0)-1,1,1)/1000, 0)</f>
        <v>218.39099999999999</v>
      </c>
      <c r="GH54" s="18">
        <f ca="1">IFERROR(OFFSET(ARGUS!$A$3, MATCH($A54, ARGUS!$A$3:$A$176, 0)-1,MATCH(EOMONTH(GH$15,1), ARGUS!$B$4:$LG$4, 0)-1,1,1)/1000, 0)</f>
        <v>219.14</v>
      </c>
      <c r="GI54" s="18">
        <f ca="1">IFERROR(OFFSET(ARGUS!$A$3, MATCH($A54, ARGUS!$A$3:$A$176, 0)-1,MATCH(EOMONTH(GI$15,1), ARGUS!$B$4:$LG$4, 0)-1,1,1)/1000, 0)</f>
        <v>219.46700000000001</v>
      </c>
      <c r="GJ54" s="18">
        <f ca="1">IFERROR(OFFSET(ARGUS!$A$3, MATCH($A54, ARGUS!$A$3:$A$176, 0)-1,MATCH(EOMONTH(GJ$15,1), ARGUS!$B$4:$LG$4, 0)-1,1,1)/1000, 0)</f>
        <v>220.40600000000001</v>
      </c>
      <c r="GK54" s="18">
        <f ca="1">IFERROR(OFFSET(ARGUS!$A$3, MATCH($A54, ARGUS!$A$3:$A$176, 0)-1,MATCH(EOMONTH(GK$15,1), ARGUS!$B$4:$LG$4, 0)-1,1,1)/1000, 0)</f>
        <v>220.774</v>
      </c>
      <c r="GL54" s="18">
        <f ca="1">IFERROR(OFFSET(ARGUS!$A$3, MATCH($A54, ARGUS!$A$3:$A$176, 0)-1,MATCH(EOMONTH(GL$15,1), ARGUS!$B$4:$LG$4, 0)-1,1,1)/1000, 0)</f>
        <v>221.36600000000001</v>
      </c>
      <c r="GM54" s="18">
        <f ca="1">IFERROR(OFFSET(ARGUS!$A$3, MATCH($A54, ARGUS!$A$3:$A$176, 0)-1,MATCH(EOMONTH(GM$15,1), ARGUS!$B$4:$LG$4, 0)-1,1,1)/1000, 0)</f>
        <v>222.32499999999999</v>
      </c>
      <c r="GN54" s="18">
        <f ca="1">IFERROR(OFFSET(ARGUS!$A$3, MATCH($A54, ARGUS!$A$3:$A$176, 0)-1,MATCH(EOMONTH(GN$15,1), ARGUS!$B$4:$LG$4, 0)-1,1,1)/1000, 0)</f>
        <v>220.65600000000001</v>
      </c>
      <c r="GO54" s="18">
        <f ca="1">IFERROR(OFFSET(ARGUS!$A$3, MATCH($A54, ARGUS!$A$3:$A$176, 0)-1,MATCH(EOMONTH(GO$15,1), ARGUS!$B$4:$LG$4, 0)-1,1,1)/1000, 0)</f>
        <v>218.05099999999999</v>
      </c>
      <c r="GP54" s="18">
        <f ca="1">IFERROR(OFFSET(ARGUS!$A$3, MATCH($A54, ARGUS!$A$3:$A$176, 0)-1,MATCH(EOMONTH(GP$15,1), ARGUS!$B$4:$LG$4, 0)-1,1,1)/1000, 0)</f>
        <v>218.05099999999999</v>
      </c>
      <c r="GQ54" s="18">
        <f ca="1">IFERROR(OFFSET(ARGUS!$A$3, MATCH($A54, ARGUS!$A$3:$A$176, 0)-1,MATCH(EOMONTH(GQ$15,1), ARGUS!$B$4:$LG$4, 0)-1,1,1)/1000, 0)</f>
        <v>218.05099999999999</v>
      </c>
      <c r="GR54" s="18">
        <f ca="1">IFERROR(OFFSET(ARGUS!$A$3, MATCH($A54, ARGUS!$A$3:$A$176, 0)-1,MATCH(EOMONTH(GR$15,1), ARGUS!$B$4:$LG$4, 0)-1,1,1)/1000, 0)</f>
        <v>218.64699999999999</v>
      </c>
      <c r="GS54" s="18">
        <f ca="1">IFERROR(OFFSET(ARGUS!$A$3, MATCH($A54, ARGUS!$A$3:$A$176, 0)-1,MATCH(EOMONTH(GS$15,1), ARGUS!$B$4:$LG$4, 0)-1,1,1)/1000, 0)</f>
        <v>218.64699999999999</v>
      </c>
      <c r="GT54" s="18">
        <f ca="1">IFERROR(OFFSET(ARGUS!$A$3, MATCH($A54, ARGUS!$A$3:$A$176, 0)-1,MATCH(EOMONTH(GT$15,1), ARGUS!$B$4:$LG$4, 0)-1,1,1)/1000, 0)</f>
        <v>219.42</v>
      </c>
      <c r="GU54" s="18"/>
      <c r="GV54" s="18"/>
      <c r="GW54" s="18"/>
      <c r="GX54" s="18"/>
      <c r="GY54" s="18"/>
      <c r="GZ54" s="18"/>
      <c r="HA54" s="18"/>
      <c r="HB54" s="18"/>
      <c r="HC54" s="18"/>
      <c r="HD54" s="18"/>
      <c r="HE54" s="18"/>
      <c r="HF54" s="1" t="s">
        <v>212</v>
      </c>
      <c r="HG54" s="139" t="e">
        <f t="shared" si="519"/>
        <v>#REF!</v>
      </c>
      <c r="HH54" s="9" t="str">
        <f t="shared" si="649"/>
        <v xml:space="preserve"> Potential Base Rent</v>
      </c>
      <c r="HI54" s="18"/>
      <c r="HJ54" s="18"/>
      <c r="HK54" s="18"/>
      <c r="HL54" s="116">
        <f ca="1">SUM(HN54:HV54)</f>
        <v>14569.88845</v>
      </c>
      <c r="HM54" s="18"/>
      <c r="HN54" s="131">
        <f t="shared" ref="HN54:HV62" si="650">SUMIF($K$14:$GT$14,HN$14,$K54:$GT54)</f>
        <v>0</v>
      </c>
      <c r="HO54" s="18">
        <f t="shared" si="650"/>
        <v>1384.1557500000001</v>
      </c>
      <c r="HP54" s="18">
        <f t="shared" si="650"/>
        <v>1517.37391</v>
      </c>
      <c r="HQ54" s="18">
        <f t="shared" si="650"/>
        <v>1646.1152299999999</v>
      </c>
      <c r="HR54" s="18">
        <f t="shared" si="650"/>
        <v>1858.7960700000003</v>
      </c>
      <c r="HS54" s="18">
        <f t="shared" si="650"/>
        <v>1661.6027400000003</v>
      </c>
      <c r="HT54" s="18">
        <f t="shared" si="650"/>
        <v>1805.1816199999998</v>
      </c>
      <c r="HU54" s="18">
        <f t="shared" ca="1" si="650"/>
        <v>2212.1021300000002</v>
      </c>
      <c r="HV54" s="18">
        <f t="shared" ca="1" si="650"/>
        <v>2484.5609999999997</v>
      </c>
      <c r="HW54"/>
    </row>
    <row r="55" spans="1:231" ht="15">
      <c r="A55" s="441">
        <v>2</v>
      </c>
      <c r="B55" s="9" t="s">
        <v>422</v>
      </c>
      <c r="E55" s="149"/>
      <c r="I55" s="132">
        <f ca="1">SUMIF($K$13:$GT$13,"&lt;="&amp;Assumptions!$L$17,'Monthly Cash Flow'!K55:GT55)</f>
        <v>-594.52500000000009</v>
      </c>
      <c r="J55" s="26"/>
      <c r="K55" s="133"/>
      <c r="L55" s="953">
        <f>Historicals!D4</f>
        <v>0</v>
      </c>
      <c r="M55" s="954">
        <f>Historicals!E4</f>
        <v>0</v>
      </c>
      <c r="N55" s="954">
        <f>Historicals!F4</f>
        <v>0</v>
      </c>
      <c r="O55" s="954">
        <f>Historicals!G4</f>
        <v>0</v>
      </c>
      <c r="P55" s="954">
        <f>Historicals!H4</f>
        <v>0</v>
      </c>
      <c r="Q55" s="954">
        <f>Historicals!I4</f>
        <v>0</v>
      </c>
      <c r="R55" s="954">
        <f>Historicals!J4</f>
        <v>0</v>
      </c>
      <c r="S55" s="954">
        <f>Historicals!K4</f>
        <v>0</v>
      </c>
      <c r="T55" s="954">
        <f>Historicals!L4</f>
        <v>0</v>
      </c>
      <c r="U55" s="954">
        <f>Historicals!M4</f>
        <v>0</v>
      </c>
      <c r="V55" s="954">
        <f>Historicals!N4</f>
        <v>0</v>
      </c>
      <c r="W55" s="954">
        <f>Historicals!O4</f>
        <v>0</v>
      </c>
      <c r="X55" s="954">
        <f>Historicals!P4</f>
        <v>0</v>
      </c>
      <c r="Y55" s="954">
        <f>Historicals!Q4</f>
        <v>0</v>
      </c>
      <c r="Z55" s="954">
        <f>Historicals!R4</f>
        <v>0</v>
      </c>
      <c r="AA55" s="954">
        <f>Historicals!S4</f>
        <v>0</v>
      </c>
      <c r="AB55" s="954">
        <f>Historicals!T4</f>
        <v>0</v>
      </c>
      <c r="AC55" s="954">
        <f>Historicals!U4</f>
        <v>0</v>
      </c>
      <c r="AD55" s="954">
        <f>Historicals!V4</f>
        <v>0</v>
      </c>
      <c r="AE55" s="954">
        <f>Historicals!W4</f>
        <v>0</v>
      </c>
      <c r="AF55" s="954">
        <f>Historicals!X4</f>
        <v>0</v>
      </c>
      <c r="AG55" s="954">
        <f>Historicals!Y4</f>
        <v>0</v>
      </c>
      <c r="AH55" s="954">
        <f>Historicals!Z4</f>
        <v>0</v>
      </c>
      <c r="AI55" s="954">
        <f>Historicals!AA4</f>
        <v>0</v>
      </c>
      <c r="AJ55" s="954">
        <f>Historicals!AB4</f>
        <v>0</v>
      </c>
      <c r="AK55" s="954">
        <f>Historicals!AC4</f>
        <v>0</v>
      </c>
      <c r="AL55" s="954">
        <f>Historicals!AD4</f>
        <v>0</v>
      </c>
      <c r="AM55" s="954">
        <f>Historicals!AE4</f>
        <v>0</v>
      </c>
      <c r="AN55" s="954">
        <f>Historicals!AF4</f>
        <v>0</v>
      </c>
      <c r="AO55" s="954">
        <f>Historicals!AG4</f>
        <v>0</v>
      </c>
      <c r="AP55" s="954">
        <f>Historicals!AH4</f>
        <v>0</v>
      </c>
      <c r="AQ55" s="954">
        <f>Historicals!AI4</f>
        <v>0</v>
      </c>
      <c r="AR55" s="954">
        <f>Historicals!AJ4</f>
        <v>0</v>
      </c>
      <c r="AS55" s="954">
        <f>Historicals!AK4</f>
        <v>0</v>
      </c>
      <c r="AT55" s="954">
        <f>Historicals!AL4</f>
        <v>0</v>
      </c>
      <c r="AU55" s="954">
        <f>Historicals!AM4</f>
        <v>0</v>
      </c>
      <c r="AV55" s="954">
        <f>Historicals!AN4</f>
        <v>0</v>
      </c>
      <c r="AW55" s="954">
        <f>Historicals!AO4</f>
        <v>0</v>
      </c>
      <c r="AX55" s="954">
        <f>Historicals!AP4</f>
        <v>0</v>
      </c>
      <c r="AY55" s="954">
        <f>Historicals!AQ4</f>
        <v>0</v>
      </c>
      <c r="AZ55" s="954">
        <f>Historicals!AR4</f>
        <v>0</v>
      </c>
      <c r="BA55" s="954">
        <f>Historicals!AS4</f>
        <v>0</v>
      </c>
      <c r="BB55" s="954">
        <f>Historicals!AT4</f>
        <v>0</v>
      </c>
      <c r="BC55" s="954">
        <f>Historicals!AU4</f>
        <v>0</v>
      </c>
      <c r="BD55" s="954">
        <f>Historicals!AV4</f>
        <v>0</v>
      </c>
      <c r="BE55" s="954">
        <f>Historicals!AW4</f>
        <v>0</v>
      </c>
      <c r="BF55" s="954">
        <f>Historicals!AX4</f>
        <v>0</v>
      </c>
      <c r="BG55" s="954">
        <f>Historicals!AY4</f>
        <v>0</v>
      </c>
      <c r="BH55" s="954">
        <f>Historicals!AZ4</f>
        <v>0</v>
      </c>
      <c r="BI55" s="954">
        <f>Historicals!BA4</f>
        <v>0</v>
      </c>
      <c r="BJ55" s="954">
        <f>Historicals!BB4</f>
        <v>0</v>
      </c>
      <c r="BK55" s="954">
        <f>Historicals!BC4</f>
        <v>0</v>
      </c>
      <c r="BL55" s="954">
        <f>Historicals!BD4</f>
        <v>0</v>
      </c>
      <c r="BM55" s="954">
        <f>Historicals!BE4</f>
        <v>0</v>
      </c>
      <c r="BN55" s="930">
        <f>Historicals!BF4</f>
        <v>0</v>
      </c>
      <c r="BO55" s="930">
        <f>Historicals!BG4</f>
        <v>0</v>
      </c>
      <c r="BP55" s="930">
        <f>Historicals!BH4</f>
        <v>0</v>
      </c>
      <c r="BQ55" s="930">
        <f>Historicals!BI4</f>
        <v>0</v>
      </c>
      <c r="BR55" s="930">
        <f>Historicals!BJ4</f>
        <v>0</v>
      </c>
      <c r="BS55" s="930">
        <f>Historicals!BK4</f>
        <v>0</v>
      </c>
      <c r="BT55" s="930">
        <f>Historicals!BL4</f>
        <v>0</v>
      </c>
      <c r="BU55" s="930">
        <f>Historicals!BM4</f>
        <v>0</v>
      </c>
      <c r="BV55" s="930">
        <f>Historicals!BN4</f>
        <v>0</v>
      </c>
      <c r="BW55" s="930">
        <f>Historicals!BO4</f>
        <v>0</v>
      </c>
      <c r="BX55" s="930">
        <f>Historicals!BP4</f>
        <v>0</v>
      </c>
      <c r="BY55" s="930">
        <f>Historicals!BQ4</f>
        <v>0</v>
      </c>
      <c r="BZ55" s="930">
        <f>Historicals!BR4</f>
        <v>0</v>
      </c>
      <c r="CA55" s="930">
        <f>Historicals!BS4</f>
        <v>0</v>
      </c>
      <c r="CB55" s="930">
        <f>Historicals!BT4</f>
        <v>0</v>
      </c>
      <c r="CC55" s="930">
        <f>Historicals!BU4</f>
        <v>0</v>
      </c>
      <c r="CD55" s="930">
        <f>Historicals!BV4</f>
        <v>0</v>
      </c>
      <c r="CE55" s="930">
        <f>Historicals!BW4</f>
        <v>0</v>
      </c>
      <c r="CF55" s="930">
        <f>Historicals!BX4</f>
        <v>0</v>
      </c>
      <c r="CG55" s="930">
        <f>Historicals!BY4</f>
        <v>0</v>
      </c>
      <c r="CH55" s="930">
        <f>Historicals!BZ4</f>
        <v>0</v>
      </c>
      <c r="CI55" s="26">
        <f ca="1">IFERROR(OFFSET(ARGUS!$A$3, MATCH($A55, ARGUS!$A$3:$A$176, 0)-1,MATCH(EOMONTH(CI$15,1), ARGUS!$B$4:$LG$4, 0)-1,1,1)/1000, 0)</f>
        <v>-30.559000000000001</v>
      </c>
      <c r="CJ55" s="26">
        <f ca="1">IFERROR(OFFSET(ARGUS!$A$3, MATCH($A55, ARGUS!$A$3:$A$176, 0)-1,MATCH(EOMONTH(CJ$15,1), ARGUS!$B$4:$LG$4, 0)-1,1,1)/1000, 0)</f>
        <v>-30.559000000000001</v>
      </c>
      <c r="CK55" s="26">
        <f ca="1">IFERROR(OFFSET(ARGUS!$A$3, MATCH($A55, ARGUS!$A$3:$A$176, 0)-1,MATCH(EOMONTH(CK$15,1), ARGUS!$B$4:$LG$4, 0)-1,1,1)/1000, 0)</f>
        <v>-30.559000000000001</v>
      </c>
      <c r="CL55" s="26">
        <f ca="1">IFERROR(OFFSET(ARGUS!$A$3, MATCH($A55, ARGUS!$A$3:$A$176, 0)-1,MATCH(EOMONTH(CL$15,1), ARGUS!$B$4:$LG$4, 0)-1,1,1)/1000, 0)</f>
        <v>-30.559000000000001</v>
      </c>
      <c r="CM55" s="26">
        <f ca="1">IFERROR(OFFSET(ARGUS!$A$3, MATCH($A55, ARGUS!$A$3:$A$176, 0)-1,MATCH(EOMONTH(CM$15,1), ARGUS!$B$4:$LG$4, 0)-1,1,1)/1000, 0)</f>
        <v>-30.559000000000001</v>
      </c>
      <c r="CN55" s="26">
        <f ca="1">IFERROR(OFFSET(ARGUS!$A$3, MATCH($A55, ARGUS!$A$3:$A$176, 0)-1,MATCH(EOMONTH(CN$15,1), ARGUS!$B$4:$LG$4, 0)-1,1,1)/1000, 0)</f>
        <v>-30.559000000000001</v>
      </c>
      <c r="CO55" s="26">
        <f ca="1">IFERROR(OFFSET(ARGUS!$A$3, MATCH($A55, ARGUS!$A$3:$A$176, 0)-1,MATCH(EOMONTH(CO$15,1), ARGUS!$B$4:$LG$4, 0)-1,1,1)/1000, 0)</f>
        <v>-30.559000000000001</v>
      </c>
      <c r="CP55" s="26">
        <f ca="1">IFERROR(OFFSET(ARGUS!$A$3, MATCH($A55, ARGUS!$A$3:$A$176, 0)-1,MATCH(EOMONTH(CP$15,1), ARGUS!$B$4:$LG$4, 0)-1,1,1)/1000, 0)</f>
        <v>-23.399000000000001</v>
      </c>
      <c r="CQ55" s="26">
        <f ca="1">IFERROR(OFFSET(ARGUS!$A$3, MATCH($A55, ARGUS!$A$3:$A$176, 0)-1,MATCH(EOMONTH(CQ$15,1), ARGUS!$B$4:$LG$4, 0)-1,1,1)/1000, 0)</f>
        <v>-23.399000000000001</v>
      </c>
      <c r="CR55" s="26">
        <f ca="1">IFERROR(OFFSET(ARGUS!$A$3, MATCH($A55, ARGUS!$A$3:$A$176, 0)-1,MATCH(EOMONTH(CR$15,1), ARGUS!$B$4:$LG$4, 0)-1,1,1)/1000, 0)</f>
        <v>-41.988999999999997</v>
      </c>
      <c r="CS55" s="26">
        <f ca="1">IFERROR(OFFSET(ARGUS!$A$3, MATCH($A55, ARGUS!$A$3:$A$176, 0)-1,MATCH(EOMONTH(CS$15,1), ARGUS!$B$4:$LG$4, 0)-1,1,1)/1000, 0)</f>
        <v>-53.545999999999999</v>
      </c>
      <c r="CT55" s="26">
        <f ca="1">IFERROR(OFFSET(ARGUS!$A$3, MATCH($A55, ARGUS!$A$3:$A$176, 0)-1,MATCH(EOMONTH(CT$15,1), ARGUS!$B$4:$LG$4, 0)-1,1,1)/1000, 0)</f>
        <v>-23.399000000000001</v>
      </c>
      <c r="CU55" s="26">
        <f ca="1">IFERROR(OFFSET(ARGUS!$A$3, MATCH($A55, ARGUS!$A$3:$A$176, 0)-1,MATCH(EOMONTH(CU$15,1), ARGUS!$B$4:$LG$4, 0)-1,1,1)/1000, 0)</f>
        <v>-23.399000000000001</v>
      </c>
      <c r="CV55" s="26">
        <f ca="1">IFERROR(OFFSET(ARGUS!$A$3, MATCH($A55, ARGUS!$A$3:$A$176, 0)-1,MATCH(EOMONTH(CV$15,1), ARGUS!$B$4:$LG$4, 0)-1,1,1)/1000, 0)</f>
        <v>-23.399000000000001</v>
      </c>
      <c r="CW55" s="26">
        <f ca="1">IFERROR(OFFSET(ARGUS!$A$3, MATCH($A55, ARGUS!$A$3:$A$176, 0)-1,MATCH(EOMONTH(CW$15,1), ARGUS!$B$4:$LG$4, 0)-1,1,1)/1000, 0)</f>
        <v>-23.399000000000001</v>
      </c>
      <c r="CX55" s="26">
        <f ca="1">IFERROR(OFFSET(ARGUS!$A$3, MATCH($A55, ARGUS!$A$3:$A$176, 0)-1,MATCH(EOMONTH(CX$15,1), ARGUS!$B$4:$LG$4, 0)-1,1,1)/1000, 0)</f>
        <v>-42.151000000000003</v>
      </c>
      <c r="CY55" s="26">
        <f ca="1">IFERROR(OFFSET(ARGUS!$A$3, MATCH($A55, ARGUS!$A$3:$A$176, 0)-1,MATCH(EOMONTH(CY$15,1), ARGUS!$B$4:$LG$4, 0)-1,1,1)/1000, 0)</f>
        <v>-23.968</v>
      </c>
      <c r="CZ55" s="26">
        <f ca="1">IFERROR(OFFSET(ARGUS!$A$3, MATCH($A55, ARGUS!$A$3:$A$176, 0)-1,MATCH(EOMONTH(CZ$15,1), ARGUS!$B$4:$LG$4, 0)-1,1,1)/1000, 0)</f>
        <v>-39.902000000000001</v>
      </c>
      <c r="DA55" s="26">
        <f ca="1">IFERROR(OFFSET(ARGUS!$A$3, MATCH($A55, ARGUS!$A$3:$A$176, 0)-1,MATCH(EOMONTH(DA$15,1), ARGUS!$B$4:$LG$4, 0)-1,1,1)/1000, 0)</f>
        <v>-23.399000000000001</v>
      </c>
      <c r="DB55" s="26">
        <f ca="1">IFERROR(OFFSET(ARGUS!$A$3, MATCH($A55, ARGUS!$A$3:$A$176, 0)-1,MATCH(EOMONTH(DB$15,1), ARGUS!$B$4:$LG$4, 0)-1,1,1)/1000, 0)</f>
        <v>-15.263</v>
      </c>
      <c r="DC55" s="26">
        <f ca="1">IFERROR(OFFSET(ARGUS!$A$3, MATCH($A55, ARGUS!$A$3:$A$176, 0)-1,MATCH(EOMONTH(DC$15,1), ARGUS!$B$4:$LG$4, 0)-1,1,1)/1000, 0)</f>
        <v>0</v>
      </c>
      <c r="DD55" s="26">
        <f ca="1">IFERROR(OFFSET(ARGUS!$A$3, MATCH($A55, ARGUS!$A$3:$A$176, 0)-1,MATCH(EOMONTH(DD$15,1), ARGUS!$B$4:$LG$4, 0)-1,1,1)/1000, 0)</f>
        <v>0</v>
      </c>
      <c r="DE55" s="26">
        <f ca="1">IFERROR(OFFSET(ARGUS!$A$3, MATCH($A55, ARGUS!$A$3:$A$176, 0)-1,MATCH(EOMONTH(DE$15,1), ARGUS!$B$4:$LG$4, 0)-1,1,1)/1000, 0)</f>
        <v>0</v>
      </c>
      <c r="DF55" s="26">
        <f ca="1">IFERROR(OFFSET(ARGUS!$A$3, MATCH($A55, ARGUS!$A$3:$A$176, 0)-1,MATCH(EOMONTH(DF$15,1), ARGUS!$B$4:$LG$4, 0)-1,1,1)/1000, 0)</f>
        <v>0</v>
      </c>
      <c r="DG55" s="26">
        <f ca="1">IFERROR(OFFSET(ARGUS!$A$3, MATCH($A55, ARGUS!$A$3:$A$176, 0)-1,MATCH(EOMONTH(DG$15,1), ARGUS!$B$4:$LG$4, 0)-1,1,1)/1000, 0)</f>
        <v>0</v>
      </c>
      <c r="DH55" s="26">
        <f ca="1">IFERROR(OFFSET(ARGUS!$A$3, MATCH($A55, ARGUS!$A$3:$A$176, 0)-1,MATCH(EOMONTH(DH$15,1), ARGUS!$B$4:$LG$4, 0)-1,1,1)/1000, 0)</f>
        <v>0</v>
      </c>
      <c r="DI55" s="26">
        <f ca="1">IFERROR(OFFSET(ARGUS!$A$3, MATCH($A55, ARGUS!$A$3:$A$176, 0)-1,MATCH(EOMONTH(DI$15,1), ARGUS!$B$4:$LG$4, 0)-1,1,1)/1000, 0)</f>
        <v>0</v>
      </c>
      <c r="DJ55" s="26">
        <f ca="1">IFERROR(OFFSET(ARGUS!$A$3, MATCH($A55, ARGUS!$A$3:$A$176, 0)-1,MATCH(EOMONTH(DJ$15,1), ARGUS!$B$4:$LG$4, 0)-1,1,1)/1000, 0)</f>
        <v>0</v>
      </c>
      <c r="DK55" s="26">
        <f ca="1">IFERROR(OFFSET(ARGUS!$A$3, MATCH($A55, ARGUS!$A$3:$A$176, 0)-1,MATCH(EOMONTH(DK$15,1), ARGUS!$B$4:$LG$4, 0)-1,1,1)/1000, 0)</f>
        <v>0</v>
      </c>
      <c r="DL55" s="26">
        <f ca="1">IFERROR(OFFSET(ARGUS!$A$3, MATCH($A55, ARGUS!$A$3:$A$176, 0)-1,MATCH(EOMONTH(DL$15,1), ARGUS!$B$4:$LG$4, 0)-1,1,1)/1000, 0)</f>
        <v>0</v>
      </c>
      <c r="DM55" s="26">
        <f ca="1">IFERROR(OFFSET(ARGUS!$A$3, MATCH($A55, ARGUS!$A$3:$A$176, 0)-1,MATCH(EOMONTH(DM$15,1), ARGUS!$B$4:$LG$4, 0)-1,1,1)/1000, 0)</f>
        <v>0</v>
      </c>
      <c r="DN55" s="26">
        <f ca="1">IFERROR(OFFSET(ARGUS!$A$3, MATCH($A55, ARGUS!$A$3:$A$176, 0)-1,MATCH(EOMONTH(DN$15,1), ARGUS!$B$4:$LG$4, 0)-1,1,1)/1000, 0)</f>
        <v>-5.9109999999999996</v>
      </c>
      <c r="DO55" s="26">
        <f ca="1">IFERROR(OFFSET(ARGUS!$A$3, MATCH($A55, ARGUS!$A$3:$A$176, 0)-1,MATCH(EOMONTH(DO$15,1), ARGUS!$B$4:$LG$4, 0)-1,1,1)/1000, 0)</f>
        <v>0</v>
      </c>
      <c r="DP55" s="26">
        <f ca="1">IFERROR(OFFSET(ARGUS!$A$3, MATCH($A55, ARGUS!$A$3:$A$176, 0)-1,MATCH(EOMONTH(DP$15,1), ARGUS!$B$4:$LG$4, 0)-1,1,1)/1000, 0)</f>
        <v>0</v>
      </c>
      <c r="DQ55" s="26">
        <f ca="1">IFERROR(OFFSET(ARGUS!$A$3, MATCH($A55, ARGUS!$A$3:$A$176, 0)-1,MATCH(EOMONTH(DQ$15,1), ARGUS!$B$4:$LG$4, 0)-1,1,1)/1000, 0)</f>
        <v>0</v>
      </c>
      <c r="DR55" s="26">
        <f ca="1">IFERROR(OFFSET(ARGUS!$A$3, MATCH($A55, ARGUS!$A$3:$A$176, 0)-1,MATCH(EOMONTH(DR$15,1), ARGUS!$B$4:$LG$4, 0)-1,1,1)/1000, 0)</f>
        <v>0</v>
      </c>
      <c r="DS55" s="26">
        <f ca="1">IFERROR(OFFSET(ARGUS!$A$3, MATCH($A55, ARGUS!$A$3:$A$176, 0)-1,MATCH(EOMONTH(DS$15,1), ARGUS!$B$4:$LG$4, 0)-1,1,1)/1000, 0)</f>
        <v>0</v>
      </c>
      <c r="DT55" s="26">
        <f ca="1">IFERROR(OFFSET(ARGUS!$A$3, MATCH($A55, ARGUS!$A$3:$A$176, 0)-1,MATCH(EOMONTH(DT$15,1), ARGUS!$B$4:$LG$4, 0)-1,1,1)/1000, 0)</f>
        <v>0</v>
      </c>
      <c r="DU55" s="26">
        <f ca="1">IFERROR(OFFSET(ARGUS!$A$3, MATCH($A55, ARGUS!$A$3:$A$176, 0)-1,MATCH(EOMONTH(DU$15,1), ARGUS!$B$4:$LG$4, 0)-1,1,1)/1000, 0)</f>
        <v>0</v>
      </c>
      <c r="DV55" s="26">
        <f ca="1">IFERROR(OFFSET(ARGUS!$A$3, MATCH($A55, ARGUS!$A$3:$A$176, 0)-1,MATCH(EOMONTH(DV$15,1), ARGUS!$B$4:$LG$4, 0)-1,1,1)/1000, 0)</f>
        <v>0</v>
      </c>
      <c r="DW55" s="26">
        <f ca="1">IFERROR(OFFSET(ARGUS!$A$3, MATCH($A55, ARGUS!$A$3:$A$176, 0)-1,MATCH(EOMONTH(DW$15,1), ARGUS!$B$4:$LG$4, 0)-1,1,1)/1000, 0)</f>
        <v>0</v>
      </c>
      <c r="DX55" s="26">
        <f ca="1">IFERROR(OFFSET(ARGUS!$A$3, MATCH($A55, ARGUS!$A$3:$A$176, 0)-1,MATCH(EOMONTH(DX$15,1), ARGUS!$B$4:$LG$4, 0)-1,1,1)/1000, 0)</f>
        <v>0</v>
      </c>
      <c r="DY55" s="26">
        <f ca="1">IFERROR(OFFSET(ARGUS!$A$3, MATCH($A55, ARGUS!$A$3:$A$176, 0)-1,MATCH(EOMONTH(DY$15,1), ARGUS!$B$4:$LG$4, 0)-1,1,1)/1000, 0)</f>
        <v>0</v>
      </c>
      <c r="DZ55" s="26">
        <f ca="1">IFERROR(OFFSET(ARGUS!$A$3, MATCH($A55, ARGUS!$A$3:$A$176, 0)-1,MATCH(EOMONTH(DZ$15,1), ARGUS!$B$4:$LG$4, 0)-1,1,1)/1000, 0)</f>
        <v>0</v>
      </c>
      <c r="EA55" s="26">
        <f ca="1">IFERROR(OFFSET(ARGUS!$A$3, MATCH($A55, ARGUS!$A$3:$A$176, 0)-1,MATCH(EOMONTH(EA$15,1), ARGUS!$B$4:$LG$4, 0)-1,1,1)/1000, 0)</f>
        <v>0</v>
      </c>
      <c r="EB55" s="26">
        <f ca="1">IFERROR(OFFSET(ARGUS!$A$3, MATCH($A55, ARGUS!$A$3:$A$176, 0)-1,MATCH(EOMONTH(EB$15,1), ARGUS!$B$4:$LG$4, 0)-1,1,1)/1000, 0)</f>
        <v>0</v>
      </c>
      <c r="EC55" s="26">
        <f ca="1">IFERROR(OFFSET(ARGUS!$A$3, MATCH($A55, ARGUS!$A$3:$A$176, 0)-1,MATCH(EOMONTH(EC$15,1), ARGUS!$B$4:$LG$4, 0)-1,1,1)/1000, 0)</f>
        <v>0</v>
      </c>
      <c r="ED55" s="26">
        <f ca="1">IFERROR(OFFSET(ARGUS!$A$3, MATCH($A55, ARGUS!$A$3:$A$176, 0)-1,MATCH(EOMONTH(ED$15,1), ARGUS!$B$4:$LG$4, 0)-1,1,1)/1000, 0)</f>
        <v>0</v>
      </c>
      <c r="EE55" s="26">
        <f ca="1">IFERROR(OFFSET(ARGUS!$A$3, MATCH($A55, ARGUS!$A$3:$A$176, 0)-1,MATCH(EOMONTH(EE$15,1), ARGUS!$B$4:$LG$4, 0)-1,1,1)/1000, 0)</f>
        <v>-15.922000000000001</v>
      </c>
      <c r="EF55" s="26">
        <f ca="1">IFERROR(OFFSET(ARGUS!$A$3, MATCH($A55, ARGUS!$A$3:$A$176, 0)-1,MATCH(EOMONTH(EF$15,1), ARGUS!$B$4:$LG$4, 0)-1,1,1)/1000, 0)</f>
        <v>-20.760999999999999</v>
      </c>
      <c r="EG55" s="26">
        <f ca="1">IFERROR(OFFSET(ARGUS!$A$3, MATCH($A55, ARGUS!$A$3:$A$176, 0)-1,MATCH(EOMONTH(EG$15,1), ARGUS!$B$4:$LG$4, 0)-1,1,1)/1000, 0)</f>
        <v>0</v>
      </c>
      <c r="EH55" s="26">
        <f ca="1">IFERROR(OFFSET(ARGUS!$A$3, MATCH($A55, ARGUS!$A$3:$A$176, 0)-1,MATCH(EOMONTH(EH$15,1), ARGUS!$B$4:$LG$4, 0)-1,1,1)/1000, 0)</f>
        <v>0</v>
      </c>
      <c r="EI55" s="26">
        <f ca="1">IFERROR(OFFSET(ARGUS!$A$3, MATCH($A55, ARGUS!$A$3:$A$176, 0)-1,MATCH(EOMONTH(EI$15,1), ARGUS!$B$4:$LG$4, 0)-1,1,1)/1000, 0)</f>
        <v>0</v>
      </c>
      <c r="EJ55" s="26">
        <f ca="1">IFERROR(OFFSET(ARGUS!$A$3, MATCH($A55, ARGUS!$A$3:$A$176, 0)-1,MATCH(EOMONTH(EJ$15,1), ARGUS!$B$4:$LG$4, 0)-1,1,1)/1000, 0)</f>
        <v>0</v>
      </c>
      <c r="EK55" s="26">
        <f ca="1">IFERROR(OFFSET(ARGUS!$A$3, MATCH($A55, ARGUS!$A$3:$A$176, 0)-1,MATCH(EOMONTH(EK$15,1), ARGUS!$B$4:$LG$4, 0)-1,1,1)/1000, 0)</f>
        <v>0</v>
      </c>
      <c r="EL55" s="26">
        <f ca="1">IFERROR(OFFSET(ARGUS!$A$3, MATCH($A55, ARGUS!$A$3:$A$176, 0)-1,MATCH(EOMONTH(EL$15,1), ARGUS!$B$4:$LG$4, 0)-1,1,1)/1000, 0)</f>
        <v>0</v>
      </c>
      <c r="EM55" s="26">
        <f ca="1">IFERROR(OFFSET(ARGUS!$A$3, MATCH($A55, ARGUS!$A$3:$A$176, 0)-1,MATCH(EOMONTH(EM$15,1), ARGUS!$B$4:$LG$4, 0)-1,1,1)/1000, 0)</f>
        <v>0</v>
      </c>
      <c r="EN55" s="26">
        <f ca="1">IFERROR(OFFSET(ARGUS!$A$3, MATCH($A55, ARGUS!$A$3:$A$176, 0)-1,MATCH(EOMONTH(EN$15,1), ARGUS!$B$4:$LG$4, 0)-1,1,1)/1000, 0)</f>
        <v>0</v>
      </c>
      <c r="EO55" s="26">
        <f ca="1">IFERROR(OFFSET(ARGUS!$A$3, MATCH($A55, ARGUS!$A$3:$A$176, 0)-1,MATCH(EOMONTH(EO$15,1), ARGUS!$B$4:$LG$4, 0)-1,1,1)/1000, 0)</f>
        <v>0</v>
      </c>
      <c r="EP55" s="26">
        <f ca="1">IFERROR(OFFSET(ARGUS!$A$3, MATCH($A55, ARGUS!$A$3:$A$176, 0)-1,MATCH(EOMONTH(EP$15,1), ARGUS!$B$4:$LG$4, 0)-1,1,1)/1000, 0)</f>
        <v>0</v>
      </c>
      <c r="EQ55" s="26">
        <f ca="1">IFERROR(OFFSET(ARGUS!$A$3, MATCH($A55, ARGUS!$A$3:$A$176, 0)-1,MATCH(EOMONTH(EQ$15,1), ARGUS!$B$4:$LG$4, 0)-1,1,1)/1000, 0)</f>
        <v>-10.039999999999999</v>
      </c>
      <c r="ER55" s="26">
        <f ca="1">IFERROR(OFFSET(ARGUS!$A$3, MATCH($A55, ARGUS!$A$3:$A$176, 0)-1,MATCH(EOMONTH(ER$15,1), ARGUS!$B$4:$LG$4, 0)-1,1,1)/1000, 0)</f>
        <v>0</v>
      </c>
      <c r="ES55" s="26">
        <f ca="1">IFERROR(OFFSET(ARGUS!$A$3, MATCH($A55, ARGUS!$A$3:$A$176, 0)-1,MATCH(EOMONTH(ES$15,1), ARGUS!$B$4:$LG$4, 0)-1,1,1)/1000, 0)</f>
        <v>0</v>
      </c>
      <c r="ET55" s="26">
        <f ca="1">IFERROR(OFFSET(ARGUS!$A$3, MATCH($A55, ARGUS!$A$3:$A$176, 0)-1,MATCH(EOMONTH(ET$15,1), ARGUS!$B$4:$LG$4, 0)-1,1,1)/1000, 0)</f>
        <v>0</v>
      </c>
      <c r="EU55" s="26">
        <f ca="1">IFERROR(OFFSET(ARGUS!$A$3, MATCH($A55, ARGUS!$A$3:$A$176, 0)-1,MATCH(EOMONTH(EU$15,1), ARGUS!$B$4:$LG$4, 0)-1,1,1)/1000, 0)</f>
        <v>0</v>
      </c>
      <c r="EV55" s="26">
        <f ca="1">IFERROR(OFFSET(ARGUS!$A$3, MATCH($A55, ARGUS!$A$3:$A$176, 0)-1,MATCH(EOMONTH(EV$15,1), ARGUS!$B$4:$LG$4, 0)-1,1,1)/1000, 0)</f>
        <v>0</v>
      </c>
      <c r="EW55" s="26">
        <f ca="1">IFERROR(OFFSET(ARGUS!$A$3, MATCH($A55, ARGUS!$A$3:$A$176, 0)-1,MATCH(EOMONTH(EW$15,1), ARGUS!$B$4:$LG$4, 0)-1,1,1)/1000, 0)</f>
        <v>0</v>
      </c>
      <c r="EX55" s="26">
        <f ca="1">IFERROR(OFFSET(ARGUS!$A$3, MATCH($A55, ARGUS!$A$3:$A$176, 0)-1,MATCH(EOMONTH(EX$15,1), ARGUS!$B$4:$LG$4, 0)-1,1,1)/1000, 0)</f>
        <v>-7.16</v>
      </c>
      <c r="EY55" s="26">
        <f ca="1">IFERROR(OFFSET(ARGUS!$A$3, MATCH($A55, ARGUS!$A$3:$A$176, 0)-1,MATCH(EOMONTH(EY$15,1), ARGUS!$B$4:$LG$4, 0)-1,1,1)/1000, 0)</f>
        <v>-13.047000000000001</v>
      </c>
      <c r="EZ55" s="26">
        <f ca="1">IFERROR(OFFSET(ARGUS!$A$3, MATCH($A55, ARGUS!$A$3:$A$176, 0)-1,MATCH(EOMONTH(EZ$15,1), ARGUS!$B$4:$LG$4, 0)-1,1,1)/1000, 0)</f>
        <v>0</v>
      </c>
      <c r="FA55" s="26">
        <f ca="1">IFERROR(OFFSET(ARGUS!$A$3, MATCH($A55, ARGUS!$A$3:$A$176, 0)-1,MATCH(EOMONTH(FA$15,1), ARGUS!$B$4:$LG$4, 0)-1,1,1)/1000, 0)</f>
        <v>-18.59</v>
      </c>
      <c r="FB55" s="26">
        <f ca="1">IFERROR(OFFSET(ARGUS!$A$3, MATCH($A55, ARGUS!$A$3:$A$176, 0)-1,MATCH(EOMONTH(FB$15,1), ARGUS!$B$4:$LG$4, 0)-1,1,1)/1000, 0)</f>
        <v>-30.146999999999998</v>
      </c>
      <c r="FC55" s="26">
        <f ca="1">IFERROR(OFFSET(ARGUS!$A$3, MATCH($A55, ARGUS!$A$3:$A$176, 0)-1,MATCH(EOMONTH(FC$15,1), ARGUS!$B$4:$LG$4, 0)-1,1,1)/1000, 0)</f>
        <v>0</v>
      </c>
      <c r="FD55" s="26">
        <f ca="1">IFERROR(OFFSET(ARGUS!$A$3, MATCH($A55, ARGUS!$A$3:$A$176, 0)-1,MATCH(EOMONTH(FD$15,1), ARGUS!$B$4:$LG$4, 0)-1,1,1)/1000, 0)</f>
        <v>0</v>
      </c>
      <c r="FE55" s="26">
        <f ca="1">IFERROR(OFFSET(ARGUS!$A$3, MATCH($A55, ARGUS!$A$3:$A$176, 0)-1,MATCH(EOMONTH(FE$15,1), ARGUS!$B$4:$LG$4, 0)-1,1,1)/1000, 0)</f>
        <v>0</v>
      </c>
      <c r="FF55" s="26">
        <f ca="1">IFERROR(OFFSET(ARGUS!$A$3, MATCH($A55, ARGUS!$A$3:$A$176, 0)-1,MATCH(EOMONTH(FF$15,1), ARGUS!$B$4:$LG$4, 0)-1,1,1)/1000, 0)</f>
        <v>0</v>
      </c>
      <c r="FG55" s="26">
        <f ca="1">IFERROR(OFFSET(ARGUS!$A$3, MATCH($A55, ARGUS!$A$3:$A$176, 0)-1,MATCH(EOMONTH(FG$15,1), ARGUS!$B$4:$LG$4, 0)-1,1,1)/1000, 0)</f>
        <v>-18.753</v>
      </c>
      <c r="FH55" s="26">
        <f ca="1">IFERROR(OFFSET(ARGUS!$A$3, MATCH($A55, ARGUS!$A$3:$A$176, 0)-1,MATCH(EOMONTH(FH$15,1), ARGUS!$B$4:$LG$4, 0)-1,1,1)/1000, 0)</f>
        <v>0</v>
      </c>
      <c r="FI55" s="26">
        <f ca="1">IFERROR(OFFSET(ARGUS!$A$3, MATCH($A55, ARGUS!$A$3:$A$176, 0)-1,MATCH(EOMONTH(FI$15,1), ARGUS!$B$4:$LG$4, 0)-1,1,1)/1000, 0)</f>
        <v>-16.504000000000001</v>
      </c>
      <c r="FJ55" s="26">
        <f ca="1">IFERROR(OFFSET(ARGUS!$A$3, MATCH($A55, ARGUS!$A$3:$A$176, 0)-1,MATCH(EOMONTH(FJ$15,1), ARGUS!$B$4:$LG$4, 0)-1,1,1)/1000, 0)</f>
        <v>0</v>
      </c>
      <c r="FK55" s="26">
        <f ca="1">IFERROR(OFFSET(ARGUS!$A$3, MATCH($A55, ARGUS!$A$3:$A$176, 0)-1,MATCH(EOMONTH(FK$15,1), ARGUS!$B$4:$LG$4, 0)-1,1,1)/1000, 0)</f>
        <v>-23.146000000000001</v>
      </c>
      <c r="FL55" s="26">
        <f ca="1">IFERROR(OFFSET(ARGUS!$A$3, MATCH($A55, ARGUS!$A$3:$A$176, 0)-1,MATCH(EOMONTH(FL$15,1), ARGUS!$B$4:$LG$4, 0)-1,1,1)/1000, 0)</f>
        <v>-11.935</v>
      </c>
      <c r="FM55" s="26">
        <f ca="1">IFERROR(OFFSET(ARGUS!$A$3, MATCH($A55, ARGUS!$A$3:$A$176, 0)-1,MATCH(EOMONTH(FM$15,1), ARGUS!$B$4:$LG$4, 0)-1,1,1)/1000, 0)</f>
        <v>0</v>
      </c>
      <c r="FN55" s="26">
        <f ca="1">IFERROR(OFFSET(ARGUS!$A$3, MATCH($A55, ARGUS!$A$3:$A$176, 0)-1,MATCH(EOMONTH(FN$15,1), ARGUS!$B$4:$LG$4, 0)-1,1,1)/1000, 0)</f>
        <v>0</v>
      </c>
      <c r="FO55" s="26">
        <f ca="1">IFERROR(OFFSET(ARGUS!$A$3, MATCH($A55, ARGUS!$A$3:$A$176, 0)-1,MATCH(EOMONTH(FO$15,1), ARGUS!$B$4:$LG$4, 0)-1,1,1)/1000, 0)</f>
        <v>0</v>
      </c>
      <c r="FP55" s="26">
        <f ca="1">IFERROR(OFFSET(ARGUS!$A$3, MATCH($A55, ARGUS!$A$3:$A$176, 0)-1,MATCH(EOMONTH(FP$15,1), ARGUS!$B$4:$LG$4, 0)-1,1,1)/1000, 0)</f>
        <v>0</v>
      </c>
      <c r="FQ55" s="26">
        <f ca="1">IFERROR(OFFSET(ARGUS!$A$3, MATCH($A55, ARGUS!$A$3:$A$176, 0)-1,MATCH(EOMONTH(FQ$15,1), ARGUS!$B$4:$LG$4, 0)-1,1,1)/1000, 0)</f>
        <v>0</v>
      </c>
      <c r="FR55" s="26">
        <f ca="1">IFERROR(OFFSET(ARGUS!$A$3, MATCH($A55, ARGUS!$A$3:$A$176, 0)-1,MATCH(EOMONTH(FR$15,1), ARGUS!$B$4:$LG$4, 0)-1,1,1)/1000, 0)</f>
        <v>0</v>
      </c>
      <c r="FS55" s="26">
        <f ca="1">IFERROR(OFFSET(ARGUS!$A$3, MATCH($A55, ARGUS!$A$3:$A$176, 0)-1,MATCH(EOMONTH(FS$15,1), ARGUS!$B$4:$LG$4, 0)-1,1,1)/1000, 0)</f>
        <v>0</v>
      </c>
      <c r="FT55" s="26">
        <f ca="1">IFERROR(OFFSET(ARGUS!$A$3, MATCH($A55, ARGUS!$A$3:$A$176, 0)-1,MATCH(EOMONTH(FT$15,1), ARGUS!$B$4:$LG$4, 0)-1,1,1)/1000, 0)</f>
        <v>0</v>
      </c>
      <c r="FU55" s="26">
        <f ca="1">IFERROR(OFFSET(ARGUS!$A$3, MATCH($A55, ARGUS!$A$3:$A$176, 0)-1,MATCH(EOMONTH(FU$15,1), ARGUS!$B$4:$LG$4, 0)-1,1,1)/1000, 0)</f>
        <v>0</v>
      </c>
      <c r="FV55" s="26">
        <f ca="1">IFERROR(OFFSET(ARGUS!$A$3, MATCH($A55, ARGUS!$A$3:$A$176, 0)-1,MATCH(EOMONTH(FV$15,1), ARGUS!$B$4:$LG$4, 0)-1,1,1)/1000, 0)</f>
        <v>0</v>
      </c>
      <c r="FW55" s="26">
        <f ca="1">IFERROR(OFFSET(ARGUS!$A$3, MATCH($A55, ARGUS!$A$3:$A$176, 0)-1,MATCH(EOMONTH(FW$15,1), ARGUS!$B$4:$LG$4, 0)-1,1,1)/1000, 0)</f>
        <v>-5.9109999999999996</v>
      </c>
      <c r="FX55" s="26">
        <f ca="1">IFERROR(OFFSET(ARGUS!$A$3, MATCH($A55, ARGUS!$A$3:$A$176, 0)-1,MATCH(EOMONTH(FX$15,1), ARGUS!$B$4:$LG$4, 0)-1,1,1)/1000, 0)</f>
        <v>0</v>
      </c>
      <c r="FY55" s="26">
        <f ca="1">IFERROR(OFFSET(ARGUS!$A$3, MATCH($A55, ARGUS!$A$3:$A$176, 0)-1,MATCH(EOMONTH(FY$15,1), ARGUS!$B$4:$LG$4, 0)-1,1,1)/1000, 0)</f>
        <v>0</v>
      </c>
      <c r="FZ55" s="26">
        <f ca="1">IFERROR(OFFSET(ARGUS!$A$3, MATCH($A55, ARGUS!$A$3:$A$176, 0)-1,MATCH(EOMONTH(FZ$15,1), ARGUS!$B$4:$LG$4, 0)-1,1,1)/1000, 0)</f>
        <v>0</v>
      </c>
      <c r="GA55" s="26">
        <f ca="1">IFERROR(OFFSET(ARGUS!$A$3, MATCH($A55, ARGUS!$A$3:$A$176, 0)-1,MATCH(EOMONTH(GA$15,1), ARGUS!$B$4:$LG$4, 0)-1,1,1)/1000, 0)</f>
        <v>0</v>
      </c>
      <c r="GB55" s="26">
        <f ca="1">IFERROR(OFFSET(ARGUS!$A$3, MATCH($A55, ARGUS!$A$3:$A$176, 0)-1,MATCH(EOMONTH(GB$15,1), ARGUS!$B$4:$LG$4, 0)-1,1,1)/1000, 0)</f>
        <v>0</v>
      </c>
      <c r="GC55" s="26">
        <f ca="1">IFERROR(OFFSET(ARGUS!$A$3, MATCH($A55, ARGUS!$A$3:$A$176, 0)-1,MATCH(EOMONTH(GC$15,1), ARGUS!$B$4:$LG$4, 0)-1,1,1)/1000, 0)</f>
        <v>0</v>
      </c>
      <c r="GD55" s="26">
        <f ca="1">IFERROR(OFFSET(ARGUS!$A$3, MATCH($A55, ARGUS!$A$3:$A$176, 0)-1,MATCH(EOMONTH(GD$15,1), ARGUS!$B$4:$LG$4, 0)-1,1,1)/1000, 0)</f>
        <v>0</v>
      </c>
      <c r="GE55" s="26">
        <f ca="1">IFERROR(OFFSET(ARGUS!$A$3, MATCH($A55, ARGUS!$A$3:$A$176, 0)-1,MATCH(EOMONTH(GE$15,1), ARGUS!$B$4:$LG$4, 0)-1,1,1)/1000, 0)</f>
        <v>0</v>
      </c>
      <c r="GF55" s="26">
        <f ca="1">IFERROR(OFFSET(ARGUS!$A$3, MATCH($A55, ARGUS!$A$3:$A$176, 0)-1,MATCH(EOMONTH(GF$15,1), ARGUS!$B$4:$LG$4, 0)-1,1,1)/1000, 0)</f>
        <v>0</v>
      </c>
      <c r="GG55" s="26">
        <f ca="1">IFERROR(OFFSET(ARGUS!$A$3, MATCH($A55, ARGUS!$A$3:$A$176, 0)-1,MATCH(EOMONTH(GG$15,1), ARGUS!$B$4:$LG$4, 0)-1,1,1)/1000, 0)</f>
        <v>0</v>
      </c>
      <c r="GH55" s="26">
        <f ca="1">IFERROR(OFFSET(ARGUS!$A$3, MATCH($A55, ARGUS!$A$3:$A$176, 0)-1,MATCH(EOMONTH(GH$15,1), ARGUS!$B$4:$LG$4, 0)-1,1,1)/1000, 0)</f>
        <v>0</v>
      </c>
      <c r="GI55" s="26">
        <f ca="1">IFERROR(OFFSET(ARGUS!$A$3, MATCH($A55, ARGUS!$A$3:$A$176, 0)-1,MATCH(EOMONTH(GI$15,1), ARGUS!$B$4:$LG$4, 0)-1,1,1)/1000, 0)</f>
        <v>0</v>
      </c>
      <c r="GJ55" s="26">
        <f ca="1">IFERROR(OFFSET(ARGUS!$A$3, MATCH($A55, ARGUS!$A$3:$A$176, 0)-1,MATCH(EOMONTH(GJ$15,1), ARGUS!$B$4:$LG$4, 0)-1,1,1)/1000, 0)</f>
        <v>0</v>
      </c>
      <c r="GK55" s="26">
        <f ca="1">IFERROR(OFFSET(ARGUS!$A$3, MATCH($A55, ARGUS!$A$3:$A$176, 0)-1,MATCH(EOMONTH(GK$15,1), ARGUS!$B$4:$LG$4, 0)-1,1,1)/1000, 0)</f>
        <v>0</v>
      </c>
      <c r="GL55" s="26">
        <f ca="1">IFERROR(OFFSET(ARGUS!$A$3, MATCH($A55, ARGUS!$A$3:$A$176, 0)-1,MATCH(EOMONTH(GL$15,1), ARGUS!$B$4:$LG$4, 0)-1,1,1)/1000, 0)</f>
        <v>0</v>
      </c>
      <c r="GM55" s="26">
        <f ca="1">IFERROR(OFFSET(ARGUS!$A$3, MATCH($A55, ARGUS!$A$3:$A$176, 0)-1,MATCH(EOMONTH(GM$15,1), ARGUS!$B$4:$LG$4, 0)-1,1,1)/1000, 0)</f>
        <v>0</v>
      </c>
      <c r="GN55" s="26">
        <f ca="1">IFERROR(OFFSET(ARGUS!$A$3, MATCH($A55, ARGUS!$A$3:$A$176, 0)-1,MATCH(EOMONTH(GN$15,1), ARGUS!$B$4:$LG$4, 0)-1,1,1)/1000, 0)</f>
        <v>-15.922000000000001</v>
      </c>
      <c r="GO55" s="26">
        <f ca="1">IFERROR(OFFSET(ARGUS!$A$3, MATCH($A55, ARGUS!$A$3:$A$176, 0)-1,MATCH(EOMONTH(GO$15,1), ARGUS!$B$4:$LG$4, 0)-1,1,1)/1000, 0)</f>
        <v>-20.760999999999999</v>
      </c>
      <c r="GP55" s="26">
        <f ca="1">IFERROR(OFFSET(ARGUS!$A$3, MATCH($A55, ARGUS!$A$3:$A$176, 0)-1,MATCH(EOMONTH(GP$15,1), ARGUS!$B$4:$LG$4, 0)-1,1,1)/1000, 0)</f>
        <v>0</v>
      </c>
      <c r="GQ55" s="26">
        <f ca="1">IFERROR(OFFSET(ARGUS!$A$3, MATCH($A55, ARGUS!$A$3:$A$176, 0)-1,MATCH(EOMONTH(GQ$15,1), ARGUS!$B$4:$LG$4, 0)-1,1,1)/1000, 0)</f>
        <v>0</v>
      </c>
      <c r="GR55" s="26">
        <f ca="1">IFERROR(OFFSET(ARGUS!$A$3, MATCH($A55, ARGUS!$A$3:$A$176, 0)-1,MATCH(EOMONTH(GR$15,1), ARGUS!$B$4:$LG$4, 0)-1,1,1)/1000, 0)</f>
        <v>0</v>
      </c>
      <c r="GS55" s="26">
        <f ca="1">IFERROR(OFFSET(ARGUS!$A$3, MATCH($A55, ARGUS!$A$3:$A$176, 0)-1,MATCH(EOMONTH(GS$15,1), ARGUS!$B$4:$LG$4, 0)-1,1,1)/1000, 0)</f>
        <v>0</v>
      </c>
      <c r="GT55" s="26">
        <f ca="1">IFERROR(OFFSET(ARGUS!$A$3, MATCH($A55, ARGUS!$A$3:$A$176, 0)-1,MATCH(EOMONTH(GT$15,1), ARGUS!$B$4:$LG$4, 0)-1,1,1)/1000, 0)</f>
        <v>0</v>
      </c>
      <c r="GU55" s="26"/>
      <c r="GV55" s="26"/>
      <c r="GW55" s="26"/>
      <c r="GX55" s="26"/>
      <c r="GY55" s="26"/>
      <c r="GZ55" s="26"/>
      <c r="HA55" s="26"/>
      <c r="HB55" s="26"/>
      <c r="HC55" s="26"/>
      <c r="HD55" s="26"/>
      <c r="HE55" s="26"/>
      <c r="HF55" s="1" t="s">
        <v>212</v>
      </c>
      <c r="HG55" s="139" t="e">
        <f t="shared" si="519"/>
        <v>#REF!</v>
      </c>
      <c r="HH55" s="9" t="str">
        <f t="shared" si="649"/>
        <v xml:space="preserve"> Absorption &amp; Turnover Vacancy</v>
      </c>
      <c r="HI55" s="26"/>
      <c r="HJ55" s="26"/>
      <c r="HK55" s="26"/>
      <c r="HL55" s="132">
        <f ca="1">SUM(HN55:HV55)</f>
        <v>-594.52499999999998</v>
      </c>
      <c r="HM55" s="26"/>
      <c r="HN55" s="26">
        <f t="shared" si="650"/>
        <v>0</v>
      </c>
      <c r="HO55" s="26">
        <f t="shared" si="650"/>
        <v>0</v>
      </c>
      <c r="HP55" s="26">
        <f t="shared" si="650"/>
        <v>0</v>
      </c>
      <c r="HQ55" s="26">
        <f t="shared" si="650"/>
        <v>0</v>
      </c>
      <c r="HR55" s="26">
        <f t="shared" si="650"/>
        <v>0</v>
      </c>
      <c r="HS55" s="26">
        <f t="shared" si="650"/>
        <v>0</v>
      </c>
      <c r="HT55" s="26">
        <f t="shared" si="650"/>
        <v>0</v>
      </c>
      <c r="HU55" s="26">
        <f t="shared" ca="1" si="650"/>
        <v>-260.71100000000001</v>
      </c>
      <c r="HV55" s="26">
        <f t="shared" ca="1" si="650"/>
        <v>-333.81399999999996</v>
      </c>
      <c r="HW55"/>
    </row>
    <row r="56" spans="1:231" ht="15">
      <c r="A56" s="441">
        <v>3</v>
      </c>
      <c r="B56" s="9" t="s">
        <v>423</v>
      </c>
      <c r="E56" s="150"/>
      <c r="F56" s="144"/>
      <c r="G56" s="256"/>
      <c r="I56" s="132">
        <f ca="1">SUMIF($K$13:$GT$13,"&lt;="&amp;Assumptions!$L$17,'Monthly Cash Flow'!K56:GT56)</f>
        <v>-536.60178000000008</v>
      </c>
      <c r="J56" s="26"/>
      <c r="K56" s="133"/>
      <c r="L56" s="953">
        <f>Historicals!D5</f>
        <v>0</v>
      </c>
      <c r="M56" s="954">
        <f>Historicals!E5</f>
        <v>0</v>
      </c>
      <c r="N56" s="954">
        <f>Historicals!F5</f>
        <v>0</v>
      </c>
      <c r="O56" s="954">
        <f>Historicals!G5</f>
        <v>0</v>
      </c>
      <c r="P56" s="954">
        <f>Historicals!H5</f>
        <v>0</v>
      </c>
      <c r="Q56" s="954">
        <f>Historicals!I5</f>
        <v>0</v>
      </c>
      <c r="R56" s="954">
        <f>Historicals!J5</f>
        <v>0</v>
      </c>
      <c r="S56" s="954">
        <f>Historicals!K5</f>
        <v>0</v>
      </c>
      <c r="T56" s="954">
        <f>Historicals!L5</f>
        <v>0</v>
      </c>
      <c r="U56" s="954">
        <f>Historicals!M5</f>
        <v>0</v>
      </c>
      <c r="V56" s="954">
        <f>Historicals!N5</f>
        <v>-53.115000000000002</v>
      </c>
      <c r="W56" s="954">
        <f>Historicals!O5</f>
        <v>0</v>
      </c>
      <c r="X56" s="954">
        <f>Historicals!P5</f>
        <v>0</v>
      </c>
      <c r="Y56" s="954">
        <f>Historicals!Q5</f>
        <v>0</v>
      </c>
      <c r="Z56" s="954">
        <f>Historicals!R5</f>
        <v>0</v>
      </c>
      <c r="AA56" s="954">
        <f>Historicals!S5</f>
        <v>0</v>
      </c>
      <c r="AB56" s="954">
        <f>Historicals!T5</f>
        <v>-33.858750000000001</v>
      </c>
      <c r="AC56" s="954">
        <f>Historicals!U5</f>
        <v>-5.6539999999999999</v>
      </c>
      <c r="AD56" s="954">
        <f>Historicals!V5</f>
        <v>0</v>
      </c>
      <c r="AE56" s="954">
        <f>Historicals!W5</f>
        <v>0</v>
      </c>
      <c r="AF56" s="954">
        <f>Historicals!X5</f>
        <v>-20.547429999999999</v>
      </c>
      <c r="AG56" s="954">
        <f>Historicals!Y5</f>
        <v>-20.547429999999999</v>
      </c>
      <c r="AH56" s="954">
        <f>Historicals!Z5</f>
        <v>-20.547429999999999</v>
      </c>
      <c r="AI56" s="954">
        <f>Historicals!AA5</f>
        <v>-20.547429999999999</v>
      </c>
      <c r="AJ56" s="954">
        <f>Historicals!AB5</f>
        <v>-20.547429999999999</v>
      </c>
      <c r="AK56" s="954">
        <f>Historicals!AC5</f>
        <v>-32.301760000000002</v>
      </c>
      <c r="AL56" s="954">
        <f>Historicals!AD5</f>
        <v>0</v>
      </c>
      <c r="AM56" s="954">
        <f>Historicals!AE5</f>
        <v>2.6564999999999999</v>
      </c>
      <c r="AN56" s="954">
        <f>Historicals!AF5</f>
        <v>0</v>
      </c>
      <c r="AO56" s="954">
        <f>Historicals!AG5</f>
        <v>-39.682370000000006</v>
      </c>
      <c r="AP56" s="954">
        <f>Historicals!AH5</f>
        <v>0</v>
      </c>
      <c r="AQ56" s="954">
        <f>Historicals!AI5</f>
        <v>0</v>
      </c>
      <c r="AR56" s="954">
        <f>Historicals!AJ5</f>
        <v>-15.037229999999999</v>
      </c>
      <c r="AS56" s="954">
        <f>Historicals!AK5</f>
        <v>0</v>
      </c>
      <c r="AT56" s="954">
        <f>Historicals!AL5</f>
        <v>0</v>
      </c>
      <c r="AU56" s="954">
        <f>Historicals!AM5</f>
        <v>0</v>
      </c>
      <c r="AV56" s="954">
        <f>Historicals!AN5</f>
        <v>0</v>
      </c>
      <c r="AW56" s="954">
        <f>Historicals!AO5</f>
        <v>-11.24718</v>
      </c>
      <c r="AX56" s="954">
        <f>Historicals!AP5</f>
        <v>0</v>
      </c>
      <c r="AY56" s="954">
        <f>Historicals!AQ5</f>
        <v>0</v>
      </c>
      <c r="AZ56" s="954">
        <f>Historicals!AR5</f>
        <v>-64.287750000000003</v>
      </c>
      <c r="BA56" s="954">
        <f>Historicals!AS5</f>
        <v>-17.90183</v>
      </c>
      <c r="BB56" s="954">
        <f>Historicals!AT5</f>
        <v>-5.9517499999999997</v>
      </c>
      <c r="BC56" s="954">
        <f>Historicals!AU5</f>
        <v>0</v>
      </c>
      <c r="BD56" s="954">
        <f>Historicals!AV5</f>
        <v>-15.488340000000001</v>
      </c>
      <c r="BE56" s="954">
        <f>Historicals!AW5</f>
        <v>0</v>
      </c>
      <c r="BF56" s="954">
        <f>Historicals!AX5</f>
        <v>0</v>
      </c>
      <c r="BG56" s="954">
        <f>Historicals!AY5</f>
        <v>0</v>
      </c>
      <c r="BH56" s="954">
        <f>Historicals!AZ5</f>
        <v>0</v>
      </c>
      <c r="BI56" s="954">
        <f>Historicals!BA5</f>
        <v>-11.24718</v>
      </c>
      <c r="BJ56" s="954">
        <f>Historicals!BB5</f>
        <v>0</v>
      </c>
      <c r="BK56" s="954">
        <f>Historicals!BC5</f>
        <v>0</v>
      </c>
      <c r="BL56" s="954">
        <f>Historicals!BD5</f>
        <v>-33.858750000000001</v>
      </c>
      <c r="BM56" s="954">
        <f>Historicals!BE5</f>
        <v>0</v>
      </c>
      <c r="BN56" s="930">
        <f>Historicals!BF5</f>
        <v>-14.155139999999999</v>
      </c>
      <c r="BO56" s="930">
        <f>Historicals!BG5</f>
        <v>0</v>
      </c>
      <c r="BP56" s="930">
        <f>Historicals!BH5</f>
        <v>0</v>
      </c>
      <c r="BQ56" s="930">
        <f>Historicals!BI5</f>
        <v>0</v>
      </c>
      <c r="BR56" s="930">
        <f>Historicals!BJ5</f>
        <v>0</v>
      </c>
      <c r="BS56" s="930">
        <f>Historicals!BK5</f>
        <v>0</v>
      </c>
      <c r="BT56" s="930">
        <f>Historicals!BL5</f>
        <v>0</v>
      </c>
      <c r="BU56" s="930">
        <f>Historicals!BM5</f>
        <v>-11.24718</v>
      </c>
      <c r="BV56" s="930">
        <f>Historicals!BN5</f>
        <v>0</v>
      </c>
      <c r="BW56" s="930">
        <f>Historicals!BO5</f>
        <v>0</v>
      </c>
      <c r="BX56" s="930">
        <f>Historicals!BP5</f>
        <v>0</v>
      </c>
      <c r="BY56" s="930">
        <f>Historicals!BQ5</f>
        <v>0</v>
      </c>
      <c r="BZ56" s="930">
        <f>Historicals!BR5</f>
        <v>0</v>
      </c>
      <c r="CA56" s="930">
        <f>Historicals!BS5</f>
        <v>-15.95299</v>
      </c>
      <c r="CB56" s="930">
        <f>Historicals!BT5</f>
        <v>0</v>
      </c>
      <c r="CC56" s="930">
        <f>Historicals!BU5</f>
        <v>0</v>
      </c>
      <c r="CD56" s="930">
        <f>Historicals!BV5</f>
        <v>0</v>
      </c>
      <c r="CE56" s="930">
        <f>Historicals!BW5</f>
        <v>0</v>
      </c>
      <c r="CF56" s="930">
        <f>Historicals!BX5</f>
        <v>0</v>
      </c>
      <c r="CG56" s="930">
        <f>Historicals!BY5</f>
        <v>-11.24718</v>
      </c>
      <c r="CH56" s="930">
        <f>Historicals!BZ5</f>
        <v>-10.383749999999999</v>
      </c>
      <c r="CI56" s="26">
        <f ca="1">IFERROR(OFFSET(ARGUS!$A$3, MATCH($A56, ARGUS!$A$3:$A$176, 0)-1,MATCH(EOMONTH(CI$15,1), ARGUS!$B$4:$LG$4, 0)-1,1,1)/1000, 0)</f>
        <v>-27.128</v>
      </c>
      <c r="CJ56" s="26">
        <f ca="1">IFERROR(OFFSET(ARGUS!$A$3, MATCH($A56, ARGUS!$A$3:$A$176, 0)-1,MATCH(EOMONTH(CJ$15,1), ARGUS!$B$4:$LG$4, 0)-1,1,1)/1000, 0)</f>
        <v>0</v>
      </c>
      <c r="CK56" s="26">
        <f ca="1">IFERROR(OFFSET(ARGUS!$A$3, MATCH($A56, ARGUS!$A$3:$A$176, 0)-1,MATCH(EOMONTH(CK$15,1), ARGUS!$B$4:$LG$4, 0)-1,1,1)/1000, 0)</f>
        <v>0</v>
      </c>
      <c r="CL56" s="26">
        <f ca="1">IFERROR(OFFSET(ARGUS!$A$3, MATCH($A56, ARGUS!$A$3:$A$176, 0)-1,MATCH(EOMONTH(CL$15,1), ARGUS!$B$4:$LG$4, 0)-1,1,1)/1000, 0)</f>
        <v>0</v>
      </c>
      <c r="CM56" s="26">
        <f ca="1">IFERROR(OFFSET(ARGUS!$A$3, MATCH($A56, ARGUS!$A$3:$A$176, 0)-1,MATCH(EOMONTH(CM$15,1), ARGUS!$B$4:$LG$4, 0)-1,1,1)/1000, 0)</f>
        <v>0</v>
      </c>
      <c r="CN56" s="26">
        <f ca="1">IFERROR(OFFSET(ARGUS!$A$3, MATCH($A56, ARGUS!$A$3:$A$176, 0)-1,MATCH(EOMONTH(CN$15,1), ARGUS!$B$4:$LG$4, 0)-1,1,1)/1000, 0)</f>
        <v>0</v>
      </c>
      <c r="CO56" s="26">
        <f ca="1">IFERROR(OFFSET(ARGUS!$A$3, MATCH($A56, ARGUS!$A$3:$A$176, 0)-1,MATCH(EOMONTH(CO$15,1), ARGUS!$B$4:$LG$4, 0)-1,1,1)/1000, 0)</f>
        <v>0</v>
      </c>
      <c r="CP56" s="26">
        <f ca="1">IFERROR(OFFSET(ARGUS!$A$3, MATCH($A56, ARGUS!$A$3:$A$176, 0)-1,MATCH(EOMONTH(CP$15,1), ARGUS!$B$4:$LG$4, 0)-1,1,1)/1000, 0)</f>
        <v>0</v>
      </c>
      <c r="CQ56" s="26">
        <f ca="1">IFERROR(OFFSET(ARGUS!$A$3, MATCH($A56, ARGUS!$A$3:$A$176, 0)-1,MATCH(EOMONTH(CQ$15,1), ARGUS!$B$4:$LG$4, 0)-1,1,1)/1000, 0)</f>
        <v>0</v>
      </c>
      <c r="CR56" s="26">
        <f ca="1">IFERROR(OFFSET(ARGUS!$A$3, MATCH($A56, ARGUS!$A$3:$A$176, 0)-1,MATCH(EOMONTH(CR$15,1), ARGUS!$B$4:$LG$4, 0)-1,1,1)/1000, 0)</f>
        <v>0</v>
      </c>
      <c r="CS56" s="26">
        <f ca="1">IFERROR(OFFSET(ARGUS!$A$3, MATCH($A56, ARGUS!$A$3:$A$176, 0)-1,MATCH(EOMONTH(CS$15,1), ARGUS!$B$4:$LG$4, 0)-1,1,1)/1000, 0)</f>
        <v>0</v>
      </c>
      <c r="CT56" s="26">
        <f ca="1">IFERROR(OFFSET(ARGUS!$A$3, MATCH($A56, ARGUS!$A$3:$A$176, 0)-1,MATCH(EOMONTH(CT$15,1), ARGUS!$B$4:$LG$4, 0)-1,1,1)/1000, 0)</f>
        <v>0</v>
      </c>
      <c r="CU56" s="26">
        <f ca="1">IFERROR(OFFSET(ARGUS!$A$3, MATCH($A56, ARGUS!$A$3:$A$176, 0)-1,MATCH(EOMONTH(CU$15,1), ARGUS!$B$4:$LG$4, 0)-1,1,1)/1000, 0)</f>
        <v>-6.7750000000000004</v>
      </c>
      <c r="CV56" s="26">
        <f ca="1">IFERROR(OFFSET(ARGUS!$A$3, MATCH($A56, ARGUS!$A$3:$A$176, 0)-1,MATCH(EOMONTH(CV$15,1), ARGUS!$B$4:$LG$4, 0)-1,1,1)/1000, 0)</f>
        <v>0</v>
      </c>
      <c r="CW56" s="26">
        <f ca="1">IFERROR(OFFSET(ARGUS!$A$3, MATCH($A56, ARGUS!$A$3:$A$176, 0)-1,MATCH(EOMONTH(CW$15,1), ARGUS!$B$4:$LG$4, 0)-1,1,1)/1000, 0)</f>
        <v>0</v>
      </c>
      <c r="CX56" s="26">
        <f ca="1">IFERROR(OFFSET(ARGUS!$A$3, MATCH($A56, ARGUS!$A$3:$A$176, 0)-1,MATCH(EOMONTH(CX$15,1), ARGUS!$B$4:$LG$4, 0)-1,1,1)/1000, 0)</f>
        <v>0</v>
      </c>
      <c r="CY56" s="26">
        <f ca="1">IFERROR(OFFSET(ARGUS!$A$3, MATCH($A56, ARGUS!$A$3:$A$176, 0)-1,MATCH(EOMONTH(CY$15,1), ARGUS!$B$4:$LG$4, 0)-1,1,1)/1000, 0)</f>
        <v>0</v>
      </c>
      <c r="CZ56" s="26">
        <f ca="1">IFERROR(OFFSET(ARGUS!$A$3, MATCH($A56, ARGUS!$A$3:$A$176, 0)-1,MATCH(EOMONTH(CZ$15,1), ARGUS!$B$4:$LG$4, 0)-1,1,1)/1000, 0)</f>
        <v>0</v>
      </c>
      <c r="DA56" s="26">
        <f ca="1">IFERROR(OFFSET(ARGUS!$A$3, MATCH($A56, ARGUS!$A$3:$A$176, 0)-1,MATCH(EOMONTH(DA$15,1), ARGUS!$B$4:$LG$4, 0)-1,1,1)/1000, 0)</f>
        <v>0</v>
      </c>
      <c r="DB56" s="26">
        <f ca="1">IFERROR(OFFSET(ARGUS!$A$3, MATCH($A56, ARGUS!$A$3:$A$176, 0)-1,MATCH(EOMONTH(DB$15,1), ARGUS!$B$4:$LG$4, 0)-1,1,1)/1000, 0)</f>
        <v>0</v>
      </c>
      <c r="DC56" s="26">
        <f ca="1">IFERROR(OFFSET(ARGUS!$A$3, MATCH($A56, ARGUS!$A$3:$A$176, 0)-1,MATCH(EOMONTH(DC$15,1), ARGUS!$B$4:$LG$4, 0)-1,1,1)/1000, 0)</f>
        <v>0</v>
      </c>
      <c r="DD56" s="26">
        <f ca="1">IFERROR(OFFSET(ARGUS!$A$3, MATCH($A56, ARGUS!$A$3:$A$176, 0)-1,MATCH(EOMONTH(DD$15,1), ARGUS!$B$4:$LG$4, 0)-1,1,1)/1000, 0)</f>
        <v>0</v>
      </c>
      <c r="DE56" s="26">
        <f ca="1">IFERROR(OFFSET(ARGUS!$A$3, MATCH($A56, ARGUS!$A$3:$A$176, 0)-1,MATCH(EOMONTH(DE$15,1), ARGUS!$B$4:$LG$4, 0)-1,1,1)/1000, 0)</f>
        <v>0</v>
      </c>
      <c r="DF56" s="26">
        <f ca="1">IFERROR(OFFSET(ARGUS!$A$3, MATCH($A56, ARGUS!$A$3:$A$176, 0)-1,MATCH(EOMONTH(DF$15,1), ARGUS!$B$4:$LG$4, 0)-1,1,1)/1000, 0)</f>
        <v>0</v>
      </c>
      <c r="DG56" s="26">
        <f ca="1">IFERROR(OFFSET(ARGUS!$A$3, MATCH($A56, ARGUS!$A$3:$A$176, 0)-1,MATCH(EOMONTH(DG$15,1), ARGUS!$B$4:$LG$4, 0)-1,1,1)/1000, 0)</f>
        <v>0</v>
      </c>
      <c r="DH56" s="26">
        <f ca="1">IFERROR(OFFSET(ARGUS!$A$3, MATCH($A56, ARGUS!$A$3:$A$176, 0)-1,MATCH(EOMONTH(DH$15,1), ARGUS!$B$4:$LG$4, 0)-1,1,1)/1000, 0)</f>
        <v>0</v>
      </c>
      <c r="DI56" s="26">
        <f ca="1">IFERROR(OFFSET(ARGUS!$A$3, MATCH($A56, ARGUS!$A$3:$A$176, 0)-1,MATCH(EOMONTH(DI$15,1), ARGUS!$B$4:$LG$4, 0)-1,1,1)/1000, 0)</f>
        <v>0</v>
      </c>
      <c r="DJ56" s="26">
        <f ca="1">IFERROR(OFFSET(ARGUS!$A$3, MATCH($A56, ARGUS!$A$3:$A$176, 0)-1,MATCH(EOMONTH(DJ$15,1), ARGUS!$B$4:$LG$4, 0)-1,1,1)/1000, 0)</f>
        <v>0</v>
      </c>
      <c r="DK56" s="26">
        <f ca="1">IFERROR(OFFSET(ARGUS!$A$3, MATCH($A56, ARGUS!$A$3:$A$176, 0)-1,MATCH(EOMONTH(DK$15,1), ARGUS!$B$4:$LG$4, 0)-1,1,1)/1000, 0)</f>
        <v>0</v>
      </c>
      <c r="DL56" s="26">
        <f ca="1">IFERROR(OFFSET(ARGUS!$A$3, MATCH($A56, ARGUS!$A$3:$A$176, 0)-1,MATCH(EOMONTH(DL$15,1), ARGUS!$B$4:$LG$4, 0)-1,1,1)/1000, 0)</f>
        <v>0</v>
      </c>
      <c r="DM56" s="26">
        <f ca="1">IFERROR(OFFSET(ARGUS!$A$3, MATCH($A56, ARGUS!$A$3:$A$176, 0)-1,MATCH(EOMONTH(DM$15,1), ARGUS!$B$4:$LG$4, 0)-1,1,1)/1000, 0)</f>
        <v>0</v>
      </c>
      <c r="DN56" s="26">
        <f ca="1">IFERROR(OFFSET(ARGUS!$A$3, MATCH($A56, ARGUS!$A$3:$A$176, 0)-1,MATCH(EOMONTH(DN$15,1), ARGUS!$B$4:$LG$4, 0)-1,1,1)/1000, 0)</f>
        <v>0</v>
      </c>
      <c r="DO56" s="26">
        <f ca="1">IFERROR(OFFSET(ARGUS!$A$3, MATCH($A56, ARGUS!$A$3:$A$176, 0)-1,MATCH(EOMONTH(DO$15,1), ARGUS!$B$4:$LG$4, 0)-1,1,1)/1000, 0)</f>
        <v>0</v>
      </c>
      <c r="DP56" s="26">
        <f ca="1">IFERROR(OFFSET(ARGUS!$A$3, MATCH($A56, ARGUS!$A$3:$A$176, 0)-1,MATCH(EOMONTH(DP$15,1), ARGUS!$B$4:$LG$4, 0)-1,1,1)/1000, 0)</f>
        <v>0</v>
      </c>
      <c r="DQ56" s="26">
        <f ca="1">IFERROR(OFFSET(ARGUS!$A$3, MATCH($A56, ARGUS!$A$3:$A$176, 0)-1,MATCH(EOMONTH(DQ$15,1), ARGUS!$B$4:$LG$4, 0)-1,1,1)/1000, 0)</f>
        <v>0</v>
      </c>
      <c r="DR56" s="26">
        <f ca="1">IFERROR(OFFSET(ARGUS!$A$3, MATCH($A56, ARGUS!$A$3:$A$176, 0)-1,MATCH(EOMONTH(DR$15,1), ARGUS!$B$4:$LG$4, 0)-1,1,1)/1000, 0)</f>
        <v>0</v>
      </c>
      <c r="DS56" s="26">
        <f ca="1">IFERROR(OFFSET(ARGUS!$A$3, MATCH($A56, ARGUS!$A$3:$A$176, 0)-1,MATCH(EOMONTH(DS$15,1), ARGUS!$B$4:$LG$4, 0)-1,1,1)/1000, 0)</f>
        <v>0</v>
      </c>
      <c r="DT56" s="26">
        <f ca="1">IFERROR(OFFSET(ARGUS!$A$3, MATCH($A56, ARGUS!$A$3:$A$176, 0)-1,MATCH(EOMONTH(DT$15,1), ARGUS!$B$4:$LG$4, 0)-1,1,1)/1000, 0)</f>
        <v>0</v>
      </c>
      <c r="DU56" s="26">
        <f ca="1">IFERROR(OFFSET(ARGUS!$A$3, MATCH($A56, ARGUS!$A$3:$A$176, 0)-1,MATCH(EOMONTH(DU$15,1), ARGUS!$B$4:$LG$4, 0)-1,1,1)/1000, 0)</f>
        <v>0</v>
      </c>
      <c r="DV56" s="26">
        <f ca="1">IFERROR(OFFSET(ARGUS!$A$3, MATCH($A56, ARGUS!$A$3:$A$176, 0)-1,MATCH(EOMONTH(DV$15,1), ARGUS!$B$4:$LG$4, 0)-1,1,1)/1000, 0)</f>
        <v>0</v>
      </c>
      <c r="DW56" s="26">
        <f ca="1">IFERROR(OFFSET(ARGUS!$A$3, MATCH($A56, ARGUS!$A$3:$A$176, 0)-1,MATCH(EOMONTH(DW$15,1), ARGUS!$B$4:$LG$4, 0)-1,1,1)/1000, 0)</f>
        <v>0</v>
      </c>
      <c r="DX56" s="26">
        <f ca="1">IFERROR(OFFSET(ARGUS!$A$3, MATCH($A56, ARGUS!$A$3:$A$176, 0)-1,MATCH(EOMONTH(DX$15,1), ARGUS!$B$4:$LG$4, 0)-1,1,1)/1000, 0)</f>
        <v>0</v>
      </c>
      <c r="DY56" s="26">
        <f ca="1">IFERROR(OFFSET(ARGUS!$A$3, MATCH($A56, ARGUS!$A$3:$A$176, 0)-1,MATCH(EOMONTH(DY$15,1), ARGUS!$B$4:$LG$4, 0)-1,1,1)/1000, 0)</f>
        <v>0</v>
      </c>
      <c r="DZ56" s="26">
        <f ca="1">IFERROR(OFFSET(ARGUS!$A$3, MATCH($A56, ARGUS!$A$3:$A$176, 0)-1,MATCH(EOMONTH(DZ$15,1), ARGUS!$B$4:$LG$4, 0)-1,1,1)/1000, 0)</f>
        <v>0</v>
      </c>
      <c r="EA56" s="26">
        <f ca="1">IFERROR(OFFSET(ARGUS!$A$3, MATCH($A56, ARGUS!$A$3:$A$176, 0)-1,MATCH(EOMONTH(EA$15,1), ARGUS!$B$4:$LG$4, 0)-1,1,1)/1000, 0)</f>
        <v>0</v>
      </c>
      <c r="EB56" s="26">
        <f ca="1">IFERROR(OFFSET(ARGUS!$A$3, MATCH($A56, ARGUS!$A$3:$A$176, 0)-1,MATCH(EOMONTH(EB$15,1), ARGUS!$B$4:$LG$4, 0)-1,1,1)/1000, 0)</f>
        <v>0</v>
      </c>
      <c r="EC56" s="26">
        <f ca="1">IFERROR(OFFSET(ARGUS!$A$3, MATCH($A56, ARGUS!$A$3:$A$176, 0)-1,MATCH(EOMONTH(EC$15,1), ARGUS!$B$4:$LG$4, 0)-1,1,1)/1000, 0)</f>
        <v>0</v>
      </c>
      <c r="ED56" s="26">
        <f ca="1">IFERROR(OFFSET(ARGUS!$A$3, MATCH($A56, ARGUS!$A$3:$A$176, 0)-1,MATCH(EOMONTH(ED$15,1), ARGUS!$B$4:$LG$4, 0)-1,1,1)/1000, 0)</f>
        <v>0</v>
      </c>
      <c r="EE56" s="26">
        <f ca="1">IFERROR(OFFSET(ARGUS!$A$3, MATCH($A56, ARGUS!$A$3:$A$176, 0)-1,MATCH(EOMONTH(EE$15,1), ARGUS!$B$4:$LG$4, 0)-1,1,1)/1000, 0)</f>
        <v>0</v>
      </c>
      <c r="EF56" s="26">
        <f ca="1">IFERROR(OFFSET(ARGUS!$A$3, MATCH($A56, ARGUS!$A$3:$A$176, 0)-1,MATCH(EOMONTH(EF$15,1), ARGUS!$B$4:$LG$4, 0)-1,1,1)/1000, 0)</f>
        <v>0</v>
      </c>
      <c r="EG56" s="26">
        <f ca="1">IFERROR(OFFSET(ARGUS!$A$3, MATCH($A56, ARGUS!$A$3:$A$176, 0)-1,MATCH(EOMONTH(EG$15,1), ARGUS!$B$4:$LG$4, 0)-1,1,1)/1000, 0)</f>
        <v>0</v>
      </c>
      <c r="EH56" s="26">
        <f ca="1">IFERROR(OFFSET(ARGUS!$A$3, MATCH($A56, ARGUS!$A$3:$A$176, 0)-1,MATCH(EOMONTH(EH$15,1), ARGUS!$B$4:$LG$4, 0)-1,1,1)/1000, 0)</f>
        <v>0</v>
      </c>
      <c r="EI56" s="26">
        <f ca="1">IFERROR(OFFSET(ARGUS!$A$3, MATCH($A56, ARGUS!$A$3:$A$176, 0)-1,MATCH(EOMONTH(EI$15,1), ARGUS!$B$4:$LG$4, 0)-1,1,1)/1000, 0)</f>
        <v>0</v>
      </c>
      <c r="EJ56" s="26">
        <f ca="1">IFERROR(OFFSET(ARGUS!$A$3, MATCH($A56, ARGUS!$A$3:$A$176, 0)-1,MATCH(EOMONTH(EJ$15,1), ARGUS!$B$4:$LG$4, 0)-1,1,1)/1000, 0)</f>
        <v>0</v>
      </c>
      <c r="EK56" s="26">
        <f ca="1">IFERROR(OFFSET(ARGUS!$A$3, MATCH($A56, ARGUS!$A$3:$A$176, 0)-1,MATCH(EOMONTH(EK$15,1), ARGUS!$B$4:$LG$4, 0)-1,1,1)/1000, 0)</f>
        <v>0</v>
      </c>
      <c r="EL56" s="26">
        <f ca="1">IFERROR(OFFSET(ARGUS!$A$3, MATCH($A56, ARGUS!$A$3:$A$176, 0)-1,MATCH(EOMONTH(EL$15,1), ARGUS!$B$4:$LG$4, 0)-1,1,1)/1000, 0)</f>
        <v>0</v>
      </c>
      <c r="EM56" s="26">
        <f ca="1">IFERROR(OFFSET(ARGUS!$A$3, MATCH($A56, ARGUS!$A$3:$A$176, 0)-1,MATCH(EOMONTH(EM$15,1), ARGUS!$B$4:$LG$4, 0)-1,1,1)/1000, 0)</f>
        <v>0</v>
      </c>
      <c r="EN56" s="26">
        <f ca="1">IFERROR(OFFSET(ARGUS!$A$3, MATCH($A56, ARGUS!$A$3:$A$176, 0)-1,MATCH(EOMONTH(EN$15,1), ARGUS!$B$4:$LG$4, 0)-1,1,1)/1000, 0)</f>
        <v>0</v>
      </c>
      <c r="EO56" s="26">
        <f ca="1">IFERROR(OFFSET(ARGUS!$A$3, MATCH($A56, ARGUS!$A$3:$A$176, 0)-1,MATCH(EOMONTH(EO$15,1), ARGUS!$B$4:$LG$4, 0)-1,1,1)/1000, 0)</f>
        <v>0</v>
      </c>
      <c r="EP56" s="26">
        <f ca="1">IFERROR(OFFSET(ARGUS!$A$3, MATCH($A56, ARGUS!$A$3:$A$176, 0)-1,MATCH(EOMONTH(EP$15,1), ARGUS!$B$4:$LG$4, 0)-1,1,1)/1000, 0)</f>
        <v>0</v>
      </c>
      <c r="EQ56" s="26">
        <f ca="1">IFERROR(OFFSET(ARGUS!$A$3, MATCH($A56, ARGUS!$A$3:$A$176, 0)-1,MATCH(EOMONTH(EQ$15,1), ARGUS!$B$4:$LG$4, 0)-1,1,1)/1000, 0)</f>
        <v>0</v>
      </c>
      <c r="ER56" s="26">
        <f ca="1">IFERROR(OFFSET(ARGUS!$A$3, MATCH($A56, ARGUS!$A$3:$A$176, 0)-1,MATCH(EOMONTH(ER$15,1), ARGUS!$B$4:$LG$4, 0)-1,1,1)/1000, 0)</f>
        <v>0</v>
      </c>
      <c r="ES56" s="26">
        <f ca="1">IFERROR(OFFSET(ARGUS!$A$3, MATCH($A56, ARGUS!$A$3:$A$176, 0)-1,MATCH(EOMONTH(ES$15,1), ARGUS!$B$4:$LG$4, 0)-1,1,1)/1000, 0)</f>
        <v>0</v>
      </c>
      <c r="ET56" s="26">
        <f ca="1">IFERROR(OFFSET(ARGUS!$A$3, MATCH($A56, ARGUS!$A$3:$A$176, 0)-1,MATCH(EOMONTH(ET$15,1), ARGUS!$B$4:$LG$4, 0)-1,1,1)/1000, 0)</f>
        <v>0</v>
      </c>
      <c r="EU56" s="26">
        <f ca="1">IFERROR(OFFSET(ARGUS!$A$3, MATCH($A56, ARGUS!$A$3:$A$176, 0)-1,MATCH(EOMONTH(EU$15,1), ARGUS!$B$4:$LG$4, 0)-1,1,1)/1000, 0)</f>
        <v>0</v>
      </c>
      <c r="EV56" s="26">
        <f ca="1">IFERROR(OFFSET(ARGUS!$A$3, MATCH($A56, ARGUS!$A$3:$A$176, 0)-1,MATCH(EOMONTH(EV$15,1), ARGUS!$B$4:$LG$4, 0)-1,1,1)/1000, 0)</f>
        <v>0</v>
      </c>
      <c r="EW56" s="26">
        <f ca="1">IFERROR(OFFSET(ARGUS!$A$3, MATCH($A56, ARGUS!$A$3:$A$176, 0)-1,MATCH(EOMONTH(EW$15,1), ARGUS!$B$4:$LG$4, 0)-1,1,1)/1000, 0)</f>
        <v>0</v>
      </c>
      <c r="EX56" s="26">
        <f ca="1">IFERROR(OFFSET(ARGUS!$A$3, MATCH($A56, ARGUS!$A$3:$A$176, 0)-1,MATCH(EOMONTH(EX$15,1), ARGUS!$B$4:$LG$4, 0)-1,1,1)/1000, 0)</f>
        <v>0</v>
      </c>
      <c r="EY56" s="26">
        <f ca="1">IFERROR(OFFSET(ARGUS!$A$3, MATCH($A56, ARGUS!$A$3:$A$176, 0)-1,MATCH(EOMONTH(EY$15,1), ARGUS!$B$4:$LG$4, 0)-1,1,1)/1000, 0)</f>
        <v>0</v>
      </c>
      <c r="EZ56" s="26">
        <f ca="1">IFERROR(OFFSET(ARGUS!$A$3, MATCH($A56, ARGUS!$A$3:$A$176, 0)-1,MATCH(EOMONTH(EZ$15,1), ARGUS!$B$4:$LG$4, 0)-1,1,1)/1000, 0)</f>
        <v>0</v>
      </c>
      <c r="FA56" s="26">
        <f ca="1">IFERROR(OFFSET(ARGUS!$A$3, MATCH($A56, ARGUS!$A$3:$A$176, 0)-1,MATCH(EOMONTH(FA$15,1), ARGUS!$B$4:$LG$4, 0)-1,1,1)/1000, 0)</f>
        <v>0</v>
      </c>
      <c r="FB56" s="26">
        <f ca="1">IFERROR(OFFSET(ARGUS!$A$3, MATCH($A56, ARGUS!$A$3:$A$176, 0)-1,MATCH(EOMONTH(FB$15,1), ARGUS!$B$4:$LG$4, 0)-1,1,1)/1000, 0)</f>
        <v>0</v>
      </c>
      <c r="FC56" s="26">
        <f ca="1">IFERROR(OFFSET(ARGUS!$A$3, MATCH($A56, ARGUS!$A$3:$A$176, 0)-1,MATCH(EOMONTH(FC$15,1), ARGUS!$B$4:$LG$4, 0)-1,1,1)/1000, 0)</f>
        <v>0</v>
      </c>
      <c r="FD56" s="26">
        <f ca="1">IFERROR(OFFSET(ARGUS!$A$3, MATCH($A56, ARGUS!$A$3:$A$176, 0)-1,MATCH(EOMONTH(FD$15,1), ARGUS!$B$4:$LG$4, 0)-1,1,1)/1000, 0)</f>
        <v>0</v>
      </c>
      <c r="FE56" s="26">
        <f ca="1">IFERROR(OFFSET(ARGUS!$A$3, MATCH($A56, ARGUS!$A$3:$A$176, 0)-1,MATCH(EOMONTH(FE$15,1), ARGUS!$B$4:$LG$4, 0)-1,1,1)/1000, 0)</f>
        <v>0</v>
      </c>
      <c r="FF56" s="26">
        <f ca="1">IFERROR(OFFSET(ARGUS!$A$3, MATCH($A56, ARGUS!$A$3:$A$176, 0)-1,MATCH(EOMONTH(FF$15,1), ARGUS!$B$4:$LG$4, 0)-1,1,1)/1000, 0)</f>
        <v>0</v>
      </c>
      <c r="FG56" s="26">
        <f ca="1">IFERROR(OFFSET(ARGUS!$A$3, MATCH($A56, ARGUS!$A$3:$A$176, 0)-1,MATCH(EOMONTH(FG$15,1), ARGUS!$B$4:$LG$4, 0)-1,1,1)/1000, 0)</f>
        <v>0</v>
      </c>
      <c r="FH56" s="26">
        <f ca="1">IFERROR(OFFSET(ARGUS!$A$3, MATCH($A56, ARGUS!$A$3:$A$176, 0)-1,MATCH(EOMONTH(FH$15,1), ARGUS!$B$4:$LG$4, 0)-1,1,1)/1000, 0)</f>
        <v>0</v>
      </c>
      <c r="FI56" s="26">
        <f ca="1">IFERROR(OFFSET(ARGUS!$A$3, MATCH($A56, ARGUS!$A$3:$A$176, 0)-1,MATCH(EOMONTH(FI$15,1), ARGUS!$B$4:$LG$4, 0)-1,1,1)/1000, 0)</f>
        <v>0</v>
      </c>
      <c r="FJ56" s="26">
        <f ca="1">IFERROR(OFFSET(ARGUS!$A$3, MATCH($A56, ARGUS!$A$3:$A$176, 0)-1,MATCH(EOMONTH(FJ$15,1), ARGUS!$B$4:$LG$4, 0)-1,1,1)/1000, 0)</f>
        <v>0</v>
      </c>
      <c r="FK56" s="26">
        <f ca="1">IFERROR(OFFSET(ARGUS!$A$3, MATCH($A56, ARGUS!$A$3:$A$176, 0)-1,MATCH(EOMONTH(FK$15,1), ARGUS!$B$4:$LG$4, 0)-1,1,1)/1000, 0)</f>
        <v>0</v>
      </c>
      <c r="FL56" s="26">
        <f ca="1">IFERROR(OFFSET(ARGUS!$A$3, MATCH($A56, ARGUS!$A$3:$A$176, 0)-1,MATCH(EOMONTH(FL$15,1), ARGUS!$B$4:$LG$4, 0)-1,1,1)/1000, 0)</f>
        <v>0</v>
      </c>
      <c r="FM56" s="26">
        <f ca="1">IFERROR(OFFSET(ARGUS!$A$3, MATCH($A56, ARGUS!$A$3:$A$176, 0)-1,MATCH(EOMONTH(FM$15,1), ARGUS!$B$4:$LG$4, 0)-1,1,1)/1000, 0)</f>
        <v>0</v>
      </c>
      <c r="FN56" s="26">
        <f ca="1">IFERROR(OFFSET(ARGUS!$A$3, MATCH($A56, ARGUS!$A$3:$A$176, 0)-1,MATCH(EOMONTH(FN$15,1), ARGUS!$B$4:$LG$4, 0)-1,1,1)/1000, 0)</f>
        <v>0</v>
      </c>
      <c r="FO56" s="26">
        <f ca="1">IFERROR(OFFSET(ARGUS!$A$3, MATCH($A56, ARGUS!$A$3:$A$176, 0)-1,MATCH(EOMONTH(FO$15,1), ARGUS!$B$4:$LG$4, 0)-1,1,1)/1000, 0)</f>
        <v>0</v>
      </c>
      <c r="FP56" s="26">
        <f ca="1">IFERROR(OFFSET(ARGUS!$A$3, MATCH($A56, ARGUS!$A$3:$A$176, 0)-1,MATCH(EOMONTH(FP$15,1), ARGUS!$B$4:$LG$4, 0)-1,1,1)/1000, 0)</f>
        <v>0</v>
      </c>
      <c r="FQ56" s="26">
        <f ca="1">IFERROR(OFFSET(ARGUS!$A$3, MATCH($A56, ARGUS!$A$3:$A$176, 0)-1,MATCH(EOMONTH(FQ$15,1), ARGUS!$B$4:$LG$4, 0)-1,1,1)/1000, 0)</f>
        <v>0</v>
      </c>
      <c r="FR56" s="26">
        <f ca="1">IFERROR(OFFSET(ARGUS!$A$3, MATCH($A56, ARGUS!$A$3:$A$176, 0)-1,MATCH(EOMONTH(FR$15,1), ARGUS!$B$4:$LG$4, 0)-1,1,1)/1000, 0)</f>
        <v>0</v>
      </c>
      <c r="FS56" s="26">
        <f ca="1">IFERROR(OFFSET(ARGUS!$A$3, MATCH($A56, ARGUS!$A$3:$A$176, 0)-1,MATCH(EOMONTH(FS$15,1), ARGUS!$B$4:$LG$4, 0)-1,1,1)/1000, 0)</f>
        <v>0</v>
      </c>
      <c r="FT56" s="26">
        <f ca="1">IFERROR(OFFSET(ARGUS!$A$3, MATCH($A56, ARGUS!$A$3:$A$176, 0)-1,MATCH(EOMONTH(FT$15,1), ARGUS!$B$4:$LG$4, 0)-1,1,1)/1000, 0)</f>
        <v>0</v>
      </c>
      <c r="FU56" s="26">
        <f ca="1">IFERROR(OFFSET(ARGUS!$A$3, MATCH($A56, ARGUS!$A$3:$A$176, 0)-1,MATCH(EOMONTH(FU$15,1), ARGUS!$B$4:$LG$4, 0)-1,1,1)/1000, 0)</f>
        <v>0</v>
      </c>
      <c r="FV56" s="26">
        <f ca="1">IFERROR(OFFSET(ARGUS!$A$3, MATCH($A56, ARGUS!$A$3:$A$176, 0)-1,MATCH(EOMONTH(FV$15,1), ARGUS!$B$4:$LG$4, 0)-1,1,1)/1000, 0)</f>
        <v>0</v>
      </c>
      <c r="FW56" s="26">
        <f ca="1">IFERROR(OFFSET(ARGUS!$A$3, MATCH($A56, ARGUS!$A$3:$A$176, 0)-1,MATCH(EOMONTH(FW$15,1), ARGUS!$B$4:$LG$4, 0)-1,1,1)/1000, 0)</f>
        <v>0</v>
      </c>
      <c r="FX56" s="26">
        <f ca="1">IFERROR(OFFSET(ARGUS!$A$3, MATCH($A56, ARGUS!$A$3:$A$176, 0)-1,MATCH(EOMONTH(FX$15,1), ARGUS!$B$4:$LG$4, 0)-1,1,1)/1000, 0)</f>
        <v>0</v>
      </c>
      <c r="FY56" s="26">
        <f ca="1">IFERROR(OFFSET(ARGUS!$A$3, MATCH($A56, ARGUS!$A$3:$A$176, 0)-1,MATCH(EOMONTH(FY$15,1), ARGUS!$B$4:$LG$4, 0)-1,1,1)/1000, 0)</f>
        <v>0</v>
      </c>
      <c r="FZ56" s="26">
        <f ca="1">IFERROR(OFFSET(ARGUS!$A$3, MATCH($A56, ARGUS!$A$3:$A$176, 0)-1,MATCH(EOMONTH(FZ$15,1), ARGUS!$B$4:$LG$4, 0)-1,1,1)/1000, 0)</f>
        <v>0</v>
      </c>
      <c r="GA56" s="26">
        <f ca="1">IFERROR(OFFSET(ARGUS!$A$3, MATCH($A56, ARGUS!$A$3:$A$176, 0)-1,MATCH(EOMONTH(GA$15,1), ARGUS!$B$4:$LG$4, 0)-1,1,1)/1000, 0)</f>
        <v>0</v>
      </c>
      <c r="GB56" s="26">
        <f ca="1">IFERROR(OFFSET(ARGUS!$A$3, MATCH($A56, ARGUS!$A$3:$A$176, 0)-1,MATCH(EOMONTH(GB$15,1), ARGUS!$B$4:$LG$4, 0)-1,1,1)/1000, 0)</f>
        <v>0</v>
      </c>
      <c r="GC56" s="26">
        <f ca="1">IFERROR(OFFSET(ARGUS!$A$3, MATCH($A56, ARGUS!$A$3:$A$176, 0)-1,MATCH(EOMONTH(GC$15,1), ARGUS!$B$4:$LG$4, 0)-1,1,1)/1000, 0)</f>
        <v>0</v>
      </c>
      <c r="GD56" s="26">
        <f ca="1">IFERROR(OFFSET(ARGUS!$A$3, MATCH($A56, ARGUS!$A$3:$A$176, 0)-1,MATCH(EOMONTH(GD$15,1), ARGUS!$B$4:$LG$4, 0)-1,1,1)/1000, 0)</f>
        <v>0</v>
      </c>
      <c r="GE56" s="26">
        <f ca="1">IFERROR(OFFSET(ARGUS!$A$3, MATCH($A56, ARGUS!$A$3:$A$176, 0)-1,MATCH(EOMONTH(GE$15,1), ARGUS!$B$4:$LG$4, 0)-1,1,1)/1000, 0)</f>
        <v>0</v>
      </c>
      <c r="GF56" s="26">
        <f ca="1">IFERROR(OFFSET(ARGUS!$A$3, MATCH($A56, ARGUS!$A$3:$A$176, 0)-1,MATCH(EOMONTH(GF$15,1), ARGUS!$B$4:$LG$4, 0)-1,1,1)/1000, 0)</f>
        <v>0</v>
      </c>
      <c r="GG56" s="26">
        <f ca="1">IFERROR(OFFSET(ARGUS!$A$3, MATCH($A56, ARGUS!$A$3:$A$176, 0)-1,MATCH(EOMONTH(GG$15,1), ARGUS!$B$4:$LG$4, 0)-1,1,1)/1000, 0)</f>
        <v>0</v>
      </c>
      <c r="GH56" s="26">
        <f ca="1">IFERROR(OFFSET(ARGUS!$A$3, MATCH($A56, ARGUS!$A$3:$A$176, 0)-1,MATCH(EOMONTH(GH$15,1), ARGUS!$B$4:$LG$4, 0)-1,1,1)/1000, 0)</f>
        <v>0</v>
      </c>
      <c r="GI56" s="26">
        <f ca="1">IFERROR(OFFSET(ARGUS!$A$3, MATCH($A56, ARGUS!$A$3:$A$176, 0)-1,MATCH(EOMONTH(GI$15,1), ARGUS!$B$4:$LG$4, 0)-1,1,1)/1000, 0)</f>
        <v>0</v>
      </c>
      <c r="GJ56" s="26">
        <f ca="1">IFERROR(OFFSET(ARGUS!$A$3, MATCH($A56, ARGUS!$A$3:$A$176, 0)-1,MATCH(EOMONTH(GJ$15,1), ARGUS!$B$4:$LG$4, 0)-1,1,1)/1000, 0)</f>
        <v>0</v>
      </c>
      <c r="GK56" s="26">
        <f ca="1">IFERROR(OFFSET(ARGUS!$A$3, MATCH($A56, ARGUS!$A$3:$A$176, 0)-1,MATCH(EOMONTH(GK$15,1), ARGUS!$B$4:$LG$4, 0)-1,1,1)/1000, 0)</f>
        <v>0</v>
      </c>
      <c r="GL56" s="26">
        <f ca="1">IFERROR(OFFSET(ARGUS!$A$3, MATCH($A56, ARGUS!$A$3:$A$176, 0)-1,MATCH(EOMONTH(GL$15,1), ARGUS!$B$4:$LG$4, 0)-1,1,1)/1000, 0)</f>
        <v>0</v>
      </c>
      <c r="GM56" s="26">
        <f ca="1">IFERROR(OFFSET(ARGUS!$A$3, MATCH($A56, ARGUS!$A$3:$A$176, 0)-1,MATCH(EOMONTH(GM$15,1), ARGUS!$B$4:$LG$4, 0)-1,1,1)/1000, 0)</f>
        <v>0</v>
      </c>
      <c r="GN56" s="26">
        <f ca="1">IFERROR(OFFSET(ARGUS!$A$3, MATCH($A56, ARGUS!$A$3:$A$176, 0)-1,MATCH(EOMONTH(GN$15,1), ARGUS!$B$4:$LG$4, 0)-1,1,1)/1000, 0)</f>
        <v>0</v>
      </c>
      <c r="GO56" s="26">
        <f ca="1">IFERROR(OFFSET(ARGUS!$A$3, MATCH($A56, ARGUS!$A$3:$A$176, 0)-1,MATCH(EOMONTH(GO$15,1), ARGUS!$B$4:$LG$4, 0)-1,1,1)/1000, 0)</f>
        <v>0</v>
      </c>
      <c r="GP56" s="26">
        <f ca="1">IFERROR(OFFSET(ARGUS!$A$3, MATCH($A56, ARGUS!$A$3:$A$176, 0)-1,MATCH(EOMONTH(GP$15,1), ARGUS!$B$4:$LG$4, 0)-1,1,1)/1000, 0)</f>
        <v>0</v>
      </c>
      <c r="GQ56" s="26">
        <f ca="1">IFERROR(OFFSET(ARGUS!$A$3, MATCH($A56, ARGUS!$A$3:$A$176, 0)-1,MATCH(EOMONTH(GQ$15,1), ARGUS!$B$4:$LG$4, 0)-1,1,1)/1000, 0)</f>
        <v>0</v>
      </c>
      <c r="GR56" s="26">
        <f ca="1">IFERROR(OFFSET(ARGUS!$A$3, MATCH($A56, ARGUS!$A$3:$A$176, 0)-1,MATCH(EOMONTH(GR$15,1), ARGUS!$B$4:$LG$4, 0)-1,1,1)/1000, 0)</f>
        <v>0</v>
      </c>
      <c r="GS56" s="26">
        <f ca="1">IFERROR(OFFSET(ARGUS!$A$3, MATCH($A56, ARGUS!$A$3:$A$176, 0)-1,MATCH(EOMONTH(GS$15,1), ARGUS!$B$4:$LG$4, 0)-1,1,1)/1000, 0)</f>
        <v>0</v>
      </c>
      <c r="GT56" s="26">
        <f ca="1">IFERROR(OFFSET(ARGUS!$A$3, MATCH($A56, ARGUS!$A$3:$A$176, 0)-1,MATCH(EOMONTH(GT$15,1), ARGUS!$B$4:$LG$4, 0)-1,1,1)/1000, 0)</f>
        <v>0</v>
      </c>
      <c r="GU56" s="26"/>
      <c r="GV56" s="26"/>
      <c r="GW56" s="26"/>
      <c r="GX56" s="26"/>
      <c r="GY56" s="26"/>
      <c r="GZ56" s="26"/>
      <c r="HA56" s="26"/>
      <c r="HB56" s="26"/>
      <c r="HC56" s="26"/>
      <c r="HD56" s="26"/>
      <c r="HE56" s="26"/>
      <c r="HF56" s="1" t="s">
        <v>212</v>
      </c>
      <c r="HG56" s="139" t="e">
        <f t="shared" si="519"/>
        <v>#REF!</v>
      </c>
      <c r="HH56" s="9" t="str">
        <f t="shared" si="649"/>
        <v xml:space="preserve"> Free Rent</v>
      </c>
      <c r="HI56" s="26"/>
      <c r="HJ56" s="26"/>
      <c r="HK56" s="26"/>
      <c r="HL56" s="132">
        <f ca="1">SUM(HN56:HV56)</f>
        <v>-536.60178000000008</v>
      </c>
      <c r="HM56" s="26"/>
      <c r="HN56" s="26">
        <f t="shared" si="650"/>
        <v>0</v>
      </c>
      <c r="HO56" s="26">
        <f t="shared" si="650"/>
        <v>-53.115000000000002</v>
      </c>
      <c r="HP56" s="26">
        <f t="shared" si="650"/>
        <v>-121.70246999999998</v>
      </c>
      <c r="HQ56" s="26">
        <f t="shared" si="650"/>
        <v>-104.91229</v>
      </c>
      <c r="HR56" s="26">
        <f t="shared" si="650"/>
        <v>-114.87685000000002</v>
      </c>
      <c r="HS56" s="26">
        <f t="shared" si="650"/>
        <v>-59.261070000000004</v>
      </c>
      <c r="HT56" s="26">
        <f t="shared" si="650"/>
        <v>-27.20017</v>
      </c>
      <c r="HU56" s="26">
        <f t="shared" ca="1" si="650"/>
        <v>-48.758929999999999</v>
      </c>
      <c r="HV56" s="26">
        <f t="shared" ca="1" si="650"/>
        <v>-6.7750000000000004</v>
      </c>
      <c r="HW56"/>
    </row>
    <row r="57" spans="1:231" ht="15">
      <c r="A57" s="441">
        <v>4</v>
      </c>
      <c r="B57" s="9" t="s">
        <v>405</v>
      </c>
      <c r="E57" s="157"/>
      <c r="F57" s="151"/>
      <c r="I57" s="132">
        <f ca="1">SUMIF($K$13:$GT$13,"&lt;="&amp;Assumptions!$L$17,'Monthly Cash Flow'!K57:GT57)</f>
        <v>9648.9829599999939</v>
      </c>
      <c r="J57" s="26"/>
      <c r="K57" s="133"/>
      <c r="L57" s="953">
        <f>Historicals!D6</f>
        <v>62.984529999999999</v>
      </c>
      <c r="M57" s="954">
        <f>Historicals!E6</f>
        <v>62.984529999999999</v>
      </c>
      <c r="N57" s="954">
        <f>Historicals!F6</f>
        <v>62.984529999999999</v>
      </c>
      <c r="O57" s="954">
        <f>Historicals!G6</f>
        <v>65.058189999999996</v>
      </c>
      <c r="P57" s="954">
        <f>Historicals!H6</f>
        <v>61.244279999999996</v>
      </c>
      <c r="Q57" s="954">
        <f>Historicals!I6</f>
        <v>61.687429999999999</v>
      </c>
      <c r="R57" s="954">
        <f>Historicals!J6</f>
        <v>64.990709999999993</v>
      </c>
      <c r="S57" s="954">
        <f>Historicals!K6</f>
        <v>121.40012</v>
      </c>
      <c r="T57" s="954">
        <f>Historicals!L6</f>
        <v>89.275999999999996</v>
      </c>
      <c r="U57" s="954">
        <f>Historicals!M6</f>
        <v>177.92349999999999</v>
      </c>
      <c r="V57" s="954">
        <f>Historicals!N6</f>
        <v>92.72654</v>
      </c>
      <c r="W57" s="954">
        <f>Historicals!O6</f>
        <v>88.087000000000003</v>
      </c>
      <c r="X57" s="954">
        <f>Historicals!P6</f>
        <v>88.087000000000003</v>
      </c>
      <c r="Y57" s="954">
        <f>Historicals!Q6</f>
        <v>79.738330000000005</v>
      </c>
      <c r="Z57" s="954">
        <f>Historicals!R6</f>
        <v>71.935240000000007</v>
      </c>
      <c r="AA57" s="954">
        <f>Historicals!S6</f>
        <v>84.893500000000003</v>
      </c>
      <c r="AB57" s="954">
        <f>Historicals!T6</f>
        <v>97.850030000000004</v>
      </c>
      <c r="AC57" s="954">
        <f>Historicals!U6</f>
        <v>93.36739</v>
      </c>
      <c r="AD57" s="954">
        <f>Historicals!V6</f>
        <v>90.012</v>
      </c>
      <c r="AE57" s="954">
        <f>Historicals!W6</f>
        <v>91.158210000000011</v>
      </c>
      <c r="AF57" s="954">
        <f>Historicals!X6</f>
        <v>89.818210000000008</v>
      </c>
      <c r="AG57" s="954">
        <f>Historicals!Y6</f>
        <v>80.414100000000005</v>
      </c>
      <c r="AH57" s="954">
        <f>Historicals!Z6</f>
        <v>79.063160000000011</v>
      </c>
      <c r="AI57" s="954">
        <f>Historicals!AA6</f>
        <v>77.823999999999998</v>
      </c>
      <c r="AJ57" s="954">
        <f>Historicals!AB6</f>
        <v>77.823999999999998</v>
      </c>
      <c r="AK57" s="954">
        <f>Historicals!AC6</f>
        <v>74.74821</v>
      </c>
      <c r="AL57" s="954">
        <f>Historicals!AD6</f>
        <v>76.664000000000001</v>
      </c>
      <c r="AM57" s="954">
        <f>Historicals!AE6</f>
        <v>79.493740000000003</v>
      </c>
      <c r="AN57" s="954">
        <f>Historicals!AF6</f>
        <v>82.867220000000003</v>
      </c>
      <c r="AO57" s="954">
        <f>Historicals!AG6</f>
        <v>103.63547</v>
      </c>
      <c r="AP57" s="954">
        <f>Historicals!AH6</f>
        <v>90.144750000000002</v>
      </c>
      <c r="AQ57" s="954">
        <f>Historicals!AI6</f>
        <v>91.789369999999991</v>
      </c>
      <c r="AR57" s="954">
        <f>Historicals!AJ6</f>
        <v>84.154060000000001</v>
      </c>
      <c r="AS57" s="954">
        <f>Historicals!AK6</f>
        <v>94.018249999999995</v>
      </c>
      <c r="AT57" s="954">
        <f>Historicals!AL6</f>
        <v>95.571619999999996</v>
      </c>
      <c r="AU57" s="954">
        <f>Historicals!AM6</f>
        <v>98.524749999999997</v>
      </c>
      <c r="AV57" s="954">
        <f>Historicals!AN6</f>
        <v>100.28355000000001</v>
      </c>
      <c r="AW57" s="954">
        <f>Historicals!AO6</f>
        <v>100.07769999999999</v>
      </c>
      <c r="AX57" s="954">
        <f>Historicals!AP6</f>
        <v>101.92522</v>
      </c>
      <c r="AY57" s="954">
        <f>Historicals!AQ6</f>
        <v>96.492750000000001</v>
      </c>
      <c r="AZ57" s="954">
        <f>Historicals!AR6</f>
        <v>79.470749999999995</v>
      </c>
      <c r="BA57" s="954">
        <f>Historicals!AS6</f>
        <v>103.47271000000001</v>
      </c>
      <c r="BB57" s="954">
        <f>Historicals!AT6</f>
        <v>97.730999999999995</v>
      </c>
      <c r="BC57" s="954">
        <f>Historicals!AU6</f>
        <v>101.40300000000001</v>
      </c>
      <c r="BD57" s="954">
        <f>Historicals!AV6</f>
        <v>92.575999999999993</v>
      </c>
      <c r="BE57" s="954">
        <f>Historicals!AW6</f>
        <v>88.95975</v>
      </c>
      <c r="BF57" s="954">
        <f>Historicals!AX6</f>
        <v>110.09399999999999</v>
      </c>
      <c r="BG57" s="954">
        <f>Historicals!AY6</f>
        <v>94.673000000000002</v>
      </c>
      <c r="BH57" s="954">
        <f>Historicals!AZ6</f>
        <v>94.673000000000002</v>
      </c>
      <c r="BI57" s="954">
        <f>Historicals!BA6</f>
        <v>102.58631</v>
      </c>
      <c r="BJ57" s="954">
        <f>Historicals!BB6</f>
        <v>94.673000000000002</v>
      </c>
      <c r="BK57" s="954">
        <f>Historicals!BC6</f>
        <v>94.673000000000002</v>
      </c>
      <c r="BL57" s="954">
        <f>Historicals!BD6</f>
        <v>94.673000000000002</v>
      </c>
      <c r="BM57" s="954">
        <f>Historicals!BE6</f>
        <v>95.013000000000005</v>
      </c>
      <c r="BN57" s="930">
        <f>Historicals!BF6</f>
        <v>65.487650000000002</v>
      </c>
      <c r="BO57" s="930">
        <f>Historicals!BG6</f>
        <v>79.311000000000007</v>
      </c>
      <c r="BP57" s="930">
        <f>Historicals!BH6</f>
        <v>46.104879999999994</v>
      </c>
      <c r="BQ57" s="930">
        <f>Historicals!BI6</f>
        <v>78.970979999999997</v>
      </c>
      <c r="BR57" s="930">
        <f>Historicals!BJ6</f>
        <v>78.971000000000004</v>
      </c>
      <c r="BS57" s="930">
        <f>Historicals!BK6</f>
        <v>78.971000000000004</v>
      </c>
      <c r="BT57" s="930">
        <f>Historicals!BL6</f>
        <v>41.86101</v>
      </c>
      <c r="BU57" s="930">
        <f>Historicals!BM6</f>
        <v>78.971000000000004</v>
      </c>
      <c r="BV57" s="930">
        <f>Historicals!BN6</f>
        <v>72.237619999999993</v>
      </c>
      <c r="BW57" s="930">
        <f>Historicals!BO6</f>
        <v>87.232460000000003</v>
      </c>
      <c r="BX57" s="930">
        <f>Historicals!BP6</f>
        <v>87.51</v>
      </c>
      <c r="BY57" s="930">
        <f>Historicals!BQ6</f>
        <v>90.041479999999993</v>
      </c>
      <c r="BZ57" s="930">
        <f>Historicals!BR6</f>
        <v>100.76061999999999</v>
      </c>
      <c r="CA57" s="930">
        <f>Historicals!BS6</f>
        <v>96.542419999999993</v>
      </c>
      <c r="CB57" s="930">
        <f>Historicals!BT6</f>
        <v>96.542419999999993</v>
      </c>
      <c r="CC57" s="930">
        <f>Historicals!BU6</f>
        <v>89.745940000000004</v>
      </c>
      <c r="CD57" s="930">
        <f>Historicals!BV6</f>
        <v>96.542419999999993</v>
      </c>
      <c r="CE57" s="930">
        <f>Historicals!BW6</f>
        <v>65.18159</v>
      </c>
      <c r="CF57" s="930">
        <f>Historicals!BX6</f>
        <v>96.542419999999993</v>
      </c>
      <c r="CG57" s="930">
        <f>Historicals!BY6</f>
        <v>96.542419999999993</v>
      </c>
      <c r="CH57" s="930">
        <f>Historicals!BZ6</f>
        <v>96.709919999999997</v>
      </c>
      <c r="CI57" s="26">
        <f ca="1">IFERROR(OFFSET(ARGUS!$A$3, MATCH($A57, ARGUS!$A$3:$A$176, 0)-1,MATCH(EOMONTH(CI$15,1), ARGUS!$B$4:$LG$4, 0)-1,1,1)/1000, 0)</f>
        <v>98.519000000000005</v>
      </c>
      <c r="CJ57" s="26">
        <f ca="1">IFERROR(OFFSET(ARGUS!$A$3, MATCH($A57, ARGUS!$A$3:$A$176, 0)-1,MATCH(EOMONTH(CJ$15,1), ARGUS!$B$4:$LG$4, 0)-1,1,1)/1000, 0)</f>
        <v>98.519000000000005</v>
      </c>
      <c r="CK57" s="26">
        <f ca="1">IFERROR(OFFSET(ARGUS!$A$3, MATCH($A57, ARGUS!$A$3:$A$176, 0)-1,MATCH(EOMONTH(CK$15,1), ARGUS!$B$4:$LG$4, 0)-1,1,1)/1000, 0)</f>
        <v>98.519000000000005</v>
      </c>
      <c r="CL57" s="26">
        <f ca="1">IFERROR(OFFSET(ARGUS!$A$3, MATCH($A57, ARGUS!$A$3:$A$176, 0)-1,MATCH(EOMONTH(CL$15,1), ARGUS!$B$4:$LG$4, 0)-1,1,1)/1000, 0)</f>
        <v>101.755</v>
      </c>
      <c r="CM57" s="26">
        <f ca="1">IFERROR(OFFSET(ARGUS!$A$3, MATCH($A57, ARGUS!$A$3:$A$176, 0)-1,MATCH(EOMONTH(CM$15,1), ARGUS!$B$4:$LG$4, 0)-1,1,1)/1000, 0)</f>
        <v>101.755</v>
      </c>
      <c r="CN57" s="26">
        <f ca="1">IFERROR(OFFSET(ARGUS!$A$3, MATCH($A57, ARGUS!$A$3:$A$176, 0)-1,MATCH(EOMONTH(CN$15,1), ARGUS!$B$4:$LG$4, 0)-1,1,1)/1000, 0)</f>
        <v>101.755</v>
      </c>
      <c r="CO57" s="26">
        <f ca="1">IFERROR(OFFSET(ARGUS!$A$3, MATCH($A57, ARGUS!$A$3:$A$176, 0)-1,MATCH(EOMONTH(CO$15,1), ARGUS!$B$4:$LG$4, 0)-1,1,1)/1000, 0)</f>
        <v>101.755</v>
      </c>
      <c r="CP57" s="26">
        <f ca="1">IFERROR(OFFSET(ARGUS!$A$3, MATCH($A57, ARGUS!$A$3:$A$176, 0)-1,MATCH(EOMONTH(CP$15,1), ARGUS!$B$4:$LG$4, 0)-1,1,1)/1000, 0)</f>
        <v>107.065</v>
      </c>
      <c r="CQ57" s="26">
        <f ca="1">IFERROR(OFFSET(ARGUS!$A$3, MATCH($A57, ARGUS!$A$3:$A$176, 0)-1,MATCH(EOMONTH(CQ$15,1), ARGUS!$B$4:$LG$4, 0)-1,1,1)/1000, 0)</f>
        <v>107.065</v>
      </c>
      <c r="CR57" s="26">
        <f ca="1">IFERROR(OFFSET(ARGUS!$A$3, MATCH($A57, ARGUS!$A$3:$A$176, 0)-1,MATCH(EOMONTH(CR$15,1), ARGUS!$B$4:$LG$4, 0)-1,1,1)/1000, 0)</f>
        <v>96.93</v>
      </c>
      <c r="CS57" s="26">
        <f ca="1">IFERROR(OFFSET(ARGUS!$A$3, MATCH($A57, ARGUS!$A$3:$A$176, 0)-1,MATCH(EOMONTH(CS$15,1), ARGUS!$B$4:$LG$4, 0)-1,1,1)/1000, 0)</f>
        <v>88.665999999999997</v>
      </c>
      <c r="CT57" s="26">
        <f ca="1">IFERROR(OFFSET(ARGUS!$A$3, MATCH($A57, ARGUS!$A$3:$A$176, 0)-1,MATCH(EOMONTH(CT$15,1), ARGUS!$B$4:$LG$4, 0)-1,1,1)/1000, 0)</f>
        <v>105.17700000000001</v>
      </c>
      <c r="CU57" s="26">
        <f ca="1">IFERROR(OFFSET(ARGUS!$A$3, MATCH($A57, ARGUS!$A$3:$A$176, 0)-1,MATCH(EOMONTH(CU$15,1), ARGUS!$B$4:$LG$4, 0)-1,1,1)/1000, 0)</f>
        <v>105.17700000000001</v>
      </c>
      <c r="CV57" s="26">
        <f ca="1">IFERROR(OFFSET(ARGUS!$A$3, MATCH($A57, ARGUS!$A$3:$A$176, 0)-1,MATCH(EOMONTH(CV$15,1), ARGUS!$B$4:$LG$4, 0)-1,1,1)/1000, 0)</f>
        <v>105.17700000000001</v>
      </c>
      <c r="CW57" s="26">
        <f ca="1">IFERROR(OFFSET(ARGUS!$A$3, MATCH($A57, ARGUS!$A$3:$A$176, 0)-1,MATCH(EOMONTH(CW$15,1), ARGUS!$B$4:$LG$4, 0)-1,1,1)/1000, 0)</f>
        <v>105.17700000000001</v>
      </c>
      <c r="CX57" s="26">
        <f ca="1">IFERROR(OFFSET(ARGUS!$A$3, MATCH($A57, ARGUS!$A$3:$A$176, 0)-1,MATCH(EOMONTH(CX$15,1), ARGUS!$B$4:$LG$4, 0)-1,1,1)/1000, 0)</f>
        <v>97.757999999999996</v>
      </c>
      <c r="CY57" s="26">
        <f ca="1">IFERROR(OFFSET(ARGUS!$A$3, MATCH($A57, ARGUS!$A$3:$A$176, 0)-1,MATCH(EOMONTH(CY$15,1), ARGUS!$B$4:$LG$4, 0)-1,1,1)/1000, 0)</f>
        <v>107.328</v>
      </c>
      <c r="CZ57" s="26">
        <f ca="1">IFERROR(OFFSET(ARGUS!$A$3, MATCH($A57, ARGUS!$A$3:$A$176, 0)-1,MATCH(EOMONTH(CZ$15,1), ARGUS!$B$4:$LG$4, 0)-1,1,1)/1000, 0)</f>
        <v>97.638000000000005</v>
      </c>
      <c r="DA57" s="26">
        <f ca="1">IFERROR(OFFSET(ARGUS!$A$3, MATCH($A57, ARGUS!$A$3:$A$176, 0)-1,MATCH(EOMONTH(DA$15,1), ARGUS!$B$4:$LG$4, 0)-1,1,1)/1000, 0)</f>
        <v>106.36499999999999</v>
      </c>
      <c r="DB57" s="26">
        <f ca="1">IFERROR(OFFSET(ARGUS!$A$3, MATCH($A57, ARGUS!$A$3:$A$176, 0)-1,MATCH(EOMONTH(DB$15,1), ARGUS!$B$4:$LG$4, 0)-1,1,1)/1000, 0)</f>
        <v>121.033</v>
      </c>
      <c r="DC57" s="26">
        <f ca="1">IFERROR(OFFSET(ARGUS!$A$3, MATCH($A57, ARGUS!$A$3:$A$176, 0)-1,MATCH(EOMONTH(DC$15,1), ARGUS!$B$4:$LG$4, 0)-1,1,1)/1000, 0)</f>
        <v>149.52500000000001</v>
      </c>
      <c r="DD57" s="26">
        <f ca="1">IFERROR(OFFSET(ARGUS!$A$3, MATCH($A57, ARGUS!$A$3:$A$176, 0)-1,MATCH(EOMONTH(DD$15,1), ARGUS!$B$4:$LG$4, 0)-1,1,1)/1000, 0)</f>
        <v>149.52500000000001</v>
      </c>
      <c r="DE57" s="26">
        <f ca="1">IFERROR(OFFSET(ARGUS!$A$3, MATCH($A57, ARGUS!$A$3:$A$176, 0)-1,MATCH(EOMONTH(DE$15,1), ARGUS!$B$4:$LG$4, 0)-1,1,1)/1000, 0)</f>
        <v>149.52500000000001</v>
      </c>
      <c r="DF57" s="26">
        <f ca="1">IFERROR(OFFSET(ARGUS!$A$3, MATCH($A57, ARGUS!$A$3:$A$176, 0)-1,MATCH(EOMONTH(DF$15,1), ARGUS!$B$4:$LG$4, 0)-1,1,1)/1000, 0)</f>
        <v>149.52500000000001</v>
      </c>
      <c r="DG57" s="26">
        <f ca="1">IFERROR(OFFSET(ARGUS!$A$3, MATCH($A57, ARGUS!$A$3:$A$176, 0)-1,MATCH(EOMONTH(DG$15,1), ARGUS!$B$4:$LG$4, 0)-1,1,1)/1000, 0)</f>
        <v>149.52500000000001</v>
      </c>
      <c r="DH57" s="26">
        <f ca="1">IFERROR(OFFSET(ARGUS!$A$3, MATCH($A57, ARGUS!$A$3:$A$176, 0)-1,MATCH(EOMONTH(DH$15,1), ARGUS!$B$4:$LG$4, 0)-1,1,1)/1000, 0)</f>
        <v>149.52500000000001</v>
      </c>
      <c r="DI57" s="26">
        <f ca="1">IFERROR(OFFSET(ARGUS!$A$3, MATCH($A57, ARGUS!$A$3:$A$176, 0)-1,MATCH(EOMONTH(DI$15,1), ARGUS!$B$4:$LG$4, 0)-1,1,1)/1000, 0)</f>
        <v>149.52500000000001</v>
      </c>
      <c r="DJ57" s="26">
        <f ca="1">IFERROR(OFFSET(ARGUS!$A$3, MATCH($A57, ARGUS!$A$3:$A$176, 0)-1,MATCH(EOMONTH(DJ$15,1), ARGUS!$B$4:$LG$4, 0)-1,1,1)/1000, 0)</f>
        <v>154.04599999999999</v>
      </c>
      <c r="DK57" s="26">
        <f ca="1">IFERROR(OFFSET(ARGUS!$A$3, MATCH($A57, ARGUS!$A$3:$A$176, 0)-1,MATCH(EOMONTH(DK$15,1), ARGUS!$B$4:$LG$4, 0)-1,1,1)/1000, 0)</f>
        <v>154.04599999999999</v>
      </c>
      <c r="DL57" s="26">
        <f ca="1">IFERROR(OFFSET(ARGUS!$A$3, MATCH($A57, ARGUS!$A$3:$A$176, 0)-1,MATCH(EOMONTH(DL$15,1), ARGUS!$B$4:$LG$4, 0)-1,1,1)/1000, 0)</f>
        <v>154.04599999999999</v>
      </c>
      <c r="DM57" s="26">
        <f ca="1">IFERROR(OFFSET(ARGUS!$A$3, MATCH($A57, ARGUS!$A$3:$A$176, 0)-1,MATCH(EOMONTH(DM$15,1), ARGUS!$B$4:$LG$4, 0)-1,1,1)/1000, 0)</f>
        <v>154.04599999999999</v>
      </c>
      <c r="DN57" s="26">
        <f ca="1">IFERROR(OFFSET(ARGUS!$A$3, MATCH($A57, ARGUS!$A$3:$A$176, 0)-1,MATCH(EOMONTH(DN$15,1), ARGUS!$B$4:$LG$4, 0)-1,1,1)/1000, 0)</f>
        <v>149.86000000000001</v>
      </c>
      <c r="DO57" s="26">
        <f ca="1">IFERROR(OFFSET(ARGUS!$A$3, MATCH($A57, ARGUS!$A$3:$A$176, 0)-1,MATCH(EOMONTH(DO$15,1), ARGUS!$B$4:$LG$4, 0)-1,1,1)/1000, 0)</f>
        <v>153.5</v>
      </c>
      <c r="DP57" s="26">
        <f ca="1">IFERROR(OFFSET(ARGUS!$A$3, MATCH($A57, ARGUS!$A$3:$A$176, 0)-1,MATCH(EOMONTH(DP$15,1), ARGUS!$B$4:$LG$4, 0)-1,1,1)/1000, 0)</f>
        <v>153.5</v>
      </c>
      <c r="DQ57" s="26">
        <f ca="1">IFERROR(OFFSET(ARGUS!$A$3, MATCH($A57, ARGUS!$A$3:$A$176, 0)-1,MATCH(EOMONTH(DQ$15,1), ARGUS!$B$4:$LG$4, 0)-1,1,1)/1000, 0)</f>
        <v>153.5</v>
      </c>
      <c r="DR57" s="26">
        <f ca="1">IFERROR(OFFSET(ARGUS!$A$3, MATCH($A57, ARGUS!$A$3:$A$176, 0)-1,MATCH(EOMONTH(DR$15,1), ARGUS!$B$4:$LG$4, 0)-1,1,1)/1000, 0)</f>
        <v>153.5</v>
      </c>
      <c r="DS57" s="26">
        <f ca="1">IFERROR(OFFSET(ARGUS!$A$3, MATCH($A57, ARGUS!$A$3:$A$176, 0)-1,MATCH(EOMONTH(DS$15,1), ARGUS!$B$4:$LG$4, 0)-1,1,1)/1000, 0)</f>
        <v>153.5</v>
      </c>
      <c r="DT57" s="26">
        <f ca="1">IFERROR(OFFSET(ARGUS!$A$3, MATCH($A57, ARGUS!$A$3:$A$176, 0)-1,MATCH(EOMONTH(DT$15,1), ARGUS!$B$4:$LG$4, 0)-1,1,1)/1000, 0)</f>
        <v>153.5</v>
      </c>
      <c r="DU57" s="26">
        <f ca="1">IFERROR(OFFSET(ARGUS!$A$3, MATCH($A57, ARGUS!$A$3:$A$176, 0)-1,MATCH(EOMONTH(DU$15,1), ARGUS!$B$4:$LG$4, 0)-1,1,1)/1000, 0)</f>
        <v>153.5</v>
      </c>
      <c r="DV57" s="26">
        <f ca="1">IFERROR(OFFSET(ARGUS!$A$3, MATCH($A57, ARGUS!$A$3:$A$176, 0)-1,MATCH(EOMONTH(DV$15,1), ARGUS!$B$4:$LG$4, 0)-1,1,1)/1000, 0)</f>
        <v>156.63499999999999</v>
      </c>
      <c r="DW57" s="26">
        <f ca="1">IFERROR(OFFSET(ARGUS!$A$3, MATCH($A57, ARGUS!$A$3:$A$176, 0)-1,MATCH(EOMONTH(DW$15,1), ARGUS!$B$4:$LG$4, 0)-1,1,1)/1000, 0)</f>
        <v>156.63499999999999</v>
      </c>
      <c r="DX57" s="26">
        <f ca="1">IFERROR(OFFSET(ARGUS!$A$3, MATCH($A57, ARGUS!$A$3:$A$176, 0)-1,MATCH(EOMONTH(DX$15,1), ARGUS!$B$4:$LG$4, 0)-1,1,1)/1000, 0)</f>
        <v>156.63499999999999</v>
      </c>
      <c r="DY57" s="26">
        <f ca="1">IFERROR(OFFSET(ARGUS!$A$3, MATCH($A57, ARGUS!$A$3:$A$176, 0)-1,MATCH(EOMONTH(DY$15,1), ARGUS!$B$4:$LG$4, 0)-1,1,1)/1000, 0)</f>
        <v>156.63499999999999</v>
      </c>
      <c r="DZ57" s="26">
        <f ca="1">IFERROR(OFFSET(ARGUS!$A$3, MATCH($A57, ARGUS!$A$3:$A$176, 0)-1,MATCH(EOMONTH(DZ$15,1), ARGUS!$B$4:$LG$4, 0)-1,1,1)/1000, 0)</f>
        <v>156.63499999999999</v>
      </c>
      <c r="EA57" s="26">
        <f ca="1">IFERROR(OFFSET(ARGUS!$A$3, MATCH($A57, ARGUS!$A$3:$A$176, 0)-1,MATCH(EOMONTH(EA$15,1), ARGUS!$B$4:$LG$4, 0)-1,1,1)/1000, 0)</f>
        <v>156.63499999999999</v>
      </c>
      <c r="EB57" s="26">
        <f ca="1">IFERROR(OFFSET(ARGUS!$A$3, MATCH($A57, ARGUS!$A$3:$A$176, 0)-1,MATCH(EOMONTH(EB$15,1), ARGUS!$B$4:$LG$4, 0)-1,1,1)/1000, 0)</f>
        <v>156.63499999999999</v>
      </c>
      <c r="EC57" s="26">
        <f ca="1">IFERROR(OFFSET(ARGUS!$A$3, MATCH($A57, ARGUS!$A$3:$A$176, 0)-1,MATCH(EOMONTH(EC$15,1), ARGUS!$B$4:$LG$4, 0)-1,1,1)/1000, 0)</f>
        <v>156.63499999999999</v>
      </c>
      <c r="ED57" s="26">
        <f ca="1">IFERROR(OFFSET(ARGUS!$A$3, MATCH($A57, ARGUS!$A$3:$A$176, 0)-1,MATCH(EOMONTH(ED$15,1), ARGUS!$B$4:$LG$4, 0)-1,1,1)/1000, 0)</f>
        <v>156.63499999999999</v>
      </c>
      <c r="EE57" s="26">
        <f ca="1">IFERROR(OFFSET(ARGUS!$A$3, MATCH($A57, ARGUS!$A$3:$A$176, 0)-1,MATCH(EOMONTH(EE$15,1), ARGUS!$B$4:$LG$4, 0)-1,1,1)/1000, 0)</f>
        <v>149.405</v>
      </c>
      <c r="EF57" s="26">
        <f ca="1">IFERROR(OFFSET(ARGUS!$A$3, MATCH($A57, ARGUS!$A$3:$A$176, 0)-1,MATCH(EOMONTH(EF$15,1), ARGUS!$B$4:$LG$4, 0)-1,1,1)/1000, 0)</f>
        <v>147.01400000000001</v>
      </c>
      <c r="EG57" s="26">
        <f ca="1">IFERROR(OFFSET(ARGUS!$A$3, MATCH($A57, ARGUS!$A$3:$A$176, 0)-1,MATCH(EOMONTH(EG$15,1), ARGUS!$B$4:$LG$4, 0)-1,1,1)/1000, 0)</f>
        <v>158.55000000000001</v>
      </c>
      <c r="EH57" s="26">
        <f ca="1">IFERROR(OFFSET(ARGUS!$A$3, MATCH($A57, ARGUS!$A$3:$A$176, 0)-1,MATCH(EOMONTH(EH$15,1), ARGUS!$B$4:$LG$4, 0)-1,1,1)/1000, 0)</f>
        <v>163.268</v>
      </c>
      <c r="EI57" s="26">
        <f ca="1">IFERROR(OFFSET(ARGUS!$A$3, MATCH($A57, ARGUS!$A$3:$A$176, 0)-1,MATCH(EOMONTH(EI$15,1), ARGUS!$B$4:$LG$4, 0)-1,1,1)/1000, 0)</f>
        <v>163.268</v>
      </c>
      <c r="EJ57" s="26">
        <f ca="1">IFERROR(OFFSET(ARGUS!$A$3, MATCH($A57, ARGUS!$A$3:$A$176, 0)-1,MATCH(EOMONTH(EJ$15,1), ARGUS!$B$4:$LG$4, 0)-1,1,1)/1000, 0)</f>
        <v>163.268</v>
      </c>
      <c r="EK57" s="26">
        <f ca="1">IFERROR(OFFSET(ARGUS!$A$3, MATCH($A57, ARGUS!$A$3:$A$176, 0)-1,MATCH(EOMONTH(EK$15,1), ARGUS!$B$4:$LG$4, 0)-1,1,1)/1000, 0)</f>
        <v>163.268</v>
      </c>
      <c r="EL57" s="26">
        <f ca="1">IFERROR(OFFSET(ARGUS!$A$3, MATCH($A57, ARGUS!$A$3:$A$176, 0)-1,MATCH(EOMONTH(EL$15,1), ARGUS!$B$4:$LG$4, 0)-1,1,1)/1000, 0)</f>
        <v>163.268</v>
      </c>
      <c r="EM57" s="26">
        <f ca="1">IFERROR(OFFSET(ARGUS!$A$3, MATCH($A57, ARGUS!$A$3:$A$176, 0)-1,MATCH(EOMONTH(EM$15,1), ARGUS!$B$4:$LG$4, 0)-1,1,1)/1000, 0)</f>
        <v>163.268</v>
      </c>
      <c r="EN57" s="26">
        <f ca="1">IFERROR(OFFSET(ARGUS!$A$3, MATCH($A57, ARGUS!$A$3:$A$176, 0)-1,MATCH(EOMONTH(EN$15,1), ARGUS!$B$4:$LG$4, 0)-1,1,1)/1000, 0)</f>
        <v>163.268</v>
      </c>
      <c r="EO57" s="26">
        <f ca="1">IFERROR(OFFSET(ARGUS!$A$3, MATCH($A57, ARGUS!$A$3:$A$176, 0)-1,MATCH(EOMONTH(EO$15,1), ARGUS!$B$4:$LG$4, 0)-1,1,1)/1000, 0)</f>
        <v>163.268</v>
      </c>
      <c r="EP57" s="26">
        <f ca="1">IFERROR(OFFSET(ARGUS!$A$3, MATCH($A57, ARGUS!$A$3:$A$176, 0)-1,MATCH(EOMONTH(EP$15,1), ARGUS!$B$4:$LG$4, 0)-1,1,1)/1000, 0)</f>
        <v>163.268</v>
      </c>
      <c r="EQ57" s="26">
        <f ca="1">IFERROR(OFFSET(ARGUS!$A$3, MATCH($A57, ARGUS!$A$3:$A$176, 0)-1,MATCH(EOMONTH(EQ$15,1), ARGUS!$B$4:$LG$4, 0)-1,1,1)/1000, 0)</f>
        <v>155.80000000000001</v>
      </c>
      <c r="ER57" s="26">
        <f ca="1">IFERROR(OFFSET(ARGUS!$A$3, MATCH($A57, ARGUS!$A$3:$A$176, 0)-1,MATCH(EOMONTH(ER$15,1), ARGUS!$B$4:$LG$4, 0)-1,1,1)/1000, 0)</f>
        <v>162.29400000000001</v>
      </c>
      <c r="ES57" s="26">
        <f ca="1">IFERROR(OFFSET(ARGUS!$A$3, MATCH($A57, ARGUS!$A$3:$A$176, 0)-1,MATCH(EOMONTH(ES$15,1), ARGUS!$B$4:$LG$4, 0)-1,1,1)/1000, 0)</f>
        <v>162.29400000000001</v>
      </c>
      <c r="ET57" s="26">
        <f ca="1">IFERROR(OFFSET(ARGUS!$A$3, MATCH($A57, ARGUS!$A$3:$A$176, 0)-1,MATCH(EOMONTH(ET$15,1), ARGUS!$B$4:$LG$4, 0)-1,1,1)/1000, 0)</f>
        <v>166.643</v>
      </c>
      <c r="EU57" s="26">
        <f ca="1">IFERROR(OFFSET(ARGUS!$A$3, MATCH($A57, ARGUS!$A$3:$A$176, 0)-1,MATCH(EOMONTH(EU$15,1), ARGUS!$B$4:$LG$4, 0)-1,1,1)/1000, 0)</f>
        <v>166.643</v>
      </c>
      <c r="EV57" s="26">
        <f ca="1">IFERROR(OFFSET(ARGUS!$A$3, MATCH($A57, ARGUS!$A$3:$A$176, 0)-1,MATCH(EOMONTH(EV$15,1), ARGUS!$B$4:$LG$4, 0)-1,1,1)/1000, 0)</f>
        <v>166.643</v>
      </c>
      <c r="EW57" s="26">
        <f ca="1">IFERROR(OFFSET(ARGUS!$A$3, MATCH($A57, ARGUS!$A$3:$A$176, 0)-1,MATCH(EOMONTH(EW$15,1), ARGUS!$B$4:$LG$4, 0)-1,1,1)/1000, 0)</f>
        <v>166.643</v>
      </c>
      <c r="EX57" s="26">
        <f ca="1">IFERROR(OFFSET(ARGUS!$A$3, MATCH($A57, ARGUS!$A$3:$A$176, 0)-1,MATCH(EOMONTH(EX$15,1), ARGUS!$B$4:$LG$4, 0)-1,1,1)/1000, 0)</f>
        <v>160.51599999999999</v>
      </c>
      <c r="EY57" s="26">
        <f ca="1">IFERROR(OFFSET(ARGUS!$A$3, MATCH($A57, ARGUS!$A$3:$A$176, 0)-1,MATCH(EOMONTH(EY$15,1), ARGUS!$B$4:$LG$4, 0)-1,1,1)/1000, 0)</f>
        <v>156.619</v>
      </c>
      <c r="EZ57" s="26">
        <f ca="1">IFERROR(OFFSET(ARGUS!$A$3, MATCH($A57, ARGUS!$A$3:$A$176, 0)-1,MATCH(EOMONTH(EZ$15,1), ARGUS!$B$4:$LG$4, 0)-1,1,1)/1000, 0)</f>
        <v>165.28399999999999</v>
      </c>
      <c r="FA57" s="26">
        <f ca="1">IFERROR(OFFSET(ARGUS!$A$3, MATCH($A57, ARGUS!$A$3:$A$176, 0)-1,MATCH(EOMONTH(FA$15,1), ARGUS!$B$4:$LG$4, 0)-1,1,1)/1000, 0)</f>
        <v>154.36199999999999</v>
      </c>
      <c r="FB57" s="26">
        <f ca="1">IFERROR(OFFSET(ARGUS!$A$3, MATCH($A57, ARGUS!$A$3:$A$176, 0)-1,MATCH(EOMONTH(FB$15,1), ARGUS!$B$4:$LG$4, 0)-1,1,1)/1000, 0)</f>
        <v>146.23500000000001</v>
      </c>
      <c r="FC57" s="26">
        <f ca="1">IFERROR(OFFSET(ARGUS!$A$3, MATCH($A57, ARGUS!$A$3:$A$176, 0)-1,MATCH(EOMONTH(FC$15,1), ARGUS!$B$4:$LG$4, 0)-1,1,1)/1000, 0)</f>
        <v>165.28399999999999</v>
      </c>
      <c r="FD57" s="26">
        <f ca="1">IFERROR(OFFSET(ARGUS!$A$3, MATCH($A57, ARGUS!$A$3:$A$176, 0)-1,MATCH(EOMONTH(FD$15,1), ARGUS!$B$4:$LG$4, 0)-1,1,1)/1000, 0)</f>
        <v>165.28399999999999</v>
      </c>
      <c r="FE57" s="26">
        <f ca="1">IFERROR(OFFSET(ARGUS!$A$3, MATCH($A57, ARGUS!$A$3:$A$176, 0)-1,MATCH(EOMONTH(FE$15,1), ARGUS!$B$4:$LG$4, 0)-1,1,1)/1000, 0)</f>
        <v>165.28399999999999</v>
      </c>
      <c r="FF57" s="26">
        <f ca="1">IFERROR(OFFSET(ARGUS!$A$3, MATCH($A57, ARGUS!$A$3:$A$176, 0)-1,MATCH(EOMONTH(FF$15,1), ARGUS!$B$4:$LG$4, 0)-1,1,1)/1000, 0)</f>
        <v>169.61199999999999</v>
      </c>
      <c r="FG57" s="26">
        <f ca="1">IFERROR(OFFSET(ARGUS!$A$3, MATCH($A57, ARGUS!$A$3:$A$176, 0)-1,MATCH(EOMONTH(FG$15,1), ARGUS!$B$4:$LG$4, 0)-1,1,1)/1000, 0)</f>
        <v>158.30600000000001</v>
      </c>
      <c r="FH57" s="26">
        <f ca="1">IFERROR(OFFSET(ARGUS!$A$3, MATCH($A57, ARGUS!$A$3:$A$176, 0)-1,MATCH(EOMONTH(FH$15,1), ARGUS!$B$4:$LG$4, 0)-1,1,1)/1000, 0)</f>
        <v>169.61199999999999</v>
      </c>
      <c r="FI57" s="26">
        <f ca="1">IFERROR(OFFSET(ARGUS!$A$3, MATCH($A57, ARGUS!$A$3:$A$176, 0)-1,MATCH(EOMONTH(FI$15,1), ARGUS!$B$4:$LG$4, 0)-1,1,1)/1000, 0)</f>
        <v>159.66200000000001</v>
      </c>
      <c r="FJ57" s="26">
        <f ca="1">IFERROR(OFFSET(ARGUS!$A$3, MATCH($A57, ARGUS!$A$3:$A$176, 0)-1,MATCH(EOMONTH(FJ$15,1), ARGUS!$B$4:$LG$4, 0)-1,1,1)/1000, 0)</f>
        <v>169.61199999999999</v>
      </c>
      <c r="FK57" s="26">
        <f ca="1">IFERROR(OFFSET(ARGUS!$A$3, MATCH($A57, ARGUS!$A$3:$A$176, 0)-1,MATCH(EOMONTH(FK$15,1), ARGUS!$B$4:$LG$4, 0)-1,1,1)/1000, 0)</f>
        <v>134.346</v>
      </c>
      <c r="FL57" s="26">
        <f ca="1">IFERROR(OFFSET(ARGUS!$A$3, MATCH($A57, ARGUS!$A$3:$A$176, 0)-1,MATCH(EOMONTH(FL$15,1), ARGUS!$B$4:$LG$4, 0)-1,1,1)/1000, 0)</f>
        <v>142.71299999999999</v>
      </c>
      <c r="FM57" s="26">
        <f ca="1">IFERROR(OFFSET(ARGUS!$A$3, MATCH($A57, ARGUS!$A$3:$A$176, 0)-1,MATCH(EOMONTH(FM$15,1), ARGUS!$B$4:$LG$4, 0)-1,1,1)/1000, 0)</f>
        <v>165.012</v>
      </c>
      <c r="FN57" s="26">
        <f ca="1">IFERROR(OFFSET(ARGUS!$A$3, MATCH($A57, ARGUS!$A$3:$A$176, 0)-1,MATCH(EOMONTH(FN$15,1), ARGUS!$B$4:$LG$4, 0)-1,1,1)/1000, 0)</f>
        <v>165.012</v>
      </c>
      <c r="FO57" s="26">
        <f ca="1">IFERROR(OFFSET(ARGUS!$A$3, MATCH($A57, ARGUS!$A$3:$A$176, 0)-1,MATCH(EOMONTH(FO$15,1), ARGUS!$B$4:$LG$4, 0)-1,1,1)/1000, 0)</f>
        <v>165.012</v>
      </c>
      <c r="FP57" s="26">
        <f ca="1">IFERROR(OFFSET(ARGUS!$A$3, MATCH($A57, ARGUS!$A$3:$A$176, 0)-1,MATCH(EOMONTH(FP$15,1), ARGUS!$B$4:$LG$4, 0)-1,1,1)/1000, 0)</f>
        <v>165.012</v>
      </c>
      <c r="FQ57" s="26">
        <f ca="1">IFERROR(OFFSET(ARGUS!$A$3, MATCH($A57, ARGUS!$A$3:$A$176, 0)-1,MATCH(EOMONTH(FQ$15,1), ARGUS!$B$4:$LG$4, 0)-1,1,1)/1000, 0)</f>
        <v>165.012</v>
      </c>
      <c r="FR57" s="26">
        <f ca="1">IFERROR(OFFSET(ARGUS!$A$3, MATCH($A57, ARGUS!$A$3:$A$176, 0)-1,MATCH(EOMONTH(FR$15,1), ARGUS!$B$4:$LG$4, 0)-1,1,1)/1000, 0)</f>
        <v>170.03800000000001</v>
      </c>
      <c r="FS57" s="26">
        <f ca="1">IFERROR(OFFSET(ARGUS!$A$3, MATCH($A57, ARGUS!$A$3:$A$176, 0)-1,MATCH(EOMONTH(FS$15,1), ARGUS!$B$4:$LG$4, 0)-1,1,1)/1000, 0)</f>
        <v>170.03800000000001</v>
      </c>
      <c r="FT57" s="26">
        <f ca="1">IFERROR(OFFSET(ARGUS!$A$3, MATCH($A57, ARGUS!$A$3:$A$176, 0)-1,MATCH(EOMONTH(FT$15,1), ARGUS!$B$4:$LG$4, 0)-1,1,1)/1000, 0)</f>
        <v>170.03800000000001</v>
      </c>
      <c r="FU57" s="26">
        <f ca="1">IFERROR(OFFSET(ARGUS!$A$3, MATCH($A57, ARGUS!$A$3:$A$176, 0)-1,MATCH(EOMONTH(FU$15,1), ARGUS!$B$4:$LG$4, 0)-1,1,1)/1000, 0)</f>
        <v>170.03800000000001</v>
      </c>
      <c r="FV57" s="26">
        <f ca="1">IFERROR(OFFSET(ARGUS!$A$3, MATCH($A57, ARGUS!$A$3:$A$176, 0)-1,MATCH(EOMONTH(FV$15,1), ARGUS!$B$4:$LG$4, 0)-1,1,1)/1000, 0)</f>
        <v>170.03800000000001</v>
      </c>
      <c r="FW57" s="26">
        <f ca="1">IFERROR(OFFSET(ARGUS!$A$3, MATCH($A57, ARGUS!$A$3:$A$176, 0)-1,MATCH(EOMONTH(FW$15,1), ARGUS!$B$4:$LG$4, 0)-1,1,1)/1000, 0)</f>
        <v>165.887</v>
      </c>
      <c r="FX57" s="26">
        <f ca="1">IFERROR(OFFSET(ARGUS!$A$3, MATCH($A57, ARGUS!$A$3:$A$176, 0)-1,MATCH(EOMONTH(FX$15,1), ARGUS!$B$4:$LG$4, 0)-1,1,1)/1000, 0)</f>
        <v>170.03800000000001</v>
      </c>
      <c r="FY57" s="26">
        <f ca="1">IFERROR(OFFSET(ARGUS!$A$3, MATCH($A57, ARGUS!$A$3:$A$176, 0)-1,MATCH(EOMONTH(FY$15,1), ARGUS!$B$4:$LG$4, 0)-1,1,1)/1000, 0)</f>
        <v>170.03800000000001</v>
      </c>
      <c r="FZ57" s="26">
        <f ca="1">IFERROR(OFFSET(ARGUS!$A$3, MATCH($A57, ARGUS!$A$3:$A$176, 0)-1,MATCH(EOMONTH(FZ$15,1), ARGUS!$B$4:$LG$4, 0)-1,1,1)/1000, 0)</f>
        <v>170.03800000000001</v>
      </c>
      <c r="GA57" s="26">
        <f ca="1">IFERROR(OFFSET(ARGUS!$A$3, MATCH($A57, ARGUS!$A$3:$A$176, 0)-1,MATCH(EOMONTH(GA$15,1), ARGUS!$B$4:$LG$4, 0)-1,1,1)/1000, 0)</f>
        <v>170.03800000000001</v>
      </c>
      <c r="GB57" s="26">
        <f ca="1">IFERROR(OFFSET(ARGUS!$A$3, MATCH($A57, ARGUS!$A$3:$A$176, 0)-1,MATCH(EOMONTH(GB$15,1), ARGUS!$B$4:$LG$4, 0)-1,1,1)/1000, 0)</f>
        <v>170.03800000000001</v>
      </c>
      <c r="GC57" s="26">
        <f ca="1">IFERROR(OFFSET(ARGUS!$A$3, MATCH($A57, ARGUS!$A$3:$A$176, 0)-1,MATCH(EOMONTH(GC$15,1), ARGUS!$B$4:$LG$4, 0)-1,1,1)/1000, 0)</f>
        <v>170.03800000000001</v>
      </c>
      <c r="GD57" s="26">
        <f ca="1">IFERROR(OFFSET(ARGUS!$A$3, MATCH($A57, ARGUS!$A$3:$A$176, 0)-1,MATCH(EOMONTH(GD$15,1), ARGUS!$B$4:$LG$4, 0)-1,1,1)/1000, 0)</f>
        <v>174.94499999999999</v>
      </c>
      <c r="GE57" s="26">
        <f ca="1">IFERROR(OFFSET(ARGUS!$A$3, MATCH($A57, ARGUS!$A$3:$A$176, 0)-1,MATCH(EOMONTH(GE$15,1), ARGUS!$B$4:$LG$4, 0)-1,1,1)/1000, 0)</f>
        <v>174.94499999999999</v>
      </c>
      <c r="GF57" s="26">
        <f ca="1">IFERROR(OFFSET(ARGUS!$A$3, MATCH($A57, ARGUS!$A$3:$A$176, 0)-1,MATCH(EOMONTH(GF$15,1), ARGUS!$B$4:$LG$4, 0)-1,1,1)/1000, 0)</f>
        <v>174.94499999999999</v>
      </c>
      <c r="GG57" s="26">
        <f ca="1">IFERROR(OFFSET(ARGUS!$A$3, MATCH($A57, ARGUS!$A$3:$A$176, 0)-1,MATCH(EOMONTH(GG$15,1), ARGUS!$B$4:$LG$4, 0)-1,1,1)/1000, 0)</f>
        <v>174.94499999999999</v>
      </c>
      <c r="GH57" s="26">
        <f ca="1">IFERROR(OFFSET(ARGUS!$A$3, MATCH($A57, ARGUS!$A$3:$A$176, 0)-1,MATCH(EOMONTH(GH$15,1), ARGUS!$B$4:$LG$4, 0)-1,1,1)/1000, 0)</f>
        <v>174.94499999999999</v>
      </c>
      <c r="GI57" s="26">
        <f ca="1">IFERROR(OFFSET(ARGUS!$A$3, MATCH($A57, ARGUS!$A$3:$A$176, 0)-1,MATCH(EOMONTH(GI$15,1), ARGUS!$B$4:$LG$4, 0)-1,1,1)/1000, 0)</f>
        <v>174.94499999999999</v>
      </c>
      <c r="GJ57" s="26">
        <f ca="1">IFERROR(OFFSET(ARGUS!$A$3, MATCH($A57, ARGUS!$A$3:$A$176, 0)-1,MATCH(EOMONTH(GJ$15,1), ARGUS!$B$4:$LG$4, 0)-1,1,1)/1000, 0)</f>
        <v>174.94499999999999</v>
      </c>
      <c r="GK57" s="26">
        <f ca="1">IFERROR(OFFSET(ARGUS!$A$3, MATCH($A57, ARGUS!$A$3:$A$176, 0)-1,MATCH(EOMONTH(GK$15,1), ARGUS!$B$4:$LG$4, 0)-1,1,1)/1000, 0)</f>
        <v>174.94499999999999</v>
      </c>
      <c r="GL57" s="26">
        <f ca="1">IFERROR(OFFSET(ARGUS!$A$3, MATCH($A57, ARGUS!$A$3:$A$176, 0)-1,MATCH(EOMONTH(GL$15,1), ARGUS!$B$4:$LG$4, 0)-1,1,1)/1000, 0)</f>
        <v>174.94499999999999</v>
      </c>
      <c r="GM57" s="26">
        <f ca="1">IFERROR(OFFSET(ARGUS!$A$3, MATCH($A57, ARGUS!$A$3:$A$176, 0)-1,MATCH(EOMONTH(GM$15,1), ARGUS!$B$4:$LG$4, 0)-1,1,1)/1000, 0)</f>
        <v>174.94499999999999</v>
      </c>
      <c r="GN57" s="26">
        <f ca="1">IFERROR(OFFSET(ARGUS!$A$3, MATCH($A57, ARGUS!$A$3:$A$176, 0)-1,MATCH(EOMONTH(GN$15,1), ARGUS!$B$4:$LG$4, 0)-1,1,1)/1000, 0)</f>
        <v>163.44</v>
      </c>
      <c r="GO57" s="26">
        <f ca="1">IFERROR(OFFSET(ARGUS!$A$3, MATCH($A57, ARGUS!$A$3:$A$176, 0)-1,MATCH(EOMONTH(GO$15,1), ARGUS!$B$4:$LG$4, 0)-1,1,1)/1000, 0)</f>
        <v>161.67400000000001</v>
      </c>
      <c r="GP57" s="26">
        <f ca="1">IFERROR(OFFSET(ARGUS!$A$3, MATCH($A57, ARGUS!$A$3:$A$176, 0)-1,MATCH(EOMONTH(GP$15,1), ARGUS!$B$4:$LG$4, 0)-1,1,1)/1000, 0)</f>
        <v>178.87299999999999</v>
      </c>
      <c r="GQ57" s="26">
        <f ca="1">IFERROR(OFFSET(ARGUS!$A$3, MATCH($A57, ARGUS!$A$3:$A$176, 0)-1,MATCH(EOMONTH(GQ$15,1), ARGUS!$B$4:$LG$4, 0)-1,1,1)/1000, 0)</f>
        <v>178.87299999999999</v>
      </c>
      <c r="GR57" s="26">
        <f ca="1">IFERROR(OFFSET(ARGUS!$A$3, MATCH($A57, ARGUS!$A$3:$A$176, 0)-1,MATCH(EOMONTH(GR$15,1), ARGUS!$B$4:$LG$4, 0)-1,1,1)/1000, 0)</f>
        <v>178.87299999999999</v>
      </c>
      <c r="GS57" s="26">
        <f ca="1">IFERROR(OFFSET(ARGUS!$A$3, MATCH($A57, ARGUS!$A$3:$A$176, 0)-1,MATCH(EOMONTH(GS$15,1), ARGUS!$B$4:$LG$4, 0)-1,1,1)/1000, 0)</f>
        <v>178.87299999999999</v>
      </c>
      <c r="GT57" s="26">
        <f ca="1">IFERROR(OFFSET(ARGUS!$A$3, MATCH($A57, ARGUS!$A$3:$A$176, 0)-1,MATCH(EOMONTH(GT$15,1), ARGUS!$B$4:$LG$4, 0)-1,1,1)/1000, 0)</f>
        <v>178.87299999999999</v>
      </c>
      <c r="GU57" s="26"/>
      <c r="GV57" s="26"/>
      <c r="GW57" s="26"/>
      <c r="GX57" s="26"/>
      <c r="GY57" s="26"/>
      <c r="GZ57" s="26"/>
      <c r="HA57" s="26"/>
      <c r="HB57" s="26"/>
      <c r="HC57" s="26"/>
      <c r="HD57" s="26"/>
      <c r="HE57" s="26"/>
      <c r="HF57" s="1" t="s">
        <v>212</v>
      </c>
      <c r="HG57" s="139" t="e">
        <f t="shared" si="519"/>
        <v>#REF!</v>
      </c>
      <c r="HH57" s="9" t="str">
        <f t="shared" si="649"/>
        <v>Total Expense Recoveries</v>
      </c>
      <c r="HI57" s="26"/>
      <c r="HJ57" s="26"/>
      <c r="HK57" s="26"/>
      <c r="HL57" s="132">
        <f t="shared" ref="HL57:HL62" ca="1" si="651">SUM(HN57:HV57)</f>
        <v>8751.8329600000015</v>
      </c>
      <c r="HM57" s="26"/>
      <c r="HN57" s="133">
        <f t="shared" si="650"/>
        <v>0</v>
      </c>
      <c r="HO57" s="26">
        <f t="shared" si="650"/>
        <v>1011.3473599999999</v>
      </c>
      <c r="HP57" s="26">
        <f t="shared" si="650"/>
        <v>1024.1611700000001</v>
      </c>
      <c r="HQ57" s="26">
        <f t="shared" si="650"/>
        <v>1049.43544</v>
      </c>
      <c r="HR57" s="26">
        <f t="shared" si="650"/>
        <v>1167.1594300000002</v>
      </c>
      <c r="HS57" s="26">
        <f t="shared" si="650"/>
        <v>1004.1078200000002</v>
      </c>
      <c r="HT57" s="26">
        <f t="shared" si="650"/>
        <v>1003.16898</v>
      </c>
      <c r="HU57" s="26">
        <f t="shared" ca="1" si="650"/>
        <v>1206.5017600000001</v>
      </c>
      <c r="HV57" s="26">
        <f t="shared" ca="1" si="650"/>
        <v>1285.9510000000002</v>
      </c>
      <c r="HW57"/>
    </row>
    <row r="58" spans="1:231" ht="15">
      <c r="A58" s="441">
        <v>6</v>
      </c>
      <c r="B58" s="9" t="s">
        <v>1156</v>
      </c>
      <c r="I58" s="132">
        <f ca="1">SUMIF($K$13:$GT$13,"&lt;="&amp;Assumptions!$L$17,'Monthly Cash Flow'!K58:GT58)</f>
        <v>1462.3985999999993</v>
      </c>
      <c r="J58" s="26"/>
      <c r="K58" s="133"/>
      <c r="L58" s="953">
        <f>Historicals!D7</f>
        <v>0</v>
      </c>
      <c r="M58" s="954">
        <f>Historicals!E7</f>
        <v>8.6</v>
      </c>
      <c r="N58" s="954">
        <f>Historicals!F7</f>
        <v>4.3</v>
      </c>
      <c r="O58" s="954">
        <f>Historicals!G7</f>
        <v>4.3</v>
      </c>
      <c r="P58" s="954">
        <f>Historicals!H7</f>
        <v>4.3</v>
      </c>
      <c r="Q58" s="954">
        <f>Historicals!I7</f>
        <v>4.3</v>
      </c>
      <c r="R58" s="954">
        <f>Historicals!J7</f>
        <v>4.3</v>
      </c>
      <c r="S58" s="954">
        <f>Historicals!K7</f>
        <v>4.3</v>
      </c>
      <c r="T58" s="954">
        <f>Historicals!L7</f>
        <v>4.3</v>
      </c>
      <c r="U58" s="954">
        <f>Historicals!M7</f>
        <v>4.3</v>
      </c>
      <c r="V58" s="954">
        <f>Historicals!N7</f>
        <v>4.3</v>
      </c>
      <c r="W58" s="954">
        <f>Historicals!O7</f>
        <v>4.3</v>
      </c>
      <c r="X58" s="954">
        <f>Historicals!P7</f>
        <v>7</v>
      </c>
      <c r="Y58" s="954">
        <f>Historicals!Q7</f>
        <v>7</v>
      </c>
      <c r="Z58" s="954">
        <f>Historicals!R7</f>
        <v>7</v>
      </c>
      <c r="AA58" s="954">
        <f>Historicals!S7</f>
        <v>7</v>
      </c>
      <c r="AB58" s="954">
        <f>Historicals!T7</f>
        <v>7</v>
      </c>
      <c r="AC58" s="954">
        <f>Historicals!U7</f>
        <v>7</v>
      </c>
      <c r="AD58" s="954">
        <f>Historicals!V7</f>
        <v>7</v>
      </c>
      <c r="AE58" s="954">
        <f>Historicals!W7</f>
        <v>7</v>
      </c>
      <c r="AF58" s="954">
        <f>Historicals!X7</f>
        <v>7</v>
      </c>
      <c r="AG58" s="954">
        <f>Historicals!Y7</f>
        <v>7</v>
      </c>
      <c r="AH58" s="954">
        <f>Historicals!Z7</f>
        <v>7</v>
      </c>
      <c r="AI58" s="954">
        <f>Historicals!AA7</f>
        <v>7</v>
      </c>
      <c r="AJ58" s="954">
        <f>Historicals!AB7</f>
        <v>7</v>
      </c>
      <c r="AK58" s="954">
        <f>Historicals!AC7</f>
        <v>7</v>
      </c>
      <c r="AL58" s="954">
        <f>Historicals!AD7</f>
        <v>7</v>
      </c>
      <c r="AM58" s="954">
        <f>Historicals!AE7</f>
        <v>7</v>
      </c>
      <c r="AN58" s="954">
        <f>Historicals!AF7</f>
        <v>7</v>
      </c>
      <c r="AO58" s="954">
        <f>Historicals!AG7</f>
        <v>7</v>
      </c>
      <c r="AP58" s="954">
        <f>Historicals!AH7</f>
        <v>7</v>
      </c>
      <c r="AQ58" s="954">
        <f>Historicals!AI7</f>
        <v>7</v>
      </c>
      <c r="AR58" s="954">
        <f>Historicals!AJ7</f>
        <v>7</v>
      </c>
      <c r="AS58" s="954">
        <f>Historicals!AK7</f>
        <v>7</v>
      </c>
      <c r="AT58" s="954">
        <f>Historicals!AL7</f>
        <v>7</v>
      </c>
      <c r="AU58" s="954">
        <f>Historicals!AM7</f>
        <v>0</v>
      </c>
      <c r="AV58" s="954">
        <f>Historicals!AN7</f>
        <v>14</v>
      </c>
      <c r="AW58" s="954">
        <f>Historicals!AO7</f>
        <v>7</v>
      </c>
      <c r="AX58" s="954">
        <f>Historicals!AP7</f>
        <v>7</v>
      </c>
      <c r="AY58" s="954">
        <f>Historicals!AQ7</f>
        <v>3.0644999999999998</v>
      </c>
      <c r="AZ58" s="954">
        <f>Historicals!AR7</f>
        <v>13</v>
      </c>
      <c r="BA58" s="954">
        <f>Historicals!AS7</f>
        <v>13</v>
      </c>
      <c r="BB58" s="954">
        <f>Historicals!AT7</f>
        <v>13</v>
      </c>
      <c r="BC58" s="954">
        <f>Historicals!AU7</f>
        <v>4.4648000000000003</v>
      </c>
      <c r="BD58" s="954">
        <f>Historicals!AV7</f>
        <v>2.2324000000000002</v>
      </c>
      <c r="BE58" s="954">
        <f>Historicals!AW7</f>
        <v>2.2324000000000002</v>
      </c>
      <c r="BF58" s="954">
        <f>Historicals!AX7</f>
        <v>-2.2324000000000002</v>
      </c>
      <c r="BG58" s="954">
        <f>Historicals!AY7</f>
        <v>0</v>
      </c>
      <c r="BH58" s="954">
        <f>Historicals!AZ7</f>
        <v>0</v>
      </c>
      <c r="BI58" s="954">
        <f>Historicals!BA7</f>
        <v>14.62452</v>
      </c>
      <c r="BJ58" s="954">
        <f>Historicals!BB7</f>
        <v>18.473580000000002</v>
      </c>
      <c r="BK58" s="954">
        <f>Historicals!BC7</f>
        <v>12.212159999999999</v>
      </c>
      <c r="BL58" s="954">
        <f>Historicals!BD7</f>
        <v>0.20646</v>
      </c>
      <c r="BM58" s="954">
        <f>Historicals!BE7</f>
        <v>8.22241</v>
      </c>
      <c r="BN58" s="930">
        <f>Historicals!BF7</f>
        <v>0</v>
      </c>
      <c r="BO58" s="930">
        <f>Historicals!BG7</f>
        <v>0</v>
      </c>
      <c r="BP58" s="930">
        <f>Historicals!BH7</f>
        <v>9.6771700000000003</v>
      </c>
      <c r="BQ58" s="930">
        <f>Historicals!BI7</f>
        <v>11.276350000000001</v>
      </c>
      <c r="BR58" s="930">
        <f>Historicals!BJ7</f>
        <v>0</v>
      </c>
      <c r="BS58" s="930">
        <f>Historicals!BK7</f>
        <v>24.528299999999998</v>
      </c>
      <c r="BT58" s="930">
        <f>Historicals!BL7</f>
        <v>25.933199999999999</v>
      </c>
      <c r="BU58" s="930">
        <f>Historicals!BM7</f>
        <v>20.701499999999999</v>
      </c>
      <c r="BV58" s="930">
        <f>Historicals!BN7</f>
        <v>16.834049999999998</v>
      </c>
      <c r="BW58" s="930">
        <f>Historicals!BO7</f>
        <v>16.834049999999998</v>
      </c>
      <c r="BX58" s="930">
        <f>Historicals!BP7</f>
        <v>24.31917</v>
      </c>
      <c r="BY58" s="930">
        <f>Historicals!BQ7</f>
        <v>-11.72946</v>
      </c>
      <c r="BZ58" s="930">
        <f>Historicals!BR7</f>
        <v>18.5</v>
      </c>
      <c r="CA58" s="930">
        <f>Historicals!BS7</f>
        <v>18.5</v>
      </c>
      <c r="CB58" s="930">
        <f>Historicals!BT7</f>
        <v>16.225999999999999</v>
      </c>
      <c r="CC58" s="930">
        <f>Historicals!BU7</f>
        <v>26.995819999999998</v>
      </c>
      <c r="CD58" s="930">
        <f>Historicals!BV7</f>
        <v>30.25864</v>
      </c>
      <c r="CE58" s="930">
        <f>Historicals!BW7</f>
        <v>22</v>
      </c>
      <c r="CF58" s="930">
        <f>Historicals!BX7</f>
        <v>39.273949999999999</v>
      </c>
      <c r="CG58" s="930">
        <f>Historicals!BY7</f>
        <v>27.579039999999999</v>
      </c>
      <c r="CH58" s="930">
        <f>Historicals!BZ7</f>
        <v>23.14199</v>
      </c>
      <c r="CI58" s="26">
        <f ca="1">IFERROR(OFFSET(ARGUS!$A$3, MATCH($A58, ARGUS!$A$3:$A$176, 0)-1,MATCH(EOMONTH(CI$15,1), ARGUS!$B$4:$LG$4, 0)-1,1,1)/1000, 0)</f>
        <v>27</v>
      </c>
      <c r="CJ58" s="26">
        <f ca="1">IFERROR(OFFSET(ARGUS!$A$3, MATCH($A58, ARGUS!$A$3:$A$176, 0)-1,MATCH(EOMONTH(CJ$15,1), ARGUS!$B$4:$LG$4, 0)-1,1,1)/1000, 0)</f>
        <v>27</v>
      </c>
      <c r="CK58" s="26">
        <f ca="1">IFERROR(OFFSET(ARGUS!$A$3, MATCH($A58, ARGUS!$A$3:$A$176, 0)-1,MATCH(EOMONTH(CK$15,1), ARGUS!$B$4:$LG$4, 0)-1,1,1)/1000, 0)</f>
        <v>27</v>
      </c>
      <c r="CL58" s="26">
        <f ca="1">IFERROR(OFFSET(ARGUS!$A$3, MATCH($A58, ARGUS!$A$3:$A$176, 0)-1,MATCH(EOMONTH(CL$15,1), ARGUS!$B$4:$LG$4, 0)-1,1,1)/1000, 0)</f>
        <v>27.81</v>
      </c>
      <c r="CM58" s="26">
        <f ca="1">IFERROR(OFFSET(ARGUS!$A$3, MATCH($A58, ARGUS!$A$3:$A$176, 0)-1,MATCH(EOMONTH(CM$15,1), ARGUS!$B$4:$LG$4, 0)-1,1,1)/1000, 0)</f>
        <v>27.81</v>
      </c>
      <c r="CN58" s="26">
        <f ca="1">IFERROR(OFFSET(ARGUS!$A$3, MATCH($A58, ARGUS!$A$3:$A$176, 0)-1,MATCH(EOMONTH(CN$15,1), ARGUS!$B$4:$LG$4, 0)-1,1,1)/1000, 0)</f>
        <v>27.81</v>
      </c>
      <c r="CO58" s="26">
        <f ca="1">IFERROR(OFFSET(ARGUS!$A$3, MATCH($A58, ARGUS!$A$3:$A$176, 0)-1,MATCH(EOMONTH(CO$15,1), ARGUS!$B$4:$LG$4, 0)-1,1,1)/1000, 0)</f>
        <v>27.81</v>
      </c>
      <c r="CP58" s="26">
        <f ca="1">IFERROR(OFFSET(ARGUS!$A$3, MATCH($A58, ARGUS!$A$3:$A$176, 0)-1,MATCH(EOMONTH(CP$15,1), ARGUS!$B$4:$LG$4, 0)-1,1,1)/1000, 0)</f>
        <v>27.81</v>
      </c>
      <c r="CQ58" s="26">
        <f ca="1">IFERROR(OFFSET(ARGUS!$A$3, MATCH($A58, ARGUS!$A$3:$A$176, 0)-1,MATCH(EOMONTH(CQ$15,1), ARGUS!$B$4:$LG$4, 0)-1,1,1)/1000, 0)</f>
        <v>27.81</v>
      </c>
      <c r="CR58" s="26">
        <f ca="1">IFERROR(OFFSET(ARGUS!$A$3, MATCH($A58, ARGUS!$A$3:$A$176, 0)-1,MATCH(EOMONTH(CR$15,1), ARGUS!$B$4:$LG$4, 0)-1,1,1)/1000, 0)</f>
        <v>27.81</v>
      </c>
      <c r="CS58" s="26">
        <f ca="1">IFERROR(OFFSET(ARGUS!$A$3, MATCH($A58, ARGUS!$A$3:$A$176, 0)-1,MATCH(EOMONTH(CS$15,1), ARGUS!$B$4:$LG$4, 0)-1,1,1)/1000, 0)</f>
        <v>27.81</v>
      </c>
      <c r="CT58" s="26">
        <f ca="1">IFERROR(OFFSET(ARGUS!$A$3, MATCH($A58, ARGUS!$A$3:$A$176, 0)-1,MATCH(EOMONTH(CT$15,1), ARGUS!$B$4:$LG$4, 0)-1,1,1)/1000, 0)</f>
        <v>27.81</v>
      </c>
      <c r="CU58" s="26">
        <f ca="1">IFERROR(OFFSET(ARGUS!$A$3, MATCH($A58, ARGUS!$A$3:$A$176, 0)-1,MATCH(EOMONTH(CU$15,1), ARGUS!$B$4:$LG$4, 0)-1,1,1)/1000, 0)</f>
        <v>27.81</v>
      </c>
      <c r="CV58" s="26">
        <f ca="1">IFERROR(OFFSET(ARGUS!$A$3, MATCH($A58, ARGUS!$A$3:$A$176, 0)-1,MATCH(EOMONTH(CV$15,1), ARGUS!$B$4:$LG$4, 0)-1,1,1)/1000, 0)</f>
        <v>27.81</v>
      </c>
      <c r="CW58" s="26">
        <f ca="1">IFERROR(OFFSET(ARGUS!$A$3, MATCH($A58, ARGUS!$A$3:$A$176, 0)-1,MATCH(EOMONTH(CW$15,1), ARGUS!$B$4:$LG$4, 0)-1,1,1)/1000, 0)</f>
        <v>27.81</v>
      </c>
      <c r="CX58" s="26">
        <f ca="1">IFERROR(OFFSET(ARGUS!$A$3, MATCH($A58, ARGUS!$A$3:$A$176, 0)-1,MATCH(EOMONTH(CX$15,1), ARGUS!$B$4:$LG$4, 0)-1,1,1)/1000, 0)</f>
        <v>28.643999999999998</v>
      </c>
      <c r="CY58" s="26">
        <f ca="1">IFERROR(OFFSET(ARGUS!$A$3, MATCH($A58, ARGUS!$A$3:$A$176, 0)-1,MATCH(EOMONTH(CY$15,1), ARGUS!$B$4:$LG$4, 0)-1,1,1)/1000, 0)</f>
        <v>28.643999999999998</v>
      </c>
      <c r="CZ58" s="26">
        <f ca="1">IFERROR(OFFSET(ARGUS!$A$3, MATCH($A58, ARGUS!$A$3:$A$176, 0)-1,MATCH(EOMONTH(CZ$15,1), ARGUS!$B$4:$LG$4, 0)-1,1,1)/1000, 0)</f>
        <v>28.643999999999998</v>
      </c>
      <c r="DA58" s="26">
        <f ca="1">IFERROR(OFFSET(ARGUS!$A$3, MATCH($A58, ARGUS!$A$3:$A$176, 0)-1,MATCH(EOMONTH(DA$15,1), ARGUS!$B$4:$LG$4, 0)-1,1,1)/1000, 0)</f>
        <v>28.643999999999998</v>
      </c>
      <c r="DB58" s="26">
        <f ca="1">IFERROR(OFFSET(ARGUS!$A$3, MATCH($A58, ARGUS!$A$3:$A$176, 0)-1,MATCH(EOMONTH(DB$15,1), ARGUS!$B$4:$LG$4, 0)-1,1,1)/1000, 0)</f>
        <v>28.643999999999998</v>
      </c>
      <c r="DC58" s="26">
        <f ca="1">IFERROR(OFFSET(ARGUS!$A$3, MATCH($A58, ARGUS!$A$3:$A$176, 0)-1,MATCH(EOMONTH(DC$15,1), ARGUS!$B$4:$LG$4, 0)-1,1,1)/1000, 0)</f>
        <v>28.643999999999998</v>
      </c>
      <c r="DD58" s="26">
        <f ca="1">IFERROR(OFFSET(ARGUS!$A$3, MATCH($A58, ARGUS!$A$3:$A$176, 0)-1,MATCH(EOMONTH(DD$15,1), ARGUS!$B$4:$LG$4, 0)-1,1,1)/1000, 0)</f>
        <v>28.643999999999998</v>
      </c>
      <c r="DE58" s="26">
        <f ca="1">IFERROR(OFFSET(ARGUS!$A$3, MATCH($A58, ARGUS!$A$3:$A$176, 0)-1,MATCH(EOMONTH(DE$15,1), ARGUS!$B$4:$LG$4, 0)-1,1,1)/1000, 0)</f>
        <v>28.643999999999998</v>
      </c>
      <c r="DF58" s="26">
        <f ca="1">IFERROR(OFFSET(ARGUS!$A$3, MATCH($A58, ARGUS!$A$3:$A$176, 0)-1,MATCH(EOMONTH(DF$15,1), ARGUS!$B$4:$LG$4, 0)-1,1,1)/1000, 0)</f>
        <v>28.643999999999998</v>
      </c>
      <c r="DG58" s="26">
        <f ca="1">IFERROR(OFFSET(ARGUS!$A$3, MATCH($A58, ARGUS!$A$3:$A$176, 0)-1,MATCH(EOMONTH(DG$15,1), ARGUS!$B$4:$LG$4, 0)-1,1,1)/1000, 0)</f>
        <v>28.643999999999998</v>
      </c>
      <c r="DH58" s="26">
        <f ca="1">IFERROR(OFFSET(ARGUS!$A$3, MATCH($A58, ARGUS!$A$3:$A$176, 0)-1,MATCH(EOMONTH(DH$15,1), ARGUS!$B$4:$LG$4, 0)-1,1,1)/1000, 0)</f>
        <v>28.643999999999998</v>
      </c>
      <c r="DI58" s="26">
        <f ca="1">IFERROR(OFFSET(ARGUS!$A$3, MATCH($A58, ARGUS!$A$3:$A$176, 0)-1,MATCH(EOMONTH(DI$15,1), ARGUS!$B$4:$LG$4, 0)-1,1,1)/1000, 0)</f>
        <v>28.643999999999998</v>
      </c>
      <c r="DJ58" s="26">
        <f ca="1">IFERROR(OFFSET(ARGUS!$A$3, MATCH($A58, ARGUS!$A$3:$A$176, 0)-1,MATCH(EOMONTH(DJ$15,1), ARGUS!$B$4:$LG$4, 0)-1,1,1)/1000, 0)</f>
        <v>29.504000000000001</v>
      </c>
      <c r="DK58" s="26">
        <f ca="1">IFERROR(OFFSET(ARGUS!$A$3, MATCH($A58, ARGUS!$A$3:$A$176, 0)-1,MATCH(EOMONTH(DK$15,1), ARGUS!$B$4:$LG$4, 0)-1,1,1)/1000, 0)</f>
        <v>29.504000000000001</v>
      </c>
      <c r="DL58" s="26">
        <f ca="1">IFERROR(OFFSET(ARGUS!$A$3, MATCH($A58, ARGUS!$A$3:$A$176, 0)-1,MATCH(EOMONTH(DL$15,1), ARGUS!$B$4:$LG$4, 0)-1,1,1)/1000, 0)</f>
        <v>29.504000000000001</v>
      </c>
      <c r="DM58" s="26">
        <f ca="1">IFERROR(OFFSET(ARGUS!$A$3, MATCH($A58, ARGUS!$A$3:$A$176, 0)-1,MATCH(EOMONTH(DM$15,1), ARGUS!$B$4:$LG$4, 0)-1,1,1)/1000, 0)</f>
        <v>29.504000000000001</v>
      </c>
      <c r="DN58" s="26">
        <f ca="1">IFERROR(OFFSET(ARGUS!$A$3, MATCH($A58, ARGUS!$A$3:$A$176, 0)-1,MATCH(EOMONTH(DN$15,1), ARGUS!$B$4:$LG$4, 0)-1,1,1)/1000, 0)</f>
        <v>29.504000000000001</v>
      </c>
      <c r="DO58" s="26">
        <f ca="1">IFERROR(OFFSET(ARGUS!$A$3, MATCH($A58, ARGUS!$A$3:$A$176, 0)-1,MATCH(EOMONTH(DO$15,1), ARGUS!$B$4:$LG$4, 0)-1,1,1)/1000, 0)</f>
        <v>29.504000000000001</v>
      </c>
      <c r="DP58" s="26">
        <f ca="1">IFERROR(OFFSET(ARGUS!$A$3, MATCH($A58, ARGUS!$A$3:$A$176, 0)-1,MATCH(EOMONTH(DP$15,1), ARGUS!$B$4:$LG$4, 0)-1,1,1)/1000, 0)</f>
        <v>29.504000000000001</v>
      </c>
      <c r="DQ58" s="26">
        <f ca="1">IFERROR(OFFSET(ARGUS!$A$3, MATCH($A58, ARGUS!$A$3:$A$176, 0)-1,MATCH(EOMONTH(DQ$15,1), ARGUS!$B$4:$LG$4, 0)-1,1,1)/1000, 0)</f>
        <v>29.504000000000001</v>
      </c>
      <c r="DR58" s="26">
        <f ca="1">IFERROR(OFFSET(ARGUS!$A$3, MATCH($A58, ARGUS!$A$3:$A$176, 0)-1,MATCH(EOMONTH(DR$15,1), ARGUS!$B$4:$LG$4, 0)-1,1,1)/1000, 0)</f>
        <v>29.504000000000001</v>
      </c>
      <c r="DS58" s="26">
        <f ca="1">IFERROR(OFFSET(ARGUS!$A$3, MATCH($A58, ARGUS!$A$3:$A$176, 0)-1,MATCH(EOMONTH(DS$15,1), ARGUS!$B$4:$LG$4, 0)-1,1,1)/1000, 0)</f>
        <v>29.504000000000001</v>
      </c>
      <c r="DT58" s="26">
        <f ca="1">IFERROR(OFFSET(ARGUS!$A$3, MATCH($A58, ARGUS!$A$3:$A$176, 0)-1,MATCH(EOMONTH(DT$15,1), ARGUS!$B$4:$LG$4, 0)-1,1,1)/1000, 0)</f>
        <v>29.504000000000001</v>
      </c>
      <c r="DU58" s="26">
        <f ca="1">IFERROR(OFFSET(ARGUS!$A$3, MATCH($A58, ARGUS!$A$3:$A$176, 0)-1,MATCH(EOMONTH(DU$15,1), ARGUS!$B$4:$LG$4, 0)-1,1,1)/1000, 0)</f>
        <v>29.504000000000001</v>
      </c>
      <c r="DV58" s="26">
        <f ca="1">IFERROR(OFFSET(ARGUS!$A$3, MATCH($A58, ARGUS!$A$3:$A$176, 0)-1,MATCH(EOMONTH(DV$15,1), ARGUS!$B$4:$LG$4, 0)-1,1,1)/1000, 0)</f>
        <v>30.388999999999999</v>
      </c>
      <c r="DW58" s="26">
        <f ca="1">IFERROR(OFFSET(ARGUS!$A$3, MATCH($A58, ARGUS!$A$3:$A$176, 0)-1,MATCH(EOMONTH(DW$15,1), ARGUS!$B$4:$LG$4, 0)-1,1,1)/1000, 0)</f>
        <v>30.388999999999999</v>
      </c>
      <c r="DX58" s="26">
        <f ca="1">IFERROR(OFFSET(ARGUS!$A$3, MATCH($A58, ARGUS!$A$3:$A$176, 0)-1,MATCH(EOMONTH(DX$15,1), ARGUS!$B$4:$LG$4, 0)-1,1,1)/1000, 0)</f>
        <v>30.388999999999999</v>
      </c>
      <c r="DY58" s="26">
        <f ca="1">IFERROR(OFFSET(ARGUS!$A$3, MATCH($A58, ARGUS!$A$3:$A$176, 0)-1,MATCH(EOMONTH(DY$15,1), ARGUS!$B$4:$LG$4, 0)-1,1,1)/1000, 0)</f>
        <v>30.388999999999999</v>
      </c>
      <c r="DZ58" s="26">
        <f ca="1">IFERROR(OFFSET(ARGUS!$A$3, MATCH($A58, ARGUS!$A$3:$A$176, 0)-1,MATCH(EOMONTH(DZ$15,1), ARGUS!$B$4:$LG$4, 0)-1,1,1)/1000, 0)</f>
        <v>30.388999999999999</v>
      </c>
      <c r="EA58" s="26">
        <f ca="1">IFERROR(OFFSET(ARGUS!$A$3, MATCH($A58, ARGUS!$A$3:$A$176, 0)-1,MATCH(EOMONTH(EA$15,1), ARGUS!$B$4:$LG$4, 0)-1,1,1)/1000, 0)</f>
        <v>30.388999999999999</v>
      </c>
      <c r="EB58" s="26">
        <f ca="1">IFERROR(OFFSET(ARGUS!$A$3, MATCH($A58, ARGUS!$A$3:$A$176, 0)-1,MATCH(EOMONTH(EB$15,1), ARGUS!$B$4:$LG$4, 0)-1,1,1)/1000, 0)</f>
        <v>30.388999999999999</v>
      </c>
      <c r="EC58" s="26">
        <f ca="1">IFERROR(OFFSET(ARGUS!$A$3, MATCH($A58, ARGUS!$A$3:$A$176, 0)-1,MATCH(EOMONTH(EC$15,1), ARGUS!$B$4:$LG$4, 0)-1,1,1)/1000, 0)</f>
        <v>30.388999999999999</v>
      </c>
      <c r="ED58" s="26">
        <f ca="1">IFERROR(OFFSET(ARGUS!$A$3, MATCH($A58, ARGUS!$A$3:$A$176, 0)-1,MATCH(EOMONTH(ED$15,1), ARGUS!$B$4:$LG$4, 0)-1,1,1)/1000, 0)</f>
        <v>30.388999999999999</v>
      </c>
      <c r="EE58" s="26">
        <f ca="1">IFERROR(OFFSET(ARGUS!$A$3, MATCH($A58, ARGUS!$A$3:$A$176, 0)-1,MATCH(EOMONTH(EE$15,1), ARGUS!$B$4:$LG$4, 0)-1,1,1)/1000, 0)</f>
        <v>30.388999999999999</v>
      </c>
      <c r="EF58" s="26">
        <f ca="1">IFERROR(OFFSET(ARGUS!$A$3, MATCH($A58, ARGUS!$A$3:$A$176, 0)-1,MATCH(EOMONTH(EF$15,1), ARGUS!$B$4:$LG$4, 0)-1,1,1)/1000, 0)</f>
        <v>30.388999999999999</v>
      </c>
      <c r="EG58" s="26">
        <f ca="1">IFERROR(OFFSET(ARGUS!$A$3, MATCH($A58, ARGUS!$A$3:$A$176, 0)-1,MATCH(EOMONTH(EG$15,1), ARGUS!$B$4:$LG$4, 0)-1,1,1)/1000, 0)</f>
        <v>30.388999999999999</v>
      </c>
      <c r="EH58" s="26">
        <f ca="1">IFERROR(OFFSET(ARGUS!$A$3, MATCH($A58, ARGUS!$A$3:$A$176, 0)-1,MATCH(EOMONTH(EH$15,1), ARGUS!$B$4:$LG$4, 0)-1,1,1)/1000, 0)</f>
        <v>31.3</v>
      </c>
      <c r="EI58" s="26">
        <f ca="1">IFERROR(OFFSET(ARGUS!$A$3, MATCH($A58, ARGUS!$A$3:$A$176, 0)-1,MATCH(EOMONTH(EI$15,1), ARGUS!$B$4:$LG$4, 0)-1,1,1)/1000, 0)</f>
        <v>31.3</v>
      </c>
      <c r="EJ58" s="26">
        <f ca="1">IFERROR(OFFSET(ARGUS!$A$3, MATCH($A58, ARGUS!$A$3:$A$176, 0)-1,MATCH(EOMONTH(EJ$15,1), ARGUS!$B$4:$LG$4, 0)-1,1,1)/1000, 0)</f>
        <v>31.3</v>
      </c>
      <c r="EK58" s="26">
        <f ca="1">IFERROR(OFFSET(ARGUS!$A$3, MATCH($A58, ARGUS!$A$3:$A$176, 0)-1,MATCH(EOMONTH(EK$15,1), ARGUS!$B$4:$LG$4, 0)-1,1,1)/1000, 0)</f>
        <v>31.3</v>
      </c>
      <c r="EL58" s="26">
        <f ca="1">IFERROR(OFFSET(ARGUS!$A$3, MATCH($A58, ARGUS!$A$3:$A$176, 0)-1,MATCH(EOMONTH(EL$15,1), ARGUS!$B$4:$LG$4, 0)-1,1,1)/1000, 0)</f>
        <v>31.3</v>
      </c>
      <c r="EM58" s="26">
        <f ca="1">IFERROR(OFFSET(ARGUS!$A$3, MATCH($A58, ARGUS!$A$3:$A$176, 0)-1,MATCH(EOMONTH(EM$15,1), ARGUS!$B$4:$LG$4, 0)-1,1,1)/1000, 0)</f>
        <v>31.3</v>
      </c>
      <c r="EN58" s="26">
        <f ca="1">IFERROR(OFFSET(ARGUS!$A$3, MATCH($A58, ARGUS!$A$3:$A$176, 0)-1,MATCH(EOMONTH(EN$15,1), ARGUS!$B$4:$LG$4, 0)-1,1,1)/1000, 0)</f>
        <v>31.3</v>
      </c>
      <c r="EO58" s="26">
        <f ca="1">IFERROR(OFFSET(ARGUS!$A$3, MATCH($A58, ARGUS!$A$3:$A$176, 0)-1,MATCH(EOMONTH(EO$15,1), ARGUS!$B$4:$LG$4, 0)-1,1,1)/1000, 0)</f>
        <v>31.3</v>
      </c>
      <c r="EP58" s="26">
        <f ca="1">IFERROR(OFFSET(ARGUS!$A$3, MATCH($A58, ARGUS!$A$3:$A$176, 0)-1,MATCH(EOMONTH(EP$15,1), ARGUS!$B$4:$LG$4, 0)-1,1,1)/1000, 0)</f>
        <v>31.3</v>
      </c>
      <c r="EQ58" s="26">
        <f ca="1">IFERROR(OFFSET(ARGUS!$A$3, MATCH($A58, ARGUS!$A$3:$A$176, 0)-1,MATCH(EOMONTH(EQ$15,1), ARGUS!$B$4:$LG$4, 0)-1,1,1)/1000, 0)</f>
        <v>31.3</v>
      </c>
      <c r="ER58" s="26">
        <f ca="1">IFERROR(OFFSET(ARGUS!$A$3, MATCH($A58, ARGUS!$A$3:$A$176, 0)-1,MATCH(EOMONTH(ER$15,1), ARGUS!$B$4:$LG$4, 0)-1,1,1)/1000, 0)</f>
        <v>31.3</v>
      </c>
      <c r="ES58" s="26">
        <f ca="1">IFERROR(OFFSET(ARGUS!$A$3, MATCH($A58, ARGUS!$A$3:$A$176, 0)-1,MATCH(EOMONTH(ES$15,1), ARGUS!$B$4:$LG$4, 0)-1,1,1)/1000, 0)</f>
        <v>31.3</v>
      </c>
      <c r="ET58" s="26">
        <f ca="1">IFERROR(OFFSET(ARGUS!$A$3, MATCH($A58, ARGUS!$A$3:$A$176, 0)-1,MATCH(EOMONTH(ET$15,1), ARGUS!$B$4:$LG$4, 0)-1,1,1)/1000, 0)</f>
        <v>32.238999999999997</v>
      </c>
      <c r="EU58" s="26">
        <f ca="1">IFERROR(OFFSET(ARGUS!$A$3, MATCH($A58, ARGUS!$A$3:$A$176, 0)-1,MATCH(EOMONTH(EU$15,1), ARGUS!$B$4:$LG$4, 0)-1,1,1)/1000, 0)</f>
        <v>32.238999999999997</v>
      </c>
      <c r="EV58" s="26">
        <f ca="1">IFERROR(OFFSET(ARGUS!$A$3, MATCH($A58, ARGUS!$A$3:$A$176, 0)-1,MATCH(EOMONTH(EV$15,1), ARGUS!$B$4:$LG$4, 0)-1,1,1)/1000, 0)</f>
        <v>32.238999999999997</v>
      </c>
      <c r="EW58" s="26">
        <f ca="1">IFERROR(OFFSET(ARGUS!$A$3, MATCH($A58, ARGUS!$A$3:$A$176, 0)-1,MATCH(EOMONTH(EW$15,1), ARGUS!$B$4:$LG$4, 0)-1,1,1)/1000, 0)</f>
        <v>32.238999999999997</v>
      </c>
      <c r="EX58" s="26">
        <f ca="1">IFERROR(OFFSET(ARGUS!$A$3, MATCH($A58, ARGUS!$A$3:$A$176, 0)-1,MATCH(EOMONTH(EX$15,1), ARGUS!$B$4:$LG$4, 0)-1,1,1)/1000, 0)</f>
        <v>32.238999999999997</v>
      </c>
      <c r="EY58" s="26">
        <f ca="1">IFERROR(OFFSET(ARGUS!$A$3, MATCH($A58, ARGUS!$A$3:$A$176, 0)-1,MATCH(EOMONTH(EY$15,1), ARGUS!$B$4:$LG$4, 0)-1,1,1)/1000, 0)</f>
        <v>32.238999999999997</v>
      </c>
      <c r="EZ58" s="26">
        <f ca="1">IFERROR(OFFSET(ARGUS!$A$3, MATCH($A58, ARGUS!$A$3:$A$176, 0)-1,MATCH(EOMONTH(EZ$15,1), ARGUS!$B$4:$LG$4, 0)-1,1,1)/1000, 0)</f>
        <v>32.238999999999997</v>
      </c>
      <c r="FA58" s="26">
        <f ca="1">IFERROR(OFFSET(ARGUS!$A$3, MATCH($A58, ARGUS!$A$3:$A$176, 0)-1,MATCH(EOMONTH(FA$15,1), ARGUS!$B$4:$LG$4, 0)-1,1,1)/1000, 0)</f>
        <v>32.238999999999997</v>
      </c>
      <c r="FB58" s="26">
        <f ca="1">IFERROR(OFFSET(ARGUS!$A$3, MATCH($A58, ARGUS!$A$3:$A$176, 0)-1,MATCH(EOMONTH(FB$15,1), ARGUS!$B$4:$LG$4, 0)-1,1,1)/1000, 0)</f>
        <v>32.238999999999997</v>
      </c>
      <c r="FC58" s="26">
        <f ca="1">IFERROR(OFFSET(ARGUS!$A$3, MATCH($A58, ARGUS!$A$3:$A$176, 0)-1,MATCH(EOMONTH(FC$15,1), ARGUS!$B$4:$LG$4, 0)-1,1,1)/1000, 0)</f>
        <v>32.238999999999997</v>
      </c>
      <c r="FD58" s="26">
        <f ca="1">IFERROR(OFFSET(ARGUS!$A$3, MATCH($A58, ARGUS!$A$3:$A$176, 0)-1,MATCH(EOMONTH(FD$15,1), ARGUS!$B$4:$LG$4, 0)-1,1,1)/1000, 0)</f>
        <v>32.238999999999997</v>
      </c>
      <c r="FE58" s="26">
        <f ca="1">IFERROR(OFFSET(ARGUS!$A$3, MATCH($A58, ARGUS!$A$3:$A$176, 0)-1,MATCH(EOMONTH(FE$15,1), ARGUS!$B$4:$LG$4, 0)-1,1,1)/1000, 0)</f>
        <v>32.238999999999997</v>
      </c>
      <c r="FF58" s="26">
        <f ca="1">IFERROR(OFFSET(ARGUS!$A$3, MATCH($A58, ARGUS!$A$3:$A$176, 0)-1,MATCH(EOMONTH(FF$15,1), ARGUS!$B$4:$LG$4, 0)-1,1,1)/1000, 0)</f>
        <v>33.207000000000001</v>
      </c>
      <c r="FG58" s="26">
        <f ca="1">IFERROR(OFFSET(ARGUS!$A$3, MATCH($A58, ARGUS!$A$3:$A$176, 0)-1,MATCH(EOMONTH(FG$15,1), ARGUS!$B$4:$LG$4, 0)-1,1,1)/1000, 0)</f>
        <v>33.207000000000001</v>
      </c>
      <c r="FH58" s="26">
        <f ca="1">IFERROR(OFFSET(ARGUS!$A$3, MATCH($A58, ARGUS!$A$3:$A$176, 0)-1,MATCH(EOMONTH(FH$15,1), ARGUS!$B$4:$LG$4, 0)-1,1,1)/1000, 0)</f>
        <v>33.207000000000001</v>
      </c>
      <c r="FI58" s="26">
        <f ca="1">IFERROR(OFFSET(ARGUS!$A$3, MATCH($A58, ARGUS!$A$3:$A$176, 0)-1,MATCH(EOMONTH(FI$15,1), ARGUS!$B$4:$LG$4, 0)-1,1,1)/1000, 0)</f>
        <v>33.207000000000001</v>
      </c>
      <c r="FJ58" s="26">
        <f ca="1">IFERROR(OFFSET(ARGUS!$A$3, MATCH($A58, ARGUS!$A$3:$A$176, 0)-1,MATCH(EOMONTH(FJ$15,1), ARGUS!$B$4:$LG$4, 0)-1,1,1)/1000, 0)</f>
        <v>33.207000000000001</v>
      </c>
      <c r="FK58" s="26">
        <f ca="1">IFERROR(OFFSET(ARGUS!$A$3, MATCH($A58, ARGUS!$A$3:$A$176, 0)-1,MATCH(EOMONTH(FK$15,1), ARGUS!$B$4:$LG$4, 0)-1,1,1)/1000, 0)</f>
        <v>33.207000000000001</v>
      </c>
      <c r="FL58" s="26">
        <f ca="1">IFERROR(OFFSET(ARGUS!$A$3, MATCH($A58, ARGUS!$A$3:$A$176, 0)-1,MATCH(EOMONTH(FL$15,1), ARGUS!$B$4:$LG$4, 0)-1,1,1)/1000, 0)</f>
        <v>33.207000000000001</v>
      </c>
      <c r="FM58" s="26">
        <f ca="1">IFERROR(OFFSET(ARGUS!$A$3, MATCH($A58, ARGUS!$A$3:$A$176, 0)-1,MATCH(EOMONTH(FM$15,1), ARGUS!$B$4:$LG$4, 0)-1,1,1)/1000, 0)</f>
        <v>33.207000000000001</v>
      </c>
      <c r="FN58" s="26">
        <f ca="1">IFERROR(OFFSET(ARGUS!$A$3, MATCH($A58, ARGUS!$A$3:$A$176, 0)-1,MATCH(EOMONTH(FN$15,1), ARGUS!$B$4:$LG$4, 0)-1,1,1)/1000, 0)</f>
        <v>33.207000000000001</v>
      </c>
      <c r="FO58" s="26">
        <f ca="1">IFERROR(OFFSET(ARGUS!$A$3, MATCH($A58, ARGUS!$A$3:$A$176, 0)-1,MATCH(EOMONTH(FO$15,1), ARGUS!$B$4:$LG$4, 0)-1,1,1)/1000, 0)</f>
        <v>33.207000000000001</v>
      </c>
      <c r="FP58" s="26">
        <f ca="1">IFERROR(OFFSET(ARGUS!$A$3, MATCH($A58, ARGUS!$A$3:$A$176, 0)-1,MATCH(EOMONTH(FP$15,1), ARGUS!$B$4:$LG$4, 0)-1,1,1)/1000, 0)</f>
        <v>33.207000000000001</v>
      </c>
      <c r="FQ58" s="26">
        <f ca="1">IFERROR(OFFSET(ARGUS!$A$3, MATCH($A58, ARGUS!$A$3:$A$176, 0)-1,MATCH(EOMONTH(FQ$15,1), ARGUS!$B$4:$LG$4, 0)-1,1,1)/1000, 0)</f>
        <v>33.207000000000001</v>
      </c>
      <c r="FR58" s="26">
        <f ca="1">IFERROR(OFFSET(ARGUS!$A$3, MATCH($A58, ARGUS!$A$3:$A$176, 0)-1,MATCH(EOMONTH(FR$15,1), ARGUS!$B$4:$LG$4, 0)-1,1,1)/1000, 0)</f>
        <v>34.203000000000003</v>
      </c>
      <c r="FS58" s="26">
        <f ca="1">IFERROR(OFFSET(ARGUS!$A$3, MATCH($A58, ARGUS!$A$3:$A$176, 0)-1,MATCH(EOMONTH(FS$15,1), ARGUS!$B$4:$LG$4, 0)-1,1,1)/1000, 0)</f>
        <v>34.203000000000003</v>
      </c>
      <c r="FT58" s="26">
        <f ca="1">IFERROR(OFFSET(ARGUS!$A$3, MATCH($A58, ARGUS!$A$3:$A$176, 0)-1,MATCH(EOMONTH(FT$15,1), ARGUS!$B$4:$LG$4, 0)-1,1,1)/1000, 0)</f>
        <v>34.203000000000003</v>
      </c>
      <c r="FU58" s="26">
        <f ca="1">IFERROR(OFFSET(ARGUS!$A$3, MATCH($A58, ARGUS!$A$3:$A$176, 0)-1,MATCH(EOMONTH(FU$15,1), ARGUS!$B$4:$LG$4, 0)-1,1,1)/1000, 0)</f>
        <v>34.203000000000003</v>
      </c>
      <c r="FV58" s="26">
        <f ca="1">IFERROR(OFFSET(ARGUS!$A$3, MATCH($A58, ARGUS!$A$3:$A$176, 0)-1,MATCH(EOMONTH(FV$15,1), ARGUS!$B$4:$LG$4, 0)-1,1,1)/1000, 0)</f>
        <v>34.203000000000003</v>
      </c>
      <c r="FW58" s="26">
        <f ca="1">IFERROR(OFFSET(ARGUS!$A$3, MATCH($A58, ARGUS!$A$3:$A$176, 0)-1,MATCH(EOMONTH(FW$15,1), ARGUS!$B$4:$LG$4, 0)-1,1,1)/1000, 0)</f>
        <v>34.203000000000003</v>
      </c>
      <c r="FX58" s="26">
        <f ca="1">IFERROR(OFFSET(ARGUS!$A$3, MATCH($A58, ARGUS!$A$3:$A$176, 0)-1,MATCH(EOMONTH(FX$15,1), ARGUS!$B$4:$LG$4, 0)-1,1,1)/1000, 0)</f>
        <v>34.203000000000003</v>
      </c>
      <c r="FY58" s="26">
        <f ca="1">IFERROR(OFFSET(ARGUS!$A$3, MATCH($A58, ARGUS!$A$3:$A$176, 0)-1,MATCH(EOMONTH(FY$15,1), ARGUS!$B$4:$LG$4, 0)-1,1,1)/1000, 0)</f>
        <v>34.203000000000003</v>
      </c>
      <c r="FZ58" s="26">
        <f ca="1">IFERROR(OFFSET(ARGUS!$A$3, MATCH($A58, ARGUS!$A$3:$A$176, 0)-1,MATCH(EOMONTH(FZ$15,1), ARGUS!$B$4:$LG$4, 0)-1,1,1)/1000, 0)</f>
        <v>34.203000000000003</v>
      </c>
      <c r="GA58" s="26">
        <f ca="1">IFERROR(OFFSET(ARGUS!$A$3, MATCH($A58, ARGUS!$A$3:$A$176, 0)-1,MATCH(EOMONTH(GA$15,1), ARGUS!$B$4:$LG$4, 0)-1,1,1)/1000, 0)</f>
        <v>34.203000000000003</v>
      </c>
      <c r="GB58" s="26">
        <f ca="1">IFERROR(OFFSET(ARGUS!$A$3, MATCH($A58, ARGUS!$A$3:$A$176, 0)-1,MATCH(EOMONTH(GB$15,1), ARGUS!$B$4:$LG$4, 0)-1,1,1)/1000, 0)</f>
        <v>34.203000000000003</v>
      </c>
      <c r="GC58" s="26">
        <f ca="1">IFERROR(OFFSET(ARGUS!$A$3, MATCH($A58, ARGUS!$A$3:$A$176, 0)-1,MATCH(EOMONTH(GC$15,1), ARGUS!$B$4:$LG$4, 0)-1,1,1)/1000, 0)</f>
        <v>34.203000000000003</v>
      </c>
      <c r="GD58" s="26">
        <f ca="1">IFERROR(OFFSET(ARGUS!$A$3, MATCH($A58, ARGUS!$A$3:$A$176, 0)-1,MATCH(EOMONTH(GD$15,1), ARGUS!$B$4:$LG$4, 0)-1,1,1)/1000, 0)</f>
        <v>35.228999999999999</v>
      </c>
      <c r="GE58" s="26">
        <f ca="1">IFERROR(OFFSET(ARGUS!$A$3, MATCH($A58, ARGUS!$A$3:$A$176, 0)-1,MATCH(EOMONTH(GE$15,1), ARGUS!$B$4:$LG$4, 0)-1,1,1)/1000, 0)</f>
        <v>35.228999999999999</v>
      </c>
      <c r="GF58" s="26">
        <f ca="1">IFERROR(OFFSET(ARGUS!$A$3, MATCH($A58, ARGUS!$A$3:$A$176, 0)-1,MATCH(EOMONTH(GF$15,1), ARGUS!$B$4:$LG$4, 0)-1,1,1)/1000, 0)</f>
        <v>35.228999999999999</v>
      </c>
      <c r="GG58" s="26">
        <f ca="1">IFERROR(OFFSET(ARGUS!$A$3, MATCH($A58, ARGUS!$A$3:$A$176, 0)-1,MATCH(EOMONTH(GG$15,1), ARGUS!$B$4:$LG$4, 0)-1,1,1)/1000, 0)</f>
        <v>35.228999999999999</v>
      </c>
      <c r="GH58" s="26">
        <f ca="1">IFERROR(OFFSET(ARGUS!$A$3, MATCH($A58, ARGUS!$A$3:$A$176, 0)-1,MATCH(EOMONTH(GH$15,1), ARGUS!$B$4:$LG$4, 0)-1,1,1)/1000, 0)</f>
        <v>35.228999999999999</v>
      </c>
      <c r="GI58" s="26">
        <f ca="1">IFERROR(OFFSET(ARGUS!$A$3, MATCH($A58, ARGUS!$A$3:$A$176, 0)-1,MATCH(EOMONTH(GI$15,1), ARGUS!$B$4:$LG$4, 0)-1,1,1)/1000, 0)</f>
        <v>35.228999999999999</v>
      </c>
      <c r="GJ58" s="26">
        <f ca="1">IFERROR(OFFSET(ARGUS!$A$3, MATCH($A58, ARGUS!$A$3:$A$176, 0)-1,MATCH(EOMONTH(GJ$15,1), ARGUS!$B$4:$LG$4, 0)-1,1,1)/1000, 0)</f>
        <v>35.228999999999999</v>
      </c>
      <c r="GK58" s="26">
        <f ca="1">IFERROR(OFFSET(ARGUS!$A$3, MATCH($A58, ARGUS!$A$3:$A$176, 0)-1,MATCH(EOMONTH(GK$15,1), ARGUS!$B$4:$LG$4, 0)-1,1,1)/1000, 0)</f>
        <v>35.228999999999999</v>
      </c>
      <c r="GL58" s="26">
        <f ca="1">IFERROR(OFFSET(ARGUS!$A$3, MATCH($A58, ARGUS!$A$3:$A$176, 0)-1,MATCH(EOMONTH(GL$15,1), ARGUS!$B$4:$LG$4, 0)-1,1,1)/1000, 0)</f>
        <v>35.228999999999999</v>
      </c>
      <c r="GM58" s="26">
        <f ca="1">IFERROR(OFFSET(ARGUS!$A$3, MATCH($A58, ARGUS!$A$3:$A$176, 0)-1,MATCH(EOMONTH(GM$15,1), ARGUS!$B$4:$LG$4, 0)-1,1,1)/1000, 0)</f>
        <v>35.228999999999999</v>
      </c>
      <c r="GN58" s="26">
        <f ca="1">IFERROR(OFFSET(ARGUS!$A$3, MATCH($A58, ARGUS!$A$3:$A$176, 0)-1,MATCH(EOMONTH(GN$15,1), ARGUS!$B$4:$LG$4, 0)-1,1,1)/1000, 0)</f>
        <v>35.228999999999999</v>
      </c>
      <c r="GO58" s="26">
        <f ca="1">IFERROR(OFFSET(ARGUS!$A$3, MATCH($A58, ARGUS!$A$3:$A$176, 0)-1,MATCH(EOMONTH(GO$15,1), ARGUS!$B$4:$LG$4, 0)-1,1,1)/1000, 0)</f>
        <v>35.228999999999999</v>
      </c>
      <c r="GP58" s="26">
        <f ca="1">IFERROR(OFFSET(ARGUS!$A$3, MATCH($A58, ARGUS!$A$3:$A$176, 0)-1,MATCH(EOMONTH(GP$15,1), ARGUS!$B$4:$LG$4, 0)-1,1,1)/1000, 0)</f>
        <v>36.286000000000001</v>
      </c>
      <c r="GQ58" s="26">
        <f ca="1">IFERROR(OFFSET(ARGUS!$A$3, MATCH($A58, ARGUS!$A$3:$A$176, 0)-1,MATCH(EOMONTH(GQ$15,1), ARGUS!$B$4:$LG$4, 0)-1,1,1)/1000, 0)</f>
        <v>36.286000000000001</v>
      </c>
      <c r="GR58" s="26">
        <f ca="1">IFERROR(OFFSET(ARGUS!$A$3, MATCH($A58, ARGUS!$A$3:$A$176, 0)-1,MATCH(EOMONTH(GR$15,1), ARGUS!$B$4:$LG$4, 0)-1,1,1)/1000, 0)</f>
        <v>36.286000000000001</v>
      </c>
      <c r="GS58" s="26">
        <f ca="1">IFERROR(OFFSET(ARGUS!$A$3, MATCH($A58, ARGUS!$A$3:$A$176, 0)-1,MATCH(EOMONTH(GS$15,1), ARGUS!$B$4:$LG$4, 0)-1,1,1)/1000, 0)</f>
        <v>36.286000000000001</v>
      </c>
      <c r="GT58" s="26">
        <f ca="1">IFERROR(OFFSET(ARGUS!$A$3, MATCH($A58, ARGUS!$A$3:$A$176, 0)-1,MATCH(EOMONTH(GT$15,1), ARGUS!$B$4:$LG$4, 0)-1,1,1)/1000, 0)</f>
        <v>36.286000000000001</v>
      </c>
      <c r="GU58" s="26"/>
      <c r="GV58" s="26"/>
      <c r="GW58" s="26"/>
      <c r="GX58" s="26"/>
      <c r="GY58" s="26"/>
      <c r="GZ58" s="26"/>
      <c r="HA58" s="26"/>
      <c r="HB58" s="26"/>
      <c r="HC58" s="26"/>
      <c r="HD58" s="26"/>
      <c r="HE58" s="26"/>
      <c r="HF58" s="1" t="s">
        <v>212</v>
      </c>
      <c r="HG58" s="139" t="e">
        <f t="shared" si="519"/>
        <v>#REF!</v>
      </c>
      <c r="HH58" s="9" t="str">
        <f t="shared" si="649"/>
        <v>Parking Revenue</v>
      </c>
      <c r="HI58" s="26"/>
      <c r="HJ58" s="26"/>
      <c r="HK58" s="26"/>
      <c r="HL58" s="132">
        <f t="shared" ca="1" si="651"/>
        <v>1290.5346</v>
      </c>
      <c r="HM58" s="26"/>
      <c r="HN58" s="133">
        <f t="shared" si="650"/>
        <v>0</v>
      </c>
      <c r="HO58" s="26">
        <f t="shared" si="650"/>
        <v>51.599999999999987</v>
      </c>
      <c r="HP58" s="26">
        <f t="shared" si="650"/>
        <v>84</v>
      </c>
      <c r="HQ58" s="26">
        <f t="shared" si="650"/>
        <v>77</v>
      </c>
      <c r="HR58" s="26">
        <f t="shared" si="650"/>
        <v>76.76169999999999</v>
      </c>
      <c r="HS58" s="26">
        <f t="shared" si="650"/>
        <v>99.220950000000016</v>
      </c>
      <c r="HT58" s="26">
        <f t="shared" si="650"/>
        <v>225.37297000000001</v>
      </c>
      <c r="HU58" s="26">
        <f t="shared" ca="1" si="650"/>
        <v>337.85498000000001</v>
      </c>
      <c r="HV58" s="26">
        <f t="shared" ca="1" si="650"/>
        <v>338.72399999999999</v>
      </c>
      <c r="HW58"/>
    </row>
    <row r="59" spans="1:231" ht="15">
      <c r="A59" s="441">
        <v>5</v>
      </c>
      <c r="B59" s="43" t="s">
        <v>396</v>
      </c>
      <c r="C59" s="84"/>
      <c r="D59" s="84"/>
      <c r="E59" s="84"/>
      <c r="F59" s="84"/>
      <c r="G59" s="84"/>
      <c r="H59" s="84"/>
      <c r="I59" s="119">
        <f ca="1">SUMIF($K$13:$GT$13,"&lt;="&amp;Assumptions!$L$17,'Monthly Cash Flow'!K59:GT59)</f>
        <v>286.68248999999958</v>
      </c>
      <c r="J59" s="120"/>
      <c r="K59" s="140"/>
      <c r="L59" s="953">
        <f>Historicals!D8</f>
        <v>0</v>
      </c>
      <c r="M59" s="954">
        <f>Historicals!E8</f>
        <v>0</v>
      </c>
      <c r="N59" s="954">
        <f>Historicals!F8</f>
        <v>3.1431000000000004</v>
      </c>
      <c r="O59" s="954">
        <f>Historicals!G8</f>
        <v>9.3210200000000007</v>
      </c>
      <c r="P59" s="954">
        <f>Historicals!H8</f>
        <v>0</v>
      </c>
      <c r="Q59" s="954">
        <f>Historicals!I8</f>
        <v>4.466969999999999</v>
      </c>
      <c r="R59" s="954">
        <f>Historicals!J8</f>
        <v>3.8033500000000009</v>
      </c>
      <c r="S59" s="954">
        <f>Historicals!K8</f>
        <v>11.886099999999999</v>
      </c>
      <c r="T59" s="954">
        <f>Historicals!L8</f>
        <v>0</v>
      </c>
      <c r="U59" s="954">
        <f>Historicals!M8</f>
        <v>1.1763700000000004</v>
      </c>
      <c r="V59" s="954">
        <f>Historicals!N8</f>
        <v>0</v>
      </c>
      <c r="W59" s="954">
        <f>Historicals!O8</f>
        <v>0.52500000000000036</v>
      </c>
      <c r="X59" s="954">
        <f>Historicals!P8</f>
        <v>0.54756000000000071</v>
      </c>
      <c r="Y59" s="954">
        <f>Historicals!Q8</f>
        <v>0</v>
      </c>
      <c r="Z59" s="954">
        <f>Historicals!R8</f>
        <v>0</v>
      </c>
      <c r="AA59" s="954">
        <f>Historicals!S8</f>
        <v>0</v>
      </c>
      <c r="AB59" s="954">
        <f>Historicals!T8</f>
        <v>3.7581399999999991</v>
      </c>
      <c r="AC59" s="954">
        <f>Historicals!U8</f>
        <v>1.1059199999999993</v>
      </c>
      <c r="AD59" s="954">
        <f>Historicals!V8</f>
        <v>3.8006600000000006</v>
      </c>
      <c r="AE59" s="954">
        <f>Historicals!W8</f>
        <v>3.8921100000000006</v>
      </c>
      <c r="AF59" s="954">
        <f>Historicals!X8</f>
        <v>3.8875599999999988</v>
      </c>
      <c r="AG59" s="954">
        <f>Historicals!Y8</f>
        <v>9.1438999999999986</v>
      </c>
      <c r="AH59" s="954">
        <f>Historicals!Z8</f>
        <v>0.17999999999999972</v>
      </c>
      <c r="AI59" s="954">
        <f>Historicals!AA8</f>
        <v>1.3599999999999994</v>
      </c>
      <c r="AJ59" s="954">
        <f>Historicals!AB8</f>
        <v>3.8875599999999988</v>
      </c>
      <c r="AK59" s="954">
        <f>Historicals!AC8</f>
        <v>5.1689500000000006</v>
      </c>
      <c r="AL59" s="954">
        <f>Historicals!AD8</f>
        <v>5.9076900000000006</v>
      </c>
      <c r="AM59" s="954">
        <f>Historicals!AE8</f>
        <v>21.436119999999999</v>
      </c>
      <c r="AN59" s="954">
        <f>Historicals!AF8</f>
        <v>2.9729299999999999</v>
      </c>
      <c r="AO59" s="954">
        <f>Historicals!AG8</f>
        <v>0.24899999999999967</v>
      </c>
      <c r="AP59" s="954">
        <f>Historicals!AH8</f>
        <v>5.5168999999999997</v>
      </c>
      <c r="AQ59" s="954">
        <f>Historicals!AI8</f>
        <v>2.8545300000000005</v>
      </c>
      <c r="AR59" s="954">
        <f>Historicals!AJ8</f>
        <v>6.899999999999995E-2</v>
      </c>
      <c r="AS59" s="954">
        <f>Historicals!AK8</f>
        <v>6.899999999999995E-2</v>
      </c>
      <c r="AT59" s="954">
        <f>Historicals!AL8</f>
        <v>6.899999999999995E-2</v>
      </c>
      <c r="AU59" s="954">
        <f>Historicals!AM8</f>
        <v>1.3103800000000001</v>
      </c>
      <c r="AV59" s="954">
        <f>Historicals!AN8</f>
        <v>6.9000000000000838E-2</v>
      </c>
      <c r="AW59" s="954">
        <f>Historicals!AO8</f>
        <v>6.899999999999995E-2</v>
      </c>
      <c r="AX59" s="954">
        <f>Historicals!AP8</f>
        <v>6.899999999999995E-2</v>
      </c>
      <c r="AY59" s="954">
        <f>Historicals!AQ8</f>
        <v>12.504459999999998</v>
      </c>
      <c r="AZ59" s="954">
        <f>Historicals!AR8</f>
        <v>5.0689999999999991</v>
      </c>
      <c r="BA59" s="954">
        <f>Historicals!AS8</f>
        <v>20.780720000000002</v>
      </c>
      <c r="BB59" s="954">
        <f>Historicals!AT8</f>
        <v>6.9000000000000006E-2</v>
      </c>
      <c r="BC59" s="954">
        <f>Historicals!AU8</f>
        <v>6.9000000000000006E-2</v>
      </c>
      <c r="BD59" s="954">
        <f>Historicals!AV8</f>
        <v>6.9000000000000006E-2</v>
      </c>
      <c r="BE59" s="954">
        <f>Historicals!AW8</f>
        <v>6.9000000000000006E-2</v>
      </c>
      <c r="BF59" s="954">
        <f>Historicals!AX8</f>
        <v>6.9000000000000006E-2</v>
      </c>
      <c r="BG59" s="954">
        <f>Historicals!AY8</f>
        <v>6.9000000000000006E-2</v>
      </c>
      <c r="BH59" s="954">
        <f>Historicals!AZ8</f>
        <v>6.9000000000000006E-2</v>
      </c>
      <c r="BI59" s="954">
        <f>Historicals!BA8</f>
        <v>6.9000000000000006E-2</v>
      </c>
      <c r="BJ59" s="954">
        <f>Historicals!BB8</f>
        <v>6.9000000000000006E-2</v>
      </c>
      <c r="BK59" s="954">
        <f>Historicals!BC8</f>
        <v>6.9000000000000006E-2</v>
      </c>
      <c r="BL59" s="954">
        <f>Historicals!BD8</f>
        <v>6.9000000000000006E-2</v>
      </c>
      <c r="BM59" s="954">
        <f>Historicals!BE8</f>
        <v>6.9000000000000006E-2</v>
      </c>
      <c r="BN59" s="930">
        <f>Historicals!BF8</f>
        <v>6.9000000000000006E-2</v>
      </c>
      <c r="BO59" s="930">
        <f>Historicals!BG8</f>
        <v>6.9000000000000006E-2</v>
      </c>
      <c r="BP59" s="930">
        <f>Historicals!BH8</f>
        <v>-0.3795</v>
      </c>
      <c r="BQ59" s="930">
        <f>Historicals!BI8</f>
        <v>6.9000000000000006E-2</v>
      </c>
      <c r="BR59" s="930">
        <f>Historicals!BJ8</f>
        <v>2.70079</v>
      </c>
      <c r="BS59" s="930">
        <f>Historicals!BK8</f>
        <v>12.450049999999999</v>
      </c>
      <c r="BT59" s="930">
        <f>Historicals!BL8</f>
        <v>4.9500500000000001</v>
      </c>
      <c r="BU59" s="930">
        <f>Historicals!BM8</f>
        <v>4.9500500000000001</v>
      </c>
      <c r="BV59" s="930">
        <f>Historicals!BN8</f>
        <v>4.9500500000000001</v>
      </c>
      <c r="BW59" s="930">
        <f>Historicals!BO8</f>
        <v>4.9500500000000001</v>
      </c>
      <c r="BX59" s="930">
        <f>Historicals!BP8</f>
        <v>4.9500500000000001</v>
      </c>
      <c r="BY59" s="930">
        <f>Historicals!BQ8</f>
        <v>2.70079</v>
      </c>
      <c r="BZ59" s="930">
        <f>Historicals!BR8</f>
        <v>2.70079</v>
      </c>
      <c r="CA59" s="930">
        <f>Historicals!BS8</f>
        <v>2.70079</v>
      </c>
      <c r="CB59" s="930">
        <f>Historicals!BT8</f>
        <v>7.7007899999999996</v>
      </c>
      <c r="CC59" s="930">
        <f>Historicals!BU8</f>
        <v>2.70079</v>
      </c>
      <c r="CD59" s="930">
        <f>Historicals!BV8</f>
        <v>2.70079</v>
      </c>
      <c r="CE59" s="930">
        <f>Historicals!BW8</f>
        <v>2.70079</v>
      </c>
      <c r="CF59" s="930">
        <f>Historicals!BX8</f>
        <v>2.70079</v>
      </c>
      <c r="CG59" s="930">
        <f>Historicals!BY8</f>
        <v>2.70079</v>
      </c>
      <c r="CH59" s="930">
        <f>Historicals!BZ8</f>
        <v>2.70079</v>
      </c>
      <c r="CI59" s="26">
        <f ca="1">IFERROR(OFFSET(ARGUS!$A$3, MATCH($A59, ARGUS!$A$3:$A$176, 0)-1,MATCH(EOMONTH(CI$15,1), ARGUS!$B$4:$LG$4, 0)-1,1,1)/1000, 0)</f>
        <v>3.1320000000000001</v>
      </c>
      <c r="CJ59" s="26">
        <f ca="1">IFERROR(OFFSET(ARGUS!$A$3, MATCH($A59, ARGUS!$A$3:$A$176, 0)-1,MATCH(EOMONTH(CJ$15,1), ARGUS!$B$4:$LG$4, 0)-1,1,1)/1000, 0)</f>
        <v>3.1320000000000001</v>
      </c>
      <c r="CK59" s="26">
        <f ca="1">IFERROR(OFFSET(ARGUS!$A$3, MATCH($A59, ARGUS!$A$3:$A$176, 0)-1,MATCH(EOMONTH(CK$15,1), ARGUS!$B$4:$LG$4, 0)-1,1,1)/1000, 0)</f>
        <v>3.1320000000000001</v>
      </c>
      <c r="CL59" s="26">
        <f ca="1">IFERROR(OFFSET(ARGUS!$A$3, MATCH($A59, ARGUS!$A$3:$A$176, 0)-1,MATCH(EOMONTH(CL$15,1), ARGUS!$B$4:$LG$4, 0)-1,1,1)/1000, 0)</f>
        <v>3.1469999999999998</v>
      </c>
      <c r="CM59" s="26">
        <f ca="1">IFERROR(OFFSET(ARGUS!$A$3, MATCH($A59, ARGUS!$A$3:$A$176, 0)-1,MATCH(EOMONTH(CM$15,1), ARGUS!$B$4:$LG$4, 0)-1,1,1)/1000, 0)</f>
        <v>3.1469999999999998</v>
      </c>
      <c r="CN59" s="26">
        <f ca="1">IFERROR(OFFSET(ARGUS!$A$3, MATCH($A59, ARGUS!$A$3:$A$176, 0)-1,MATCH(EOMONTH(CN$15,1), ARGUS!$B$4:$LG$4, 0)-1,1,1)/1000, 0)</f>
        <v>3.1469999999999998</v>
      </c>
      <c r="CO59" s="26">
        <f ca="1">IFERROR(OFFSET(ARGUS!$A$3, MATCH($A59, ARGUS!$A$3:$A$176, 0)-1,MATCH(EOMONTH(CO$15,1), ARGUS!$B$4:$LG$4, 0)-1,1,1)/1000, 0)</f>
        <v>3.1469999999999998</v>
      </c>
      <c r="CP59" s="26">
        <f ca="1">IFERROR(OFFSET(ARGUS!$A$3, MATCH($A59, ARGUS!$A$3:$A$176, 0)-1,MATCH(EOMONTH(CP$15,1), ARGUS!$B$4:$LG$4, 0)-1,1,1)/1000, 0)</f>
        <v>3.1469999999999998</v>
      </c>
      <c r="CQ59" s="26">
        <f ca="1">IFERROR(OFFSET(ARGUS!$A$3, MATCH($A59, ARGUS!$A$3:$A$176, 0)-1,MATCH(EOMONTH(CQ$15,1), ARGUS!$B$4:$LG$4, 0)-1,1,1)/1000, 0)</f>
        <v>3.1469999999999998</v>
      </c>
      <c r="CR59" s="26">
        <f ca="1">IFERROR(OFFSET(ARGUS!$A$3, MATCH($A59, ARGUS!$A$3:$A$176, 0)-1,MATCH(EOMONTH(CR$15,1), ARGUS!$B$4:$LG$4, 0)-1,1,1)/1000, 0)</f>
        <v>3.1469999999999998</v>
      </c>
      <c r="CS59" s="26">
        <f ca="1">IFERROR(OFFSET(ARGUS!$A$3, MATCH($A59, ARGUS!$A$3:$A$176, 0)-1,MATCH(EOMONTH(CS$15,1), ARGUS!$B$4:$LG$4, 0)-1,1,1)/1000, 0)</f>
        <v>3.1469999999999998</v>
      </c>
      <c r="CT59" s="26">
        <f ca="1">IFERROR(OFFSET(ARGUS!$A$3, MATCH($A59, ARGUS!$A$3:$A$176, 0)-1,MATCH(EOMONTH(CT$15,1), ARGUS!$B$4:$LG$4, 0)-1,1,1)/1000, 0)</f>
        <v>3.1469999999999998</v>
      </c>
      <c r="CU59" s="26">
        <f ca="1">IFERROR(OFFSET(ARGUS!$A$3, MATCH($A59, ARGUS!$A$3:$A$176, 0)-1,MATCH(EOMONTH(CU$15,1), ARGUS!$B$4:$LG$4, 0)-1,1,1)/1000, 0)</f>
        <v>3.1469999999999998</v>
      </c>
      <c r="CV59" s="26">
        <f ca="1">IFERROR(OFFSET(ARGUS!$A$3, MATCH($A59, ARGUS!$A$3:$A$176, 0)-1,MATCH(EOMONTH(CV$15,1), ARGUS!$B$4:$LG$4, 0)-1,1,1)/1000, 0)</f>
        <v>3.1469999999999998</v>
      </c>
      <c r="CW59" s="26">
        <f ca="1">IFERROR(OFFSET(ARGUS!$A$3, MATCH($A59, ARGUS!$A$3:$A$176, 0)-1,MATCH(EOMONTH(CW$15,1), ARGUS!$B$4:$LG$4, 0)-1,1,1)/1000, 0)</f>
        <v>3.1469999999999998</v>
      </c>
      <c r="CX59" s="26">
        <f ca="1">IFERROR(OFFSET(ARGUS!$A$3, MATCH($A59, ARGUS!$A$3:$A$176, 0)-1,MATCH(EOMONTH(CX$15,1), ARGUS!$B$4:$LG$4, 0)-1,1,1)/1000, 0)</f>
        <v>3.1619999999999999</v>
      </c>
      <c r="CY59" s="26">
        <f ca="1">IFERROR(OFFSET(ARGUS!$A$3, MATCH($A59, ARGUS!$A$3:$A$176, 0)-1,MATCH(EOMONTH(CY$15,1), ARGUS!$B$4:$LG$4, 0)-1,1,1)/1000, 0)</f>
        <v>3.1619999999999999</v>
      </c>
      <c r="CZ59" s="26">
        <f ca="1">IFERROR(OFFSET(ARGUS!$A$3, MATCH($A59, ARGUS!$A$3:$A$176, 0)-1,MATCH(EOMONTH(CZ$15,1), ARGUS!$B$4:$LG$4, 0)-1,1,1)/1000, 0)</f>
        <v>3.1619999999999999</v>
      </c>
      <c r="DA59" s="26">
        <f ca="1">IFERROR(OFFSET(ARGUS!$A$3, MATCH($A59, ARGUS!$A$3:$A$176, 0)-1,MATCH(EOMONTH(DA$15,1), ARGUS!$B$4:$LG$4, 0)-1,1,1)/1000, 0)</f>
        <v>3.1619999999999999</v>
      </c>
      <c r="DB59" s="26">
        <f ca="1">IFERROR(OFFSET(ARGUS!$A$3, MATCH($A59, ARGUS!$A$3:$A$176, 0)-1,MATCH(EOMONTH(DB$15,1), ARGUS!$B$4:$LG$4, 0)-1,1,1)/1000, 0)</f>
        <v>0.53</v>
      </c>
      <c r="DC59" s="26">
        <f ca="1">IFERROR(OFFSET(ARGUS!$A$3, MATCH($A59, ARGUS!$A$3:$A$176, 0)-1,MATCH(EOMONTH(DC$15,1), ARGUS!$B$4:$LG$4, 0)-1,1,1)/1000, 0)</f>
        <v>0.53</v>
      </c>
      <c r="DD59" s="26">
        <f ca="1">IFERROR(OFFSET(ARGUS!$A$3, MATCH($A59, ARGUS!$A$3:$A$176, 0)-1,MATCH(EOMONTH(DD$15,1), ARGUS!$B$4:$LG$4, 0)-1,1,1)/1000, 0)</f>
        <v>0.53</v>
      </c>
      <c r="DE59" s="26">
        <f ca="1">IFERROR(OFFSET(ARGUS!$A$3, MATCH($A59, ARGUS!$A$3:$A$176, 0)-1,MATCH(EOMONTH(DE$15,1), ARGUS!$B$4:$LG$4, 0)-1,1,1)/1000, 0)</f>
        <v>0.53</v>
      </c>
      <c r="DF59" s="26">
        <f ca="1">IFERROR(OFFSET(ARGUS!$A$3, MATCH($A59, ARGUS!$A$3:$A$176, 0)-1,MATCH(EOMONTH(DF$15,1), ARGUS!$B$4:$LG$4, 0)-1,1,1)/1000, 0)</f>
        <v>0.53</v>
      </c>
      <c r="DG59" s="26">
        <f ca="1">IFERROR(OFFSET(ARGUS!$A$3, MATCH($A59, ARGUS!$A$3:$A$176, 0)-1,MATCH(EOMONTH(DG$15,1), ARGUS!$B$4:$LG$4, 0)-1,1,1)/1000, 0)</f>
        <v>0.53</v>
      </c>
      <c r="DH59" s="26">
        <f ca="1">IFERROR(OFFSET(ARGUS!$A$3, MATCH($A59, ARGUS!$A$3:$A$176, 0)-1,MATCH(EOMONTH(DH$15,1), ARGUS!$B$4:$LG$4, 0)-1,1,1)/1000, 0)</f>
        <v>0.53</v>
      </c>
      <c r="DI59" s="26">
        <f ca="1">IFERROR(OFFSET(ARGUS!$A$3, MATCH($A59, ARGUS!$A$3:$A$176, 0)-1,MATCH(EOMONTH(DI$15,1), ARGUS!$B$4:$LG$4, 0)-1,1,1)/1000, 0)</f>
        <v>0.53</v>
      </c>
      <c r="DJ59" s="26">
        <f ca="1">IFERROR(OFFSET(ARGUS!$A$3, MATCH($A59, ARGUS!$A$3:$A$176, 0)-1,MATCH(EOMONTH(DJ$15,1), ARGUS!$B$4:$LG$4, 0)-1,1,1)/1000, 0)</f>
        <v>0.54600000000000004</v>
      </c>
      <c r="DK59" s="26">
        <f ca="1">IFERROR(OFFSET(ARGUS!$A$3, MATCH($A59, ARGUS!$A$3:$A$176, 0)-1,MATCH(EOMONTH(DK$15,1), ARGUS!$B$4:$LG$4, 0)-1,1,1)/1000, 0)</f>
        <v>0.54600000000000004</v>
      </c>
      <c r="DL59" s="26">
        <f ca="1">IFERROR(OFFSET(ARGUS!$A$3, MATCH($A59, ARGUS!$A$3:$A$176, 0)-1,MATCH(EOMONTH(DL$15,1), ARGUS!$B$4:$LG$4, 0)-1,1,1)/1000, 0)</f>
        <v>0.54600000000000004</v>
      </c>
      <c r="DM59" s="26">
        <f ca="1">IFERROR(OFFSET(ARGUS!$A$3, MATCH($A59, ARGUS!$A$3:$A$176, 0)-1,MATCH(EOMONTH(DM$15,1), ARGUS!$B$4:$LG$4, 0)-1,1,1)/1000, 0)</f>
        <v>0.54600000000000004</v>
      </c>
      <c r="DN59" s="26">
        <f ca="1">IFERROR(OFFSET(ARGUS!$A$3, MATCH($A59, ARGUS!$A$3:$A$176, 0)-1,MATCH(EOMONTH(DN$15,1), ARGUS!$B$4:$LG$4, 0)-1,1,1)/1000, 0)</f>
        <v>0.54600000000000004</v>
      </c>
      <c r="DO59" s="26">
        <f ca="1">IFERROR(OFFSET(ARGUS!$A$3, MATCH($A59, ARGUS!$A$3:$A$176, 0)-1,MATCH(EOMONTH(DO$15,1), ARGUS!$B$4:$LG$4, 0)-1,1,1)/1000, 0)</f>
        <v>0.54600000000000004</v>
      </c>
      <c r="DP59" s="26">
        <f ca="1">IFERROR(OFFSET(ARGUS!$A$3, MATCH($A59, ARGUS!$A$3:$A$176, 0)-1,MATCH(EOMONTH(DP$15,1), ARGUS!$B$4:$LG$4, 0)-1,1,1)/1000, 0)</f>
        <v>0.54600000000000004</v>
      </c>
      <c r="DQ59" s="26">
        <f ca="1">IFERROR(OFFSET(ARGUS!$A$3, MATCH($A59, ARGUS!$A$3:$A$176, 0)-1,MATCH(EOMONTH(DQ$15,1), ARGUS!$B$4:$LG$4, 0)-1,1,1)/1000, 0)</f>
        <v>0.54600000000000004</v>
      </c>
      <c r="DR59" s="26">
        <f ca="1">IFERROR(OFFSET(ARGUS!$A$3, MATCH($A59, ARGUS!$A$3:$A$176, 0)-1,MATCH(EOMONTH(DR$15,1), ARGUS!$B$4:$LG$4, 0)-1,1,1)/1000, 0)</f>
        <v>0.54600000000000004</v>
      </c>
      <c r="DS59" s="26">
        <f ca="1">IFERROR(OFFSET(ARGUS!$A$3, MATCH($A59, ARGUS!$A$3:$A$176, 0)-1,MATCH(EOMONTH(DS$15,1), ARGUS!$B$4:$LG$4, 0)-1,1,1)/1000, 0)</f>
        <v>0.54600000000000004</v>
      </c>
      <c r="DT59" s="26">
        <f ca="1">IFERROR(OFFSET(ARGUS!$A$3, MATCH($A59, ARGUS!$A$3:$A$176, 0)-1,MATCH(EOMONTH(DT$15,1), ARGUS!$B$4:$LG$4, 0)-1,1,1)/1000, 0)</f>
        <v>0.54600000000000004</v>
      </c>
      <c r="DU59" s="26">
        <f ca="1">IFERROR(OFFSET(ARGUS!$A$3, MATCH($A59, ARGUS!$A$3:$A$176, 0)-1,MATCH(EOMONTH(DU$15,1), ARGUS!$B$4:$LG$4, 0)-1,1,1)/1000, 0)</f>
        <v>0.54600000000000004</v>
      </c>
      <c r="DV59" s="26">
        <f ca="1">IFERROR(OFFSET(ARGUS!$A$3, MATCH($A59, ARGUS!$A$3:$A$176, 0)-1,MATCH(EOMONTH(DV$15,1), ARGUS!$B$4:$LG$4, 0)-1,1,1)/1000, 0)</f>
        <v>0.56299999999999994</v>
      </c>
      <c r="DW59" s="26">
        <f ca="1">IFERROR(OFFSET(ARGUS!$A$3, MATCH($A59, ARGUS!$A$3:$A$176, 0)-1,MATCH(EOMONTH(DW$15,1), ARGUS!$B$4:$LG$4, 0)-1,1,1)/1000, 0)</f>
        <v>0.56299999999999994</v>
      </c>
      <c r="DX59" s="26">
        <f ca="1">IFERROR(OFFSET(ARGUS!$A$3, MATCH($A59, ARGUS!$A$3:$A$176, 0)-1,MATCH(EOMONTH(DX$15,1), ARGUS!$B$4:$LG$4, 0)-1,1,1)/1000, 0)</f>
        <v>0.56299999999999994</v>
      </c>
      <c r="DY59" s="26">
        <f ca="1">IFERROR(OFFSET(ARGUS!$A$3, MATCH($A59, ARGUS!$A$3:$A$176, 0)-1,MATCH(EOMONTH(DY$15,1), ARGUS!$B$4:$LG$4, 0)-1,1,1)/1000, 0)</f>
        <v>0.56299999999999994</v>
      </c>
      <c r="DZ59" s="26">
        <f ca="1">IFERROR(OFFSET(ARGUS!$A$3, MATCH($A59, ARGUS!$A$3:$A$176, 0)-1,MATCH(EOMONTH(DZ$15,1), ARGUS!$B$4:$LG$4, 0)-1,1,1)/1000, 0)</f>
        <v>0.56299999999999994</v>
      </c>
      <c r="EA59" s="26">
        <f ca="1">IFERROR(OFFSET(ARGUS!$A$3, MATCH($A59, ARGUS!$A$3:$A$176, 0)-1,MATCH(EOMONTH(EA$15,1), ARGUS!$B$4:$LG$4, 0)-1,1,1)/1000, 0)</f>
        <v>0.56299999999999994</v>
      </c>
      <c r="EB59" s="26">
        <f ca="1">IFERROR(OFFSET(ARGUS!$A$3, MATCH($A59, ARGUS!$A$3:$A$176, 0)-1,MATCH(EOMONTH(EB$15,1), ARGUS!$B$4:$LG$4, 0)-1,1,1)/1000, 0)</f>
        <v>0.56299999999999994</v>
      </c>
      <c r="EC59" s="26">
        <f ca="1">IFERROR(OFFSET(ARGUS!$A$3, MATCH($A59, ARGUS!$A$3:$A$176, 0)-1,MATCH(EOMONTH(EC$15,1), ARGUS!$B$4:$LG$4, 0)-1,1,1)/1000, 0)</f>
        <v>0.56299999999999994</v>
      </c>
      <c r="ED59" s="26">
        <f ca="1">IFERROR(OFFSET(ARGUS!$A$3, MATCH($A59, ARGUS!$A$3:$A$176, 0)-1,MATCH(EOMONTH(ED$15,1), ARGUS!$B$4:$LG$4, 0)-1,1,1)/1000, 0)</f>
        <v>0.56299999999999994</v>
      </c>
      <c r="EE59" s="26">
        <f ca="1">IFERROR(OFFSET(ARGUS!$A$3, MATCH($A59, ARGUS!$A$3:$A$176, 0)-1,MATCH(EOMONTH(EE$15,1), ARGUS!$B$4:$LG$4, 0)-1,1,1)/1000, 0)</f>
        <v>0.56299999999999994</v>
      </c>
      <c r="EF59" s="26">
        <f ca="1">IFERROR(OFFSET(ARGUS!$A$3, MATCH($A59, ARGUS!$A$3:$A$176, 0)-1,MATCH(EOMONTH(EF$15,1), ARGUS!$B$4:$LG$4, 0)-1,1,1)/1000, 0)</f>
        <v>0.56299999999999994</v>
      </c>
      <c r="EG59" s="26">
        <f ca="1">IFERROR(OFFSET(ARGUS!$A$3, MATCH($A59, ARGUS!$A$3:$A$176, 0)-1,MATCH(EOMONTH(EG$15,1), ARGUS!$B$4:$LG$4, 0)-1,1,1)/1000, 0)</f>
        <v>0.56299999999999994</v>
      </c>
      <c r="EH59" s="26">
        <f ca="1">IFERROR(OFFSET(ARGUS!$A$3, MATCH($A59, ARGUS!$A$3:$A$176, 0)-1,MATCH(EOMONTH(EH$15,1), ARGUS!$B$4:$LG$4, 0)-1,1,1)/1000, 0)</f>
        <v>0.57999999999999996</v>
      </c>
      <c r="EI59" s="26">
        <f ca="1">IFERROR(OFFSET(ARGUS!$A$3, MATCH($A59, ARGUS!$A$3:$A$176, 0)-1,MATCH(EOMONTH(EI$15,1), ARGUS!$B$4:$LG$4, 0)-1,1,1)/1000, 0)</f>
        <v>0.57999999999999996</v>
      </c>
      <c r="EJ59" s="26">
        <f ca="1">IFERROR(OFFSET(ARGUS!$A$3, MATCH($A59, ARGUS!$A$3:$A$176, 0)-1,MATCH(EOMONTH(EJ$15,1), ARGUS!$B$4:$LG$4, 0)-1,1,1)/1000, 0)</f>
        <v>0.57999999999999996</v>
      </c>
      <c r="EK59" s="26">
        <f ca="1">IFERROR(OFFSET(ARGUS!$A$3, MATCH($A59, ARGUS!$A$3:$A$176, 0)-1,MATCH(EOMONTH(EK$15,1), ARGUS!$B$4:$LG$4, 0)-1,1,1)/1000, 0)</f>
        <v>0.57999999999999996</v>
      </c>
      <c r="EL59" s="26">
        <f ca="1">IFERROR(OFFSET(ARGUS!$A$3, MATCH($A59, ARGUS!$A$3:$A$176, 0)-1,MATCH(EOMONTH(EL$15,1), ARGUS!$B$4:$LG$4, 0)-1,1,1)/1000, 0)</f>
        <v>0.57999999999999996</v>
      </c>
      <c r="EM59" s="26">
        <f ca="1">IFERROR(OFFSET(ARGUS!$A$3, MATCH($A59, ARGUS!$A$3:$A$176, 0)-1,MATCH(EOMONTH(EM$15,1), ARGUS!$B$4:$LG$4, 0)-1,1,1)/1000, 0)</f>
        <v>0.57999999999999996</v>
      </c>
      <c r="EN59" s="26">
        <f ca="1">IFERROR(OFFSET(ARGUS!$A$3, MATCH($A59, ARGUS!$A$3:$A$176, 0)-1,MATCH(EOMONTH(EN$15,1), ARGUS!$B$4:$LG$4, 0)-1,1,1)/1000, 0)</f>
        <v>0.57999999999999996</v>
      </c>
      <c r="EO59" s="26">
        <f ca="1">IFERROR(OFFSET(ARGUS!$A$3, MATCH($A59, ARGUS!$A$3:$A$176, 0)-1,MATCH(EOMONTH(EO$15,1), ARGUS!$B$4:$LG$4, 0)-1,1,1)/1000, 0)</f>
        <v>0.57999999999999996</v>
      </c>
      <c r="EP59" s="26">
        <f ca="1">IFERROR(OFFSET(ARGUS!$A$3, MATCH($A59, ARGUS!$A$3:$A$176, 0)-1,MATCH(EOMONTH(EP$15,1), ARGUS!$B$4:$LG$4, 0)-1,1,1)/1000, 0)</f>
        <v>0.57999999999999996</v>
      </c>
      <c r="EQ59" s="26">
        <f ca="1">IFERROR(OFFSET(ARGUS!$A$3, MATCH($A59, ARGUS!$A$3:$A$176, 0)-1,MATCH(EOMONTH(EQ$15,1), ARGUS!$B$4:$LG$4, 0)-1,1,1)/1000, 0)</f>
        <v>0.57999999999999996</v>
      </c>
      <c r="ER59" s="26">
        <f ca="1">IFERROR(OFFSET(ARGUS!$A$3, MATCH($A59, ARGUS!$A$3:$A$176, 0)-1,MATCH(EOMONTH(ER$15,1), ARGUS!$B$4:$LG$4, 0)-1,1,1)/1000, 0)</f>
        <v>0.57999999999999996</v>
      </c>
      <c r="ES59" s="26">
        <f ca="1">IFERROR(OFFSET(ARGUS!$A$3, MATCH($A59, ARGUS!$A$3:$A$176, 0)-1,MATCH(EOMONTH(ES$15,1), ARGUS!$B$4:$LG$4, 0)-1,1,1)/1000, 0)</f>
        <v>0.57999999999999996</v>
      </c>
      <c r="ET59" s="26">
        <f ca="1">IFERROR(OFFSET(ARGUS!$A$3, MATCH($A59, ARGUS!$A$3:$A$176, 0)-1,MATCH(EOMONTH(ET$15,1), ARGUS!$B$4:$LG$4, 0)-1,1,1)/1000, 0)</f>
        <v>0.59699999999999998</v>
      </c>
      <c r="EU59" s="26">
        <f ca="1">IFERROR(OFFSET(ARGUS!$A$3, MATCH($A59, ARGUS!$A$3:$A$176, 0)-1,MATCH(EOMONTH(EU$15,1), ARGUS!$B$4:$LG$4, 0)-1,1,1)/1000, 0)</f>
        <v>0.59699999999999998</v>
      </c>
      <c r="EV59" s="26">
        <f ca="1">IFERROR(OFFSET(ARGUS!$A$3, MATCH($A59, ARGUS!$A$3:$A$176, 0)-1,MATCH(EOMONTH(EV$15,1), ARGUS!$B$4:$LG$4, 0)-1,1,1)/1000, 0)</f>
        <v>0.59699999999999998</v>
      </c>
      <c r="EW59" s="26">
        <f ca="1">IFERROR(OFFSET(ARGUS!$A$3, MATCH($A59, ARGUS!$A$3:$A$176, 0)-1,MATCH(EOMONTH(EW$15,1), ARGUS!$B$4:$LG$4, 0)-1,1,1)/1000, 0)</f>
        <v>0.59699999999999998</v>
      </c>
      <c r="EX59" s="26">
        <f ca="1">IFERROR(OFFSET(ARGUS!$A$3, MATCH($A59, ARGUS!$A$3:$A$176, 0)-1,MATCH(EOMONTH(EX$15,1), ARGUS!$B$4:$LG$4, 0)-1,1,1)/1000, 0)</f>
        <v>0.59699999999999998</v>
      </c>
      <c r="EY59" s="26">
        <f ca="1">IFERROR(OFFSET(ARGUS!$A$3, MATCH($A59, ARGUS!$A$3:$A$176, 0)-1,MATCH(EOMONTH(EY$15,1), ARGUS!$B$4:$LG$4, 0)-1,1,1)/1000, 0)</f>
        <v>0.59699999999999998</v>
      </c>
      <c r="EZ59" s="26">
        <f ca="1">IFERROR(OFFSET(ARGUS!$A$3, MATCH($A59, ARGUS!$A$3:$A$176, 0)-1,MATCH(EOMONTH(EZ$15,1), ARGUS!$B$4:$LG$4, 0)-1,1,1)/1000, 0)</f>
        <v>0.59699999999999998</v>
      </c>
      <c r="FA59" s="26">
        <f ca="1">IFERROR(OFFSET(ARGUS!$A$3, MATCH($A59, ARGUS!$A$3:$A$176, 0)-1,MATCH(EOMONTH(FA$15,1), ARGUS!$B$4:$LG$4, 0)-1,1,1)/1000, 0)</f>
        <v>0.59699999999999998</v>
      </c>
      <c r="FB59" s="26">
        <f ca="1">IFERROR(OFFSET(ARGUS!$A$3, MATCH($A59, ARGUS!$A$3:$A$176, 0)-1,MATCH(EOMONTH(FB$15,1), ARGUS!$B$4:$LG$4, 0)-1,1,1)/1000, 0)</f>
        <v>0.59699999999999998</v>
      </c>
      <c r="FC59" s="26">
        <f ca="1">IFERROR(OFFSET(ARGUS!$A$3, MATCH($A59, ARGUS!$A$3:$A$176, 0)-1,MATCH(EOMONTH(FC$15,1), ARGUS!$B$4:$LG$4, 0)-1,1,1)/1000, 0)</f>
        <v>0.59699999999999998</v>
      </c>
      <c r="FD59" s="26">
        <f ca="1">IFERROR(OFFSET(ARGUS!$A$3, MATCH($A59, ARGUS!$A$3:$A$176, 0)-1,MATCH(EOMONTH(FD$15,1), ARGUS!$B$4:$LG$4, 0)-1,1,1)/1000, 0)</f>
        <v>0.59699999999999998</v>
      </c>
      <c r="FE59" s="26">
        <f ca="1">IFERROR(OFFSET(ARGUS!$A$3, MATCH($A59, ARGUS!$A$3:$A$176, 0)-1,MATCH(EOMONTH(FE$15,1), ARGUS!$B$4:$LG$4, 0)-1,1,1)/1000, 0)</f>
        <v>0.59699999999999998</v>
      </c>
      <c r="FF59" s="26">
        <f ca="1">IFERROR(OFFSET(ARGUS!$A$3, MATCH($A59, ARGUS!$A$3:$A$176, 0)-1,MATCH(EOMONTH(FF$15,1), ARGUS!$B$4:$LG$4, 0)-1,1,1)/1000, 0)</f>
        <v>0.61499999999999999</v>
      </c>
      <c r="FG59" s="26">
        <f ca="1">IFERROR(OFFSET(ARGUS!$A$3, MATCH($A59, ARGUS!$A$3:$A$176, 0)-1,MATCH(EOMONTH(FG$15,1), ARGUS!$B$4:$LG$4, 0)-1,1,1)/1000, 0)</f>
        <v>0.61499999999999999</v>
      </c>
      <c r="FH59" s="26">
        <f ca="1">IFERROR(OFFSET(ARGUS!$A$3, MATCH($A59, ARGUS!$A$3:$A$176, 0)-1,MATCH(EOMONTH(FH$15,1), ARGUS!$B$4:$LG$4, 0)-1,1,1)/1000, 0)</f>
        <v>0.61499999999999999</v>
      </c>
      <c r="FI59" s="26">
        <f ca="1">IFERROR(OFFSET(ARGUS!$A$3, MATCH($A59, ARGUS!$A$3:$A$176, 0)-1,MATCH(EOMONTH(FI$15,1), ARGUS!$B$4:$LG$4, 0)-1,1,1)/1000, 0)</f>
        <v>0.61499999999999999</v>
      </c>
      <c r="FJ59" s="26">
        <f ca="1">IFERROR(OFFSET(ARGUS!$A$3, MATCH($A59, ARGUS!$A$3:$A$176, 0)-1,MATCH(EOMONTH(FJ$15,1), ARGUS!$B$4:$LG$4, 0)-1,1,1)/1000, 0)</f>
        <v>0.61499999999999999</v>
      </c>
      <c r="FK59" s="26">
        <f ca="1">IFERROR(OFFSET(ARGUS!$A$3, MATCH($A59, ARGUS!$A$3:$A$176, 0)-1,MATCH(EOMONTH(FK$15,1), ARGUS!$B$4:$LG$4, 0)-1,1,1)/1000, 0)</f>
        <v>0.61499999999999999</v>
      </c>
      <c r="FL59" s="26">
        <f ca="1">IFERROR(OFFSET(ARGUS!$A$3, MATCH($A59, ARGUS!$A$3:$A$176, 0)-1,MATCH(EOMONTH(FL$15,1), ARGUS!$B$4:$LG$4, 0)-1,1,1)/1000, 0)</f>
        <v>0.61499999999999999</v>
      </c>
      <c r="FM59" s="26">
        <f ca="1">IFERROR(OFFSET(ARGUS!$A$3, MATCH($A59, ARGUS!$A$3:$A$176, 0)-1,MATCH(EOMONTH(FM$15,1), ARGUS!$B$4:$LG$4, 0)-1,1,1)/1000, 0)</f>
        <v>0.61499999999999999</v>
      </c>
      <c r="FN59" s="26">
        <f ca="1">IFERROR(OFFSET(ARGUS!$A$3, MATCH($A59, ARGUS!$A$3:$A$176, 0)-1,MATCH(EOMONTH(FN$15,1), ARGUS!$B$4:$LG$4, 0)-1,1,1)/1000, 0)</f>
        <v>0.61499999999999999</v>
      </c>
      <c r="FO59" s="26">
        <f ca="1">IFERROR(OFFSET(ARGUS!$A$3, MATCH($A59, ARGUS!$A$3:$A$176, 0)-1,MATCH(EOMONTH(FO$15,1), ARGUS!$B$4:$LG$4, 0)-1,1,1)/1000, 0)</f>
        <v>0.61499999999999999</v>
      </c>
      <c r="FP59" s="26">
        <f ca="1">IFERROR(OFFSET(ARGUS!$A$3, MATCH($A59, ARGUS!$A$3:$A$176, 0)-1,MATCH(EOMONTH(FP$15,1), ARGUS!$B$4:$LG$4, 0)-1,1,1)/1000, 0)</f>
        <v>0.61499999999999999</v>
      </c>
      <c r="FQ59" s="26">
        <f ca="1">IFERROR(OFFSET(ARGUS!$A$3, MATCH($A59, ARGUS!$A$3:$A$176, 0)-1,MATCH(EOMONTH(FQ$15,1), ARGUS!$B$4:$LG$4, 0)-1,1,1)/1000, 0)</f>
        <v>0.61499999999999999</v>
      </c>
      <c r="FR59" s="26">
        <f ca="1">IFERROR(OFFSET(ARGUS!$A$3, MATCH($A59, ARGUS!$A$3:$A$176, 0)-1,MATCH(EOMONTH(FR$15,1), ARGUS!$B$4:$LG$4, 0)-1,1,1)/1000, 0)</f>
        <v>0.63300000000000001</v>
      </c>
      <c r="FS59" s="26">
        <f ca="1">IFERROR(OFFSET(ARGUS!$A$3, MATCH($A59, ARGUS!$A$3:$A$176, 0)-1,MATCH(EOMONTH(FS$15,1), ARGUS!$B$4:$LG$4, 0)-1,1,1)/1000, 0)</f>
        <v>0.63300000000000001</v>
      </c>
      <c r="FT59" s="26">
        <f ca="1">IFERROR(OFFSET(ARGUS!$A$3, MATCH($A59, ARGUS!$A$3:$A$176, 0)-1,MATCH(EOMONTH(FT$15,1), ARGUS!$B$4:$LG$4, 0)-1,1,1)/1000, 0)</f>
        <v>0.63300000000000001</v>
      </c>
      <c r="FU59" s="26">
        <f ca="1">IFERROR(OFFSET(ARGUS!$A$3, MATCH($A59, ARGUS!$A$3:$A$176, 0)-1,MATCH(EOMONTH(FU$15,1), ARGUS!$B$4:$LG$4, 0)-1,1,1)/1000, 0)</f>
        <v>0.63300000000000001</v>
      </c>
      <c r="FV59" s="26">
        <f ca="1">IFERROR(OFFSET(ARGUS!$A$3, MATCH($A59, ARGUS!$A$3:$A$176, 0)-1,MATCH(EOMONTH(FV$15,1), ARGUS!$B$4:$LG$4, 0)-1,1,1)/1000, 0)</f>
        <v>0.63300000000000001</v>
      </c>
      <c r="FW59" s="26">
        <f ca="1">IFERROR(OFFSET(ARGUS!$A$3, MATCH($A59, ARGUS!$A$3:$A$176, 0)-1,MATCH(EOMONTH(FW$15,1), ARGUS!$B$4:$LG$4, 0)-1,1,1)/1000, 0)</f>
        <v>0.63300000000000001</v>
      </c>
      <c r="FX59" s="26">
        <f ca="1">IFERROR(OFFSET(ARGUS!$A$3, MATCH($A59, ARGUS!$A$3:$A$176, 0)-1,MATCH(EOMONTH(FX$15,1), ARGUS!$B$4:$LG$4, 0)-1,1,1)/1000, 0)</f>
        <v>0.63300000000000001</v>
      </c>
      <c r="FY59" s="26">
        <f ca="1">IFERROR(OFFSET(ARGUS!$A$3, MATCH($A59, ARGUS!$A$3:$A$176, 0)-1,MATCH(EOMONTH(FY$15,1), ARGUS!$B$4:$LG$4, 0)-1,1,1)/1000, 0)</f>
        <v>0.63300000000000001</v>
      </c>
      <c r="FZ59" s="26">
        <f ca="1">IFERROR(OFFSET(ARGUS!$A$3, MATCH($A59, ARGUS!$A$3:$A$176, 0)-1,MATCH(EOMONTH(FZ$15,1), ARGUS!$B$4:$LG$4, 0)-1,1,1)/1000, 0)</f>
        <v>0.63300000000000001</v>
      </c>
      <c r="GA59" s="26">
        <f ca="1">IFERROR(OFFSET(ARGUS!$A$3, MATCH($A59, ARGUS!$A$3:$A$176, 0)-1,MATCH(EOMONTH(GA$15,1), ARGUS!$B$4:$LG$4, 0)-1,1,1)/1000, 0)</f>
        <v>0.63300000000000001</v>
      </c>
      <c r="GB59" s="26">
        <f ca="1">IFERROR(OFFSET(ARGUS!$A$3, MATCH($A59, ARGUS!$A$3:$A$176, 0)-1,MATCH(EOMONTH(GB$15,1), ARGUS!$B$4:$LG$4, 0)-1,1,1)/1000, 0)</f>
        <v>0.63300000000000001</v>
      </c>
      <c r="GC59" s="26">
        <f ca="1">IFERROR(OFFSET(ARGUS!$A$3, MATCH($A59, ARGUS!$A$3:$A$176, 0)-1,MATCH(EOMONTH(GC$15,1), ARGUS!$B$4:$LG$4, 0)-1,1,1)/1000, 0)</f>
        <v>0.63300000000000001</v>
      </c>
      <c r="GD59" s="26">
        <f ca="1">IFERROR(OFFSET(ARGUS!$A$3, MATCH($A59, ARGUS!$A$3:$A$176, 0)-1,MATCH(EOMONTH(GD$15,1), ARGUS!$B$4:$LG$4, 0)-1,1,1)/1000, 0)</f>
        <v>0.65200000000000002</v>
      </c>
      <c r="GE59" s="26">
        <f ca="1">IFERROR(OFFSET(ARGUS!$A$3, MATCH($A59, ARGUS!$A$3:$A$176, 0)-1,MATCH(EOMONTH(GE$15,1), ARGUS!$B$4:$LG$4, 0)-1,1,1)/1000, 0)</f>
        <v>0.65200000000000002</v>
      </c>
      <c r="GF59" s="26">
        <f ca="1">IFERROR(OFFSET(ARGUS!$A$3, MATCH($A59, ARGUS!$A$3:$A$176, 0)-1,MATCH(EOMONTH(GF$15,1), ARGUS!$B$4:$LG$4, 0)-1,1,1)/1000, 0)</f>
        <v>0.65200000000000002</v>
      </c>
      <c r="GG59" s="26">
        <f ca="1">IFERROR(OFFSET(ARGUS!$A$3, MATCH($A59, ARGUS!$A$3:$A$176, 0)-1,MATCH(EOMONTH(GG$15,1), ARGUS!$B$4:$LG$4, 0)-1,1,1)/1000, 0)</f>
        <v>0.65200000000000002</v>
      </c>
      <c r="GH59" s="26">
        <f ca="1">IFERROR(OFFSET(ARGUS!$A$3, MATCH($A59, ARGUS!$A$3:$A$176, 0)-1,MATCH(EOMONTH(GH$15,1), ARGUS!$B$4:$LG$4, 0)-1,1,1)/1000, 0)</f>
        <v>0.65200000000000002</v>
      </c>
      <c r="GI59" s="26">
        <f ca="1">IFERROR(OFFSET(ARGUS!$A$3, MATCH($A59, ARGUS!$A$3:$A$176, 0)-1,MATCH(EOMONTH(GI$15,1), ARGUS!$B$4:$LG$4, 0)-1,1,1)/1000, 0)</f>
        <v>0.65200000000000002</v>
      </c>
      <c r="GJ59" s="26">
        <f ca="1">IFERROR(OFFSET(ARGUS!$A$3, MATCH($A59, ARGUS!$A$3:$A$176, 0)-1,MATCH(EOMONTH(GJ$15,1), ARGUS!$B$4:$LG$4, 0)-1,1,1)/1000, 0)</f>
        <v>0.65200000000000002</v>
      </c>
      <c r="GK59" s="26">
        <f ca="1">IFERROR(OFFSET(ARGUS!$A$3, MATCH($A59, ARGUS!$A$3:$A$176, 0)-1,MATCH(EOMONTH(GK$15,1), ARGUS!$B$4:$LG$4, 0)-1,1,1)/1000, 0)</f>
        <v>0.65200000000000002</v>
      </c>
      <c r="GL59" s="26">
        <f ca="1">IFERROR(OFFSET(ARGUS!$A$3, MATCH($A59, ARGUS!$A$3:$A$176, 0)-1,MATCH(EOMONTH(GL$15,1), ARGUS!$B$4:$LG$4, 0)-1,1,1)/1000, 0)</f>
        <v>0.65200000000000002</v>
      </c>
      <c r="GM59" s="26">
        <f ca="1">IFERROR(OFFSET(ARGUS!$A$3, MATCH($A59, ARGUS!$A$3:$A$176, 0)-1,MATCH(EOMONTH(GM$15,1), ARGUS!$B$4:$LG$4, 0)-1,1,1)/1000, 0)</f>
        <v>0.65200000000000002</v>
      </c>
      <c r="GN59" s="26">
        <f ca="1">IFERROR(OFFSET(ARGUS!$A$3, MATCH($A59, ARGUS!$A$3:$A$176, 0)-1,MATCH(EOMONTH(GN$15,1), ARGUS!$B$4:$LG$4, 0)-1,1,1)/1000, 0)</f>
        <v>0.65200000000000002</v>
      </c>
      <c r="GO59" s="26">
        <f ca="1">IFERROR(OFFSET(ARGUS!$A$3, MATCH($A59, ARGUS!$A$3:$A$176, 0)-1,MATCH(EOMONTH(GO$15,1), ARGUS!$B$4:$LG$4, 0)-1,1,1)/1000, 0)</f>
        <v>0.65200000000000002</v>
      </c>
      <c r="GP59" s="26">
        <f ca="1">IFERROR(OFFSET(ARGUS!$A$3, MATCH($A59, ARGUS!$A$3:$A$176, 0)-1,MATCH(EOMONTH(GP$15,1), ARGUS!$B$4:$LG$4, 0)-1,1,1)/1000, 0)</f>
        <v>0.67200000000000004</v>
      </c>
      <c r="GQ59" s="26">
        <f ca="1">IFERROR(OFFSET(ARGUS!$A$3, MATCH($A59, ARGUS!$A$3:$A$176, 0)-1,MATCH(EOMONTH(GQ$15,1), ARGUS!$B$4:$LG$4, 0)-1,1,1)/1000, 0)</f>
        <v>0.67200000000000004</v>
      </c>
      <c r="GR59" s="26">
        <f ca="1">IFERROR(OFFSET(ARGUS!$A$3, MATCH($A59, ARGUS!$A$3:$A$176, 0)-1,MATCH(EOMONTH(GR$15,1), ARGUS!$B$4:$LG$4, 0)-1,1,1)/1000, 0)</f>
        <v>0.67200000000000004</v>
      </c>
      <c r="GS59" s="26">
        <f ca="1">IFERROR(OFFSET(ARGUS!$A$3, MATCH($A59, ARGUS!$A$3:$A$176, 0)-1,MATCH(EOMONTH(GS$15,1), ARGUS!$B$4:$LG$4, 0)-1,1,1)/1000, 0)</f>
        <v>0.67200000000000004</v>
      </c>
      <c r="GT59" s="26">
        <f ca="1">IFERROR(OFFSET(ARGUS!$A$3, MATCH($A59, ARGUS!$A$3:$A$176, 0)-1,MATCH(EOMONTH(GT$15,1), ARGUS!$B$4:$LG$4, 0)-1,1,1)/1000, 0)</f>
        <v>0.67200000000000004</v>
      </c>
      <c r="GU59" s="26"/>
      <c r="GV59" s="26"/>
      <c r="GW59" s="26"/>
      <c r="GX59" s="26"/>
      <c r="GY59" s="26"/>
      <c r="GZ59" s="26"/>
      <c r="HA59" s="26"/>
      <c r="HB59" s="26"/>
      <c r="HC59" s="26"/>
      <c r="HD59" s="26"/>
      <c r="HE59" s="26"/>
      <c r="HF59" s="1" t="s">
        <v>212</v>
      </c>
      <c r="HG59" s="139" t="e">
        <f t="shared" si="519"/>
        <v>#REF!</v>
      </c>
      <c r="HH59" s="43" t="str">
        <f t="shared" si="649"/>
        <v>Other Revenue</v>
      </c>
      <c r="HI59" s="120"/>
      <c r="HJ59" s="120"/>
      <c r="HK59" s="120"/>
      <c r="HL59" s="119">
        <f t="shared" ca="1" si="651"/>
        <v>283.50249000000002</v>
      </c>
      <c r="HM59" s="120"/>
      <c r="HN59" s="140">
        <f t="shared" si="650"/>
        <v>0</v>
      </c>
      <c r="HO59" s="120">
        <f t="shared" si="650"/>
        <v>34.321910000000003</v>
      </c>
      <c r="HP59" s="120">
        <f t="shared" si="650"/>
        <v>27.675849999999997</v>
      </c>
      <c r="HQ59" s="120">
        <f t="shared" si="650"/>
        <v>49.511060000000008</v>
      </c>
      <c r="HR59" s="120">
        <f t="shared" si="650"/>
        <v>38.975180000000016</v>
      </c>
      <c r="HS59" s="120">
        <f t="shared" si="650"/>
        <v>15.392339999999999</v>
      </c>
      <c r="HT59" s="120">
        <f t="shared" si="650"/>
        <v>48.655779999999993</v>
      </c>
      <c r="HU59" s="120">
        <f t="shared" ca="1" si="650"/>
        <v>36.380369999999992</v>
      </c>
      <c r="HV59" s="120">
        <f t="shared" ca="1" si="650"/>
        <v>32.589999999999996</v>
      </c>
      <c r="HW59"/>
    </row>
    <row r="60" spans="1:231" ht="16" thickBot="1">
      <c r="A60" s="441">
        <v>24</v>
      </c>
      <c r="B60" s="9" t="s">
        <v>397</v>
      </c>
      <c r="I60" s="123">
        <f ca="1">SUMIF($K$13:$GT$13,"&lt;="&amp;Assumptions!$L$17,'Monthly Cash Flow'!K60:GT60)</f>
        <v>26088.214719999996</v>
      </c>
      <c r="J60" s="34"/>
      <c r="K60" s="133"/>
      <c r="L60" s="32">
        <f>SUM(L54:L59)</f>
        <v>174.17922000000002</v>
      </c>
      <c r="M60" s="32">
        <f t="shared" ref="M60:N60" si="652">SUM(M54:M59)</f>
        <v>183.67012</v>
      </c>
      <c r="N60" s="32">
        <f t="shared" si="652"/>
        <v>186.80412000000001</v>
      </c>
      <c r="O60" s="32">
        <f t="shared" ref="O60:T60" si="653">SUM(O54:O59)</f>
        <v>190.57505</v>
      </c>
      <c r="P60" s="32">
        <f t="shared" si="653"/>
        <v>177.26428000000001</v>
      </c>
      <c r="Q60" s="32">
        <f t="shared" si="653"/>
        <v>180.16823000000002</v>
      </c>
      <c r="R60" s="32">
        <f t="shared" si="653"/>
        <v>180.77277000000001</v>
      </c>
      <c r="S60" s="32">
        <f t="shared" si="653"/>
        <v>239.88771000000003</v>
      </c>
      <c r="T60" s="32">
        <f t="shared" si="653"/>
        <v>198.29234000000002</v>
      </c>
      <c r="U60" s="32">
        <f t="shared" ref="U60:BZ60" si="654">SUM(U54:U59)</f>
        <v>289.77710000000002</v>
      </c>
      <c r="V60" s="32">
        <f t="shared" si="654"/>
        <v>341.16856999999999</v>
      </c>
      <c r="W60" s="32">
        <f t="shared" si="654"/>
        <v>85.750510000000006</v>
      </c>
      <c r="X60" s="32">
        <f t="shared" si="654"/>
        <v>214.12483</v>
      </c>
      <c r="Y60" s="32">
        <f t="shared" si="654"/>
        <v>209.11749</v>
      </c>
      <c r="Z60" s="32">
        <f t="shared" si="654"/>
        <v>194.97919000000002</v>
      </c>
      <c r="AA60" s="32">
        <f t="shared" si="654"/>
        <v>215.79552000000001</v>
      </c>
      <c r="AB60" s="32">
        <f t="shared" si="654"/>
        <v>196.78563</v>
      </c>
      <c r="AC60" s="32">
        <f t="shared" si="654"/>
        <v>217.93122</v>
      </c>
      <c r="AD60" s="32">
        <f t="shared" si="654"/>
        <v>229.66460999999998</v>
      </c>
      <c r="AE60" s="32">
        <f t="shared" si="654"/>
        <v>227.49612999999999</v>
      </c>
      <c r="AF60" s="32">
        <f t="shared" si="654"/>
        <v>210.05933000000005</v>
      </c>
      <c r="AG60" s="32">
        <f t="shared" si="654"/>
        <v>190.58975000000001</v>
      </c>
      <c r="AH60" s="32">
        <f t="shared" si="654"/>
        <v>226.99888000000001</v>
      </c>
      <c r="AI60" s="32">
        <f t="shared" si="654"/>
        <v>197.96588000000003</v>
      </c>
      <c r="AJ60" s="32">
        <f t="shared" si="654"/>
        <v>193.87853000000001</v>
      </c>
      <c r="AK60" s="32">
        <f t="shared" si="654"/>
        <v>186.22766999999999</v>
      </c>
      <c r="AL60" s="32">
        <f t="shared" si="654"/>
        <v>212.82701000000003</v>
      </c>
      <c r="AM60" s="32">
        <f t="shared" si="654"/>
        <v>232.51458</v>
      </c>
      <c r="AN60" s="32">
        <f t="shared" si="654"/>
        <v>229.37076999999999</v>
      </c>
      <c r="AO60" s="32">
        <f t="shared" si="654"/>
        <v>207.73272</v>
      </c>
      <c r="AP60" s="32">
        <f t="shared" si="654"/>
        <v>242.52189000000001</v>
      </c>
      <c r="AQ60" s="32">
        <f t="shared" si="654"/>
        <v>243.93328</v>
      </c>
      <c r="AR60" s="32">
        <f t="shared" si="654"/>
        <v>221.55411000000001</v>
      </c>
      <c r="AS60" s="32">
        <f t="shared" si="654"/>
        <v>246.61747</v>
      </c>
      <c r="AT60" s="32">
        <f t="shared" si="654"/>
        <v>250.30870999999999</v>
      </c>
      <c r="AU60" s="32">
        <f t="shared" si="654"/>
        <v>249.66270000000003</v>
      </c>
      <c r="AV60" s="32">
        <f t="shared" si="654"/>
        <v>266.27415999999999</v>
      </c>
      <c r="AW60" s="32">
        <f t="shared" si="654"/>
        <v>252.91995999999997</v>
      </c>
      <c r="AX60" s="32">
        <f t="shared" si="654"/>
        <v>266.05905999999999</v>
      </c>
      <c r="AY60" s="32">
        <f t="shared" si="654"/>
        <v>268.14003000000002</v>
      </c>
      <c r="AZ60" s="32">
        <f t="shared" si="654"/>
        <v>191.15581</v>
      </c>
      <c r="BA60" s="32">
        <f t="shared" si="654"/>
        <v>277.25540999999998</v>
      </c>
      <c r="BB60" s="32">
        <f t="shared" si="654"/>
        <v>280.21132</v>
      </c>
      <c r="BC60" s="32">
        <f t="shared" si="654"/>
        <v>237.28243999999995</v>
      </c>
      <c r="BD60" s="32">
        <f t="shared" si="654"/>
        <v>233.37613000000002</v>
      </c>
      <c r="BE60" s="32">
        <f t="shared" si="654"/>
        <v>245.24822</v>
      </c>
      <c r="BF60" s="32">
        <f t="shared" si="654"/>
        <v>267.43815999999998</v>
      </c>
      <c r="BG60" s="32">
        <f t="shared" si="654"/>
        <v>241.45482999999999</v>
      </c>
      <c r="BH60" s="32">
        <f t="shared" si="654"/>
        <v>241.45482999999999</v>
      </c>
      <c r="BI60" s="32">
        <f t="shared" si="654"/>
        <v>253.75856999999999</v>
      </c>
      <c r="BJ60" s="32">
        <f t="shared" si="654"/>
        <v>261.13094000000001</v>
      </c>
      <c r="BK60" s="32">
        <f t="shared" si="654"/>
        <v>255.18901</v>
      </c>
      <c r="BL60" s="32">
        <f t="shared" si="654"/>
        <v>216.76361</v>
      </c>
      <c r="BM60" s="32">
        <f t="shared" si="654"/>
        <v>259.60229000000004</v>
      </c>
      <c r="BN60" s="32">
        <f t="shared" si="654"/>
        <v>188.26948000000002</v>
      </c>
      <c r="BO60" s="32">
        <f t="shared" si="654"/>
        <v>216.24797000000001</v>
      </c>
      <c r="BP60" s="32">
        <f t="shared" si="654"/>
        <v>128.00421</v>
      </c>
      <c r="BQ60" s="32">
        <f t="shared" si="654"/>
        <v>227.64894999999999</v>
      </c>
      <c r="BR60" s="32">
        <f t="shared" si="654"/>
        <v>219.19041000000001</v>
      </c>
      <c r="BS60" s="32">
        <f t="shared" si="654"/>
        <v>253.80251000000001</v>
      </c>
      <c r="BT60" s="32">
        <f t="shared" si="654"/>
        <v>210.59742</v>
      </c>
      <c r="BU60" s="32">
        <f t="shared" si="654"/>
        <v>243.56395000000001</v>
      </c>
      <c r="BV60" s="32">
        <f t="shared" si="654"/>
        <v>235.51445999999999</v>
      </c>
      <c r="BW60" s="32">
        <f t="shared" si="654"/>
        <v>259.83763999999996</v>
      </c>
      <c r="BX60" s="32">
        <f t="shared" si="654"/>
        <v>267.60029999999995</v>
      </c>
      <c r="BY60" s="32">
        <f t="shared" si="654"/>
        <v>238.59147000000002</v>
      </c>
      <c r="BZ60" s="32">
        <f t="shared" si="654"/>
        <v>273.31394</v>
      </c>
      <c r="CA60" s="32">
        <f t="shared" ref="CA60:EL60" si="655">SUM(CA54:CA59)</f>
        <v>255.32895000000002</v>
      </c>
      <c r="CB60" s="32">
        <f t="shared" si="655"/>
        <v>274.55728999999997</v>
      </c>
      <c r="CC60" s="32">
        <f t="shared" si="655"/>
        <v>265.68453</v>
      </c>
      <c r="CD60" s="32">
        <f t="shared" si="655"/>
        <v>284.91505999999998</v>
      </c>
      <c r="CE60" s="32">
        <f t="shared" si="655"/>
        <v>245.67417000000003</v>
      </c>
      <c r="CF60" s="32">
        <f t="shared" si="655"/>
        <v>294.80152999999996</v>
      </c>
      <c r="CG60" s="32">
        <f t="shared" si="655"/>
        <v>272.95519999999999</v>
      </c>
      <c r="CH60" s="32">
        <f t="shared" si="655"/>
        <v>272.71158000000003</v>
      </c>
      <c r="CI60" s="32">
        <f ca="1">SUM(CI54:CI59)</f>
        <v>262.40600000000001</v>
      </c>
      <c r="CJ60" s="32">
        <f t="shared" ca="1" si="655"/>
        <v>290.56200000000001</v>
      </c>
      <c r="CK60" s="32">
        <f t="shared" ca="1" si="655"/>
        <v>290.56200000000001</v>
      </c>
      <c r="CL60" s="32">
        <f t="shared" ca="1" si="655"/>
        <v>295.16999999999996</v>
      </c>
      <c r="CM60" s="32">
        <f t="shared" ca="1" si="655"/>
        <v>295.16999999999996</v>
      </c>
      <c r="CN60" s="32">
        <f t="shared" ca="1" si="655"/>
        <v>295.66300000000001</v>
      </c>
      <c r="CO60" s="32">
        <f t="shared" ca="1" si="655"/>
        <v>295.66300000000001</v>
      </c>
      <c r="CP60" s="32">
        <f t="shared" ca="1" si="655"/>
        <v>308.33</v>
      </c>
      <c r="CQ60" s="32">
        <f t="shared" ca="1" si="655"/>
        <v>309.375</v>
      </c>
      <c r="CR60" s="32">
        <f t="shared" ca="1" si="655"/>
        <v>288.89599999999996</v>
      </c>
      <c r="CS60" s="32">
        <f t="shared" ca="1" si="655"/>
        <v>270.72999999999996</v>
      </c>
      <c r="CT60" s="32">
        <f t="shared" ca="1" si="655"/>
        <v>317.38799999999998</v>
      </c>
      <c r="CU60" s="32">
        <f t="shared" ca="1" si="655"/>
        <v>313.73099999999999</v>
      </c>
      <c r="CV60" s="32">
        <f t="shared" ca="1" si="655"/>
        <v>321.36899999999997</v>
      </c>
      <c r="CW60" s="32">
        <f t="shared" ca="1" si="655"/>
        <v>321.36899999999997</v>
      </c>
      <c r="CX60" s="32">
        <f t="shared" ca="1" si="655"/>
        <v>296.00599999999997</v>
      </c>
      <c r="CY60" s="32">
        <f t="shared" ca="1" si="655"/>
        <v>323.745</v>
      </c>
      <c r="CZ60" s="32">
        <f t="shared" ca="1" si="655"/>
        <v>297.71499999999997</v>
      </c>
      <c r="DA60" s="32">
        <f t="shared" ca="1" si="655"/>
        <v>322.94499999999999</v>
      </c>
      <c r="DB60" s="32">
        <f t="shared" ca="1" si="655"/>
        <v>341.923</v>
      </c>
      <c r="DC60" s="32">
        <f t="shared" ca="1" si="655"/>
        <v>385.41999999999996</v>
      </c>
      <c r="DD60" s="32">
        <f t="shared" ca="1" si="655"/>
        <v>385.41999999999996</v>
      </c>
      <c r="DE60" s="32">
        <f t="shared" ca="1" si="655"/>
        <v>385.97799999999995</v>
      </c>
      <c r="DF60" s="32">
        <f t="shared" ca="1" si="655"/>
        <v>386.88199999999995</v>
      </c>
      <c r="DG60" s="32">
        <f t="shared" ca="1" si="655"/>
        <v>387.63699999999994</v>
      </c>
      <c r="DH60" s="32">
        <f t="shared" ca="1" si="655"/>
        <v>388.53399999999999</v>
      </c>
      <c r="DI60" s="32">
        <f t="shared" ca="1" si="655"/>
        <v>389.13199999999995</v>
      </c>
      <c r="DJ60" s="32">
        <f t="shared" ca="1" si="655"/>
        <v>394.73700000000002</v>
      </c>
      <c r="DK60" s="32">
        <f t="shared" ca="1" si="655"/>
        <v>395.3</v>
      </c>
      <c r="DL60" s="32">
        <f t="shared" ca="1" si="655"/>
        <v>395.3</v>
      </c>
      <c r="DM60" s="32">
        <f t="shared" ca="1" si="655"/>
        <v>395.79500000000002</v>
      </c>
      <c r="DN60" s="32">
        <f t="shared" ca="1" si="655"/>
        <v>385.22500000000002</v>
      </c>
      <c r="DO60" s="32">
        <f t="shared" ca="1" si="655"/>
        <v>395.7</v>
      </c>
      <c r="DP60" s="32">
        <f t="shared" ca="1" si="655"/>
        <v>395.7</v>
      </c>
      <c r="DQ60" s="32">
        <f t="shared" ca="1" si="655"/>
        <v>396.27500000000003</v>
      </c>
      <c r="DR60" s="32">
        <f t="shared" ca="1" si="655"/>
        <v>397.20600000000002</v>
      </c>
      <c r="DS60" s="32">
        <f t="shared" ca="1" si="655"/>
        <v>397.983</v>
      </c>
      <c r="DT60" s="32">
        <f t="shared" ca="1" si="655"/>
        <v>398.916</v>
      </c>
      <c r="DU60" s="32">
        <f t="shared" ca="1" si="655"/>
        <v>399.60399999999998</v>
      </c>
      <c r="DV60" s="32">
        <f t="shared" ca="1" si="655"/>
        <v>403.64099999999996</v>
      </c>
      <c r="DW60" s="32">
        <f t="shared" ca="1" si="655"/>
        <v>404.221</v>
      </c>
      <c r="DX60" s="32">
        <f t="shared" ca="1" si="655"/>
        <v>404.221</v>
      </c>
      <c r="DY60" s="32">
        <f t="shared" ca="1" si="655"/>
        <v>404.73099999999999</v>
      </c>
      <c r="DZ60" s="32">
        <f t="shared" ca="1" si="655"/>
        <v>405.166</v>
      </c>
      <c r="EA60" s="32">
        <f t="shared" ca="1" si="655"/>
        <v>406.22199999999998</v>
      </c>
      <c r="EB60" s="32">
        <f t="shared" ca="1" si="655"/>
        <v>406.22199999999998</v>
      </c>
      <c r="EC60" s="32">
        <f t="shared" ca="1" si="655"/>
        <v>406.81399999999996</v>
      </c>
      <c r="ED60" s="32">
        <f t="shared" ca="1" si="655"/>
        <v>407.774</v>
      </c>
      <c r="EE60" s="32">
        <f t="shared" ca="1" si="655"/>
        <v>386.971</v>
      </c>
      <c r="EF60" s="32">
        <f t="shared" ca="1" si="655"/>
        <v>376.22900000000004</v>
      </c>
      <c r="EG60" s="32">
        <f t="shared" ca="1" si="655"/>
        <v>408.52600000000001</v>
      </c>
      <c r="EH60" s="32">
        <f t="shared" ca="1" si="655"/>
        <v>414.17200000000003</v>
      </c>
      <c r="EI60" s="32">
        <f t="shared" ca="1" si="655"/>
        <v>414.76900000000001</v>
      </c>
      <c r="EJ60" s="32">
        <f t="shared" ca="1" si="655"/>
        <v>414.76900000000001</v>
      </c>
      <c r="EK60" s="32">
        <f t="shared" ca="1" si="655"/>
        <v>415.29399999999998</v>
      </c>
      <c r="EL60" s="32">
        <f t="shared" ca="1" si="655"/>
        <v>415.74199999999996</v>
      </c>
      <c r="EM60" s="32">
        <f t="shared" ref="EM60:GT60" ca="1" si="656">SUM(EM54:EM59)</f>
        <v>416.83100000000002</v>
      </c>
      <c r="EN60" s="32">
        <f t="shared" ca="1" si="656"/>
        <v>416.83100000000002</v>
      </c>
      <c r="EO60" s="32">
        <f t="shared" ca="1" si="656"/>
        <v>417.44</v>
      </c>
      <c r="EP60" s="32">
        <f t="shared" ca="1" si="656"/>
        <v>418.74699999999996</v>
      </c>
      <c r="EQ60" s="32">
        <f t="shared" ca="1" si="656"/>
        <v>398.18100000000004</v>
      </c>
      <c r="ER60" s="32">
        <f t="shared" ca="1" si="656"/>
        <v>415.19299999999998</v>
      </c>
      <c r="ES60" s="32">
        <f t="shared" ca="1" si="656"/>
        <v>416.46699999999998</v>
      </c>
      <c r="ET60" s="32">
        <f t="shared" ca="1" si="656"/>
        <v>421.99899999999997</v>
      </c>
      <c r="EU60" s="32">
        <f t="shared" ca="1" si="656"/>
        <v>422.61399999999998</v>
      </c>
      <c r="EV60" s="32">
        <f t="shared" ca="1" si="656"/>
        <v>422.61399999999998</v>
      </c>
      <c r="EW60" s="32">
        <f t="shared" ca="1" si="656"/>
        <v>423.15499999999992</v>
      </c>
      <c r="EX60" s="32">
        <f t="shared" ca="1" si="656"/>
        <v>409.18899999999996</v>
      </c>
      <c r="EY60" s="32">
        <f t="shared" ca="1" si="656"/>
        <v>399.12599999999992</v>
      </c>
      <c r="EZ60" s="32">
        <f t="shared" ca="1" si="656"/>
        <v>420.83799999999991</v>
      </c>
      <c r="FA60" s="32">
        <f t="shared" ca="1" si="656"/>
        <v>388.99299999999994</v>
      </c>
      <c r="FB60" s="32">
        <f t="shared" ca="1" si="656"/>
        <v>365.52499999999998</v>
      </c>
      <c r="FC60" s="32">
        <f t="shared" ca="1" si="656"/>
        <v>414.72099999999995</v>
      </c>
      <c r="FD60" s="32">
        <f t="shared" ca="1" si="656"/>
        <v>415.51399999999995</v>
      </c>
      <c r="FE60" s="32">
        <f t="shared" ca="1" si="656"/>
        <v>416.15599999999995</v>
      </c>
      <c r="FF60" s="32">
        <f t="shared" ca="1" si="656"/>
        <v>421.47</v>
      </c>
      <c r="FG60" s="32">
        <f t="shared" ca="1" si="656"/>
        <v>389.05700000000002</v>
      </c>
      <c r="FH60" s="32">
        <f t="shared" ca="1" si="656"/>
        <v>419.11599999999999</v>
      </c>
      <c r="FI60" s="32">
        <f t="shared" ca="1" si="656"/>
        <v>390.59100000000001</v>
      </c>
      <c r="FJ60" s="32">
        <f t="shared" ca="1" si="656"/>
        <v>417.27099999999996</v>
      </c>
      <c r="FK60" s="32">
        <f t="shared" ca="1" si="656"/>
        <v>353.55400000000003</v>
      </c>
      <c r="FL60" s="32">
        <f t="shared" ca="1" si="656"/>
        <v>373.52300000000002</v>
      </c>
      <c r="FM60" s="32">
        <f t="shared" ca="1" si="656"/>
        <v>407.75700000000001</v>
      </c>
      <c r="FN60" s="32">
        <f t="shared" ca="1" si="656"/>
        <v>408.315</v>
      </c>
      <c r="FO60" s="32">
        <f t="shared" ca="1" si="656"/>
        <v>409.21899999999999</v>
      </c>
      <c r="FP60" s="32">
        <f t="shared" ca="1" si="656"/>
        <v>410.036</v>
      </c>
      <c r="FQ60" s="32">
        <f t="shared" ca="1" si="656"/>
        <v>410.697</v>
      </c>
      <c r="FR60" s="32">
        <f t="shared" ca="1" si="656"/>
        <v>416.73700000000002</v>
      </c>
      <c r="FS60" s="32">
        <f t="shared" ca="1" si="656"/>
        <v>416.73700000000002</v>
      </c>
      <c r="FT60" s="32">
        <f t="shared" ca="1" si="656"/>
        <v>417.29900000000004</v>
      </c>
      <c r="FU60" s="32">
        <f t="shared" ca="1" si="656"/>
        <v>417.29900000000004</v>
      </c>
      <c r="FV60" s="32">
        <f t="shared" ca="1" si="656"/>
        <v>418.02699999999999</v>
      </c>
      <c r="FW60" s="32">
        <f t="shared" ca="1" si="656"/>
        <v>407.54</v>
      </c>
      <c r="FX60" s="32">
        <f t="shared" ca="1" si="656"/>
        <v>418.34099999999995</v>
      </c>
      <c r="FY60" s="32">
        <f t="shared" ca="1" si="656"/>
        <v>418.69900000000001</v>
      </c>
      <c r="FZ60" s="32">
        <f t="shared" ca="1" si="656"/>
        <v>419.27399999999994</v>
      </c>
      <c r="GA60" s="32">
        <f t="shared" ca="1" si="656"/>
        <v>420.20499999999998</v>
      </c>
      <c r="GB60" s="32">
        <f t="shared" ca="1" si="656"/>
        <v>421.04699999999997</v>
      </c>
      <c r="GC60" s="32">
        <f t="shared" ca="1" si="656"/>
        <v>422.43799999999993</v>
      </c>
      <c r="GD60" s="32">
        <f t="shared" ca="1" si="656"/>
        <v>428.63699999999994</v>
      </c>
      <c r="GE60" s="32">
        <f t="shared" ca="1" si="656"/>
        <v>428.63699999999994</v>
      </c>
      <c r="GF60" s="32">
        <f t="shared" ca="1" si="656"/>
        <v>429.21699999999998</v>
      </c>
      <c r="GG60" s="32">
        <f t="shared" ca="1" si="656"/>
        <v>429.21699999999998</v>
      </c>
      <c r="GH60" s="32">
        <f t="shared" ca="1" si="656"/>
        <v>429.96599999999995</v>
      </c>
      <c r="GI60" s="32">
        <f t="shared" ca="1" si="656"/>
        <v>430.29300000000001</v>
      </c>
      <c r="GJ60" s="32">
        <f t="shared" ca="1" si="656"/>
        <v>431.23199999999997</v>
      </c>
      <c r="GK60" s="32">
        <f t="shared" ca="1" si="656"/>
        <v>431.59999999999997</v>
      </c>
      <c r="GL60" s="32">
        <f t="shared" ca="1" si="656"/>
        <v>432.19200000000001</v>
      </c>
      <c r="GM60" s="32">
        <f t="shared" ca="1" si="656"/>
        <v>433.15099999999995</v>
      </c>
      <c r="GN60" s="32">
        <f t="shared" ca="1" si="656"/>
        <v>404.05499999999995</v>
      </c>
      <c r="GO60" s="32">
        <f t="shared" ca="1" si="656"/>
        <v>394.84499999999997</v>
      </c>
      <c r="GP60" s="32">
        <f t="shared" ca="1" si="656"/>
        <v>433.88200000000001</v>
      </c>
      <c r="GQ60" s="32">
        <f t="shared" ca="1" si="656"/>
        <v>433.88200000000001</v>
      </c>
      <c r="GR60" s="32">
        <f t="shared" ca="1" si="656"/>
        <v>434.47800000000001</v>
      </c>
      <c r="GS60" s="32">
        <f t="shared" ca="1" si="656"/>
        <v>434.47800000000001</v>
      </c>
      <c r="GT60" s="32">
        <f t="shared" ca="1" si="656"/>
        <v>435.25100000000003</v>
      </c>
      <c r="GU60" s="34"/>
      <c r="GV60" s="34"/>
      <c r="GW60" s="34"/>
      <c r="GX60" s="34"/>
      <c r="GY60" s="34"/>
      <c r="GZ60" s="34"/>
      <c r="HA60" s="34"/>
      <c r="HB60" s="34"/>
      <c r="HC60" s="34"/>
      <c r="HD60" s="34"/>
      <c r="HE60" s="34"/>
      <c r="HF60" s="1" t="s">
        <v>212</v>
      </c>
      <c r="HG60" s="139" t="e">
        <f t="shared" si="519"/>
        <v>#REF!</v>
      </c>
      <c r="HH60" s="9" t="str">
        <f t="shared" si="649"/>
        <v>Potential Gross Revenue</v>
      </c>
      <c r="HI60" s="34"/>
      <c r="HJ60" s="34"/>
      <c r="HK60" s="34"/>
      <c r="HL60" s="123">
        <f t="shared" ca="1" si="651"/>
        <v>23764.631719999998</v>
      </c>
      <c r="HM60" s="34"/>
      <c r="HN60" s="124">
        <f t="shared" si="650"/>
        <v>0</v>
      </c>
      <c r="HO60" s="34">
        <f t="shared" si="650"/>
        <v>2428.3100199999999</v>
      </c>
      <c r="HP60" s="34">
        <f t="shared" si="650"/>
        <v>2531.5084600000005</v>
      </c>
      <c r="HQ60" s="34">
        <f t="shared" si="650"/>
        <v>2717.1494399999997</v>
      </c>
      <c r="HR60" s="34">
        <f t="shared" si="650"/>
        <v>3026.8155300000003</v>
      </c>
      <c r="HS60" s="34">
        <f t="shared" si="650"/>
        <v>2721.0627799999997</v>
      </c>
      <c r="HT60" s="34">
        <f t="shared" si="650"/>
        <v>3055.1791800000001</v>
      </c>
      <c r="HU60" s="34">
        <f t="shared" ca="1" si="650"/>
        <v>3483.36931</v>
      </c>
      <c r="HV60" s="34">
        <f t="shared" ca="1" si="650"/>
        <v>3801.2370000000001</v>
      </c>
      <c r="HW60"/>
    </row>
    <row r="61" spans="1:231" ht="16" thickBot="1">
      <c r="A61" s="441">
        <v>7</v>
      </c>
      <c r="B61" s="9" t="s">
        <v>440</v>
      </c>
      <c r="F61" s="152"/>
      <c r="G61" s="512" t="s">
        <v>137</v>
      </c>
      <c r="H61" s="542" t="str">
        <f ca="1">IF(ABS(SUM(I54:I59, I61)-I62)&lt;1, "YES", "ERROR")</f>
        <v>YES</v>
      </c>
      <c r="I61" s="132">
        <f ca="1">SUMIF($K$13:$GT$13,"&lt;="&amp;Assumptions!$L$17,'Monthly Cash Flow'!K61:GT61)</f>
        <v>-73.158000000000001</v>
      </c>
      <c r="J61" s="26"/>
      <c r="K61" s="26"/>
      <c r="L61" s="1193">
        <v>0</v>
      </c>
      <c r="M61" s="973">
        <v>0</v>
      </c>
      <c r="N61" s="973">
        <v>0</v>
      </c>
      <c r="O61" s="973">
        <v>0</v>
      </c>
      <c r="P61" s="973">
        <v>0</v>
      </c>
      <c r="Q61" s="973">
        <v>0</v>
      </c>
      <c r="R61" s="973">
        <v>0</v>
      </c>
      <c r="S61" s="973">
        <v>0</v>
      </c>
      <c r="T61" s="973">
        <v>0</v>
      </c>
      <c r="U61" s="973">
        <v>0</v>
      </c>
      <c r="V61" s="973">
        <v>0</v>
      </c>
      <c r="W61" s="973">
        <v>0</v>
      </c>
      <c r="X61" s="973">
        <v>0</v>
      </c>
      <c r="Y61" s="973">
        <v>0</v>
      </c>
      <c r="Z61" s="973">
        <v>0</v>
      </c>
      <c r="AA61" s="973">
        <v>0</v>
      </c>
      <c r="AB61" s="973">
        <v>0</v>
      </c>
      <c r="AC61" s="973">
        <v>0</v>
      </c>
      <c r="AD61" s="973">
        <v>0</v>
      </c>
      <c r="AE61" s="973">
        <v>0</v>
      </c>
      <c r="AF61" s="973">
        <v>0</v>
      </c>
      <c r="AG61" s="973">
        <v>0</v>
      </c>
      <c r="AH61" s="973">
        <v>0</v>
      </c>
      <c r="AI61" s="973">
        <v>0</v>
      </c>
      <c r="AJ61" s="973">
        <v>0</v>
      </c>
      <c r="AK61" s="973">
        <v>0</v>
      </c>
      <c r="AL61" s="973">
        <v>0</v>
      </c>
      <c r="AM61" s="973">
        <v>0</v>
      </c>
      <c r="AN61" s="973">
        <v>0</v>
      </c>
      <c r="AO61" s="973">
        <v>0</v>
      </c>
      <c r="AP61" s="973">
        <v>0</v>
      </c>
      <c r="AQ61" s="973">
        <v>0</v>
      </c>
      <c r="AR61" s="973">
        <v>0</v>
      </c>
      <c r="AS61" s="973">
        <v>0</v>
      </c>
      <c r="AT61" s="973">
        <v>0</v>
      </c>
      <c r="AU61" s="973">
        <v>0</v>
      </c>
      <c r="AV61" s="973">
        <v>0</v>
      </c>
      <c r="AW61" s="973">
        <v>0</v>
      </c>
      <c r="AX61" s="973">
        <v>0</v>
      </c>
      <c r="AY61" s="973">
        <v>0</v>
      </c>
      <c r="AZ61" s="973">
        <v>0</v>
      </c>
      <c r="BA61" s="973">
        <v>0</v>
      </c>
      <c r="BB61" s="973">
        <v>0</v>
      </c>
      <c r="BC61" s="973">
        <v>0</v>
      </c>
      <c r="BD61" s="973">
        <v>0</v>
      </c>
      <c r="BE61" s="973">
        <v>0</v>
      </c>
      <c r="BF61" s="973">
        <v>0</v>
      </c>
      <c r="BG61" s="973">
        <v>0</v>
      </c>
      <c r="BH61" s="973">
        <v>0</v>
      </c>
      <c r="BI61" s="973">
        <v>0</v>
      </c>
      <c r="BJ61" s="973">
        <v>0</v>
      </c>
      <c r="BK61" s="973">
        <v>0</v>
      </c>
      <c r="BL61" s="26">
        <f ca="1">IFERROR(OFFSET(ARGUS!$A$3, MATCH($A61, ARGUS!$A$3:$A$176, 0)-1,MATCH(EOMONTH(BL$15,1), ARGUS!$B$4:$LG$4, 0)-1,1,1)/1000, 0)</f>
        <v>0</v>
      </c>
      <c r="BM61" s="26">
        <f ca="1">IFERROR(OFFSET(ARGUS!$A$3, MATCH($A61, ARGUS!$A$3:$A$176, 0)-1,MATCH(EOMONTH(BM$15,1), ARGUS!$B$4:$LG$4, 0)-1,1,1)/1000, 0)</f>
        <v>0</v>
      </c>
      <c r="BN61" s="26">
        <f ca="1">IFERROR(OFFSET(ARGUS!$A$3, MATCH($A61, ARGUS!$A$3:$A$176, 0)-1,MATCH(EOMONTH(BN$15,1), ARGUS!$B$4:$LG$4, 0)-1,1,1)/1000, 0)</f>
        <v>0</v>
      </c>
      <c r="BO61" s="26">
        <f ca="1">IFERROR(OFFSET(ARGUS!$A$3, MATCH($A61, ARGUS!$A$3:$A$176, 0)-1,MATCH(EOMONTH(BO$15,1), ARGUS!$B$4:$LG$4, 0)-1,1,1)/1000, 0)</f>
        <v>0</v>
      </c>
      <c r="BP61" s="26">
        <f ca="1">IFERROR(OFFSET(ARGUS!$A$3, MATCH($A61, ARGUS!$A$3:$A$176, 0)-1,MATCH(EOMONTH(BP$15,1), ARGUS!$B$4:$LG$4, 0)-1,1,1)/1000, 0)</f>
        <v>0</v>
      </c>
      <c r="BQ61" s="26">
        <f ca="1">IFERROR(OFFSET(ARGUS!$A$3, MATCH($A61, ARGUS!$A$3:$A$176, 0)-1,MATCH(EOMONTH(BQ$15,1), ARGUS!$B$4:$LG$4, 0)-1,1,1)/1000, 0)</f>
        <v>0</v>
      </c>
      <c r="BR61" s="26">
        <f ca="1">IFERROR(OFFSET(ARGUS!$A$3, MATCH($A61, ARGUS!$A$3:$A$176, 0)-1,MATCH(EOMONTH(BR$15,1), ARGUS!$B$4:$LG$4, 0)-1,1,1)/1000, 0)</f>
        <v>0</v>
      </c>
      <c r="BS61" s="26">
        <f ca="1">IFERROR(OFFSET(ARGUS!$A$3, MATCH($A61, ARGUS!$A$3:$A$176, 0)-1,MATCH(EOMONTH(BS$15,1), ARGUS!$B$4:$LG$4, 0)-1,1,1)/1000, 0)</f>
        <v>0</v>
      </c>
      <c r="BT61" s="26">
        <f ca="1">IFERROR(OFFSET(ARGUS!$A$3, MATCH($A61, ARGUS!$A$3:$A$176, 0)-1,MATCH(EOMONTH(BT$15,1), ARGUS!$B$4:$LG$4, 0)-1,1,1)/1000, 0)</f>
        <v>0</v>
      </c>
      <c r="BU61" s="26">
        <f ca="1">IFERROR(OFFSET(ARGUS!$A$3, MATCH($A61, ARGUS!$A$3:$A$176, 0)-1,MATCH(EOMONTH(BU$15,1), ARGUS!$B$4:$LG$4, 0)-1,1,1)/1000, 0)</f>
        <v>0</v>
      </c>
      <c r="BV61" s="26">
        <f ca="1">IFERROR(OFFSET(ARGUS!$A$3, MATCH($A61, ARGUS!$A$3:$A$176, 0)-1,MATCH(EOMONTH(BV$15,1), ARGUS!$B$4:$LG$4, 0)-1,1,1)/1000, 0)</f>
        <v>0</v>
      </c>
      <c r="BW61" s="26">
        <f ca="1">IFERROR(OFFSET(ARGUS!$A$3, MATCH($A61, ARGUS!$A$3:$A$176, 0)-1,MATCH(EOMONTH(BW$15,1), ARGUS!$B$4:$LG$4, 0)-1,1,1)/1000, 0)</f>
        <v>0</v>
      </c>
      <c r="BX61" s="26">
        <f ca="1">IFERROR(OFFSET(ARGUS!$A$3, MATCH($A61, ARGUS!$A$3:$A$176, 0)-1,MATCH(EOMONTH(BX$15,1), ARGUS!$B$4:$LG$4, 0)-1,1,1)/1000, 0)</f>
        <v>0</v>
      </c>
      <c r="BY61" s="26">
        <f ca="1">IFERROR(OFFSET(ARGUS!$A$3, MATCH($A61, ARGUS!$A$3:$A$176, 0)-1,MATCH(EOMONTH(BY$15,1), ARGUS!$B$4:$LG$4, 0)-1,1,1)/1000, 0)</f>
        <v>0</v>
      </c>
      <c r="BZ61" s="26">
        <f ca="1">IFERROR(OFFSET(ARGUS!$A$3, MATCH($A61, ARGUS!$A$3:$A$176, 0)-1,MATCH(EOMONTH(BZ$15,1), ARGUS!$B$4:$LG$4, 0)-1,1,1)/1000, 0)</f>
        <v>0</v>
      </c>
      <c r="CA61" s="26">
        <f ca="1">IFERROR(OFFSET(ARGUS!$A$3, MATCH($A61, ARGUS!$A$3:$A$176, 0)-1,MATCH(EOMONTH(CA$15,1), ARGUS!$B$4:$LG$4, 0)-1,1,1)/1000, 0)</f>
        <v>0</v>
      </c>
      <c r="CB61" s="26">
        <f ca="1">IFERROR(OFFSET(ARGUS!$A$3, MATCH($A61, ARGUS!$A$3:$A$176, 0)-1,MATCH(EOMONTH(CB$15,1), ARGUS!$B$4:$LG$4, 0)-1,1,1)/1000, 0)</f>
        <v>0</v>
      </c>
      <c r="CC61" s="26">
        <f ca="1">IFERROR(OFFSET(ARGUS!$A$3, MATCH($A61, ARGUS!$A$3:$A$176, 0)-1,MATCH(EOMONTH(CC$15,1), ARGUS!$B$4:$LG$4, 0)-1,1,1)/1000, 0)</f>
        <v>0</v>
      </c>
      <c r="CD61" s="26">
        <f ca="1">IFERROR(OFFSET(ARGUS!$A$3, MATCH($A61, ARGUS!$A$3:$A$176, 0)-1,MATCH(EOMONTH(CD$15,1), ARGUS!$B$4:$LG$4, 0)-1,1,1)/1000, 0)</f>
        <v>0</v>
      </c>
      <c r="CE61" s="26">
        <f ca="1">IFERROR(OFFSET(ARGUS!$A$3, MATCH($A61, ARGUS!$A$3:$A$176, 0)-1,MATCH(EOMONTH(CE$15,1), ARGUS!$B$4:$LG$4, 0)-1,1,1)/1000, 0)</f>
        <v>0</v>
      </c>
      <c r="CF61" s="26">
        <f ca="1">IFERROR(OFFSET(ARGUS!$A$3, MATCH($A61, ARGUS!$A$3:$A$176, 0)-1,MATCH(EOMONTH(CF$15,1), ARGUS!$B$4:$LG$4, 0)-1,1,1)/1000, 0)</f>
        <v>0</v>
      </c>
      <c r="CG61" s="26">
        <f ca="1">IFERROR(OFFSET(ARGUS!$A$3, MATCH($A61, ARGUS!$A$3:$A$176, 0)-1,MATCH(EOMONTH(CG$15,1), ARGUS!$B$4:$LG$4, 0)-1,1,1)/1000, 0)</f>
        <v>0</v>
      </c>
      <c r="CH61" s="26">
        <f ca="1">IFERROR(OFFSET(ARGUS!$A$3, MATCH($A61, ARGUS!$A$3:$A$176, 0)-1,MATCH(EOMONTH(CH$15,1), ARGUS!$B$4:$LG$4, 0)-1,1,1)/1000, 0)</f>
        <v>0</v>
      </c>
      <c r="CI61" s="26">
        <v>0</v>
      </c>
      <c r="CJ61" s="26">
        <v>0</v>
      </c>
      <c r="CK61" s="26">
        <v>0</v>
      </c>
      <c r="CL61" s="26">
        <v>0</v>
      </c>
      <c r="CM61" s="26">
        <v>0</v>
      </c>
      <c r="CN61" s="26">
        <v>0</v>
      </c>
      <c r="CO61" s="26">
        <v>0</v>
      </c>
      <c r="CP61" s="26">
        <v>0</v>
      </c>
      <c r="CQ61" s="26">
        <v>0</v>
      </c>
      <c r="CR61" s="26">
        <v>0</v>
      </c>
      <c r="CS61" s="26">
        <v>0</v>
      </c>
      <c r="CT61" s="26">
        <v>0</v>
      </c>
      <c r="CU61" s="26">
        <v>0</v>
      </c>
      <c r="CV61" s="26">
        <v>0</v>
      </c>
      <c r="CW61" s="26">
        <v>0</v>
      </c>
      <c r="CX61" s="26">
        <v>0</v>
      </c>
      <c r="CY61" s="26">
        <v>0</v>
      </c>
      <c r="CZ61" s="26">
        <v>0</v>
      </c>
      <c r="DA61" s="26">
        <v>0</v>
      </c>
      <c r="DB61" s="26">
        <v>0</v>
      </c>
      <c r="DC61" s="26">
        <f ca="1">IFERROR(OFFSET(ARGUS!$A$3, MATCH($A61, ARGUS!$A$3:$A$176, 0)-1,MATCH(EOMONTH(DC$15,1), ARGUS!$B$4:$LG$4, 0)-1,1,1)/1000, 0)</f>
        <v>-10.365</v>
      </c>
      <c r="DD61" s="26">
        <f ca="1">IFERROR(OFFSET(ARGUS!$A$3, MATCH($A61, ARGUS!$A$3:$A$176, 0)-1,MATCH(EOMONTH(DD$15,1), ARGUS!$B$4:$LG$4, 0)-1,1,1)/1000, 0)</f>
        <v>-10.365</v>
      </c>
      <c r="DE61" s="26">
        <f ca="1">IFERROR(OFFSET(ARGUS!$A$3, MATCH($A61, ARGUS!$A$3:$A$176, 0)-1,MATCH(EOMONTH(DE$15,1), ARGUS!$B$4:$LG$4, 0)-1,1,1)/1000, 0)</f>
        <v>-10.365</v>
      </c>
      <c r="DF61" s="26">
        <f ca="1">IFERROR(OFFSET(ARGUS!$A$3, MATCH($A61, ARGUS!$A$3:$A$176, 0)-1,MATCH(EOMONTH(DF$15,1), ARGUS!$B$4:$LG$4, 0)-1,1,1)/1000, 0)</f>
        <v>-10.365</v>
      </c>
      <c r="DG61" s="26">
        <f ca="1">IFERROR(OFFSET(ARGUS!$A$3, MATCH($A61, ARGUS!$A$3:$A$176, 0)-1,MATCH(EOMONTH(DG$15,1), ARGUS!$B$4:$LG$4, 0)-1,1,1)/1000, 0)</f>
        <v>-10.566000000000001</v>
      </c>
      <c r="DH61" s="26">
        <f ca="1">IFERROR(OFFSET(ARGUS!$A$3, MATCH($A61, ARGUS!$A$3:$A$176, 0)-1,MATCH(EOMONTH(DH$15,1), ARGUS!$B$4:$LG$4, 0)-1,1,1)/1000, 0)</f>
        <v>-10.566000000000001</v>
      </c>
      <c r="DI61" s="26">
        <f ca="1">IFERROR(OFFSET(ARGUS!$A$3, MATCH($A61, ARGUS!$A$3:$A$176, 0)-1,MATCH(EOMONTH(DI$15,1), ARGUS!$B$4:$LG$4, 0)-1,1,1)/1000, 0)</f>
        <v>-10.566000000000001</v>
      </c>
      <c r="DJ61" s="26">
        <f ca="1">IFERROR(OFFSET(ARGUS!$A$3, MATCH($A61, ARGUS!$A$3:$A$176, 0)-1,MATCH(EOMONTH(DJ$15,1), ARGUS!$B$4:$LG$4, 0)-1,1,1)/1000, 0)</f>
        <v>-10.566000000000001</v>
      </c>
      <c r="DK61" s="26">
        <f ca="1">IFERROR(OFFSET(ARGUS!$A$3, MATCH($A61, ARGUS!$A$3:$A$176, 0)-1,MATCH(EOMONTH(DK$15,1), ARGUS!$B$4:$LG$4, 0)-1,1,1)/1000, 0)</f>
        <v>-10.566000000000001</v>
      </c>
      <c r="DL61" s="26">
        <f ca="1">IFERROR(OFFSET(ARGUS!$A$3, MATCH($A61, ARGUS!$A$3:$A$176, 0)-1,MATCH(EOMONTH(DL$15,1), ARGUS!$B$4:$LG$4, 0)-1,1,1)/1000, 0)</f>
        <v>-10.566000000000001</v>
      </c>
      <c r="DM61" s="26">
        <f ca="1">IFERROR(OFFSET(ARGUS!$A$3, MATCH($A61, ARGUS!$A$3:$A$176, 0)-1,MATCH(EOMONTH(DM$15,1), ARGUS!$B$4:$LG$4, 0)-1,1,1)/1000, 0)</f>
        <v>-10.566000000000001</v>
      </c>
      <c r="DN61" s="26">
        <f ca="1">IFERROR(OFFSET(ARGUS!$A$3, MATCH($A61, ARGUS!$A$3:$A$176, 0)-1,MATCH(EOMONTH(DN$15,1), ARGUS!$B$4:$LG$4, 0)-1,1,1)/1000, 0)</f>
        <v>-10.566000000000001</v>
      </c>
      <c r="DO61" s="26">
        <f ca="1">IFERROR(OFFSET(ARGUS!$A$3, MATCH($A61, ARGUS!$A$3:$A$176, 0)-1,MATCH(EOMONTH(DO$15,1), ARGUS!$B$4:$LG$4, 0)-1,1,1)/1000, 0)</f>
        <v>-10.566000000000001</v>
      </c>
      <c r="DP61" s="26">
        <f ca="1">IFERROR(OFFSET(ARGUS!$A$3, MATCH($A61, ARGUS!$A$3:$A$176, 0)-1,MATCH(EOMONTH(DP$15,1), ARGUS!$B$4:$LG$4, 0)-1,1,1)/1000, 0)</f>
        <v>-10.566000000000001</v>
      </c>
      <c r="DQ61" s="26">
        <f ca="1">IFERROR(OFFSET(ARGUS!$A$3, MATCH($A61, ARGUS!$A$3:$A$176, 0)-1,MATCH(EOMONTH(DQ$15,1), ARGUS!$B$4:$LG$4, 0)-1,1,1)/1000, 0)</f>
        <v>-10.566000000000001</v>
      </c>
      <c r="DR61" s="26">
        <f ca="1">IFERROR(OFFSET(ARGUS!$A$3, MATCH($A61, ARGUS!$A$3:$A$176, 0)-1,MATCH(EOMONTH(DR$15,1), ARGUS!$B$4:$LG$4, 0)-1,1,1)/1000, 0)</f>
        <v>-10.566000000000001</v>
      </c>
      <c r="DS61" s="26">
        <f ca="1">IFERROR(OFFSET(ARGUS!$A$3, MATCH($A61, ARGUS!$A$3:$A$176, 0)-1,MATCH(EOMONTH(DS$15,1), ARGUS!$B$4:$LG$4, 0)-1,1,1)/1000, 0)</f>
        <v>-10.861000000000001</v>
      </c>
      <c r="DT61" s="26">
        <f ca="1">IFERROR(OFFSET(ARGUS!$A$3, MATCH($A61, ARGUS!$A$3:$A$176, 0)-1,MATCH(EOMONTH(DT$15,1), ARGUS!$B$4:$LG$4, 0)-1,1,1)/1000, 0)</f>
        <v>-10.861000000000001</v>
      </c>
      <c r="DU61" s="26">
        <f ca="1">IFERROR(OFFSET(ARGUS!$A$3, MATCH($A61, ARGUS!$A$3:$A$176, 0)-1,MATCH(EOMONTH(DU$15,1), ARGUS!$B$4:$LG$4, 0)-1,1,1)/1000, 0)</f>
        <v>-10.861000000000001</v>
      </c>
      <c r="DV61" s="26">
        <f ca="1">IFERROR(OFFSET(ARGUS!$A$3, MATCH($A61, ARGUS!$A$3:$A$176, 0)-1,MATCH(EOMONTH(DV$15,1), ARGUS!$B$4:$LG$4, 0)-1,1,1)/1000, 0)</f>
        <v>-10.861000000000001</v>
      </c>
      <c r="DW61" s="26">
        <f ca="1">IFERROR(OFFSET(ARGUS!$A$3, MATCH($A61, ARGUS!$A$3:$A$176, 0)-1,MATCH(EOMONTH(DW$15,1), ARGUS!$B$4:$LG$4, 0)-1,1,1)/1000, 0)</f>
        <v>-10.861000000000001</v>
      </c>
      <c r="DX61" s="26">
        <f ca="1">IFERROR(OFFSET(ARGUS!$A$3, MATCH($A61, ARGUS!$A$3:$A$176, 0)-1,MATCH(EOMONTH(DX$15,1), ARGUS!$B$4:$LG$4, 0)-1,1,1)/1000, 0)</f>
        <v>-10.861000000000001</v>
      </c>
      <c r="DY61" s="26">
        <f ca="1">IFERROR(OFFSET(ARGUS!$A$3, MATCH($A61, ARGUS!$A$3:$A$176, 0)-1,MATCH(EOMONTH(DY$15,1), ARGUS!$B$4:$LG$4, 0)-1,1,1)/1000, 0)</f>
        <v>-10.861000000000001</v>
      </c>
      <c r="DZ61" s="26">
        <f ca="1">IFERROR(OFFSET(ARGUS!$A$3, MATCH($A61, ARGUS!$A$3:$A$176, 0)-1,MATCH(EOMONTH(DZ$15,1), ARGUS!$B$4:$LG$4, 0)-1,1,1)/1000, 0)</f>
        <v>-10.861000000000001</v>
      </c>
      <c r="EA61" s="26">
        <f ca="1">IFERROR(OFFSET(ARGUS!$A$3, MATCH($A61, ARGUS!$A$3:$A$176, 0)-1,MATCH(EOMONTH(EA$15,1), ARGUS!$B$4:$LG$4, 0)-1,1,1)/1000, 0)</f>
        <v>-10.861000000000001</v>
      </c>
      <c r="EB61" s="26">
        <f ca="1">IFERROR(OFFSET(ARGUS!$A$3, MATCH($A61, ARGUS!$A$3:$A$176, 0)-1,MATCH(EOMONTH(EB$15,1), ARGUS!$B$4:$LG$4, 0)-1,1,1)/1000, 0)</f>
        <v>-10.861000000000001</v>
      </c>
      <c r="EC61" s="26">
        <f ca="1">IFERROR(OFFSET(ARGUS!$A$3, MATCH($A61, ARGUS!$A$3:$A$176, 0)-1,MATCH(EOMONTH(EC$15,1), ARGUS!$B$4:$LG$4, 0)-1,1,1)/1000, 0)</f>
        <v>-10.861000000000001</v>
      </c>
      <c r="ED61" s="26">
        <f ca="1">IFERROR(OFFSET(ARGUS!$A$3, MATCH($A61, ARGUS!$A$3:$A$176, 0)-1,MATCH(EOMONTH(ED$15,1), ARGUS!$B$4:$LG$4, 0)-1,1,1)/1000, 0)</f>
        <v>-10.861000000000001</v>
      </c>
      <c r="EE61" s="26">
        <f ca="1">IFERROR(OFFSET(ARGUS!$A$3, MATCH($A61, ARGUS!$A$3:$A$176, 0)-1,MATCH(EOMONTH(EE$15,1), ARGUS!$B$4:$LG$4, 0)-1,1,1)/1000, 0)</f>
        <v>-11.037000000000001</v>
      </c>
      <c r="EF61" s="26">
        <f ca="1">IFERROR(OFFSET(ARGUS!$A$3, MATCH($A61, ARGUS!$A$3:$A$176, 0)-1,MATCH(EOMONTH(EF$15,1), ARGUS!$B$4:$LG$4, 0)-1,1,1)/1000, 0)</f>
        <v>-11.037000000000001</v>
      </c>
      <c r="EG61" s="26">
        <f ca="1">IFERROR(OFFSET(ARGUS!$A$3, MATCH($A61, ARGUS!$A$3:$A$176, 0)-1,MATCH(EOMONTH(EG$15,1), ARGUS!$B$4:$LG$4, 0)-1,1,1)/1000, 0)</f>
        <v>-11.037000000000001</v>
      </c>
      <c r="EH61" s="26">
        <f ca="1">IFERROR(OFFSET(ARGUS!$A$3, MATCH($A61, ARGUS!$A$3:$A$176, 0)-1,MATCH(EOMONTH(EH$15,1), ARGUS!$B$4:$LG$4, 0)-1,1,1)/1000, 0)</f>
        <v>-11.037000000000001</v>
      </c>
      <c r="EI61" s="26">
        <f ca="1">IFERROR(OFFSET(ARGUS!$A$3, MATCH($A61, ARGUS!$A$3:$A$176, 0)-1,MATCH(EOMONTH(EI$15,1), ARGUS!$B$4:$LG$4, 0)-1,1,1)/1000, 0)</f>
        <v>-11.037000000000001</v>
      </c>
      <c r="EJ61" s="26">
        <f ca="1">IFERROR(OFFSET(ARGUS!$A$3, MATCH($A61, ARGUS!$A$3:$A$176, 0)-1,MATCH(EOMONTH(EJ$15,1), ARGUS!$B$4:$LG$4, 0)-1,1,1)/1000, 0)</f>
        <v>-11.037000000000001</v>
      </c>
      <c r="EK61" s="26">
        <f ca="1">IFERROR(OFFSET(ARGUS!$A$3, MATCH($A61, ARGUS!$A$3:$A$176, 0)-1,MATCH(EOMONTH(EK$15,1), ARGUS!$B$4:$LG$4, 0)-1,1,1)/1000, 0)</f>
        <v>-11.037000000000001</v>
      </c>
      <c r="EL61" s="26">
        <f ca="1">IFERROR(OFFSET(ARGUS!$A$3, MATCH($A61, ARGUS!$A$3:$A$176, 0)-1,MATCH(EOMONTH(EL$15,1), ARGUS!$B$4:$LG$4, 0)-1,1,1)/1000, 0)</f>
        <v>-11.037000000000001</v>
      </c>
      <c r="EM61" s="26">
        <f ca="1">IFERROR(OFFSET(ARGUS!$A$3, MATCH($A61, ARGUS!$A$3:$A$176, 0)-1,MATCH(EOMONTH(EM$15,1), ARGUS!$B$4:$LG$4, 0)-1,1,1)/1000, 0)</f>
        <v>-11.037000000000001</v>
      </c>
      <c r="EN61" s="26">
        <f ca="1">IFERROR(OFFSET(ARGUS!$A$3, MATCH($A61, ARGUS!$A$3:$A$176, 0)-1,MATCH(EOMONTH(EN$15,1), ARGUS!$B$4:$LG$4, 0)-1,1,1)/1000, 0)</f>
        <v>-11.037000000000001</v>
      </c>
      <c r="EO61" s="26">
        <f ca="1">IFERROR(OFFSET(ARGUS!$A$3, MATCH($A61, ARGUS!$A$3:$A$176, 0)-1,MATCH(EOMONTH(EO$15,1), ARGUS!$B$4:$LG$4, 0)-1,1,1)/1000, 0)</f>
        <v>-11.037000000000001</v>
      </c>
      <c r="EP61" s="26">
        <f ca="1">IFERROR(OFFSET(ARGUS!$A$3, MATCH($A61, ARGUS!$A$3:$A$176, 0)-1,MATCH(EOMONTH(EP$15,1), ARGUS!$B$4:$LG$4, 0)-1,1,1)/1000, 0)</f>
        <v>-11.037000000000001</v>
      </c>
      <c r="EQ61" s="26">
        <f ca="1">IFERROR(OFFSET(ARGUS!$A$3, MATCH($A61, ARGUS!$A$3:$A$176, 0)-1,MATCH(EOMONTH(EQ$15,1), ARGUS!$B$4:$LG$4, 0)-1,1,1)/1000, 0)</f>
        <v>-11.090999999999999</v>
      </c>
      <c r="ER61" s="26">
        <f ca="1">IFERROR(OFFSET(ARGUS!$A$3, MATCH($A61, ARGUS!$A$3:$A$176, 0)-1,MATCH(EOMONTH(ER$15,1), ARGUS!$B$4:$LG$4, 0)-1,1,1)/1000, 0)</f>
        <v>-11.090999999999999</v>
      </c>
      <c r="ES61" s="26">
        <f ca="1">IFERROR(OFFSET(ARGUS!$A$3, MATCH($A61, ARGUS!$A$3:$A$176, 0)-1,MATCH(EOMONTH(ES$15,1), ARGUS!$B$4:$LG$4, 0)-1,1,1)/1000, 0)</f>
        <v>-11.090999999999999</v>
      </c>
      <c r="ET61" s="26">
        <f ca="1">IFERROR(OFFSET(ARGUS!$A$3, MATCH($A61, ARGUS!$A$3:$A$176, 0)-1,MATCH(EOMONTH(ET$15,1), ARGUS!$B$4:$LG$4, 0)-1,1,1)/1000, 0)</f>
        <v>-11.090999999999999</v>
      </c>
      <c r="EU61" s="26">
        <f ca="1">IFERROR(OFFSET(ARGUS!$A$3, MATCH($A61, ARGUS!$A$3:$A$176, 0)-1,MATCH(EOMONTH(EU$15,1), ARGUS!$B$4:$LG$4, 0)-1,1,1)/1000, 0)</f>
        <v>-11.090999999999999</v>
      </c>
      <c r="EV61" s="26">
        <f ca="1">IFERROR(OFFSET(ARGUS!$A$3, MATCH($A61, ARGUS!$A$3:$A$176, 0)-1,MATCH(EOMONTH(EV$15,1), ARGUS!$B$4:$LG$4, 0)-1,1,1)/1000, 0)</f>
        <v>-11.090999999999999</v>
      </c>
      <c r="EW61" s="26">
        <f ca="1">IFERROR(OFFSET(ARGUS!$A$3, MATCH($A61, ARGUS!$A$3:$A$176, 0)-1,MATCH(EOMONTH(EW$15,1), ARGUS!$B$4:$LG$4, 0)-1,1,1)/1000, 0)</f>
        <v>-11.090999999999999</v>
      </c>
      <c r="EX61" s="26">
        <f ca="1">IFERROR(OFFSET(ARGUS!$A$3, MATCH($A61, ARGUS!$A$3:$A$176, 0)-1,MATCH(EOMONTH(EX$15,1), ARGUS!$B$4:$LG$4, 0)-1,1,1)/1000, 0)</f>
        <v>-11.090999999999999</v>
      </c>
      <c r="EY61" s="26">
        <f ca="1">IFERROR(OFFSET(ARGUS!$A$3, MATCH($A61, ARGUS!$A$3:$A$176, 0)-1,MATCH(EOMONTH(EY$15,1), ARGUS!$B$4:$LG$4, 0)-1,1,1)/1000, 0)</f>
        <v>-11.090999999999999</v>
      </c>
      <c r="EZ61" s="26">
        <f ca="1">IFERROR(OFFSET(ARGUS!$A$3, MATCH($A61, ARGUS!$A$3:$A$176, 0)-1,MATCH(EOMONTH(EZ$15,1), ARGUS!$B$4:$LG$4, 0)-1,1,1)/1000, 0)</f>
        <v>-11.090999999999999</v>
      </c>
      <c r="FA61" s="26">
        <f ca="1">IFERROR(OFFSET(ARGUS!$A$3, MATCH($A61, ARGUS!$A$3:$A$176, 0)-1,MATCH(EOMONTH(FA$15,1), ARGUS!$B$4:$LG$4, 0)-1,1,1)/1000, 0)</f>
        <v>-11.090999999999999</v>
      </c>
      <c r="FB61" s="26">
        <f ca="1">IFERROR(OFFSET(ARGUS!$A$3, MATCH($A61, ARGUS!$A$3:$A$176, 0)-1,MATCH(EOMONTH(FB$15,1), ARGUS!$B$4:$LG$4, 0)-1,1,1)/1000, 0)</f>
        <v>-11.090999999999999</v>
      </c>
      <c r="FC61" s="26">
        <f ca="1">IFERROR(OFFSET(ARGUS!$A$3, MATCH($A61, ARGUS!$A$3:$A$176, 0)-1,MATCH(EOMONTH(FC$15,1), ARGUS!$B$4:$LG$4, 0)-1,1,1)/1000, 0)</f>
        <v>-10.686</v>
      </c>
      <c r="FD61" s="26">
        <f ca="1">IFERROR(OFFSET(ARGUS!$A$3, MATCH($A61, ARGUS!$A$3:$A$176, 0)-1,MATCH(EOMONTH(FD$15,1), ARGUS!$B$4:$LG$4, 0)-1,1,1)/1000, 0)</f>
        <v>-10.686</v>
      </c>
      <c r="FE61" s="26">
        <f ca="1">IFERROR(OFFSET(ARGUS!$A$3, MATCH($A61, ARGUS!$A$3:$A$176, 0)-1,MATCH(EOMONTH(FE$15,1), ARGUS!$B$4:$LG$4, 0)-1,1,1)/1000, 0)</f>
        <v>-10.686</v>
      </c>
      <c r="FF61" s="26">
        <f ca="1">IFERROR(OFFSET(ARGUS!$A$3, MATCH($A61, ARGUS!$A$3:$A$176, 0)-1,MATCH(EOMONTH(FF$15,1), ARGUS!$B$4:$LG$4, 0)-1,1,1)/1000, 0)</f>
        <v>-10.686</v>
      </c>
      <c r="FG61" s="26">
        <f ca="1">IFERROR(OFFSET(ARGUS!$A$3, MATCH($A61, ARGUS!$A$3:$A$176, 0)-1,MATCH(EOMONTH(FG$15,1), ARGUS!$B$4:$LG$4, 0)-1,1,1)/1000, 0)</f>
        <v>-10.686</v>
      </c>
      <c r="FH61" s="26">
        <f ca="1">IFERROR(OFFSET(ARGUS!$A$3, MATCH($A61, ARGUS!$A$3:$A$176, 0)-1,MATCH(EOMONTH(FH$15,1), ARGUS!$B$4:$LG$4, 0)-1,1,1)/1000, 0)</f>
        <v>-10.686</v>
      </c>
      <c r="FI61" s="26">
        <f ca="1">IFERROR(OFFSET(ARGUS!$A$3, MATCH($A61, ARGUS!$A$3:$A$176, 0)-1,MATCH(EOMONTH(FI$15,1), ARGUS!$B$4:$LG$4, 0)-1,1,1)/1000, 0)</f>
        <v>-10.686</v>
      </c>
      <c r="FJ61" s="26">
        <f ca="1">IFERROR(OFFSET(ARGUS!$A$3, MATCH($A61, ARGUS!$A$3:$A$176, 0)-1,MATCH(EOMONTH(FJ$15,1), ARGUS!$B$4:$LG$4, 0)-1,1,1)/1000, 0)</f>
        <v>-10.686</v>
      </c>
      <c r="FK61" s="26">
        <f ca="1">IFERROR(OFFSET(ARGUS!$A$3, MATCH($A61, ARGUS!$A$3:$A$176, 0)-1,MATCH(EOMONTH(FK$15,1), ARGUS!$B$4:$LG$4, 0)-1,1,1)/1000, 0)</f>
        <v>-10.686</v>
      </c>
      <c r="FL61" s="26">
        <f ca="1">IFERROR(OFFSET(ARGUS!$A$3, MATCH($A61, ARGUS!$A$3:$A$176, 0)-1,MATCH(EOMONTH(FL$15,1), ARGUS!$B$4:$LG$4, 0)-1,1,1)/1000, 0)</f>
        <v>-10.686</v>
      </c>
      <c r="FM61" s="26">
        <f ca="1">IFERROR(OFFSET(ARGUS!$A$3, MATCH($A61, ARGUS!$A$3:$A$176, 0)-1,MATCH(EOMONTH(FM$15,1), ARGUS!$B$4:$LG$4, 0)-1,1,1)/1000, 0)</f>
        <v>-10.686</v>
      </c>
      <c r="FN61" s="26">
        <f ca="1">IFERROR(OFFSET(ARGUS!$A$3, MATCH($A61, ARGUS!$A$3:$A$176, 0)-1,MATCH(EOMONTH(FN$15,1), ARGUS!$B$4:$LG$4, 0)-1,1,1)/1000, 0)</f>
        <v>-10.686</v>
      </c>
      <c r="FO61" s="26">
        <f ca="1">IFERROR(OFFSET(ARGUS!$A$3, MATCH($A61, ARGUS!$A$3:$A$176, 0)-1,MATCH(EOMONTH(FO$15,1), ARGUS!$B$4:$LG$4, 0)-1,1,1)/1000, 0)</f>
        <v>-10.622999999999999</v>
      </c>
      <c r="FP61" s="26">
        <f ca="1">IFERROR(OFFSET(ARGUS!$A$3, MATCH($A61, ARGUS!$A$3:$A$176, 0)-1,MATCH(EOMONTH(FP$15,1), ARGUS!$B$4:$LG$4, 0)-1,1,1)/1000, 0)</f>
        <v>-10.622999999999999</v>
      </c>
      <c r="FQ61" s="26">
        <f ca="1">IFERROR(OFFSET(ARGUS!$A$3, MATCH($A61, ARGUS!$A$3:$A$176, 0)-1,MATCH(EOMONTH(FQ$15,1), ARGUS!$B$4:$LG$4, 0)-1,1,1)/1000, 0)</f>
        <v>-10.622999999999999</v>
      </c>
      <c r="FR61" s="26">
        <f ca="1">IFERROR(OFFSET(ARGUS!$A$3, MATCH($A61, ARGUS!$A$3:$A$176, 0)-1,MATCH(EOMONTH(FR$15,1), ARGUS!$B$4:$LG$4, 0)-1,1,1)/1000, 0)</f>
        <v>-10.622999999999999</v>
      </c>
      <c r="FS61" s="26">
        <f ca="1">IFERROR(OFFSET(ARGUS!$A$3, MATCH($A61, ARGUS!$A$3:$A$176, 0)-1,MATCH(EOMONTH(FS$15,1), ARGUS!$B$4:$LG$4, 0)-1,1,1)/1000, 0)</f>
        <v>-10.622999999999999</v>
      </c>
      <c r="FT61" s="26">
        <f ca="1">IFERROR(OFFSET(ARGUS!$A$3, MATCH($A61, ARGUS!$A$3:$A$176, 0)-1,MATCH(EOMONTH(FT$15,1), ARGUS!$B$4:$LG$4, 0)-1,1,1)/1000, 0)</f>
        <v>-10.622999999999999</v>
      </c>
      <c r="FU61" s="26">
        <f ca="1">IFERROR(OFFSET(ARGUS!$A$3, MATCH($A61, ARGUS!$A$3:$A$176, 0)-1,MATCH(EOMONTH(FU$15,1), ARGUS!$B$4:$LG$4, 0)-1,1,1)/1000, 0)</f>
        <v>-10.622999999999999</v>
      </c>
      <c r="FV61" s="26">
        <f ca="1">IFERROR(OFFSET(ARGUS!$A$3, MATCH($A61, ARGUS!$A$3:$A$176, 0)-1,MATCH(EOMONTH(FV$15,1), ARGUS!$B$4:$LG$4, 0)-1,1,1)/1000, 0)</f>
        <v>-10.622999999999999</v>
      </c>
      <c r="FW61" s="26">
        <f ca="1">IFERROR(OFFSET(ARGUS!$A$3, MATCH($A61, ARGUS!$A$3:$A$176, 0)-1,MATCH(EOMONTH(FW$15,1), ARGUS!$B$4:$LG$4, 0)-1,1,1)/1000, 0)</f>
        <v>-10.622999999999999</v>
      </c>
      <c r="FX61" s="26">
        <f ca="1">IFERROR(OFFSET(ARGUS!$A$3, MATCH($A61, ARGUS!$A$3:$A$176, 0)-1,MATCH(EOMONTH(FX$15,1), ARGUS!$B$4:$LG$4, 0)-1,1,1)/1000, 0)</f>
        <v>-10.622999999999999</v>
      </c>
      <c r="FY61" s="26">
        <f ca="1">IFERROR(OFFSET(ARGUS!$A$3, MATCH($A61, ARGUS!$A$3:$A$176, 0)-1,MATCH(EOMONTH(FY$15,1), ARGUS!$B$4:$LG$4, 0)-1,1,1)/1000, 0)</f>
        <v>-10.622999999999999</v>
      </c>
      <c r="FZ61" s="26">
        <f ca="1">IFERROR(OFFSET(ARGUS!$A$3, MATCH($A61, ARGUS!$A$3:$A$176, 0)-1,MATCH(EOMONTH(FZ$15,1), ARGUS!$B$4:$LG$4, 0)-1,1,1)/1000, 0)</f>
        <v>-10.622999999999999</v>
      </c>
      <c r="GA61" s="26">
        <f ca="1">IFERROR(OFFSET(ARGUS!$A$3, MATCH($A61, ARGUS!$A$3:$A$176, 0)-1,MATCH(EOMONTH(GA$15,1), ARGUS!$B$4:$LG$4, 0)-1,1,1)/1000, 0)</f>
        <v>-10.928000000000001</v>
      </c>
      <c r="GB61" s="26">
        <f ca="1">IFERROR(OFFSET(ARGUS!$A$3, MATCH($A61, ARGUS!$A$3:$A$176, 0)-1,MATCH(EOMONTH(GB$15,1), ARGUS!$B$4:$LG$4, 0)-1,1,1)/1000, 0)</f>
        <v>-10.928000000000001</v>
      </c>
      <c r="GC61" s="26">
        <f ca="1">IFERROR(OFFSET(ARGUS!$A$3, MATCH($A61, ARGUS!$A$3:$A$176, 0)-1,MATCH(EOMONTH(GC$15,1), ARGUS!$B$4:$LG$4, 0)-1,1,1)/1000, 0)</f>
        <v>-10.928000000000001</v>
      </c>
      <c r="GD61" s="26">
        <f ca="1">IFERROR(OFFSET(ARGUS!$A$3, MATCH($A61, ARGUS!$A$3:$A$176, 0)-1,MATCH(EOMONTH(GD$15,1), ARGUS!$B$4:$LG$4, 0)-1,1,1)/1000, 0)</f>
        <v>-10.928000000000001</v>
      </c>
      <c r="GE61" s="26">
        <f ca="1">IFERROR(OFFSET(ARGUS!$A$3, MATCH($A61, ARGUS!$A$3:$A$176, 0)-1,MATCH(EOMONTH(GE$15,1), ARGUS!$B$4:$LG$4, 0)-1,1,1)/1000, 0)</f>
        <v>-10.928000000000001</v>
      </c>
      <c r="GF61" s="26">
        <f ca="1">IFERROR(OFFSET(ARGUS!$A$3, MATCH($A61, ARGUS!$A$3:$A$176, 0)-1,MATCH(EOMONTH(GF$15,1), ARGUS!$B$4:$LG$4, 0)-1,1,1)/1000, 0)</f>
        <v>-10.928000000000001</v>
      </c>
      <c r="GG61" s="26">
        <f ca="1">IFERROR(OFFSET(ARGUS!$A$3, MATCH($A61, ARGUS!$A$3:$A$176, 0)-1,MATCH(EOMONTH(GG$15,1), ARGUS!$B$4:$LG$4, 0)-1,1,1)/1000, 0)</f>
        <v>-10.928000000000001</v>
      </c>
      <c r="GH61" s="26">
        <f ca="1">IFERROR(OFFSET(ARGUS!$A$3, MATCH($A61, ARGUS!$A$3:$A$176, 0)-1,MATCH(EOMONTH(GH$15,1), ARGUS!$B$4:$LG$4, 0)-1,1,1)/1000, 0)</f>
        <v>-10.928000000000001</v>
      </c>
      <c r="GI61" s="26">
        <f ca="1">IFERROR(OFFSET(ARGUS!$A$3, MATCH($A61, ARGUS!$A$3:$A$176, 0)-1,MATCH(EOMONTH(GI$15,1), ARGUS!$B$4:$LG$4, 0)-1,1,1)/1000, 0)</f>
        <v>-10.928000000000001</v>
      </c>
      <c r="GJ61" s="26">
        <f ca="1">IFERROR(OFFSET(ARGUS!$A$3, MATCH($A61, ARGUS!$A$3:$A$176, 0)-1,MATCH(EOMONTH(GJ$15,1), ARGUS!$B$4:$LG$4, 0)-1,1,1)/1000, 0)</f>
        <v>-10.928000000000001</v>
      </c>
      <c r="GK61" s="26">
        <f ca="1">IFERROR(OFFSET(ARGUS!$A$3, MATCH($A61, ARGUS!$A$3:$A$176, 0)-1,MATCH(EOMONTH(GK$15,1), ARGUS!$B$4:$LG$4, 0)-1,1,1)/1000, 0)</f>
        <v>-10.928000000000001</v>
      </c>
      <c r="GL61" s="26">
        <f ca="1">IFERROR(OFFSET(ARGUS!$A$3, MATCH($A61, ARGUS!$A$3:$A$176, 0)-1,MATCH(EOMONTH(GL$15,1), ARGUS!$B$4:$LG$4, 0)-1,1,1)/1000, 0)</f>
        <v>-10.928000000000001</v>
      </c>
      <c r="GM61" s="26">
        <f ca="1">IFERROR(OFFSET(ARGUS!$A$3, MATCH($A61, ARGUS!$A$3:$A$176, 0)-1,MATCH(EOMONTH(GM$15,1), ARGUS!$B$4:$LG$4, 0)-1,1,1)/1000, 0)</f>
        <v>-10.987</v>
      </c>
      <c r="GN61" s="26">
        <f ca="1">IFERROR(OFFSET(ARGUS!$A$3, MATCH($A61, ARGUS!$A$3:$A$176, 0)-1,MATCH(EOMONTH(GN$15,1), ARGUS!$B$4:$LG$4, 0)-1,1,1)/1000, 0)</f>
        <v>-10.987</v>
      </c>
      <c r="GO61" s="26">
        <f ca="1">IFERROR(OFFSET(ARGUS!$A$3, MATCH($A61, ARGUS!$A$3:$A$176, 0)-1,MATCH(EOMONTH(GO$15,1), ARGUS!$B$4:$LG$4, 0)-1,1,1)/1000, 0)</f>
        <v>-10.987</v>
      </c>
      <c r="GP61" s="26">
        <f ca="1">IFERROR(OFFSET(ARGUS!$A$3, MATCH($A61, ARGUS!$A$3:$A$176, 0)-1,MATCH(EOMONTH(GP$15,1), ARGUS!$B$4:$LG$4, 0)-1,1,1)/1000, 0)</f>
        <v>-10.987</v>
      </c>
      <c r="GQ61" s="26">
        <f ca="1">IFERROR(OFFSET(ARGUS!$A$3, MATCH($A61, ARGUS!$A$3:$A$176, 0)-1,MATCH(EOMONTH(GQ$15,1), ARGUS!$B$4:$LG$4, 0)-1,1,1)/1000, 0)</f>
        <v>-10.987</v>
      </c>
      <c r="GR61" s="26">
        <f ca="1">IFERROR(OFFSET(ARGUS!$A$3, MATCH($A61, ARGUS!$A$3:$A$176, 0)-1,MATCH(EOMONTH(GR$15,1), ARGUS!$B$4:$LG$4, 0)-1,1,1)/1000, 0)</f>
        <v>-10.987</v>
      </c>
      <c r="GS61" s="26">
        <f ca="1">IFERROR(OFFSET(ARGUS!$A$3, MATCH($A61, ARGUS!$A$3:$A$176, 0)-1,MATCH(EOMONTH(GS$15,1), ARGUS!$B$4:$LG$4, 0)-1,1,1)/1000, 0)</f>
        <v>-10.987</v>
      </c>
      <c r="GT61" s="26">
        <f ca="1">IFERROR(OFFSET(ARGUS!$A$3, MATCH($A61, ARGUS!$A$3:$A$176, 0)-1,MATCH(EOMONTH(GT$15,1), ARGUS!$B$4:$LG$4, 0)-1,1,1)/1000, 0)</f>
        <v>-10.987</v>
      </c>
      <c r="GU61" s="26"/>
      <c r="GV61" s="26"/>
      <c r="GW61" s="26"/>
      <c r="GX61" s="26"/>
      <c r="GY61" s="26"/>
      <c r="GZ61" s="26"/>
      <c r="HA61" s="26"/>
      <c r="HB61" s="26"/>
      <c r="HC61" s="26"/>
      <c r="HD61" s="26"/>
      <c r="HE61" s="26"/>
      <c r="HF61" s="1" t="s">
        <v>212</v>
      </c>
      <c r="HG61" s="139" t="e">
        <f t="shared" si="519"/>
        <v>#REF!</v>
      </c>
      <c r="HH61" s="9" t="str">
        <f t="shared" si="649"/>
        <v>Vacancy Allowance</v>
      </c>
      <c r="HI61" s="26"/>
      <c r="HJ61" s="26"/>
      <c r="HK61" s="26"/>
      <c r="HL61" s="132">
        <f t="shared" ca="1" si="651"/>
        <v>-10.365</v>
      </c>
      <c r="HM61" s="26"/>
      <c r="HN61" s="133">
        <f t="shared" si="650"/>
        <v>0</v>
      </c>
      <c r="HO61" s="26">
        <f t="shared" si="650"/>
        <v>0</v>
      </c>
      <c r="HP61" s="26">
        <f t="shared" si="650"/>
        <v>0</v>
      </c>
      <c r="HQ61" s="26">
        <f t="shared" si="650"/>
        <v>0</v>
      </c>
      <c r="HR61" s="26">
        <f t="shared" si="650"/>
        <v>0</v>
      </c>
      <c r="HS61" s="26">
        <f t="shared" ca="1" si="650"/>
        <v>0</v>
      </c>
      <c r="HT61" s="26">
        <f t="shared" ca="1" si="650"/>
        <v>0</v>
      </c>
      <c r="HU61" s="26">
        <f t="shared" ca="1" si="650"/>
        <v>0</v>
      </c>
      <c r="HV61" s="26">
        <f t="shared" ca="1" si="650"/>
        <v>-10.365</v>
      </c>
      <c r="HW61"/>
    </row>
    <row r="62" spans="1:231" ht="15">
      <c r="A62" s="441">
        <v>26</v>
      </c>
      <c r="B62" s="153" t="s">
        <v>400</v>
      </c>
      <c r="C62" s="8"/>
      <c r="D62" s="8"/>
      <c r="E62" s="8"/>
      <c r="F62" s="8"/>
      <c r="G62" s="8"/>
      <c r="H62" s="8"/>
      <c r="I62" s="134">
        <f ca="1">SUMIF($K$13:$GT$13,"&lt;="&amp;Assumptions!$L$17,'Monthly Cash Flow'!K62:GT62)</f>
        <v>26015.05672</v>
      </c>
      <c r="J62" s="32"/>
      <c r="K62" s="135"/>
      <c r="L62" s="32">
        <f>+L60+L61</f>
        <v>174.17922000000002</v>
      </c>
      <c r="M62" s="32">
        <f t="shared" ref="M62:N62" si="657">+M60+M61</f>
        <v>183.67012</v>
      </c>
      <c r="N62" s="32">
        <f t="shared" si="657"/>
        <v>186.80412000000001</v>
      </c>
      <c r="O62" s="32">
        <f t="shared" ref="O62:BZ62" si="658">+O60+O61</f>
        <v>190.57505</v>
      </c>
      <c r="P62" s="32">
        <f t="shared" si="658"/>
        <v>177.26428000000001</v>
      </c>
      <c r="Q62" s="32">
        <f t="shared" si="658"/>
        <v>180.16823000000002</v>
      </c>
      <c r="R62" s="32">
        <f t="shared" si="658"/>
        <v>180.77277000000001</v>
      </c>
      <c r="S62" s="32">
        <f t="shared" si="658"/>
        <v>239.88771000000003</v>
      </c>
      <c r="T62" s="32">
        <f t="shared" si="658"/>
        <v>198.29234000000002</v>
      </c>
      <c r="U62" s="32">
        <f t="shared" si="658"/>
        <v>289.77710000000002</v>
      </c>
      <c r="V62" s="32">
        <f t="shared" si="658"/>
        <v>341.16856999999999</v>
      </c>
      <c r="W62" s="32">
        <f t="shared" si="658"/>
        <v>85.750510000000006</v>
      </c>
      <c r="X62" s="32">
        <f t="shared" si="658"/>
        <v>214.12483</v>
      </c>
      <c r="Y62" s="32">
        <f t="shared" si="658"/>
        <v>209.11749</v>
      </c>
      <c r="Z62" s="32">
        <f t="shared" si="658"/>
        <v>194.97919000000002</v>
      </c>
      <c r="AA62" s="32">
        <f t="shared" si="658"/>
        <v>215.79552000000001</v>
      </c>
      <c r="AB62" s="32">
        <f t="shared" si="658"/>
        <v>196.78563</v>
      </c>
      <c r="AC62" s="32">
        <f t="shared" si="658"/>
        <v>217.93122</v>
      </c>
      <c r="AD62" s="32">
        <f t="shared" si="658"/>
        <v>229.66460999999998</v>
      </c>
      <c r="AE62" s="32">
        <f t="shared" si="658"/>
        <v>227.49612999999999</v>
      </c>
      <c r="AF62" s="32">
        <f t="shared" si="658"/>
        <v>210.05933000000005</v>
      </c>
      <c r="AG62" s="32">
        <f t="shared" si="658"/>
        <v>190.58975000000001</v>
      </c>
      <c r="AH62" s="32">
        <f t="shared" si="658"/>
        <v>226.99888000000001</v>
      </c>
      <c r="AI62" s="32">
        <f t="shared" si="658"/>
        <v>197.96588000000003</v>
      </c>
      <c r="AJ62" s="32">
        <f t="shared" si="658"/>
        <v>193.87853000000001</v>
      </c>
      <c r="AK62" s="32">
        <f t="shared" si="658"/>
        <v>186.22766999999999</v>
      </c>
      <c r="AL62" s="32">
        <f t="shared" si="658"/>
        <v>212.82701000000003</v>
      </c>
      <c r="AM62" s="32">
        <f t="shared" si="658"/>
        <v>232.51458</v>
      </c>
      <c r="AN62" s="32">
        <f t="shared" si="658"/>
        <v>229.37076999999999</v>
      </c>
      <c r="AO62" s="32">
        <f t="shared" si="658"/>
        <v>207.73272</v>
      </c>
      <c r="AP62" s="32">
        <f t="shared" si="658"/>
        <v>242.52189000000001</v>
      </c>
      <c r="AQ62" s="32">
        <f t="shared" si="658"/>
        <v>243.93328</v>
      </c>
      <c r="AR62" s="32">
        <f t="shared" si="658"/>
        <v>221.55411000000001</v>
      </c>
      <c r="AS62" s="32">
        <f t="shared" si="658"/>
        <v>246.61747</v>
      </c>
      <c r="AT62" s="32">
        <f t="shared" si="658"/>
        <v>250.30870999999999</v>
      </c>
      <c r="AU62" s="32">
        <f t="shared" si="658"/>
        <v>249.66270000000003</v>
      </c>
      <c r="AV62" s="32">
        <f t="shared" si="658"/>
        <v>266.27415999999999</v>
      </c>
      <c r="AW62" s="32">
        <f t="shared" si="658"/>
        <v>252.91995999999997</v>
      </c>
      <c r="AX62" s="32">
        <f t="shared" si="658"/>
        <v>266.05905999999999</v>
      </c>
      <c r="AY62" s="32">
        <f t="shared" si="658"/>
        <v>268.14003000000002</v>
      </c>
      <c r="AZ62" s="32">
        <f t="shared" si="658"/>
        <v>191.15581</v>
      </c>
      <c r="BA62" s="32">
        <f t="shared" si="658"/>
        <v>277.25540999999998</v>
      </c>
      <c r="BB62" s="32">
        <f t="shared" si="658"/>
        <v>280.21132</v>
      </c>
      <c r="BC62" s="32">
        <f t="shared" si="658"/>
        <v>237.28243999999995</v>
      </c>
      <c r="BD62" s="32">
        <f t="shared" si="658"/>
        <v>233.37613000000002</v>
      </c>
      <c r="BE62" s="32">
        <f t="shared" si="658"/>
        <v>245.24822</v>
      </c>
      <c r="BF62" s="32">
        <f t="shared" si="658"/>
        <v>267.43815999999998</v>
      </c>
      <c r="BG62" s="32">
        <f t="shared" si="658"/>
        <v>241.45482999999999</v>
      </c>
      <c r="BH62" s="32">
        <f t="shared" si="658"/>
        <v>241.45482999999999</v>
      </c>
      <c r="BI62" s="32">
        <f t="shared" si="658"/>
        <v>253.75856999999999</v>
      </c>
      <c r="BJ62" s="32">
        <f t="shared" si="658"/>
        <v>261.13094000000001</v>
      </c>
      <c r="BK62" s="32">
        <f t="shared" si="658"/>
        <v>255.18901</v>
      </c>
      <c r="BL62" s="32">
        <f t="shared" ca="1" si="658"/>
        <v>216.76361</v>
      </c>
      <c r="BM62" s="32">
        <f t="shared" ca="1" si="658"/>
        <v>259.60229000000004</v>
      </c>
      <c r="BN62" s="32">
        <f t="shared" ca="1" si="658"/>
        <v>188.26948000000002</v>
      </c>
      <c r="BO62" s="32">
        <f t="shared" ca="1" si="658"/>
        <v>216.24797000000001</v>
      </c>
      <c r="BP62" s="32">
        <f t="shared" ca="1" si="658"/>
        <v>128.00421</v>
      </c>
      <c r="BQ62" s="32">
        <f t="shared" ca="1" si="658"/>
        <v>227.64894999999999</v>
      </c>
      <c r="BR62" s="32">
        <f t="shared" ca="1" si="658"/>
        <v>219.19041000000001</v>
      </c>
      <c r="BS62" s="32">
        <f t="shared" ca="1" si="658"/>
        <v>253.80251000000001</v>
      </c>
      <c r="BT62" s="32">
        <f t="shared" ca="1" si="658"/>
        <v>210.59742</v>
      </c>
      <c r="BU62" s="32">
        <f t="shared" ca="1" si="658"/>
        <v>243.56395000000001</v>
      </c>
      <c r="BV62" s="32">
        <f t="shared" ca="1" si="658"/>
        <v>235.51445999999999</v>
      </c>
      <c r="BW62" s="32">
        <f t="shared" ca="1" si="658"/>
        <v>259.83763999999996</v>
      </c>
      <c r="BX62" s="32">
        <f t="shared" ca="1" si="658"/>
        <v>267.60029999999995</v>
      </c>
      <c r="BY62" s="32">
        <f t="shared" ca="1" si="658"/>
        <v>238.59147000000002</v>
      </c>
      <c r="BZ62" s="32">
        <f t="shared" ca="1" si="658"/>
        <v>273.31394</v>
      </c>
      <c r="CA62" s="32">
        <f t="shared" ref="CA62:EL62" ca="1" si="659">+CA60+CA61</f>
        <v>255.32895000000002</v>
      </c>
      <c r="CB62" s="32">
        <f t="shared" ca="1" si="659"/>
        <v>274.55728999999997</v>
      </c>
      <c r="CC62" s="32">
        <f t="shared" ca="1" si="659"/>
        <v>265.68453</v>
      </c>
      <c r="CD62" s="32">
        <f t="shared" ca="1" si="659"/>
        <v>284.91505999999998</v>
      </c>
      <c r="CE62" s="32">
        <f t="shared" ca="1" si="659"/>
        <v>245.67417000000003</v>
      </c>
      <c r="CF62" s="32">
        <f t="shared" ca="1" si="659"/>
        <v>294.80152999999996</v>
      </c>
      <c r="CG62" s="32">
        <f t="shared" ca="1" si="659"/>
        <v>272.95519999999999</v>
      </c>
      <c r="CH62" s="32">
        <f t="shared" ca="1" si="659"/>
        <v>272.71158000000003</v>
      </c>
      <c r="CI62" s="32">
        <f t="shared" ca="1" si="659"/>
        <v>262.40600000000001</v>
      </c>
      <c r="CJ62" s="32">
        <f t="shared" ca="1" si="659"/>
        <v>290.56200000000001</v>
      </c>
      <c r="CK62" s="32">
        <f t="shared" ca="1" si="659"/>
        <v>290.56200000000001</v>
      </c>
      <c r="CL62" s="32">
        <f t="shared" ca="1" si="659"/>
        <v>295.16999999999996</v>
      </c>
      <c r="CM62" s="32">
        <f t="shared" ca="1" si="659"/>
        <v>295.16999999999996</v>
      </c>
      <c r="CN62" s="32">
        <f t="shared" ca="1" si="659"/>
        <v>295.66300000000001</v>
      </c>
      <c r="CO62" s="32">
        <f t="shared" ca="1" si="659"/>
        <v>295.66300000000001</v>
      </c>
      <c r="CP62" s="32">
        <f t="shared" ca="1" si="659"/>
        <v>308.33</v>
      </c>
      <c r="CQ62" s="32">
        <f t="shared" ca="1" si="659"/>
        <v>309.375</v>
      </c>
      <c r="CR62" s="32">
        <f t="shared" ca="1" si="659"/>
        <v>288.89599999999996</v>
      </c>
      <c r="CS62" s="32">
        <f t="shared" ca="1" si="659"/>
        <v>270.72999999999996</v>
      </c>
      <c r="CT62" s="32">
        <f t="shared" ca="1" si="659"/>
        <v>317.38799999999998</v>
      </c>
      <c r="CU62" s="32">
        <f t="shared" ca="1" si="659"/>
        <v>313.73099999999999</v>
      </c>
      <c r="CV62" s="32">
        <f t="shared" ca="1" si="659"/>
        <v>321.36899999999997</v>
      </c>
      <c r="CW62" s="32">
        <f t="shared" ca="1" si="659"/>
        <v>321.36899999999997</v>
      </c>
      <c r="CX62" s="32">
        <f t="shared" ca="1" si="659"/>
        <v>296.00599999999997</v>
      </c>
      <c r="CY62" s="32">
        <f t="shared" ca="1" si="659"/>
        <v>323.745</v>
      </c>
      <c r="CZ62" s="32">
        <f t="shared" ca="1" si="659"/>
        <v>297.71499999999997</v>
      </c>
      <c r="DA62" s="32">
        <f t="shared" ca="1" si="659"/>
        <v>322.94499999999999</v>
      </c>
      <c r="DB62" s="32">
        <f t="shared" ca="1" si="659"/>
        <v>341.923</v>
      </c>
      <c r="DC62" s="32">
        <f t="shared" ca="1" si="659"/>
        <v>375.05499999999995</v>
      </c>
      <c r="DD62" s="32">
        <f t="shared" ca="1" si="659"/>
        <v>375.05499999999995</v>
      </c>
      <c r="DE62" s="32">
        <f t="shared" ca="1" si="659"/>
        <v>375.61299999999994</v>
      </c>
      <c r="DF62" s="32">
        <f t="shared" ca="1" si="659"/>
        <v>376.51699999999994</v>
      </c>
      <c r="DG62" s="32">
        <f t="shared" ca="1" si="659"/>
        <v>377.07099999999997</v>
      </c>
      <c r="DH62" s="32">
        <f t="shared" ca="1" si="659"/>
        <v>377.96800000000002</v>
      </c>
      <c r="DI62" s="32">
        <f t="shared" ca="1" si="659"/>
        <v>378.56599999999997</v>
      </c>
      <c r="DJ62" s="32">
        <f t="shared" ca="1" si="659"/>
        <v>384.17100000000005</v>
      </c>
      <c r="DK62" s="32">
        <f t="shared" ca="1" si="659"/>
        <v>384.73400000000004</v>
      </c>
      <c r="DL62" s="32">
        <f t="shared" ca="1" si="659"/>
        <v>384.73400000000004</v>
      </c>
      <c r="DM62" s="32">
        <f t="shared" ca="1" si="659"/>
        <v>385.22900000000004</v>
      </c>
      <c r="DN62" s="32">
        <f t="shared" ca="1" si="659"/>
        <v>374.65900000000005</v>
      </c>
      <c r="DO62" s="32">
        <f t="shared" ca="1" si="659"/>
        <v>385.13400000000001</v>
      </c>
      <c r="DP62" s="32">
        <f t="shared" ca="1" si="659"/>
        <v>385.13400000000001</v>
      </c>
      <c r="DQ62" s="32">
        <f t="shared" ca="1" si="659"/>
        <v>385.70900000000006</v>
      </c>
      <c r="DR62" s="32">
        <f t="shared" ca="1" si="659"/>
        <v>386.64000000000004</v>
      </c>
      <c r="DS62" s="32">
        <f t="shared" ca="1" si="659"/>
        <v>387.12200000000001</v>
      </c>
      <c r="DT62" s="32">
        <f t="shared" ca="1" si="659"/>
        <v>388.05500000000001</v>
      </c>
      <c r="DU62" s="32">
        <f t="shared" ca="1" si="659"/>
        <v>388.74299999999999</v>
      </c>
      <c r="DV62" s="32">
        <f t="shared" ca="1" si="659"/>
        <v>392.78</v>
      </c>
      <c r="DW62" s="32">
        <f t="shared" ca="1" si="659"/>
        <v>393.36</v>
      </c>
      <c r="DX62" s="32">
        <f t="shared" ca="1" si="659"/>
        <v>393.36</v>
      </c>
      <c r="DY62" s="32">
        <f t="shared" ca="1" si="659"/>
        <v>393.87</v>
      </c>
      <c r="DZ62" s="32">
        <f t="shared" ca="1" si="659"/>
        <v>394.30500000000001</v>
      </c>
      <c r="EA62" s="32">
        <f t="shared" ca="1" si="659"/>
        <v>395.36099999999999</v>
      </c>
      <c r="EB62" s="32">
        <f t="shared" ca="1" si="659"/>
        <v>395.36099999999999</v>
      </c>
      <c r="EC62" s="32">
        <f t="shared" ca="1" si="659"/>
        <v>395.95299999999997</v>
      </c>
      <c r="ED62" s="32">
        <f t="shared" ca="1" si="659"/>
        <v>396.91300000000001</v>
      </c>
      <c r="EE62" s="32">
        <f t="shared" ca="1" si="659"/>
        <v>375.93400000000003</v>
      </c>
      <c r="EF62" s="32">
        <f t="shared" ca="1" si="659"/>
        <v>365.19200000000006</v>
      </c>
      <c r="EG62" s="32">
        <f t="shared" ca="1" si="659"/>
        <v>397.48900000000003</v>
      </c>
      <c r="EH62" s="32">
        <f t="shared" ca="1" si="659"/>
        <v>403.13500000000005</v>
      </c>
      <c r="EI62" s="32">
        <f t="shared" ca="1" si="659"/>
        <v>403.73200000000003</v>
      </c>
      <c r="EJ62" s="32">
        <f t="shared" ca="1" si="659"/>
        <v>403.73200000000003</v>
      </c>
      <c r="EK62" s="32">
        <f t="shared" ca="1" si="659"/>
        <v>404.25700000000001</v>
      </c>
      <c r="EL62" s="32">
        <f t="shared" ca="1" si="659"/>
        <v>404.70499999999998</v>
      </c>
      <c r="EM62" s="32">
        <f t="shared" ref="EM62:FD62" ca="1" si="660">+EM60+EM61</f>
        <v>405.79400000000004</v>
      </c>
      <c r="EN62" s="32">
        <f t="shared" ca="1" si="660"/>
        <v>405.79400000000004</v>
      </c>
      <c r="EO62" s="32">
        <f t="shared" ca="1" si="660"/>
        <v>406.40300000000002</v>
      </c>
      <c r="EP62" s="32">
        <f t="shared" ca="1" si="660"/>
        <v>407.71</v>
      </c>
      <c r="EQ62" s="32">
        <f t="shared" ca="1" si="660"/>
        <v>387.09000000000003</v>
      </c>
      <c r="ER62" s="32">
        <f t="shared" ca="1" si="660"/>
        <v>404.10199999999998</v>
      </c>
      <c r="ES62" s="32">
        <f t="shared" ca="1" si="660"/>
        <v>405.37599999999998</v>
      </c>
      <c r="ET62" s="32">
        <f t="shared" ca="1" si="660"/>
        <v>410.90799999999996</v>
      </c>
      <c r="EU62" s="32">
        <f t="shared" ca="1" si="660"/>
        <v>411.52299999999997</v>
      </c>
      <c r="EV62" s="32">
        <f t="shared" ca="1" si="660"/>
        <v>411.52299999999997</v>
      </c>
      <c r="EW62" s="32">
        <f t="shared" ca="1" si="660"/>
        <v>412.06399999999991</v>
      </c>
      <c r="EX62" s="32">
        <f t="shared" ca="1" si="660"/>
        <v>398.09799999999996</v>
      </c>
      <c r="EY62" s="32">
        <f t="shared" ca="1" si="660"/>
        <v>388.03499999999991</v>
      </c>
      <c r="EZ62" s="32">
        <f t="shared" ca="1" si="660"/>
        <v>409.7469999999999</v>
      </c>
      <c r="FA62" s="32">
        <f t="shared" ca="1" si="660"/>
        <v>377.90199999999993</v>
      </c>
      <c r="FB62" s="32">
        <f t="shared" ca="1" si="660"/>
        <v>354.43399999999997</v>
      </c>
      <c r="FC62" s="32">
        <f t="shared" ca="1" si="660"/>
        <v>404.03499999999997</v>
      </c>
      <c r="FD62" s="32">
        <f t="shared" ca="1" si="660"/>
        <v>404.82799999999997</v>
      </c>
      <c r="FE62" s="32">
        <f t="shared" ref="FE62:FI62" ca="1" si="661">+FE60+FE61</f>
        <v>405.46999999999997</v>
      </c>
      <c r="FF62" s="32">
        <f t="shared" ca="1" si="661"/>
        <v>410.78400000000005</v>
      </c>
      <c r="FG62" s="32">
        <f t="shared" ca="1" si="661"/>
        <v>378.37100000000004</v>
      </c>
      <c r="FH62" s="32">
        <f t="shared" ca="1" si="661"/>
        <v>408.43</v>
      </c>
      <c r="FI62" s="32">
        <f t="shared" ca="1" si="661"/>
        <v>379.90500000000003</v>
      </c>
      <c r="FJ62" s="32">
        <f t="shared" ref="FJ62:GC62" ca="1" si="662">+FJ60+FJ61</f>
        <v>406.58499999999998</v>
      </c>
      <c r="FK62" s="32">
        <f t="shared" ca="1" si="662"/>
        <v>342.86800000000005</v>
      </c>
      <c r="FL62" s="32">
        <f t="shared" ca="1" si="662"/>
        <v>362.83700000000005</v>
      </c>
      <c r="FM62" s="32">
        <f t="shared" ca="1" si="662"/>
        <v>397.07100000000003</v>
      </c>
      <c r="FN62" s="32">
        <f t="shared" ca="1" si="662"/>
        <v>397.62900000000002</v>
      </c>
      <c r="FO62" s="32">
        <f t="shared" ca="1" si="662"/>
        <v>398.596</v>
      </c>
      <c r="FP62" s="32">
        <f t="shared" ca="1" si="662"/>
        <v>399.41300000000001</v>
      </c>
      <c r="FQ62" s="32">
        <f t="shared" ca="1" si="662"/>
        <v>400.07400000000001</v>
      </c>
      <c r="FR62" s="32">
        <f t="shared" ca="1" si="662"/>
        <v>406.11400000000003</v>
      </c>
      <c r="FS62" s="32">
        <f t="shared" ca="1" si="662"/>
        <v>406.11400000000003</v>
      </c>
      <c r="FT62" s="32">
        <f t="shared" ca="1" si="662"/>
        <v>406.67600000000004</v>
      </c>
      <c r="FU62" s="32">
        <f t="shared" ca="1" si="662"/>
        <v>406.67600000000004</v>
      </c>
      <c r="FV62" s="32">
        <f t="shared" ca="1" si="662"/>
        <v>407.404</v>
      </c>
      <c r="FW62" s="32">
        <f t="shared" ca="1" si="662"/>
        <v>396.91700000000003</v>
      </c>
      <c r="FX62" s="32">
        <f t="shared" ca="1" si="662"/>
        <v>407.71799999999996</v>
      </c>
      <c r="FY62" s="32">
        <f t="shared" ca="1" si="662"/>
        <v>408.07600000000002</v>
      </c>
      <c r="FZ62" s="32">
        <f t="shared" ca="1" si="662"/>
        <v>408.65099999999995</v>
      </c>
      <c r="GA62" s="32">
        <f t="shared" ca="1" si="662"/>
        <v>409.27699999999999</v>
      </c>
      <c r="GB62" s="32">
        <f t="shared" ca="1" si="662"/>
        <v>410.11899999999997</v>
      </c>
      <c r="GC62" s="32">
        <f t="shared" ca="1" si="662"/>
        <v>411.50999999999993</v>
      </c>
      <c r="GD62" s="32">
        <f t="shared" ref="GD62:GT62" ca="1" si="663">+GD60+GD61</f>
        <v>417.70899999999995</v>
      </c>
      <c r="GE62" s="32">
        <f t="shared" ca="1" si="663"/>
        <v>417.70899999999995</v>
      </c>
      <c r="GF62" s="32">
        <f t="shared" ca="1" si="663"/>
        <v>418.28899999999999</v>
      </c>
      <c r="GG62" s="32">
        <f t="shared" ca="1" si="663"/>
        <v>418.28899999999999</v>
      </c>
      <c r="GH62" s="32">
        <f t="shared" ca="1" si="663"/>
        <v>419.03799999999995</v>
      </c>
      <c r="GI62" s="32">
        <f t="shared" ca="1" si="663"/>
        <v>419.36500000000001</v>
      </c>
      <c r="GJ62" s="32">
        <f t="shared" ca="1" si="663"/>
        <v>420.30399999999997</v>
      </c>
      <c r="GK62" s="32">
        <f t="shared" ca="1" si="663"/>
        <v>420.67199999999997</v>
      </c>
      <c r="GL62" s="32">
        <f t="shared" ca="1" si="663"/>
        <v>421.26400000000001</v>
      </c>
      <c r="GM62" s="32">
        <f t="shared" ca="1" si="663"/>
        <v>422.16399999999993</v>
      </c>
      <c r="GN62" s="32">
        <f t="shared" ca="1" si="663"/>
        <v>393.06799999999993</v>
      </c>
      <c r="GO62" s="32">
        <f t="shared" ca="1" si="663"/>
        <v>383.85799999999995</v>
      </c>
      <c r="GP62" s="32">
        <f t="shared" ca="1" si="663"/>
        <v>422.89499999999998</v>
      </c>
      <c r="GQ62" s="32">
        <f t="shared" ca="1" si="663"/>
        <v>422.89499999999998</v>
      </c>
      <c r="GR62" s="32">
        <f t="shared" ca="1" si="663"/>
        <v>423.49099999999999</v>
      </c>
      <c r="GS62" s="32">
        <f t="shared" ca="1" si="663"/>
        <v>423.49099999999999</v>
      </c>
      <c r="GT62" s="32">
        <f t="shared" ca="1" si="663"/>
        <v>424.26400000000001</v>
      </c>
      <c r="GU62" s="34"/>
      <c r="GV62" s="34"/>
      <c r="GW62" s="34"/>
      <c r="GX62" s="34"/>
      <c r="GY62" s="34"/>
      <c r="GZ62" s="34"/>
      <c r="HA62" s="34"/>
      <c r="HB62" s="34"/>
      <c r="HC62" s="34"/>
      <c r="HD62" s="34"/>
      <c r="HE62" s="34"/>
      <c r="HF62" s="1" t="s">
        <v>212</v>
      </c>
      <c r="HG62" s="139" t="e">
        <f t="shared" si="519"/>
        <v>#REF!</v>
      </c>
      <c r="HH62" s="153" t="str">
        <f t="shared" si="649"/>
        <v>Effective Gross Revenue</v>
      </c>
      <c r="HI62" s="32"/>
      <c r="HJ62" s="32"/>
      <c r="HK62" s="32"/>
      <c r="HL62" s="134">
        <f t="shared" ca="1" si="651"/>
        <v>23754.266719999996</v>
      </c>
      <c r="HM62" s="32"/>
      <c r="HN62" s="135">
        <f t="shared" si="650"/>
        <v>0</v>
      </c>
      <c r="HO62" s="32">
        <f t="shared" si="650"/>
        <v>2428.3100199999999</v>
      </c>
      <c r="HP62" s="32">
        <f t="shared" si="650"/>
        <v>2531.5084600000005</v>
      </c>
      <c r="HQ62" s="32">
        <f t="shared" si="650"/>
        <v>2717.1494399999997</v>
      </c>
      <c r="HR62" s="32">
        <f t="shared" si="650"/>
        <v>3026.8155300000003</v>
      </c>
      <c r="HS62" s="32">
        <f t="shared" ca="1" si="650"/>
        <v>2721.0627799999997</v>
      </c>
      <c r="HT62" s="32">
        <f t="shared" ca="1" si="650"/>
        <v>3055.1791800000001</v>
      </c>
      <c r="HU62" s="32">
        <f t="shared" ca="1" si="650"/>
        <v>3483.36931</v>
      </c>
      <c r="HV62" s="32">
        <f t="shared" ca="1" si="650"/>
        <v>3790.8719999999998</v>
      </c>
      <c r="HW62"/>
    </row>
    <row r="63" spans="1:231" ht="15">
      <c r="I63" s="154"/>
      <c r="J63" s="107"/>
      <c r="K63" s="155"/>
      <c r="L63" s="403"/>
      <c r="M63" s="403"/>
      <c r="N63" s="403"/>
      <c r="O63" s="403"/>
      <c r="P63" s="403"/>
      <c r="Q63" s="403"/>
      <c r="R63" s="403"/>
      <c r="S63" s="403"/>
      <c r="T63" s="403"/>
      <c r="U63" s="403"/>
      <c r="V63" s="403"/>
      <c r="W63" s="403"/>
      <c r="X63" s="403"/>
      <c r="Y63" s="403"/>
      <c r="Z63" s="403"/>
      <c r="AA63" s="403"/>
      <c r="AB63" s="403"/>
      <c r="AC63" s="403"/>
      <c r="AD63" s="403"/>
      <c r="AE63" s="403"/>
      <c r="AF63" s="403"/>
      <c r="AG63" s="403"/>
      <c r="AH63" s="403"/>
      <c r="AI63" s="403"/>
      <c r="AJ63" s="403"/>
      <c r="AK63" s="403"/>
      <c r="AL63" s="403"/>
      <c r="AM63" s="403"/>
      <c r="AN63" s="403"/>
      <c r="AO63" s="403"/>
      <c r="AP63" s="403"/>
      <c r="AQ63" s="403"/>
      <c r="AR63" s="403"/>
      <c r="AS63" s="403"/>
      <c r="AT63" s="403"/>
      <c r="AU63" s="403"/>
      <c r="AV63" s="403"/>
      <c r="AW63" s="403"/>
      <c r="AX63" s="403"/>
      <c r="AY63" s="403"/>
      <c r="AZ63" s="403"/>
      <c r="BA63" s="403"/>
      <c r="BB63" s="403"/>
      <c r="BC63" s="403"/>
      <c r="BD63" s="403"/>
      <c r="BE63" s="403"/>
      <c r="BF63" s="403"/>
      <c r="BG63" s="403"/>
      <c r="BH63" s="403"/>
      <c r="BI63" s="403"/>
      <c r="BJ63" s="403"/>
      <c r="BK63" s="403"/>
      <c r="BL63" s="1386"/>
      <c r="BM63" s="403"/>
      <c r="BN63" s="403"/>
      <c r="BO63" s="403"/>
      <c r="BP63" s="403"/>
      <c r="BQ63" s="403"/>
      <c r="BR63" s="403"/>
      <c r="BS63" s="403"/>
      <c r="BT63" s="403"/>
      <c r="BU63" s="403"/>
      <c r="BV63" s="403"/>
      <c r="BW63" s="403"/>
      <c r="BX63" s="403"/>
      <c r="BY63" s="403"/>
      <c r="BZ63" s="403"/>
      <c r="CA63" s="403"/>
      <c r="CB63" s="403"/>
      <c r="CC63" s="403"/>
      <c r="CD63" s="403"/>
      <c r="CE63" s="403"/>
      <c r="CF63" s="403"/>
      <c r="CG63" s="403"/>
      <c r="CH63" s="403"/>
      <c r="CI63" s="403"/>
      <c r="CJ63" s="403"/>
      <c r="CK63" s="403"/>
      <c r="CL63" s="403"/>
      <c r="CM63" s="403"/>
      <c r="CN63" s="403"/>
      <c r="CO63" s="403"/>
      <c r="CP63" s="403"/>
      <c r="CQ63" s="403"/>
      <c r="CR63" s="403"/>
      <c r="CS63" s="403"/>
      <c r="CT63" s="403"/>
      <c r="CU63" s="403"/>
      <c r="CV63" s="403"/>
      <c r="CW63" s="403"/>
      <c r="CX63" s="403"/>
      <c r="CY63" s="403"/>
      <c r="CZ63" s="403"/>
      <c r="DA63" s="403"/>
      <c r="DB63" s="403"/>
      <c r="DC63" s="403"/>
      <c r="DD63" s="403"/>
      <c r="DE63" s="403"/>
      <c r="DF63" s="403"/>
      <c r="DG63" s="403"/>
      <c r="DH63" s="403"/>
      <c r="DI63" s="403"/>
      <c r="DJ63" s="403"/>
      <c r="DK63" s="403"/>
      <c r="DL63" s="403"/>
      <c r="DM63" s="403"/>
      <c r="DN63" s="403"/>
      <c r="DO63" s="403"/>
      <c r="DP63" s="403"/>
      <c r="DQ63" s="403"/>
      <c r="DR63" s="403"/>
      <c r="DS63" s="403"/>
      <c r="DT63" s="403"/>
      <c r="DU63" s="403"/>
      <c r="DV63" s="403"/>
      <c r="DW63" s="403"/>
      <c r="DX63" s="403"/>
      <c r="DY63" s="403"/>
      <c r="DZ63" s="403"/>
      <c r="EA63" s="403"/>
      <c r="EB63" s="403"/>
      <c r="EC63" s="403"/>
      <c r="ED63" s="403"/>
      <c r="EE63" s="403"/>
      <c r="EF63" s="403"/>
      <c r="EG63" s="403"/>
      <c r="EH63" s="403"/>
      <c r="EI63" s="403"/>
      <c r="EJ63" s="403"/>
      <c r="EK63" s="403"/>
      <c r="EL63" s="403"/>
      <c r="EM63" s="403"/>
      <c r="EN63" s="403"/>
      <c r="EO63" s="403"/>
      <c r="EP63" s="403"/>
      <c r="EQ63" s="403"/>
      <c r="ER63" s="403"/>
      <c r="ES63" s="403"/>
      <c r="ET63" s="403"/>
      <c r="EU63" s="403"/>
      <c r="EV63" s="403"/>
      <c r="EW63" s="403"/>
      <c r="EX63" s="403"/>
      <c r="EY63" s="403"/>
      <c r="EZ63" s="403"/>
      <c r="FA63" s="403"/>
      <c r="FB63" s="403"/>
      <c r="FC63" s="403"/>
      <c r="FD63" s="403"/>
      <c r="FE63" s="403"/>
      <c r="FF63" s="403"/>
      <c r="FG63" s="403"/>
      <c r="FH63" s="403"/>
      <c r="FI63" s="403"/>
      <c r="FJ63" s="403"/>
      <c r="FK63" s="403"/>
      <c r="FL63" s="403"/>
      <c r="FM63" s="403"/>
      <c r="FN63" s="403"/>
      <c r="FO63" s="403"/>
      <c r="FP63" s="403"/>
      <c r="FQ63" s="403"/>
      <c r="FR63" s="403"/>
      <c r="FS63" s="403"/>
      <c r="FT63" s="403"/>
      <c r="FU63" s="403"/>
      <c r="FV63" s="403"/>
      <c r="FW63" s="403"/>
      <c r="FX63" s="403"/>
      <c r="FY63" s="403"/>
      <c r="FZ63" s="403"/>
      <c r="GA63" s="403"/>
      <c r="GB63" s="403"/>
      <c r="GC63" s="403"/>
      <c r="GD63" s="403"/>
      <c r="GE63" s="403"/>
      <c r="GF63" s="403"/>
      <c r="GG63" s="403"/>
      <c r="GH63" s="403"/>
      <c r="GI63" s="403"/>
      <c r="GJ63" s="403"/>
      <c r="GK63" s="403"/>
      <c r="GL63" s="403"/>
      <c r="GM63" s="403"/>
      <c r="GN63" s="403"/>
      <c r="GO63" s="403"/>
      <c r="GP63" s="403"/>
      <c r="GQ63" s="403"/>
      <c r="GR63" s="403"/>
      <c r="GS63" s="403"/>
      <c r="GT63" s="403"/>
      <c r="GU63" s="403"/>
      <c r="GV63" s="403"/>
      <c r="GW63" s="403"/>
      <c r="GX63" s="403"/>
      <c r="GY63" s="403"/>
      <c r="GZ63" s="403"/>
      <c r="HA63" s="403"/>
      <c r="HB63" s="403"/>
      <c r="HC63" s="403"/>
      <c r="HD63" s="403"/>
      <c r="HE63" s="403"/>
      <c r="HF63" s="1" t="s">
        <v>212</v>
      </c>
      <c r="HG63" s="139" t="e">
        <f t="shared" si="519"/>
        <v>#REF!</v>
      </c>
      <c r="HI63" s="107"/>
      <c r="HJ63" s="107"/>
      <c r="HK63" s="107"/>
      <c r="HL63" s="154"/>
      <c r="HM63" s="107"/>
      <c r="HN63" s="155"/>
      <c r="HO63" s="107"/>
      <c r="HP63" s="107"/>
      <c r="HQ63" s="383"/>
      <c r="HR63" s="383"/>
      <c r="HS63" s="383"/>
      <c r="HT63" s="383"/>
      <c r="HU63" s="107"/>
      <c r="HV63" s="107"/>
      <c r="HW63"/>
    </row>
    <row r="64" spans="1:231" ht="15">
      <c r="I64" s="154"/>
      <c r="J64" s="107"/>
      <c r="K64" s="155"/>
      <c r="L64" s="403"/>
      <c r="M64" s="403"/>
      <c r="N64" s="403"/>
      <c r="O64" s="403"/>
      <c r="P64" s="403"/>
      <c r="Q64" s="403"/>
      <c r="R64" s="403"/>
      <c r="S64" s="403"/>
      <c r="T64" s="403"/>
      <c r="U64" s="403"/>
      <c r="V64" s="403"/>
      <c r="W64" s="403"/>
      <c r="X64" s="403"/>
      <c r="Y64" s="403"/>
      <c r="Z64" s="403"/>
      <c r="AA64" s="403"/>
      <c r="AB64" s="403"/>
      <c r="AC64" s="403"/>
      <c r="AD64" s="403"/>
      <c r="AE64" s="403"/>
      <c r="AF64" s="403"/>
      <c r="AG64" s="403"/>
      <c r="AH64" s="403"/>
      <c r="AI64" s="403"/>
      <c r="AJ64" s="403"/>
      <c r="AK64" s="403"/>
      <c r="AL64" s="403"/>
      <c r="AM64" s="403"/>
      <c r="AN64" s="403"/>
      <c r="AO64" s="403"/>
      <c r="AP64" s="403"/>
      <c r="AQ64" s="403"/>
      <c r="AR64" s="403"/>
      <c r="AS64" s="403"/>
      <c r="AT64" s="403"/>
      <c r="AU64" s="403"/>
      <c r="AV64" s="403"/>
      <c r="AW64" s="403"/>
      <c r="AX64" s="403"/>
      <c r="AY64" s="403"/>
      <c r="AZ64" s="403"/>
      <c r="BA64" s="403"/>
      <c r="BB64" s="403"/>
      <c r="BC64" s="403"/>
      <c r="BD64" s="403"/>
      <c r="BE64" s="403"/>
      <c r="BF64" s="403"/>
      <c r="BG64" s="403"/>
      <c r="BH64" s="403"/>
      <c r="BI64" s="403"/>
      <c r="BJ64" s="403"/>
      <c r="BK64" s="403"/>
      <c r="BL64" s="403"/>
      <c r="BM64" s="403"/>
      <c r="BN64" s="403"/>
      <c r="BO64" s="403"/>
      <c r="BP64" s="403"/>
      <c r="BQ64" s="403"/>
      <c r="BR64" s="403"/>
      <c r="BS64" s="403"/>
      <c r="BT64" s="403"/>
      <c r="BU64" s="403"/>
      <c r="BV64" s="403"/>
      <c r="BW64" s="403"/>
      <c r="BX64" s="403"/>
      <c r="BY64" s="403"/>
      <c r="BZ64" s="403"/>
      <c r="CA64" s="403"/>
      <c r="CB64" s="403"/>
      <c r="CC64" s="403"/>
      <c r="CD64" s="403"/>
      <c r="CE64" s="403"/>
      <c r="CF64" s="403"/>
      <c r="CG64" s="403"/>
      <c r="CH64" s="403"/>
      <c r="CI64" s="403"/>
      <c r="CJ64" s="403"/>
      <c r="CK64" s="403"/>
      <c r="CL64" s="403"/>
      <c r="CM64" s="403"/>
      <c r="CN64" s="403"/>
      <c r="CO64" s="403"/>
      <c r="CP64" s="403"/>
      <c r="CQ64" s="403"/>
      <c r="CR64" s="403"/>
      <c r="CS64" s="403"/>
      <c r="CT64" s="403"/>
      <c r="CU64" s="403"/>
      <c r="CV64" s="403"/>
      <c r="CW64" s="403"/>
      <c r="CX64" s="403"/>
      <c r="CY64" s="403"/>
      <c r="CZ64" s="403"/>
      <c r="DA64" s="403"/>
      <c r="DB64" s="403"/>
      <c r="DC64" s="403"/>
      <c r="DD64" s="403"/>
      <c r="DE64" s="403"/>
      <c r="DF64" s="403"/>
      <c r="DG64" s="403"/>
      <c r="DH64" s="403"/>
      <c r="DI64" s="403"/>
      <c r="DJ64" s="403"/>
      <c r="DK64" s="403"/>
      <c r="DL64" s="403"/>
      <c r="DM64" s="403"/>
      <c r="DN64" s="403"/>
      <c r="DO64" s="403"/>
      <c r="DP64" s="403"/>
      <c r="DQ64" s="403"/>
      <c r="DR64" s="403"/>
      <c r="DS64" s="403"/>
      <c r="DT64" s="403"/>
      <c r="DU64" s="403"/>
      <c r="DV64" s="403"/>
      <c r="DW64" s="403"/>
      <c r="DX64" s="403"/>
      <c r="DY64" s="403"/>
      <c r="DZ64" s="403"/>
      <c r="EA64" s="403"/>
      <c r="EB64" s="403"/>
      <c r="EC64" s="403"/>
      <c r="ED64" s="403"/>
      <c r="EE64" s="403"/>
      <c r="EF64" s="403"/>
      <c r="EG64" s="403"/>
      <c r="EH64" s="403"/>
      <c r="EI64" s="403"/>
      <c r="EJ64" s="403"/>
      <c r="EK64" s="403"/>
      <c r="EL64" s="403"/>
      <c r="EM64" s="403"/>
      <c r="EN64" s="403"/>
      <c r="EO64" s="403"/>
      <c r="EP64" s="403"/>
      <c r="EQ64" s="403"/>
      <c r="ER64" s="403"/>
      <c r="ES64" s="403"/>
      <c r="ET64" s="403"/>
      <c r="EU64" s="403"/>
      <c r="EV64" s="403"/>
      <c r="EW64" s="403"/>
      <c r="EX64" s="403"/>
      <c r="EY64" s="403"/>
      <c r="EZ64" s="403"/>
      <c r="FA64" s="403"/>
      <c r="FB64" s="403"/>
      <c r="FC64" s="403"/>
      <c r="FD64" s="403"/>
      <c r="FE64" s="403"/>
      <c r="FF64" s="403"/>
      <c r="FG64" s="403"/>
      <c r="FH64" s="403"/>
      <c r="FI64" s="403"/>
      <c r="FJ64" s="403"/>
      <c r="FK64" s="403"/>
      <c r="FL64" s="403"/>
      <c r="FM64" s="403"/>
      <c r="FN64" s="403"/>
      <c r="FO64" s="403"/>
      <c r="FP64" s="403"/>
      <c r="FQ64" s="403"/>
      <c r="FR64" s="403"/>
      <c r="FS64" s="403"/>
      <c r="FT64" s="403"/>
      <c r="FU64" s="403"/>
      <c r="FV64" s="403"/>
      <c r="FW64" s="403"/>
      <c r="FX64" s="403"/>
      <c r="FY64" s="403"/>
      <c r="FZ64" s="403"/>
      <c r="GA64" s="403"/>
      <c r="GB64" s="403"/>
      <c r="GC64" s="403"/>
      <c r="GD64" s="403"/>
      <c r="GE64" s="403"/>
      <c r="GF64" s="403"/>
      <c r="GG64" s="403"/>
      <c r="GH64" s="403"/>
      <c r="GI64" s="403"/>
      <c r="GJ64" s="403"/>
      <c r="GK64" s="403"/>
      <c r="GL64" s="403"/>
      <c r="GM64" s="403"/>
      <c r="GN64" s="403"/>
      <c r="GO64" s="403"/>
      <c r="GP64" s="403"/>
      <c r="GQ64" s="403"/>
      <c r="GR64" s="403"/>
      <c r="GS64" s="403"/>
      <c r="GT64" s="403"/>
      <c r="GU64" s="403"/>
      <c r="GV64" s="403"/>
      <c r="GW64" s="403"/>
      <c r="GX64" s="403"/>
      <c r="GY64" s="403"/>
      <c r="GZ64" s="403"/>
      <c r="HA64" s="403"/>
      <c r="HB64" s="403"/>
      <c r="HC64" s="403"/>
      <c r="HD64" s="403"/>
      <c r="HE64" s="403"/>
      <c r="HF64" s="1" t="s">
        <v>212</v>
      </c>
      <c r="HG64" s="139" t="e">
        <f t="shared" si="519"/>
        <v>#REF!</v>
      </c>
      <c r="HI64" s="107"/>
      <c r="HJ64" s="107"/>
      <c r="HK64" s="107"/>
      <c r="HL64" s="154"/>
      <c r="HM64" s="107"/>
      <c r="HN64" s="155"/>
      <c r="HO64" s="107"/>
      <c r="HP64" s="107"/>
      <c r="HQ64" s="383"/>
      <c r="HR64" s="383"/>
      <c r="HS64" s="383"/>
      <c r="HT64" s="383"/>
      <c r="HU64" s="107"/>
      <c r="HV64" s="107"/>
      <c r="HW64"/>
    </row>
    <row r="65" spans="1:231" ht="15">
      <c r="A65" s="441">
        <v>8</v>
      </c>
      <c r="B65" s="1" t="s">
        <v>437</v>
      </c>
      <c r="D65" s="585"/>
      <c r="E65" s="156"/>
      <c r="H65" s="381"/>
      <c r="I65" s="132">
        <f ca="1">SUMIF($K$13:$GT$13,"&lt;="&amp;Assumptions!$L$17,'Monthly Cash Flow'!K65:GT65)</f>
        <v>4611.8577999999989</v>
      </c>
      <c r="J65" s="26"/>
      <c r="K65" s="155"/>
      <c r="L65" s="954">
        <f>Historicals!D13</f>
        <v>20.732320000000019</v>
      </c>
      <c r="M65" s="954">
        <f>Historicals!E13</f>
        <v>41.574920000000006</v>
      </c>
      <c r="N65" s="954">
        <f>Historicals!F13</f>
        <v>23.133310000000005</v>
      </c>
      <c r="O65" s="954">
        <f>Historicals!G13</f>
        <v>10.101399999999998</v>
      </c>
      <c r="P65" s="954">
        <f>Historicals!H13</f>
        <v>23.603870000000001</v>
      </c>
      <c r="Q65" s="954">
        <f>Historicals!I13</f>
        <v>25.00292</v>
      </c>
      <c r="R65" s="954">
        <f>Historicals!J13</f>
        <v>23.663500000000017</v>
      </c>
      <c r="S65" s="954">
        <f>Historicals!K13</f>
        <v>23.427509999999995</v>
      </c>
      <c r="T65" s="954">
        <f>Historicals!L13</f>
        <v>16.153059999999996</v>
      </c>
      <c r="U65" s="954">
        <f>Historicals!M13</f>
        <v>31.673989999999993</v>
      </c>
      <c r="V65" s="954">
        <f>Historicals!N13</f>
        <v>24.046879999999991</v>
      </c>
      <c r="W65" s="954">
        <f>Historicals!O13</f>
        <v>-55.671119999999995</v>
      </c>
      <c r="X65" s="954">
        <f>Historicals!P13</f>
        <v>21.234949999999976</v>
      </c>
      <c r="Y65" s="954">
        <f>Historicals!Q13</f>
        <v>63.54811000000003</v>
      </c>
      <c r="Z65" s="954">
        <f>Historicals!R13</f>
        <v>52.960999999999991</v>
      </c>
      <c r="AA65" s="954">
        <f>Historicals!S13</f>
        <v>22.258589999999984</v>
      </c>
      <c r="AB65" s="954">
        <f>Historicals!T13</f>
        <v>36.413300000000014</v>
      </c>
      <c r="AC65" s="954">
        <f>Historicals!U13</f>
        <v>167.38102999999998</v>
      </c>
      <c r="AD65" s="954">
        <f>Historicals!V13</f>
        <v>30.83558</v>
      </c>
      <c r="AE65" s="954">
        <f>Historicals!W13</f>
        <v>43.00558999999997</v>
      </c>
      <c r="AF65" s="954">
        <f>Historicals!X13</f>
        <v>26.921519999999994</v>
      </c>
      <c r="AG65" s="954">
        <f>Historicals!Y13</f>
        <v>13.250849999999993</v>
      </c>
      <c r="AH65" s="954">
        <f>Historicals!Z13</f>
        <v>29.812490000000004</v>
      </c>
      <c r="AI65" s="954">
        <f>Historicals!AA13</f>
        <v>22.590839999999996</v>
      </c>
      <c r="AJ65" s="954">
        <f>Historicals!AB13</f>
        <v>28.305840000000021</v>
      </c>
      <c r="AK65" s="954">
        <f>Historicals!AC13</f>
        <v>26.680050000000016</v>
      </c>
      <c r="AL65" s="954">
        <f>Historicals!AD13</f>
        <v>22.526170000000008</v>
      </c>
      <c r="AM65" s="954">
        <f>Historicals!AE13</f>
        <v>25.47567999999999</v>
      </c>
      <c r="AN65" s="954">
        <f>Historicals!AF13</f>
        <v>44.748899999999992</v>
      </c>
      <c r="AO65" s="954">
        <f>Historicals!AG13</f>
        <v>39.615800000000007</v>
      </c>
      <c r="AP65" s="954">
        <f>Historicals!AH13</f>
        <v>24.23846</v>
      </c>
      <c r="AQ65" s="954">
        <f>Historicals!AI13</f>
        <v>34.337220000000023</v>
      </c>
      <c r="AR65" s="954">
        <f>Historicals!AJ13</f>
        <v>28.681950000000001</v>
      </c>
      <c r="AS65" s="954">
        <f>Historicals!AK13</f>
        <v>25.975139999999993</v>
      </c>
      <c r="AT65" s="954">
        <f>Historicals!AL13</f>
        <v>31.630180000000003</v>
      </c>
      <c r="AU65" s="954">
        <f>Historicals!AM13</f>
        <v>24.816010000000006</v>
      </c>
      <c r="AV65" s="954">
        <f>Historicals!AN13</f>
        <v>24.906440000000003</v>
      </c>
      <c r="AW65" s="954">
        <f>Historicals!AO13</f>
        <v>24.650999999999993</v>
      </c>
      <c r="AX65" s="954">
        <f>Historicals!AP13</f>
        <v>41.505560000000031</v>
      </c>
      <c r="AY65" s="954">
        <f>Historicals!AQ13</f>
        <v>46.880050000000004</v>
      </c>
      <c r="AZ65" s="954">
        <f>Historicals!AR13</f>
        <v>41.757470000000012</v>
      </c>
      <c r="BA65" s="954">
        <f>Historicals!AS13</f>
        <v>40.834270000000004</v>
      </c>
      <c r="BB65" s="954">
        <f>Historicals!AT13</f>
        <v>49.855159999999991</v>
      </c>
      <c r="BC65" s="954">
        <f>Historicals!AU13</f>
        <v>23.952999999999985</v>
      </c>
      <c r="BD65" s="954">
        <f>Historicals!AV13</f>
        <v>22.77470000000001</v>
      </c>
      <c r="BE65" s="954">
        <f>Historicals!AW13</f>
        <v>35.678049999999992</v>
      </c>
      <c r="BF65" s="954">
        <f>Historicals!AX13</f>
        <v>34.287429999999986</v>
      </c>
      <c r="BG65" s="954">
        <f>Historicals!AY13</f>
        <v>11.586000000000006</v>
      </c>
      <c r="BH65" s="954">
        <f>Historicals!AZ13</f>
        <v>19.162079999999992</v>
      </c>
      <c r="BI65" s="954">
        <f>Historicals!BA13</f>
        <v>43.949390000000008</v>
      </c>
      <c r="BJ65" s="954">
        <f>Historicals!BB13</f>
        <v>39.022270000000006</v>
      </c>
      <c r="BK65" s="954">
        <f>Historicals!BC13</f>
        <v>8.919869999999996</v>
      </c>
      <c r="BL65" s="954">
        <f>Historicals!BD13</f>
        <v>10.58373000000001</v>
      </c>
      <c r="BM65" s="954">
        <f>Historicals!BE13</f>
        <v>61.520700000000019</v>
      </c>
      <c r="BN65" s="954">
        <f>Historicals!BF13</f>
        <v>18.865469999999981</v>
      </c>
      <c r="BO65" s="954">
        <f>Historicals!BG13</f>
        <v>25.440300000000001</v>
      </c>
      <c r="BP65" s="954">
        <f>Historicals!BH13</f>
        <v>29.234249999999982</v>
      </c>
      <c r="BQ65" s="954">
        <f>Historicals!BI13</f>
        <v>42.584550000000007</v>
      </c>
      <c r="BR65" s="954">
        <f>Historicals!BJ13</f>
        <v>25.405200000000001</v>
      </c>
      <c r="BS65" s="954">
        <f>Historicals!BK13</f>
        <v>17.614610000000006</v>
      </c>
      <c r="BT65" s="954">
        <f>Historicals!BL13</f>
        <v>21.129950000000015</v>
      </c>
      <c r="BU65" s="954">
        <f>Historicals!BM13</f>
        <v>44.306549999999987</v>
      </c>
      <c r="BV65" s="954">
        <f>Historicals!BN13</f>
        <v>27.865600000000008</v>
      </c>
      <c r="BW65" s="954">
        <f>Historicals!BO13</f>
        <v>9.1599999999999966</v>
      </c>
      <c r="BX65" s="954">
        <f>Historicals!BP13</f>
        <v>58.108549999999994</v>
      </c>
      <c r="BY65" s="954">
        <f>Historicals!BQ13</f>
        <v>9.7942999999999998</v>
      </c>
      <c r="BZ65" s="954">
        <f>Historicals!BR13</f>
        <v>0.10500000000001819</v>
      </c>
      <c r="CA65" s="954">
        <f>Historicals!BS13</f>
        <v>54.514929999999993</v>
      </c>
      <c r="CB65" s="954">
        <f>Historicals!BT13</f>
        <v>32.963659999999983</v>
      </c>
      <c r="CC65" s="954">
        <f>Historicals!BU13</f>
        <v>19.945850000000029</v>
      </c>
      <c r="CD65" s="954">
        <f>Historicals!BV13</f>
        <v>77.60093999999998</v>
      </c>
      <c r="CE65" s="954">
        <f>Historicals!BW13</f>
        <v>39.886679999999984</v>
      </c>
      <c r="CF65" s="954">
        <f>Historicals!BX13</f>
        <v>19.716700000000024</v>
      </c>
      <c r="CG65" s="954">
        <f>Historicals!BY13</f>
        <v>34.193350000000017</v>
      </c>
      <c r="CH65" s="954">
        <f>Historicals!BZ13</f>
        <v>32.245380000000004</v>
      </c>
      <c r="CI65" s="26">
        <f ca="1">IFERROR(OFFSET(ARGUS!$A$3, MATCH($A65, ARGUS!$A$3:$A$176, 0)-1,MATCH(EOMONTH(CI$15,1), ARGUS!$B$4:$LG$4, 0)-1,1,1)/1000, 0)</f>
        <v>81.686999999999998</v>
      </c>
      <c r="CJ65" s="26">
        <f ca="1">IFERROR(OFFSET(ARGUS!$A$3, MATCH($A65, ARGUS!$A$3:$A$176, 0)-1,MATCH(EOMONTH(CJ$15,1), ARGUS!$B$4:$LG$4, 0)-1,1,1)/1000, 0)</f>
        <v>81.686999999999998</v>
      </c>
      <c r="CK65" s="26">
        <f ca="1">IFERROR(OFFSET(ARGUS!$A$3, MATCH($A65, ARGUS!$A$3:$A$176, 0)-1,MATCH(EOMONTH(CK$15,1), ARGUS!$B$4:$LG$4, 0)-1,1,1)/1000, 0)</f>
        <v>81.686999999999998</v>
      </c>
      <c r="CL65" s="26">
        <f ca="1">IFERROR(OFFSET(ARGUS!$A$3, MATCH($A65, ARGUS!$A$3:$A$176, 0)-1,MATCH(EOMONTH(CL$15,1), ARGUS!$B$4:$LG$4, 0)-1,1,1)/1000, 0)</f>
        <v>84.138000000000005</v>
      </c>
      <c r="CM65" s="26">
        <f ca="1">IFERROR(OFFSET(ARGUS!$A$3, MATCH($A65, ARGUS!$A$3:$A$176, 0)-1,MATCH(EOMONTH(CM$15,1), ARGUS!$B$4:$LG$4, 0)-1,1,1)/1000, 0)</f>
        <v>84.138000000000005</v>
      </c>
      <c r="CN65" s="26">
        <f ca="1">IFERROR(OFFSET(ARGUS!$A$3, MATCH($A65, ARGUS!$A$3:$A$176, 0)-1,MATCH(EOMONTH(CN$15,1), ARGUS!$B$4:$LG$4, 0)-1,1,1)/1000, 0)</f>
        <v>84.138000000000005</v>
      </c>
      <c r="CO65" s="26">
        <f ca="1">IFERROR(OFFSET(ARGUS!$A$3, MATCH($A65, ARGUS!$A$3:$A$176, 0)-1,MATCH(EOMONTH(CO$15,1), ARGUS!$B$4:$LG$4, 0)-1,1,1)/1000, 0)</f>
        <v>84.138000000000005</v>
      </c>
      <c r="CP65" s="26">
        <f ca="1">IFERROR(OFFSET(ARGUS!$A$3, MATCH($A65, ARGUS!$A$3:$A$176, 0)-1,MATCH(EOMONTH(CP$15,1), ARGUS!$B$4:$LG$4, 0)-1,1,1)/1000, 0)</f>
        <v>84.138000000000005</v>
      </c>
      <c r="CQ65" s="26">
        <f ca="1">IFERROR(OFFSET(ARGUS!$A$3, MATCH($A65, ARGUS!$A$3:$A$176, 0)-1,MATCH(EOMONTH(CQ$15,1), ARGUS!$B$4:$LG$4, 0)-1,1,1)/1000, 0)</f>
        <v>84.138000000000005</v>
      </c>
      <c r="CR65" s="26">
        <f ca="1">IFERROR(OFFSET(ARGUS!$A$3, MATCH($A65, ARGUS!$A$3:$A$176, 0)-1,MATCH(EOMONTH(CR$15,1), ARGUS!$B$4:$LG$4, 0)-1,1,1)/1000, 0)</f>
        <v>84.138000000000005</v>
      </c>
      <c r="CS65" s="26">
        <f ca="1">IFERROR(OFFSET(ARGUS!$A$3, MATCH($A65, ARGUS!$A$3:$A$176, 0)-1,MATCH(EOMONTH(CS$15,1), ARGUS!$B$4:$LG$4, 0)-1,1,1)/1000, 0)</f>
        <v>84.138000000000005</v>
      </c>
      <c r="CT65" s="26">
        <f ca="1">IFERROR(OFFSET(ARGUS!$A$3, MATCH($A65, ARGUS!$A$3:$A$176, 0)-1,MATCH(EOMONTH(CT$15,1), ARGUS!$B$4:$LG$4, 0)-1,1,1)/1000, 0)</f>
        <v>84.138000000000005</v>
      </c>
      <c r="CU65" s="26">
        <f ca="1">IFERROR(OFFSET(ARGUS!$A$3, MATCH($A65, ARGUS!$A$3:$A$176, 0)-1,MATCH(EOMONTH(CU$15,1), ARGUS!$B$4:$LG$4, 0)-1,1,1)/1000, 0)</f>
        <v>84.138000000000005</v>
      </c>
      <c r="CV65" s="26">
        <f ca="1">IFERROR(OFFSET(ARGUS!$A$3, MATCH($A65, ARGUS!$A$3:$A$176, 0)-1,MATCH(EOMONTH(CV$15,1), ARGUS!$B$4:$LG$4, 0)-1,1,1)/1000, 0)</f>
        <v>84.138000000000005</v>
      </c>
      <c r="CW65" s="26">
        <f ca="1">IFERROR(OFFSET(ARGUS!$A$3, MATCH($A65, ARGUS!$A$3:$A$176, 0)-1,MATCH(EOMONTH(CW$15,1), ARGUS!$B$4:$LG$4, 0)-1,1,1)/1000, 0)</f>
        <v>84.138000000000005</v>
      </c>
      <c r="CX65" s="26">
        <f ca="1">IFERROR(OFFSET(ARGUS!$A$3, MATCH($A65, ARGUS!$A$3:$A$176, 0)-1,MATCH(EOMONTH(CX$15,1), ARGUS!$B$4:$LG$4, 0)-1,1,1)/1000, 0)</f>
        <v>86.662000000000006</v>
      </c>
      <c r="CY65" s="26">
        <f ca="1">IFERROR(OFFSET(ARGUS!$A$3, MATCH($A65, ARGUS!$A$3:$A$176, 0)-1,MATCH(EOMONTH(CY$15,1), ARGUS!$B$4:$LG$4, 0)-1,1,1)/1000, 0)</f>
        <v>86.662000000000006</v>
      </c>
      <c r="CZ65" s="26">
        <f ca="1">IFERROR(OFFSET(ARGUS!$A$3, MATCH($A65, ARGUS!$A$3:$A$176, 0)-1,MATCH(EOMONTH(CZ$15,1), ARGUS!$B$4:$LG$4, 0)-1,1,1)/1000, 0)</f>
        <v>86.662000000000006</v>
      </c>
      <c r="DA65" s="26">
        <f ca="1">IFERROR(OFFSET(ARGUS!$A$3, MATCH($A65, ARGUS!$A$3:$A$176, 0)-1,MATCH(EOMONTH(DA$15,1), ARGUS!$B$4:$LG$4, 0)-1,1,1)/1000, 0)</f>
        <v>86.662000000000006</v>
      </c>
      <c r="DB65" s="26">
        <f ca="1">IFERROR(OFFSET(ARGUS!$A$3, MATCH($A65, ARGUS!$A$3:$A$176, 0)-1,MATCH(EOMONTH(DB$15,1), ARGUS!$B$4:$LG$4, 0)-1,1,1)/1000, 0)</f>
        <v>86.662000000000006</v>
      </c>
      <c r="DC65" s="26">
        <f ca="1">IFERROR(OFFSET(ARGUS!$A$3, MATCH($A65, ARGUS!$A$3:$A$176, 0)-1,MATCH(EOMONTH(DC$15,1), ARGUS!$B$4:$LG$4, 0)-1,1,1)/1000, 0)</f>
        <v>86.662000000000006</v>
      </c>
      <c r="DD65" s="26">
        <f ca="1">IFERROR(OFFSET(ARGUS!$A$3, MATCH($A65, ARGUS!$A$3:$A$176, 0)-1,MATCH(EOMONTH(DD$15,1), ARGUS!$B$4:$LG$4, 0)-1,1,1)/1000, 0)</f>
        <v>86.662000000000006</v>
      </c>
      <c r="DE65" s="26">
        <f ca="1">IFERROR(OFFSET(ARGUS!$A$3, MATCH($A65, ARGUS!$A$3:$A$176, 0)-1,MATCH(EOMONTH(DE$15,1), ARGUS!$B$4:$LG$4, 0)-1,1,1)/1000, 0)</f>
        <v>86.662000000000006</v>
      </c>
      <c r="DF65" s="26">
        <f ca="1">IFERROR(OFFSET(ARGUS!$A$3, MATCH($A65, ARGUS!$A$3:$A$176, 0)-1,MATCH(EOMONTH(DF$15,1), ARGUS!$B$4:$LG$4, 0)-1,1,1)/1000, 0)</f>
        <v>86.662000000000006</v>
      </c>
      <c r="DG65" s="26">
        <f ca="1">IFERROR(OFFSET(ARGUS!$A$3, MATCH($A65, ARGUS!$A$3:$A$176, 0)-1,MATCH(EOMONTH(DG$15,1), ARGUS!$B$4:$LG$4, 0)-1,1,1)/1000, 0)</f>
        <v>86.662000000000006</v>
      </c>
      <c r="DH65" s="26">
        <f ca="1">IFERROR(OFFSET(ARGUS!$A$3, MATCH($A65, ARGUS!$A$3:$A$176, 0)-1,MATCH(EOMONTH(DH$15,1), ARGUS!$B$4:$LG$4, 0)-1,1,1)/1000, 0)</f>
        <v>86.662000000000006</v>
      </c>
      <c r="DI65" s="26">
        <f ca="1">IFERROR(OFFSET(ARGUS!$A$3, MATCH($A65, ARGUS!$A$3:$A$176, 0)-1,MATCH(EOMONTH(DI$15,1), ARGUS!$B$4:$LG$4, 0)-1,1,1)/1000, 0)</f>
        <v>86.662000000000006</v>
      </c>
      <c r="DJ65" s="26">
        <f ca="1">IFERROR(OFFSET(ARGUS!$A$3, MATCH($A65, ARGUS!$A$3:$A$176, 0)-1,MATCH(EOMONTH(DJ$15,1), ARGUS!$B$4:$LG$4, 0)-1,1,1)/1000, 0)</f>
        <v>89.262</v>
      </c>
      <c r="DK65" s="26">
        <f ca="1">IFERROR(OFFSET(ARGUS!$A$3, MATCH($A65, ARGUS!$A$3:$A$176, 0)-1,MATCH(EOMONTH(DK$15,1), ARGUS!$B$4:$LG$4, 0)-1,1,1)/1000, 0)</f>
        <v>89.262</v>
      </c>
      <c r="DL65" s="26">
        <f ca="1">IFERROR(OFFSET(ARGUS!$A$3, MATCH($A65, ARGUS!$A$3:$A$176, 0)-1,MATCH(EOMONTH(DL$15,1), ARGUS!$B$4:$LG$4, 0)-1,1,1)/1000, 0)</f>
        <v>89.262</v>
      </c>
      <c r="DM65" s="26">
        <f ca="1">IFERROR(OFFSET(ARGUS!$A$3, MATCH($A65, ARGUS!$A$3:$A$176, 0)-1,MATCH(EOMONTH(DM$15,1), ARGUS!$B$4:$LG$4, 0)-1,1,1)/1000, 0)</f>
        <v>89.262</v>
      </c>
      <c r="DN65" s="26">
        <f ca="1">IFERROR(OFFSET(ARGUS!$A$3, MATCH($A65, ARGUS!$A$3:$A$176, 0)-1,MATCH(EOMONTH(DN$15,1), ARGUS!$B$4:$LG$4, 0)-1,1,1)/1000, 0)</f>
        <v>89.262</v>
      </c>
      <c r="DO65" s="26">
        <f ca="1">IFERROR(OFFSET(ARGUS!$A$3, MATCH($A65, ARGUS!$A$3:$A$176, 0)-1,MATCH(EOMONTH(DO$15,1), ARGUS!$B$4:$LG$4, 0)-1,1,1)/1000, 0)</f>
        <v>89.262</v>
      </c>
      <c r="DP65" s="26">
        <f ca="1">IFERROR(OFFSET(ARGUS!$A$3, MATCH($A65, ARGUS!$A$3:$A$176, 0)-1,MATCH(EOMONTH(DP$15,1), ARGUS!$B$4:$LG$4, 0)-1,1,1)/1000, 0)</f>
        <v>89.262</v>
      </c>
      <c r="DQ65" s="26">
        <f ca="1">IFERROR(OFFSET(ARGUS!$A$3, MATCH($A65, ARGUS!$A$3:$A$176, 0)-1,MATCH(EOMONTH(DQ$15,1), ARGUS!$B$4:$LG$4, 0)-1,1,1)/1000, 0)</f>
        <v>89.262</v>
      </c>
      <c r="DR65" s="26">
        <f ca="1">IFERROR(OFFSET(ARGUS!$A$3, MATCH($A65, ARGUS!$A$3:$A$176, 0)-1,MATCH(EOMONTH(DR$15,1), ARGUS!$B$4:$LG$4, 0)-1,1,1)/1000, 0)</f>
        <v>89.262</v>
      </c>
      <c r="DS65" s="26">
        <f ca="1">IFERROR(OFFSET(ARGUS!$A$3, MATCH($A65, ARGUS!$A$3:$A$176, 0)-1,MATCH(EOMONTH(DS$15,1), ARGUS!$B$4:$LG$4, 0)-1,1,1)/1000, 0)</f>
        <v>89.262</v>
      </c>
      <c r="DT65" s="26">
        <f ca="1">IFERROR(OFFSET(ARGUS!$A$3, MATCH($A65, ARGUS!$A$3:$A$176, 0)-1,MATCH(EOMONTH(DT$15,1), ARGUS!$B$4:$LG$4, 0)-1,1,1)/1000, 0)</f>
        <v>89.262</v>
      </c>
      <c r="DU65" s="26">
        <f ca="1">IFERROR(OFFSET(ARGUS!$A$3, MATCH($A65, ARGUS!$A$3:$A$176, 0)-1,MATCH(EOMONTH(DU$15,1), ARGUS!$B$4:$LG$4, 0)-1,1,1)/1000, 0)</f>
        <v>89.262</v>
      </c>
      <c r="DV65" s="26">
        <f ca="1">IFERROR(OFFSET(ARGUS!$A$3, MATCH($A65, ARGUS!$A$3:$A$176, 0)-1,MATCH(EOMONTH(DV$15,1), ARGUS!$B$4:$LG$4, 0)-1,1,1)/1000, 0)</f>
        <v>91.938999999999993</v>
      </c>
      <c r="DW65" s="26">
        <f ca="1">IFERROR(OFFSET(ARGUS!$A$3, MATCH($A65, ARGUS!$A$3:$A$176, 0)-1,MATCH(EOMONTH(DW$15,1), ARGUS!$B$4:$LG$4, 0)-1,1,1)/1000, 0)</f>
        <v>91.938999999999993</v>
      </c>
      <c r="DX65" s="26">
        <f ca="1">IFERROR(OFFSET(ARGUS!$A$3, MATCH($A65, ARGUS!$A$3:$A$176, 0)-1,MATCH(EOMONTH(DX$15,1), ARGUS!$B$4:$LG$4, 0)-1,1,1)/1000, 0)</f>
        <v>91.938999999999993</v>
      </c>
      <c r="DY65" s="26">
        <f ca="1">IFERROR(OFFSET(ARGUS!$A$3, MATCH($A65, ARGUS!$A$3:$A$176, 0)-1,MATCH(EOMONTH(DY$15,1), ARGUS!$B$4:$LG$4, 0)-1,1,1)/1000, 0)</f>
        <v>91.938999999999993</v>
      </c>
      <c r="DZ65" s="26">
        <f ca="1">IFERROR(OFFSET(ARGUS!$A$3, MATCH($A65, ARGUS!$A$3:$A$176, 0)-1,MATCH(EOMONTH(DZ$15,1), ARGUS!$B$4:$LG$4, 0)-1,1,1)/1000, 0)</f>
        <v>91.938999999999993</v>
      </c>
      <c r="EA65" s="26">
        <f ca="1">IFERROR(OFFSET(ARGUS!$A$3, MATCH($A65, ARGUS!$A$3:$A$176, 0)-1,MATCH(EOMONTH(EA$15,1), ARGUS!$B$4:$LG$4, 0)-1,1,1)/1000, 0)</f>
        <v>91.938999999999993</v>
      </c>
      <c r="EB65" s="26">
        <f ca="1">IFERROR(OFFSET(ARGUS!$A$3, MATCH($A65, ARGUS!$A$3:$A$176, 0)-1,MATCH(EOMONTH(EB$15,1), ARGUS!$B$4:$LG$4, 0)-1,1,1)/1000, 0)</f>
        <v>91.938999999999993</v>
      </c>
      <c r="EC65" s="26">
        <f ca="1">IFERROR(OFFSET(ARGUS!$A$3, MATCH($A65, ARGUS!$A$3:$A$176, 0)-1,MATCH(EOMONTH(EC$15,1), ARGUS!$B$4:$LG$4, 0)-1,1,1)/1000, 0)</f>
        <v>91.938999999999993</v>
      </c>
      <c r="ED65" s="26">
        <f ca="1">IFERROR(OFFSET(ARGUS!$A$3, MATCH($A65, ARGUS!$A$3:$A$176, 0)-1,MATCH(EOMONTH(ED$15,1), ARGUS!$B$4:$LG$4, 0)-1,1,1)/1000, 0)</f>
        <v>91.938999999999993</v>
      </c>
      <c r="EE65" s="26">
        <f ca="1">IFERROR(OFFSET(ARGUS!$A$3, MATCH($A65, ARGUS!$A$3:$A$176, 0)-1,MATCH(EOMONTH(EE$15,1), ARGUS!$B$4:$LG$4, 0)-1,1,1)/1000, 0)</f>
        <v>91.938999999999993</v>
      </c>
      <c r="EF65" s="26">
        <f ca="1">IFERROR(OFFSET(ARGUS!$A$3, MATCH($A65, ARGUS!$A$3:$A$176, 0)-1,MATCH(EOMONTH(EF$15,1), ARGUS!$B$4:$LG$4, 0)-1,1,1)/1000, 0)</f>
        <v>91.938999999999993</v>
      </c>
      <c r="EG65" s="26">
        <f ca="1">IFERROR(OFFSET(ARGUS!$A$3, MATCH($A65, ARGUS!$A$3:$A$176, 0)-1,MATCH(EOMONTH(EG$15,1), ARGUS!$B$4:$LG$4, 0)-1,1,1)/1000, 0)</f>
        <v>91.938999999999993</v>
      </c>
      <c r="EH65" s="26">
        <f ca="1">IFERROR(OFFSET(ARGUS!$A$3, MATCH($A65, ARGUS!$A$3:$A$176, 0)-1,MATCH(EOMONTH(EH$15,1), ARGUS!$B$4:$LG$4, 0)-1,1,1)/1000, 0)</f>
        <v>94.697999999999993</v>
      </c>
      <c r="EI65" s="26">
        <f ca="1">IFERROR(OFFSET(ARGUS!$A$3, MATCH($A65, ARGUS!$A$3:$A$176, 0)-1,MATCH(EOMONTH(EI$15,1), ARGUS!$B$4:$LG$4, 0)-1,1,1)/1000, 0)</f>
        <v>94.697999999999993</v>
      </c>
      <c r="EJ65" s="26">
        <f ca="1">IFERROR(OFFSET(ARGUS!$A$3, MATCH($A65, ARGUS!$A$3:$A$176, 0)-1,MATCH(EOMONTH(EJ$15,1), ARGUS!$B$4:$LG$4, 0)-1,1,1)/1000, 0)</f>
        <v>94.697999999999993</v>
      </c>
      <c r="EK65" s="26">
        <f ca="1">IFERROR(OFFSET(ARGUS!$A$3, MATCH($A65, ARGUS!$A$3:$A$176, 0)-1,MATCH(EOMONTH(EK$15,1), ARGUS!$B$4:$LG$4, 0)-1,1,1)/1000, 0)</f>
        <v>94.697999999999993</v>
      </c>
      <c r="EL65" s="26">
        <f ca="1">IFERROR(OFFSET(ARGUS!$A$3, MATCH($A65, ARGUS!$A$3:$A$176, 0)-1,MATCH(EOMONTH(EL$15,1), ARGUS!$B$4:$LG$4, 0)-1,1,1)/1000, 0)</f>
        <v>94.697999999999993</v>
      </c>
      <c r="EM65" s="26">
        <f ca="1">IFERROR(OFFSET(ARGUS!$A$3, MATCH($A65, ARGUS!$A$3:$A$176, 0)-1,MATCH(EOMONTH(EM$15,1), ARGUS!$B$4:$LG$4, 0)-1,1,1)/1000, 0)</f>
        <v>94.697999999999993</v>
      </c>
      <c r="EN65" s="26">
        <f ca="1">IFERROR(OFFSET(ARGUS!$A$3, MATCH($A65, ARGUS!$A$3:$A$176, 0)-1,MATCH(EOMONTH(EN$15,1), ARGUS!$B$4:$LG$4, 0)-1,1,1)/1000, 0)</f>
        <v>94.697999999999993</v>
      </c>
      <c r="EO65" s="26">
        <f ca="1">IFERROR(OFFSET(ARGUS!$A$3, MATCH($A65, ARGUS!$A$3:$A$176, 0)-1,MATCH(EOMONTH(EO$15,1), ARGUS!$B$4:$LG$4, 0)-1,1,1)/1000, 0)</f>
        <v>94.697999999999993</v>
      </c>
      <c r="EP65" s="26">
        <f ca="1">IFERROR(OFFSET(ARGUS!$A$3, MATCH($A65, ARGUS!$A$3:$A$176, 0)-1,MATCH(EOMONTH(EP$15,1), ARGUS!$B$4:$LG$4, 0)-1,1,1)/1000, 0)</f>
        <v>94.697999999999993</v>
      </c>
      <c r="EQ65" s="26">
        <f ca="1">IFERROR(OFFSET(ARGUS!$A$3, MATCH($A65, ARGUS!$A$3:$A$176, 0)-1,MATCH(EOMONTH(EQ$15,1), ARGUS!$B$4:$LG$4, 0)-1,1,1)/1000, 0)</f>
        <v>94.697999999999993</v>
      </c>
      <c r="ER65" s="26">
        <f ca="1">IFERROR(OFFSET(ARGUS!$A$3, MATCH($A65, ARGUS!$A$3:$A$176, 0)-1,MATCH(EOMONTH(ER$15,1), ARGUS!$B$4:$LG$4, 0)-1,1,1)/1000, 0)</f>
        <v>94.697999999999993</v>
      </c>
      <c r="ES65" s="26">
        <f ca="1">IFERROR(OFFSET(ARGUS!$A$3, MATCH($A65, ARGUS!$A$3:$A$176, 0)-1,MATCH(EOMONTH(ES$15,1), ARGUS!$B$4:$LG$4, 0)-1,1,1)/1000, 0)</f>
        <v>94.697999999999993</v>
      </c>
      <c r="ET65" s="26">
        <f ca="1">IFERROR(OFFSET(ARGUS!$A$3, MATCH($A65, ARGUS!$A$3:$A$176, 0)-1,MATCH(EOMONTH(ET$15,1), ARGUS!$B$4:$LG$4, 0)-1,1,1)/1000, 0)</f>
        <v>97.539000000000001</v>
      </c>
      <c r="EU65" s="26">
        <f ca="1">IFERROR(OFFSET(ARGUS!$A$3, MATCH($A65, ARGUS!$A$3:$A$176, 0)-1,MATCH(EOMONTH(EU$15,1), ARGUS!$B$4:$LG$4, 0)-1,1,1)/1000, 0)</f>
        <v>97.539000000000001</v>
      </c>
      <c r="EV65" s="26">
        <f ca="1">IFERROR(OFFSET(ARGUS!$A$3, MATCH($A65, ARGUS!$A$3:$A$176, 0)-1,MATCH(EOMONTH(EV$15,1), ARGUS!$B$4:$LG$4, 0)-1,1,1)/1000, 0)</f>
        <v>97.539000000000001</v>
      </c>
      <c r="EW65" s="26">
        <f ca="1">IFERROR(OFFSET(ARGUS!$A$3, MATCH($A65, ARGUS!$A$3:$A$176, 0)-1,MATCH(EOMONTH(EW$15,1), ARGUS!$B$4:$LG$4, 0)-1,1,1)/1000, 0)</f>
        <v>97.539000000000001</v>
      </c>
      <c r="EX65" s="26">
        <f ca="1">IFERROR(OFFSET(ARGUS!$A$3, MATCH($A65, ARGUS!$A$3:$A$176, 0)-1,MATCH(EOMONTH(EX$15,1), ARGUS!$B$4:$LG$4, 0)-1,1,1)/1000, 0)</f>
        <v>97.539000000000001</v>
      </c>
      <c r="EY65" s="26">
        <f ca="1">IFERROR(OFFSET(ARGUS!$A$3, MATCH($A65, ARGUS!$A$3:$A$176, 0)-1,MATCH(EOMONTH(EY$15,1), ARGUS!$B$4:$LG$4, 0)-1,1,1)/1000, 0)</f>
        <v>97.539000000000001</v>
      </c>
      <c r="EZ65" s="26">
        <f ca="1">IFERROR(OFFSET(ARGUS!$A$3, MATCH($A65, ARGUS!$A$3:$A$176, 0)-1,MATCH(EOMONTH(EZ$15,1), ARGUS!$B$4:$LG$4, 0)-1,1,1)/1000, 0)</f>
        <v>97.539000000000001</v>
      </c>
      <c r="FA65" s="26">
        <f ca="1">IFERROR(OFFSET(ARGUS!$A$3, MATCH($A65, ARGUS!$A$3:$A$176, 0)-1,MATCH(EOMONTH(FA$15,1), ARGUS!$B$4:$LG$4, 0)-1,1,1)/1000, 0)</f>
        <v>97.539000000000001</v>
      </c>
      <c r="FB65" s="26">
        <f ca="1">IFERROR(OFFSET(ARGUS!$A$3, MATCH($A65, ARGUS!$A$3:$A$176, 0)-1,MATCH(EOMONTH(FB$15,1), ARGUS!$B$4:$LG$4, 0)-1,1,1)/1000, 0)</f>
        <v>97.539000000000001</v>
      </c>
      <c r="FC65" s="26">
        <f ca="1">IFERROR(OFFSET(ARGUS!$A$3, MATCH($A65, ARGUS!$A$3:$A$176, 0)-1,MATCH(EOMONTH(FC$15,1), ARGUS!$B$4:$LG$4, 0)-1,1,1)/1000, 0)</f>
        <v>97.539000000000001</v>
      </c>
      <c r="FD65" s="26">
        <f ca="1">IFERROR(OFFSET(ARGUS!$A$3, MATCH($A65, ARGUS!$A$3:$A$176, 0)-1,MATCH(EOMONTH(FD$15,1), ARGUS!$B$4:$LG$4, 0)-1,1,1)/1000, 0)</f>
        <v>97.539000000000001</v>
      </c>
      <c r="FE65" s="26">
        <f ca="1">IFERROR(OFFSET(ARGUS!$A$3, MATCH($A65, ARGUS!$A$3:$A$176, 0)-1,MATCH(EOMONTH(FE$15,1), ARGUS!$B$4:$LG$4, 0)-1,1,1)/1000, 0)</f>
        <v>97.539000000000001</v>
      </c>
      <c r="FF65" s="26">
        <f ca="1">IFERROR(OFFSET(ARGUS!$A$3, MATCH($A65, ARGUS!$A$3:$A$176, 0)-1,MATCH(EOMONTH(FF$15,1), ARGUS!$B$4:$LG$4, 0)-1,1,1)/1000, 0)</f>
        <v>100.465</v>
      </c>
      <c r="FG65" s="26">
        <f ca="1">IFERROR(OFFSET(ARGUS!$A$3, MATCH($A65, ARGUS!$A$3:$A$176, 0)-1,MATCH(EOMONTH(FG$15,1), ARGUS!$B$4:$LG$4, 0)-1,1,1)/1000, 0)</f>
        <v>100.465</v>
      </c>
      <c r="FH65" s="26">
        <f ca="1">IFERROR(OFFSET(ARGUS!$A$3, MATCH($A65, ARGUS!$A$3:$A$176, 0)-1,MATCH(EOMONTH(FH$15,1), ARGUS!$B$4:$LG$4, 0)-1,1,1)/1000, 0)</f>
        <v>100.465</v>
      </c>
      <c r="FI65" s="26">
        <f ca="1">IFERROR(OFFSET(ARGUS!$A$3, MATCH($A65, ARGUS!$A$3:$A$176, 0)-1,MATCH(EOMONTH(FI$15,1), ARGUS!$B$4:$LG$4, 0)-1,1,1)/1000, 0)</f>
        <v>100.465</v>
      </c>
      <c r="FJ65" s="26">
        <f ca="1">IFERROR(OFFSET(ARGUS!$A$3, MATCH($A65, ARGUS!$A$3:$A$176, 0)-1,MATCH(EOMONTH(FJ$15,1), ARGUS!$B$4:$LG$4, 0)-1,1,1)/1000, 0)</f>
        <v>100.465</v>
      </c>
      <c r="FK65" s="26">
        <f ca="1">IFERROR(OFFSET(ARGUS!$A$3, MATCH($A65, ARGUS!$A$3:$A$176, 0)-1,MATCH(EOMONTH(FK$15,1), ARGUS!$B$4:$LG$4, 0)-1,1,1)/1000, 0)</f>
        <v>100.465</v>
      </c>
      <c r="FL65" s="26">
        <f ca="1">IFERROR(OFFSET(ARGUS!$A$3, MATCH($A65, ARGUS!$A$3:$A$176, 0)-1,MATCH(EOMONTH(FL$15,1), ARGUS!$B$4:$LG$4, 0)-1,1,1)/1000, 0)</f>
        <v>100.465</v>
      </c>
      <c r="FM65" s="26">
        <f ca="1">IFERROR(OFFSET(ARGUS!$A$3, MATCH($A65, ARGUS!$A$3:$A$176, 0)-1,MATCH(EOMONTH(FM$15,1), ARGUS!$B$4:$LG$4, 0)-1,1,1)/1000, 0)</f>
        <v>100.465</v>
      </c>
      <c r="FN65" s="26">
        <f ca="1">IFERROR(OFFSET(ARGUS!$A$3, MATCH($A65, ARGUS!$A$3:$A$176, 0)-1,MATCH(EOMONTH(FN$15,1), ARGUS!$B$4:$LG$4, 0)-1,1,1)/1000, 0)</f>
        <v>100.465</v>
      </c>
      <c r="FO65" s="26">
        <f ca="1">IFERROR(OFFSET(ARGUS!$A$3, MATCH($A65, ARGUS!$A$3:$A$176, 0)-1,MATCH(EOMONTH(FO$15,1), ARGUS!$B$4:$LG$4, 0)-1,1,1)/1000, 0)</f>
        <v>100.465</v>
      </c>
      <c r="FP65" s="26">
        <f ca="1">IFERROR(OFFSET(ARGUS!$A$3, MATCH($A65, ARGUS!$A$3:$A$176, 0)-1,MATCH(EOMONTH(FP$15,1), ARGUS!$B$4:$LG$4, 0)-1,1,1)/1000, 0)</f>
        <v>100.465</v>
      </c>
      <c r="FQ65" s="26">
        <f ca="1">IFERROR(OFFSET(ARGUS!$A$3, MATCH($A65, ARGUS!$A$3:$A$176, 0)-1,MATCH(EOMONTH(FQ$15,1), ARGUS!$B$4:$LG$4, 0)-1,1,1)/1000, 0)</f>
        <v>100.465</v>
      </c>
      <c r="FR65" s="26">
        <f ca="1">IFERROR(OFFSET(ARGUS!$A$3, MATCH($A65, ARGUS!$A$3:$A$176, 0)-1,MATCH(EOMONTH(FR$15,1), ARGUS!$B$4:$LG$4, 0)-1,1,1)/1000, 0)</f>
        <v>103.479</v>
      </c>
      <c r="FS65" s="26">
        <f ca="1">IFERROR(OFFSET(ARGUS!$A$3, MATCH($A65, ARGUS!$A$3:$A$176, 0)-1,MATCH(EOMONTH(FS$15,1), ARGUS!$B$4:$LG$4, 0)-1,1,1)/1000, 0)</f>
        <v>103.479</v>
      </c>
      <c r="FT65" s="26">
        <f ca="1">IFERROR(OFFSET(ARGUS!$A$3, MATCH($A65, ARGUS!$A$3:$A$176, 0)-1,MATCH(EOMONTH(FT$15,1), ARGUS!$B$4:$LG$4, 0)-1,1,1)/1000, 0)</f>
        <v>103.479</v>
      </c>
      <c r="FU65" s="26">
        <f ca="1">IFERROR(OFFSET(ARGUS!$A$3, MATCH($A65, ARGUS!$A$3:$A$176, 0)-1,MATCH(EOMONTH(FU$15,1), ARGUS!$B$4:$LG$4, 0)-1,1,1)/1000, 0)</f>
        <v>103.479</v>
      </c>
      <c r="FV65" s="26">
        <f ca="1">IFERROR(OFFSET(ARGUS!$A$3, MATCH($A65, ARGUS!$A$3:$A$176, 0)-1,MATCH(EOMONTH(FV$15,1), ARGUS!$B$4:$LG$4, 0)-1,1,1)/1000, 0)</f>
        <v>103.479</v>
      </c>
      <c r="FW65" s="26">
        <f ca="1">IFERROR(OFFSET(ARGUS!$A$3, MATCH($A65, ARGUS!$A$3:$A$176, 0)-1,MATCH(EOMONTH(FW$15,1), ARGUS!$B$4:$LG$4, 0)-1,1,1)/1000, 0)</f>
        <v>103.479</v>
      </c>
      <c r="FX65" s="26">
        <f ca="1">IFERROR(OFFSET(ARGUS!$A$3, MATCH($A65, ARGUS!$A$3:$A$176, 0)-1,MATCH(EOMONTH(FX$15,1), ARGUS!$B$4:$LG$4, 0)-1,1,1)/1000, 0)</f>
        <v>103.479</v>
      </c>
      <c r="FY65" s="26">
        <f ca="1">IFERROR(OFFSET(ARGUS!$A$3, MATCH($A65, ARGUS!$A$3:$A$176, 0)-1,MATCH(EOMONTH(FY$15,1), ARGUS!$B$4:$LG$4, 0)-1,1,1)/1000, 0)</f>
        <v>103.479</v>
      </c>
      <c r="FZ65" s="26">
        <f ca="1">IFERROR(OFFSET(ARGUS!$A$3, MATCH($A65, ARGUS!$A$3:$A$176, 0)-1,MATCH(EOMONTH(FZ$15,1), ARGUS!$B$4:$LG$4, 0)-1,1,1)/1000, 0)</f>
        <v>103.479</v>
      </c>
      <c r="GA65" s="26">
        <f ca="1">IFERROR(OFFSET(ARGUS!$A$3, MATCH($A65, ARGUS!$A$3:$A$176, 0)-1,MATCH(EOMONTH(GA$15,1), ARGUS!$B$4:$LG$4, 0)-1,1,1)/1000, 0)</f>
        <v>103.479</v>
      </c>
      <c r="GB65" s="26">
        <f ca="1">IFERROR(OFFSET(ARGUS!$A$3, MATCH($A65, ARGUS!$A$3:$A$176, 0)-1,MATCH(EOMONTH(GB$15,1), ARGUS!$B$4:$LG$4, 0)-1,1,1)/1000, 0)</f>
        <v>103.479</v>
      </c>
      <c r="GC65" s="26">
        <f ca="1">IFERROR(OFFSET(ARGUS!$A$3, MATCH($A65, ARGUS!$A$3:$A$176, 0)-1,MATCH(EOMONTH(GC$15,1), ARGUS!$B$4:$LG$4, 0)-1,1,1)/1000, 0)</f>
        <v>103.479</v>
      </c>
      <c r="GD65" s="26">
        <f ca="1">IFERROR(OFFSET(ARGUS!$A$3, MATCH($A65, ARGUS!$A$3:$A$176, 0)-1,MATCH(EOMONTH(GD$15,1), ARGUS!$B$4:$LG$4, 0)-1,1,1)/1000, 0)</f>
        <v>106.583</v>
      </c>
      <c r="GE65" s="26">
        <f ca="1">IFERROR(OFFSET(ARGUS!$A$3, MATCH($A65, ARGUS!$A$3:$A$176, 0)-1,MATCH(EOMONTH(GE$15,1), ARGUS!$B$4:$LG$4, 0)-1,1,1)/1000, 0)</f>
        <v>106.583</v>
      </c>
      <c r="GF65" s="26">
        <f ca="1">IFERROR(OFFSET(ARGUS!$A$3, MATCH($A65, ARGUS!$A$3:$A$176, 0)-1,MATCH(EOMONTH(GF$15,1), ARGUS!$B$4:$LG$4, 0)-1,1,1)/1000, 0)</f>
        <v>106.583</v>
      </c>
      <c r="GG65" s="26">
        <f ca="1">IFERROR(OFFSET(ARGUS!$A$3, MATCH($A65, ARGUS!$A$3:$A$176, 0)-1,MATCH(EOMONTH(GG$15,1), ARGUS!$B$4:$LG$4, 0)-1,1,1)/1000, 0)</f>
        <v>106.583</v>
      </c>
      <c r="GH65" s="26">
        <f ca="1">IFERROR(OFFSET(ARGUS!$A$3, MATCH($A65, ARGUS!$A$3:$A$176, 0)-1,MATCH(EOMONTH(GH$15,1), ARGUS!$B$4:$LG$4, 0)-1,1,1)/1000, 0)</f>
        <v>106.583</v>
      </c>
      <c r="GI65" s="26">
        <f ca="1">IFERROR(OFFSET(ARGUS!$A$3, MATCH($A65, ARGUS!$A$3:$A$176, 0)-1,MATCH(EOMONTH(GI$15,1), ARGUS!$B$4:$LG$4, 0)-1,1,1)/1000, 0)</f>
        <v>106.583</v>
      </c>
      <c r="GJ65" s="26">
        <f ca="1">IFERROR(OFFSET(ARGUS!$A$3, MATCH($A65, ARGUS!$A$3:$A$176, 0)-1,MATCH(EOMONTH(GJ$15,1), ARGUS!$B$4:$LG$4, 0)-1,1,1)/1000, 0)</f>
        <v>106.583</v>
      </c>
      <c r="GK65" s="26">
        <f ca="1">IFERROR(OFFSET(ARGUS!$A$3, MATCH($A65, ARGUS!$A$3:$A$176, 0)-1,MATCH(EOMONTH(GK$15,1), ARGUS!$B$4:$LG$4, 0)-1,1,1)/1000, 0)</f>
        <v>106.583</v>
      </c>
      <c r="GL65" s="26">
        <f ca="1">IFERROR(OFFSET(ARGUS!$A$3, MATCH($A65, ARGUS!$A$3:$A$176, 0)-1,MATCH(EOMONTH(GL$15,1), ARGUS!$B$4:$LG$4, 0)-1,1,1)/1000, 0)</f>
        <v>106.583</v>
      </c>
      <c r="GM65" s="26">
        <f ca="1">IFERROR(OFFSET(ARGUS!$A$3, MATCH($A65, ARGUS!$A$3:$A$176, 0)-1,MATCH(EOMONTH(GM$15,1), ARGUS!$B$4:$LG$4, 0)-1,1,1)/1000, 0)</f>
        <v>106.583</v>
      </c>
      <c r="GN65" s="26">
        <f ca="1">IFERROR(OFFSET(ARGUS!$A$3, MATCH($A65, ARGUS!$A$3:$A$176, 0)-1,MATCH(EOMONTH(GN$15,1), ARGUS!$B$4:$LG$4, 0)-1,1,1)/1000, 0)</f>
        <v>106.583</v>
      </c>
      <c r="GO65" s="26">
        <f ca="1">IFERROR(OFFSET(ARGUS!$A$3, MATCH($A65, ARGUS!$A$3:$A$176, 0)-1,MATCH(EOMONTH(GO$15,1), ARGUS!$B$4:$LG$4, 0)-1,1,1)/1000, 0)</f>
        <v>106.583</v>
      </c>
      <c r="GP65" s="26">
        <f ca="1">IFERROR(OFFSET(ARGUS!$A$3, MATCH($A65, ARGUS!$A$3:$A$176, 0)-1,MATCH(EOMONTH(GP$15,1), ARGUS!$B$4:$LG$4, 0)-1,1,1)/1000, 0)</f>
        <v>109.78</v>
      </c>
      <c r="GQ65" s="26">
        <f ca="1">IFERROR(OFFSET(ARGUS!$A$3, MATCH($A65, ARGUS!$A$3:$A$176, 0)-1,MATCH(EOMONTH(GQ$15,1), ARGUS!$B$4:$LG$4, 0)-1,1,1)/1000, 0)</f>
        <v>109.78</v>
      </c>
      <c r="GR65" s="26">
        <f ca="1">IFERROR(OFFSET(ARGUS!$A$3, MATCH($A65, ARGUS!$A$3:$A$176, 0)-1,MATCH(EOMONTH(GR$15,1), ARGUS!$B$4:$LG$4, 0)-1,1,1)/1000, 0)</f>
        <v>109.78</v>
      </c>
      <c r="GS65" s="26">
        <f ca="1">IFERROR(OFFSET(ARGUS!$A$3, MATCH($A65, ARGUS!$A$3:$A$176, 0)-1,MATCH(EOMONTH(GS$15,1), ARGUS!$B$4:$LG$4, 0)-1,1,1)/1000, 0)</f>
        <v>109.78</v>
      </c>
      <c r="GT65" s="26">
        <f ca="1">IFERROR(OFFSET(ARGUS!$A$3, MATCH($A65, ARGUS!$A$3:$A$176, 0)-1,MATCH(EOMONTH(GT$15,1), ARGUS!$B$4:$LG$4, 0)-1,1,1)/1000, 0)</f>
        <v>109.78</v>
      </c>
      <c r="GU65" s="26"/>
      <c r="GV65" s="26"/>
      <c r="GW65" s="26"/>
      <c r="GX65" s="26"/>
      <c r="GY65" s="26"/>
      <c r="GZ65" s="26"/>
      <c r="HA65" s="26"/>
      <c r="HB65" s="26"/>
      <c r="HC65" s="26"/>
      <c r="HD65" s="26"/>
      <c r="HE65" s="26"/>
      <c r="HF65" s="1" t="s">
        <v>212</v>
      </c>
      <c r="HG65" s="139" t="e">
        <f t="shared" si="519"/>
        <v>#REF!</v>
      </c>
      <c r="HH65" s="1" t="str">
        <f t="shared" ref="HH65:HH72" si="664">B65</f>
        <v>Common Area Maintenance</v>
      </c>
      <c r="HI65" s="26"/>
      <c r="HJ65" s="26"/>
      <c r="HK65" s="26"/>
      <c r="HL65" s="132">
        <f t="shared" ref="HL65:HL74" ca="1" si="665">SUM(HN65:HV65)</f>
        <v>4091.8858000000005</v>
      </c>
      <c r="HM65" s="26"/>
      <c r="HN65" s="133">
        <f t="shared" ref="HN65:HV72" si="666">SUMIF($K$14:$GT$14,HN$14,$K65:$GT65)</f>
        <v>0</v>
      </c>
      <c r="HO65" s="26">
        <f t="shared" si="666"/>
        <v>207.44256000000004</v>
      </c>
      <c r="HP65" s="26">
        <f t="shared" si="666"/>
        <v>530.21384999999998</v>
      </c>
      <c r="HQ65" s="26">
        <f t="shared" si="666"/>
        <v>357.03140000000008</v>
      </c>
      <c r="HR65" s="26">
        <f t="shared" si="666"/>
        <v>398.66913</v>
      </c>
      <c r="HS65" s="26">
        <f t="shared" si="666"/>
        <v>342.30241999999998</v>
      </c>
      <c r="HT65" s="26">
        <f t="shared" si="666"/>
        <v>395.38200999999992</v>
      </c>
      <c r="HU65" s="26">
        <f t="shared" ca="1" si="666"/>
        <v>836.04443000000026</v>
      </c>
      <c r="HV65" s="26">
        <f t="shared" ca="1" si="666"/>
        <v>1024.8000000000002</v>
      </c>
      <c r="HW65"/>
    </row>
    <row r="66" spans="1:231" ht="15">
      <c r="A66" s="441">
        <v>13</v>
      </c>
      <c r="B66" s="1" t="s">
        <v>1019</v>
      </c>
      <c r="D66" s="585"/>
      <c r="E66" s="156"/>
      <c r="H66" s="381"/>
      <c r="I66" s="132">
        <f ca="1">SUMIF($K$13:$GT$13,"&lt;="&amp;Assumptions!$L$17,'Monthly Cash Flow'!K66:GT66)</f>
        <v>1715.6644499999979</v>
      </c>
      <c r="J66" s="26"/>
      <c r="K66" s="155"/>
      <c r="L66" s="954">
        <f>Historicals!D14</f>
        <v>10.760999999999999</v>
      </c>
      <c r="M66" s="954">
        <f>Historicals!E14</f>
        <v>9.65</v>
      </c>
      <c r="N66" s="954">
        <f>Historicals!F14</f>
        <v>13.9885</v>
      </c>
      <c r="O66" s="954">
        <f>Historicals!G14</f>
        <v>39.074199999999998</v>
      </c>
      <c r="P66" s="954">
        <f>Historicals!H14</f>
        <v>9.3776399999999995</v>
      </c>
      <c r="Q66" s="954">
        <f>Historicals!I14</f>
        <v>82.847919999999988</v>
      </c>
      <c r="R66" s="954">
        <f>Historicals!J14</f>
        <v>11.8</v>
      </c>
      <c r="S66" s="954">
        <f>Historicals!K14</f>
        <v>2.8</v>
      </c>
      <c r="T66" s="954">
        <f>Historicals!L14</f>
        <v>25.259080000000001</v>
      </c>
      <c r="U66" s="954">
        <f>Historicals!M14</f>
        <v>21.06175</v>
      </c>
      <c r="V66" s="954">
        <f>Historicals!N14</f>
        <v>7.7853899999999996</v>
      </c>
      <c r="W66" s="954">
        <f>Historicals!O14</f>
        <v>181.00289999999998</v>
      </c>
      <c r="X66" s="954">
        <f>Historicals!P14</f>
        <v>14.95</v>
      </c>
      <c r="Y66" s="954">
        <f>Historicals!Q14</f>
        <v>25.194959999999998</v>
      </c>
      <c r="Z66" s="954">
        <f>Historicals!R14</f>
        <v>-23.828309999999998</v>
      </c>
      <c r="AA66" s="954">
        <f>Historicals!S14</f>
        <v>2.34884</v>
      </c>
      <c r="AB66" s="954">
        <f>Historicals!T14</f>
        <v>18.32</v>
      </c>
      <c r="AC66" s="954">
        <f>Historicals!U14</f>
        <v>-74.225639999999999</v>
      </c>
      <c r="AD66" s="954">
        <f>Historicals!V14</f>
        <v>6.96</v>
      </c>
      <c r="AE66" s="954">
        <f>Historicals!W14</f>
        <v>1.4025999999999998</v>
      </c>
      <c r="AF66" s="954">
        <f>Historicals!X14</f>
        <v>6.4</v>
      </c>
      <c r="AG66" s="954">
        <f>Historicals!Y14</f>
        <v>7.4964199999999996</v>
      </c>
      <c r="AH66" s="954">
        <f>Historicals!Z14</f>
        <v>4.3070599999999999</v>
      </c>
      <c r="AI66" s="954">
        <f>Historicals!AA14</f>
        <v>2</v>
      </c>
      <c r="AJ66" s="954">
        <f>Historicals!AB14</f>
        <v>2.3199999999999998</v>
      </c>
      <c r="AK66" s="954">
        <f>Historicals!AC14</f>
        <v>2.1156199999999998</v>
      </c>
      <c r="AL66" s="954">
        <f>Historicals!AD14</f>
        <v>2.0462500000000001</v>
      </c>
      <c r="AM66" s="954">
        <f>Historicals!AE14</f>
        <v>3.1837499999999999</v>
      </c>
      <c r="AN66" s="954">
        <f>Historicals!AF14</f>
        <v>2.0462500000000001</v>
      </c>
      <c r="AO66" s="954">
        <f>Historicals!AG14</f>
        <v>5.7237499999999999</v>
      </c>
      <c r="AP66" s="954">
        <f>Historicals!AH14</f>
        <v>4.6651000000000007</v>
      </c>
      <c r="AQ66" s="954">
        <f>Historicals!AI14</f>
        <v>0.22625000000000001</v>
      </c>
      <c r="AR66" s="954">
        <f>Historicals!AJ14</f>
        <v>4.6249999999999999E-2</v>
      </c>
      <c r="AS66" s="954">
        <f>Historicals!AK14</f>
        <v>2.20425</v>
      </c>
      <c r="AT66" s="954">
        <f>Historicals!AL14</f>
        <v>8.1560799999999993</v>
      </c>
      <c r="AU66" s="954">
        <f>Historicals!AM14</f>
        <v>1.64625</v>
      </c>
      <c r="AV66" s="954">
        <f>Historicals!AN14</f>
        <v>10.872579999999999</v>
      </c>
      <c r="AW66" s="954">
        <f>Historicals!AO14</f>
        <v>4.7312500000000002</v>
      </c>
      <c r="AX66" s="954">
        <f>Historicals!AP14</f>
        <v>11.264749999999999</v>
      </c>
      <c r="AY66" s="954">
        <f>Historicals!AQ14</f>
        <v>16.586839999999999</v>
      </c>
      <c r="AZ66" s="954">
        <f>Historicals!AR14</f>
        <v>2.816959999999999</v>
      </c>
      <c r="BA66" s="954">
        <f>Historicals!AS14</f>
        <v>21.062629999999999</v>
      </c>
      <c r="BB66" s="954">
        <f>Historicals!AT14</f>
        <v>33.279910000000001</v>
      </c>
      <c r="BC66" s="954">
        <f>Historicals!AU14</f>
        <v>13.517029999999998</v>
      </c>
      <c r="BD66" s="954">
        <f>Historicals!AV14</f>
        <v>10.63757</v>
      </c>
      <c r="BE66" s="954">
        <f>Historicals!AW14</f>
        <v>7.87209</v>
      </c>
      <c r="BF66" s="954">
        <f>Historicals!AX14</f>
        <v>12.53284</v>
      </c>
      <c r="BG66" s="954">
        <f>Historicals!AY14</f>
        <v>17.181889999999999</v>
      </c>
      <c r="BH66" s="954">
        <f>Historicals!AZ14</f>
        <v>4.1654600000000004</v>
      </c>
      <c r="BI66" s="954">
        <f>Historicals!BA14</f>
        <v>5.2537500000000001</v>
      </c>
      <c r="BJ66" s="954">
        <f>Historicals!BB14</f>
        <v>494.29508000000004</v>
      </c>
      <c r="BK66" s="954">
        <f>Historicals!BC14</f>
        <v>3.3045800000000001</v>
      </c>
      <c r="BL66" s="954">
        <f>Historicals!BD14</f>
        <v>7.4348599999999996</v>
      </c>
      <c r="BM66" s="954">
        <f>Historicals!BE14</f>
        <v>109.08189999999999</v>
      </c>
      <c r="BN66" s="954">
        <f>Historicals!BF14</f>
        <v>3.0750999999999999</v>
      </c>
      <c r="BO66" s="954">
        <f>Historicals!BG14</f>
        <v>4.6307399999999994</v>
      </c>
      <c r="BP66" s="954">
        <f>Historicals!BH14</f>
        <v>-18.787590000000002</v>
      </c>
      <c r="BQ66" s="954">
        <f>Historicals!BI14</f>
        <v>6.6308500000000006</v>
      </c>
      <c r="BR66" s="954">
        <f>Historicals!BJ14</f>
        <v>3.24329</v>
      </c>
      <c r="BS66" s="954">
        <f>Historicals!BK14</f>
        <v>6.0301900000000002</v>
      </c>
      <c r="BT66" s="954">
        <f>Historicals!BL14</f>
        <v>3.6452600000000004</v>
      </c>
      <c r="BU66" s="954">
        <f>Historicals!BM14</f>
        <v>8.2679200000000002</v>
      </c>
      <c r="BV66" s="954">
        <f>Historicals!BN14</f>
        <v>4.1134300000000001</v>
      </c>
      <c r="BW66" s="954">
        <f>Historicals!BO14</f>
        <v>4.8685599999999996</v>
      </c>
      <c r="BX66" s="954">
        <f>Historicals!BP14</f>
        <v>4.5138800000000003</v>
      </c>
      <c r="BY66" s="954">
        <f>Historicals!BQ14</f>
        <v>8.6792300000000004</v>
      </c>
      <c r="BZ66" s="954">
        <f>Historicals!BR14</f>
        <v>9.4685499999999987</v>
      </c>
      <c r="CA66" s="954">
        <f>Historicals!BS14</f>
        <v>67.358949999999993</v>
      </c>
      <c r="CB66" s="954">
        <f>Historicals!BT14</f>
        <v>6.1786799999999999</v>
      </c>
      <c r="CC66" s="954">
        <f>Historicals!BU14</f>
        <v>9.5473400000000002</v>
      </c>
      <c r="CD66" s="954">
        <f>Historicals!BV14</f>
        <v>4.1902100000000004</v>
      </c>
      <c r="CE66" s="954">
        <f>Historicals!BW14</f>
        <v>6.6304799999999995</v>
      </c>
      <c r="CF66" s="954">
        <f>Historicals!BX14</f>
        <v>4.3971</v>
      </c>
      <c r="CG66" s="954">
        <f>Historicals!BY14</f>
        <v>4.5735599999999996</v>
      </c>
      <c r="CH66" s="954">
        <f>Historicals!BZ14</f>
        <v>4.5556400000000004</v>
      </c>
      <c r="CI66" s="26">
        <f ca="1">IFERROR(OFFSET(ARGUS!$A$3, MATCH($A66, ARGUS!$A$3:$A$176, 0)-1,MATCH(EOMONTH(CI$15,1), ARGUS!$B$4:$LG$4, 0)-1,1,1)/1000, 0)</f>
        <v>11.925000000000001</v>
      </c>
      <c r="CJ66" s="26">
        <f ca="1">IFERROR(OFFSET(ARGUS!$A$3, MATCH($A66, ARGUS!$A$3:$A$176, 0)-1,MATCH(EOMONTH(CJ$15,1), ARGUS!$B$4:$LG$4, 0)-1,1,1)/1000, 0)</f>
        <v>11.925000000000001</v>
      </c>
      <c r="CK66" s="26">
        <f ca="1">IFERROR(OFFSET(ARGUS!$A$3, MATCH($A66, ARGUS!$A$3:$A$176, 0)-1,MATCH(EOMONTH(CK$15,1), ARGUS!$B$4:$LG$4, 0)-1,1,1)/1000, 0)</f>
        <v>11.925000000000001</v>
      </c>
      <c r="CL66" s="26">
        <f ca="1">IFERROR(OFFSET(ARGUS!$A$3, MATCH($A66, ARGUS!$A$3:$A$176, 0)-1,MATCH(EOMONTH(CL$15,1), ARGUS!$B$4:$LG$4, 0)-1,1,1)/1000, 0)</f>
        <v>12.224</v>
      </c>
      <c r="CM66" s="26">
        <f ca="1">IFERROR(OFFSET(ARGUS!$A$3, MATCH($A66, ARGUS!$A$3:$A$176, 0)-1,MATCH(EOMONTH(CM$15,1), ARGUS!$B$4:$LG$4, 0)-1,1,1)/1000, 0)</f>
        <v>12.224</v>
      </c>
      <c r="CN66" s="26">
        <f ca="1">IFERROR(OFFSET(ARGUS!$A$3, MATCH($A66, ARGUS!$A$3:$A$176, 0)-1,MATCH(EOMONTH(CN$15,1), ARGUS!$B$4:$LG$4, 0)-1,1,1)/1000, 0)</f>
        <v>12.224</v>
      </c>
      <c r="CO66" s="26">
        <f ca="1">IFERROR(OFFSET(ARGUS!$A$3, MATCH($A66, ARGUS!$A$3:$A$176, 0)-1,MATCH(EOMONTH(CO$15,1), ARGUS!$B$4:$LG$4, 0)-1,1,1)/1000, 0)</f>
        <v>12.224</v>
      </c>
      <c r="CP66" s="26">
        <f ca="1">IFERROR(OFFSET(ARGUS!$A$3, MATCH($A66, ARGUS!$A$3:$A$176, 0)-1,MATCH(EOMONTH(CP$15,1), ARGUS!$B$4:$LG$4, 0)-1,1,1)/1000, 0)</f>
        <v>12.224</v>
      </c>
      <c r="CQ66" s="26">
        <f ca="1">IFERROR(OFFSET(ARGUS!$A$3, MATCH($A66, ARGUS!$A$3:$A$176, 0)-1,MATCH(EOMONTH(CQ$15,1), ARGUS!$B$4:$LG$4, 0)-1,1,1)/1000, 0)</f>
        <v>12.224</v>
      </c>
      <c r="CR66" s="26">
        <f ca="1">IFERROR(OFFSET(ARGUS!$A$3, MATCH($A66, ARGUS!$A$3:$A$176, 0)-1,MATCH(EOMONTH(CR$15,1), ARGUS!$B$4:$LG$4, 0)-1,1,1)/1000, 0)</f>
        <v>12.224</v>
      </c>
      <c r="CS66" s="26">
        <f ca="1">IFERROR(OFFSET(ARGUS!$A$3, MATCH($A66, ARGUS!$A$3:$A$176, 0)-1,MATCH(EOMONTH(CS$15,1), ARGUS!$B$4:$LG$4, 0)-1,1,1)/1000, 0)</f>
        <v>12.224</v>
      </c>
      <c r="CT66" s="26">
        <f ca="1">IFERROR(OFFSET(ARGUS!$A$3, MATCH($A66, ARGUS!$A$3:$A$176, 0)-1,MATCH(EOMONTH(CT$15,1), ARGUS!$B$4:$LG$4, 0)-1,1,1)/1000, 0)</f>
        <v>12.224</v>
      </c>
      <c r="CU66" s="26">
        <f ca="1">IFERROR(OFFSET(ARGUS!$A$3, MATCH($A66, ARGUS!$A$3:$A$176, 0)-1,MATCH(EOMONTH(CU$15,1), ARGUS!$B$4:$LG$4, 0)-1,1,1)/1000, 0)</f>
        <v>12.224</v>
      </c>
      <c r="CV66" s="26">
        <f ca="1">IFERROR(OFFSET(ARGUS!$A$3, MATCH($A66, ARGUS!$A$3:$A$176, 0)-1,MATCH(EOMONTH(CV$15,1), ARGUS!$B$4:$LG$4, 0)-1,1,1)/1000, 0)</f>
        <v>12.224</v>
      </c>
      <c r="CW66" s="26">
        <f ca="1">IFERROR(OFFSET(ARGUS!$A$3, MATCH($A66, ARGUS!$A$3:$A$176, 0)-1,MATCH(EOMONTH(CW$15,1), ARGUS!$B$4:$LG$4, 0)-1,1,1)/1000, 0)</f>
        <v>12.224</v>
      </c>
      <c r="CX66" s="26">
        <f ca="1">IFERROR(OFFSET(ARGUS!$A$3, MATCH($A66, ARGUS!$A$3:$A$176, 0)-1,MATCH(EOMONTH(CX$15,1), ARGUS!$B$4:$LG$4, 0)-1,1,1)/1000, 0)</f>
        <v>12.532</v>
      </c>
      <c r="CY66" s="26">
        <f ca="1">IFERROR(OFFSET(ARGUS!$A$3, MATCH($A66, ARGUS!$A$3:$A$176, 0)-1,MATCH(EOMONTH(CY$15,1), ARGUS!$B$4:$LG$4, 0)-1,1,1)/1000, 0)</f>
        <v>12.532</v>
      </c>
      <c r="CZ66" s="26">
        <f ca="1">IFERROR(OFFSET(ARGUS!$A$3, MATCH($A66, ARGUS!$A$3:$A$176, 0)-1,MATCH(EOMONTH(CZ$15,1), ARGUS!$B$4:$LG$4, 0)-1,1,1)/1000, 0)</f>
        <v>12.532</v>
      </c>
      <c r="DA66" s="26">
        <f ca="1">IFERROR(OFFSET(ARGUS!$A$3, MATCH($A66, ARGUS!$A$3:$A$176, 0)-1,MATCH(EOMONTH(DA$15,1), ARGUS!$B$4:$LG$4, 0)-1,1,1)/1000, 0)</f>
        <v>12.532</v>
      </c>
      <c r="DB66" s="26">
        <f ca="1">IFERROR(OFFSET(ARGUS!$A$3, MATCH($A66, ARGUS!$A$3:$A$176, 0)-1,MATCH(EOMONTH(DB$15,1), ARGUS!$B$4:$LG$4, 0)-1,1,1)/1000, 0)</f>
        <v>12.532</v>
      </c>
      <c r="DC66" s="26">
        <f ca="1">IFERROR(OFFSET(ARGUS!$A$3, MATCH($A66, ARGUS!$A$3:$A$176, 0)-1,MATCH(EOMONTH(DC$15,1), ARGUS!$B$4:$LG$4, 0)-1,1,1)/1000, 0)</f>
        <v>12.532</v>
      </c>
      <c r="DD66" s="26">
        <f ca="1">IFERROR(OFFSET(ARGUS!$A$3, MATCH($A66, ARGUS!$A$3:$A$176, 0)-1,MATCH(EOMONTH(DD$15,1), ARGUS!$B$4:$LG$4, 0)-1,1,1)/1000, 0)</f>
        <v>12.532</v>
      </c>
      <c r="DE66" s="26">
        <f ca="1">IFERROR(OFFSET(ARGUS!$A$3, MATCH($A66, ARGUS!$A$3:$A$176, 0)-1,MATCH(EOMONTH(DE$15,1), ARGUS!$B$4:$LG$4, 0)-1,1,1)/1000, 0)</f>
        <v>12.532</v>
      </c>
      <c r="DF66" s="26">
        <f ca="1">IFERROR(OFFSET(ARGUS!$A$3, MATCH($A66, ARGUS!$A$3:$A$176, 0)-1,MATCH(EOMONTH(DF$15,1), ARGUS!$B$4:$LG$4, 0)-1,1,1)/1000, 0)</f>
        <v>12.532</v>
      </c>
      <c r="DG66" s="26">
        <f ca="1">IFERROR(OFFSET(ARGUS!$A$3, MATCH($A66, ARGUS!$A$3:$A$176, 0)-1,MATCH(EOMONTH(DG$15,1), ARGUS!$B$4:$LG$4, 0)-1,1,1)/1000, 0)</f>
        <v>12.532</v>
      </c>
      <c r="DH66" s="26">
        <f ca="1">IFERROR(OFFSET(ARGUS!$A$3, MATCH($A66, ARGUS!$A$3:$A$176, 0)-1,MATCH(EOMONTH(DH$15,1), ARGUS!$B$4:$LG$4, 0)-1,1,1)/1000, 0)</f>
        <v>12.532</v>
      </c>
      <c r="DI66" s="26">
        <f ca="1">IFERROR(OFFSET(ARGUS!$A$3, MATCH($A66, ARGUS!$A$3:$A$176, 0)-1,MATCH(EOMONTH(DI$15,1), ARGUS!$B$4:$LG$4, 0)-1,1,1)/1000, 0)</f>
        <v>12.532</v>
      </c>
      <c r="DJ66" s="26">
        <f ca="1">IFERROR(OFFSET(ARGUS!$A$3, MATCH($A66, ARGUS!$A$3:$A$176, 0)-1,MATCH(EOMONTH(DJ$15,1), ARGUS!$B$4:$LG$4, 0)-1,1,1)/1000, 0)</f>
        <v>12.85</v>
      </c>
      <c r="DK66" s="26">
        <f ca="1">IFERROR(OFFSET(ARGUS!$A$3, MATCH($A66, ARGUS!$A$3:$A$176, 0)-1,MATCH(EOMONTH(DK$15,1), ARGUS!$B$4:$LG$4, 0)-1,1,1)/1000, 0)</f>
        <v>12.85</v>
      </c>
      <c r="DL66" s="26">
        <f ca="1">IFERROR(OFFSET(ARGUS!$A$3, MATCH($A66, ARGUS!$A$3:$A$176, 0)-1,MATCH(EOMONTH(DL$15,1), ARGUS!$B$4:$LG$4, 0)-1,1,1)/1000, 0)</f>
        <v>12.85</v>
      </c>
      <c r="DM66" s="26">
        <f ca="1">IFERROR(OFFSET(ARGUS!$A$3, MATCH($A66, ARGUS!$A$3:$A$176, 0)-1,MATCH(EOMONTH(DM$15,1), ARGUS!$B$4:$LG$4, 0)-1,1,1)/1000, 0)</f>
        <v>12.85</v>
      </c>
      <c r="DN66" s="26">
        <f ca="1">IFERROR(OFFSET(ARGUS!$A$3, MATCH($A66, ARGUS!$A$3:$A$176, 0)-1,MATCH(EOMONTH(DN$15,1), ARGUS!$B$4:$LG$4, 0)-1,1,1)/1000, 0)</f>
        <v>12.85</v>
      </c>
      <c r="DO66" s="26">
        <f ca="1">IFERROR(OFFSET(ARGUS!$A$3, MATCH($A66, ARGUS!$A$3:$A$176, 0)-1,MATCH(EOMONTH(DO$15,1), ARGUS!$B$4:$LG$4, 0)-1,1,1)/1000, 0)</f>
        <v>12.85</v>
      </c>
      <c r="DP66" s="26">
        <f ca="1">IFERROR(OFFSET(ARGUS!$A$3, MATCH($A66, ARGUS!$A$3:$A$176, 0)-1,MATCH(EOMONTH(DP$15,1), ARGUS!$B$4:$LG$4, 0)-1,1,1)/1000, 0)</f>
        <v>12.85</v>
      </c>
      <c r="DQ66" s="26">
        <f ca="1">IFERROR(OFFSET(ARGUS!$A$3, MATCH($A66, ARGUS!$A$3:$A$176, 0)-1,MATCH(EOMONTH(DQ$15,1), ARGUS!$B$4:$LG$4, 0)-1,1,1)/1000, 0)</f>
        <v>12.85</v>
      </c>
      <c r="DR66" s="26">
        <f ca="1">IFERROR(OFFSET(ARGUS!$A$3, MATCH($A66, ARGUS!$A$3:$A$176, 0)-1,MATCH(EOMONTH(DR$15,1), ARGUS!$B$4:$LG$4, 0)-1,1,1)/1000, 0)</f>
        <v>12.85</v>
      </c>
      <c r="DS66" s="26">
        <f ca="1">IFERROR(OFFSET(ARGUS!$A$3, MATCH($A66, ARGUS!$A$3:$A$176, 0)-1,MATCH(EOMONTH(DS$15,1), ARGUS!$B$4:$LG$4, 0)-1,1,1)/1000, 0)</f>
        <v>12.85</v>
      </c>
      <c r="DT66" s="26">
        <f ca="1">IFERROR(OFFSET(ARGUS!$A$3, MATCH($A66, ARGUS!$A$3:$A$176, 0)-1,MATCH(EOMONTH(DT$15,1), ARGUS!$B$4:$LG$4, 0)-1,1,1)/1000, 0)</f>
        <v>12.85</v>
      </c>
      <c r="DU66" s="26">
        <f ca="1">IFERROR(OFFSET(ARGUS!$A$3, MATCH($A66, ARGUS!$A$3:$A$176, 0)-1,MATCH(EOMONTH(DU$15,1), ARGUS!$B$4:$LG$4, 0)-1,1,1)/1000, 0)</f>
        <v>12.85</v>
      </c>
      <c r="DV66" s="26">
        <f ca="1">IFERROR(OFFSET(ARGUS!$A$3, MATCH($A66, ARGUS!$A$3:$A$176, 0)-1,MATCH(EOMONTH(DV$15,1), ARGUS!$B$4:$LG$4, 0)-1,1,1)/1000, 0)</f>
        <v>13.177</v>
      </c>
      <c r="DW66" s="26">
        <f ca="1">IFERROR(OFFSET(ARGUS!$A$3, MATCH($A66, ARGUS!$A$3:$A$176, 0)-1,MATCH(EOMONTH(DW$15,1), ARGUS!$B$4:$LG$4, 0)-1,1,1)/1000, 0)</f>
        <v>13.177</v>
      </c>
      <c r="DX66" s="26">
        <f ca="1">IFERROR(OFFSET(ARGUS!$A$3, MATCH($A66, ARGUS!$A$3:$A$176, 0)-1,MATCH(EOMONTH(DX$15,1), ARGUS!$B$4:$LG$4, 0)-1,1,1)/1000, 0)</f>
        <v>13.177</v>
      </c>
      <c r="DY66" s="26">
        <f ca="1">IFERROR(OFFSET(ARGUS!$A$3, MATCH($A66, ARGUS!$A$3:$A$176, 0)-1,MATCH(EOMONTH(DY$15,1), ARGUS!$B$4:$LG$4, 0)-1,1,1)/1000, 0)</f>
        <v>13.177</v>
      </c>
      <c r="DZ66" s="26">
        <f ca="1">IFERROR(OFFSET(ARGUS!$A$3, MATCH($A66, ARGUS!$A$3:$A$176, 0)-1,MATCH(EOMONTH(DZ$15,1), ARGUS!$B$4:$LG$4, 0)-1,1,1)/1000, 0)</f>
        <v>13.177</v>
      </c>
      <c r="EA66" s="26">
        <f ca="1">IFERROR(OFFSET(ARGUS!$A$3, MATCH($A66, ARGUS!$A$3:$A$176, 0)-1,MATCH(EOMONTH(EA$15,1), ARGUS!$B$4:$LG$4, 0)-1,1,1)/1000, 0)</f>
        <v>13.177</v>
      </c>
      <c r="EB66" s="26">
        <f ca="1">IFERROR(OFFSET(ARGUS!$A$3, MATCH($A66, ARGUS!$A$3:$A$176, 0)-1,MATCH(EOMONTH(EB$15,1), ARGUS!$B$4:$LG$4, 0)-1,1,1)/1000, 0)</f>
        <v>13.177</v>
      </c>
      <c r="EC66" s="26">
        <f ca="1">IFERROR(OFFSET(ARGUS!$A$3, MATCH($A66, ARGUS!$A$3:$A$176, 0)-1,MATCH(EOMONTH(EC$15,1), ARGUS!$B$4:$LG$4, 0)-1,1,1)/1000, 0)</f>
        <v>13.177</v>
      </c>
      <c r="ED66" s="26">
        <f ca="1">IFERROR(OFFSET(ARGUS!$A$3, MATCH($A66, ARGUS!$A$3:$A$176, 0)-1,MATCH(EOMONTH(ED$15,1), ARGUS!$B$4:$LG$4, 0)-1,1,1)/1000, 0)</f>
        <v>13.177</v>
      </c>
      <c r="EE66" s="26">
        <f ca="1">IFERROR(OFFSET(ARGUS!$A$3, MATCH($A66, ARGUS!$A$3:$A$176, 0)-1,MATCH(EOMONTH(EE$15,1), ARGUS!$B$4:$LG$4, 0)-1,1,1)/1000, 0)</f>
        <v>13.177</v>
      </c>
      <c r="EF66" s="26">
        <f ca="1">IFERROR(OFFSET(ARGUS!$A$3, MATCH($A66, ARGUS!$A$3:$A$176, 0)-1,MATCH(EOMONTH(EF$15,1), ARGUS!$B$4:$LG$4, 0)-1,1,1)/1000, 0)</f>
        <v>13.177</v>
      </c>
      <c r="EG66" s="26">
        <f ca="1">IFERROR(OFFSET(ARGUS!$A$3, MATCH($A66, ARGUS!$A$3:$A$176, 0)-1,MATCH(EOMONTH(EG$15,1), ARGUS!$B$4:$LG$4, 0)-1,1,1)/1000, 0)</f>
        <v>13.177</v>
      </c>
      <c r="EH66" s="26">
        <f ca="1">IFERROR(OFFSET(ARGUS!$A$3, MATCH($A66, ARGUS!$A$3:$A$176, 0)-1,MATCH(EOMONTH(EH$15,1), ARGUS!$B$4:$LG$4, 0)-1,1,1)/1000, 0)</f>
        <v>13.513999999999999</v>
      </c>
      <c r="EI66" s="26">
        <f ca="1">IFERROR(OFFSET(ARGUS!$A$3, MATCH($A66, ARGUS!$A$3:$A$176, 0)-1,MATCH(EOMONTH(EI$15,1), ARGUS!$B$4:$LG$4, 0)-1,1,1)/1000, 0)</f>
        <v>13.513999999999999</v>
      </c>
      <c r="EJ66" s="26">
        <f ca="1">IFERROR(OFFSET(ARGUS!$A$3, MATCH($A66, ARGUS!$A$3:$A$176, 0)-1,MATCH(EOMONTH(EJ$15,1), ARGUS!$B$4:$LG$4, 0)-1,1,1)/1000, 0)</f>
        <v>13.513999999999999</v>
      </c>
      <c r="EK66" s="26">
        <f ca="1">IFERROR(OFFSET(ARGUS!$A$3, MATCH($A66, ARGUS!$A$3:$A$176, 0)-1,MATCH(EOMONTH(EK$15,1), ARGUS!$B$4:$LG$4, 0)-1,1,1)/1000, 0)</f>
        <v>13.513999999999999</v>
      </c>
      <c r="EL66" s="26">
        <f ca="1">IFERROR(OFFSET(ARGUS!$A$3, MATCH($A66, ARGUS!$A$3:$A$176, 0)-1,MATCH(EOMONTH(EL$15,1), ARGUS!$B$4:$LG$4, 0)-1,1,1)/1000, 0)</f>
        <v>13.513999999999999</v>
      </c>
      <c r="EM66" s="26">
        <f ca="1">IFERROR(OFFSET(ARGUS!$A$3, MATCH($A66, ARGUS!$A$3:$A$176, 0)-1,MATCH(EOMONTH(EM$15,1), ARGUS!$B$4:$LG$4, 0)-1,1,1)/1000, 0)</f>
        <v>13.513999999999999</v>
      </c>
      <c r="EN66" s="26">
        <f ca="1">IFERROR(OFFSET(ARGUS!$A$3, MATCH($A66, ARGUS!$A$3:$A$176, 0)-1,MATCH(EOMONTH(EN$15,1), ARGUS!$B$4:$LG$4, 0)-1,1,1)/1000, 0)</f>
        <v>13.513999999999999</v>
      </c>
      <c r="EO66" s="26">
        <f ca="1">IFERROR(OFFSET(ARGUS!$A$3, MATCH($A66, ARGUS!$A$3:$A$176, 0)-1,MATCH(EOMONTH(EO$15,1), ARGUS!$B$4:$LG$4, 0)-1,1,1)/1000, 0)</f>
        <v>13.513999999999999</v>
      </c>
      <c r="EP66" s="26">
        <f ca="1">IFERROR(OFFSET(ARGUS!$A$3, MATCH($A66, ARGUS!$A$3:$A$176, 0)-1,MATCH(EOMONTH(EP$15,1), ARGUS!$B$4:$LG$4, 0)-1,1,1)/1000, 0)</f>
        <v>13.513999999999999</v>
      </c>
      <c r="EQ66" s="26">
        <f ca="1">IFERROR(OFFSET(ARGUS!$A$3, MATCH($A66, ARGUS!$A$3:$A$176, 0)-1,MATCH(EOMONTH(EQ$15,1), ARGUS!$B$4:$LG$4, 0)-1,1,1)/1000, 0)</f>
        <v>13.513999999999999</v>
      </c>
      <c r="ER66" s="26">
        <f ca="1">IFERROR(OFFSET(ARGUS!$A$3, MATCH($A66, ARGUS!$A$3:$A$176, 0)-1,MATCH(EOMONTH(ER$15,1), ARGUS!$B$4:$LG$4, 0)-1,1,1)/1000, 0)</f>
        <v>13.513999999999999</v>
      </c>
      <c r="ES66" s="26">
        <f ca="1">IFERROR(OFFSET(ARGUS!$A$3, MATCH($A66, ARGUS!$A$3:$A$176, 0)-1,MATCH(EOMONTH(ES$15,1), ARGUS!$B$4:$LG$4, 0)-1,1,1)/1000, 0)</f>
        <v>13.513999999999999</v>
      </c>
      <c r="ET66" s="26">
        <f ca="1">IFERROR(OFFSET(ARGUS!$A$3, MATCH($A66, ARGUS!$A$3:$A$176, 0)-1,MATCH(EOMONTH(ET$15,1), ARGUS!$B$4:$LG$4, 0)-1,1,1)/1000, 0)</f>
        <v>13.861000000000001</v>
      </c>
      <c r="EU66" s="26">
        <f ca="1">IFERROR(OFFSET(ARGUS!$A$3, MATCH($A66, ARGUS!$A$3:$A$176, 0)-1,MATCH(EOMONTH(EU$15,1), ARGUS!$B$4:$LG$4, 0)-1,1,1)/1000, 0)</f>
        <v>13.861000000000001</v>
      </c>
      <c r="EV66" s="26">
        <f ca="1">IFERROR(OFFSET(ARGUS!$A$3, MATCH($A66, ARGUS!$A$3:$A$176, 0)-1,MATCH(EOMONTH(EV$15,1), ARGUS!$B$4:$LG$4, 0)-1,1,1)/1000, 0)</f>
        <v>13.861000000000001</v>
      </c>
      <c r="EW66" s="26">
        <f ca="1">IFERROR(OFFSET(ARGUS!$A$3, MATCH($A66, ARGUS!$A$3:$A$176, 0)-1,MATCH(EOMONTH(EW$15,1), ARGUS!$B$4:$LG$4, 0)-1,1,1)/1000, 0)</f>
        <v>13.861000000000001</v>
      </c>
      <c r="EX66" s="26">
        <f ca="1">IFERROR(OFFSET(ARGUS!$A$3, MATCH($A66, ARGUS!$A$3:$A$176, 0)-1,MATCH(EOMONTH(EX$15,1), ARGUS!$B$4:$LG$4, 0)-1,1,1)/1000, 0)</f>
        <v>13.861000000000001</v>
      </c>
      <c r="EY66" s="26">
        <f ca="1">IFERROR(OFFSET(ARGUS!$A$3, MATCH($A66, ARGUS!$A$3:$A$176, 0)-1,MATCH(EOMONTH(EY$15,1), ARGUS!$B$4:$LG$4, 0)-1,1,1)/1000, 0)</f>
        <v>13.861000000000001</v>
      </c>
      <c r="EZ66" s="26">
        <f ca="1">IFERROR(OFFSET(ARGUS!$A$3, MATCH($A66, ARGUS!$A$3:$A$176, 0)-1,MATCH(EOMONTH(EZ$15,1), ARGUS!$B$4:$LG$4, 0)-1,1,1)/1000, 0)</f>
        <v>13.861000000000001</v>
      </c>
      <c r="FA66" s="26">
        <f ca="1">IFERROR(OFFSET(ARGUS!$A$3, MATCH($A66, ARGUS!$A$3:$A$176, 0)-1,MATCH(EOMONTH(FA$15,1), ARGUS!$B$4:$LG$4, 0)-1,1,1)/1000, 0)</f>
        <v>13.861000000000001</v>
      </c>
      <c r="FB66" s="26">
        <f ca="1">IFERROR(OFFSET(ARGUS!$A$3, MATCH($A66, ARGUS!$A$3:$A$176, 0)-1,MATCH(EOMONTH(FB$15,1), ARGUS!$B$4:$LG$4, 0)-1,1,1)/1000, 0)</f>
        <v>13.861000000000001</v>
      </c>
      <c r="FC66" s="26">
        <f ca="1">IFERROR(OFFSET(ARGUS!$A$3, MATCH($A66, ARGUS!$A$3:$A$176, 0)-1,MATCH(EOMONTH(FC$15,1), ARGUS!$B$4:$LG$4, 0)-1,1,1)/1000, 0)</f>
        <v>13.861000000000001</v>
      </c>
      <c r="FD66" s="26">
        <f ca="1">IFERROR(OFFSET(ARGUS!$A$3, MATCH($A66, ARGUS!$A$3:$A$176, 0)-1,MATCH(EOMONTH(FD$15,1), ARGUS!$B$4:$LG$4, 0)-1,1,1)/1000, 0)</f>
        <v>13.861000000000001</v>
      </c>
      <c r="FE66" s="26">
        <f ca="1">IFERROR(OFFSET(ARGUS!$A$3, MATCH($A66, ARGUS!$A$3:$A$176, 0)-1,MATCH(EOMONTH(FE$15,1), ARGUS!$B$4:$LG$4, 0)-1,1,1)/1000, 0)</f>
        <v>13.861000000000001</v>
      </c>
      <c r="FF66" s="26">
        <f ca="1">IFERROR(OFFSET(ARGUS!$A$3, MATCH($A66, ARGUS!$A$3:$A$176, 0)-1,MATCH(EOMONTH(FF$15,1), ARGUS!$B$4:$LG$4, 0)-1,1,1)/1000, 0)</f>
        <v>14.218</v>
      </c>
      <c r="FG66" s="26">
        <f ca="1">IFERROR(OFFSET(ARGUS!$A$3, MATCH($A66, ARGUS!$A$3:$A$176, 0)-1,MATCH(EOMONTH(FG$15,1), ARGUS!$B$4:$LG$4, 0)-1,1,1)/1000, 0)</f>
        <v>14.218</v>
      </c>
      <c r="FH66" s="26">
        <f ca="1">IFERROR(OFFSET(ARGUS!$A$3, MATCH($A66, ARGUS!$A$3:$A$176, 0)-1,MATCH(EOMONTH(FH$15,1), ARGUS!$B$4:$LG$4, 0)-1,1,1)/1000, 0)</f>
        <v>14.218</v>
      </c>
      <c r="FI66" s="26">
        <f ca="1">IFERROR(OFFSET(ARGUS!$A$3, MATCH($A66, ARGUS!$A$3:$A$176, 0)-1,MATCH(EOMONTH(FI$15,1), ARGUS!$B$4:$LG$4, 0)-1,1,1)/1000, 0)</f>
        <v>14.218</v>
      </c>
      <c r="FJ66" s="26">
        <f ca="1">IFERROR(OFFSET(ARGUS!$A$3, MATCH($A66, ARGUS!$A$3:$A$176, 0)-1,MATCH(EOMONTH(FJ$15,1), ARGUS!$B$4:$LG$4, 0)-1,1,1)/1000, 0)</f>
        <v>14.218</v>
      </c>
      <c r="FK66" s="26">
        <f ca="1">IFERROR(OFFSET(ARGUS!$A$3, MATCH($A66, ARGUS!$A$3:$A$176, 0)-1,MATCH(EOMONTH(FK$15,1), ARGUS!$B$4:$LG$4, 0)-1,1,1)/1000, 0)</f>
        <v>14.218</v>
      </c>
      <c r="FL66" s="26">
        <f ca="1">IFERROR(OFFSET(ARGUS!$A$3, MATCH($A66, ARGUS!$A$3:$A$176, 0)-1,MATCH(EOMONTH(FL$15,1), ARGUS!$B$4:$LG$4, 0)-1,1,1)/1000, 0)</f>
        <v>14.218</v>
      </c>
      <c r="FM66" s="26">
        <f ca="1">IFERROR(OFFSET(ARGUS!$A$3, MATCH($A66, ARGUS!$A$3:$A$176, 0)-1,MATCH(EOMONTH(FM$15,1), ARGUS!$B$4:$LG$4, 0)-1,1,1)/1000, 0)</f>
        <v>14.218</v>
      </c>
      <c r="FN66" s="26">
        <f ca="1">IFERROR(OFFSET(ARGUS!$A$3, MATCH($A66, ARGUS!$A$3:$A$176, 0)-1,MATCH(EOMONTH(FN$15,1), ARGUS!$B$4:$LG$4, 0)-1,1,1)/1000, 0)</f>
        <v>14.218</v>
      </c>
      <c r="FO66" s="26">
        <f ca="1">IFERROR(OFFSET(ARGUS!$A$3, MATCH($A66, ARGUS!$A$3:$A$176, 0)-1,MATCH(EOMONTH(FO$15,1), ARGUS!$B$4:$LG$4, 0)-1,1,1)/1000, 0)</f>
        <v>14.218</v>
      </c>
      <c r="FP66" s="26">
        <f ca="1">IFERROR(OFFSET(ARGUS!$A$3, MATCH($A66, ARGUS!$A$3:$A$176, 0)-1,MATCH(EOMONTH(FP$15,1), ARGUS!$B$4:$LG$4, 0)-1,1,1)/1000, 0)</f>
        <v>14.218</v>
      </c>
      <c r="FQ66" s="26">
        <f ca="1">IFERROR(OFFSET(ARGUS!$A$3, MATCH($A66, ARGUS!$A$3:$A$176, 0)-1,MATCH(EOMONTH(FQ$15,1), ARGUS!$B$4:$LG$4, 0)-1,1,1)/1000, 0)</f>
        <v>14.218</v>
      </c>
      <c r="FR66" s="26">
        <f ca="1">IFERROR(OFFSET(ARGUS!$A$3, MATCH($A66, ARGUS!$A$3:$A$176, 0)-1,MATCH(EOMONTH(FR$15,1), ARGUS!$B$4:$LG$4, 0)-1,1,1)/1000, 0)</f>
        <v>14.586</v>
      </c>
      <c r="FS66" s="26">
        <f ca="1">IFERROR(OFFSET(ARGUS!$A$3, MATCH($A66, ARGUS!$A$3:$A$176, 0)-1,MATCH(EOMONTH(FS$15,1), ARGUS!$B$4:$LG$4, 0)-1,1,1)/1000, 0)</f>
        <v>14.586</v>
      </c>
      <c r="FT66" s="26">
        <f ca="1">IFERROR(OFFSET(ARGUS!$A$3, MATCH($A66, ARGUS!$A$3:$A$176, 0)-1,MATCH(EOMONTH(FT$15,1), ARGUS!$B$4:$LG$4, 0)-1,1,1)/1000, 0)</f>
        <v>14.586</v>
      </c>
      <c r="FU66" s="26">
        <f ca="1">IFERROR(OFFSET(ARGUS!$A$3, MATCH($A66, ARGUS!$A$3:$A$176, 0)-1,MATCH(EOMONTH(FU$15,1), ARGUS!$B$4:$LG$4, 0)-1,1,1)/1000, 0)</f>
        <v>14.586</v>
      </c>
      <c r="FV66" s="26">
        <f ca="1">IFERROR(OFFSET(ARGUS!$A$3, MATCH($A66, ARGUS!$A$3:$A$176, 0)-1,MATCH(EOMONTH(FV$15,1), ARGUS!$B$4:$LG$4, 0)-1,1,1)/1000, 0)</f>
        <v>14.586</v>
      </c>
      <c r="FW66" s="26">
        <f ca="1">IFERROR(OFFSET(ARGUS!$A$3, MATCH($A66, ARGUS!$A$3:$A$176, 0)-1,MATCH(EOMONTH(FW$15,1), ARGUS!$B$4:$LG$4, 0)-1,1,1)/1000, 0)</f>
        <v>14.586</v>
      </c>
      <c r="FX66" s="26">
        <f ca="1">IFERROR(OFFSET(ARGUS!$A$3, MATCH($A66, ARGUS!$A$3:$A$176, 0)-1,MATCH(EOMONTH(FX$15,1), ARGUS!$B$4:$LG$4, 0)-1,1,1)/1000, 0)</f>
        <v>14.586</v>
      </c>
      <c r="FY66" s="26">
        <f ca="1">IFERROR(OFFSET(ARGUS!$A$3, MATCH($A66, ARGUS!$A$3:$A$176, 0)-1,MATCH(EOMONTH(FY$15,1), ARGUS!$B$4:$LG$4, 0)-1,1,1)/1000, 0)</f>
        <v>14.586</v>
      </c>
      <c r="FZ66" s="26">
        <f ca="1">IFERROR(OFFSET(ARGUS!$A$3, MATCH($A66, ARGUS!$A$3:$A$176, 0)-1,MATCH(EOMONTH(FZ$15,1), ARGUS!$B$4:$LG$4, 0)-1,1,1)/1000, 0)</f>
        <v>14.586</v>
      </c>
      <c r="GA66" s="26">
        <f ca="1">IFERROR(OFFSET(ARGUS!$A$3, MATCH($A66, ARGUS!$A$3:$A$176, 0)-1,MATCH(EOMONTH(GA$15,1), ARGUS!$B$4:$LG$4, 0)-1,1,1)/1000, 0)</f>
        <v>14.586</v>
      </c>
      <c r="GB66" s="26">
        <f ca="1">IFERROR(OFFSET(ARGUS!$A$3, MATCH($A66, ARGUS!$A$3:$A$176, 0)-1,MATCH(EOMONTH(GB$15,1), ARGUS!$B$4:$LG$4, 0)-1,1,1)/1000, 0)</f>
        <v>14.586</v>
      </c>
      <c r="GC66" s="26">
        <f ca="1">IFERROR(OFFSET(ARGUS!$A$3, MATCH($A66, ARGUS!$A$3:$A$176, 0)-1,MATCH(EOMONTH(GC$15,1), ARGUS!$B$4:$LG$4, 0)-1,1,1)/1000, 0)</f>
        <v>14.586</v>
      </c>
      <c r="GD66" s="26">
        <f ca="1">IFERROR(OFFSET(ARGUS!$A$3, MATCH($A66, ARGUS!$A$3:$A$176, 0)-1,MATCH(EOMONTH(GD$15,1), ARGUS!$B$4:$LG$4, 0)-1,1,1)/1000, 0)</f>
        <v>14.965</v>
      </c>
      <c r="GE66" s="26">
        <f ca="1">IFERROR(OFFSET(ARGUS!$A$3, MATCH($A66, ARGUS!$A$3:$A$176, 0)-1,MATCH(EOMONTH(GE$15,1), ARGUS!$B$4:$LG$4, 0)-1,1,1)/1000, 0)</f>
        <v>14.965</v>
      </c>
      <c r="GF66" s="26">
        <f ca="1">IFERROR(OFFSET(ARGUS!$A$3, MATCH($A66, ARGUS!$A$3:$A$176, 0)-1,MATCH(EOMONTH(GF$15,1), ARGUS!$B$4:$LG$4, 0)-1,1,1)/1000, 0)</f>
        <v>14.965</v>
      </c>
      <c r="GG66" s="26">
        <f ca="1">IFERROR(OFFSET(ARGUS!$A$3, MATCH($A66, ARGUS!$A$3:$A$176, 0)-1,MATCH(EOMONTH(GG$15,1), ARGUS!$B$4:$LG$4, 0)-1,1,1)/1000, 0)</f>
        <v>14.965</v>
      </c>
      <c r="GH66" s="26">
        <f ca="1">IFERROR(OFFSET(ARGUS!$A$3, MATCH($A66, ARGUS!$A$3:$A$176, 0)-1,MATCH(EOMONTH(GH$15,1), ARGUS!$B$4:$LG$4, 0)-1,1,1)/1000, 0)</f>
        <v>14.965</v>
      </c>
      <c r="GI66" s="26">
        <f ca="1">IFERROR(OFFSET(ARGUS!$A$3, MATCH($A66, ARGUS!$A$3:$A$176, 0)-1,MATCH(EOMONTH(GI$15,1), ARGUS!$B$4:$LG$4, 0)-1,1,1)/1000, 0)</f>
        <v>14.965</v>
      </c>
      <c r="GJ66" s="26">
        <f ca="1">IFERROR(OFFSET(ARGUS!$A$3, MATCH($A66, ARGUS!$A$3:$A$176, 0)-1,MATCH(EOMONTH(GJ$15,1), ARGUS!$B$4:$LG$4, 0)-1,1,1)/1000, 0)</f>
        <v>14.965</v>
      </c>
      <c r="GK66" s="26">
        <f ca="1">IFERROR(OFFSET(ARGUS!$A$3, MATCH($A66, ARGUS!$A$3:$A$176, 0)-1,MATCH(EOMONTH(GK$15,1), ARGUS!$B$4:$LG$4, 0)-1,1,1)/1000, 0)</f>
        <v>14.965</v>
      </c>
      <c r="GL66" s="26">
        <f ca="1">IFERROR(OFFSET(ARGUS!$A$3, MATCH($A66, ARGUS!$A$3:$A$176, 0)-1,MATCH(EOMONTH(GL$15,1), ARGUS!$B$4:$LG$4, 0)-1,1,1)/1000, 0)</f>
        <v>14.965</v>
      </c>
      <c r="GM66" s="26">
        <f ca="1">IFERROR(OFFSET(ARGUS!$A$3, MATCH($A66, ARGUS!$A$3:$A$176, 0)-1,MATCH(EOMONTH(GM$15,1), ARGUS!$B$4:$LG$4, 0)-1,1,1)/1000, 0)</f>
        <v>14.965</v>
      </c>
      <c r="GN66" s="26">
        <f ca="1">IFERROR(OFFSET(ARGUS!$A$3, MATCH($A66, ARGUS!$A$3:$A$176, 0)-1,MATCH(EOMONTH(GN$15,1), ARGUS!$B$4:$LG$4, 0)-1,1,1)/1000, 0)</f>
        <v>14.965</v>
      </c>
      <c r="GO66" s="26">
        <f ca="1">IFERROR(OFFSET(ARGUS!$A$3, MATCH($A66, ARGUS!$A$3:$A$176, 0)-1,MATCH(EOMONTH(GO$15,1), ARGUS!$B$4:$LG$4, 0)-1,1,1)/1000, 0)</f>
        <v>14.965</v>
      </c>
      <c r="GP66" s="26">
        <f ca="1">IFERROR(OFFSET(ARGUS!$A$3, MATCH($A66, ARGUS!$A$3:$A$176, 0)-1,MATCH(EOMONTH(GP$15,1), ARGUS!$B$4:$LG$4, 0)-1,1,1)/1000, 0)</f>
        <v>15.356</v>
      </c>
      <c r="GQ66" s="26">
        <f ca="1">IFERROR(OFFSET(ARGUS!$A$3, MATCH($A66, ARGUS!$A$3:$A$176, 0)-1,MATCH(EOMONTH(GQ$15,1), ARGUS!$B$4:$LG$4, 0)-1,1,1)/1000, 0)</f>
        <v>15.356</v>
      </c>
      <c r="GR66" s="26">
        <f ca="1">IFERROR(OFFSET(ARGUS!$A$3, MATCH($A66, ARGUS!$A$3:$A$176, 0)-1,MATCH(EOMONTH(GR$15,1), ARGUS!$B$4:$LG$4, 0)-1,1,1)/1000, 0)</f>
        <v>15.356</v>
      </c>
      <c r="GS66" s="26">
        <f ca="1">IFERROR(OFFSET(ARGUS!$A$3, MATCH($A66, ARGUS!$A$3:$A$176, 0)-1,MATCH(EOMONTH(GS$15,1), ARGUS!$B$4:$LG$4, 0)-1,1,1)/1000, 0)</f>
        <v>15.356</v>
      </c>
      <c r="GT66" s="26">
        <f ca="1">IFERROR(OFFSET(ARGUS!$A$3, MATCH($A66, ARGUS!$A$3:$A$176, 0)-1,MATCH(EOMONTH(GT$15,1), ARGUS!$B$4:$LG$4, 0)-1,1,1)/1000, 0)</f>
        <v>15.356</v>
      </c>
      <c r="GU66" s="26"/>
      <c r="GV66" s="26"/>
      <c r="GW66" s="26"/>
      <c r="GX66" s="26"/>
      <c r="GY66" s="26"/>
      <c r="GZ66" s="26"/>
      <c r="HA66" s="26"/>
      <c r="HB66" s="26"/>
      <c r="HC66" s="26"/>
      <c r="HD66" s="26"/>
      <c r="HE66" s="26"/>
      <c r="HF66" s="1" t="s">
        <v>212</v>
      </c>
      <c r="HG66" s="139" t="e">
        <f t="shared" si="519"/>
        <v>#REF!</v>
      </c>
      <c r="HH66" s="1" t="str">
        <f t="shared" si="664"/>
        <v>General &amp; Administrative</v>
      </c>
      <c r="HI66" s="26"/>
      <c r="HJ66" s="26"/>
      <c r="HK66" s="26"/>
      <c r="HL66" s="132">
        <f t="shared" ca="1" si="665"/>
        <v>1640.4724500000002</v>
      </c>
      <c r="HM66" s="26"/>
      <c r="HN66" s="133">
        <f t="shared" si="666"/>
        <v>0</v>
      </c>
      <c r="HO66" s="26">
        <f t="shared" si="666"/>
        <v>415.40837999999997</v>
      </c>
      <c r="HP66" s="26">
        <f t="shared" si="666"/>
        <v>-8.6740700000000004</v>
      </c>
      <c r="HQ66" s="26">
        <f t="shared" si="666"/>
        <v>34.37980000000001</v>
      </c>
      <c r="HR66" s="26">
        <f t="shared" si="666"/>
        <v>162.35633999999999</v>
      </c>
      <c r="HS66" s="26">
        <f t="shared" si="666"/>
        <v>628.35820999999999</v>
      </c>
      <c r="HT66" s="26">
        <f t="shared" si="666"/>
        <v>137.46249</v>
      </c>
      <c r="HU66" s="26">
        <f t="shared" ca="1" si="666"/>
        <v>122.64530000000002</v>
      </c>
      <c r="HV66" s="26">
        <f t="shared" ca="1" si="666"/>
        <v>148.536</v>
      </c>
      <c r="HW66"/>
    </row>
    <row r="67" spans="1:231" ht="15">
      <c r="B67" s="1" t="s">
        <v>1020</v>
      </c>
      <c r="D67" s="585"/>
      <c r="E67" s="156"/>
      <c r="H67" s="381"/>
      <c r="I67" s="132">
        <f ca="1">SUMIF($K$13:$GT$13,"&lt;="&amp;Assumptions!$L$17,'Monthly Cash Flow'!K67:GT67)</f>
        <v>0</v>
      </c>
      <c r="J67" s="26"/>
      <c r="K67" s="155"/>
      <c r="L67" s="954">
        <f>Historicals!D15</f>
        <v>0</v>
      </c>
      <c r="M67" s="954">
        <f>Historicals!E15</f>
        <v>0</v>
      </c>
      <c r="N67" s="954">
        <f>Historicals!F15</f>
        <v>0</v>
      </c>
      <c r="O67" s="954">
        <f>Historicals!G15</f>
        <v>0</v>
      </c>
      <c r="P67" s="954">
        <f>Historicals!H15</f>
        <v>0</v>
      </c>
      <c r="Q67" s="954">
        <f>Historicals!I15</f>
        <v>0</v>
      </c>
      <c r="R67" s="954">
        <f>Historicals!J15</f>
        <v>0</v>
      </c>
      <c r="S67" s="954">
        <f>Historicals!K15</f>
        <v>0</v>
      </c>
      <c r="T67" s="954">
        <f>Historicals!L15</f>
        <v>0</v>
      </c>
      <c r="U67" s="954">
        <f>Historicals!M15</f>
        <v>0</v>
      </c>
      <c r="V67" s="954">
        <f>Historicals!N15</f>
        <v>0</v>
      </c>
      <c r="W67" s="954">
        <f>Historicals!O15</f>
        <v>0</v>
      </c>
      <c r="X67" s="954">
        <f>Historicals!P15</f>
        <v>0</v>
      </c>
      <c r="Y67" s="954">
        <f>Historicals!Q15</f>
        <v>0</v>
      </c>
      <c r="Z67" s="954">
        <f>Historicals!R15</f>
        <v>0</v>
      </c>
      <c r="AA67" s="954">
        <f>Historicals!S15</f>
        <v>0</v>
      </c>
      <c r="AB67" s="954">
        <f>Historicals!T15</f>
        <v>0</v>
      </c>
      <c r="AC67" s="954">
        <f>Historicals!U15</f>
        <v>0</v>
      </c>
      <c r="AD67" s="954">
        <f>Historicals!V15</f>
        <v>0</v>
      </c>
      <c r="AE67" s="954">
        <f>Historicals!W15</f>
        <v>0</v>
      </c>
      <c r="AF67" s="954">
        <f>Historicals!X15</f>
        <v>0</v>
      </c>
      <c r="AG67" s="954">
        <f>Historicals!Y15</f>
        <v>0</v>
      </c>
      <c r="AH67" s="954">
        <f>Historicals!Z15</f>
        <v>0</v>
      </c>
      <c r="AI67" s="954">
        <f>Historicals!AA15</f>
        <v>0</v>
      </c>
      <c r="AJ67" s="954">
        <f>Historicals!AB15</f>
        <v>0</v>
      </c>
      <c r="AK67" s="954">
        <f>Historicals!AC15</f>
        <v>0</v>
      </c>
      <c r="AL67" s="954">
        <f>Historicals!AD15</f>
        <v>0</v>
      </c>
      <c r="AM67" s="954">
        <f>Historicals!AE15</f>
        <v>0</v>
      </c>
      <c r="AN67" s="954">
        <f>Historicals!AF15</f>
        <v>0</v>
      </c>
      <c r="AO67" s="954">
        <f>Historicals!AG15</f>
        <v>0</v>
      </c>
      <c r="AP67" s="954">
        <f>Historicals!AH15</f>
        <v>0</v>
      </c>
      <c r="AQ67" s="954">
        <f>Historicals!AI15</f>
        <v>0</v>
      </c>
      <c r="AR67" s="954">
        <f>Historicals!AJ15</f>
        <v>0</v>
      </c>
      <c r="AS67" s="954">
        <f>Historicals!AK15</f>
        <v>0</v>
      </c>
      <c r="AT67" s="954">
        <f>Historicals!AL15</f>
        <v>0</v>
      </c>
      <c r="AU67" s="954">
        <f>Historicals!AM15</f>
        <v>0</v>
      </c>
      <c r="AV67" s="954">
        <f>Historicals!AN15</f>
        <v>0</v>
      </c>
      <c r="AW67" s="954">
        <f>Historicals!AO15</f>
        <v>0</v>
      </c>
      <c r="AX67" s="954">
        <f>Historicals!AP15</f>
        <v>0</v>
      </c>
      <c r="AY67" s="954">
        <f>Historicals!AQ15</f>
        <v>0</v>
      </c>
      <c r="AZ67" s="954">
        <f>Historicals!AR15</f>
        <v>0</v>
      </c>
      <c r="BA67" s="954">
        <f>Historicals!AS15</f>
        <v>0</v>
      </c>
      <c r="BB67" s="954">
        <f>Historicals!AT15</f>
        <v>0</v>
      </c>
      <c r="BC67" s="954">
        <f>Historicals!AU15</f>
        <v>0</v>
      </c>
      <c r="BD67" s="954">
        <f>Historicals!AV15</f>
        <v>0</v>
      </c>
      <c r="BE67" s="954">
        <f>Historicals!AW15</f>
        <v>0</v>
      </c>
      <c r="BF67" s="954">
        <f>Historicals!AX15</f>
        <v>0</v>
      </c>
      <c r="BG67" s="954">
        <f>Historicals!AY15</f>
        <v>0</v>
      </c>
      <c r="BH67" s="954">
        <f>Historicals!AZ15</f>
        <v>0</v>
      </c>
      <c r="BI67" s="954">
        <f>Historicals!BA15</f>
        <v>0</v>
      </c>
      <c r="BJ67" s="954">
        <f>Historicals!BB15</f>
        <v>0</v>
      </c>
      <c r="BK67" s="954">
        <f>Historicals!BC15</f>
        <v>0</v>
      </c>
      <c r="BL67" s="954">
        <f>Historicals!BD15</f>
        <v>0</v>
      </c>
      <c r="BM67" s="954">
        <f>Historicals!BE15</f>
        <v>0</v>
      </c>
      <c r="BN67" s="954">
        <f>Historicals!BF15</f>
        <v>0</v>
      </c>
      <c r="BO67" s="954">
        <f>Historicals!BG15</f>
        <v>0</v>
      </c>
      <c r="BP67" s="954">
        <f>Historicals!BH15</f>
        <v>0</v>
      </c>
      <c r="BQ67" s="954">
        <f>Historicals!BI15</f>
        <v>0</v>
      </c>
      <c r="BR67" s="954">
        <f>Historicals!BJ15</f>
        <v>0</v>
      </c>
      <c r="BS67" s="954">
        <f>Historicals!BK15</f>
        <v>0</v>
      </c>
      <c r="BT67" s="954">
        <f>Historicals!BL15</f>
        <v>0</v>
      </c>
      <c r="BU67" s="954">
        <f>Historicals!BM15</f>
        <v>0</v>
      </c>
      <c r="BV67" s="954">
        <f>Historicals!BN15</f>
        <v>0</v>
      </c>
      <c r="BW67" s="954">
        <f>Historicals!BO15</f>
        <v>0</v>
      </c>
      <c r="BX67" s="954">
        <f>Historicals!BP15</f>
        <v>0</v>
      </c>
      <c r="BY67" s="954">
        <f>Historicals!BQ15</f>
        <v>0</v>
      </c>
      <c r="BZ67" s="954">
        <f>Historicals!BR15</f>
        <v>0</v>
      </c>
      <c r="CA67" s="954">
        <f>Historicals!BS15</f>
        <v>0</v>
      </c>
      <c r="CB67" s="954">
        <f>Historicals!BT15</f>
        <v>0</v>
      </c>
      <c r="CC67" s="954">
        <f>Historicals!BU15</f>
        <v>0</v>
      </c>
      <c r="CD67" s="954">
        <f>Historicals!BV15</f>
        <v>0</v>
      </c>
      <c r="CE67" s="954">
        <f>Historicals!BW15</f>
        <v>0</v>
      </c>
      <c r="CF67" s="954">
        <f>Historicals!BX15</f>
        <v>0</v>
      </c>
      <c r="CG67" s="954">
        <f>Historicals!BY15</f>
        <v>0</v>
      </c>
      <c r="CH67" s="954">
        <f>Historicals!BZ15</f>
        <v>0</v>
      </c>
      <c r="CI67" s="26">
        <f ca="1">IFERROR(OFFSET(ARGUS!$A$3, MATCH($A67, ARGUS!$A$3:$A$176, 0)-1,MATCH(EOMONTH(CI$15,1), ARGUS!$B$4:$LG$4, 0)-1,1,1)/1000, 0)</f>
        <v>0</v>
      </c>
      <c r="CJ67" s="26">
        <f ca="1">IFERROR(OFFSET(ARGUS!$A$3, MATCH($A67, ARGUS!$A$3:$A$176, 0)-1,MATCH(EOMONTH(CJ$15,1), ARGUS!$B$4:$LG$4, 0)-1,1,1)/1000, 0)</f>
        <v>0</v>
      </c>
      <c r="CK67" s="26">
        <f ca="1">IFERROR(OFFSET(ARGUS!$A$3, MATCH($A67, ARGUS!$A$3:$A$176, 0)-1,MATCH(EOMONTH(CK$15,1), ARGUS!$B$4:$LG$4, 0)-1,1,1)/1000, 0)</f>
        <v>0</v>
      </c>
      <c r="CL67" s="26">
        <f ca="1">IFERROR(OFFSET(ARGUS!$A$3, MATCH($A67, ARGUS!$A$3:$A$176, 0)-1,MATCH(EOMONTH(CL$15,1), ARGUS!$B$4:$LG$4, 0)-1,1,1)/1000, 0)</f>
        <v>0</v>
      </c>
      <c r="CM67" s="26">
        <f ca="1">IFERROR(OFFSET(ARGUS!$A$3, MATCH($A67, ARGUS!$A$3:$A$176, 0)-1,MATCH(EOMONTH(CM$15,1), ARGUS!$B$4:$LG$4, 0)-1,1,1)/1000, 0)</f>
        <v>0</v>
      </c>
      <c r="CN67" s="26">
        <f ca="1">IFERROR(OFFSET(ARGUS!$A$3, MATCH($A67, ARGUS!$A$3:$A$176, 0)-1,MATCH(EOMONTH(CN$15,1), ARGUS!$B$4:$LG$4, 0)-1,1,1)/1000, 0)</f>
        <v>0</v>
      </c>
      <c r="CO67" s="26">
        <f ca="1">IFERROR(OFFSET(ARGUS!$A$3, MATCH($A67, ARGUS!$A$3:$A$176, 0)-1,MATCH(EOMONTH(CO$15,1), ARGUS!$B$4:$LG$4, 0)-1,1,1)/1000, 0)</f>
        <v>0</v>
      </c>
      <c r="CP67" s="26">
        <f ca="1">IFERROR(OFFSET(ARGUS!$A$3, MATCH($A67, ARGUS!$A$3:$A$176, 0)-1,MATCH(EOMONTH(CP$15,1), ARGUS!$B$4:$LG$4, 0)-1,1,1)/1000, 0)</f>
        <v>0</v>
      </c>
      <c r="CQ67" s="26">
        <f ca="1">IFERROR(OFFSET(ARGUS!$A$3, MATCH($A67, ARGUS!$A$3:$A$176, 0)-1,MATCH(EOMONTH(CQ$15,1), ARGUS!$B$4:$LG$4, 0)-1,1,1)/1000, 0)</f>
        <v>0</v>
      </c>
      <c r="CR67" s="26">
        <f ca="1">IFERROR(OFFSET(ARGUS!$A$3, MATCH($A67, ARGUS!$A$3:$A$176, 0)-1,MATCH(EOMONTH(CR$15,1), ARGUS!$B$4:$LG$4, 0)-1,1,1)/1000, 0)</f>
        <v>0</v>
      </c>
      <c r="CS67" s="26">
        <f ca="1">IFERROR(OFFSET(ARGUS!$A$3, MATCH($A67, ARGUS!$A$3:$A$176, 0)-1,MATCH(EOMONTH(CS$15,1), ARGUS!$B$4:$LG$4, 0)-1,1,1)/1000, 0)</f>
        <v>0</v>
      </c>
      <c r="CT67" s="26">
        <f ca="1">IFERROR(OFFSET(ARGUS!$A$3, MATCH($A67, ARGUS!$A$3:$A$176, 0)-1,MATCH(EOMONTH(CT$15,1), ARGUS!$B$4:$LG$4, 0)-1,1,1)/1000, 0)</f>
        <v>0</v>
      </c>
      <c r="CU67" s="26">
        <f ca="1">IFERROR(OFFSET(ARGUS!$A$3, MATCH($A67, ARGUS!$A$3:$A$176, 0)-1,MATCH(EOMONTH(CU$15,1), ARGUS!$B$4:$LG$4, 0)-1,1,1)/1000, 0)</f>
        <v>0</v>
      </c>
      <c r="CV67" s="26">
        <f ca="1">IFERROR(OFFSET(ARGUS!$A$3, MATCH($A67, ARGUS!$A$3:$A$176, 0)-1,MATCH(EOMONTH(CV$15,1), ARGUS!$B$4:$LG$4, 0)-1,1,1)/1000, 0)</f>
        <v>0</v>
      </c>
      <c r="CW67" s="26">
        <f ca="1">IFERROR(OFFSET(ARGUS!$A$3, MATCH($A67, ARGUS!$A$3:$A$176, 0)-1,MATCH(EOMONTH(CW$15,1), ARGUS!$B$4:$LG$4, 0)-1,1,1)/1000, 0)</f>
        <v>0</v>
      </c>
      <c r="CX67" s="26">
        <f ca="1">IFERROR(OFFSET(ARGUS!$A$3, MATCH($A67, ARGUS!$A$3:$A$176, 0)-1,MATCH(EOMONTH(CX$15,1), ARGUS!$B$4:$LG$4, 0)-1,1,1)/1000, 0)</f>
        <v>0</v>
      </c>
      <c r="CY67" s="26">
        <f ca="1">IFERROR(OFFSET(ARGUS!$A$3, MATCH($A67, ARGUS!$A$3:$A$176, 0)-1,MATCH(EOMONTH(CY$15,1), ARGUS!$B$4:$LG$4, 0)-1,1,1)/1000, 0)</f>
        <v>0</v>
      </c>
      <c r="CZ67" s="26">
        <f ca="1">IFERROR(OFFSET(ARGUS!$A$3, MATCH($A67, ARGUS!$A$3:$A$176, 0)-1,MATCH(EOMONTH(CZ$15,1), ARGUS!$B$4:$LG$4, 0)-1,1,1)/1000, 0)</f>
        <v>0</v>
      </c>
      <c r="DA67" s="26">
        <f ca="1">IFERROR(OFFSET(ARGUS!$A$3, MATCH($A67, ARGUS!$A$3:$A$176, 0)-1,MATCH(EOMONTH(DA$15,1), ARGUS!$B$4:$LG$4, 0)-1,1,1)/1000, 0)</f>
        <v>0</v>
      </c>
      <c r="DB67" s="26">
        <f ca="1">IFERROR(OFFSET(ARGUS!$A$3, MATCH($A67, ARGUS!$A$3:$A$176, 0)-1,MATCH(EOMONTH(DB$15,1), ARGUS!$B$4:$LG$4, 0)-1,1,1)/1000, 0)</f>
        <v>0</v>
      </c>
      <c r="DC67" s="26">
        <f ca="1">IFERROR(OFFSET(ARGUS!$A$3, MATCH($A67, ARGUS!$A$3:$A$176, 0)-1,MATCH(EOMONTH(DC$15,1), ARGUS!$B$4:$LG$4, 0)-1,1,1)/1000, 0)</f>
        <v>0</v>
      </c>
      <c r="DD67" s="26">
        <f ca="1">IFERROR(OFFSET(ARGUS!$A$3, MATCH($A67, ARGUS!$A$3:$A$176, 0)-1,MATCH(EOMONTH(DD$15,1), ARGUS!$B$4:$LG$4, 0)-1,1,1)/1000, 0)</f>
        <v>0</v>
      </c>
      <c r="DE67" s="26">
        <f ca="1">IFERROR(OFFSET(ARGUS!$A$3, MATCH($A67, ARGUS!$A$3:$A$176, 0)-1,MATCH(EOMONTH(DE$15,1), ARGUS!$B$4:$LG$4, 0)-1,1,1)/1000, 0)</f>
        <v>0</v>
      </c>
      <c r="DF67" s="26">
        <f ca="1">IFERROR(OFFSET(ARGUS!$A$3, MATCH($A67, ARGUS!$A$3:$A$176, 0)-1,MATCH(EOMONTH(DF$15,1), ARGUS!$B$4:$LG$4, 0)-1,1,1)/1000, 0)</f>
        <v>0</v>
      </c>
      <c r="DG67" s="26">
        <f ca="1">IFERROR(OFFSET(ARGUS!$A$3, MATCH($A67, ARGUS!$A$3:$A$176, 0)-1,MATCH(EOMONTH(DG$15,1), ARGUS!$B$4:$LG$4, 0)-1,1,1)/1000, 0)</f>
        <v>0</v>
      </c>
      <c r="DH67" s="26">
        <f ca="1">IFERROR(OFFSET(ARGUS!$A$3, MATCH($A67, ARGUS!$A$3:$A$176, 0)-1,MATCH(EOMONTH(DH$15,1), ARGUS!$B$4:$LG$4, 0)-1,1,1)/1000, 0)</f>
        <v>0</v>
      </c>
      <c r="DI67" s="26">
        <f ca="1">IFERROR(OFFSET(ARGUS!$A$3, MATCH($A67, ARGUS!$A$3:$A$176, 0)-1,MATCH(EOMONTH(DI$15,1), ARGUS!$B$4:$LG$4, 0)-1,1,1)/1000, 0)</f>
        <v>0</v>
      </c>
      <c r="DJ67" s="26">
        <f ca="1">IFERROR(OFFSET(ARGUS!$A$3, MATCH($A67, ARGUS!$A$3:$A$176, 0)-1,MATCH(EOMONTH(DJ$15,1), ARGUS!$B$4:$LG$4, 0)-1,1,1)/1000, 0)</f>
        <v>0</v>
      </c>
      <c r="DK67" s="26">
        <f ca="1">IFERROR(OFFSET(ARGUS!$A$3, MATCH($A67, ARGUS!$A$3:$A$176, 0)-1,MATCH(EOMONTH(DK$15,1), ARGUS!$B$4:$LG$4, 0)-1,1,1)/1000, 0)</f>
        <v>0</v>
      </c>
      <c r="DL67" s="26">
        <f ca="1">IFERROR(OFFSET(ARGUS!$A$3, MATCH($A67, ARGUS!$A$3:$A$176, 0)-1,MATCH(EOMONTH(DL$15,1), ARGUS!$B$4:$LG$4, 0)-1,1,1)/1000, 0)</f>
        <v>0</v>
      </c>
      <c r="DM67" s="26">
        <f ca="1">IFERROR(OFFSET(ARGUS!$A$3, MATCH($A67, ARGUS!$A$3:$A$176, 0)-1,MATCH(EOMONTH(DM$15,1), ARGUS!$B$4:$LG$4, 0)-1,1,1)/1000, 0)</f>
        <v>0</v>
      </c>
      <c r="DN67" s="26">
        <f ca="1">IFERROR(OFFSET(ARGUS!$A$3, MATCH($A67, ARGUS!$A$3:$A$176, 0)-1,MATCH(EOMONTH(DN$15,1), ARGUS!$B$4:$LG$4, 0)-1,1,1)/1000, 0)</f>
        <v>0</v>
      </c>
      <c r="DO67" s="26">
        <f ca="1">IFERROR(OFFSET(ARGUS!$A$3, MATCH($A67, ARGUS!$A$3:$A$176, 0)-1,MATCH(EOMONTH(DO$15,1), ARGUS!$B$4:$LG$4, 0)-1,1,1)/1000, 0)</f>
        <v>0</v>
      </c>
      <c r="DP67" s="26">
        <f ca="1">IFERROR(OFFSET(ARGUS!$A$3, MATCH($A67, ARGUS!$A$3:$A$176, 0)-1,MATCH(EOMONTH(DP$15,1), ARGUS!$B$4:$LG$4, 0)-1,1,1)/1000, 0)</f>
        <v>0</v>
      </c>
      <c r="DQ67" s="26">
        <f ca="1">IFERROR(OFFSET(ARGUS!$A$3, MATCH($A67, ARGUS!$A$3:$A$176, 0)-1,MATCH(EOMONTH(DQ$15,1), ARGUS!$B$4:$LG$4, 0)-1,1,1)/1000, 0)</f>
        <v>0</v>
      </c>
      <c r="DR67" s="26">
        <f ca="1">IFERROR(OFFSET(ARGUS!$A$3, MATCH($A67, ARGUS!$A$3:$A$176, 0)-1,MATCH(EOMONTH(DR$15,1), ARGUS!$B$4:$LG$4, 0)-1,1,1)/1000, 0)</f>
        <v>0</v>
      </c>
      <c r="DS67" s="26">
        <f ca="1">IFERROR(OFFSET(ARGUS!$A$3, MATCH($A67, ARGUS!$A$3:$A$176, 0)-1,MATCH(EOMONTH(DS$15,1), ARGUS!$B$4:$LG$4, 0)-1,1,1)/1000, 0)</f>
        <v>0</v>
      </c>
      <c r="DT67" s="26">
        <f ca="1">IFERROR(OFFSET(ARGUS!$A$3, MATCH($A67, ARGUS!$A$3:$A$176, 0)-1,MATCH(EOMONTH(DT$15,1), ARGUS!$B$4:$LG$4, 0)-1,1,1)/1000, 0)</f>
        <v>0</v>
      </c>
      <c r="DU67" s="26">
        <f ca="1">IFERROR(OFFSET(ARGUS!$A$3, MATCH($A67, ARGUS!$A$3:$A$176, 0)-1,MATCH(EOMONTH(DU$15,1), ARGUS!$B$4:$LG$4, 0)-1,1,1)/1000, 0)</f>
        <v>0</v>
      </c>
      <c r="DV67" s="26">
        <f ca="1">IFERROR(OFFSET(ARGUS!$A$3, MATCH($A67, ARGUS!$A$3:$A$176, 0)-1,MATCH(EOMONTH(DV$15,1), ARGUS!$B$4:$LG$4, 0)-1,1,1)/1000, 0)</f>
        <v>0</v>
      </c>
      <c r="DW67" s="26">
        <f ca="1">IFERROR(OFFSET(ARGUS!$A$3, MATCH($A67, ARGUS!$A$3:$A$176, 0)-1,MATCH(EOMONTH(DW$15,1), ARGUS!$B$4:$LG$4, 0)-1,1,1)/1000, 0)</f>
        <v>0</v>
      </c>
      <c r="DX67" s="26">
        <f ca="1">IFERROR(OFFSET(ARGUS!$A$3, MATCH($A67, ARGUS!$A$3:$A$176, 0)-1,MATCH(EOMONTH(DX$15,1), ARGUS!$B$4:$LG$4, 0)-1,1,1)/1000, 0)</f>
        <v>0</v>
      </c>
      <c r="DY67" s="26">
        <f ca="1">IFERROR(OFFSET(ARGUS!$A$3, MATCH($A67, ARGUS!$A$3:$A$176, 0)-1,MATCH(EOMONTH(DY$15,1), ARGUS!$B$4:$LG$4, 0)-1,1,1)/1000, 0)</f>
        <v>0</v>
      </c>
      <c r="DZ67" s="26">
        <f ca="1">IFERROR(OFFSET(ARGUS!$A$3, MATCH($A67, ARGUS!$A$3:$A$176, 0)-1,MATCH(EOMONTH(DZ$15,1), ARGUS!$B$4:$LG$4, 0)-1,1,1)/1000, 0)</f>
        <v>0</v>
      </c>
      <c r="EA67" s="26">
        <f ca="1">IFERROR(OFFSET(ARGUS!$A$3, MATCH($A67, ARGUS!$A$3:$A$176, 0)-1,MATCH(EOMONTH(EA$15,1), ARGUS!$B$4:$LG$4, 0)-1,1,1)/1000, 0)</f>
        <v>0</v>
      </c>
      <c r="EB67" s="26">
        <f ca="1">IFERROR(OFFSET(ARGUS!$A$3, MATCH($A67, ARGUS!$A$3:$A$176, 0)-1,MATCH(EOMONTH(EB$15,1), ARGUS!$B$4:$LG$4, 0)-1,1,1)/1000, 0)</f>
        <v>0</v>
      </c>
      <c r="EC67" s="26">
        <f ca="1">IFERROR(OFFSET(ARGUS!$A$3, MATCH($A67, ARGUS!$A$3:$A$176, 0)-1,MATCH(EOMONTH(EC$15,1), ARGUS!$B$4:$LG$4, 0)-1,1,1)/1000, 0)</f>
        <v>0</v>
      </c>
      <c r="ED67" s="26">
        <f ca="1">IFERROR(OFFSET(ARGUS!$A$3, MATCH($A67, ARGUS!$A$3:$A$176, 0)-1,MATCH(EOMONTH(ED$15,1), ARGUS!$B$4:$LG$4, 0)-1,1,1)/1000, 0)</f>
        <v>0</v>
      </c>
      <c r="EE67" s="26">
        <f ca="1">IFERROR(OFFSET(ARGUS!$A$3, MATCH($A67, ARGUS!$A$3:$A$176, 0)-1,MATCH(EOMONTH(EE$15,1), ARGUS!$B$4:$LG$4, 0)-1,1,1)/1000, 0)</f>
        <v>0</v>
      </c>
      <c r="EF67" s="26">
        <f ca="1">IFERROR(OFFSET(ARGUS!$A$3, MATCH($A67, ARGUS!$A$3:$A$176, 0)-1,MATCH(EOMONTH(EF$15,1), ARGUS!$B$4:$LG$4, 0)-1,1,1)/1000, 0)</f>
        <v>0</v>
      </c>
      <c r="EG67" s="26">
        <f ca="1">IFERROR(OFFSET(ARGUS!$A$3, MATCH($A67, ARGUS!$A$3:$A$176, 0)-1,MATCH(EOMONTH(EG$15,1), ARGUS!$B$4:$LG$4, 0)-1,1,1)/1000, 0)</f>
        <v>0</v>
      </c>
      <c r="EH67" s="26">
        <f ca="1">IFERROR(OFFSET(ARGUS!$A$3, MATCH($A67, ARGUS!$A$3:$A$176, 0)-1,MATCH(EOMONTH(EH$15,1), ARGUS!$B$4:$LG$4, 0)-1,1,1)/1000, 0)</f>
        <v>0</v>
      </c>
      <c r="EI67" s="26">
        <f ca="1">IFERROR(OFFSET(ARGUS!$A$3, MATCH($A67, ARGUS!$A$3:$A$176, 0)-1,MATCH(EOMONTH(EI$15,1), ARGUS!$B$4:$LG$4, 0)-1,1,1)/1000, 0)</f>
        <v>0</v>
      </c>
      <c r="EJ67" s="26">
        <f ca="1">IFERROR(OFFSET(ARGUS!$A$3, MATCH($A67, ARGUS!$A$3:$A$176, 0)-1,MATCH(EOMONTH(EJ$15,1), ARGUS!$B$4:$LG$4, 0)-1,1,1)/1000, 0)</f>
        <v>0</v>
      </c>
      <c r="EK67" s="26">
        <f ca="1">IFERROR(OFFSET(ARGUS!$A$3, MATCH($A67, ARGUS!$A$3:$A$176, 0)-1,MATCH(EOMONTH(EK$15,1), ARGUS!$B$4:$LG$4, 0)-1,1,1)/1000, 0)</f>
        <v>0</v>
      </c>
      <c r="EL67" s="26">
        <f ca="1">IFERROR(OFFSET(ARGUS!$A$3, MATCH($A67, ARGUS!$A$3:$A$176, 0)-1,MATCH(EOMONTH(EL$15,1), ARGUS!$B$4:$LG$4, 0)-1,1,1)/1000, 0)</f>
        <v>0</v>
      </c>
      <c r="EM67" s="26">
        <f ca="1">IFERROR(OFFSET(ARGUS!$A$3, MATCH($A67, ARGUS!$A$3:$A$176, 0)-1,MATCH(EOMONTH(EM$15,1), ARGUS!$B$4:$LG$4, 0)-1,1,1)/1000, 0)</f>
        <v>0</v>
      </c>
      <c r="EN67" s="26">
        <f ca="1">IFERROR(OFFSET(ARGUS!$A$3, MATCH($A67, ARGUS!$A$3:$A$176, 0)-1,MATCH(EOMONTH(EN$15,1), ARGUS!$B$4:$LG$4, 0)-1,1,1)/1000, 0)</f>
        <v>0</v>
      </c>
      <c r="EO67" s="26">
        <f ca="1">IFERROR(OFFSET(ARGUS!$A$3, MATCH($A67, ARGUS!$A$3:$A$176, 0)-1,MATCH(EOMONTH(EO$15,1), ARGUS!$B$4:$LG$4, 0)-1,1,1)/1000, 0)</f>
        <v>0</v>
      </c>
      <c r="EP67" s="26">
        <f ca="1">IFERROR(OFFSET(ARGUS!$A$3, MATCH($A67, ARGUS!$A$3:$A$176, 0)-1,MATCH(EOMONTH(EP$15,1), ARGUS!$B$4:$LG$4, 0)-1,1,1)/1000, 0)</f>
        <v>0</v>
      </c>
      <c r="EQ67" s="26">
        <f ca="1">IFERROR(OFFSET(ARGUS!$A$3, MATCH($A67, ARGUS!$A$3:$A$176, 0)-1,MATCH(EOMONTH(EQ$15,1), ARGUS!$B$4:$LG$4, 0)-1,1,1)/1000, 0)</f>
        <v>0</v>
      </c>
      <c r="ER67" s="26">
        <f ca="1">IFERROR(OFFSET(ARGUS!$A$3, MATCH($A67, ARGUS!$A$3:$A$176, 0)-1,MATCH(EOMONTH(ER$15,1), ARGUS!$B$4:$LG$4, 0)-1,1,1)/1000, 0)</f>
        <v>0</v>
      </c>
      <c r="ES67" s="26">
        <f ca="1">IFERROR(OFFSET(ARGUS!$A$3, MATCH($A67, ARGUS!$A$3:$A$176, 0)-1,MATCH(EOMONTH(ES$15,1), ARGUS!$B$4:$LG$4, 0)-1,1,1)/1000, 0)</f>
        <v>0</v>
      </c>
      <c r="ET67" s="26">
        <f ca="1">IFERROR(OFFSET(ARGUS!$A$3, MATCH($A67, ARGUS!$A$3:$A$176, 0)-1,MATCH(EOMONTH(ET$15,1), ARGUS!$B$4:$LG$4, 0)-1,1,1)/1000, 0)</f>
        <v>0</v>
      </c>
      <c r="EU67" s="26">
        <f ca="1">IFERROR(OFFSET(ARGUS!$A$3, MATCH($A67, ARGUS!$A$3:$A$176, 0)-1,MATCH(EOMONTH(EU$15,1), ARGUS!$B$4:$LG$4, 0)-1,1,1)/1000, 0)</f>
        <v>0</v>
      </c>
      <c r="EV67" s="26">
        <f ca="1">IFERROR(OFFSET(ARGUS!$A$3, MATCH($A67, ARGUS!$A$3:$A$176, 0)-1,MATCH(EOMONTH(EV$15,1), ARGUS!$B$4:$LG$4, 0)-1,1,1)/1000, 0)</f>
        <v>0</v>
      </c>
      <c r="EW67" s="26">
        <f ca="1">IFERROR(OFFSET(ARGUS!$A$3, MATCH($A67, ARGUS!$A$3:$A$176, 0)-1,MATCH(EOMONTH(EW$15,1), ARGUS!$B$4:$LG$4, 0)-1,1,1)/1000, 0)</f>
        <v>0</v>
      </c>
      <c r="EX67" s="26">
        <f ca="1">IFERROR(OFFSET(ARGUS!$A$3, MATCH($A67, ARGUS!$A$3:$A$176, 0)-1,MATCH(EOMONTH(EX$15,1), ARGUS!$B$4:$LG$4, 0)-1,1,1)/1000, 0)</f>
        <v>0</v>
      </c>
      <c r="EY67" s="26">
        <f ca="1">IFERROR(OFFSET(ARGUS!$A$3, MATCH($A67, ARGUS!$A$3:$A$176, 0)-1,MATCH(EOMONTH(EY$15,1), ARGUS!$B$4:$LG$4, 0)-1,1,1)/1000, 0)</f>
        <v>0</v>
      </c>
      <c r="EZ67" s="26">
        <f ca="1">IFERROR(OFFSET(ARGUS!$A$3, MATCH($A67, ARGUS!$A$3:$A$176, 0)-1,MATCH(EOMONTH(EZ$15,1), ARGUS!$B$4:$LG$4, 0)-1,1,1)/1000, 0)</f>
        <v>0</v>
      </c>
      <c r="FA67" s="26">
        <f ca="1">IFERROR(OFFSET(ARGUS!$A$3, MATCH($A67, ARGUS!$A$3:$A$176, 0)-1,MATCH(EOMONTH(FA$15,1), ARGUS!$B$4:$LG$4, 0)-1,1,1)/1000, 0)</f>
        <v>0</v>
      </c>
      <c r="FB67" s="26">
        <f ca="1">IFERROR(OFFSET(ARGUS!$A$3, MATCH($A67, ARGUS!$A$3:$A$176, 0)-1,MATCH(EOMONTH(FB$15,1), ARGUS!$B$4:$LG$4, 0)-1,1,1)/1000, 0)</f>
        <v>0</v>
      </c>
      <c r="FC67" s="26">
        <f ca="1">IFERROR(OFFSET(ARGUS!$A$3, MATCH($A67, ARGUS!$A$3:$A$176, 0)-1,MATCH(EOMONTH(FC$15,1), ARGUS!$B$4:$LG$4, 0)-1,1,1)/1000, 0)</f>
        <v>0</v>
      </c>
      <c r="FD67" s="26">
        <f ca="1">IFERROR(OFFSET(ARGUS!$A$3, MATCH($A67, ARGUS!$A$3:$A$176, 0)-1,MATCH(EOMONTH(FD$15,1), ARGUS!$B$4:$LG$4, 0)-1,1,1)/1000, 0)</f>
        <v>0</v>
      </c>
      <c r="FE67" s="26">
        <f ca="1">IFERROR(OFFSET(ARGUS!$A$3, MATCH($A67, ARGUS!$A$3:$A$176, 0)-1,MATCH(EOMONTH(FE$15,1), ARGUS!$B$4:$LG$4, 0)-1,1,1)/1000, 0)</f>
        <v>0</v>
      </c>
      <c r="FF67" s="26">
        <f ca="1">IFERROR(OFFSET(ARGUS!$A$3, MATCH($A67, ARGUS!$A$3:$A$176, 0)-1,MATCH(EOMONTH(FF$15,1), ARGUS!$B$4:$LG$4, 0)-1,1,1)/1000, 0)</f>
        <v>0</v>
      </c>
      <c r="FG67" s="26">
        <f ca="1">IFERROR(OFFSET(ARGUS!$A$3, MATCH($A67, ARGUS!$A$3:$A$176, 0)-1,MATCH(EOMONTH(FG$15,1), ARGUS!$B$4:$LG$4, 0)-1,1,1)/1000, 0)</f>
        <v>0</v>
      </c>
      <c r="FH67" s="26">
        <f ca="1">IFERROR(OFFSET(ARGUS!$A$3, MATCH($A67, ARGUS!$A$3:$A$176, 0)-1,MATCH(EOMONTH(FH$15,1), ARGUS!$B$4:$LG$4, 0)-1,1,1)/1000, 0)</f>
        <v>0</v>
      </c>
      <c r="FI67" s="26">
        <f ca="1">IFERROR(OFFSET(ARGUS!$A$3, MATCH($A67, ARGUS!$A$3:$A$176, 0)-1,MATCH(EOMONTH(FI$15,1), ARGUS!$B$4:$LG$4, 0)-1,1,1)/1000, 0)</f>
        <v>0</v>
      </c>
      <c r="FJ67" s="26">
        <f ca="1">IFERROR(OFFSET(ARGUS!$A$3, MATCH($A67, ARGUS!$A$3:$A$176, 0)-1,MATCH(EOMONTH(FJ$15,1), ARGUS!$B$4:$LG$4, 0)-1,1,1)/1000, 0)</f>
        <v>0</v>
      </c>
      <c r="FK67" s="26">
        <f ca="1">IFERROR(OFFSET(ARGUS!$A$3, MATCH($A67, ARGUS!$A$3:$A$176, 0)-1,MATCH(EOMONTH(FK$15,1), ARGUS!$B$4:$LG$4, 0)-1,1,1)/1000, 0)</f>
        <v>0</v>
      </c>
      <c r="FL67" s="26">
        <f ca="1">IFERROR(OFFSET(ARGUS!$A$3, MATCH($A67, ARGUS!$A$3:$A$176, 0)-1,MATCH(EOMONTH(FL$15,1), ARGUS!$B$4:$LG$4, 0)-1,1,1)/1000, 0)</f>
        <v>0</v>
      </c>
      <c r="FM67" s="26">
        <f ca="1">IFERROR(OFFSET(ARGUS!$A$3, MATCH($A67, ARGUS!$A$3:$A$176, 0)-1,MATCH(EOMONTH(FM$15,1), ARGUS!$B$4:$LG$4, 0)-1,1,1)/1000, 0)</f>
        <v>0</v>
      </c>
      <c r="FN67" s="26">
        <f ca="1">IFERROR(OFFSET(ARGUS!$A$3, MATCH($A67, ARGUS!$A$3:$A$176, 0)-1,MATCH(EOMONTH(FN$15,1), ARGUS!$B$4:$LG$4, 0)-1,1,1)/1000, 0)</f>
        <v>0</v>
      </c>
      <c r="FO67" s="26">
        <f ca="1">IFERROR(OFFSET(ARGUS!$A$3, MATCH($A67, ARGUS!$A$3:$A$176, 0)-1,MATCH(EOMONTH(FO$15,1), ARGUS!$B$4:$LG$4, 0)-1,1,1)/1000, 0)</f>
        <v>0</v>
      </c>
      <c r="FP67" s="26">
        <f ca="1">IFERROR(OFFSET(ARGUS!$A$3, MATCH($A67, ARGUS!$A$3:$A$176, 0)-1,MATCH(EOMONTH(FP$15,1), ARGUS!$B$4:$LG$4, 0)-1,1,1)/1000, 0)</f>
        <v>0</v>
      </c>
      <c r="FQ67" s="26">
        <f ca="1">IFERROR(OFFSET(ARGUS!$A$3, MATCH($A67, ARGUS!$A$3:$A$176, 0)-1,MATCH(EOMONTH(FQ$15,1), ARGUS!$B$4:$LG$4, 0)-1,1,1)/1000, 0)</f>
        <v>0</v>
      </c>
      <c r="FR67" s="26">
        <f ca="1">IFERROR(OFFSET(ARGUS!$A$3, MATCH($A67, ARGUS!$A$3:$A$176, 0)-1,MATCH(EOMONTH(FR$15,1), ARGUS!$B$4:$LG$4, 0)-1,1,1)/1000, 0)</f>
        <v>0</v>
      </c>
      <c r="FS67" s="26">
        <f ca="1">IFERROR(OFFSET(ARGUS!$A$3, MATCH($A67, ARGUS!$A$3:$A$176, 0)-1,MATCH(EOMONTH(FS$15,1), ARGUS!$B$4:$LG$4, 0)-1,1,1)/1000, 0)</f>
        <v>0</v>
      </c>
      <c r="FT67" s="26">
        <f ca="1">IFERROR(OFFSET(ARGUS!$A$3, MATCH($A67, ARGUS!$A$3:$A$176, 0)-1,MATCH(EOMONTH(FT$15,1), ARGUS!$B$4:$LG$4, 0)-1,1,1)/1000, 0)</f>
        <v>0</v>
      </c>
      <c r="FU67" s="26">
        <f ca="1">IFERROR(OFFSET(ARGUS!$A$3, MATCH($A67, ARGUS!$A$3:$A$176, 0)-1,MATCH(EOMONTH(FU$15,1), ARGUS!$B$4:$LG$4, 0)-1,1,1)/1000, 0)</f>
        <v>0</v>
      </c>
      <c r="FV67" s="26">
        <f ca="1">IFERROR(OFFSET(ARGUS!$A$3, MATCH($A67, ARGUS!$A$3:$A$176, 0)-1,MATCH(EOMONTH(FV$15,1), ARGUS!$B$4:$LG$4, 0)-1,1,1)/1000, 0)</f>
        <v>0</v>
      </c>
      <c r="FW67" s="26">
        <f ca="1">IFERROR(OFFSET(ARGUS!$A$3, MATCH($A67, ARGUS!$A$3:$A$176, 0)-1,MATCH(EOMONTH(FW$15,1), ARGUS!$B$4:$LG$4, 0)-1,1,1)/1000, 0)</f>
        <v>0</v>
      </c>
      <c r="FX67" s="26">
        <f ca="1">IFERROR(OFFSET(ARGUS!$A$3, MATCH($A67, ARGUS!$A$3:$A$176, 0)-1,MATCH(EOMONTH(FX$15,1), ARGUS!$B$4:$LG$4, 0)-1,1,1)/1000, 0)</f>
        <v>0</v>
      </c>
      <c r="FY67" s="26">
        <f ca="1">IFERROR(OFFSET(ARGUS!$A$3, MATCH($A67, ARGUS!$A$3:$A$176, 0)-1,MATCH(EOMONTH(FY$15,1), ARGUS!$B$4:$LG$4, 0)-1,1,1)/1000, 0)</f>
        <v>0</v>
      </c>
      <c r="FZ67" s="26">
        <f ca="1">IFERROR(OFFSET(ARGUS!$A$3, MATCH($A67, ARGUS!$A$3:$A$176, 0)-1,MATCH(EOMONTH(FZ$15,1), ARGUS!$B$4:$LG$4, 0)-1,1,1)/1000, 0)</f>
        <v>0</v>
      </c>
      <c r="GA67" s="26">
        <f ca="1">IFERROR(OFFSET(ARGUS!$A$3, MATCH($A67, ARGUS!$A$3:$A$176, 0)-1,MATCH(EOMONTH(GA$15,1), ARGUS!$B$4:$LG$4, 0)-1,1,1)/1000, 0)</f>
        <v>0</v>
      </c>
      <c r="GB67" s="26">
        <f ca="1">IFERROR(OFFSET(ARGUS!$A$3, MATCH($A67, ARGUS!$A$3:$A$176, 0)-1,MATCH(EOMONTH(GB$15,1), ARGUS!$B$4:$LG$4, 0)-1,1,1)/1000, 0)</f>
        <v>0</v>
      </c>
      <c r="GC67" s="26">
        <f ca="1">IFERROR(OFFSET(ARGUS!$A$3, MATCH($A67, ARGUS!$A$3:$A$176, 0)-1,MATCH(EOMONTH(GC$15,1), ARGUS!$B$4:$LG$4, 0)-1,1,1)/1000, 0)</f>
        <v>0</v>
      </c>
      <c r="GD67" s="26">
        <f ca="1">IFERROR(OFFSET(ARGUS!$A$3, MATCH($A67, ARGUS!$A$3:$A$176, 0)-1,MATCH(EOMONTH(GD$15,1), ARGUS!$B$4:$LG$4, 0)-1,1,1)/1000, 0)</f>
        <v>0</v>
      </c>
      <c r="GE67" s="26">
        <f ca="1">IFERROR(OFFSET(ARGUS!$A$3, MATCH($A67, ARGUS!$A$3:$A$176, 0)-1,MATCH(EOMONTH(GE$15,1), ARGUS!$B$4:$LG$4, 0)-1,1,1)/1000, 0)</f>
        <v>0</v>
      </c>
      <c r="GF67" s="26">
        <f ca="1">IFERROR(OFFSET(ARGUS!$A$3, MATCH($A67, ARGUS!$A$3:$A$176, 0)-1,MATCH(EOMONTH(GF$15,1), ARGUS!$B$4:$LG$4, 0)-1,1,1)/1000, 0)</f>
        <v>0</v>
      </c>
      <c r="GG67" s="26">
        <f ca="1">IFERROR(OFFSET(ARGUS!$A$3, MATCH($A67, ARGUS!$A$3:$A$176, 0)-1,MATCH(EOMONTH(GG$15,1), ARGUS!$B$4:$LG$4, 0)-1,1,1)/1000, 0)</f>
        <v>0</v>
      </c>
      <c r="GH67" s="26">
        <f ca="1">IFERROR(OFFSET(ARGUS!$A$3, MATCH($A67, ARGUS!$A$3:$A$176, 0)-1,MATCH(EOMONTH(GH$15,1), ARGUS!$B$4:$LG$4, 0)-1,1,1)/1000, 0)</f>
        <v>0</v>
      </c>
      <c r="GI67" s="26">
        <f ca="1">IFERROR(OFFSET(ARGUS!$A$3, MATCH($A67, ARGUS!$A$3:$A$176, 0)-1,MATCH(EOMONTH(GI$15,1), ARGUS!$B$4:$LG$4, 0)-1,1,1)/1000, 0)</f>
        <v>0</v>
      </c>
      <c r="GJ67" s="26">
        <f ca="1">IFERROR(OFFSET(ARGUS!$A$3, MATCH($A67, ARGUS!$A$3:$A$176, 0)-1,MATCH(EOMONTH(GJ$15,1), ARGUS!$B$4:$LG$4, 0)-1,1,1)/1000, 0)</f>
        <v>0</v>
      </c>
      <c r="GK67" s="26">
        <f ca="1">IFERROR(OFFSET(ARGUS!$A$3, MATCH($A67, ARGUS!$A$3:$A$176, 0)-1,MATCH(EOMONTH(GK$15,1), ARGUS!$B$4:$LG$4, 0)-1,1,1)/1000, 0)</f>
        <v>0</v>
      </c>
      <c r="GL67" s="26">
        <f ca="1">IFERROR(OFFSET(ARGUS!$A$3, MATCH($A67, ARGUS!$A$3:$A$176, 0)-1,MATCH(EOMONTH(GL$15,1), ARGUS!$B$4:$LG$4, 0)-1,1,1)/1000, 0)</f>
        <v>0</v>
      </c>
      <c r="GM67" s="26">
        <f ca="1">IFERROR(OFFSET(ARGUS!$A$3, MATCH($A67, ARGUS!$A$3:$A$176, 0)-1,MATCH(EOMONTH(GM$15,1), ARGUS!$B$4:$LG$4, 0)-1,1,1)/1000, 0)</f>
        <v>0</v>
      </c>
      <c r="GN67" s="26">
        <f ca="1">IFERROR(OFFSET(ARGUS!$A$3, MATCH($A67, ARGUS!$A$3:$A$176, 0)-1,MATCH(EOMONTH(GN$15,1), ARGUS!$B$4:$LG$4, 0)-1,1,1)/1000, 0)</f>
        <v>0</v>
      </c>
      <c r="GO67" s="26">
        <f ca="1">IFERROR(OFFSET(ARGUS!$A$3, MATCH($A67, ARGUS!$A$3:$A$176, 0)-1,MATCH(EOMONTH(GO$15,1), ARGUS!$B$4:$LG$4, 0)-1,1,1)/1000, 0)</f>
        <v>0</v>
      </c>
      <c r="GP67" s="26">
        <f ca="1">IFERROR(OFFSET(ARGUS!$A$3, MATCH($A67, ARGUS!$A$3:$A$176, 0)-1,MATCH(EOMONTH(GP$15,1), ARGUS!$B$4:$LG$4, 0)-1,1,1)/1000, 0)</f>
        <v>0</v>
      </c>
      <c r="GQ67" s="26">
        <f ca="1">IFERROR(OFFSET(ARGUS!$A$3, MATCH($A67, ARGUS!$A$3:$A$176, 0)-1,MATCH(EOMONTH(GQ$15,1), ARGUS!$B$4:$LG$4, 0)-1,1,1)/1000, 0)</f>
        <v>0</v>
      </c>
      <c r="GR67" s="26">
        <f ca="1">IFERROR(OFFSET(ARGUS!$A$3, MATCH($A67, ARGUS!$A$3:$A$176, 0)-1,MATCH(EOMONTH(GR$15,1), ARGUS!$B$4:$LG$4, 0)-1,1,1)/1000, 0)</f>
        <v>0</v>
      </c>
      <c r="GS67" s="26">
        <f ca="1">IFERROR(OFFSET(ARGUS!$A$3, MATCH($A67, ARGUS!$A$3:$A$176, 0)-1,MATCH(EOMONTH(GS$15,1), ARGUS!$B$4:$LG$4, 0)-1,1,1)/1000, 0)</f>
        <v>0</v>
      </c>
      <c r="GT67" s="26">
        <f ca="1">IFERROR(OFFSET(ARGUS!$A$3, MATCH($A67, ARGUS!$A$3:$A$176, 0)-1,MATCH(EOMONTH(GT$15,1), ARGUS!$B$4:$LG$4, 0)-1,1,1)/1000, 0)</f>
        <v>0</v>
      </c>
      <c r="GU67" s="26"/>
      <c r="GV67" s="26"/>
      <c r="GW67" s="26"/>
      <c r="GX67" s="26"/>
      <c r="GY67" s="26"/>
      <c r="GZ67" s="26"/>
      <c r="HA67" s="26"/>
      <c r="HB67" s="26"/>
      <c r="HC67" s="26"/>
      <c r="HD67" s="26"/>
      <c r="HE67" s="26"/>
      <c r="HF67" s="1" t="s">
        <v>212</v>
      </c>
      <c r="HG67" s="139" t="e">
        <f t="shared" si="519"/>
        <v>#REF!</v>
      </c>
      <c r="HH67" s="1" t="str">
        <f t="shared" si="664"/>
        <v>Contract Services</v>
      </c>
      <c r="HI67" s="26"/>
      <c r="HJ67" s="26"/>
      <c r="HK67" s="26"/>
      <c r="HL67" s="132">
        <f t="shared" ca="1" si="665"/>
        <v>0</v>
      </c>
      <c r="HM67" s="26"/>
      <c r="HN67" s="133">
        <f t="shared" si="666"/>
        <v>0</v>
      </c>
      <c r="HO67" s="26">
        <f t="shared" si="666"/>
        <v>0</v>
      </c>
      <c r="HP67" s="26">
        <f t="shared" si="666"/>
        <v>0</v>
      </c>
      <c r="HQ67" s="26">
        <f t="shared" si="666"/>
        <v>0</v>
      </c>
      <c r="HR67" s="26">
        <f t="shared" si="666"/>
        <v>0</v>
      </c>
      <c r="HS67" s="26">
        <f t="shared" si="666"/>
        <v>0</v>
      </c>
      <c r="HT67" s="26">
        <f t="shared" si="666"/>
        <v>0</v>
      </c>
      <c r="HU67" s="26">
        <f t="shared" ca="1" si="666"/>
        <v>0</v>
      </c>
      <c r="HV67" s="26">
        <f t="shared" ca="1" si="666"/>
        <v>0</v>
      </c>
      <c r="HW67"/>
    </row>
    <row r="68" spans="1:231" ht="15">
      <c r="A68" s="441">
        <v>9</v>
      </c>
      <c r="B68" s="1" t="s">
        <v>751</v>
      </c>
      <c r="D68" s="585"/>
      <c r="E68" s="156"/>
      <c r="I68" s="132">
        <f ca="1">SUMIF($K$13:$GT$13,"&lt;="&amp;Assumptions!$L$17,'Monthly Cash Flow'!K68:GT68)</f>
        <v>3043.1621899999996</v>
      </c>
      <c r="J68" s="26"/>
      <c r="K68" s="155"/>
      <c r="L68" s="954">
        <f>Historicals!D16</f>
        <v>36.95091</v>
      </c>
      <c r="M68" s="954">
        <f>Historicals!E16</f>
        <v>49.026879999999998</v>
      </c>
      <c r="N68" s="954">
        <f>Historicals!F16</f>
        <v>42.769750000000002</v>
      </c>
      <c r="O68" s="954">
        <f>Historicals!G16</f>
        <v>33.196019999999997</v>
      </c>
      <c r="P68" s="954">
        <f>Historicals!H16</f>
        <v>25.883459999999999</v>
      </c>
      <c r="Q68" s="954">
        <f>Historicals!I16</f>
        <v>35.142879999999998</v>
      </c>
      <c r="R68" s="954">
        <f>Historicals!J16</f>
        <v>33.657739999999997</v>
      </c>
      <c r="S68" s="954">
        <f>Historicals!K16</f>
        <v>32.826730000000005</v>
      </c>
      <c r="T68" s="954">
        <f>Historicals!L16</f>
        <v>36.192730000000005</v>
      </c>
      <c r="U68" s="954">
        <f>Historicals!M16</f>
        <v>38.046440000000004</v>
      </c>
      <c r="V68" s="954">
        <f>Historicals!N16</f>
        <v>36.529540000000004</v>
      </c>
      <c r="W68" s="954">
        <f>Historicals!O16</f>
        <v>45.448730000000005</v>
      </c>
      <c r="X68" s="954">
        <f>Historicals!P16</f>
        <v>51.110289999999999</v>
      </c>
      <c r="Y68" s="954">
        <f>Historicals!Q16</f>
        <v>48.617069999999998</v>
      </c>
      <c r="Z68" s="954">
        <f>Historicals!R16</f>
        <v>45.120629999999998</v>
      </c>
      <c r="AA68" s="954">
        <f>Historicals!S16</f>
        <v>25.822330000000001</v>
      </c>
      <c r="AB68" s="954">
        <f>Historicals!T16</f>
        <v>36.705100000000002</v>
      </c>
      <c r="AC68" s="954">
        <f>Historicals!U16</f>
        <v>54.270470000000003</v>
      </c>
      <c r="AD68" s="954">
        <f>Historicals!V16</f>
        <v>26.721229999999998</v>
      </c>
      <c r="AE68" s="954">
        <f>Historicals!W16</f>
        <v>33.701910000000005</v>
      </c>
      <c r="AF68" s="954">
        <f>Historicals!X16</f>
        <v>37.552320000000002</v>
      </c>
      <c r="AG68" s="954">
        <f>Historicals!Y16</f>
        <v>36.710500000000003</v>
      </c>
      <c r="AH68" s="954">
        <f>Historicals!Z16</f>
        <v>34.08663</v>
      </c>
      <c r="AI68" s="954">
        <f>Historicals!AA16</f>
        <v>32.582970000000003</v>
      </c>
      <c r="AJ68" s="954">
        <f>Historicals!AB16</f>
        <v>44.890089999999994</v>
      </c>
      <c r="AK68" s="954">
        <f>Historicals!AC16</f>
        <v>47.725720000000003</v>
      </c>
      <c r="AL68" s="954">
        <f>Historicals!AD16</f>
        <v>44.844459999999998</v>
      </c>
      <c r="AM68" s="954">
        <f>Historicals!AE16</f>
        <v>40.687860000000001</v>
      </c>
      <c r="AN68" s="954">
        <f>Historicals!AF16</f>
        <v>34.675249999999998</v>
      </c>
      <c r="AO68" s="954">
        <f>Historicals!AG16</f>
        <v>35.855179999999997</v>
      </c>
      <c r="AP68" s="954">
        <f>Historicals!AH16</f>
        <v>33.05782</v>
      </c>
      <c r="AQ68" s="954">
        <f>Historicals!AI16</f>
        <v>34.354930000000003</v>
      </c>
      <c r="AR68" s="954">
        <f>Historicals!AJ16</f>
        <v>35.654300000000006</v>
      </c>
      <c r="AS68" s="954">
        <f>Historicals!AK16</f>
        <v>37.731970000000004</v>
      </c>
      <c r="AT68" s="954">
        <f>Historicals!AL16</f>
        <v>39.209379999999996</v>
      </c>
      <c r="AU68" s="954">
        <f>Historicals!AM16</f>
        <v>36.295999999999999</v>
      </c>
      <c r="AV68" s="954">
        <f>Historicals!AN16</f>
        <v>46.131180000000001</v>
      </c>
      <c r="AW68" s="954">
        <f>Historicals!AO16</f>
        <v>50.526060000000001</v>
      </c>
      <c r="AX68" s="954">
        <f>Historicals!AP16</f>
        <v>51.21622</v>
      </c>
      <c r="AY68" s="954">
        <f>Historicals!AQ16</f>
        <v>43.777010000000004</v>
      </c>
      <c r="AZ68" s="954">
        <f>Historicals!AR16</f>
        <v>47.222050000000003</v>
      </c>
      <c r="BA68" s="954">
        <f>Historicals!AS16</f>
        <v>37.181280000000001</v>
      </c>
      <c r="BB68" s="954">
        <f>Historicals!AT16</f>
        <v>35.184139999999999</v>
      </c>
      <c r="BC68" s="954">
        <f>Historicals!AU16</f>
        <v>40.950589999999998</v>
      </c>
      <c r="BD68" s="954">
        <f>Historicals!AV16</f>
        <v>37.374949999999998</v>
      </c>
      <c r="BE68" s="954">
        <f>Historicals!AW16</f>
        <v>14.155190000000001</v>
      </c>
      <c r="BF68" s="954">
        <f>Historicals!AX16</f>
        <v>20.68571</v>
      </c>
      <c r="BG68" s="954">
        <f>Historicals!AY16</f>
        <v>28.696360000000002</v>
      </c>
      <c r="BH68" s="954">
        <f>Historicals!AZ16</f>
        <v>47.811660000000003</v>
      </c>
      <c r="BI68" s="954">
        <f>Historicals!BA16</f>
        <v>37.559559999999998</v>
      </c>
      <c r="BJ68" s="954">
        <f>Historicals!BB16</f>
        <v>46.991769999999995</v>
      </c>
      <c r="BK68" s="954">
        <f>Historicals!BC16</f>
        <v>39.614429999999999</v>
      </c>
      <c r="BL68" s="954">
        <f>Historicals!BD16</f>
        <v>37.236370000000001</v>
      </c>
      <c r="BM68" s="954">
        <f>Historicals!BE16</f>
        <v>31.281310000000001</v>
      </c>
      <c r="BN68" s="954">
        <f>Historicals!BF16</f>
        <v>12.76914</v>
      </c>
      <c r="BO68" s="954">
        <f>Historicals!BG16</f>
        <v>26.238790000000002</v>
      </c>
      <c r="BP68" s="954">
        <f>Historicals!BH16</f>
        <v>40.396370000000005</v>
      </c>
      <c r="BQ68" s="954">
        <f>Historicals!BI16</f>
        <v>16.313269999999999</v>
      </c>
      <c r="BR68" s="954">
        <f>Historicals!BJ16</f>
        <v>83.090980000000002</v>
      </c>
      <c r="BS68" s="954">
        <f>Historicals!BK16</f>
        <v>-8.0191800000000004</v>
      </c>
      <c r="BT68" s="954">
        <f>Historicals!BL16</f>
        <v>75.673949999999991</v>
      </c>
      <c r="BU68" s="954">
        <f>Historicals!BM16</f>
        <v>72.184229999999999</v>
      </c>
      <c r="BV68" s="954">
        <f>Historicals!BN16</f>
        <v>53.18394</v>
      </c>
      <c r="BW68" s="954">
        <f>Historicals!BO16</f>
        <v>25.909099999999999</v>
      </c>
      <c r="BX68" s="954">
        <f>Historicals!BP16</f>
        <v>52.210730000000005</v>
      </c>
      <c r="BY68" s="954">
        <f>Historicals!BQ16</f>
        <v>47.304919999999996</v>
      </c>
      <c r="BZ68" s="954">
        <f>Historicals!BR16</f>
        <v>30.08344</v>
      </c>
      <c r="CA68" s="954">
        <f>Historicals!BS16</f>
        <v>64.640010000000004</v>
      </c>
      <c r="CB68" s="954">
        <f>Historicals!BT16</f>
        <v>49.043839999999996</v>
      </c>
      <c r="CC68" s="954">
        <f>Historicals!BU16</f>
        <v>50.480849999999997</v>
      </c>
      <c r="CD68" s="954">
        <f>Historicals!BV16</f>
        <v>50.490650000000002</v>
      </c>
      <c r="CE68" s="954">
        <f>Historicals!BW16</f>
        <v>49.82103</v>
      </c>
      <c r="CF68" s="954">
        <f>Historicals!BX16</f>
        <v>62.496310000000001</v>
      </c>
      <c r="CG68" s="954">
        <f>Historicals!BY16</f>
        <v>59.422930000000001</v>
      </c>
      <c r="CH68" s="954">
        <f>Historicals!BZ16</f>
        <v>62.17483</v>
      </c>
      <c r="CI68" s="26">
        <f ca="1">IFERROR(OFFSET(ARGUS!$A$3, MATCH($A68, ARGUS!$A$3:$A$176, 0)-1,MATCH(EOMONTH(CI$15,1), ARGUS!$B$4:$LG$4, 0)-1,1,1)/1000, 0)</f>
        <v>0</v>
      </c>
      <c r="CJ68" s="26">
        <f ca="1">IFERROR(OFFSET(ARGUS!$A$3, MATCH($A68, ARGUS!$A$3:$A$176, 0)-1,MATCH(EOMONTH(CJ$15,1), ARGUS!$B$4:$LG$4, 0)-1,1,1)/1000, 0)</f>
        <v>0</v>
      </c>
      <c r="CK68" s="26">
        <f ca="1">IFERROR(OFFSET(ARGUS!$A$3, MATCH($A68, ARGUS!$A$3:$A$176, 0)-1,MATCH(EOMONTH(CK$15,1), ARGUS!$B$4:$LG$4, 0)-1,1,1)/1000, 0)</f>
        <v>0</v>
      </c>
      <c r="CL68" s="26">
        <f ca="1">IFERROR(OFFSET(ARGUS!$A$3, MATCH($A68, ARGUS!$A$3:$A$176, 0)-1,MATCH(EOMONTH(CL$15,1), ARGUS!$B$4:$LG$4, 0)-1,1,1)/1000, 0)</f>
        <v>0</v>
      </c>
      <c r="CM68" s="26">
        <f ca="1">IFERROR(OFFSET(ARGUS!$A$3, MATCH($A68, ARGUS!$A$3:$A$176, 0)-1,MATCH(EOMONTH(CM$15,1), ARGUS!$B$4:$LG$4, 0)-1,1,1)/1000, 0)</f>
        <v>0</v>
      </c>
      <c r="CN68" s="26">
        <f ca="1">IFERROR(OFFSET(ARGUS!$A$3, MATCH($A68, ARGUS!$A$3:$A$176, 0)-1,MATCH(EOMONTH(CN$15,1), ARGUS!$B$4:$LG$4, 0)-1,1,1)/1000, 0)</f>
        <v>0</v>
      </c>
      <c r="CO68" s="26">
        <f ca="1">IFERROR(OFFSET(ARGUS!$A$3, MATCH($A68, ARGUS!$A$3:$A$176, 0)-1,MATCH(EOMONTH(CO$15,1), ARGUS!$B$4:$LG$4, 0)-1,1,1)/1000, 0)</f>
        <v>0</v>
      </c>
      <c r="CP68" s="26">
        <f ca="1">IFERROR(OFFSET(ARGUS!$A$3, MATCH($A68, ARGUS!$A$3:$A$176, 0)-1,MATCH(EOMONTH(CP$15,1), ARGUS!$B$4:$LG$4, 0)-1,1,1)/1000, 0)</f>
        <v>0</v>
      </c>
      <c r="CQ68" s="26">
        <f ca="1">IFERROR(OFFSET(ARGUS!$A$3, MATCH($A68, ARGUS!$A$3:$A$176, 0)-1,MATCH(EOMONTH(CQ$15,1), ARGUS!$B$4:$LG$4, 0)-1,1,1)/1000, 0)</f>
        <v>0</v>
      </c>
      <c r="CR68" s="26">
        <f ca="1">IFERROR(OFFSET(ARGUS!$A$3, MATCH($A68, ARGUS!$A$3:$A$176, 0)-1,MATCH(EOMONTH(CR$15,1), ARGUS!$B$4:$LG$4, 0)-1,1,1)/1000, 0)</f>
        <v>0</v>
      </c>
      <c r="CS68" s="26">
        <f ca="1">IFERROR(OFFSET(ARGUS!$A$3, MATCH($A68, ARGUS!$A$3:$A$176, 0)-1,MATCH(EOMONTH(CS$15,1), ARGUS!$B$4:$LG$4, 0)-1,1,1)/1000, 0)</f>
        <v>0</v>
      </c>
      <c r="CT68" s="26">
        <f ca="1">IFERROR(OFFSET(ARGUS!$A$3, MATCH($A68, ARGUS!$A$3:$A$176, 0)-1,MATCH(EOMONTH(CT$15,1), ARGUS!$B$4:$LG$4, 0)-1,1,1)/1000, 0)</f>
        <v>0</v>
      </c>
      <c r="CU68" s="26">
        <f ca="1">IFERROR(OFFSET(ARGUS!$A$3, MATCH($A68, ARGUS!$A$3:$A$176, 0)-1,MATCH(EOMONTH(CU$15,1), ARGUS!$B$4:$LG$4, 0)-1,1,1)/1000, 0)</f>
        <v>0</v>
      </c>
      <c r="CV68" s="26">
        <f ca="1">IFERROR(OFFSET(ARGUS!$A$3, MATCH($A68, ARGUS!$A$3:$A$176, 0)-1,MATCH(EOMONTH(CV$15,1), ARGUS!$B$4:$LG$4, 0)-1,1,1)/1000, 0)</f>
        <v>0</v>
      </c>
      <c r="CW68" s="26">
        <f ca="1">IFERROR(OFFSET(ARGUS!$A$3, MATCH($A68, ARGUS!$A$3:$A$176, 0)-1,MATCH(EOMONTH(CW$15,1), ARGUS!$B$4:$LG$4, 0)-1,1,1)/1000, 0)</f>
        <v>0</v>
      </c>
      <c r="CX68" s="26">
        <f ca="1">IFERROR(OFFSET(ARGUS!$A$3, MATCH($A68, ARGUS!$A$3:$A$176, 0)-1,MATCH(EOMONTH(CX$15,1), ARGUS!$B$4:$LG$4, 0)-1,1,1)/1000, 0)</f>
        <v>0</v>
      </c>
      <c r="CY68" s="26">
        <f ca="1">IFERROR(OFFSET(ARGUS!$A$3, MATCH($A68, ARGUS!$A$3:$A$176, 0)-1,MATCH(EOMONTH(CY$15,1), ARGUS!$B$4:$LG$4, 0)-1,1,1)/1000, 0)</f>
        <v>0</v>
      </c>
      <c r="CZ68" s="26">
        <f ca="1">IFERROR(OFFSET(ARGUS!$A$3, MATCH($A68, ARGUS!$A$3:$A$176, 0)-1,MATCH(EOMONTH(CZ$15,1), ARGUS!$B$4:$LG$4, 0)-1,1,1)/1000, 0)</f>
        <v>0</v>
      </c>
      <c r="DA68" s="26">
        <f ca="1">IFERROR(OFFSET(ARGUS!$A$3, MATCH($A68, ARGUS!$A$3:$A$176, 0)-1,MATCH(EOMONTH(DA$15,1), ARGUS!$B$4:$LG$4, 0)-1,1,1)/1000, 0)</f>
        <v>0</v>
      </c>
      <c r="DB68" s="26">
        <f ca="1">IFERROR(OFFSET(ARGUS!$A$3, MATCH($A68, ARGUS!$A$3:$A$176, 0)-1,MATCH(EOMONTH(DB$15,1), ARGUS!$B$4:$LG$4, 0)-1,1,1)/1000, 0)</f>
        <v>0</v>
      </c>
      <c r="DC68" s="26">
        <f ca="1">IFERROR(OFFSET(ARGUS!$A$3, MATCH($A68, ARGUS!$A$3:$A$176, 0)-1,MATCH(EOMONTH(DC$15,1), ARGUS!$B$4:$LG$4, 0)-1,1,1)/1000, 0)</f>
        <v>0</v>
      </c>
      <c r="DD68" s="26">
        <f ca="1">IFERROR(OFFSET(ARGUS!$A$3, MATCH($A68, ARGUS!$A$3:$A$176, 0)-1,MATCH(EOMONTH(DD$15,1), ARGUS!$B$4:$LG$4, 0)-1,1,1)/1000, 0)</f>
        <v>0</v>
      </c>
      <c r="DE68" s="26">
        <f ca="1">IFERROR(OFFSET(ARGUS!$A$3, MATCH($A68, ARGUS!$A$3:$A$176, 0)-1,MATCH(EOMONTH(DE$15,1), ARGUS!$B$4:$LG$4, 0)-1,1,1)/1000, 0)</f>
        <v>0</v>
      </c>
      <c r="DF68" s="26">
        <f ca="1">IFERROR(OFFSET(ARGUS!$A$3, MATCH($A68, ARGUS!$A$3:$A$176, 0)-1,MATCH(EOMONTH(DF$15,1), ARGUS!$B$4:$LG$4, 0)-1,1,1)/1000, 0)</f>
        <v>0</v>
      </c>
      <c r="DG68" s="26">
        <f ca="1">IFERROR(OFFSET(ARGUS!$A$3, MATCH($A68, ARGUS!$A$3:$A$176, 0)-1,MATCH(EOMONTH(DG$15,1), ARGUS!$B$4:$LG$4, 0)-1,1,1)/1000, 0)</f>
        <v>0</v>
      </c>
      <c r="DH68" s="26">
        <f ca="1">IFERROR(OFFSET(ARGUS!$A$3, MATCH($A68, ARGUS!$A$3:$A$176, 0)-1,MATCH(EOMONTH(DH$15,1), ARGUS!$B$4:$LG$4, 0)-1,1,1)/1000, 0)</f>
        <v>0</v>
      </c>
      <c r="DI68" s="26">
        <f ca="1">IFERROR(OFFSET(ARGUS!$A$3, MATCH($A68, ARGUS!$A$3:$A$176, 0)-1,MATCH(EOMONTH(DI$15,1), ARGUS!$B$4:$LG$4, 0)-1,1,1)/1000, 0)</f>
        <v>0</v>
      </c>
      <c r="DJ68" s="26">
        <f ca="1">IFERROR(OFFSET(ARGUS!$A$3, MATCH($A68, ARGUS!$A$3:$A$176, 0)-1,MATCH(EOMONTH(DJ$15,1), ARGUS!$B$4:$LG$4, 0)-1,1,1)/1000, 0)</f>
        <v>0</v>
      </c>
      <c r="DK68" s="26">
        <f ca="1">IFERROR(OFFSET(ARGUS!$A$3, MATCH($A68, ARGUS!$A$3:$A$176, 0)-1,MATCH(EOMONTH(DK$15,1), ARGUS!$B$4:$LG$4, 0)-1,1,1)/1000, 0)</f>
        <v>0</v>
      </c>
      <c r="DL68" s="26">
        <f ca="1">IFERROR(OFFSET(ARGUS!$A$3, MATCH($A68, ARGUS!$A$3:$A$176, 0)-1,MATCH(EOMONTH(DL$15,1), ARGUS!$B$4:$LG$4, 0)-1,1,1)/1000, 0)</f>
        <v>0</v>
      </c>
      <c r="DM68" s="26">
        <f ca="1">IFERROR(OFFSET(ARGUS!$A$3, MATCH($A68, ARGUS!$A$3:$A$176, 0)-1,MATCH(EOMONTH(DM$15,1), ARGUS!$B$4:$LG$4, 0)-1,1,1)/1000, 0)</f>
        <v>0</v>
      </c>
      <c r="DN68" s="26">
        <f ca="1">IFERROR(OFFSET(ARGUS!$A$3, MATCH($A68, ARGUS!$A$3:$A$176, 0)-1,MATCH(EOMONTH(DN$15,1), ARGUS!$B$4:$LG$4, 0)-1,1,1)/1000, 0)</f>
        <v>0</v>
      </c>
      <c r="DO68" s="26">
        <f ca="1">IFERROR(OFFSET(ARGUS!$A$3, MATCH($A68, ARGUS!$A$3:$A$176, 0)-1,MATCH(EOMONTH(DO$15,1), ARGUS!$B$4:$LG$4, 0)-1,1,1)/1000, 0)</f>
        <v>0</v>
      </c>
      <c r="DP68" s="26">
        <f ca="1">IFERROR(OFFSET(ARGUS!$A$3, MATCH($A68, ARGUS!$A$3:$A$176, 0)-1,MATCH(EOMONTH(DP$15,1), ARGUS!$B$4:$LG$4, 0)-1,1,1)/1000, 0)</f>
        <v>0</v>
      </c>
      <c r="DQ68" s="26">
        <f ca="1">IFERROR(OFFSET(ARGUS!$A$3, MATCH($A68, ARGUS!$A$3:$A$176, 0)-1,MATCH(EOMONTH(DQ$15,1), ARGUS!$B$4:$LG$4, 0)-1,1,1)/1000, 0)</f>
        <v>0</v>
      </c>
      <c r="DR68" s="26">
        <f ca="1">IFERROR(OFFSET(ARGUS!$A$3, MATCH($A68, ARGUS!$A$3:$A$176, 0)-1,MATCH(EOMONTH(DR$15,1), ARGUS!$B$4:$LG$4, 0)-1,1,1)/1000, 0)</f>
        <v>0</v>
      </c>
      <c r="DS68" s="26">
        <f ca="1">IFERROR(OFFSET(ARGUS!$A$3, MATCH($A68, ARGUS!$A$3:$A$176, 0)-1,MATCH(EOMONTH(DS$15,1), ARGUS!$B$4:$LG$4, 0)-1,1,1)/1000, 0)</f>
        <v>0</v>
      </c>
      <c r="DT68" s="26">
        <f ca="1">IFERROR(OFFSET(ARGUS!$A$3, MATCH($A68, ARGUS!$A$3:$A$176, 0)-1,MATCH(EOMONTH(DT$15,1), ARGUS!$B$4:$LG$4, 0)-1,1,1)/1000, 0)</f>
        <v>0</v>
      </c>
      <c r="DU68" s="26">
        <f ca="1">IFERROR(OFFSET(ARGUS!$A$3, MATCH($A68, ARGUS!$A$3:$A$176, 0)-1,MATCH(EOMONTH(DU$15,1), ARGUS!$B$4:$LG$4, 0)-1,1,1)/1000, 0)</f>
        <v>0</v>
      </c>
      <c r="DV68" s="26">
        <f ca="1">IFERROR(OFFSET(ARGUS!$A$3, MATCH($A68, ARGUS!$A$3:$A$176, 0)-1,MATCH(EOMONTH(DV$15,1), ARGUS!$B$4:$LG$4, 0)-1,1,1)/1000, 0)</f>
        <v>0</v>
      </c>
      <c r="DW68" s="26">
        <f ca="1">IFERROR(OFFSET(ARGUS!$A$3, MATCH($A68, ARGUS!$A$3:$A$176, 0)-1,MATCH(EOMONTH(DW$15,1), ARGUS!$B$4:$LG$4, 0)-1,1,1)/1000, 0)</f>
        <v>0</v>
      </c>
      <c r="DX68" s="26">
        <f ca="1">IFERROR(OFFSET(ARGUS!$A$3, MATCH($A68, ARGUS!$A$3:$A$176, 0)-1,MATCH(EOMONTH(DX$15,1), ARGUS!$B$4:$LG$4, 0)-1,1,1)/1000, 0)</f>
        <v>0</v>
      </c>
      <c r="DY68" s="26">
        <f ca="1">IFERROR(OFFSET(ARGUS!$A$3, MATCH($A68, ARGUS!$A$3:$A$176, 0)-1,MATCH(EOMONTH(DY$15,1), ARGUS!$B$4:$LG$4, 0)-1,1,1)/1000, 0)</f>
        <v>0</v>
      </c>
      <c r="DZ68" s="26">
        <f ca="1">IFERROR(OFFSET(ARGUS!$A$3, MATCH($A68, ARGUS!$A$3:$A$176, 0)-1,MATCH(EOMONTH(DZ$15,1), ARGUS!$B$4:$LG$4, 0)-1,1,1)/1000, 0)</f>
        <v>0</v>
      </c>
      <c r="EA68" s="26">
        <f ca="1">IFERROR(OFFSET(ARGUS!$A$3, MATCH($A68, ARGUS!$A$3:$A$176, 0)-1,MATCH(EOMONTH(EA$15,1), ARGUS!$B$4:$LG$4, 0)-1,1,1)/1000, 0)</f>
        <v>0</v>
      </c>
      <c r="EB68" s="26">
        <f ca="1">IFERROR(OFFSET(ARGUS!$A$3, MATCH($A68, ARGUS!$A$3:$A$176, 0)-1,MATCH(EOMONTH(EB$15,1), ARGUS!$B$4:$LG$4, 0)-1,1,1)/1000, 0)</f>
        <v>0</v>
      </c>
      <c r="EC68" s="26">
        <f ca="1">IFERROR(OFFSET(ARGUS!$A$3, MATCH($A68, ARGUS!$A$3:$A$176, 0)-1,MATCH(EOMONTH(EC$15,1), ARGUS!$B$4:$LG$4, 0)-1,1,1)/1000, 0)</f>
        <v>0</v>
      </c>
      <c r="ED68" s="26">
        <f ca="1">IFERROR(OFFSET(ARGUS!$A$3, MATCH($A68, ARGUS!$A$3:$A$176, 0)-1,MATCH(EOMONTH(ED$15,1), ARGUS!$B$4:$LG$4, 0)-1,1,1)/1000, 0)</f>
        <v>0</v>
      </c>
      <c r="EE68" s="26">
        <f ca="1">IFERROR(OFFSET(ARGUS!$A$3, MATCH($A68, ARGUS!$A$3:$A$176, 0)-1,MATCH(EOMONTH(EE$15,1), ARGUS!$B$4:$LG$4, 0)-1,1,1)/1000, 0)</f>
        <v>0</v>
      </c>
      <c r="EF68" s="26">
        <f ca="1">IFERROR(OFFSET(ARGUS!$A$3, MATCH($A68, ARGUS!$A$3:$A$176, 0)-1,MATCH(EOMONTH(EF$15,1), ARGUS!$B$4:$LG$4, 0)-1,1,1)/1000, 0)</f>
        <v>0</v>
      </c>
      <c r="EG68" s="26">
        <f ca="1">IFERROR(OFFSET(ARGUS!$A$3, MATCH($A68, ARGUS!$A$3:$A$176, 0)-1,MATCH(EOMONTH(EG$15,1), ARGUS!$B$4:$LG$4, 0)-1,1,1)/1000, 0)</f>
        <v>0</v>
      </c>
      <c r="EH68" s="26">
        <f ca="1">IFERROR(OFFSET(ARGUS!$A$3, MATCH($A68, ARGUS!$A$3:$A$176, 0)-1,MATCH(EOMONTH(EH$15,1), ARGUS!$B$4:$LG$4, 0)-1,1,1)/1000, 0)</f>
        <v>0</v>
      </c>
      <c r="EI68" s="26">
        <f ca="1">IFERROR(OFFSET(ARGUS!$A$3, MATCH($A68, ARGUS!$A$3:$A$176, 0)-1,MATCH(EOMONTH(EI$15,1), ARGUS!$B$4:$LG$4, 0)-1,1,1)/1000, 0)</f>
        <v>0</v>
      </c>
      <c r="EJ68" s="26">
        <f ca="1">IFERROR(OFFSET(ARGUS!$A$3, MATCH($A68, ARGUS!$A$3:$A$176, 0)-1,MATCH(EOMONTH(EJ$15,1), ARGUS!$B$4:$LG$4, 0)-1,1,1)/1000, 0)</f>
        <v>0</v>
      </c>
      <c r="EK68" s="26">
        <f ca="1">IFERROR(OFFSET(ARGUS!$A$3, MATCH($A68, ARGUS!$A$3:$A$176, 0)-1,MATCH(EOMONTH(EK$15,1), ARGUS!$B$4:$LG$4, 0)-1,1,1)/1000, 0)</f>
        <v>0</v>
      </c>
      <c r="EL68" s="26">
        <f ca="1">IFERROR(OFFSET(ARGUS!$A$3, MATCH($A68, ARGUS!$A$3:$A$176, 0)-1,MATCH(EOMONTH(EL$15,1), ARGUS!$B$4:$LG$4, 0)-1,1,1)/1000, 0)</f>
        <v>0</v>
      </c>
      <c r="EM68" s="26">
        <f ca="1">IFERROR(OFFSET(ARGUS!$A$3, MATCH($A68, ARGUS!$A$3:$A$176, 0)-1,MATCH(EOMONTH(EM$15,1), ARGUS!$B$4:$LG$4, 0)-1,1,1)/1000, 0)</f>
        <v>0</v>
      </c>
      <c r="EN68" s="26">
        <f ca="1">IFERROR(OFFSET(ARGUS!$A$3, MATCH($A68, ARGUS!$A$3:$A$176, 0)-1,MATCH(EOMONTH(EN$15,1), ARGUS!$B$4:$LG$4, 0)-1,1,1)/1000, 0)</f>
        <v>0</v>
      </c>
      <c r="EO68" s="26">
        <f ca="1">IFERROR(OFFSET(ARGUS!$A$3, MATCH($A68, ARGUS!$A$3:$A$176, 0)-1,MATCH(EOMONTH(EO$15,1), ARGUS!$B$4:$LG$4, 0)-1,1,1)/1000, 0)</f>
        <v>0</v>
      </c>
      <c r="EP68" s="26">
        <f ca="1">IFERROR(OFFSET(ARGUS!$A$3, MATCH($A68, ARGUS!$A$3:$A$176, 0)-1,MATCH(EOMONTH(EP$15,1), ARGUS!$B$4:$LG$4, 0)-1,1,1)/1000, 0)</f>
        <v>0</v>
      </c>
      <c r="EQ68" s="26">
        <f ca="1">IFERROR(OFFSET(ARGUS!$A$3, MATCH($A68, ARGUS!$A$3:$A$176, 0)-1,MATCH(EOMONTH(EQ$15,1), ARGUS!$B$4:$LG$4, 0)-1,1,1)/1000, 0)</f>
        <v>0</v>
      </c>
      <c r="ER68" s="26">
        <f ca="1">IFERROR(OFFSET(ARGUS!$A$3, MATCH($A68, ARGUS!$A$3:$A$176, 0)-1,MATCH(EOMONTH(ER$15,1), ARGUS!$B$4:$LG$4, 0)-1,1,1)/1000, 0)</f>
        <v>0</v>
      </c>
      <c r="ES68" s="26">
        <f ca="1">IFERROR(OFFSET(ARGUS!$A$3, MATCH($A68, ARGUS!$A$3:$A$176, 0)-1,MATCH(EOMONTH(ES$15,1), ARGUS!$B$4:$LG$4, 0)-1,1,1)/1000, 0)</f>
        <v>0</v>
      </c>
      <c r="ET68" s="26">
        <f ca="1">IFERROR(OFFSET(ARGUS!$A$3, MATCH($A68, ARGUS!$A$3:$A$176, 0)-1,MATCH(EOMONTH(ET$15,1), ARGUS!$B$4:$LG$4, 0)-1,1,1)/1000, 0)</f>
        <v>0</v>
      </c>
      <c r="EU68" s="26">
        <f ca="1">IFERROR(OFFSET(ARGUS!$A$3, MATCH($A68, ARGUS!$A$3:$A$176, 0)-1,MATCH(EOMONTH(EU$15,1), ARGUS!$B$4:$LG$4, 0)-1,1,1)/1000, 0)</f>
        <v>0</v>
      </c>
      <c r="EV68" s="26">
        <f ca="1">IFERROR(OFFSET(ARGUS!$A$3, MATCH($A68, ARGUS!$A$3:$A$176, 0)-1,MATCH(EOMONTH(EV$15,1), ARGUS!$B$4:$LG$4, 0)-1,1,1)/1000, 0)</f>
        <v>0</v>
      </c>
      <c r="EW68" s="26">
        <f ca="1">IFERROR(OFFSET(ARGUS!$A$3, MATCH($A68, ARGUS!$A$3:$A$176, 0)-1,MATCH(EOMONTH(EW$15,1), ARGUS!$B$4:$LG$4, 0)-1,1,1)/1000, 0)</f>
        <v>0</v>
      </c>
      <c r="EX68" s="26">
        <f ca="1">IFERROR(OFFSET(ARGUS!$A$3, MATCH($A68, ARGUS!$A$3:$A$176, 0)-1,MATCH(EOMONTH(EX$15,1), ARGUS!$B$4:$LG$4, 0)-1,1,1)/1000, 0)</f>
        <v>0</v>
      </c>
      <c r="EY68" s="26">
        <f ca="1">IFERROR(OFFSET(ARGUS!$A$3, MATCH($A68, ARGUS!$A$3:$A$176, 0)-1,MATCH(EOMONTH(EY$15,1), ARGUS!$B$4:$LG$4, 0)-1,1,1)/1000, 0)</f>
        <v>0</v>
      </c>
      <c r="EZ68" s="26">
        <f ca="1">IFERROR(OFFSET(ARGUS!$A$3, MATCH($A68, ARGUS!$A$3:$A$176, 0)-1,MATCH(EOMONTH(EZ$15,1), ARGUS!$B$4:$LG$4, 0)-1,1,1)/1000, 0)</f>
        <v>0</v>
      </c>
      <c r="FA68" s="26">
        <f ca="1">IFERROR(OFFSET(ARGUS!$A$3, MATCH($A68, ARGUS!$A$3:$A$176, 0)-1,MATCH(EOMONTH(FA$15,1), ARGUS!$B$4:$LG$4, 0)-1,1,1)/1000, 0)</f>
        <v>0</v>
      </c>
      <c r="FB68" s="26">
        <f ca="1">IFERROR(OFFSET(ARGUS!$A$3, MATCH($A68, ARGUS!$A$3:$A$176, 0)-1,MATCH(EOMONTH(FB$15,1), ARGUS!$B$4:$LG$4, 0)-1,1,1)/1000, 0)</f>
        <v>0</v>
      </c>
      <c r="FC68" s="26">
        <f ca="1">IFERROR(OFFSET(ARGUS!$A$3, MATCH($A68, ARGUS!$A$3:$A$176, 0)-1,MATCH(EOMONTH(FC$15,1), ARGUS!$B$4:$LG$4, 0)-1,1,1)/1000, 0)</f>
        <v>0</v>
      </c>
      <c r="FD68" s="26">
        <f ca="1">IFERROR(OFFSET(ARGUS!$A$3, MATCH($A68, ARGUS!$A$3:$A$176, 0)-1,MATCH(EOMONTH(FD$15,1), ARGUS!$B$4:$LG$4, 0)-1,1,1)/1000, 0)</f>
        <v>0</v>
      </c>
      <c r="FE68" s="26">
        <f ca="1">IFERROR(OFFSET(ARGUS!$A$3, MATCH($A68, ARGUS!$A$3:$A$176, 0)-1,MATCH(EOMONTH(FE$15,1), ARGUS!$B$4:$LG$4, 0)-1,1,1)/1000, 0)</f>
        <v>0</v>
      </c>
      <c r="FF68" s="26">
        <f ca="1">IFERROR(OFFSET(ARGUS!$A$3, MATCH($A68, ARGUS!$A$3:$A$176, 0)-1,MATCH(EOMONTH(FF$15,1), ARGUS!$B$4:$LG$4, 0)-1,1,1)/1000, 0)</f>
        <v>0</v>
      </c>
      <c r="FG68" s="26">
        <f ca="1">IFERROR(OFFSET(ARGUS!$A$3, MATCH($A68, ARGUS!$A$3:$A$176, 0)-1,MATCH(EOMONTH(FG$15,1), ARGUS!$B$4:$LG$4, 0)-1,1,1)/1000, 0)</f>
        <v>0</v>
      </c>
      <c r="FH68" s="26">
        <f ca="1">IFERROR(OFFSET(ARGUS!$A$3, MATCH($A68, ARGUS!$A$3:$A$176, 0)-1,MATCH(EOMONTH(FH$15,1), ARGUS!$B$4:$LG$4, 0)-1,1,1)/1000, 0)</f>
        <v>0</v>
      </c>
      <c r="FI68" s="26">
        <f ca="1">IFERROR(OFFSET(ARGUS!$A$3, MATCH($A68, ARGUS!$A$3:$A$176, 0)-1,MATCH(EOMONTH(FI$15,1), ARGUS!$B$4:$LG$4, 0)-1,1,1)/1000, 0)</f>
        <v>0</v>
      </c>
      <c r="FJ68" s="26">
        <f ca="1">IFERROR(OFFSET(ARGUS!$A$3, MATCH($A68, ARGUS!$A$3:$A$176, 0)-1,MATCH(EOMONTH(FJ$15,1), ARGUS!$B$4:$LG$4, 0)-1,1,1)/1000, 0)</f>
        <v>0</v>
      </c>
      <c r="FK68" s="26">
        <f ca="1">IFERROR(OFFSET(ARGUS!$A$3, MATCH($A68, ARGUS!$A$3:$A$176, 0)-1,MATCH(EOMONTH(FK$15,1), ARGUS!$B$4:$LG$4, 0)-1,1,1)/1000, 0)</f>
        <v>0</v>
      </c>
      <c r="FL68" s="26">
        <f ca="1">IFERROR(OFFSET(ARGUS!$A$3, MATCH($A68, ARGUS!$A$3:$A$176, 0)-1,MATCH(EOMONTH(FL$15,1), ARGUS!$B$4:$LG$4, 0)-1,1,1)/1000, 0)</f>
        <v>0</v>
      </c>
      <c r="FM68" s="26">
        <f ca="1">IFERROR(OFFSET(ARGUS!$A$3, MATCH($A68, ARGUS!$A$3:$A$176, 0)-1,MATCH(EOMONTH(FM$15,1), ARGUS!$B$4:$LG$4, 0)-1,1,1)/1000, 0)</f>
        <v>0</v>
      </c>
      <c r="FN68" s="26">
        <f ca="1">IFERROR(OFFSET(ARGUS!$A$3, MATCH($A68, ARGUS!$A$3:$A$176, 0)-1,MATCH(EOMONTH(FN$15,1), ARGUS!$B$4:$LG$4, 0)-1,1,1)/1000, 0)</f>
        <v>0</v>
      </c>
      <c r="FO68" s="26">
        <f ca="1">IFERROR(OFFSET(ARGUS!$A$3, MATCH($A68, ARGUS!$A$3:$A$176, 0)-1,MATCH(EOMONTH(FO$15,1), ARGUS!$B$4:$LG$4, 0)-1,1,1)/1000, 0)</f>
        <v>0</v>
      </c>
      <c r="FP68" s="26">
        <f ca="1">IFERROR(OFFSET(ARGUS!$A$3, MATCH($A68, ARGUS!$A$3:$A$176, 0)-1,MATCH(EOMONTH(FP$15,1), ARGUS!$B$4:$LG$4, 0)-1,1,1)/1000, 0)</f>
        <v>0</v>
      </c>
      <c r="FQ68" s="26">
        <f ca="1">IFERROR(OFFSET(ARGUS!$A$3, MATCH($A68, ARGUS!$A$3:$A$176, 0)-1,MATCH(EOMONTH(FQ$15,1), ARGUS!$B$4:$LG$4, 0)-1,1,1)/1000, 0)</f>
        <v>0</v>
      </c>
      <c r="FR68" s="26">
        <f ca="1">IFERROR(OFFSET(ARGUS!$A$3, MATCH($A68, ARGUS!$A$3:$A$176, 0)-1,MATCH(EOMONTH(FR$15,1), ARGUS!$B$4:$LG$4, 0)-1,1,1)/1000, 0)</f>
        <v>0</v>
      </c>
      <c r="FS68" s="26">
        <f ca="1">IFERROR(OFFSET(ARGUS!$A$3, MATCH($A68, ARGUS!$A$3:$A$176, 0)-1,MATCH(EOMONTH(FS$15,1), ARGUS!$B$4:$LG$4, 0)-1,1,1)/1000, 0)</f>
        <v>0</v>
      </c>
      <c r="FT68" s="26">
        <f ca="1">IFERROR(OFFSET(ARGUS!$A$3, MATCH($A68, ARGUS!$A$3:$A$176, 0)-1,MATCH(EOMONTH(FT$15,1), ARGUS!$B$4:$LG$4, 0)-1,1,1)/1000, 0)</f>
        <v>0</v>
      </c>
      <c r="FU68" s="26">
        <f ca="1">IFERROR(OFFSET(ARGUS!$A$3, MATCH($A68, ARGUS!$A$3:$A$176, 0)-1,MATCH(EOMONTH(FU$15,1), ARGUS!$B$4:$LG$4, 0)-1,1,1)/1000, 0)</f>
        <v>0</v>
      </c>
      <c r="FV68" s="26">
        <f ca="1">IFERROR(OFFSET(ARGUS!$A$3, MATCH($A68, ARGUS!$A$3:$A$176, 0)-1,MATCH(EOMONTH(FV$15,1), ARGUS!$B$4:$LG$4, 0)-1,1,1)/1000, 0)</f>
        <v>0</v>
      </c>
      <c r="FW68" s="26">
        <f ca="1">IFERROR(OFFSET(ARGUS!$A$3, MATCH($A68, ARGUS!$A$3:$A$176, 0)-1,MATCH(EOMONTH(FW$15,1), ARGUS!$B$4:$LG$4, 0)-1,1,1)/1000, 0)</f>
        <v>0</v>
      </c>
      <c r="FX68" s="26">
        <f ca="1">IFERROR(OFFSET(ARGUS!$A$3, MATCH($A68, ARGUS!$A$3:$A$176, 0)-1,MATCH(EOMONTH(FX$15,1), ARGUS!$B$4:$LG$4, 0)-1,1,1)/1000, 0)</f>
        <v>0</v>
      </c>
      <c r="FY68" s="26">
        <f ca="1">IFERROR(OFFSET(ARGUS!$A$3, MATCH($A68, ARGUS!$A$3:$A$176, 0)-1,MATCH(EOMONTH(FY$15,1), ARGUS!$B$4:$LG$4, 0)-1,1,1)/1000, 0)</f>
        <v>0</v>
      </c>
      <c r="FZ68" s="26">
        <f ca="1">IFERROR(OFFSET(ARGUS!$A$3, MATCH($A68, ARGUS!$A$3:$A$176, 0)-1,MATCH(EOMONTH(FZ$15,1), ARGUS!$B$4:$LG$4, 0)-1,1,1)/1000, 0)</f>
        <v>0</v>
      </c>
      <c r="GA68" s="26">
        <f ca="1">IFERROR(OFFSET(ARGUS!$A$3, MATCH($A68, ARGUS!$A$3:$A$176, 0)-1,MATCH(EOMONTH(GA$15,1), ARGUS!$B$4:$LG$4, 0)-1,1,1)/1000, 0)</f>
        <v>0</v>
      </c>
      <c r="GB68" s="26">
        <f ca="1">IFERROR(OFFSET(ARGUS!$A$3, MATCH($A68, ARGUS!$A$3:$A$176, 0)-1,MATCH(EOMONTH(GB$15,1), ARGUS!$B$4:$LG$4, 0)-1,1,1)/1000, 0)</f>
        <v>0</v>
      </c>
      <c r="GC68" s="26">
        <f ca="1">IFERROR(OFFSET(ARGUS!$A$3, MATCH($A68, ARGUS!$A$3:$A$176, 0)-1,MATCH(EOMONTH(GC$15,1), ARGUS!$B$4:$LG$4, 0)-1,1,1)/1000, 0)</f>
        <v>0</v>
      </c>
      <c r="GD68" s="26">
        <f ca="1">IFERROR(OFFSET(ARGUS!$A$3, MATCH($A68, ARGUS!$A$3:$A$176, 0)-1,MATCH(EOMONTH(GD$15,1), ARGUS!$B$4:$LG$4, 0)-1,1,1)/1000, 0)</f>
        <v>0</v>
      </c>
      <c r="GE68" s="26">
        <f ca="1">IFERROR(OFFSET(ARGUS!$A$3, MATCH($A68, ARGUS!$A$3:$A$176, 0)-1,MATCH(EOMONTH(GE$15,1), ARGUS!$B$4:$LG$4, 0)-1,1,1)/1000, 0)</f>
        <v>0</v>
      </c>
      <c r="GF68" s="26">
        <f ca="1">IFERROR(OFFSET(ARGUS!$A$3, MATCH($A68, ARGUS!$A$3:$A$176, 0)-1,MATCH(EOMONTH(GF$15,1), ARGUS!$B$4:$LG$4, 0)-1,1,1)/1000, 0)</f>
        <v>0</v>
      </c>
      <c r="GG68" s="26">
        <f ca="1">IFERROR(OFFSET(ARGUS!$A$3, MATCH($A68, ARGUS!$A$3:$A$176, 0)-1,MATCH(EOMONTH(GG$15,1), ARGUS!$B$4:$LG$4, 0)-1,1,1)/1000, 0)</f>
        <v>0</v>
      </c>
      <c r="GH68" s="26">
        <f ca="1">IFERROR(OFFSET(ARGUS!$A$3, MATCH($A68, ARGUS!$A$3:$A$176, 0)-1,MATCH(EOMONTH(GH$15,1), ARGUS!$B$4:$LG$4, 0)-1,1,1)/1000, 0)</f>
        <v>0</v>
      </c>
      <c r="GI68" s="26">
        <f ca="1">IFERROR(OFFSET(ARGUS!$A$3, MATCH($A68, ARGUS!$A$3:$A$176, 0)-1,MATCH(EOMONTH(GI$15,1), ARGUS!$B$4:$LG$4, 0)-1,1,1)/1000, 0)</f>
        <v>0</v>
      </c>
      <c r="GJ68" s="26">
        <f ca="1">IFERROR(OFFSET(ARGUS!$A$3, MATCH($A68, ARGUS!$A$3:$A$176, 0)-1,MATCH(EOMONTH(GJ$15,1), ARGUS!$B$4:$LG$4, 0)-1,1,1)/1000, 0)</f>
        <v>0</v>
      </c>
      <c r="GK68" s="26">
        <f ca="1">IFERROR(OFFSET(ARGUS!$A$3, MATCH($A68, ARGUS!$A$3:$A$176, 0)-1,MATCH(EOMONTH(GK$15,1), ARGUS!$B$4:$LG$4, 0)-1,1,1)/1000, 0)</f>
        <v>0</v>
      </c>
      <c r="GL68" s="26">
        <f ca="1">IFERROR(OFFSET(ARGUS!$A$3, MATCH($A68, ARGUS!$A$3:$A$176, 0)-1,MATCH(EOMONTH(GL$15,1), ARGUS!$B$4:$LG$4, 0)-1,1,1)/1000, 0)</f>
        <v>0</v>
      </c>
      <c r="GM68" s="26">
        <f ca="1">IFERROR(OFFSET(ARGUS!$A$3, MATCH($A68, ARGUS!$A$3:$A$176, 0)-1,MATCH(EOMONTH(GM$15,1), ARGUS!$B$4:$LG$4, 0)-1,1,1)/1000, 0)</f>
        <v>0</v>
      </c>
      <c r="GN68" s="26">
        <f ca="1">IFERROR(OFFSET(ARGUS!$A$3, MATCH($A68, ARGUS!$A$3:$A$176, 0)-1,MATCH(EOMONTH(GN$15,1), ARGUS!$B$4:$LG$4, 0)-1,1,1)/1000, 0)</f>
        <v>0</v>
      </c>
      <c r="GO68" s="26">
        <f ca="1">IFERROR(OFFSET(ARGUS!$A$3, MATCH($A68, ARGUS!$A$3:$A$176, 0)-1,MATCH(EOMONTH(GO$15,1), ARGUS!$B$4:$LG$4, 0)-1,1,1)/1000, 0)</f>
        <v>0</v>
      </c>
      <c r="GP68" s="26">
        <f ca="1">IFERROR(OFFSET(ARGUS!$A$3, MATCH($A68, ARGUS!$A$3:$A$176, 0)-1,MATCH(EOMONTH(GP$15,1), ARGUS!$B$4:$LG$4, 0)-1,1,1)/1000, 0)</f>
        <v>0</v>
      </c>
      <c r="GQ68" s="26">
        <f ca="1">IFERROR(OFFSET(ARGUS!$A$3, MATCH($A68, ARGUS!$A$3:$A$176, 0)-1,MATCH(EOMONTH(GQ$15,1), ARGUS!$B$4:$LG$4, 0)-1,1,1)/1000, 0)</f>
        <v>0</v>
      </c>
      <c r="GR68" s="26">
        <f ca="1">IFERROR(OFFSET(ARGUS!$A$3, MATCH($A68, ARGUS!$A$3:$A$176, 0)-1,MATCH(EOMONTH(GR$15,1), ARGUS!$B$4:$LG$4, 0)-1,1,1)/1000, 0)</f>
        <v>0</v>
      </c>
      <c r="GS68" s="26">
        <f ca="1">IFERROR(OFFSET(ARGUS!$A$3, MATCH($A68, ARGUS!$A$3:$A$176, 0)-1,MATCH(EOMONTH(GS$15,1), ARGUS!$B$4:$LG$4, 0)-1,1,1)/1000, 0)</f>
        <v>0</v>
      </c>
      <c r="GT68" s="26">
        <f ca="1">IFERROR(OFFSET(ARGUS!$A$3, MATCH($A68, ARGUS!$A$3:$A$176, 0)-1,MATCH(EOMONTH(GT$15,1), ARGUS!$B$4:$LG$4, 0)-1,1,1)/1000, 0)</f>
        <v>0</v>
      </c>
      <c r="GU68" s="26"/>
      <c r="GV68" s="26"/>
      <c r="GW68" s="26"/>
      <c r="GX68" s="26"/>
      <c r="GY68" s="26"/>
      <c r="GZ68" s="26"/>
      <c r="HA68" s="26"/>
      <c r="HB68" s="26"/>
      <c r="HC68" s="26"/>
      <c r="HD68" s="26"/>
      <c r="HE68" s="26"/>
      <c r="HF68" s="1" t="s">
        <v>212</v>
      </c>
      <c r="HG68" s="139" t="e">
        <f t="shared" si="519"/>
        <v>#REF!</v>
      </c>
      <c r="HH68" s="1" t="str">
        <f t="shared" si="664"/>
        <v>Utilities</v>
      </c>
      <c r="HI68" s="26"/>
      <c r="HJ68" s="26"/>
      <c r="HK68" s="26"/>
      <c r="HL68" s="132">
        <f t="shared" ca="1" si="665"/>
        <v>3043.16219</v>
      </c>
      <c r="HM68" s="26"/>
      <c r="HN68" s="133">
        <f t="shared" si="666"/>
        <v>0</v>
      </c>
      <c r="HO68" s="26">
        <f t="shared" si="666"/>
        <v>445.67180999999999</v>
      </c>
      <c r="HP68" s="26">
        <f t="shared" si="666"/>
        <v>463.00145000000003</v>
      </c>
      <c r="HQ68" s="26">
        <f t="shared" si="666"/>
        <v>464.98296000000005</v>
      </c>
      <c r="HR68" s="26">
        <f t="shared" si="666"/>
        <v>453.10073999999997</v>
      </c>
      <c r="HS68" s="26">
        <f t="shared" si="666"/>
        <v>411.28446999999994</v>
      </c>
      <c r="HT68" s="26">
        <f t="shared" si="666"/>
        <v>621.02668999999992</v>
      </c>
      <c r="HU68" s="26">
        <f t="shared" ca="1" si="666"/>
        <v>184.09406999999999</v>
      </c>
      <c r="HV68" s="26">
        <f t="shared" ca="1" si="666"/>
        <v>0</v>
      </c>
      <c r="HW68"/>
    </row>
    <row r="69" spans="1:231" ht="15">
      <c r="A69" s="441">
        <v>10</v>
      </c>
      <c r="B69" s="1" t="s">
        <v>752</v>
      </c>
      <c r="D69" s="585"/>
      <c r="E69" s="152"/>
      <c r="I69" s="132">
        <f ca="1">SUMIF($K$13:$GT$13,"&lt;="&amp;Assumptions!$L$17,'Monthly Cash Flow'!K69:GT69)</f>
        <v>980.27930999999978</v>
      </c>
      <c r="J69" s="26"/>
      <c r="K69" s="155"/>
      <c r="L69" s="954">
        <f>Historicals!D17</f>
        <v>7.5679999999999996</v>
      </c>
      <c r="M69" s="954">
        <f>Historicals!E17</f>
        <v>7.9946099999999998</v>
      </c>
      <c r="N69" s="954">
        <f>Historicals!F17</f>
        <v>7.43886</v>
      </c>
      <c r="O69" s="954">
        <f>Historicals!G17</f>
        <v>7.6241000000000003</v>
      </c>
      <c r="P69" s="954">
        <f>Historicals!H17</f>
        <v>7.6241000000000003</v>
      </c>
      <c r="Q69" s="954">
        <f>Historicals!I17</f>
        <v>7.6241000000000003</v>
      </c>
      <c r="R69" s="954">
        <f>Historicals!J17</f>
        <v>7.53491</v>
      </c>
      <c r="S69" s="954">
        <f>Historicals!K17</f>
        <v>7.5348999999999995</v>
      </c>
      <c r="T69" s="954">
        <f>Historicals!L17</f>
        <v>7.1781499999999996</v>
      </c>
      <c r="U69" s="954">
        <f>Historicals!M17</f>
        <v>7.5511299999999997</v>
      </c>
      <c r="V69" s="954">
        <f>Historicals!N17</f>
        <v>7.5186800000000007</v>
      </c>
      <c r="W69" s="954">
        <f>Historicals!O17</f>
        <v>7.4219600000000003</v>
      </c>
      <c r="X69" s="954">
        <f>Historicals!P17</f>
        <v>7.6010400000000002</v>
      </c>
      <c r="Y69" s="954">
        <f>Historicals!Q17</f>
        <v>7.6010499999999999</v>
      </c>
      <c r="Z69" s="954">
        <f>Historicals!R17</f>
        <v>7.6010299999999997</v>
      </c>
      <c r="AA69" s="954">
        <f>Historicals!S17</f>
        <v>7.6010499999999999</v>
      </c>
      <c r="AB69" s="954">
        <f>Historicals!T17</f>
        <v>7.6010400000000002</v>
      </c>
      <c r="AC69" s="954">
        <f>Historicals!U17</f>
        <v>7.6010400000000002</v>
      </c>
      <c r="AD69" s="954">
        <f>Historicals!V17</f>
        <v>7.6010400000000002</v>
      </c>
      <c r="AE69" s="954">
        <f>Historicals!W17</f>
        <v>7.6010499999999999</v>
      </c>
      <c r="AF69" s="954">
        <f>Historicals!X17</f>
        <v>7.6010400000000002</v>
      </c>
      <c r="AG69" s="954">
        <f>Historicals!Y17</f>
        <v>7.6010400000000002</v>
      </c>
      <c r="AH69" s="954">
        <f>Historicals!Z17</f>
        <v>7.6010400000000002</v>
      </c>
      <c r="AI69" s="954">
        <f>Historicals!AA17</f>
        <v>10.254040000000002</v>
      </c>
      <c r="AJ69" s="954">
        <f>Historicals!AB17</f>
        <v>5.5660500000000006</v>
      </c>
      <c r="AK69" s="954">
        <f>Historicals!AC17</f>
        <v>8.8593899999999994</v>
      </c>
      <c r="AL69" s="954">
        <f>Historicals!AD17</f>
        <v>6.8138900000000007</v>
      </c>
      <c r="AM69" s="954">
        <f>Historicals!AE17</f>
        <v>6.8138800000000002</v>
      </c>
      <c r="AN69" s="954">
        <f>Historicals!AF17</f>
        <v>6.8138900000000007</v>
      </c>
      <c r="AO69" s="954">
        <f>Historicals!AG17</f>
        <v>6.8138900000000007</v>
      </c>
      <c r="AP69" s="954">
        <f>Historicals!AH17</f>
        <v>6.8138900000000007</v>
      </c>
      <c r="AQ69" s="954">
        <f>Historicals!AI17</f>
        <v>6.8138900000000007</v>
      </c>
      <c r="AR69" s="954">
        <f>Historicals!AJ17</f>
        <v>6.8138900000000007</v>
      </c>
      <c r="AS69" s="954">
        <f>Historicals!AK17</f>
        <v>6.8161300000000002</v>
      </c>
      <c r="AT69" s="954">
        <f>Historicals!AL17</f>
        <v>6.8743699999999999</v>
      </c>
      <c r="AU69" s="954">
        <f>Historicals!AM17</f>
        <v>6.8452299999999999</v>
      </c>
      <c r="AV69" s="954">
        <f>Historicals!AN17</f>
        <v>7.5232399999999995</v>
      </c>
      <c r="AW69" s="954">
        <f>Historicals!AO17</f>
        <v>7.7152099999999999</v>
      </c>
      <c r="AX69" s="954">
        <f>Historicals!AP17</f>
        <v>7.9518199999999997</v>
      </c>
      <c r="AY69" s="954">
        <f>Historicals!AQ17</f>
        <v>7.9518199999999997</v>
      </c>
      <c r="AZ69" s="954">
        <f>Historicals!AR17</f>
        <v>7.9518199999999997</v>
      </c>
      <c r="BA69" s="954">
        <f>Historicals!AS17</f>
        <v>7.9518199999999997</v>
      </c>
      <c r="BB69" s="954">
        <f>Historicals!AT17</f>
        <v>7.8045200000000001</v>
      </c>
      <c r="BC69" s="954">
        <f>Historicals!AU17</f>
        <v>7.9371</v>
      </c>
      <c r="BD69" s="954">
        <f>Historicals!AV17</f>
        <v>7.93729</v>
      </c>
      <c r="BE69" s="954">
        <f>Historicals!AW17</f>
        <v>7.9370900000000004</v>
      </c>
      <c r="BF69" s="954">
        <f>Historicals!AX17</f>
        <v>7.9371</v>
      </c>
      <c r="BG69" s="954">
        <f>Historicals!AY17</f>
        <v>7.9370900000000004</v>
      </c>
      <c r="BH69" s="954">
        <f>Historicals!AZ17</f>
        <v>2.6396500000000001</v>
      </c>
      <c r="BI69" s="954">
        <f>Historicals!BA17</f>
        <v>16.265319999999999</v>
      </c>
      <c r="BJ69" s="954">
        <f>Historicals!BB17</f>
        <v>7.2287299999999997</v>
      </c>
      <c r="BK69" s="954">
        <f>Historicals!BC17</f>
        <v>13.541729999999999</v>
      </c>
      <c r="BL69" s="954">
        <f>Historicals!BD17</f>
        <v>11.98522</v>
      </c>
      <c r="BM69" s="954">
        <f>Historicals!BE17</f>
        <v>10.38523</v>
      </c>
      <c r="BN69" s="954">
        <f>Historicals!BF17</f>
        <v>10.38523</v>
      </c>
      <c r="BO69" s="954">
        <f>Historicals!BG17</f>
        <v>10.38523</v>
      </c>
      <c r="BP69" s="954">
        <f>Historicals!BH17</f>
        <v>10.38523</v>
      </c>
      <c r="BQ69" s="954">
        <f>Historicals!BI17</f>
        <v>10.38523</v>
      </c>
      <c r="BR69" s="954">
        <f>Historicals!BJ17</f>
        <v>10.38523</v>
      </c>
      <c r="BS69" s="954">
        <f>Historicals!BK17</f>
        <v>10.38523</v>
      </c>
      <c r="BT69" s="954">
        <f>Historicals!BL17</f>
        <v>11.226280000000001</v>
      </c>
      <c r="BU69" s="954">
        <f>Historicals!BM17</f>
        <v>11.226280000000001</v>
      </c>
      <c r="BV69" s="954">
        <f>Historicals!BN17</f>
        <v>8.0697799999999997</v>
      </c>
      <c r="BW69" s="954">
        <f>Historicals!BO17</f>
        <v>8.0697799999999997</v>
      </c>
      <c r="BX69" s="954">
        <f>Historicals!BP17</f>
        <v>24.296230000000001</v>
      </c>
      <c r="BY69" s="954">
        <f>Historicals!BQ17</f>
        <v>7.4207299999999998</v>
      </c>
      <c r="BZ69" s="954">
        <f>Historicals!BR17</f>
        <v>11.964129999999999</v>
      </c>
      <c r="CA69" s="954">
        <f>Historicals!BS17</f>
        <v>11.964129999999999</v>
      </c>
      <c r="CB69" s="954">
        <f>Historicals!BT17</f>
        <v>11.964129999999999</v>
      </c>
      <c r="CC69" s="954">
        <f>Historicals!BU17</f>
        <v>11.964129999999999</v>
      </c>
      <c r="CD69" s="954">
        <f>Historicals!BV17</f>
        <v>11.964129999999999</v>
      </c>
      <c r="CE69" s="954">
        <f>Historicals!BW17</f>
        <v>11.964169999999999</v>
      </c>
      <c r="CF69" s="954">
        <f>Historicals!BX17</f>
        <v>10.277290000000001</v>
      </c>
      <c r="CG69" s="954">
        <f>Historicals!BY17</f>
        <v>-1.9194100000000001</v>
      </c>
      <c r="CH69" s="954">
        <f>Historicals!BZ17</f>
        <v>4.17896</v>
      </c>
      <c r="CI69" s="26">
        <f ca="1">IFERROR(OFFSET(ARGUS!$A$3, MATCH($A69, ARGUS!$A$3:$A$176, 0)-1,MATCH(EOMONTH(CI$15,1), ARGUS!$B$4:$LG$4, 0)-1,1,1)/1000, 0)</f>
        <v>12.09</v>
      </c>
      <c r="CJ69" s="26">
        <f ca="1">IFERROR(OFFSET(ARGUS!$A$3, MATCH($A69, ARGUS!$A$3:$A$176, 0)-1,MATCH(EOMONTH(CJ$15,1), ARGUS!$B$4:$LG$4, 0)-1,1,1)/1000, 0)</f>
        <v>12.09</v>
      </c>
      <c r="CK69" s="26">
        <f ca="1">IFERROR(OFFSET(ARGUS!$A$3, MATCH($A69, ARGUS!$A$3:$A$176, 0)-1,MATCH(EOMONTH(CK$15,1), ARGUS!$B$4:$LG$4, 0)-1,1,1)/1000, 0)</f>
        <v>12.09</v>
      </c>
      <c r="CL69" s="26">
        <f ca="1">IFERROR(OFFSET(ARGUS!$A$3, MATCH($A69, ARGUS!$A$3:$A$176, 0)-1,MATCH(EOMONTH(CL$15,1), ARGUS!$B$4:$LG$4, 0)-1,1,1)/1000, 0)</f>
        <v>12.452999999999999</v>
      </c>
      <c r="CM69" s="26">
        <f ca="1">IFERROR(OFFSET(ARGUS!$A$3, MATCH($A69, ARGUS!$A$3:$A$176, 0)-1,MATCH(EOMONTH(CM$15,1), ARGUS!$B$4:$LG$4, 0)-1,1,1)/1000, 0)</f>
        <v>12.452999999999999</v>
      </c>
      <c r="CN69" s="26">
        <f ca="1">IFERROR(OFFSET(ARGUS!$A$3, MATCH($A69, ARGUS!$A$3:$A$176, 0)-1,MATCH(EOMONTH(CN$15,1), ARGUS!$B$4:$LG$4, 0)-1,1,1)/1000, 0)</f>
        <v>12.452999999999999</v>
      </c>
      <c r="CO69" s="26">
        <f ca="1">IFERROR(OFFSET(ARGUS!$A$3, MATCH($A69, ARGUS!$A$3:$A$176, 0)-1,MATCH(EOMONTH(CO$15,1), ARGUS!$B$4:$LG$4, 0)-1,1,1)/1000, 0)</f>
        <v>12.452999999999999</v>
      </c>
      <c r="CP69" s="26">
        <f ca="1">IFERROR(OFFSET(ARGUS!$A$3, MATCH($A69, ARGUS!$A$3:$A$176, 0)-1,MATCH(EOMONTH(CP$15,1), ARGUS!$B$4:$LG$4, 0)-1,1,1)/1000, 0)</f>
        <v>12.452999999999999</v>
      </c>
      <c r="CQ69" s="26">
        <f ca="1">IFERROR(OFFSET(ARGUS!$A$3, MATCH($A69, ARGUS!$A$3:$A$176, 0)-1,MATCH(EOMONTH(CQ$15,1), ARGUS!$B$4:$LG$4, 0)-1,1,1)/1000, 0)</f>
        <v>12.452999999999999</v>
      </c>
      <c r="CR69" s="26">
        <f ca="1">IFERROR(OFFSET(ARGUS!$A$3, MATCH($A69, ARGUS!$A$3:$A$176, 0)-1,MATCH(EOMONTH(CR$15,1), ARGUS!$B$4:$LG$4, 0)-1,1,1)/1000, 0)</f>
        <v>12.452999999999999</v>
      </c>
      <c r="CS69" s="26">
        <f ca="1">IFERROR(OFFSET(ARGUS!$A$3, MATCH($A69, ARGUS!$A$3:$A$176, 0)-1,MATCH(EOMONTH(CS$15,1), ARGUS!$B$4:$LG$4, 0)-1,1,1)/1000, 0)</f>
        <v>12.452999999999999</v>
      </c>
      <c r="CT69" s="26">
        <f ca="1">IFERROR(OFFSET(ARGUS!$A$3, MATCH($A69, ARGUS!$A$3:$A$176, 0)-1,MATCH(EOMONTH(CT$15,1), ARGUS!$B$4:$LG$4, 0)-1,1,1)/1000, 0)</f>
        <v>12.452999999999999</v>
      </c>
      <c r="CU69" s="26">
        <f ca="1">IFERROR(OFFSET(ARGUS!$A$3, MATCH($A69, ARGUS!$A$3:$A$176, 0)-1,MATCH(EOMONTH(CU$15,1), ARGUS!$B$4:$LG$4, 0)-1,1,1)/1000, 0)</f>
        <v>12.452999999999999</v>
      </c>
      <c r="CV69" s="26">
        <f ca="1">IFERROR(OFFSET(ARGUS!$A$3, MATCH($A69, ARGUS!$A$3:$A$176, 0)-1,MATCH(EOMONTH(CV$15,1), ARGUS!$B$4:$LG$4, 0)-1,1,1)/1000, 0)</f>
        <v>12.452999999999999</v>
      </c>
      <c r="CW69" s="26">
        <f ca="1">IFERROR(OFFSET(ARGUS!$A$3, MATCH($A69, ARGUS!$A$3:$A$176, 0)-1,MATCH(EOMONTH(CW$15,1), ARGUS!$B$4:$LG$4, 0)-1,1,1)/1000, 0)</f>
        <v>12.452999999999999</v>
      </c>
      <c r="CX69" s="26">
        <f ca="1">IFERROR(OFFSET(ARGUS!$A$3, MATCH($A69, ARGUS!$A$3:$A$176, 0)-1,MATCH(EOMONTH(CX$15,1), ARGUS!$B$4:$LG$4, 0)-1,1,1)/1000, 0)</f>
        <v>12.826000000000001</v>
      </c>
      <c r="CY69" s="26">
        <f ca="1">IFERROR(OFFSET(ARGUS!$A$3, MATCH($A69, ARGUS!$A$3:$A$176, 0)-1,MATCH(EOMONTH(CY$15,1), ARGUS!$B$4:$LG$4, 0)-1,1,1)/1000, 0)</f>
        <v>12.826000000000001</v>
      </c>
      <c r="CZ69" s="26">
        <f ca="1">IFERROR(OFFSET(ARGUS!$A$3, MATCH($A69, ARGUS!$A$3:$A$176, 0)-1,MATCH(EOMONTH(CZ$15,1), ARGUS!$B$4:$LG$4, 0)-1,1,1)/1000, 0)</f>
        <v>12.826000000000001</v>
      </c>
      <c r="DA69" s="26">
        <f ca="1">IFERROR(OFFSET(ARGUS!$A$3, MATCH($A69, ARGUS!$A$3:$A$176, 0)-1,MATCH(EOMONTH(DA$15,1), ARGUS!$B$4:$LG$4, 0)-1,1,1)/1000, 0)</f>
        <v>12.826000000000001</v>
      </c>
      <c r="DB69" s="26">
        <f ca="1">IFERROR(OFFSET(ARGUS!$A$3, MATCH($A69, ARGUS!$A$3:$A$176, 0)-1,MATCH(EOMONTH(DB$15,1), ARGUS!$B$4:$LG$4, 0)-1,1,1)/1000, 0)</f>
        <v>12.826000000000001</v>
      </c>
      <c r="DC69" s="26">
        <f ca="1">IFERROR(OFFSET(ARGUS!$A$3, MATCH($A69, ARGUS!$A$3:$A$176, 0)-1,MATCH(EOMONTH(DC$15,1), ARGUS!$B$4:$LG$4, 0)-1,1,1)/1000, 0)</f>
        <v>12.826000000000001</v>
      </c>
      <c r="DD69" s="26">
        <f ca="1">IFERROR(OFFSET(ARGUS!$A$3, MATCH($A69, ARGUS!$A$3:$A$176, 0)-1,MATCH(EOMONTH(DD$15,1), ARGUS!$B$4:$LG$4, 0)-1,1,1)/1000, 0)</f>
        <v>12.826000000000001</v>
      </c>
      <c r="DE69" s="26">
        <f ca="1">IFERROR(OFFSET(ARGUS!$A$3, MATCH($A69, ARGUS!$A$3:$A$176, 0)-1,MATCH(EOMONTH(DE$15,1), ARGUS!$B$4:$LG$4, 0)-1,1,1)/1000, 0)</f>
        <v>12.826000000000001</v>
      </c>
      <c r="DF69" s="26">
        <f ca="1">IFERROR(OFFSET(ARGUS!$A$3, MATCH($A69, ARGUS!$A$3:$A$176, 0)-1,MATCH(EOMONTH(DF$15,1), ARGUS!$B$4:$LG$4, 0)-1,1,1)/1000, 0)</f>
        <v>12.826000000000001</v>
      </c>
      <c r="DG69" s="26">
        <f ca="1">IFERROR(OFFSET(ARGUS!$A$3, MATCH($A69, ARGUS!$A$3:$A$176, 0)-1,MATCH(EOMONTH(DG$15,1), ARGUS!$B$4:$LG$4, 0)-1,1,1)/1000, 0)</f>
        <v>12.826000000000001</v>
      </c>
      <c r="DH69" s="26">
        <f ca="1">IFERROR(OFFSET(ARGUS!$A$3, MATCH($A69, ARGUS!$A$3:$A$176, 0)-1,MATCH(EOMONTH(DH$15,1), ARGUS!$B$4:$LG$4, 0)-1,1,1)/1000, 0)</f>
        <v>12.826000000000001</v>
      </c>
      <c r="DI69" s="26">
        <f ca="1">IFERROR(OFFSET(ARGUS!$A$3, MATCH($A69, ARGUS!$A$3:$A$176, 0)-1,MATCH(EOMONTH(DI$15,1), ARGUS!$B$4:$LG$4, 0)-1,1,1)/1000, 0)</f>
        <v>12.826000000000001</v>
      </c>
      <c r="DJ69" s="26">
        <f ca="1">IFERROR(OFFSET(ARGUS!$A$3, MATCH($A69, ARGUS!$A$3:$A$176, 0)-1,MATCH(EOMONTH(DJ$15,1), ARGUS!$B$4:$LG$4, 0)-1,1,1)/1000, 0)</f>
        <v>13.211</v>
      </c>
      <c r="DK69" s="26">
        <f ca="1">IFERROR(OFFSET(ARGUS!$A$3, MATCH($A69, ARGUS!$A$3:$A$176, 0)-1,MATCH(EOMONTH(DK$15,1), ARGUS!$B$4:$LG$4, 0)-1,1,1)/1000, 0)</f>
        <v>13.211</v>
      </c>
      <c r="DL69" s="26">
        <f ca="1">IFERROR(OFFSET(ARGUS!$A$3, MATCH($A69, ARGUS!$A$3:$A$176, 0)-1,MATCH(EOMONTH(DL$15,1), ARGUS!$B$4:$LG$4, 0)-1,1,1)/1000, 0)</f>
        <v>13.211</v>
      </c>
      <c r="DM69" s="26">
        <f ca="1">IFERROR(OFFSET(ARGUS!$A$3, MATCH($A69, ARGUS!$A$3:$A$176, 0)-1,MATCH(EOMONTH(DM$15,1), ARGUS!$B$4:$LG$4, 0)-1,1,1)/1000, 0)</f>
        <v>13.211</v>
      </c>
      <c r="DN69" s="26">
        <f ca="1">IFERROR(OFFSET(ARGUS!$A$3, MATCH($A69, ARGUS!$A$3:$A$176, 0)-1,MATCH(EOMONTH(DN$15,1), ARGUS!$B$4:$LG$4, 0)-1,1,1)/1000, 0)</f>
        <v>13.211</v>
      </c>
      <c r="DO69" s="26">
        <f ca="1">IFERROR(OFFSET(ARGUS!$A$3, MATCH($A69, ARGUS!$A$3:$A$176, 0)-1,MATCH(EOMONTH(DO$15,1), ARGUS!$B$4:$LG$4, 0)-1,1,1)/1000, 0)</f>
        <v>13.211</v>
      </c>
      <c r="DP69" s="26">
        <f ca="1">IFERROR(OFFSET(ARGUS!$A$3, MATCH($A69, ARGUS!$A$3:$A$176, 0)-1,MATCH(EOMONTH(DP$15,1), ARGUS!$B$4:$LG$4, 0)-1,1,1)/1000, 0)</f>
        <v>13.211</v>
      </c>
      <c r="DQ69" s="26">
        <f ca="1">IFERROR(OFFSET(ARGUS!$A$3, MATCH($A69, ARGUS!$A$3:$A$176, 0)-1,MATCH(EOMONTH(DQ$15,1), ARGUS!$B$4:$LG$4, 0)-1,1,1)/1000, 0)</f>
        <v>13.211</v>
      </c>
      <c r="DR69" s="26">
        <f ca="1">IFERROR(OFFSET(ARGUS!$A$3, MATCH($A69, ARGUS!$A$3:$A$176, 0)-1,MATCH(EOMONTH(DR$15,1), ARGUS!$B$4:$LG$4, 0)-1,1,1)/1000, 0)</f>
        <v>13.211</v>
      </c>
      <c r="DS69" s="26">
        <f ca="1">IFERROR(OFFSET(ARGUS!$A$3, MATCH($A69, ARGUS!$A$3:$A$176, 0)-1,MATCH(EOMONTH(DS$15,1), ARGUS!$B$4:$LG$4, 0)-1,1,1)/1000, 0)</f>
        <v>13.211</v>
      </c>
      <c r="DT69" s="26">
        <f ca="1">IFERROR(OFFSET(ARGUS!$A$3, MATCH($A69, ARGUS!$A$3:$A$176, 0)-1,MATCH(EOMONTH(DT$15,1), ARGUS!$B$4:$LG$4, 0)-1,1,1)/1000, 0)</f>
        <v>13.211</v>
      </c>
      <c r="DU69" s="26">
        <f ca="1">IFERROR(OFFSET(ARGUS!$A$3, MATCH($A69, ARGUS!$A$3:$A$176, 0)-1,MATCH(EOMONTH(DU$15,1), ARGUS!$B$4:$LG$4, 0)-1,1,1)/1000, 0)</f>
        <v>13.211</v>
      </c>
      <c r="DV69" s="26">
        <f ca="1">IFERROR(OFFSET(ARGUS!$A$3, MATCH($A69, ARGUS!$A$3:$A$176, 0)-1,MATCH(EOMONTH(DV$15,1), ARGUS!$B$4:$LG$4, 0)-1,1,1)/1000, 0)</f>
        <v>13.606999999999999</v>
      </c>
      <c r="DW69" s="26">
        <f ca="1">IFERROR(OFFSET(ARGUS!$A$3, MATCH($A69, ARGUS!$A$3:$A$176, 0)-1,MATCH(EOMONTH(DW$15,1), ARGUS!$B$4:$LG$4, 0)-1,1,1)/1000, 0)</f>
        <v>13.606999999999999</v>
      </c>
      <c r="DX69" s="26">
        <f ca="1">IFERROR(OFFSET(ARGUS!$A$3, MATCH($A69, ARGUS!$A$3:$A$176, 0)-1,MATCH(EOMONTH(DX$15,1), ARGUS!$B$4:$LG$4, 0)-1,1,1)/1000, 0)</f>
        <v>13.606999999999999</v>
      </c>
      <c r="DY69" s="26">
        <f ca="1">IFERROR(OFFSET(ARGUS!$A$3, MATCH($A69, ARGUS!$A$3:$A$176, 0)-1,MATCH(EOMONTH(DY$15,1), ARGUS!$B$4:$LG$4, 0)-1,1,1)/1000, 0)</f>
        <v>13.606999999999999</v>
      </c>
      <c r="DZ69" s="26">
        <f ca="1">IFERROR(OFFSET(ARGUS!$A$3, MATCH($A69, ARGUS!$A$3:$A$176, 0)-1,MATCH(EOMONTH(DZ$15,1), ARGUS!$B$4:$LG$4, 0)-1,1,1)/1000, 0)</f>
        <v>13.606999999999999</v>
      </c>
      <c r="EA69" s="26">
        <f ca="1">IFERROR(OFFSET(ARGUS!$A$3, MATCH($A69, ARGUS!$A$3:$A$176, 0)-1,MATCH(EOMONTH(EA$15,1), ARGUS!$B$4:$LG$4, 0)-1,1,1)/1000, 0)</f>
        <v>13.606999999999999</v>
      </c>
      <c r="EB69" s="26">
        <f ca="1">IFERROR(OFFSET(ARGUS!$A$3, MATCH($A69, ARGUS!$A$3:$A$176, 0)-1,MATCH(EOMONTH(EB$15,1), ARGUS!$B$4:$LG$4, 0)-1,1,1)/1000, 0)</f>
        <v>13.606999999999999</v>
      </c>
      <c r="EC69" s="26">
        <f ca="1">IFERROR(OFFSET(ARGUS!$A$3, MATCH($A69, ARGUS!$A$3:$A$176, 0)-1,MATCH(EOMONTH(EC$15,1), ARGUS!$B$4:$LG$4, 0)-1,1,1)/1000, 0)</f>
        <v>13.606999999999999</v>
      </c>
      <c r="ED69" s="26">
        <f ca="1">IFERROR(OFFSET(ARGUS!$A$3, MATCH($A69, ARGUS!$A$3:$A$176, 0)-1,MATCH(EOMONTH(ED$15,1), ARGUS!$B$4:$LG$4, 0)-1,1,1)/1000, 0)</f>
        <v>13.606999999999999</v>
      </c>
      <c r="EE69" s="26">
        <f ca="1">IFERROR(OFFSET(ARGUS!$A$3, MATCH($A69, ARGUS!$A$3:$A$176, 0)-1,MATCH(EOMONTH(EE$15,1), ARGUS!$B$4:$LG$4, 0)-1,1,1)/1000, 0)</f>
        <v>13.606999999999999</v>
      </c>
      <c r="EF69" s="26">
        <f ca="1">IFERROR(OFFSET(ARGUS!$A$3, MATCH($A69, ARGUS!$A$3:$A$176, 0)-1,MATCH(EOMONTH(EF$15,1), ARGUS!$B$4:$LG$4, 0)-1,1,1)/1000, 0)</f>
        <v>13.606999999999999</v>
      </c>
      <c r="EG69" s="26">
        <f ca="1">IFERROR(OFFSET(ARGUS!$A$3, MATCH($A69, ARGUS!$A$3:$A$176, 0)-1,MATCH(EOMONTH(EG$15,1), ARGUS!$B$4:$LG$4, 0)-1,1,1)/1000, 0)</f>
        <v>13.606999999999999</v>
      </c>
      <c r="EH69" s="26">
        <f ca="1">IFERROR(OFFSET(ARGUS!$A$3, MATCH($A69, ARGUS!$A$3:$A$176, 0)-1,MATCH(EOMONTH(EH$15,1), ARGUS!$B$4:$LG$4, 0)-1,1,1)/1000, 0)</f>
        <v>14.016</v>
      </c>
      <c r="EI69" s="26">
        <f ca="1">IFERROR(OFFSET(ARGUS!$A$3, MATCH($A69, ARGUS!$A$3:$A$176, 0)-1,MATCH(EOMONTH(EI$15,1), ARGUS!$B$4:$LG$4, 0)-1,1,1)/1000, 0)</f>
        <v>14.016</v>
      </c>
      <c r="EJ69" s="26">
        <f ca="1">IFERROR(OFFSET(ARGUS!$A$3, MATCH($A69, ARGUS!$A$3:$A$176, 0)-1,MATCH(EOMONTH(EJ$15,1), ARGUS!$B$4:$LG$4, 0)-1,1,1)/1000, 0)</f>
        <v>14.016</v>
      </c>
      <c r="EK69" s="26">
        <f ca="1">IFERROR(OFFSET(ARGUS!$A$3, MATCH($A69, ARGUS!$A$3:$A$176, 0)-1,MATCH(EOMONTH(EK$15,1), ARGUS!$B$4:$LG$4, 0)-1,1,1)/1000, 0)</f>
        <v>14.016</v>
      </c>
      <c r="EL69" s="26">
        <f ca="1">IFERROR(OFFSET(ARGUS!$A$3, MATCH($A69, ARGUS!$A$3:$A$176, 0)-1,MATCH(EOMONTH(EL$15,1), ARGUS!$B$4:$LG$4, 0)-1,1,1)/1000, 0)</f>
        <v>14.016</v>
      </c>
      <c r="EM69" s="26">
        <f ca="1">IFERROR(OFFSET(ARGUS!$A$3, MATCH($A69, ARGUS!$A$3:$A$176, 0)-1,MATCH(EOMONTH(EM$15,1), ARGUS!$B$4:$LG$4, 0)-1,1,1)/1000, 0)</f>
        <v>14.016</v>
      </c>
      <c r="EN69" s="26">
        <f ca="1">IFERROR(OFFSET(ARGUS!$A$3, MATCH($A69, ARGUS!$A$3:$A$176, 0)-1,MATCH(EOMONTH(EN$15,1), ARGUS!$B$4:$LG$4, 0)-1,1,1)/1000, 0)</f>
        <v>14.016</v>
      </c>
      <c r="EO69" s="26">
        <f ca="1">IFERROR(OFFSET(ARGUS!$A$3, MATCH($A69, ARGUS!$A$3:$A$176, 0)-1,MATCH(EOMONTH(EO$15,1), ARGUS!$B$4:$LG$4, 0)-1,1,1)/1000, 0)</f>
        <v>14.016</v>
      </c>
      <c r="EP69" s="26">
        <f ca="1">IFERROR(OFFSET(ARGUS!$A$3, MATCH($A69, ARGUS!$A$3:$A$176, 0)-1,MATCH(EOMONTH(EP$15,1), ARGUS!$B$4:$LG$4, 0)-1,1,1)/1000, 0)</f>
        <v>14.016</v>
      </c>
      <c r="EQ69" s="26">
        <f ca="1">IFERROR(OFFSET(ARGUS!$A$3, MATCH($A69, ARGUS!$A$3:$A$176, 0)-1,MATCH(EOMONTH(EQ$15,1), ARGUS!$B$4:$LG$4, 0)-1,1,1)/1000, 0)</f>
        <v>14.016</v>
      </c>
      <c r="ER69" s="26">
        <f ca="1">IFERROR(OFFSET(ARGUS!$A$3, MATCH($A69, ARGUS!$A$3:$A$176, 0)-1,MATCH(EOMONTH(ER$15,1), ARGUS!$B$4:$LG$4, 0)-1,1,1)/1000, 0)</f>
        <v>14.016</v>
      </c>
      <c r="ES69" s="26">
        <f ca="1">IFERROR(OFFSET(ARGUS!$A$3, MATCH($A69, ARGUS!$A$3:$A$176, 0)-1,MATCH(EOMONTH(ES$15,1), ARGUS!$B$4:$LG$4, 0)-1,1,1)/1000, 0)</f>
        <v>14.016</v>
      </c>
      <c r="ET69" s="26">
        <f ca="1">IFERROR(OFFSET(ARGUS!$A$3, MATCH($A69, ARGUS!$A$3:$A$176, 0)-1,MATCH(EOMONTH(ET$15,1), ARGUS!$B$4:$LG$4, 0)-1,1,1)/1000, 0)</f>
        <v>14.436</v>
      </c>
      <c r="EU69" s="26">
        <f ca="1">IFERROR(OFFSET(ARGUS!$A$3, MATCH($A69, ARGUS!$A$3:$A$176, 0)-1,MATCH(EOMONTH(EU$15,1), ARGUS!$B$4:$LG$4, 0)-1,1,1)/1000, 0)</f>
        <v>14.436</v>
      </c>
      <c r="EV69" s="26">
        <f ca="1">IFERROR(OFFSET(ARGUS!$A$3, MATCH($A69, ARGUS!$A$3:$A$176, 0)-1,MATCH(EOMONTH(EV$15,1), ARGUS!$B$4:$LG$4, 0)-1,1,1)/1000, 0)</f>
        <v>14.436</v>
      </c>
      <c r="EW69" s="26">
        <f ca="1">IFERROR(OFFSET(ARGUS!$A$3, MATCH($A69, ARGUS!$A$3:$A$176, 0)-1,MATCH(EOMONTH(EW$15,1), ARGUS!$B$4:$LG$4, 0)-1,1,1)/1000, 0)</f>
        <v>14.436</v>
      </c>
      <c r="EX69" s="26">
        <f ca="1">IFERROR(OFFSET(ARGUS!$A$3, MATCH($A69, ARGUS!$A$3:$A$176, 0)-1,MATCH(EOMONTH(EX$15,1), ARGUS!$B$4:$LG$4, 0)-1,1,1)/1000, 0)</f>
        <v>14.436</v>
      </c>
      <c r="EY69" s="26">
        <f ca="1">IFERROR(OFFSET(ARGUS!$A$3, MATCH($A69, ARGUS!$A$3:$A$176, 0)-1,MATCH(EOMONTH(EY$15,1), ARGUS!$B$4:$LG$4, 0)-1,1,1)/1000, 0)</f>
        <v>14.436</v>
      </c>
      <c r="EZ69" s="26">
        <f ca="1">IFERROR(OFFSET(ARGUS!$A$3, MATCH($A69, ARGUS!$A$3:$A$176, 0)-1,MATCH(EOMONTH(EZ$15,1), ARGUS!$B$4:$LG$4, 0)-1,1,1)/1000, 0)</f>
        <v>14.436</v>
      </c>
      <c r="FA69" s="26">
        <f ca="1">IFERROR(OFFSET(ARGUS!$A$3, MATCH($A69, ARGUS!$A$3:$A$176, 0)-1,MATCH(EOMONTH(FA$15,1), ARGUS!$B$4:$LG$4, 0)-1,1,1)/1000, 0)</f>
        <v>14.436</v>
      </c>
      <c r="FB69" s="26">
        <f ca="1">IFERROR(OFFSET(ARGUS!$A$3, MATCH($A69, ARGUS!$A$3:$A$176, 0)-1,MATCH(EOMONTH(FB$15,1), ARGUS!$B$4:$LG$4, 0)-1,1,1)/1000, 0)</f>
        <v>14.436</v>
      </c>
      <c r="FC69" s="26">
        <f ca="1">IFERROR(OFFSET(ARGUS!$A$3, MATCH($A69, ARGUS!$A$3:$A$176, 0)-1,MATCH(EOMONTH(FC$15,1), ARGUS!$B$4:$LG$4, 0)-1,1,1)/1000, 0)</f>
        <v>14.436</v>
      </c>
      <c r="FD69" s="26">
        <f ca="1">IFERROR(OFFSET(ARGUS!$A$3, MATCH($A69, ARGUS!$A$3:$A$176, 0)-1,MATCH(EOMONTH(FD$15,1), ARGUS!$B$4:$LG$4, 0)-1,1,1)/1000, 0)</f>
        <v>14.436</v>
      </c>
      <c r="FE69" s="26">
        <f ca="1">IFERROR(OFFSET(ARGUS!$A$3, MATCH($A69, ARGUS!$A$3:$A$176, 0)-1,MATCH(EOMONTH(FE$15,1), ARGUS!$B$4:$LG$4, 0)-1,1,1)/1000, 0)</f>
        <v>14.436</v>
      </c>
      <c r="FF69" s="26">
        <f ca="1">IFERROR(OFFSET(ARGUS!$A$3, MATCH($A69, ARGUS!$A$3:$A$176, 0)-1,MATCH(EOMONTH(FF$15,1), ARGUS!$B$4:$LG$4, 0)-1,1,1)/1000, 0)</f>
        <v>14.869</v>
      </c>
      <c r="FG69" s="26">
        <f ca="1">IFERROR(OFFSET(ARGUS!$A$3, MATCH($A69, ARGUS!$A$3:$A$176, 0)-1,MATCH(EOMONTH(FG$15,1), ARGUS!$B$4:$LG$4, 0)-1,1,1)/1000, 0)</f>
        <v>14.869</v>
      </c>
      <c r="FH69" s="26">
        <f ca="1">IFERROR(OFFSET(ARGUS!$A$3, MATCH($A69, ARGUS!$A$3:$A$176, 0)-1,MATCH(EOMONTH(FH$15,1), ARGUS!$B$4:$LG$4, 0)-1,1,1)/1000, 0)</f>
        <v>14.869</v>
      </c>
      <c r="FI69" s="26">
        <f ca="1">IFERROR(OFFSET(ARGUS!$A$3, MATCH($A69, ARGUS!$A$3:$A$176, 0)-1,MATCH(EOMONTH(FI$15,1), ARGUS!$B$4:$LG$4, 0)-1,1,1)/1000, 0)</f>
        <v>14.869</v>
      </c>
      <c r="FJ69" s="26">
        <f ca="1">IFERROR(OFFSET(ARGUS!$A$3, MATCH($A69, ARGUS!$A$3:$A$176, 0)-1,MATCH(EOMONTH(FJ$15,1), ARGUS!$B$4:$LG$4, 0)-1,1,1)/1000, 0)</f>
        <v>14.869</v>
      </c>
      <c r="FK69" s="26">
        <f ca="1">IFERROR(OFFSET(ARGUS!$A$3, MATCH($A69, ARGUS!$A$3:$A$176, 0)-1,MATCH(EOMONTH(FK$15,1), ARGUS!$B$4:$LG$4, 0)-1,1,1)/1000, 0)</f>
        <v>14.869</v>
      </c>
      <c r="FL69" s="26">
        <f ca="1">IFERROR(OFFSET(ARGUS!$A$3, MATCH($A69, ARGUS!$A$3:$A$176, 0)-1,MATCH(EOMONTH(FL$15,1), ARGUS!$B$4:$LG$4, 0)-1,1,1)/1000, 0)</f>
        <v>14.869</v>
      </c>
      <c r="FM69" s="26">
        <f ca="1">IFERROR(OFFSET(ARGUS!$A$3, MATCH($A69, ARGUS!$A$3:$A$176, 0)-1,MATCH(EOMONTH(FM$15,1), ARGUS!$B$4:$LG$4, 0)-1,1,1)/1000, 0)</f>
        <v>14.869</v>
      </c>
      <c r="FN69" s="26">
        <f ca="1">IFERROR(OFFSET(ARGUS!$A$3, MATCH($A69, ARGUS!$A$3:$A$176, 0)-1,MATCH(EOMONTH(FN$15,1), ARGUS!$B$4:$LG$4, 0)-1,1,1)/1000, 0)</f>
        <v>14.869</v>
      </c>
      <c r="FO69" s="26">
        <f ca="1">IFERROR(OFFSET(ARGUS!$A$3, MATCH($A69, ARGUS!$A$3:$A$176, 0)-1,MATCH(EOMONTH(FO$15,1), ARGUS!$B$4:$LG$4, 0)-1,1,1)/1000, 0)</f>
        <v>14.869</v>
      </c>
      <c r="FP69" s="26">
        <f ca="1">IFERROR(OFFSET(ARGUS!$A$3, MATCH($A69, ARGUS!$A$3:$A$176, 0)-1,MATCH(EOMONTH(FP$15,1), ARGUS!$B$4:$LG$4, 0)-1,1,1)/1000, 0)</f>
        <v>14.869</v>
      </c>
      <c r="FQ69" s="26">
        <f ca="1">IFERROR(OFFSET(ARGUS!$A$3, MATCH($A69, ARGUS!$A$3:$A$176, 0)-1,MATCH(EOMONTH(FQ$15,1), ARGUS!$B$4:$LG$4, 0)-1,1,1)/1000, 0)</f>
        <v>14.869</v>
      </c>
      <c r="FR69" s="26">
        <f ca="1">IFERROR(OFFSET(ARGUS!$A$3, MATCH($A69, ARGUS!$A$3:$A$176, 0)-1,MATCH(EOMONTH(FR$15,1), ARGUS!$B$4:$LG$4, 0)-1,1,1)/1000, 0)</f>
        <v>15.315</v>
      </c>
      <c r="FS69" s="26">
        <f ca="1">IFERROR(OFFSET(ARGUS!$A$3, MATCH($A69, ARGUS!$A$3:$A$176, 0)-1,MATCH(EOMONTH(FS$15,1), ARGUS!$B$4:$LG$4, 0)-1,1,1)/1000, 0)</f>
        <v>15.315</v>
      </c>
      <c r="FT69" s="26">
        <f ca="1">IFERROR(OFFSET(ARGUS!$A$3, MATCH($A69, ARGUS!$A$3:$A$176, 0)-1,MATCH(EOMONTH(FT$15,1), ARGUS!$B$4:$LG$4, 0)-1,1,1)/1000, 0)</f>
        <v>15.315</v>
      </c>
      <c r="FU69" s="26">
        <f ca="1">IFERROR(OFFSET(ARGUS!$A$3, MATCH($A69, ARGUS!$A$3:$A$176, 0)-1,MATCH(EOMONTH(FU$15,1), ARGUS!$B$4:$LG$4, 0)-1,1,1)/1000, 0)</f>
        <v>15.315</v>
      </c>
      <c r="FV69" s="26">
        <f ca="1">IFERROR(OFFSET(ARGUS!$A$3, MATCH($A69, ARGUS!$A$3:$A$176, 0)-1,MATCH(EOMONTH(FV$15,1), ARGUS!$B$4:$LG$4, 0)-1,1,1)/1000, 0)</f>
        <v>15.315</v>
      </c>
      <c r="FW69" s="26">
        <f ca="1">IFERROR(OFFSET(ARGUS!$A$3, MATCH($A69, ARGUS!$A$3:$A$176, 0)-1,MATCH(EOMONTH(FW$15,1), ARGUS!$B$4:$LG$4, 0)-1,1,1)/1000, 0)</f>
        <v>15.315</v>
      </c>
      <c r="FX69" s="26">
        <f ca="1">IFERROR(OFFSET(ARGUS!$A$3, MATCH($A69, ARGUS!$A$3:$A$176, 0)-1,MATCH(EOMONTH(FX$15,1), ARGUS!$B$4:$LG$4, 0)-1,1,1)/1000, 0)</f>
        <v>15.315</v>
      </c>
      <c r="FY69" s="26">
        <f ca="1">IFERROR(OFFSET(ARGUS!$A$3, MATCH($A69, ARGUS!$A$3:$A$176, 0)-1,MATCH(EOMONTH(FY$15,1), ARGUS!$B$4:$LG$4, 0)-1,1,1)/1000, 0)</f>
        <v>15.315</v>
      </c>
      <c r="FZ69" s="26">
        <f ca="1">IFERROR(OFFSET(ARGUS!$A$3, MATCH($A69, ARGUS!$A$3:$A$176, 0)-1,MATCH(EOMONTH(FZ$15,1), ARGUS!$B$4:$LG$4, 0)-1,1,1)/1000, 0)</f>
        <v>15.315</v>
      </c>
      <c r="GA69" s="26">
        <f ca="1">IFERROR(OFFSET(ARGUS!$A$3, MATCH($A69, ARGUS!$A$3:$A$176, 0)-1,MATCH(EOMONTH(GA$15,1), ARGUS!$B$4:$LG$4, 0)-1,1,1)/1000, 0)</f>
        <v>15.315</v>
      </c>
      <c r="GB69" s="26">
        <f ca="1">IFERROR(OFFSET(ARGUS!$A$3, MATCH($A69, ARGUS!$A$3:$A$176, 0)-1,MATCH(EOMONTH(GB$15,1), ARGUS!$B$4:$LG$4, 0)-1,1,1)/1000, 0)</f>
        <v>15.315</v>
      </c>
      <c r="GC69" s="26">
        <f ca="1">IFERROR(OFFSET(ARGUS!$A$3, MATCH($A69, ARGUS!$A$3:$A$176, 0)-1,MATCH(EOMONTH(GC$15,1), ARGUS!$B$4:$LG$4, 0)-1,1,1)/1000, 0)</f>
        <v>15.315</v>
      </c>
      <c r="GD69" s="26">
        <f ca="1">IFERROR(OFFSET(ARGUS!$A$3, MATCH($A69, ARGUS!$A$3:$A$176, 0)-1,MATCH(EOMONTH(GD$15,1), ARGUS!$B$4:$LG$4, 0)-1,1,1)/1000, 0)</f>
        <v>15.775</v>
      </c>
      <c r="GE69" s="26">
        <f ca="1">IFERROR(OFFSET(ARGUS!$A$3, MATCH($A69, ARGUS!$A$3:$A$176, 0)-1,MATCH(EOMONTH(GE$15,1), ARGUS!$B$4:$LG$4, 0)-1,1,1)/1000, 0)</f>
        <v>15.775</v>
      </c>
      <c r="GF69" s="26">
        <f ca="1">IFERROR(OFFSET(ARGUS!$A$3, MATCH($A69, ARGUS!$A$3:$A$176, 0)-1,MATCH(EOMONTH(GF$15,1), ARGUS!$B$4:$LG$4, 0)-1,1,1)/1000, 0)</f>
        <v>15.775</v>
      </c>
      <c r="GG69" s="26">
        <f ca="1">IFERROR(OFFSET(ARGUS!$A$3, MATCH($A69, ARGUS!$A$3:$A$176, 0)-1,MATCH(EOMONTH(GG$15,1), ARGUS!$B$4:$LG$4, 0)-1,1,1)/1000, 0)</f>
        <v>15.775</v>
      </c>
      <c r="GH69" s="26">
        <f ca="1">IFERROR(OFFSET(ARGUS!$A$3, MATCH($A69, ARGUS!$A$3:$A$176, 0)-1,MATCH(EOMONTH(GH$15,1), ARGUS!$B$4:$LG$4, 0)-1,1,1)/1000, 0)</f>
        <v>15.775</v>
      </c>
      <c r="GI69" s="26">
        <f ca="1">IFERROR(OFFSET(ARGUS!$A$3, MATCH($A69, ARGUS!$A$3:$A$176, 0)-1,MATCH(EOMONTH(GI$15,1), ARGUS!$B$4:$LG$4, 0)-1,1,1)/1000, 0)</f>
        <v>15.775</v>
      </c>
      <c r="GJ69" s="26">
        <f ca="1">IFERROR(OFFSET(ARGUS!$A$3, MATCH($A69, ARGUS!$A$3:$A$176, 0)-1,MATCH(EOMONTH(GJ$15,1), ARGUS!$B$4:$LG$4, 0)-1,1,1)/1000, 0)</f>
        <v>15.775</v>
      </c>
      <c r="GK69" s="26">
        <f ca="1">IFERROR(OFFSET(ARGUS!$A$3, MATCH($A69, ARGUS!$A$3:$A$176, 0)-1,MATCH(EOMONTH(GK$15,1), ARGUS!$B$4:$LG$4, 0)-1,1,1)/1000, 0)</f>
        <v>15.775</v>
      </c>
      <c r="GL69" s="26">
        <f ca="1">IFERROR(OFFSET(ARGUS!$A$3, MATCH($A69, ARGUS!$A$3:$A$176, 0)-1,MATCH(EOMONTH(GL$15,1), ARGUS!$B$4:$LG$4, 0)-1,1,1)/1000, 0)</f>
        <v>15.775</v>
      </c>
      <c r="GM69" s="26">
        <f ca="1">IFERROR(OFFSET(ARGUS!$A$3, MATCH($A69, ARGUS!$A$3:$A$176, 0)-1,MATCH(EOMONTH(GM$15,1), ARGUS!$B$4:$LG$4, 0)-1,1,1)/1000, 0)</f>
        <v>15.775</v>
      </c>
      <c r="GN69" s="26">
        <f ca="1">IFERROR(OFFSET(ARGUS!$A$3, MATCH($A69, ARGUS!$A$3:$A$176, 0)-1,MATCH(EOMONTH(GN$15,1), ARGUS!$B$4:$LG$4, 0)-1,1,1)/1000, 0)</f>
        <v>15.775</v>
      </c>
      <c r="GO69" s="26">
        <f ca="1">IFERROR(OFFSET(ARGUS!$A$3, MATCH($A69, ARGUS!$A$3:$A$176, 0)-1,MATCH(EOMONTH(GO$15,1), ARGUS!$B$4:$LG$4, 0)-1,1,1)/1000, 0)</f>
        <v>15.775</v>
      </c>
      <c r="GP69" s="26">
        <f ca="1">IFERROR(OFFSET(ARGUS!$A$3, MATCH($A69, ARGUS!$A$3:$A$176, 0)-1,MATCH(EOMONTH(GP$15,1), ARGUS!$B$4:$LG$4, 0)-1,1,1)/1000, 0)</f>
        <v>16.248000000000001</v>
      </c>
      <c r="GQ69" s="26">
        <f ca="1">IFERROR(OFFSET(ARGUS!$A$3, MATCH($A69, ARGUS!$A$3:$A$176, 0)-1,MATCH(EOMONTH(GQ$15,1), ARGUS!$B$4:$LG$4, 0)-1,1,1)/1000, 0)</f>
        <v>16.248000000000001</v>
      </c>
      <c r="GR69" s="26">
        <f ca="1">IFERROR(OFFSET(ARGUS!$A$3, MATCH($A69, ARGUS!$A$3:$A$176, 0)-1,MATCH(EOMONTH(GR$15,1), ARGUS!$B$4:$LG$4, 0)-1,1,1)/1000, 0)</f>
        <v>16.248000000000001</v>
      </c>
      <c r="GS69" s="26">
        <f ca="1">IFERROR(OFFSET(ARGUS!$A$3, MATCH($A69, ARGUS!$A$3:$A$176, 0)-1,MATCH(EOMONTH(GS$15,1), ARGUS!$B$4:$LG$4, 0)-1,1,1)/1000, 0)</f>
        <v>16.248000000000001</v>
      </c>
      <c r="GT69" s="26">
        <f ca="1">IFERROR(OFFSET(ARGUS!$A$3, MATCH($A69, ARGUS!$A$3:$A$176, 0)-1,MATCH(EOMONTH(GT$15,1), ARGUS!$B$4:$LG$4, 0)-1,1,1)/1000, 0)</f>
        <v>16.248000000000001</v>
      </c>
      <c r="GU69" s="26"/>
      <c r="GV69" s="26"/>
      <c r="GW69" s="26"/>
      <c r="GX69" s="26"/>
      <c r="GY69" s="26"/>
      <c r="GZ69" s="26"/>
      <c r="HA69" s="26"/>
      <c r="HB69" s="26"/>
      <c r="HC69" s="26"/>
      <c r="HD69" s="26"/>
      <c r="HE69" s="26"/>
      <c r="HF69" s="1" t="s">
        <v>212</v>
      </c>
      <c r="HG69" s="139" t="e">
        <f t="shared" si="519"/>
        <v>#REF!</v>
      </c>
      <c r="HH69" s="1" t="str">
        <f t="shared" si="664"/>
        <v>Insurance</v>
      </c>
      <c r="HI69" s="26"/>
      <c r="HJ69" s="26"/>
      <c r="HK69" s="26"/>
      <c r="HL69" s="132">
        <f t="shared" ca="1" si="665"/>
        <v>903.32330999999999</v>
      </c>
      <c r="HM69" s="26"/>
      <c r="HN69" s="133">
        <f t="shared" si="666"/>
        <v>0</v>
      </c>
      <c r="HO69" s="26">
        <f t="shared" si="666"/>
        <v>90.613499999999988</v>
      </c>
      <c r="HP69" s="26">
        <f t="shared" si="666"/>
        <v>93.865499999999997</v>
      </c>
      <c r="HQ69" s="26">
        <f t="shared" si="666"/>
        <v>82.658390000000011</v>
      </c>
      <c r="HR69" s="26">
        <f t="shared" si="666"/>
        <v>94.53591999999999</v>
      </c>
      <c r="HS69" s="26">
        <f t="shared" si="666"/>
        <v>124.35726000000003</v>
      </c>
      <c r="HT69" s="26">
        <f t="shared" si="666"/>
        <v>142.09389999999999</v>
      </c>
      <c r="HU69" s="26">
        <f t="shared" ca="1" si="666"/>
        <v>123.52484000000003</v>
      </c>
      <c r="HV69" s="26">
        <f t="shared" ca="1" si="666"/>
        <v>151.67399999999998</v>
      </c>
      <c r="HW69"/>
    </row>
    <row r="70" spans="1:231" ht="15">
      <c r="A70" s="441">
        <v>11</v>
      </c>
      <c r="B70" s="1" t="s">
        <v>753</v>
      </c>
      <c r="D70" s="585"/>
      <c r="E70" s="98"/>
      <c r="F70" s="145"/>
      <c r="I70" s="132">
        <f ca="1">SUMIF($K$13:$GT$13,"&lt;="&amp;Assumptions!$L$17,'Monthly Cash Flow'!K70:GT70)</f>
        <v>715.5000299999997</v>
      </c>
      <c r="J70" s="26"/>
      <c r="K70" s="155"/>
      <c r="L70" s="954">
        <f>Historicals!D18</f>
        <v>8.7785799999999998</v>
      </c>
      <c r="M70" s="954">
        <f>Historicals!E18</f>
        <v>5.1988500000000002</v>
      </c>
      <c r="N70" s="954">
        <f>Historicals!F18</f>
        <v>6.5091899999999994</v>
      </c>
      <c r="O70" s="954">
        <f>Historicals!G18</f>
        <v>30.781929999999999</v>
      </c>
      <c r="P70" s="954">
        <f>Historicals!H18</f>
        <v>6.7163500000000003</v>
      </c>
      <c r="Q70" s="954">
        <f>Historicals!I18</f>
        <v>-20.781929999999999</v>
      </c>
      <c r="R70" s="954">
        <f>Historicals!J18</f>
        <v>6.4083199999999998</v>
      </c>
      <c r="S70" s="954">
        <f>Historicals!K18</f>
        <v>5.35588</v>
      </c>
      <c r="T70" s="954">
        <f>Historicals!L18</f>
        <v>8.1665700000000001</v>
      </c>
      <c r="U70" s="954">
        <f>Historicals!M18</f>
        <v>5.2042399999999995</v>
      </c>
      <c r="V70" s="954">
        <f>Historicals!N18</f>
        <v>7.6811699999999998</v>
      </c>
      <c r="W70" s="954">
        <f>Historicals!O18</f>
        <v>7.1171999999999995</v>
      </c>
      <c r="X70" s="954">
        <f>Historicals!P18</f>
        <v>8.1303400000000003</v>
      </c>
      <c r="Y70" s="954">
        <f>Historicals!Q18</f>
        <v>5.3354699999999999</v>
      </c>
      <c r="Z70" s="954">
        <f>Historicals!R18</f>
        <v>6.2674599999999998</v>
      </c>
      <c r="AA70" s="954">
        <f>Historicals!S18</f>
        <v>6.8906999999999998</v>
      </c>
      <c r="AB70" s="954">
        <f>Historicals!T18</f>
        <v>7.2120200000000008</v>
      </c>
      <c r="AC70" s="954">
        <f>Historicals!U18</f>
        <v>5.8285400000000003</v>
      </c>
      <c r="AD70" s="954">
        <f>Historicals!V18</f>
        <v>7.6367200000000004</v>
      </c>
      <c r="AE70" s="954">
        <f>Historicals!W18</f>
        <v>6.3535500000000003</v>
      </c>
      <c r="AF70" s="954">
        <f>Historicals!X18</f>
        <v>6.4451200000000002</v>
      </c>
      <c r="AG70" s="954">
        <f>Historicals!Y18</f>
        <v>8.7364800000000002</v>
      </c>
      <c r="AH70" s="954">
        <f>Historicals!Z18</f>
        <v>7.3728599999999993</v>
      </c>
      <c r="AI70" s="954">
        <f>Historicals!AA18</f>
        <v>6.5530299999999997</v>
      </c>
      <c r="AJ70" s="954">
        <f>Historicals!AB18</f>
        <v>8.595229999999999</v>
      </c>
      <c r="AK70" s="954">
        <f>Historicals!AC18</f>
        <v>8.1115399999999998</v>
      </c>
      <c r="AL70" s="954">
        <f>Historicals!AD18</f>
        <v>5.5584600000000002</v>
      </c>
      <c r="AM70" s="954">
        <f>Historicals!AE18</f>
        <v>7.3911199999999999</v>
      </c>
      <c r="AN70" s="954">
        <f>Historicals!AF18</f>
        <v>6.7157299999999998</v>
      </c>
      <c r="AO70" s="954">
        <f>Historicals!AG18</f>
        <v>7.3897299999999992</v>
      </c>
      <c r="AP70" s="954">
        <f>Historicals!AH18</f>
        <v>7.4455799999999996</v>
      </c>
      <c r="AQ70" s="954">
        <f>Historicals!AI18</f>
        <v>5.1865500000000004</v>
      </c>
      <c r="AR70" s="954">
        <f>Historicals!AJ18</f>
        <v>6.4949300000000001</v>
      </c>
      <c r="AS70" s="954">
        <f>Historicals!AK18</f>
        <v>7.1056800000000004</v>
      </c>
      <c r="AT70" s="954">
        <f>Historicals!AL18</f>
        <v>8.4730499999999989</v>
      </c>
      <c r="AU70" s="954">
        <f>Historicals!AM18</f>
        <v>6.4879799999999994</v>
      </c>
      <c r="AV70" s="954">
        <f>Historicals!AN18</f>
        <v>7.3508300000000002</v>
      </c>
      <c r="AW70" s="954">
        <f>Historicals!AO18</f>
        <v>7.9124499999999998</v>
      </c>
      <c r="AX70" s="954">
        <f>Historicals!AP18</f>
        <v>6.0401899999999999</v>
      </c>
      <c r="AY70" s="954">
        <f>Historicals!AQ18</f>
        <v>6.3318300000000001</v>
      </c>
      <c r="AZ70" s="954">
        <f>Historicals!AR18</f>
        <v>7.93391</v>
      </c>
      <c r="BA70" s="954">
        <f>Historicals!AS18</f>
        <v>7.1051200000000003</v>
      </c>
      <c r="BB70" s="954">
        <f>Historicals!AT18</f>
        <v>7.2503400000000005</v>
      </c>
      <c r="BC70" s="954">
        <f>Historicals!AU18</f>
        <v>14.418629999999999</v>
      </c>
      <c r="BD70" s="954">
        <f>Historicals!AV18</f>
        <v>6.7866999999999997</v>
      </c>
      <c r="BE70" s="954">
        <f>Historicals!AW18</f>
        <v>5</v>
      </c>
      <c r="BF70" s="954">
        <f>Historicals!AX18</f>
        <v>6.3441999999999998</v>
      </c>
      <c r="BG70" s="954">
        <f>Historicals!AY18</f>
        <v>5</v>
      </c>
      <c r="BH70" s="954">
        <f>Historicals!AZ18</f>
        <v>5</v>
      </c>
      <c r="BI70" s="954">
        <f>Historicals!BA18</f>
        <v>5</v>
      </c>
      <c r="BJ70" s="954">
        <f>Historicals!BB18</f>
        <v>6.8791000000000002</v>
      </c>
      <c r="BK70" s="954">
        <f>Historicals!BC18</f>
        <v>5.9201199999999998</v>
      </c>
      <c r="BL70" s="954">
        <f>Historicals!BD18</f>
        <v>5</v>
      </c>
      <c r="BM70" s="954">
        <f>Historicals!BE18</f>
        <v>5</v>
      </c>
      <c r="BN70" s="954">
        <f>Historicals!BF18</f>
        <v>5</v>
      </c>
      <c r="BO70" s="954">
        <f>Historicals!BG18</f>
        <v>6.1800600000000001</v>
      </c>
      <c r="BP70" s="954">
        <f>Historicals!BH18</f>
        <v>8.2532900000000016</v>
      </c>
      <c r="BQ70" s="954">
        <f>Historicals!BI18</f>
        <v>6.90604</v>
      </c>
      <c r="BR70" s="954">
        <f>Historicals!BJ18</f>
        <v>5.1419300000000003</v>
      </c>
      <c r="BS70" s="954">
        <f>Historicals!BK18</f>
        <v>7.0098700000000003</v>
      </c>
      <c r="BT70" s="954">
        <f>Historicals!BL18</f>
        <v>5.3544700000000001</v>
      </c>
      <c r="BU70" s="954">
        <f>Historicals!BM18</f>
        <v>6.0891000000000002</v>
      </c>
      <c r="BV70" s="954">
        <f>Historicals!BN18</f>
        <v>5.3490500000000001</v>
      </c>
      <c r="BW70" s="954">
        <f>Historicals!BO18</f>
        <v>5.4208500000000006</v>
      </c>
      <c r="BX70" s="954">
        <f>Historicals!BP18</f>
        <v>5.4100400000000004</v>
      </c>
      <c r="BY70" s="954">
        <f>Historicals!BQ18</f>
        <v>5.48489</v>
      </c>
      <c r="BZ70" s="954">
        <f>Historicals!BR18</f>
        <v>7.2803500000000003</v>
      </c>
      <c r="CA70" s="954">
        <f>Historicals!BS18</f>
        <v>9.4252299999999991</v>
      </c>
      <c r="CB70" s="954">
        <f>Historicals!BT18</f>
        <v>7.6430899999999999</v>
      </c>
      <c r="CC70" s="954">
        <f>Historicals!BU18</f>
        <v>6.9598100000000001</v>
      </c>
      <c r="CD70" s="954">
        <f>Historicals!BV18</f>
        <v>10.31265</v>
      </c>
      <c r="CE70" s="954">
        <f>Historicals!BW18</f>
        <v>5</v>
      </c>
      <c r="CF70" s="954">
        <f>Historicals!BX18</f>
        <v>5</v>
      </c>
      <c r="CG70" s="954">
        <f>Historicals!BY18</f>
        <v>5</v>
      </c>
      <c r="CH70" s="954">
        <f>Historicals!BZ18</f>
        <v>9.7656700000000001</v>
      </c>
      <c r="CI70" s="26">
        <f ca="1">IFERROR(OFFSET(ARGUS!$A$3, MATCH($A70, ARGUS!$A$3:$A$176, 0)-1,MATCH(EOMONTH(CI$15,1), ARGUS!$B$4:$LG$4, 0)-1,1,1)/1000, 0)</f>
        <v>6.3179999999999996</v>
      </c>
      <c r="CJ70" s="26">
        <f ca="1">IFERROR(OFFSET(ARGUS!$A$3, MATCH($A70, ARGUS!$A$3:$A$176, 0)-1,MATCH(EOMONTH(CJ$15,1), ARGUS!$B$4:$LG$4, 0)-1,1,1)/1000, 0)</f>
        <v>7.0220000000000002</v>
      </c>
      <c r="CK70" s="26">
        <f ca="1">IFERROR(OFFSET(ARGUS!$A$3, MATCH($A70, ARGUS!$A$3:$A$176, 0)-1,MATCH(EOMONTH(CK$15,1), ARGUS!$B$4:$LG$4, 0)-1,1,1)/1000, 0)</f>
        <v>7.0220000000000002</v>
      </c>
      <c r="CL70" s="26">
        <f ca="1">IFERROR(OFFSET(ARGUS!$A$3, MATCH($A70, ARGUS!$A$3:$A$176, 0)-1,MATCH(EOMONTH(CL$15,1), ARGUS!$B$4:$LG$4, 0)-1,1,1)/1000, 0)</f>
        <v>7.1369999999999996</v>
      </c>
      <c r="CM70" s="26">
        <f ca="1">IFERROR(OFFSET(ARGUS!$A$3, MATCH($A70, ARGUS!$A$3:$A$176, 0)-1,MATCH(EOMONTH(CM$15,1), ARGUS!$B$4:$LG$4, 0)-1,1,1)/1000, 0)</f>
        <v>7.1369999999999996</v>
      </c>
      <c r="CN70" s="26">
        <f ca="1">IFERROR(OFFSET(ARGUS!$A$3, MATCH($A70, ARGUS!$A$3:$A$176, 0)-1,MATCH(EOMONTH(CN$15,1), ARGUS!$B$4:$LG$4, 0)-1,1,1)/1000, 0)</f>
        <v>7.15</v>
      </c>
      <c r="CO70" s="26">
        <f ca="1">IFERROR(OFFSET(ARGUS!$A$3, MATCH($A70, ARGUS!$A$3:$A$176, 0)-1,MATCH(EOMONTH(CO$15,1), ARGUS!$B$4:$LG$4, 0)-1,1,1)/1000, 0)</f>
        <v>7.15</v>
      </c>
      <c r="CP70" s="26">
        <f ca="1">IFERROR(OFFSET(ARGUS!$A$3, MATCH($A70, ARGUS!$A$3:$A$176, 0)-1,MATCH(EOMONTH(CP$15,1), ARGUS!$B$4:$LG$4, 0)-1,1,1)/1000, 0)</f>
        <v>7.4660000000000002</v>
      </c>
      <c r="CQ70" s="26">
        <f ca="1">IFERROR(OFFSET(ARGUS!$A$3, MATCH($A70, ARGUS!$A$3:$A$176, 0)-1,MATCH(EOMONTH(CQ$15,1), ARGUS!$B$4:$LG$4, 0)-1,1,1)/1000, 0)</f>
        <v>7.492</v>
      </c>
      <c r="CR70" s="26">
        <f ca="1">IFERROR(OFFSET(ARGUS!$A$3, MATCH($A70, ARGUS!$A$3:$A$176, 0)-1,MATCH(EOMONTH(CR$15,1), ARGUS!$B$4:$LG$4, 0)-1,1,1)/1000, 0)</f>
        <v>6.98</v>
      </c>
      <c r="CS70" s="26">
        <f ca="1">IFERROR(OFFSET(ARGUS!$A$3, MATCH($A70, ARGUS!$A$3:$A$176, 0)-1,MATCH(EOMONTH(CS$15,1), ARGUS!$B$4:$LG$4, 0)-1,1,1)/1000, 0)</f>
        <v>6.5259999999999998</v>
      </c>
      <c r="CT70" s="26">
        <f ca="1">IFERROR(OFFSET(ARGUS!$A$3, MATCH($A70, ARGUS!$A$3:$A$176, 0)-1,MATCH(EOMONTH(CT$15,1), ARGUS!$B$4:$LG$4, 0)-1,1,1)/1000, 0)</f>
        <v>7.6929999999999996</v>
      </c>
      <c r="CU70" s="26">
        <f ca="1">IFERROR(OFFSET(ARGUS!$A$3, MATCH($A70, ARGUS!$A$3:$A$176, 0)-1,MATCH(EOMONTH(CU$15,1), ARGUS!$B$4:$LG$4, 0)-1,1,1)/1000, 0)</f>
        <v>7.5839999999999996</v>
      </c>
      <c r="CV70" s="26">
        <f ca="1">IFERROR(OFFSET(ARGUS!$A$3, MATCH($A70, ARGUS!$A$3:$A$176, 0)-1,MATCH(EOMONTH(CV$15,1), ARGUS!$B$4:$LG$4, 0)-1,1,1)/1000, 0)</f>
        <v>7.7750000000000004</v>
      </c>
      <c r="CW70" s="26">
        <f ca="1">IFERROR(OFFSET(ARGUS!$A$3, MATCH($A70, ARGUS!$A$3:$A$176, 0)-1,MATCH(EOMONTH(CW$15,1), ARGUS!$B$4:$LG$4, 0)-1,1,1)/1000, 0)</f>
        <v>7.7750000000000004</v>
      </c>
      <c r="CX70" s="26">
        <f ca="1">IFERROR(OFFSET(ARGUS!$A$3, MATCH($A70, ARGUS!$A$3:$A$176, 0)-1,MATCH(EOMONTH(CX$15,1), ARGUS!$B$4:$LG$4, 0)-1,1,1)/1000, 0)</f>
        <v>7.141</v>
      </c>
      <c r="CY70" s="26">
        <f ca="1">IFERROR(OFFSET(ARGUS!$A$3, MATCH($A70, ARGUS!$A$3:$A$176, 0)-1,MATCH(EOMONTH(CY$15,1), ARGUS!$B$4:$LG$4, 0)-1,1,1)/1000, 0)</f>
        <v>7.835</v>
      </c>
      <c r="CZ70" s="26">
        <f ca="1">IFERROR(OFFSET(ARGUS!$A$3, MATCH($A70, ARGUS!$A$3:$A$176, 0)-1,MATCH(EOMONTH(CZ$15,1), ARGUS!$B$4:$LG$4, 0)-1,1,1)/1000, 0)</f>
        <v>7.1840000000000002</v>
      </c>
      <c r="DA70" s="26">
        <f ca="1">IFERROR(OFFSET(ARGUS!$A$3, MATCH($A70, ARGUS!$A$3:$A$176, 0)-1,MATCH(EOMONTH(DA$15,1), ARGUS!$B$4:$LG$4, 0)-1,1,1)/1000, 0)</f>
        <v>7.8150000000000004</v>
      </c>
      <c r="DB70" s="26">
        <f ca="1">IFERROR(OFFSET(ARGUS!$A$3, MATCH($A70, ARGUS!$A$3:$A$176, 0)-1,MATCH(EOMONTH(DB$15,1), ARGUS!$B$4:$LG$4, 0)-1,1,1)/1000, 0)</f>
        <v>8.2889999999999997</v>
      </c>
      <c r="DC70" s="26">
        <f ca="1">IFERROR(OFFSET(ARGUS!$A$3, MATCH($A70, ARGUS!$A$3:$A$176, 0)-1,MATCH(EOMONTH(DC$15,1), ARGUS!$B$4:$LG$4, 0)-1,1,1)/1000, 0)</f>
        <v>9.3759999999999994</v>
      </c>
      <c r="DD70" s="26">
        <f ca="1">IFERROR(OFFSET(ARGUS!$A$3, MATCH($A70, ARGUS!$A$3:$A$176, 0)-1,MATCH(EOMONTH(DD$15,1), ARGUS!$B$4:$LG$4, 0)-1,1,1)/1000, 0)</f>
        <v>9.3759999999999994</v>
      </c>
      <c r="DE70" s="26">
        <f ca="1">IFERROR(OFFSET(ARGUS!$A$3, MATCH($A70, ARGUS!$A$3:$A$176, 0)-1,MATCH(EOMONTH(DE$15,1), ARGUS!$B$4:$LG$4, 0)-1,1,1)/1000, 0)</f>
        <v>9.39</v>
      </c>
      <c r="DF70" s="26">
        <f ca="1">IFERROR(OFFSET(ARGUS!$A$3, MATCH($A70, ARGUS!$A$3:$A$176, 0)-1,MATCH(EOMONTH(DF$15,1), ARGUS!$B$4:$LG$4, 0)-1,1,1)/1000, 0)</f>
        <v>9.4130000000000003</v>
      </c>
      <c r="DG70" s="26">
        <f ca="1">IFERROR(OFFSET(ARGUS!$A$3, MATCH($A70, ARGUS!$A$3:$A$176, 0)-1,MATCH(EOMONTH(DG$15,1), ARGUS!$B$4:$LG$4, 0)-1,1,1)/1000, 0)</f>
        <v>9.4269999999999996</v>
      </c>
      <c r="DH70" s="26">
        <f ca="1">IFERROR(OFFSET(ARGUS!$A$3, MATCH($A70, ARGUS!$A$3:$A$176, 0)-1,MATCH(EOMONTH(DH$15,1), ARGUS!$B$4:$LG$4, 0)-1,1,1)/1000, 0)</f>
        <v>9.4489999999999998</v>
      </c>
      <c r="DI70" s="26">
        <f ca="1">IFERROR(OFFSET(ARGUS!$A$3, MATCH($A70, ARGUS!$A$3:$A$176, 0)-1,MATCH(EOMONTH(DI$15,1), ARGUS!$B$4:$LG$4, 0)-1,1,1)/1000, 0)</f>
        <v>9.4640000000000004</v>
      </c>
      <c r="DJ70" s="26">
        <f ca="1">IFERROR(OFFSET(ARGUS!$A$3, MATCH($A70, ARGUS!$A$3:$A$176, 0)-1,MATCH(EOMONTH(DJ$15,1), ARGUS!$B$4:$LG$4, 0)-1,1,1)/1000, 0)</f>
        <v>9.6039999999999992</v>
      </c>
      <c r="DK70" s="26">
        <f ca="1">IFERROR(OFFSET(ARGUS!$A$3, MATCH($A70, ARGUS!$A$3:$A$176, 0)-1,MATCH(EOMONTH(DK$15,1), ARGUS!$B$4:$LG$4, 0)-1,1,1)/1000, 0)</f>
        <v>9.6180000000000003</v>
      </c>
      <c r="DL70" s="26">
        <f ca="1">IFERROR(OFFSET(ARGUS!$A$3, MATCH($A70, ARGUS!$A$3:$A$176, 0)-1,MATCH(EOMONTH(DL$15,1), ARGUS!$B$4:$LG$4, 0)-1,1,1)/1000, 0)</f>
        <v>9.6180000000000003</v>
      </c>
      <c r="DM70" s="26">
        <f ca="1">IFERROR(OFFSET(ARGUS!$A$3, MATCH($A70, ARGUS!$A$3:$A$176, 0)-1,MATCH(EOMONTH(DM$15,1), ARGUS!$B$4:$LG$4, 0)-1,1,1)/1000, 0)</f>
        <v>9.6310000000000002</v>
      </c>
      <c r="DN70" s="26">
        <f ca="1">IFERROR(OFFSET(ARGUS!$A$3, MATCH($A70, ARGUS!$A$3:$A$176, 0)-1,MATCH(EOMONTH(DN$15,1), ARGUS!$B$4:$LG$4, 0)-1,1,1)/1000, 0)</f>
        <v>9.3659999999999997</v>
      </c>
      <c r="DO70" s="26">
        <f ca="1">IFERROR(OFFSET(ARGUS!$A$3, MATCH($A70, ARGUS!$A$3:$A$176, 0)-1,MATCH(EOMONTH(DO$15,1), ARGUS!$B$4:$LG$4, 0)-1,1,1)/1000, 0)</f>
        <v>9.6280000000000001</v>
      </c>
      <c r="DP70" s="26">
        <f ca="1">IFERROR(OFFSET(ARGUS!$A$3, MATCH($A70, ARGUS!$A$3:$A$176, 0)-1,MATCH(EOMONTH(DP$15,1), ARGUS!$B$4:$LG$4, 0)-1,1,1)/1000, 0)</f>
        <v>9.6280000000000001</v>
      </c>
      <c r="DQ70" s="26">
        <f ca="1">IFERROR(OFFSET(ARGUS!$A$3, MATCH($A70, ARGUS!$A$3:$A$176, 0)-1,MATCH(EOMONTH(DQ$15,1), ARGUS!$B$4:$LG$4, 0)-1,1,1)/1000, 0)</f>
        <v>9.6430000000000007</v>
      </c>
      <c r="DR70" s="26">
        <f ca="1">IFERROR(OFFSET(ARGUS!$A$3, MATCH($A70, ARGUS!$A$3:$A$176, 0)-1,MATCH(EOMONTH(DR$15,1), ARGUS!$B$4:$LG$4, 0)-1,1,1)/1000, 0)</f>
        <v>9.6660000000000004</v>
      </c>
      <c r="DS70" s="26">
        <f ca="1">IFERROR(OFFSET(ARGUS!$A$3, MATCH($A70, ARGUS!$A$3:$A$176, 0)-1,MATCH(EOMONTH(DS$15,1), ARGUS!$B$4:$LG$4, 0)-1,1,1)/1000, 0)</f>
        <v>9.6780000000000008</v>
      </c>
      <c r="DT70" s="26">
        <f ca="1">IFERROR(OFFSET(ARGUS!$A$3, MATCH($A70, ARGUS!$A$3:$A$176, 0)-1,MATCH(EOMONTH(DT$15,1), ARGUS!$B$4:$LG$4, 0)-1,1,1)/1000, 0)</f>
        <v>9.7010000000000005</v>
      </c>
      <c r="DU70" s="26">
        <f ca="1">IFERROR(OFFSET(ARGUS!$A$3, MATCH($A70, ARGUS!$A$3:$A$176, 0)-1,MATCH(EOMONTH(DU$15,1), ARGUS!$B$4:$LG$4, 0)-1,1,1)/1000, 0)</f>
        <v>9.7189999999999994</v>
      </c>
      <c r="DV70" s="26">
        <f ca="1">IFERROR(OFFSET(ARGUS!$A$3, MATCH($A70, ARGUS!$A$3:$A$176, 0)-1,MATCH(EOMONTH(DV$15,1), ARGUS!$B$4:$LG$4, 0)-1,1,1)/1000, 0)</f>
        <v>9.82</v>
      </c>
      <c r="DW70" s="26">
        <f ca="1">IFERROR(OFFSET(ARGUS!$A$3, MATCH($A70, ARGUS!$A$3:$A$176, 0)-1,MATCH(EOMONTH(DW$15,1), ARGUS!$B$4:$LG$4, 0)-1,1,1)/1000, 0)</f>
        <v>9.8339999999999996</v>
      </c>
      <c r="DX70" s="26">
        <f ca="1">IFERROR(OFFSET(ARGUS!$A$3, MATCH($A70, ARGUS!$A$3:$A$176, 0)-1,MATCH(EOMONTH(DX$15,1), ARGUS!$B$4:$LG$4, 0)-1,1,1)/1000, 0)</f>
        <v>9.8339999999999996</v>
      </c>
      <c r="DY70" s="26">
        <f ca="1">IFERROR(OFFSET(ARGUS!$A$3, MATCH($A70, ARGUS!$A$3:$A$176, 0)-1,MATCH(EOMONTH(DY$15,1), ARGUS!$B$4:$LG$4, 0)-1,1,1)/1000, 0)</f>
        <v>9.8469999999999995</v>
      </c>
      <c r="DZ70" s="26">
        <f ca="1">IFERROR(OFFSET(ARGUS!$A$3, MATCH($A70, ARGUS!$A$3:$A$176, 0)-1,MATCH(EOMONTH(DZ$15,1), ARGUS!$B$4:$LG$4, 0)-1,1,1)/1000, 0)</f>
        <v>9.8580000000000005</v>
      </c>
      <c r="EA70" s="26">
        <f ca="1">IFERROR(OFFSET(ARGUS!$A$3, MATCH($A70, ARGUS!$A$3:$A$176, 0)-1,MATCH(EOMONTH(EA$15,1), ARGUS!$B$4:$LG$4, 0)-1,1,1)/1000, 0)</f>
        <v>9.8840000000000003</v>
      </c>
      <c r="EB70" s="26">
        <f ca="1">IFERROR(OFFSET(ARGUS!$A$3, MATCH($A70, ARGUS!$A$3:$A$176, 0)-1,MATCH(EOMONTH(EB$15,1), ARGUS!$B$4:$LG$4, 0)-1,1,1)/1000, 0)</f>
        <v>9.8840000000000003</v>
      </c>
      <c r="EC70" s="26">
        <f ca="1">IFERROR(OFFSET(ARGUS!$A$3, MATCH($A70, ARGUS!$A$3:$A$176, 0)-1,MATCH(EOMONTH(EC$15,1), ARGUS!$B$4:$LG$4, 0)-1,1,1)/1000, 0)</f>
        <v>9.8989999999999991</v>
      </c>
      <c r="ED70" s="26">
        <f ca="1">IFERROR(OFFSET(ARGUS!$A$3, MATCH($A70, ARGUS!$A$3:$A$176, 0)-1,MATCH(EOMONTH(ED$15,1), ARGUS!$B$4:$LG$4, 0)-1,1,1)/1000, 0)</f>
        <v>9.923</v>
      </c>
      <c r="EE70" s="26">
        <f ca="1">IFERROR(OFFSET(ARGUS!$A$3, MATCH($A70, ARGUS!$A$3:$A$176, 0)-1,MATCH(EOMONTH(EE$15,1), ARGUS!$B$4:$LG$4, 0)-1,1,1)/1000, 0)</f>
        <v>9.3979999999999997</v>
      </c>
      <c r="EF70" s="26">
        <f ca="1">IFERROR(OFFSET(ARGUS!$A$3, MATCH($A70, ARGUS!$A$3:$A$176, 0)-1,MATCH(EOMONTH(EF$15,1), ARGUS!$B$4:$LG$4, 0)-1,1,1)/1000, 0)</f>
        <v>9.1300000000000008</v>
      </c>
      <c r="EG70" s="26">
        <f ca="1">IFERROR(OFFSET(ARGUS!$A$3, MATCH($A70, ARGUS!$A$3:$A$176, 0)-1,MATCH(EOMONTH(EG$15,1), ARGUS!$B$4:$LG$4, 0)-1,1,1)/1000, 0)</f>
        <v>9.9369999999999994</v>
      </c>
      <c r="EH70" s="26">
        <f ca="1">IFERROR(OFFSET(ARGUS!$A$3, MATCH($A70, ARGUS!$A$3:$A$176, 0)-1,MATCH(EOMONTH(EH$15,1), ARGUS!$B$4:$LG$4, 0)-1,1,1)/1000, 0)</f>
        <v>10.077999999999999</v>
      </c>
      <c r="EI70" s="26">
        <f ca="1">IFERROR(OFFSET(ARGUS!$A$3, MATCH($A70, ARGUS!$A$3:$A$176, 0)-1,MATCH(EOMONTH(EI$15,1), ARGUS!$B$4:$LG$4, 0)-1,1,1)/1000, 0)</f>
        <v>10.093</v>
      </c>
      <c r="EJ70" s="26">
        <f ca="1">IFERROR(OFFSET(ARGUS!$A$3, MATCH($A70, ARGUS!$A$3:$A$176, 0)-1,MATCH(EOMONTH(EJ$15,1), ARGUS!$B$4:$LG$4, 0)-1,1,1)/1000, 0)</f>
        <v>10.093</v>
      </c>
      <c r="EK70" s="26">
        <f ca="1">IFERROR(OFFSET(ARGUS!$A$3, MATCH($A70, ARGUS!$A$3:$A$176, 0)-1,MATCH(EOMONTH(EK$15,1), ARGUS!$B$4:$LG$4, 0)-1,1,1)/1000, 0)</f>
        <v>10.106</v>
      </c>
      <c r="EL70" s="26">
        <f ca="1">IFERROR(OFFSET(ARGUS!$A$3, MATCH($A70, ARGUS!$A$3:$A$176, 0)-1,MATCH(EOMONTH(EL$15,1), ARGUS!$B$4:$LG$4, 0)-1,1,1)/1000, 0)</f>
        <v>10.118</v>
      </c>
      <c r="EM70" s="26">
        <f ca="1">IFERROR(OFFSET(ARGUS!$A$3, MATCH($A70, ARGUS!$A$3:$A$176, 0)-1,MATCH(EOMONTH(EM$15,1), ARGUS!$B$4:$LG$4, 0)-1,1,1)/1000, 0)</f>
        <v>10.145</v>
      </c>
      <c r="EN70" s="26">
        <f ca="1">IFERROR(OFFSET(ARGUS!$A$3, MATCH($A70, ARGUS!$A$3:$A$176, 0)-1,MATCH(EOMONTH(EN$15,1), ARGUS!$B$4:$LG$4, 0)-1,1,1)/1000, 0)</f>
        <v>10.145</v>
      </c>
      <c r="EO70" s="26">
        <f ca="1">IFERROR(OFFSET(ARGUS!$A$3, MATCH($A70, ARGUS!$A$3:$A$176, 0)-1,MATCH(EOMONTH(EO$15,1), ARGUS!$B$4:$LG$4, 0)-1,1,1)/1000, 0)</f>
        <v>10.16</v>
      </c>
      <c r="EP70" s="26">
        <f ca="1">IFERROR(OFFSET(ARGUS!$A$3, MATCH($A70, ARGUS!$A$3:$A$176, 0)-1,MATCH(EOMONTH(EP$15,1), ARGUS!$B$4:$LG$4, 0)-1,1,1)/1000, 0)</f>
        <v>10.193</v>
      </c>
      <c r="EQ70" s="26">
        <f ca="1">IFERROR(OFFSET(ARGUS!$A$3, MATCH($A70, ARGUS!$A$3:$A$176, 0)-1,MATCH(EOMONTH(EQ$15,1), ARGUS!$B$4:$LG$4, 0)-1,1,1)/1000, 0)</f>
        <v>9.6769999999999996</v>
      </c>
      <c r="ER70" s="26">
        <f ca="1">IFERROR(OFFSET(ARGUS!$A$3, MATCH($A70, ARGUS!$A$3:$A$176, 0)-1,MATCH(EOMONTH(ER$15,1), ARGUS!$B$4:$LG$4, 0)-1,1,1)/1000, 0)</f>
        <v>10.103</v>
      </c>
      <c r="ES70" s="26">
        <f ca="1">IFERROR(OFFSET(ARGUS!$A$3, MATCH($A70, ARGUS!$A$3:$A$176, 0)-1,MATCH(EOMONTH(ES$15,1), ARGUS!$B$4:$LG$4, 0)-1,1,1)/1000, 0)</f>
        <v>10.134</v>
      </c>
      <c r="ET70" s="26">
        <f ca="1">IFERROR(OFFSET(ARGUS!$A$3, MATCH($A70, ARGUS!$A$3:$A$176, 0)-1,MATCH(EOMONTH(ET$15,1), ARGUS!$B$4:$LG$4, 0)-1,1,1)/1000, 0)</f>
        <v>10.273</v>
      </c>
      <c r="EU70" s="26">
        <f ca="1">IFERROR(OFFSET(ARGUS!$A$3, MATCH($A70, ARGUS!$A$3:$A$176, 0)-1,MATCH(EOMONTH(EU$15,1), ARGUS!$B$4:$LG$4, 0)-1,1,1)/1000, 0)</f>
        <v>10.288</v>
      </c>
      <c r="EV70" s="26">
        <f ca="1">IFERROR(OFFSET(ARGUS!$A$3, MATCH($A70, ARGUS!$A$3:$A$176, 0)-1,MATCH(EOMONTH(EV$15,1), ARGUS!$B$4:$LG$4, 0)-1,1,1)/1000, 0)</f>
        <v>10.288</v>
      </c>
      <c r="EW70" s="26">
        <f ca="1">IFERROR(OFFSET(ARGUS!$A$3, MATCH($A70, ARGUS!$A$3:$A$176, 0)-1,MATCH(EOMONTH(EW$15,1), ARGUS!$B$4:$LG$4, 0)-1,1,1)/1000, 0)</f>
        <v>10.302</v>
      </c>
      <c r="EX70" s="26">
        <f ca="1">IFERROR(OFFSET(ARGUS!$A$3, MATCH($A70, ARGUS!$A$3:$A$176, 0)-1,MATCH(EOMONTH(EX$15,1), ARGUS!$B$4:$LG$4, 0)-1,1,1)/1000, 0)</f>
        <v>9.952</v>
      </c>
      <c r="EY70" s="26">
        <f ca="1">IFERROR(OFFSET(ARGUS!$A$3, MATCH($A70, ARGUS!$A$3:$A$176, 0)-1,MATCH(EOMONTH(EY$15,1), ARGUS!$B$4:$LG$4, 0)-1,1,1)/1000, 0)</f>
        <v>9.7010000000000005</v>
      </c>
      <c r="EZ70" s="26">
        <f ca="1">IFERROR(OFFSET(ARGUS!$A$3, MATCH($A70, ARGUS!$A$3:$A$176, 0)-1,MATCH(EOMONTH(EZ$15,1), ARGUS!$B$4:$LG$4, 0)-1,1,1)/1000, 0)</f>
        <v>10.244</v>
      </c>
      <c r="FA70" s="26">
        <f ca="1">IFERROR(OFFSET(ARGUS!$A$3, MATCH($A70, ARGUS!$A$3:$A$176, 0)-1,MATCH(EOMONTH(FA$15,1), ARGUS!$B$4:$LG$4, 0)-1,1,1)/1000, 0)</f>
        <v>9.4480000000000004</v>
      </c>
      <c r="FB70" s="26">
        <f ca="1">IFERROR(OFFSET(ARGUS!$A$3, MATCH($A70, ARGUS!$A$3:$A$176, 0)-1,MATCH(EOMONTH(FB$15,1), ARGUS!$B$4:$LG$4, 0)-1,1,1)/1000, 0)</f>
        <v>8.8610000000000007</v>
      </c>
      <c r="FC70" s="26">
        <f ca="1">IFERROR(OFFSET(ARGUS!$A$3, MATCH($A70, ARGUS!$A$3:$A$176, 0)-1,MATCH(EOMONTH(FC$15,1), ARGUS!$B$4:$LG$4, 0)-1,1,1)/1000, 0)</f>
        <v>10.101000000000001</v>
      </c>
      <c r="FD70" s="26">
        <f ca="1">IFERROR(OFFSET(ARGUS!$A$3, MATCH($A70, ARGUS!$A$3:$A$176, 0)-1,MATCH(EOMONTH(FD$15,1), ARGUS!$B$4:$LG$4, 0)-1,1,1)/1000, 0)</f>
        <v>10.121</v>
      </c>
      <c r="FE70" s="26">
        <f ca="1">IFERROR(OFFSET(ARGUS!$A$3, MATCH($A70, ARGUS!$A$3:$A$176, 0)-1,MATCH(EOMONTH(FE$15,1), ARGUS!$B$4:$LG$4, 0)-1,1,1)/1000, 0)</f>
        <v>10.137</v>
      </c>
      <c r="FF70" s="26">
        <f ca="1">IFERROR(OFFSET(ARGUS!$A$3, MATCH($A70, ARGUS!$A$3:$A$176, 0)-1,MATCH(EOMONTH(FF$15,1), ARGUS!$B$4:$LG$4, 0)-1,1,1)/1000, 0)</f>
        <v>10.27</v>
      </c>
      <c r="FG70" s="26">
        <f ca="1">IFERROR(OFFSET(ARGUS!$A$3, MATCH($A70, ARGUS!$A$3:$A$176, 0)-1,MATCH(EOMONTH(FG$15,1), ARGUS!$B$4:$LG$4, 0)-1,1,1)/1000, 0)</f>
        <v>9.4589999999999996</v>
      </c>
      <c r="FH70" s="26">
        <f ca="1">IFERROR(OFFSET(ARGUS!$A$3, MATCH($A70, ARGUS!$A$3:$A$176, 0)-1,MATCH(EOMONTH(FH$15,1), ARGUS!$B$4:$LG$4, 0)-1,1,1)/1000, 0)</f>
        <v>10.211</v>
      </c>
      <c r="FI70" s="26">
        <f ca="1">IFERROR(OFFSET(ARGUS!$A$3, MATCH($A70, ARGUS!$A$3:$A$176, 0)-1,MATCH(EOMONTH(FI$15,1), ARGUS!$B$4:$LG$4, 0)-1,1,1)/1000, 0)</f>
        <v>9.4979999999999993</v>
      </c>
      <c r="FJ70" s="26">
        <f ca="1">IFERROR(OFFSET(ARGUS!$A$3, MATCH($A70, ARGUS!$A$3:$A$176, 0)-1,MATCH(EOMONTH(FJ$15,1), ARGUS!$B$4:$LG$4, 0)-1,1,1)/1000, 0)</f>
        <v>10.164999999999999</v>
      </c>
      <c r="FK70" s="26">
        <f ca="1">IFERROR(OFFSET(ARGUS!$A$3, MATCH($A70, ARGUS!$A$3:$A$176, 0)-1,MATCH(EOMONTH(FK$15,1), ARGUS!$B$4:$LG$4, 0)-1,1,1)/1000, 0)</f>
        <v>8.5719999999999992</v>
      </c>
      <c r="FL70" s="26">
        <f ca="1">IFERROR(OFFSET(ARGUS!$A$3, MATCH($A70, ARGUS!$A$3:$A$176, 0)-1,MATCH(EOMONTH(FL$15,1), ARGUS!$B$4:$LG$4, 0)-1,1,1)/1000, 0)</f>
        <v>9.0709999999999997</v>
      </c>
      <c r="FM70" s="26">
        <f ca="1">IFERROR(OFFSET(ARGUS!$A$3, MATCH($A70, ARGUS!$A$3:$A$176, 0)-1,MATCH(EOMONTH(FM$15,1), ARGUS!$B$4:$LG$4, 0)-1,1,1)/1000, 0)</f>
        <v>9.9269999999999996</v>
      </c>
      <c r="FN70" s="26">
        <f ca="1">IFERROR(OFFSET(ARGUS!$A$3, MATCH($A70, ARGUS!$A$3:$A$176, 0)-1,MATCH(EOMONTH(FN$15,1), ARGUS!$B$4:$LG$4, 0)-1,1,1)/1000, 0)</f>
        <v>9.9410000000000007</v>
      </c>
      <c r="FO70" s="26">
        <f ca="1">IFERROR(OFFSET(ARGUS!$A$3, MATCH($A70, ARGUS!$A$3:$A$176, 0)-1,MATCH(EOMONTH(FO$15,1), ARGUS!$B$4:$LG$4, 0)-1,1,1)/1000, 0)</f>
        <v>9.9649999999999999</v>
      </c>
      <c r="FP70" s="26">
        <f ca="1">IFERROR(OFFSET(ARGUS!$A$3, MATCH($A70, ARGUS!$A$3:$A$176, 0)-1,MATCH(EOMONTH(FP$15,1), ARGUS!$B$4:$LG$4, 0)-1,1,1)/1000, 0)</f>
        <v>9.9849999999999994</v>
      </c>
      <c r="FQ70" s="26">
        <f ca="1">IFERROR(OFFSET(ARGUS!$A$3, MATCH($A70, ARGUS!$A$3:$A$176, 0)-1,MATCH(EOMONTH(FQ$15,1), ARGUS!$B$4:$LG$4, 0)-1,1,1)/1000, 0)</f>
        <v>10.002000000000001</v>
      </c>
      <c r="FR70" s="26">
        <f ca="1">IFERROR(OFFSET(ARGUS!$A$3, MATCH($A70, ARGUS!$A$3:$A$176, 0)-1,MATCH(EOMONTH(FR$15,1), ARGUS!$B$4:$LG$4, 0)-1,1,1)/1000, 0)</f>
        <v>10.153</v>
      </c>
      <c r="FS70" s="26">
        <f ca="1">IFERROR(OFFSET(ARGUS!$A$3, MATCH($A70, ARGUS!$A$3:$A$176, 0)-1,MATCH(EOMONTH(FS$15,1), ARGUS!$B$4:$LG$4, 0)-1,1,1)/1000, 0)</f>
        <v>10.153</v>
      </c>
      <c r="FT70" s="26">
        <f ca="1">IFERROR(OFFSET(ARGUS!$A$3, MATCH($A70, ARGUS!$A$3:$A$176, 0)-1,MATCH(EOMONTH(FT$15,1), ARGUS!$B$4:$LG$4, 0)-1,1,1)/1000, 0)</f>
        <v>10.167</v>
      </c>
      <c r="FU70" s="26">
        <f ca="1">IFERROR(OFFSET(ARGUS!$A$3, MATCH($A70, ARGUS!$A$3:$A$176, 0)-1,MATCH(EOMONTH(FU$15,1), ARGUS!$B$4:$LG$4, 0)-1,1,1)/1000, 0)</f>
        <v>10.167</v>
      </c>
      <c r="FV70" s="26">
        <f ca="1">IFERROR(OFFSET(ARGUS!$A$3, MATCH($A70, ARGUS!$A$3:$A$176, 0)-1,MATCH(EOMONTH(FV$15,1), ARGUS!$B$4:$LG$4, 0)-1,1,1)/1000, 0)</f>
        <v>10.185</v>
      </c>
      <c r="FW70" s="26">
        <f ca="1">IFERROR(OFFSET(ARGUS!$A$3, MATCH($A70, ARGUS!$A$3:$A$176, 0)-1,MATCH(EOMONTH(FW$15,1), ARGUS!$B$4:$LG$4, 0)-1,1,1)/1000, 0)</f>
        <v>9.923</v>
      </c>
      <c r="FX70" s="26">
        <f ca="1">IFERROR(OFFSET(ARGUS!$A$3, MATCH($A70, ARGUS!$A$3:$A$176, 0)-1,MATCH(EOMONTH(FX$15,1), ARGUS!$B$4:$LG$4, 0)-1,1,1)/1000, 0)</f>
        <v>10.193</v>
      </c>
      <c r="FY70" s="26">
        <f ca="1">IFERROR(OFFSET(ARGUS!$A$3, MATCH($A70, ARGUS!$A$3:$A$176, 0)-1,MATCH(EOMONTH(FY$15,1), ARGUS!$B$4:$LG$4, 0)-1,1,1)/1000, 0)</f>
        <v>10.202</v>
      </c>
      <c r="FZ70" s="26">
        <f ca="1">IFERROR(OFFSET(ARGUS!$A$3, MATCH($A70, ARGUS!$A$3:$A$176, 0)-1,MATCH(EOMONTH(FZ$15,1), ARGUS!$B$4:$LG$4, 0)-1,1,1)/1000, 0)</f>
        <v>10.215999999999999</v>
      </c>
      <c r="GA70" s="26">
        <f ca="1">IFERROR(OFFSET(ARGUS!$A$3, MATCH($A70, ARGUS!$A$3:$A$176, 0)-1,MATCH(EOMONTH(GA$15,1), ARGUS!$B$4:$LG$4, 0)-1,1,1)/1000, 0)</f>
        <v>10.231999999999999</v>
      </c>
      <c r="GB70" s="26">
        <f ca="1">IFERROR(OFFSET(ARGUS!$A$3, MATCH($A70, ARGUS!$A$3:$A$176, 0)-1,MATCH(EOMONTH(GB$15,1), ARGUS!$B$4:$LG$4, 0)-1,1,1)/1000, 0)</f>
        <v>10.253</v>
      </c>
      <c r="GC70" s="26">
        <f ca="1">IFERROR(OFFSET(ARGUS!$A$3, MATCH($A70, ARGUS!$A$3:$A$176, 0)-1,MATCH(EOMONTH(GC$15,1), ARGUS!$B$4:$LG$4, 0)-1,1,1)/1000, 0)</f>
        <v>10.288</v>
      </c>
      <c r="GD70" s="26">
        <f ca="1">IFERROR(OFFSET(ARGUS!$A$3, MATCH($A70, ARGUS!$A$3:$A$176, 0)-1,MATCH(EOMONTH(GD$15,1), ARGUS!$B$4:$LG$4, 0)-1,1,1)/1000, 0)</f>
        <v>10.443</v>
      </c>
      <c r="GE70" s="26">
        <f ca="1">IFERROR(OFFSET(ARGUS!$A$3, MATCH($A70, ARGUS!$A$3:$A$176, 0)-1,MATCH(EOMONTH(GE$15,1), ARGUS!$B$4:$LG$4, 0)-1,1,1)/1000, 0)</f>
        <v>10.443</v>
      </c>
      <c r="GF70" s="26">
        <f ca="1">IFERROR(OFFSET(ARGUS!$A$3, MATCH($A70, ARGUS!$A$3:$A$176, 0)-1,MATCH(EOMONTH(GF$15,1), ARGUS!$B$4:$LG$4, 0)-1,1,1)/1000, 0)</f>
        <v>10.457000000000001</v>
      </c>
      <c r="GG70" s="26">
        <f ca="1">IFERROR(OFFSET(ARGUS!$A$3, MATCH($A70, ARGUS!$A$3:$A$176, 0)-1,MATCH(EOMONTH(GG$15,1), ARGUS!$B$4:$LG$4, 0)-1,1,1)/1000, 0)</f>
        <v>10.457000000000001</v>
      </c>
      <c r="GH70" s="26">
        <f ca="1">IFERROR(OFFSET(ARGUS!$A$3, MATCH($A70, ARGUS!$A$3:$A$176, 0)-1,MATCH(EOMONTH(GH$15,1), ARGUS!$B$4:$LG$4, 0)-1,1,1)/1000, 0)</f>
        <v>10.476000000000001</v>
      </c>
      <c r="GI70" s="26">
        <f ca="1">IFERROR(OFFSET(ARGUS!$A$3, MATCH($A70, ARGUS!$A$3:$A$176, 0)-1,MATCH(EOMONTH(GI$15,1), ARGUS!$B$4:$LG$4, 0)-1,1,1)/1000, 0)</f>
        <v>10.484</v>
      </c>
      <c r="GJ70" s="26">
        <f ca="1">IFERROR(OFFSET(ARGUS!$A$3, MATCH($A70, ARGUS!$A$3:$A$176, 0)-1,MATCH(EOMONTH(GJ$15,1), ARGUS!$B$4:$LG$4, 0)-1,1,1)/1000, 0)</f>
        <v>10.507999999999999</v>
      </c>
      <c r="GK70" s="26">
        <f ca="1">IFERROR(OFFSET(ARGUS!$A$3, MATCH($A70, ARGUS!$A$3:$A$176, 0)-1,MATCH(EOMONTH(GK$15,1), ARGUS!$B$4:$LG$4, 0)-1,1,1)/1000, 0)</f>
        <v>10.516999999999999</v>
      </c>
      <c r="GL70" s="26">
        <f ca="1">IFERROR(OFFSET(ARGUS!$A$3, MATCH($A70, ARGUS!$A$3:$A$176, 0)-1,MATCH(EOMONTH(GL$15,1), ARGUS!$B$4:$LG$4, 0)-1,1,1)/1000, 0)</f>
        <v>10.532</v>
      </c>
      <c r="GM70" s="26">
        <f ca="1">IFERROR(OFFSET(ARGUS!$A$3, MATCH($A70, ARGUS!$A$3:$A$176, 0)-1,MATCH(EOMONTH(GM$15,1), ARGUS!$B$4:$LG$4, 0)-1,1,1)/1000, 0)</f>
        <v>10.554</v>
      </c>
      <c r="GN70" s="26">
        <f ca="1">IFERROR(OFFSET(ARGUS!$A$3, MATCH($A70, ARGUS!$A$3:$A$176, 0)-1,MATCH(EOMONTH(GN$15,1), ARGUS!$B$4:$LG$4, 0)-1,1,1)/1000, 0)</f>
        <v>9.827</v>
      </c>
      <c r="GO70" s="26">
        <f ca="1">IFERROR(OFFSET(ARGUS!$A$3, MATCH($A70, ARGUS!$A$3:$A$176, 0)-1,MATCH(EOMONTH(GO$15,1), ARGUS!$B$4:$LG$4, 0)-1,1,1)/1000, 0)</f>
        <v>9.5960000000000001</v>
      </c>
      <c r="GP70" s="26">
        <f ca="1">IFERROR(OFFSET(ARGUS!$A$3, MATCH($A70, ARGUS!$A$3:$A$176, 0)-1,MATCH(EOMONTH(GP$15,1), ARGUS!$B$4:$LG$4, 0)-1,1,1)/1000, 0)</f>
        <v>10.571999999999999</v>
      </c>
      <c r="GQ70" s="26">
        <f ca="1">IFERROR(OFFSET(ARGUS!$A$3, MATCH($A70, ARGUS!$A$3:$A$176, 0)-1,MATCH(EOMONTH(GQ$15,1), ARGUS!$B$4:$LG$4, 0)-1,1,1)/1000, 0)</f>
        <v>10.571999999999999</v>
      </c>
      <c r="GR70" s="26">
        <f ca="1">IFERROR(OFFSET(ARGUS!$A$3, MATCH($A70, ARGUS!$A$3:$A$176, 0)-1,MATCH(EOMONTH(GR$15,1), ARGUS!$B$4:$LG$4, 0)-1,1,1)/1000, 0)</f>
        <v>10.587</v>
      </c>
      <c r="GS70" s="26">
        <f ca="1">IFERROR(OFFSET(ARGUS!$A$3, MATCH($A70, ARGUS!$A$3:$A$176, 0)-1,MATCH(EOMONTH(GS$15,1), ARGUS!$B$4:$LG$4, 0)-1,1,1)/1000, 0)</f>
        <v>10.587</v>
      </c>
      <c r="GT70" s="26">
        <f ca="1">IFERROR(OFFSET(ARGUS!$A$3, MATCH($A70, ARGUS!$A$3:$A$176, 0)-1,MATCH(EOMONTH(GT$15,1), ARGUS!$B$4:$LG$4, 0)-1,1,1)/1000, 0)</f>
        <v>10.606999999999999</v>
      </c>
      <c r="GU70" s="26"/>
      <c r="GV70" s="26"/>
      <c r="GW70" s="26"/>
      <c r="GX70" s="26"/>
      <c r="GY70" s="26"/>
      <c r="GZ70" s="26"/>
      <c r="HA70" s="26"/>
      <c r="HB70" s="26"/>
      <c r="HC70" s="26"/>
      <c r="HD70" s="26"/>
      <c r="HE70" s="26"/>
      <c r="HF70" s="1" t="s">
        <v>212</v>
      </c>
      <c r="HG70" s="139" t="e">
        <f t="shared" si="519"/>
        <v>#REF!</v>
      </c>
      <c r="HH70" s="1" t="str">
        <f t="shared" si="664"/>
        <v>Management Fee</v>
      </c>
      <c r="HI70" s="26"/>
      <c r="HJ70" s="26"/>
      <c r="HK70" s="26"/>
      <c r="HL70" s="132">
        <f t="shared" ca="1" si="665"/>
        <v>658.98102999999992</v>
      </c>
      <c r="HM70" s="26"/>
      <c r="HN70" s="133">
        <f t="shared" si="666"/>
        <v>0</v>
      </c>
      <c r="HO70" s="26">
        <f t="shared" si="666"/>
        <v>77.136349999999993</v>
      </c>
      <c r="HP70" s="26">
        <f t="shared" si="666"/>
        <v>82.762290000000007</v>
      </c>
      <c r="HQ70" s="26">
        <f t="shared" si="666"/>
        <v>84.955579999999998</v>
      </c>
      <c r="HR70" s="26">
        <f t="shared" si="666"/>
        <v>87.474199999999996</v>
      </c>
      <c r="HS70" s="26">
        <f t="shared" si="666"/>
        <v>71.290410000000008</v>
      </c>
      <c r="HT70" s="26">
        <f t="shared" si="666"/>
        <v>79.729530000000011</v>
      </c>
      <c r="HU70" s="26">
        <f t="shared" ca="1" si="666"/>
        <v>83.659669999999991</v>
      </c>
      <c r="HV70" s="26">
        <f t="shared" ca="1" si="666"/>
        <v>91.972999999999999</v>
      </c>
      <c r="HW70"/>
    </row>
    <row r="71" spans="1:231" ht="15">
      <c r="A71" s="441">
        <v>30</v>
      </c>
      <c r="B71" s="1" t="s">
        <v>449</v>
      </c>
      <c r="D71" s="585"/>
      <c r="E71" s="157"/>
      <c r="F71" s="158"/>
      <c r="I71" s="132">
        <f ca="1">SUMIF($K$13:$GT$13,"&lt;="&amp;Assumptions!$L$17,'Monthly Cash Flow'!K71:GT71)</f>
        <v>0</v>
      </c>
      <c r="J71" s="26"/>
      <c r="K71" s="155"/>
      <c r="L71" s="954">
        <f>Historicals!D19</f>
        <v>0</v>
      </c>
      <c r="M71" s="954">
        <f>Historicals!E19</f>
        <v>0</v>
      </c>
      <c r="N71" s="954">
        <f>Historicals!F19</f>
        <v>0</v>
      </c>
      <c r="O71" s="954">
        <f>Historicals!G19</f>
        <v>0</v>
      </c>
      <c r="P71" s="954">
        <f>Historicals!H19</f>
        <v>0</v>
      </c>
      <c r="Q71" s="954">
        <f>Historicals!I19</f>
        <v>0</v>
      </c>
      <c r="R71" s="954">
        <f>Historicals!J19</f>
        <v>0</v>
      </c>
      <c r="S71" s="954">
        <f>Historicals!K19</f>
        <v>0</v>
      </c>
      <c r="T71" s="954">
        <f>Historicals!L19</f>
        <v>0</v>
      </c>
      <c r="U71" s="954">
        <f>Historicals!M19</f>
        <v>0</v>
      </c>
      <c r="V71" s="954">
        <f>Historicals!N19</f>
        <v>0</v>
      </c>
      <c r="W71" s="954">
        <f>Historicals!O19</f>
        <v>0</v>
      </c>
      <c r="X71" s="954">
        <f>Historicals!P19</f>
        <v>0</v>
      </c>
      <c r="Y71" s="954">
        <f>Historicals!Q19</f>
        <v>0</v>
      </c>
      <c r="Z71" s="954">
        <f>Historicals!R19</f>
        <v>0</v>
      </c>
      <c r="AA71" s="954">
        <f>Historicals!S19</f>
        <v>0</v>
      </c>
      <c r="AB71" s="954">
        <f>Historicals!T19</f>
        <v>0</v>
      </c>
      <c r="AC71" s="954">
        <f>Historicals!U19</f>
        <v>0</v>
      </c>
      <c r="AD71" s="954">
        <f>Historicals!V19</f>
        <v>0</v>
      </c>
      <c r="AE71" s="954">
        <f>Historicals!W19</f>
        <v>0</v>
      </c>
      <c r="AF71" s="954">
        <f>Historicals!X19</f>
        <v>0</v>
      </c>
      <c r="AG71" s="954">
        <f>Historicals!Y19</f>
        <v>0</v>
      </c>
      <c r="AH71" s="954">
        <f>Historicals!Z19</f>
        <v>0</v>
      </c>
      <c r="AI71" s="954">
        <f>Historicals!AA19</f>
        <v>0</v>
      </c>
      <c r="AJ71" s="954">
        <f>Historicals!AB19</f>
        <v>0</v>
      </c>
      <c r="AK71" s="954">
        <f>Historicals!AC19</f>
        <v>0</v>
      </c>
      <c r="AL71" s="954">
        <f>Historicals!AD19</f>
        <v>0</v>
      </c>
      <c r="AM71" s="954">
        <f>Historicals!AE19</f>
        <v>0</v>
      </c>
      <c r="AN71" s="954">
        <f>Historicals!AF19</f>
        <v>0</v>
      </c>
      <c r="AO71" s="954">
        <f>Historicals!AG19</f>
        <v>0</v>
      </c>
      <c r="AP71" s="954">
        <f>Historicals!AH19</f>
        <v>0</v>
      </c>
      <c r="AQ71" s="954">
        <f>Historicals!AI19</f>
        <v>0</v>
      </c>
      <c r="AR71" s="954">
        <f>Historicals!AJ19</f>
        <v>0</v>
      </c>
      <c r="AS71" s="954">
        <f>Historicals!AK19</f>
        <v>0</v>
      </c>
      <c r="AT71" s="954">
        <f>Historicals!AL19</f>
        <v>0</v>
      </c>
      <c r="AU71" s="954">
        <f>Historicals!AM19</f>
        <v>0</v>
      </c>
      <c r="AV71" s="954">
        <f>Historicals!AN19</f>
        <v>0</v>
      </c>
      <c r="AW71" s="954">
        <f>Historicals!AO19</f>
        <v>0</v>
      </c>
      <c r="AX71" s="954">
        <f>Historicals!AP19</f>
        <v>0</v>
      </c>
      <c r="AY71" s="954">
        <f>Historicals!AQ19</f>
        <v>0</v>
      </c>
      <c r="AZ71" s="954">
        <f>Historicals!AR19</f>
        <v>0</v>
      </c>
      <c r="BA71" s="954">
        <f>Historicals!AS19</f>
        <v>0</v>
      </c>
      <c r="BB71" s="954">
        <f>Historicals!AT19</f>
        <v>0</v>
      </c>
      <c r="BC71" s="954">
        <f>Historicals!AU19</f>
        <v>0</v>
      </c>
      <c r="BD71" s="954">
        <f>Historicals!AV19</f>
        <v>0</v>
      </c>
      <c r="BE71" s="954">
        <f>Historicals!AW19</f>
        <v>0</v>
      </c>
      <c r="BF71" s="954">
        <f>Historicals!AX19</f>
        <v>0</v>
      </c>
      <c r="BG71" s="954">
        <f>Historicals!AY19</f>
        <v>0</v>
      </c>
      <c r="BH71" s="954">
        <f>Historicals!AZ19</f>
        <v>0</v>
      </c>
      <c r="BI71" s="954">
        <f>Historicals!BA19</f>
        <v>0</v>
      </c>
      <c r="BJ71" s="954">
        <f>Historicals!BB19</f>
        <v>0</v>
      </c>
      <c r="BK71" s="954">
        <f>Historicals!BC19</f>
        <v>0</v>
      </c>
      <c r="BL71" s="954">
        <f>Historicals!BD19</f>
        <v>0</v>
      </c>
      <c r="BM71" s="954">
        <f>Historicals!BE19</f>
        <v>0</v>
      </c>
      <c r="BN71" s="954">
        <f>Historicals!BF19</f>
        <v>0</v>
      </c>
      <c r="BO71" s="954">
        <f>Historicals!BG19</f>
        <v>0</v>
      </c>
      <c r="BP71" s="954">
        <f>Historicals!BH19</f>
        <v>0</v>
      </c>
      <c r="BQ71" s="954">
        <f>Historicals!BI19</f>
        <v>0</v>
      </c>
      <c r="BR71" s="954">
        <f>Historicals!BJ19</f>
        <v>0</v>
      </c>
      <c r="BS71" s="954">
        <f>Historicals!BK19</f>
        <v>0</v>
      </c>
      <c r="BT71" s="954">
        <f>Historicals!BL19</f>
        <v>0</v>
      </c>
      <c r="BU71" s="954">
        <f>Historicals!BM19</f>
        <v>0</v>
      </c>
      <c r="BV71" s="954">
        <f>Historicals!BN19</f>
        <v>0</v>
      </c>
      <c r="BW71" s="954">
        <f>Historicals!BO19</f>
        <v>0</v>
      </c>
      <c r="BX71" s="954">
        <f>Historicals!BP19</f>
        <v>0</v>
      </c>
      <c r="BY71" s="954">
        <f>Historicals!BQ19</f>
        <v>0</v>
      </c>
      <c r="BZ71" s="954">
        <f>Historicals!BR19</f>
        <v>0</v>
      </c>
      <c r="CA71" s="954">
        <f>Historicals!BS19</f>
        <v>0</v>
      </c>
      <c r="CB71" s="954">
        <f>Historicals!BT19</f>
        <v>0</v>
      </c>
      <c r="CC71" s="954">
        <f>Historicals!BU19</f>
        <v>0</v>
      </c>
      <c r="CD71" s="954">
        <f>Historicals!BV19</f>
        <v>0</v>
      </c>
      <c r="CE71" s="954">
        <f>Historicals!BW19</f>
        <v>0</v>
      </c>
      <c r="CF71" s="954">
        <f>Historicals!BX19</f>
        <v>0</v>
      </c>
      <c r="CG71" s="954">
        <f>Historicals!BY19</f>
        <v>0</v>
      </c>
      <c r="CH71" s="954">
        <f>Historicals!BZ19</f>
        <v>0</v>
      </c>
      <c r="CI71" s="26">
        <f ca="1">IFERROR(OFFSET(ARGUS!$A$3, MATCH($A71, ARGUS!$A$3:$A$176, 0)-1,MATCH(EOMONTH(CI$15,1), ARGUS!$B$4:$LG$4, 0)-1,1,1)/1000, 0)</f>
        <v>0</v>
      </c>
      <c r="CJ71" s="26">
        <f ca="1">IFERROR(OFFSET(ARGUS!$A$3, MATCH($A71, ARGUS!$A$3:$A$176, 0)-1,MATCH(EOMONTH(CJ$15,1), ARGUS!$B$4:$LG$4, 0)-1,1,1)/1000, 0)</f>
        <v>0</v>
      </c>
      <c r="CK71" s="26">
        <f ca="1">IFERROR(OFFSET(ARGUS!$A$3, MATCH($A71, ARGUS!$A$3:$A$176, 0)-1,MATCH(EOMONTH(CK$15,1), ARGUS!$B$4:$LG$4, 0)-1,1,1)/1000, 0)</f>
        <v>0</v>
      </c>
      <c r="CL71" s="26">
        <f ca="1">IFERROR(OFFSET(ARGUS!$A$3, MATCH($A71, ARGUS!$A$3:$A$176, 0)-1,MATCH(EOMONTH(CL$15,1), ARGUS!$B$4:$LG$4, 0)-1,1,1)/1000, 0)</f>
        <v>0</v>
      </c>
      <c r="CM71" s="26">
        <f ca="1">IFERROR(OFFSET(ARGUS!$A$3, MATCH($A71, ARGUS!$A$3:$A$176, 0)-1,MATCH(EOMONTH(CM$15,1), ARGUS!$B$4:$LG$4, 0)-1,1,1)/1000, 0)</f>
        <v>0</v>
      </c>
      <c r="CN71" s="26">
        <f ca="1">IFERROR(OFFSET(ARGUS!$A$3, MATCH($A71, ARGUS!$A$3:$A$176, 0)-1,MATCH(EOMONTH(CN$15,1), ARGUS!$B$4:$LG$4, 0)-1,1,1)/1000, 0)</f>
        <v>0</v>
      </c>
      <c r="CO71" s="26">
        <f ca="1">IFERROR(OFFSET(ARGUS!$A$3, MATCH($A71, ARGUS!$A$3:$A$176, 0)-1,MATCH(EOMONTH(CO$15,1), ARGUS!$B$4:$LG$4, 0)-1,1,1)/1000, 0)</f>
        <v>0</v>
      </c>
      <c r="CP71" s="26">
        <f ca="1">IFERROR(OFFSET(ARGUS!$A$3, MATCH($A71, ARGUS!$A$3:$A$176, 0)-1,MATCH(EOMONTH(CP$15,1), ARGUS!$B$4:$LG$4, 0)-1,1,1)/1000, 0)</f>
        <v>0</v>
      </c>
      <c r="CQ71" s="26">
        <f ca="1">IFERROR(OFFSET(ARGUS!$A$3, MATCH($A71, ARGUS!$A$3:$A$176, 0)-1,MATCH(EOMONTH(CQ$15,1), ARGUS!$B$4:$LG$4, 0)-1,1,1)/1000, 0)</f>
        <v>0</v>
      </c>
      <c r="CR71" s="26">
        <f ca="1">IFERROR(OFFSET(ARGUS!$A$3, MATCH($A71, ARGUS!$A$3:$A$176, 0)-1,MATCH(EOMONTH(CR$15,1), ARGUS!$B$4:$LG$4, 0)-1,1,1)/1000, 0)</f>
        <v>0</v>
      </c>
      <c r="CS71" s="26">
        <f ca="1">IFERROR(OFFSET(ARGUS!$A$3, MATCH($A71, ARGUS!$A$3:$A$176, 0)-1,MATCH(EOMONTH(CS$15,1), ARGUS!$B$4:$LG$4, 0)-1,1,1)/1000, 0)</f>
        <v>0</v>
      </c>
      <c r="CT71" s="26">
        <f ca="1">IFERROR(OFFSET(ARGUS!$A$3, MATCH($A71, ARGUS!$A$3:$A$176, 0)-1,MATCH(EOMONTH(CT$15,1), ARGUS!$B$4:$LG$4, 0)-1,1,1)/1000, 0)</f>
        <v>0</v>
      </c>
      <c r="CU71" s="26">
        <f ca="1">IFERROR(OFFSET(ARGUS!$A$3, MATCH($A71, ARGUS!$A$3:$A$176, 0)-1,MATCH(EOMONTH(CU$15,1), ARGUS!$B$4:$LG$4, 0)-1,1,1)/1000, 0)</f>
        <v>0</v>
      </c>
      <c r="CV71" s="26">
        <f ca="1">IFERROR(OFFSET(ARGUS!$A$3, MATCH($A71, ARGUS!$A$3:$A$176, 0)-1,MATCH(EOMONTH(CV$15,1), ARGUS!$B$4:$LG$4, 0)-1,1,1)/1000, 0)</f>
        <v>0</v>
      </c>
      <c r="CW71" s="26">
        <f ca="1">IFERROR(OFFSET(ARGUS!$A$3, MATCH($A71, ARGUS!$A$3:$A$176, 0)-1,MATCH(EOMONTH(CW$15,1), ARGUS!$B$4:$LG$4, 0)-1,1,1)/1000, 0)</f>
        <v>0</v>
      </c>
      <c r="CX71" s="26">
        <f ca="1">IFERROR(OFFSET(ARGUS!$A$3, MATCH($A71, ARGUS!$A$3:$A$176, 0)-1,MATCH(EOMONTH(CX$15,1), ARGUS!$B$4:$LG$4, 0)-1,1,1)/1000, 0)</f>
        <v>0</v>
      </c>
      <c r="CY71" s="26">
        <f ca="1">IFERROR(OFFSET(ARGUS!$A$3, MATCH($A71, ARGUS!$A$3:$A$176, 0)-1,MATCH(EOMONTH(CY$15,1), ARGUS!$B$4:$LG$4, 0)-1,1,1)/1000, 0)</f>
        <v>0</v>
      </c>
      <c r="CZ71" s="26">
        <f ca="1">IFERROR(OFFSET(ARGUS!$A$3, MATCH($A71, ARGUS!$A$3:$A$176, 0)-1,MATCH(EOMONTH(CZ$15,1), ARGUS!$B$4:$LG$4, 0)-1,1,1)/1000, 0)</f>
        <v>0</v>
      </c>
      <c r="DA71" s="26">
        <f ca="1">IFERROR(OFFSET(ARGUS!$A$3, MATCH($A71, ARGUS!$A$3:$A$176, 0)-1,MATCH(EOMONTH(DA$15,1), ARGUS!$B$4:$LG$4, 0)-1,1,1)/1000, 0)</f>
        <v>0</v>
      </c>
      <c r="DB71" s="26">
        <f ca="1">IFERROR(OFFSET(ARGUS!$A$3, MATCH($A71, ARGUS!$A$3:$A$176, 0)-1,MATCH(EOMONTH(DB$15,1), ARGUS!$B$4:$LG$4, 0)-1,1,1)/1000, 0)</f>
        <v>0</v>
      </c>
      <c r="DC71" s="26">
        <f ca="1">IFERROR(OFFSET(ARGUS!$A$3, MATCH($A71, ARGUS!$A$3:$A$176, 0)-1,MATCH(EOMONTH(DC$15,1), ARGUS!$B$4:$LG$4, 0)-1,1,1)/1000, 0)</f>
        <v>0</v>
      </c>
      <c r="DD71" s="26">
        <f ca="1">IFERROR(OFFSET(ARGUS!$A$3, MATCH($A71, ARGUS!$A$3:$A$176, 0)-1,MATCH(EOMONTH(DD$15,1), ARGUS!$B$4:$LG$4, 0)-1,1,1)/1000, 0)</f>
        <v>0</v>
      </c>
      <c r="DE71" s="26">
        <f ca="1">IFERROR(OFFSET(ARGUS!$A$3, MATCH($A71, ARGUS!$A$3:$A$176, 0)-1,MATCH(EOMONTH(DE$15,1), ARGUS!$B$4:$LG$4, 0)-1,1,1)/1000, 0)</f>
        <v>0</v>
      </c>
      <c r="DF71" s="26">
        <f ca="1">IFERROR(OFFSET(ARGUS!$A$3, MATCH($A71, ARGUS!$A$3:$A$176, 0)-1,MATCH(EOMONTH(DF$15,1), ARGUS!$B$4:$LG$4, 0)-1,1,1)/1000, 0)</f>
        <v>0</v>
      </c>
      <c r="DG71" s="26">
        <f ca="1">IFERROR(OFFSET(ARGUS!$A$3, MATCH($A71, ARGUS!$A$3:$A$176, 0)-1,MATCH(EOMONTH(DG$15,1), ARGUS!$B$4:$LG$4, 0)-1,1,1)/1000, 0)</f>
        <v>0</v>
      </c>
      <c r="DH71" s="26">
        <f ca="1">IFERROR(OFFSET(ARGUS!$A$3, MATCH($A71, ARGUS!$A$3:$A$176, 0)-1,MATCH(EOMONTH(DH$15,1), ARGUS!$B$4:$LG$4, 0)-1,1,1)/1000, 0)</f>
        <v>0</v>
      </c>
      <c r="DI71" s="26">
        <f ca="1">IFERROR(OFFSET(ARGUS!$A$3, MATCH($A71, ARGUS!$A$3:$A$176, 0)-1,MATCH(EOMONTH(DI$15,1), ARGUS!$B$4:$LG$4, 0)-1,1,1)/1000, 0)</f>
        <v>0</v>
      </c>
      <c r="DJ71" s="26">
        <f ca="1">IFERROR(OFFSET(ARGUS!$A$3, MATCH($A71, ARGUS!$A$3:$A$176, 0)-1,MATCH(EOMONTH(DJ$15,1), ARGUS!$B$4:$LG$4, 0)-1,1,1)/1000, 0)</f>
        <v>0</v>
      </c>
      <c r="DK71" s="26">
        <f ca="1">IFERROR(OFFSET(ARGUS!$A$3, MATCH($A71, ARGUS!$A$3:$A$176, 0)-1,MATCH(EOMONTH(DK$15,1), ARGUS!$B$4:$LG$4, 0)-1,1,1)/1000, 0)</f>
        <v>0</v>
      </c>
      <c r="DL71" s="26">
        <f ca="1">IFERROR(OFFSET(ARGUS!$A$3, MATCH($A71, ARGUS!$A$3:$A$176, 0)-1,MATCH(EOMONTH(DL$15,1), ARGUS!$B$4:$LG$4, 0)-1,1,1)/1000, 0)</f>
        <v>0</v>
      </c>
      <c r="DM71" s="26">
        <f ca="1">IFERROR(OFFSET(ARGUS!$A$3, MATCH($A71, ARGUS!$A$3:$A$176, 0)-1,MATCH(EOMONTH(DM$15,1), ARGUS!$B$4:$LG$4, 0)-1,1,1)/1000, 0)</f>
        <v>0</v>
      </c>
      <c r="DN71" s="26">
        <f ca="1">IFERROR(OFFSET(ARGUS!$A$3, MATCH($A71, ARGUS!$A$3:$A$176, 0)-1,MATCH(EOMONTH(DN$15,1), ARGUS!$B$4:$LG$4, 0)-1,1,1)/1000, 0)</f>
        <v>0</v>
      </c>
      <c r="DO71" s="26">
        <f ca="1">IFERROR(OFFSET(ARGUS!$A$3, MATCH($A71, ARGUS!$A$3:$A$176, 0)-1,MATCH(EOMONTH(DO$15,1), ARGUS!$B$4:$LG$4, 0)-1,1,1)/1000, 0)</f>
        <v>0</v>
      </c>
      <c r="DP71" s="26">
        <f ca="1">IFERROR(OFFSET(ARGUS!$A$3, MATCH($A71, ARGUS!$A$3:$A$176, 0)-1,MATCH(EOMONTH(DP$15,1), ARGUS!$B$4:$LG$4, 0)-1,1,1)/1000, 0)</f>
        <v>0</v>
      </c>
      <c r="DQ71" s="26">
        <f ca="1">IFERROR(OFFSET(ARGUS!$A$3, MATCH($A71, ARGUS!$A$3:$A$176, 0)-1,MATCH(EOMONTH(DQ$15,1), ARGUS!$B$4:$LG$4, 0)-1,1,1)/1000, 0)</f>
        <v>0</v>
      </c>
      <c r="DR71" s="26">
        <f ca="1">IFERROR(OFFSET(ARGUS!$A$3, MATCH($A71, ARGUS!$A$3:$A$176, 0)-1,MATCH(EOMONTH(DR$15,1), ARGUS!$B$4:$LG$4, 0)-1,1,1)/1000, 0)</f>
        <v>0</v>
      </c>
      <c r="DS71" s="26">
        <f ca="1">IFERROR(OFFSET(ARGUS!$A$3, MATCH($A71, ARGUS!$A$3:$A$176, 0)-1,MATCH(EOMONTH(DS$15,1), ARGUS!$B$4:$LG$4, 0)-1,1,1)/1000, 0)</f>
        <v>0</v>
      </c>
      <c r="DT71" s="26">
        <f ca="1">IFERROR(OFFSET(ARGUS!$A$3, MATCH($A71, ARGUS!$A$3:$A$176, 0)-1,MATCH(EOMONTH(DT$15,1), ARGUS!$B$4:$LG$4, 0)-1,1,1)/1000, 0)</f>
        <v>0</v>
      </c>
      <c r="DU71" s="26">
        <f ca="1">IFERROR(OFFSET(ARGUS!$A$3, MATCH($A71, ARGUS!$A$3:$A$176, 0)-1,MATCH(EOMONTH(DU$15,1), ARGUS!$B$4:$LG$4, 0)-1,1,1)/1000, 0)</f>
        <v>0</v>
      </c>
      <c r="DV71" s="26">
        <f ca="1">IFERROR(OFFSET(ARGUS!$A$3, MATCH($A71, ARGUS!$A$3:$A$176, 0)-1,MATCH(EOMONTH(DV$15,1), ARGUS!$B$4:$LG$4, 0)-1,1,1)/1000, 0)</f>
        <v>0</v>
      </c>
      <c r="DW71" s="26">
        <f ca="1">IFERROR(OFFSET(ARGUS!$A$3, MATCH($A71, ARGUS!$A$3:$A$176, 0)-1,MATCH(EOMONTH(DW$15,1), ARGUS!$B$4:$LG$4, 0)-1,1,1)/1000, 0)</f>
        <v>0</v>
      </c>
      <c r="DX71" s="26">
        <f ca="1">IFERROR(OFFSET(ARGUS!$A$3, MATCH($A71, ARGUS!$A$3:$A$176, 0)-1,MATCH(EOMONTH(DX$15,1), ARGUS!$B$4:$LG$4, 0)-1,1,1)/1000, 0)</f>
        <v>0</v>
      </c>
      <c r="DY71" s="26">
        <f ca="1">IFERROR(OFFSET(ARGUS!$A$3, MATCH($A71, ARGUS!$A$3:$A$176, 0)-1,MATCH(EOMONTH(DY$15,1), ARGUS!$B$4:$LG$4, 0)-1,1,1)/1000, 0)</f>
        <v>0</v>
      </c>
      <c r="DZ71" s="26">
        <f ca="1">IFERROR(OFFSET(ARGUS!$A$3, MATCH($A71, ARGUS!$A$3:$A$176, 0)-1,MATCH(EOMONTH(DZ$15,1), ARGUS!$B$4:$LG$4, 0)-1,1,1)/1000, 0)</f>
        <v>0</v>
      </c>
      <c r="EA71" s="26">
        <f ca="1">IFERROR(OFFSET(ARGUS!$A$3, MATCH($A71, ARGUS!$A$3:$A$176, 0)-1,MATCH(EOMONTH(EA$15,1), ARGUS!$B$4:$LG$4, 0)-1,1,1)/1000, 0)</f>
        <v>0</v>
      </c>
      <c r="EB71" s="26">
        <f ca="1">IFERROR(OFFSET(ARGUS!$A$3, MATCH($A71, ARGUS!$A$3:$A$176, 0)-1,MATCH(EOMONTH(EB$15,1), ARGUS!$B$4:$LG$4, 0)-1,1,1)/1000, 0)</f>
        <v>0</v>
      </c>
      <c r="EC71" s="26">
        <f ca="1">IFERROR(OFFSET(ARGUS!$A$3, MATCH($A71, ARGUS!$A$3:$A$176, 0)-1,MATCH(EOMONTH(EC$15,1), ARGUS!$B$4:$LG$4, 0)-1,1,1)/1000, 0)</f>
        <v>0</v>
      </c>
      <c r="ED71" s="26">
        <f ca="1">IFERROR(OFFSET(ARGUS!$A$3, MATCH($A71, ARGUS!$A$3:$A$176, 0)-1,MATCH(EOMONTH(ED$15,1), ARGUS!$B$4:$LG$4, 0)-1,1,1)/1000, 0)</f>
        <v>0</v>
      </c>
      <c r="EE71" s="26">
        <f ca="1">IFERROR(OFFSET(ARGUS!$A$3, MATCH($A71, ARGUS!$A$3:$A$176, 0)-1,MATCH(EOMONTH(EE$15,1), ARGUS!$B$4:$LG$4, 0)-1,1,1)/1000, 0)</f>
        <v>0</v>
      </c>
      <c r="EF71" s="26">
        <f ca="1">IFERROR(OFFSET(ARGUS!$A$3, MATCH($A71, ARGUS!$A$3:$A$176, 0)-1,MATCH(EOMONTH(EF$15,1), ARGUS!$B$4:$LG$4, 0)-1,1,1)/1000, 0)</f>
        <v>0</v>
      </c>
      <c r="EG71" s="26">
        <f ca="1">IFERROR(OFFSET(ARGUS!$A$3, MATCH($A71, ARGUS!$A$3:$A$176, 0)-1,MATCH(EOMONTH(EG$15,1), ARGUS!$B$4:$LG$4, 0)-1,1,1)/1000, 0)</f>
        <v>0</v>
      </c>
      <c r="EH71" s="26">
        <f ca="1">IFERROR(OFFSET(ARGUS!$A$3, MATCH($A71, ARGUS!$A$3:$A$176, 0)-1,MATCH(EOMONTH(EH$15,1), ARGUS!$B$4:$LG$4, 0)-1,1,1)/1000, 0)</f>
        <v>0</v>
      </c>
      <c r="EI71" s="26">
        <f ca="1">IFERROR(OFFSET(ARGUS!$A$3, MATCH($A71, ARGUS!$A$3:$A$176, 0)-1,MATCH(EOMONTH(EI$15,1), ARGUS!$B$4:$LG$4, 0)-1,1,1)/1000, 0)</f>
        <v>0</v>
      </c>
      <c r="EJ71" s="26">
        <f ca="1">IFERROR(OFFSET(ARGUS!$A$3, MATCH($A71, ARGUS!$A$3:$A$176, 0)-1,MATCH(EOMONTH(EJ$15,1), ARGUS!$B$4:$LG$4, 0)-1,1,1)/1000, 0)</f>
        <v>0</v>
      </c>
      <c r="EK71" s="26">
        <f ca="1">IFERROR(OFFSET(ARGUS!$A$3, MATCH($A71, ARGUS!$A$3:$A$176, 0)-1,MATCH(EOMONTH(EK$15,1), ARGUS!$B$4:$LG$4, 0)-1,1,1)/1000, 0)</f>
        <v>0</v>
      </c>
      <c r="EL71" s="26">
        <f ca="1">IFERROR(OFFSET(ARGUS!$A$3, MATCH($A71, ARGUS!$A$3:$A$176, 0)-1,MATCH(EOMONTH(EL$15,1), ARGUS!$B$4:$LG$4, 0)-1,1,1)/1000, 0)</f>
        <v>0</v>
      </c>
      <c r="EM71" s="26">
        <f ca="1">IFERROR(OFFSET(ARGUS!$A$3, MATCH($A71, ARGUS!$A$3:$A$176, 0)-1,MATCH(EOMONTH(EM$15,1), ARGUS!$B$4:$LG$4, 0)-1,1,1)/1000, 0)</f>
        <v>0</v>
      </c>
      <c r="EN71" s="26">
        <f ca="1">IFERROR(OFFSET(ARGUS!$A$3, MATCH($A71, ARGUS!$A$3:$A$176, 0)-1,MATCH(EOMONTH(EN$15,1), ARGUS!$B$4:$LG$4, 0)-1,1,1)/1000, 0)</f>
        <v>0</v>
      </c>
      <c r="EO71" s="26">
        <f ca="1">IFERROR(OFFSET(ARGUS!$A$3, MATCH($A71, ARGUS!$A$3:$A$176, 0)-1,MATCH(EOMONTH(EO$15,1), ARGUS!$B$4:$LG$4, 0)-1,1,1)/1000, 0)</f>
        <v>0</v>
      </c>
      <c r="EP71" s="26">
        <f ca="1">IFERROR(OFFSET(ARGUS!$A$3, MATCH($A71, ARGUS!$A$3:$A$176, 0)-1,MATCH(EOMONTH(EP$15,1), ARGUS!$B$4:$LG$4, 0)-1,1,1)/1000, 0)</f>
        <v>0</v>
      </c>
      <c r="EQ71" s="26">
        <f ca="1">IFERROR(OFFSET(ARGUS!$A$3, MATCH($A71, ARGUS!$A$3:$A$176, 0)-1,MATCH(EOMONTH(EQ$15,1), ARGUS!$B$4:$LG$4, 0)-1,1,1)/1000, 0)</f>
        <v>0</v>
      </c>
      <c r="ER71" s="26">
        <f ca="1">IFERROR(OFFSET(ARGUS!$A$3, MATCH($A71, ARGUS!$A$3:$A$176, 0)-1,MATCH(EOMONTH(ER$15,1), ARGUS!$B$4:$LG$4, 0)-1,1,1)/1000, 0)</f>
        <v>0</v>
      </c>
      <c r="ES71" s="26">
        <f ca="1">IFERROR(OFFSET(ARGUS!$A$3, MATCH($A71, ARGUS!$A$3:$A$176, 0)-1,MATCH(EOMONTH(ES$15,1), ARGUS!$B$4:$LG$4, 0)-1,1,1)/1000, 0)</f>
        <v>0</v>
      </c>
      <c r="ET71" s="26">
        <f ca="1">IFERROR(OFFSET(ARGUS!$A$3, MATCH($A71, ARGUS!$A$3:$A$176, 0)-1,MATCH(EOMONTH(ET$15,1), ARGUS!$B$4:$LG$4, 0)-1,1,1)/1000, 0)</f>
        <v>0</v>
      </c>
      <c r="EU71" s="26">
        <f ca="1">IFERROR(OFFSET(ARGUS!$A$3, MATCH($A71, ARGUS!$A$3:$A$176, 0)-1,MATCH(EOMONTH(EU$15,1), ARGUS!$B$4:$LG$4, 0)-1,1,1)/1000, 0)</f>
        <v>0</v>
      </c>
      <c r="EV71" s="26">
        <f ca="1">IFERROR(OFFSET(ARGUS!$A$3, MATCH($A71, ARGUS!$A$3:$A$176, 0)-1,MATCH(EOMONTH(EV$15,1), ARGUS!$B$4:$LG$4, 0)-1,1,1)/1000, 0)</f>
        <v>0</v>
      </c>
      <c r="EW71" s="26">
        <f ca="1">IFERROR(OFFSET(ARGUS!$A$3, MATCH($A71, ARGUS!$A$3:$A$176, 0)-1,MATCH(EOMONTH(EW$15,1), ARGUS!$B$4:$LG$4, 0)-1,1,1)/1000, 0)</f>
        <v>0</v>
      </c>
      <c r="EX71" s="26">
        <f ca="1">IFERROR(OFFSET(ARGUS!$A$3, MATCH($A71, ARGUS!$A$3:$A$176, 0)-1,MATCH(EOMONTH(EX$15,1), ARGUS!$B$4:$LG$4, 0)-1,1,1)/1000, 0)</f>
        <v>0</v>
      </c>
      <c r="EY71" s="26">
        <f ca="1">IFERROR(OFFSET(ARGUS!$A$3, MATCH($A71, ARGUS!$A$3:$A$176, 0)-1,MATCH(EOMONTH(EY$15,1), ARGUS!$B$4:$LG$4, 0)-1,1,1)/1000, 0)</f>
        <v>0</v>
      </c>
      <c r="EZ71" s="26">
        <f ca="1">IFERROR(OFFSET(ARGUS!$A$3, MATCH($A71, ARGUS!$A$3:$A$176, 0)-1,MATCH(EOMONTH(EZ$15,1), ARGUS!$B$4:$LG$4, 0)-1,1,1)/1000, 0)</f>
        <v>0</v>
      </c>
      <c r="FA71" s="26">
        <f ca="1">IFERROR(OFFSET(ARGUS!$A$3, MATCH($A71, ARGUS!$A$3:$A$176, 0)-1,MATCH(EOMONTH(FA$15,1), ARGUS!$B$4:$LG$4, 0)-1,1,1)/1000, 0)</f>
        <v>0</v>
      </c>
      <c r="FB71" s="26">
        <f ca="1">IFERROR(OFFSET(ARGUS!$A$3, MATCH($A71, ARGUS!$A$3:$A$176, 0)-1,MATCH(EOMONTH(FB$15,1), ARGUS!$B$4:$LG$4, 0)-1,1,1)/1000, 0)</f>
        <v>0</v>
      </c>
      <c r="FC71" s="26">
        <f ca="1">IFERROR(OFFSET(ARGUS!$A$3, MATCH($A71, ARGUS!$A$3:$A$176, 0)-1,MATCH(EOMONTH(FC$15,1), ARGUS!$B$4:$LG$4, 0)-1,1,1)/1000, 0)</f>
        <v>0</v>
      </c>
      <c r="FD71" s="26">
        <f ca="1">IFERROR(OFFSET(ARGUS!$A$3, MATCH($A71, ARGUS!$A$3:$A$176, 0)-1,MATCH(EOMONTH(FD$15,1), ARGUS!$B$4:$LG$4, 0)-1,1,1)/1000, 0)</f>
        <v>0</v>
      </c>
      <c r="FE71" s="26">
        <f ca="1">IFERROR(OFFSET(ARGUS!$A$3, MATCH($A71, ARGUS!$A$3:$A$176, 0)-1,MATCH(EOMONTH(FE$15,1), ARGUS!$B$4:$LG$4, 0)-1,1,1)/1000, 0)</f>
        <v>0</v>
      </c>
      <c r="FF71" s="26">
        <f ca="1">IFERROR(OFFSET(ARGUS!$A$3, MATCH($A71, ARGUS!$A$3:$A$176, 0)-1,MATCH(EOMONTH(FF$15,1), ARGUS!$B$4:$LG$4, 0)-1,1,1)/1000, 0)</f>
        <v>0</v>
      </c>
      <c r="FG71" s="26">
        <f ca="1">IFERROR(OFFSET(ARGUS!$A$3, MATCH($A71, ARGUS!$A$3:$A$176, 0)-1,MATCH(EOMONTH(FG$15,1), ARGUS!$B$4:$LG$4, 0)-1,1,1)/1000, 0)</f>
        <v>0</v>
      </c>
      <c r="FH71" s="26">
        <f ca="1">IFERROR(OFFSET(ARGUS!$A$3, MATCH($A71, ARGUS!$A$3:$A$176, 0)-1,MATCH(EOMONTH(FH$15,1), ARGUS!$B$4:$LG$4, 0)-1,1,1)/1000, 0)</f>
        <v>0</v>
      </c>
      <c r="FI71" s="26">
        <f ca="1">IFERROR(OFFSET(ARGUS!$A$3, MATCH($A71, ARGUS!$A$3:$A$176, 0)-1,MATCH(EOMONTH(FI$15,1), ARGUS!$B$4:$LG$4, 0)-1,1,1)/1000, 0)</f>
        <v>0</v>
      </c>
      <c r="FJ71" s="26">
        <f ca="1">IFERROR(OFFSET(ARGUS!$A$3, MATCH($A71, ARGUS!$A$3:$A$176, 0)-1,MATCH(EOMONTH(FJ$15,1), ARGUS!$B$4:$LG$4, 0)-1,1,1)/1000, 0)</f>
        <v>0</v>
      </c>
      <c r="FK71" s="26">
        <f ca="1">IFERROR(OFFSET(ARGUS!$A$3, MATCH($A71, ARGUS!$A$3:$A$176, 0)-1,MATCH(EOMONTH(FK$15,1), ARGUS!$B$4:$LG$4, 0)-1,1,1)/1000, 0)</f>
        <v>0</v>
      </c>
      <c r="FL71" s="26">
        <f ca="1">IFERROR(OFFSET(ARGUS!$A$3, MATCH($A71, ARGUS!$A$3:$A$176, 0)-1,MATCH(EOMONTH(FL$15,1), ARGUS!$B$4:$LG$4, 0)-1,1,1)/1000, 0)</f>
        <v>0</v>
      </c>
      <c r="FM71" s="26">
        <f ca="1">IFERROR(OFFSET(ARGUS!$A$3, MATCH($A71, ARGUS!$A$3:$A$176, 0)-1,MATCH(EOMONTH(FM$15,1), ARGUS!$B$4:$LG$4, 0)-1,1,1)/1000, 0)</f>
        <v>0</v>
      </c>
      <c r="FN71" s="26">
        <f ca="1">IFERROR(OFFSET(ARGUS!$A$3, MATCH($A71, ARGUS!$A$3:$A$176, 0)-1,MATCH(EOMONTH(FN$15,1), ARGUS!$B$4:$LG$4, 0)-1,1,1)/1000, 0)</f>
        <v>0</v>
      </c>
      <c r="FO71" s="26">
        <f ca="1">IFERROR(OFFSET(ARGUS!$A$3, MATCH($A71, ARGUS!$A$3:$A$176, 0)-1,MATCH(EOMONTH(FO$15,1), ARGUS!$B$4:$LG$4, 0)-1,1,1)/1000, 0)</f>
        <v>0</v>
      </c>
      <c r="FP71" s="26">
        <f ca="1">IFERROR(OFFSET(ARGUS!$A$3, MATCH($A71, ARGUS!$A$3:$A$176, 0)-1,MATCH(EOMONTH(FP$15,1), ARGUS!$B$4:$LG$4, 0)-1,1,1)/1000, 0)</f>
        <v>0</v>
      </c>
      <c r="FQ71" s="26">
        <f ca="1">IFERROR(OFFSET(ARGUS!$A$3, MATCH($A71, ARGUS!$A$3:$A$176, 0)-1,MATCH(EOMONTH(FQ$15,1), ARGUS!$B$4:$LG$4, 0)-1,1,1)/1000, 0)</f>
        <v>0</v>
      </c>
      <c r="FR71" s="26">
        <f ca="1">IFERROR(OFFSET(ARGUS!$A$3, MATCH($A71, ARGUS!$A$3:$A$176, 0)-1,MATCH(EOMONTH(FR$15,1), ARGUS!$B$4:$LG$4, 0)-1,1,1)/1000, 0)</f>
        <v>0</v>
      </c>
      <c r="FS71" s="26">
        <f ca="1">IFERROR(OFFSET(ARGUS!$A$3, MATCH($A71, ARGUS!$A$3:$A$176, 0)-1,MATCH(EOMONTH(FS$15,1), ARGUS!$B$4:$LG$4, 0)-1,1,1)/1000, 0)</f>
        <v>0</v>
      </c>
      <c r="FT71" s="26">
        <f ca="1">IFERROR(OFFSET(ARGUS!$A$3, MATCH($A71, ARGUS!$A$3:$A$176, 0)-1,MATCH(EOMONTH(FT$15,1), ARGUS!$B$4:$LG$4, 0)-1,1,1)/1000, 0)</f>
        <v>0</v>
      </c>
      <c r="FU71" s="26">
        <f ca="1">IFERROR(OFFSET(ARGUS!$A$3, MATCH($A71, ARGUS!$A$3:$A$176, 0)-1,MATCH(EOMONTH(FU$15,1), ARGUS!$B$4:$LG$4, 0)-1,1,1)/1000, 0)</f>
        <v>0</v>
      </c>
      <c r="FV71" s="26">
        <f ca="1">IFERROR(OFFSET(ARGUS!$A$3, MATCH($A71, ARGUS!$A$3:$A$176, 0)-1,MATCH(EOMONTH(FV$15,1), ARGUS!$B$4:$LG$4, 0)-1,1,1)/1000, 0)</f>
        <v>0</v>
      </c>
      <c r="FW71" s="26">
        <f ca="1">IFERROR(OFFSET(ARGUS!$A$3, MATCH($A71, ARGUS!$A$3:$A$176, 0)-1,MATCH(EOMONTH(FW$15,1), ARGUS!$B$4:$LG$4, 0)-1,1,1)/1000, 0)</f>
        <v>0</v>
      </c>
      <c r="FX71" s="26">
        <f ca="1">IFERROR(OFFSET(ARGUS!$A$3, MATCH($A71, ARGUS!$A$3:$A$176, 0)-1,MATCH(EOMONTH(FX$15,1), ARGUS!$B$4:$LG$4, 0)-1,1,1)/1000, 0)</f>
        <v>0</v>
      </c>
      <c r="FY71" s="26">
        <f ca="1">IFERROR(OFFSET(ARGUS!$A$3, MATCH($A71, ARGUS!$A$3:$A$176, 0)-1,MATCH(EOMONTH(FY$15,1), ARGUS!$B$4:$LG$4, 0)-1,1,1)/1000, 0)</f>
        <v>0</v>
      </c>
      <c r="FZ71" s="26">
        <f ca="1">IFERROR(OFFSET(ARGUS!$A$3, MATCH($A71, ARGUS!$A$3:$A$176, 0)-1,MATCH(EOMONTH(FZ$15,1), ARGUS!$B$4:$LG$4, 0)-1,1,1)/1000, 0)</f>
        <v>0</v>
      </c>
      <c r="GA71" s="26">
        <f ca="1">IFERROR(OFFSET(ARGUS!$A$3, MATCH($A71, ARGUS!$A$3:$A$176, 0)-1,MATCH(EOMONTH(GA$15,1), ARGUS!$B$4:$LG$4, 0)-1,1,1)/1000, 0)</f>
        <v>0</v>
      </c>
      <c r="GB71" s="26">
        <f ca="1">IFERROR(OFFSET(ARGUS!$A$3, MATCH($A71, ARGUS!$A$3:$A$176, 0)-1,MATCH(EOMONTH(GB$15,1), ARGUS!$B$4:$LG$4, 0)-1,1,1)/1000, 0)</f>
        <v>0</v>
      </c>
      <c r="GC71" s="26">
        <f ca="1">IFERROR(OFFSET(ARGUS!$A$3, MATCH($A71, ARGUS!$A$3:$A$176, 0)-1,MATCH(EOMONTH(GC$15,1), ARGUS!$B$4:$LG$4, 0)-1,1,1)/1000, 0)</f>
        <v>0</v>
      </c>
      <c r="GD71" s="26">
        <f ca="1">IFERROR(OFFSET(ARGUS!$A$3, MATCH($A71, ARGUS!$A$3:$A$176, 0)-1,MATCH(EOMONTH(GD$15,1), ARGUS!$B$4:$LG$4, 0)-1,1,1)/1000, 0)</f>
        <v>0</v>
      </c>
      <c r="GE71" s="26">
        <f ca="1">IFERROR(OFFSET(ARGUS!$A$3, MATCH($A71, ARGUS!$A$3:$A$176, 0)-1,MATCH(EOMONTH(GE$15,1), ARGUS!$B$4:$LG$4, 0)-1,1,1)/1000, 0)</f>
        <v>0</v>
      </c>
      <c r="GF71" s="26">
        <f ca="1">IFERROR(OFFSET(ARGUS!$A$3, MATCH($A71, ARGUS!$A$3:$A$176, 0)-1,MATCH(EOMONTH(GF$15,1), ARGUS!$B$4:$LG$4, 0)-1,1,1)/1000, 0)</f>
        <v>0</v>
      </c>
      <c r="GG71" s="26">
        <f ca="1">IFERROR(OFFSET(ARGUS!$A$3, MATCH($A71, ARGUS!$A$3:$A$176, 0)-1,MATCH(EOMONTH(GG$15,1), ARGUS!$B$4:$LG$4, 0)-1,1,1)/1000, 0)</f>
        <v>0</v>
      </c>
      <c r="GH71" s="26">
        <f ca="1">IFERROR(OFFSET(ARGUS!$A$3, MATCH($A71, ARGUS!$A$3:$A$176, 0)-1,MATCH(EOMONTH(GH$15,1), ARGUS!$B$4:$LG$4, 0)-1,1,1)/1000, 0)</f>
        <v>0</v>
      </c>
      <c r="GI71" s="26">
        <f ca="1">IFERROR(OFFSET(ARGUS!$A$3, MATCH($A71, ARGUS!$A$3:$A$176, 0)-1,MATCH(EOMONTH(GI$15,1), ARGUS!$B$4:$LG$4, 0)-1,1,1)/1000, 0)</f>
        <v>0</v>
      </c>
      <c r="GJ71" s="26">
        <f ca="1">IFERROR(OFFSET(ARGUS!$A$3, MATCH($A71, ARGUS!$A$3:$A$176, 0)-1,MATCH(EOMONTH(GJ$15,1), ARGUS!$B$4:$LG$4, 0)-1,1,1)/1000, 0)</f>
        <v>0</v>
      </c>
      <c r="GK71" s="26">
        <f ca="1">IFERROR(OFFSET(ARGUS!$A$3, MATCH($A71, ARGUS!$A$3:$A$176, 0)-1,MATCH(EOMONTH(GK$15,1), ARGUS!$B$4:$LG$4, 0)-1,1,1)/1000, 0)</f>
        <v>0</v>
      </c>
      <c r="GL71" s="26">
        <f ca="1">IFERROR(OFFSET(ARGUS!$A$3, MATCH($A71, ARGUS!$A$3:$A$176, 0)-1,MATCH(EOMONTH(GL$15,1), ARGUS!$B$4:$LG$4, 0)-1,1,1)/1000, 0)</f>
        <v>0</v>
      </c>
      <c r="GM71" s="26">
        <f ca="1">IFERROR(OFFSET(ARGUS!$A$3, MATCH($A71, ARGUS!$A$3:$A$176, 0)-1,MATCH(EOMONTH(GM$15,1), ARGUS!$B$4:$LG$4, 0)-1,1,1)/1000, 0)</f>
        <v>0</v>
      </c>
      <c r="GN71" s="26">
        <f ca="1">IFERROR(OFFSET(ARGUS!$A$3, MATCH($A71, ARGUS!$A$3:$A$176, 0)-1,MATCH(EOMONTH(GN$15,1), ARGUS!$B$4:$LG$4, 0)-1,1,1)/1000, 0)</f>
        <v>0</v>
      </c>
      <c r="GO71" s="26">
        <f ca="1">IFERROR(OFFSET(ARGUS!$A$3, MATCH($A71, ARGUS!$A$3:$A$176, 0)-1,MATCH(EOMONTH(GO$15,1), ARGUS!$B$4:$LG$4, 0)-1,1,1)/1000, 0)</f>
        <v>0</v>
      </c>
      <c r="GP71" s="26">
        <f ca="1">IFERROR(OFFSET(ARGUS!$A$3, MATCH($A71, ARGUS!$A$3:$A$176, 0)-1,MATCH(EOMONTH(GP$15,1), ARGUS!$B$4:$LG$4, 0)-1,1,1)/1000, 0)</f>
        <v>0</v>
      </c>
      <c r="GQ71" s="26">
        <f ca="1">IFERROR(OFFSET(ARGUS!$A$3, MATCH($A71, ARGUS!$A$3:$A$176, 0)-1,MATCH(EOMONTH(GQ$15,1), ARGUS!$B$4:$LG$4, 0)-1,1,1)/1000, 0)</f>
        <v>0</v>
      </c>
      <c r="GR71" s="26">
        <f ca="1">IFERROR(OFFSET(ARGUS!$A$3, MATCH($A71, ARGUS!$A$3:$A$176, 0)-1,MATCH(EOMONTH(GR$15,1), ARGUS!$B$4:$LG$4, 0)-1,1,1)/1000, 0)</f>
        <v>0</v>
      </c>
      <c r="GS71" s="26">
        <f ca="1">IFERROR(OFFSET(ARGUS!$A$3, MATCH($A71, ARGUS!$A$3:$A$176, 0)-1,MATCH(EOMONTH(GS$15,1), ARGUS!$B$4:$LG$4, 0)-1,1,1)/1000, 0)</f>
        <v>0</v>
      </c>
      <c r="GT71" s="26">
        <f ca="1">IFERROR(OFFSET(ARGUS!$A$3, MATCH($A71, ARGUS!$A$3:$A$176, 0)-1,MATCH(EOMONTH(GT$15,1), ARGUS!$B$4:$LG$4, 0)-1,1,1)/1000, 0)</f>
        <v>0</v>
      </c>
      <c r="GU71" s="26"/>
      <c r="GV71" s="26"/>
      <c r="GW71" s="26"/>
      <c r="GX71" s="26"/>
      <c r="GY71" s="26"/>
      <c r="GZ71" s="26"/>
      <c r="HA71" s="26"/>
      <c r="HB71" s="26"/>
      <c r="HC71" s="26"/>
      <c r="HD71" s="26"/>
      <c r="HE71" s="26"/>
      <c r="HF71" s="1" t="s">
        <v>212</v>
      </c>
      <c r="HG71" s="139" t="e">
        <f t="shared" si="519"/>
        <v>#REF!</v>
      </c>
      <c r="HH71" s="1" t="str">
        <f t="shared" si="664"/>
        <v>Parking</v>
      </c>
      <c r="HI71" s="26"/>
      <c r="HJ71" s="26"/>
      <c r="HK71" s="26"/>
      <c r="HL71" s="132">
        <f t="shared" ref="HL71" ca="1" si="667">SUM(HN71:HV71)</f>
        <v>0</v>
      </c>
      <c r="HM71" s="26"/>
      <c r="HN71" s="133">
        <f t="shared" si="666"/>
        <v>0</v>
      </c>
      <c r="HO71" s="26">
        <f t="shared" si="666"/>
        <v>0</v>
      </c>
      <c r="HP71" s="26">
        <f t="shared" si="666"/>
        <v>0</v>
      </c>
      <c r="HQ71" s="26">
        <f t="shared" si="666"/>
        <v>0</v>
      </c>
      <c r="HR71" s="26">
        <f t="shared" si="666"/>
        <v>0</v>
      </c>
      <c r="HS71" s="26">
        <f t="shared" si="666"/>
        <v>0</v>
      </c>
      <c r="HT71" s="26">
        <f t="shared" si="666"/>
        <v>0</v>
      </c>
      <c r="HU71" s="26">
        <f t="shared" ca="1" si="666"/>
        <v>0</v>
      </c>
      <c r="HV71" s="26">
        <f t="shared" ca="1" si="666"/>
        <v>0</v>
      </c>
      <c r="HW71"/>
    </row>
    <row r="72" spans="1:231" ht="15">
      <c r="A72" s="441">
        <v>12</v>
      </c>
      <c r="B72" s="1" t="s">
        <v>754</v>
      </c>
      <c r="D72" s="585"/>
      <c r="E72" s="157"/>
      <c r="F72" s="158"/>
      <c r="I72" s="132">
        <f ca="1">SUMIF($K$13:$GT$13,"&lt;="&amp;Assumptions!$L$17,'Monthly Cash Flow'!K72:GT72)</f>
        <v>3366.0596799999989</v>
      </c>
      <c r="J72" s="26"/>
      <c r="K72" s="155"/>
      <c r="L72" s="954">
        <f>Historicals!D20</f>
        <v>30.8</v>
      </c>
      <c r="M72" s="954">
        <f>Historicals!E20</f>
        <v>30.8</v>
      </c>
      <c r="N72" s="954">
        <f>Historicals!F20</f>
        <v>30.8</v>
      </c>
      <c r="O72" s="954">
        <f>Historicals!G20</f>
        <v>46.124089999999995</v>
      </c>
      <c r="P72" s="954">
        <f>Historicals!H20</f>
        <v>34.631019999999999</v>
      </c>
      <c r="Q72" s="954">
        <f>Historicals!I20</f>
        <v>-2.8890199999999999</v>
      </c>
      <c r="R72" s="954">
        <f>Historicals!J20</f>
        <v>31.568729999999999</v>
      </c>
      <c r="S72" s="954">
        <f>Historicals!K20</f>
        <v>31.679089999999999</v>
      </c>
      <c r="T72" s="954">
        <f>Historicals!L20</f>
        <v>38.475720000000003</v>
      </c>
      <c r="U72" s="954">
        <f>Historicals!M20</f>
        <v>31.568740000000002</v>
      </c>
      <c r="V72" s="954">
        <f>Historicals!N20</f>
        <v>18.529070000000001</v>
      </c>
      <c r="W72" s="954">
        <f>Historicals!O20</f>
        <v>30.231069999999999</v>
      </c>
      <c r="X72" s="954">
        <f>Historicals!P20</f>
        <v>29.292279999999998</v>
      </c>
      <c r="Y72" s="954">
        <f>Historicals!Q20</f>
        <v>63.852539999999998</v>
      </c>
      <c r="Z72" s="954">
        <f>Historicals!R20</f>
        <v>33.031230000000001</v>
      </c>
      <c r="AA72" s="954">
        <f>Historicals!S20</f>
        <v>32.246919999999996</v>
      </c>
      <c r="AB72" s="954">
        <f>Historicals!T20</f>
        <v>30.246929999999999</v>
      </c>
      <c r="AC72" s="954">
        <f>Historicals!U20</f>
        <v>30.246919999999999</v>
      </c>
      <c r="AD72" s="954">
        <f>Historicals!V20</f>
        <v>30.246929999999999</v>
      </c>
      <c r="AE72" s="954">
        <f>Historicals!W20</f>
        <v>30.361000000000001</v>
      </c>
      <c r="AF72" s="954">
        <f>Historicals!X20</f>
        <v>30.246929999999999</v>
      </c>
      <c r="AG72" s="954">
        <f>Historicals!Y20</f>
        <v>30.324240000000003</v>
      </c>
      <c r="AH72" s="954">
        <f>Historicals!Z20</f>
        <v>30.583919999999999</v>
      </c>
      <c r="AI72" s="954">
        <f>Historicals!AA20</f>
        <v>30.246919999999999</v>
      </c>
      <c r="AJ72" s="954">
        <f>Historicals!AB20</f>
        <v>30.852</v>
      </c>
      <c r="AK72" s="954">
        <f>Historicals!AC20</f>
        <v>34.653589999999994</v>
      </c>
      <c r="AL72" s="954">
        <f>Historicals!AD20</f>
        <v>31.234020000000001</v>
      </c>
      <c r="AM72" s="954">
        <f>Historicals!AE20</f>
        <v>30.920999999999999</v>
      </c>
      <c r="AN72" s="954">
        <f>Historicals!AF20</f>
        <v>32.917180000000002</v>
      </c>
      <c r="AO72" s="954">
        <f>Historicals!AG20</f>
        <v>30.920210000000001</v>
      </c>
      <c r="AP72" s="954">
        <f>Historicals!AH20</f>
        <v>30.92023</v>
      </c>
      <c r="AQ72" s="954">
        <f>Historicals!AI20</f>
        <v>31.13223</v>
      </c>
      <c r="AR72" s="954">
        <f>Historicals!AJ20</f>
        <v>37.720230000000001</v>
      </c>
      <c r="AS72" s="954">
        <f>Historicals!AK20</f>
        <v>31.79223</v>
      </c>
      <c r="AT72" s="954">
        <f>Historicals!AL20</f>
        <v>39.282580000000003</v>
      </c>
      <c r="AU72" s="954">
        <f>Historicals!AM20</f>
        <v>39.380240000000001</v>
      </c>
      <c r="AV72" s="954">
        <f>Historicals!AN20</f>
        <v>31.538640000000001</v>
      </c>
      <c r="AW72" s="954">
        <f>Historicals!AO20</f>
        <v>27.767700000000001</v>
      </c>
      <c r="AX72" s="954">
        <f>Historicals!AP20</f>
        <v>30.8751</v>
      </c>
      <c r="AY72" s="954">
        <f>Historicals!AQ20</f>
        <v>31.08822</v>
      </c>
      <c r="AZ72" s="954">
        <f>Historicals!AR20</f>
        <v>31.650869999999998</v>
      </c>
      <c r="BA72" s="954">
        <f>Historicals!AS20</f>
        <v>31.200759999999999</v>
      </c>
      <c r="BB72" s="954">
        <f>Historicals!AT20</f>
        <v>34.967760000000006</v>
      </c>
      <c r="BC72" s="954">
        <f>Historicals!AU20</f>
        <v>31.998259999999998</v>
      </c>
      <c r="BD72" s="954">
        <f>Historicals!AV20</f>
        <v>37.663129999999995</v>
      </c>
      <c r="BE72" s="954">
        <f>Historicals!AW20</f>
        <v>32.223419999999997</v>
      </c>
      <c r="BF72" s="954">
        <f>Historicals!AX20</f>
        <v>31.08821</v>
      </c>
      <c r="BG72" s="954">
        <f>Historicals!AY20</f>
        <v>33.088230000000003</v>
      </c>
      <c r="BH72" s="954">
        <f>Historicals!AZ20</f>
        <v>31.08821</v>
      </c>
      <c r="BI72" s="954">
        <f>Historicals!BA20</f>
        <v>31.26821</v>
      </c>
      <c r="BJ72" s="954">
        <f>Historicals!BB20</f>
        <v>31.08821</v>
      </c>
      <c r="BK72" s="954">
        <f>Historicals!BC20</f>
        <v>36.743410000000004</v>
      </c>
      <c r="BL72" s="954">
        <f>Historicals!BD20</f>
        <v>32.502009999999999</v>
      </c>
      <c r="BM72" s="954">
        <f>Historicals!BE20</f>
        <v>32.502009999999999</v>
      </c>
      <c r="BN72" s="954">
        <f>Historicals!BF20</f>
        <v>32.502009999999999</v>
      </c>
      <c r="BO72" s="954">
        <f>Historicals!BG20</f>
        <v>36.121029999999998</v>
      </c>
      <c r="BP72" s="954">
        <f>Historicals!BH20</f>
        <v>39.302010000000003</v>
      </c>
      <c r="BQ72" s="954">
        <f>Historicals!BI20</f>
        <v>32.502009999999999</v>
      </c>
      <c r="BR72" s="954">
        <f>Historicals!BJ20</f>
        <v>32.502009999999999</v>
      </c>
      <c r="BS72" s="954">
        <f>Historicals!BK20</f>
        <v>32.502000000000002</v>
      </c>
      <c r="BT72" s="954">
        <f>Historicals!BL20</f>
        <v>34.502009999999999</v>
      </c>
      <c r="BU72" s="954">
        <f>Historicals!BM20</f>
        <v>32.502009999999999</v>
      </c>
      <c r="BV72" s="954">
        <f>Historicals!BN20</f>
        <v>32.502009999999999</v>
      </c>
      <c r="BW72" s="954">
        <f>Historicals!BO20</f>
        <v>31.158380000000001</v>
      </c>
      <c r="BX72" s="954">
        <f>Historicals!BP20</f>
        <v>32.1661</v>
      </c>
      <c r="BY72" s="954">
        <f>Historicals!BQ20</f>
        <v>32.166080000000001</v>
      </c>
      <c r="BZ72" s="954">
        <f>Historicals!BR20</f>
        <v>32.166089999999997</v>
      </c>
      <c r="CA72" s="954">
        <f>Historicals!BS20</f>
        <v>32.166089999999997</v>
      </c>
      <c r="CB72" s="954">
        <f>Historicals!BT20</f>
        <v>39.496850000000002</v>
      </c>
      <c r="CC72" s="954">
        <f>Historicals!BU20</f>
        <v>32.166089999999997</v>
      </c>
      <c r="CD72" s="954">
        <f>Historicals!BV20</f>
        <v>32.373730000000002</v>
      </c>
      <c r="CE72" s="954">
        <f>Historicals!BW20</f>
        <v>32.1661</v>
      </c>
      <c r="CF72" s="954">
        <f>Historicals!BX20</f>
        <v>34.1661</v>
      </c>
      <c r="CG72" s="954">
        <f>Historicals!BY20</f>
        <v>41.781730000000003</v>
      </c>
      <c r="CH72" s="954">
        <f>Historicals!BZ20</f>
        <v>32.208869999999997</v>
      </c>
      <c r="CI72" s="26">
        <f ca="1">IFERROR(OFFSET(ARGUS!$A$3, MATCH($A72, ARGUS!$A$3:$A$176, 0)-1,MATCH(EOMONTH(CI$15,1), ARGUS!$B$4:$LG$4, 0)-1,1,1)/1000, 0)</f>
        <v>32.808999999999997</v>
      </c>
      <c r="CJ72" s="26">
        <f ca="1">IFERROR(OFFSET(ARGUS!$A$3, MATCH($A72, ARGUS!$A$3:$A$176, 0)-1,MATCH(EOMONTH(CJ$15,1), ARGUS!$B$4:$LG$4, 0)-1,1,1)/1000, 0)</f>
        <v>32.808999999999997</v>
      </c>
      <c r="CK72" s="26">
        <f ca="1">IFERROR(OFFSET(ARGUS!$A$3, MATCH($A72, ARGUS!$A$3:$A$176, 0)-1,MATCH(EOMONTH(CK$15,1), ARGUS!$B$4:$LG$4, 0)-1,1,1)/1000, 0)</f>
        <v>32.808999999999997</v>
      </c>
      <c r="CL72" s="26">
        <f ca="1">IFERROR(OFFSET(ARGUS!$A$3, MATCH($A72, ARGUS!$A$3:$A$176, 0)-1,MATCH(EOMONTH(CL$15,1), ARGUS!$B$4:$LG$4, 0)-1,1,1)/1000, 0)</f>
        <v>33.792999999999999</v>
      </c>
      <c r="CM72" s="26">
        <f ca="1">IFERROR(OFFSET(ARGUS!$A$3, MATCH($A72, ARGUS!$A$3:$A$176, 0)-1,MATCH(EOMONTH(CM$15,1), ARGUS!$B$4:$LG$4, 0)-1,1,1)/1000, 0)</f>
        <v>33.792999999999999</v>
      </c>
      <c r="CN72" s="26">
        <f ca="1">IFERROR(OFFSET(ARGUS!$A$3, MATCH($A72, ARGUS!$A$3:$A$176, 0)-1,MATCH(EOMONTH(CN$15,1), ARGUS!$B$4:$LG$4, 0)-1,1,1)/1000, 0)</f>
        <v>33.792999999999999</v>
      </c>
      <c r="CO72" s="26">
        <f ca="1">IFERROR(OFFSET(ARGUS!$A$3, MATCH($A72, ARGUS!$A$3:$A$176, 0)-1,MATCH(EOMONTH(CO$15,1), ARGUS!$B$4:$LG$4, 0)-1,1,1)/1000, 0)</f>
        <v>33.792999999999999</v>
      </c>
      <c r="CP72" s="26">
        <f ca="1">IFERROR(OFFSET(ARGUS!$A$3, MATCH($A72, ARGUS!$A$3:$A$176, 0)-1,MATCH(EOMONTH(CP$15,1), ARGUS!$B$4:$LG$4, 0)-1,1,1)/1000, 0)</f>
        <v>33.792999999999999</v>
      </c>
      <c r="CQ72" s="26">
        <f ca="1">IFERROR(OFFSET(ARGUS!$A$3, MATCH($A72, ARGUS!$A$3:$A$176, 0)-1,MATCH(EOMONTH(CQ$15,1), ARGUS!$B$4:$LG$4, 0)-1,1,1)/1000, 0)</f>
        <v>33.792999999999999</v>
      </c>
      <c r="CR72" s="26">
        <f ca="1">IFERROR(OFFSET(ARGUS!$A$3, MATCH($A72, ARGUS!$A$3:$A$176, 0)-1,MATCH(EOMONTH(CR$15,1), ARGUS!$B$4:$LG$4, 0)-1,1,1)/1000, 0)</f>
        <v>33.792999999999999</v>
      </c>
      <c r="CS72" s="26">
        <f ca="1">IFERROR(OFFSET(ARGUS!$A$3, MATCH($A72, ARGUS!$A$3:$A$176, 0)-1,MATCH(EOMONTH(CS$15,1), ARGUS!$B$4:$LG$4, 0)-1,1,1)/1000, 0)</f>
        <v>33.792999999999999</v>
      </c>
      <c r="CT72" s="26">
        <f ca="1">IFERROR(OFFSET(ARGUS!$A$3, MATCH($A72, ARGUS!$A$3:$A$176, 0)-1,MATCH(EOMONTH(CT$15,1), ARGUS!$B$4:$LG$4, 0)-1,1,1)/1000, 0)</f>
        <v>33.792999999999999</v>
      </c>
      <c r="CU72" s="26">
        <f ca="1">IFERROR(OFFSET(ARGUS!$A$3, MATCH($A72, ARGUS!$A$3:$A$176, 0)-1,MATCH(EOMONTH(CU$15,1), ARGUS!$B$4:$LG$4, 0)-1,1,1)/1000, 0)</f>
        <v>33.792999999999999</v>
      </c>
      <c r="CV72" s="26">
        <f ca="1">IFERROR(OFFSET(ARGUS!$A$3, MATCH($A72, ARGUS!$A$3:$A$176, 0)-1,MATCH(EOMONTH(CV$15,1), ARGUS!$B$4:$LG$4, 0)-1,1,1)/1000, 0)</f>
        <v>33.792999999999999</v>
      </c>
      <c r="CW72" s="26">
        <f ca="1">IFERROR(OFFSET(ARGUS!$A$3, MATCH($A72, ARGUS!$A$3:$A$176, 0)-1,MATCH(EOMONTH(CW$15,1), ARGUS!$B$4:$LG$4, 0)-1,1,1)/1000, 0)</f>
        <v>33.792999999999999</v>
      </c>
      <c r="CX72" s="26">
        <f ca="1">IFERROR(OFFSET(ARGUS!$A$3, MATCH($A72, ARGUS!$A$3:$A$176, 0)-1,MATCH(EOMONTH(CX$15,1), ARGUS!$B$4:$LG$4, 0)-1,1,1)/1000, 0)</f>
        <v>34.807000000000002</v>
      </c>
      <c r="CY72" s="26">
        <f ca="1">IFERROR(OFFSET(ARGUS!$A$3, MATCH($A72, ARGUS!$A$3:$A$176, 0)-1,MATCH(EOMONTH(CY$15,1), ARGUS!$B$4:$LG$4, 0)-1,1,1)/1000, 0)</f>
        <v>34.807000000000002</v>
      </c>
      <c r="CZ72" s="26">
        <f ca="1">IFERROR(OFFSET(ARGUS!$A$3, MATCH($A72, ARGUS!$A$3:$A$176, 0)-1,MATCH(EOMONTH(CZ$15,1), ARGUS!$B$4:$LG$4, 0)-1,1,1)/1000, 0)</f>
        <v>34.807000000000002</v>
      </c>
      <c r="DA72" s="26">
        <f ca="1">IFERROR(OFFSET(ARGUS!$A$3, MATCH($A72, ARGUS!$A$3:$A$176, 0)-1,MATCH(EOMONTH(DA$15,1), ARGUS!$B$4:$LG$4, 0)-1,1,1)/1000, 0)</f>
        <v>34.807000000000002</v>
      </c>
      <c r="DB72" s="26">
        <f ca="1">IFERROR(OFFSET(ARGUS!$A$3, MATCH($A72, ARGUS!$A$3:$A$176, 0)-1,MATCH(EOMONTH(DB$15,1), ARGUS!$B$4:$LG$4, 0)-1,1,1)/1000, 0)</f>
        <v>34.807000000000002</v>
      </c>
      <c r="DC72" s="26">
        <f ca="1">IFERROR(OFFSET(ARGUS!$A$3, MATCH($A72, ARGUS!$A$3:$A$176, 0)-1,MATCH(EOMONTH(DC$15,1), ARGUS!$B$4:$LG$4, 0)-1,1,1)/1000, 0)</f>
        <v>34.807000000000002</v>
      </c>
      <c r="DD72" s="26">
        <f ca="1">IFERROR(OFFSET(ARGUS!$A$3, MATCH($A72, ARGUS!$A$3:$A$176, 0)-1,MATCH(EOMONTH(DD$15,1), ARGUS!$B$4:$LG$4, 0)-1,1,1)/1000, 0)</f>
        <v>34.807000000000002</v>
      </c>
      <c r="DE72" s="26">
        <f ca="1">IFERROR(OFFSET(ARGUS!$A$3, MATCH($A72, ARGUS!$A$3:$A$176, 0)-1,MATCH(EOMONTH(DE$15,1), ARGUS!$B$4:$LG$4, 0)-1,1,1)/1000, 0)</f>
        <v>34.807000000000002</v>
      </c>
      <c r="DF72" s="26">
        <f ca="1">IFERROR(OFFSET(ARGUS!$A$3, MATCH($A72, ARGUS!$A$3:$A$176, 0)-1,MATCH(EOMONTH(DF$15,1), ARGUS!$B$4:$LG$4, 0)-1,1,1)/1000, 0)</f>
        <v>34.807000000000002</v>
      </c>
      <c r="DG72" s="26">
        <f ca="1">IFERROR(OFFSET(ARGUS!$A$3, MATCH($A72, ARGUS!$A$3:$A$176, 0)-1,MATCH(EOMONTH(DG$15,1), ARGUS!$B$4:$LG$4, 0)-1,1,1)/1000, 0)</f>
        <v>34.807000000000002</v>
      </c>
      <c r="DH72" s="26">
        <f ca="1">IFERROR(OFFSET(ARGUS!$A$3, MATCH($A72, ARGUS!$A$3:$A$176, 0)-1,MATCH(EOMONTH(DH$15,1), ARGUS!$B$4:$LG$4, 0)-1,1,1)/1000, 0)</f>
        <v>34.807000000000002</v>
      </c>
      <c r="DI72" s="26">
        <f ca="1">IFERROR(OFFSET(ARGUS!$A$3, MATCH($A72, ARGUS!$A$3:$A$176, 0)-1,MATCH(EOMONTH(DI$15,1), ARGUS!$B$4:$LG$4, 0)-1,1,1)/1000, 0)</f>
        <v>34.807000000000002</v>
      </c>
      <c r="DJ72" s="26">
        <f ca="1">IFERROR(OFFSET(ARGUS!$A$3, MATCH($A72, ARGUS!$A$3:$A$176, 0)-1,MATCH(EOMONTH(DJ$15,1), ARGUS!$B$4:$LG$4, 0)-1,1,1)/1000, 0)</f>
        <v>35.850999999999999</v>
      </c>
      <c r="DK72" s="26">
        <f ca="1">IFERROR(OFFSET(ARGUS!$A$3, MATCH($A72, ARGUS!$A$3:$A$176, 0)-1,MATCH(EOMONTH(DK$15,1), ARGUS!$B$4:$LG$4, 0)-1,1,1)/1000, 0)</f>
        <v>35.850999999999999</v>
      </c>
      <c r="DL72" s="26">
        <f ca="1">IFERROR(OFFSET(ARGUS!$A$3, MATCH($A72, ARGUS!$A$3:$A$176, 0)-1,MATCH(EOMONTH(DL$15,1), ARGUS!$B$4:$LG$4, 0)-1,1,1)/1000, 0)</f>
        <v>35.850999999999999</v>
      </c>
      <c r="DM72" s="26">
        <f ca="1">IFERROR(OFFSET(ARGUS!$A$3, MATCH($A72, ARGUS!$A$3:$A$176, 0)-1,MATCH(EOMONTH(DM$15,1), ARGUS!$B$4:$LG$4, 0)-1,1,1)/1000, 0)</f>
        <v>35.850999999999999</v>
      </c>
      <c r="DN72" s="26">
        <f ca="1">IFERROR(OFFSET(ARGUS!$A$3, MATCH($A72, ARGUS!$A$3:$A$176, 0)-1,MATCH(EOMONTH(DN$15,1), ARGUS!$B$4:$LG$4, 0)-1,1,1)/1000, 0)</f>
        <v>35.850999999999999</v>
      </c>
      <c r="DO72" s="26">
        <f ca="1">IFERROR(OFFSET(ARGUS!$A$3, MATCH($A72, ARGUS!$A$3:$A$176, 0)-1,MATCH(EOMONTH(DO$15,1), ARGUS!$B$4:$LG$4, 0)-1,1,1)/1000, 0)</f>
        <v>35.850999999999999</v>
      </c>
      <c r="DP72" s="26">
        <f ca="1">IFERROR(OFFSET(ARGUS!$A$3, MATCH($A72, ARGUS!$A$3:$A$176, 0)-1,MATCH(EOMONTH(DP$15,1), ARGUS!$B$4:$LG$4, 0)-1,1,1)/1000, 0)</f>
        <v>35.850999999999999</v>
      </c>
      <c r="DQ72" s="26">
        <f ca="1">IFERROR(OFFSET(ARGUS!$A$3, MATCH($A72, ARGUS!$A$3:$A$176, 0)-1,MATCH(EOMONTH(DQ$15,1), ARGUS!$B$4:$LG$4, 0)-1,1,1)/1000, 0)</f>
        <v>35.850999999999999</v>
      </c>
      <c r="DR72" s="26">
        <f ca="1">IFERROR(OFFSET(ARGUS!$A$3, MATCH($A72, ARGUS!$A$3:$A$176, 0)-1,MATCH(EOMONTH(DR$15,1), ARGUS!$B$4:$LG$4, 0)-1,1,1)/1000, 0)</f>
        <v>35.850999999999999</v>
      </c>
      <c r="DS72" s="26">
        <f ca="1">IFERROR(OFFSET(ARGUS!$A$3, MATCH($A72, ARGUS!$A$3:$A$176, 0)-1,MATCH(EOMONTH(DS$15,1), ARGUS!$B$4:$LG$4, 0)-1,1,1)/1000, 0)</f>
        <v>35.850999999999999</v>
      </c>
      <c r="DT72" s="26">
        <f ca="1">IFERROR(OFFSET(ARGUS!$A$3, MATCH($A72, ARGUS!$A$3:$A$176, 0)-1,MATCH(EOMONTH(DT$15,1), ARGUS!$B$4:$LG$4, 0)-1,1,1)/1000, 0)</f>
        <v>35.850999999999999</v>
      </c>
      <c r="DU72" s="26">
        <f ca="1">IFERROR(OFFSET(ARGUS!$A$3, MATCH($A72, ARGUS!$A$3:$A$176, 0)-1,MATCH(EOMONTH(DU$15,1), ARGUS!$B$4:$LG$4, 0)-1,1,1)/1000, 0)</f>
        <v>35.850999999999999</v>
      </c>
      <c r="DV72" s="26">
        <f ca="1">IFERROR(OFFSET(ARGUS!$A$3, MATCH($A72, ARGUS!$A$3:$A$176, 0)-1,MATCH(EOMONTH(DV$15,1), ARGUS!$B$4:$LG$4, 0)-1,1,1)/1000, 0)</f>
        <v>36.927</v>
      </c>
      <c r="DW72" s="26">
        <f ca="1">IFERROR(OFFSET(ARGUS!$A$3, MATCH($A72, ARGUS!$A$3:$A$176, 0)-1,MATCH(EOMONTH(DW$15,1), ARGUS!$B$4:$LG$4, 0)-1,1,1)/1000, 0)</f>
        <v>36.927</v>
      </c>
      <c r="DX72" s="26">
        <f ca="1">IFERROR(OFFSET(ARGUS!$A$3, MATCH($A72, ARGUS!$A$3:$A$176, 0)-1,MATCH(EOMONTH(DX$15,1), ARGUS!$B$4:$LG$4, 0)-1,1,1)/1000, 0)</f>
        <v>36.927</v>
      </c>
      <c r="DY72" s="26">
        <f ca="1">IFERROR(OFFSET(ARGUS!$A$3, MATCH($A72, ARGUS!$A$3:$A$176, 0)-1,MATCH(EOMONTH(DY$15,1), ARGUS!$B$4:$LG$4, 0)-1,1,1)/1000, 0)</f>
        <v>36.927</v>
      </c>
      <c r="DZ72" s="26">
        <f ca="1">IFERROR(OFFSET(ARGUS!$A$3, MATCH($A72, ARGUS!$A$3:$A$176, 0)-1,MATCH(EOMONTH(DZ$15,1), ARGUS!$B$4:$LG$4, 0)-1,1,1)/1000, 0)</f>
        <v>36.927</v>
      </c>
      <c r="EA72" s="26">
        <f ca="1">IFERROR(OFFSET(ARGUS!$A$3, MATCH($A72, ARGUS!$A$3:$A$176, 0)-1,MATCH(EOMONTH(EA$15,1), ARGUS!$B$4:$LG$4, 0)-1,1,1)/1000, 0)</f>
        <v>36.927</v>
      </c>
      <c r="EB72" s="26">
        <f ca="1">IFERROR(OFFSET(ARGUS!$A$3, MATCH($A72, ARGUS!$A$3:$A$176, 0)-1,MATCH(EOMONTH(EB$15,1), ARGUS!$B$4:$LG$4, 0)-1,1,1)/1000, 0)</f>
        <v>36.927</v>
      </c>
      <c r="EC72" s="26">
        <f ca="1">IFERROR(OFFSET(ARGUS!$A$3, MATCH($A72, ARGUS!$A$3:$A$176, 0)-1,MATCH(EOMONTH(EC$15,1), ARGUS!$B$4:$LG$4, 0)-1,1,1)/1000, 0)</f>
        <v>36.927</v>
      </c>
      <c r="ED72" s="26">
        <f ca="1">IFERROR(OFFSET(ARGUS!$A$3, MATCH($A72, ARGUS!$A$3:$A$176, 0)-1,MATCH(EOMONTH(ED$15,1), ARGUS!$B$4:$LG$4, 0)-1,1,1)/1000, 0)</f>
        <v>36.927</v>
      </c>
      <c r="EE72" s="26">
        <f ca="1">IFERROR(OFFSET(ARGUS!$A$3, MATCH($A72, ARGUS!$A$3:$A$176, 0)-1,MATCH(EOMONTH(EE$15,1), ARGUS!$B$4:$LG$4, 0)-1,1,1)/1000, 0)</f>
        <v>36.927</v>
      </c>
      <c r="EF72" s="26">
        <f ca="1">IFERROR(OFFSET(ARGUS!$A$3, MATCH($A72, ARGUS!$A$3:$A$176, 0)-1,MATCH(EOMONTH(EF$15,1), ARGUS!$B$4:$LG$4, 0)-1,1,1)/1000, 0)</f>
        <v>36.927</v>
      </c>
      <c r="EG72" s="26">
        <f ca="1">IFERROR(OFFSET(ARGUS!$A$3, MATCH($A72, ARGUS!$A$3:$A$176, 0)-1,MATCH(EOMONTH(EG$15,1), ARGUS!$B$4:$LG$4, 0)-1,1,1)/1000, 0)</f>
        <v>36.927</v>
      </c>
      <c r="EH72" s="26">
        <f ca="1">IFERROR(OFFSET(ARGUS!$A$3, MATCH($A72, ARGUS!$A$3:$A$176, 0)-1,MATCH(EOMONTH(EH$15,1), ARGUS!$B$4:$LG$4, 0)-1,1,1)/1000, 0)</f>
        <v>38.034999999999997</v>
      </c>
      <c r="EI72" s="26">
        <f ca="1">IFERROR(OFFSET(ARGUS!$A$3, MATCH($A72, ARGUS!$A$3:$A$176, 0)-1,MATCH(EOMONTH(EI$15,1), ARGUS!$B$4:$LG$4, 0)-1,1,1)/1000, 0)</f>
        <v>38.034999999999997</v>
      </c>
      <c r="EJ72" s="26">
        <f ca="1">IFERROR(OFFSET(ARGUS!$A$3, MATCH($A72, ARGUS!$A$3:$A$176, 0)-1,MATCH(EOMONTH(EJ$15,1), ARGUS!$B$4:$LG$4, 0)-1,1,1)/1000, 0)</f>
        <v>38.034999999999997</v>
      </c>
      <c r="EK72" s="26">
        <f ca="1">IFERROR(OFFSET(ARGUS!$A$3, MATCH($A72, ARGUS!$A$3:$A$176, 0)-1,MATCH(EOMONTH(EK$15,1), ARGUS!$B$4:$LG$4, 0)-1,1,1)/1000, 0)</f>
        <v>38.034999999999997</v>
      </c>
      <c r="EL72" s="26">
        <f ca="1">IFERROR(OFFSET(ARGUS!$A$3, MATCH($A72, ARGUS!$A$3:$A$176, 0)-1,MATCH(EOMONTH(EL$15,1), ARGUS!$B$4:$LG$4, 0)-1,1,1)/1000, 0)</f>
        <v>38.034999999999997</v>
      </c>
      <c r="EM72" s="26">
        <f ca="1">IFERROR(OFFSET(ARGUS!$A$3, MATCH($A72, ARGUS!$A$3:$A$176, 0)-1,MATCH(EOMONTH(EM$15,1), ARGUS!$B$4:$LG$4, 0)-1,1,1)/1000, 0)</f>
        <v>38.034999999999997</v>
      </c>
      <c r="EN72" s="26">
        <f ca="1">IFERROR(OFFSET(ARGUS!$A$3, MATCH($A72, ARGUS!$A$3:$A$176, 0)-1,MATCH(EOMONTH(EN$15,1), ARGUS!$B$4:$LG$4, 0)-1,1,1)/1000, 0)</f>
        <v>38.034999999999997</v>
      </c>
      <c r="EO72" s="26">
        <f ca="1">IFERROR(OFFSET(ARGUS!$A$3, MATCH($A72, ARGUS!$A$3:$A$176, 0)-1,MATCH(EOMONTH(EO$15,1), ARGUS!$B$4:$LG$4, 0)-1,1,1)/1000, 0)</f>
        <v>38.034999999999997</v>
      </c>
      <c r="EP72" s="26">
        <f ca="1">IFERROR(OFFSET(ARGUS!$A$3, MATCH($A72, ARGUS!$A$3:$A$176, 0)-1,MATCH(EOMONTH(EP$15,1), ARGUS!$B$4:$LG$4, 0)-1,1,1)/1000, 0)</f>
        <v>38.034999999999997</v>
      </c>
      <c r="EQ72" s="26">
        <f ca="1">IFERROR(OFFSET(ARGUS!$A$3, MATCH($A72, ARGUS!$A$3:$A$176, 0)-1,MATCH(EOMONTH(EQ$15,1), ARGUS!$B$4:$LG$4, 0)-1,1,1)/1000, 0)</f>
        <v>38.034999999999997</v>
      </c>
      <c r="ER72" s="26">
        <f ca="1">IFERROR(OFFSET(ARGUS!$A$3, MATCH($A72, ARGUS!$A$3:$A$176, 0)-1,MATCH(EOMONTH(ER$15,1), ARGUS!$B$4:$LG$4, 0)-1,1,1)/1000, 0)</f>
        <v>38.034999999999997</v>
      </c>
      <c r="ES72" s="26">
        <f ca="1">IFERROR(OFFSET(ARGUS!$A$3, MATCH($A72, ARGUS!$A$3:$A$176, 0)-1,MATCH(EOMONTH(ES$15,1), ARGUS!$B$4:$LG$4, 0)-1,1,1)/1000, 0)</f>
        <v>38.034999999999997</v>
      </c>
      <c r="ET72" s="26">
        <f ca="1">IFERROR(OFFSET(ARGUS!$A$3, MATCH($A72, ARGUS!$A$3:$A$176, 0)-1,MATCH(EOMONTH(ET$15,1), ARGUS!$B$4:$LG$4, 0)-1,1,1)/1000, 0)</f>
        <v>39.176000000000002</v>
      </c>
      <c r="EU72" s="26">
        <f ca="1">IFERROR(OFFSET(ARGUS!$A$3, MATCH($A72, ARGUS!$A$3:$A$176, 0)-1,MATCH(EOMONTH(EU$15,1), ARGUS!$B$4:$LG$4, 0)-1,1,1)/1000, 0)</f>
        <v>39.176000000000002</v>
      </c>
      <c r="EV72" s="26">
        <f ca="1">IFERROR(OFFSET(ARGUS!$A$3, MATCH($A72, ARGUS!$A$3:$A$176, 0)-1,MATCH(EOMONTH(EV$15,1), ARGUS!$B$4:$LG$4, 0)-1,1,1)/1000, 0)</f>
        <v>39.176000000000002</v>
      </c>
      <c r="EW72" s="26">
        <f ca="1">IFERROR(OFFSET(ARGUS!$A$3, MATCH($A72, ARGUS!$A$3:$A$176, 0)-1,MATCH(EOMONTH(EW$15,1), ARGUS!$B$4:$LG$4, 0)-1,1,1)/1000, 0)</f>
        <v>39.176000000000002</v>
      </c>
      <c r="EX72" s="26">
        <f ca="1">IFERROR(OFFSET(ARGUS!$A$3, MATCH($A72, ARGUS!$A$3:$A$176, 0)-1,MATCH(EOMONTH(EX$15,1), ARGUS!$B$4:$LG$4, 0)-1,1,1)/1000, 0)</f>
        <v>39.176000000000002</v>
      </c>
      <c r="EY72" s="26">
        <f ca="1">IFERROR(OFFSET(ARGUS!$A$3, MATCH($A72, ARGUS!$A$3:$A$176, 0)-1,MATCH(EOMONTH(EY$15,1), ARGUS!$B$4:$LG$4, 0)-1,1,1)/1000, 0)</f>
        <v>39.176000000000002</v>
      </c>
      <c r="EZ72" s="26">
        <f ca="1">IFERROR(OFFSET(ARGUS!$A$3, MATCH($A72, ARGUS!$A$3:$A$176, 0)-1,MATCH(EOMONTH(EZ$15,1), ARGUS!$B$4:$LG$4, 0)-1,1,1)/1000, 0)</f>
        <v>39.176000000000002</v>
      </c>
      <c r="FA72" s="26">
        <f ca="1">IFERROR(OFFSET(ARGUS!$A$3, MATCH($A72, ARGUS!$A$3:$A$176, 0)-1,MATCH(EOMONTH(FA$15,1), ARGUS!$B$4:$LG$4, 0)-1,1,1)/1000, 0)</f>
        <v>39.176000000000002</v>
      </c>
      <c r="FB72" s="26">
        <f ca="1">IFERROR(OFFSET(ARGUS!$A$3, MATCH($A72, ARGUS!$A$3:$A$176, 0)-1,MATCH(EOMONTH(FB$15,1), ARGUS!$B$4:$LG$4, 0)-1,1,1)/1000, 0)</f>
        <v>39.176000000000002</v>
      </c>
      <c r="FC72" s="26">
        <f ca="1">IFERROR(OFFSET(ARGUS!$A$3, MATCH($A72, ARGUS!$A$3:$A$176, 0)-1,MATCH(EOMONTH(FC$15,1), ARGUS!$B$4:$LG$4, 0)-1,1,1)/1000, 0)</f>
        <v>39.176000000000002</v>
      </c>
      <c r="FD72" s="26">
        <f ca="1">IFERROR(OFFSET(ARGUS!$A$3, MATCH($A72, ARGUS!$A$3:$A$176, 0)-1,MATCH(EOMONTH(FD$15,1), ARGUS!$B$4:$LG$4, 0)-1,1,1)/1000, 0)</f>
        <v>39.176000000000002</v>
      </c>
      <c r="FE72" s="26">
        <f ca="1">IFERROR(OFFSET(ARGUS!$A$3, MATCH($A72, ARGUS!$A$3:$A$176, 0)-1,MATCH(EOMONTH(FE$15,1), ARGUS!$B$4:$LG$4, 0)-1,1,1)/1000, 0)</f>
        <v>39.176000000000002</v>
      </c>
      <c r="FF72" s="26">
        <f ca="1">IFERROR(OFFSET(ARGUS!$A$3, MATCH($A72, ARGUS!$A$3:$A$176, 0)-1,MATCH(EOMONTH(FF$15,1), ARGUS!$B$4:$LG$4, 0)-1,1,1)/1000, 0)</f>
        <v>40.350999999999999</v>
      </c>
      <c r="FG72" s="26">
        <f ca="1">IFERROR(OFFSET(ARGUS!$A$3, MATCH($A72, ARGUS!$A$3:$A$176, 0)-1,MATCH(EOMONTH(FG$15,1), ARGUS!$B$4:$LG$4, 0)-1,1,1)/1000, 0)</f>
        <v>40.350999999999999</v>
      </c>
      <c r="FH72" s="26">
        <f ca="1">IFERROR(OFFSET(ARGUS!$A$3, MATCH($A72, ARGUS!$A$3:$A$176, 0)-1,MATCH(EOMONTH(FH$15,1), ARGUS!$B$4:$LG$4, 0)-1,1,1)/1000, 0)</f>
        <v>40.350999999999999</v>
      </c>
      <c r="FI72" s="26">
        <f ca="1">IFERROR(OFFSET(ARGUS!$A$3, MATCH($A72, ARGUS!$A$3:$A$176, 0)-1,MATCH(EOMONTH(FI$15,1), ARGUS!$B$4:$LG$4, 0)-1,1,1)/1000, 0)</f>
        <v>40.350999999999999</v>
      </c>
      <c r="FJ72" s="26">
        <f ca="1">IFERROR(OFFSET(ARGUS!$A$3, MATCH($A72, ARGUS!$A$3:$A$176, 0)-1,MATCH(EOMONTH(FJ$15,1), ARGUS!$B$4:$LG$4, 0)-1,1,1)/1000, 0)</f>
        <v>40.350999999999999</v>
      </c>
      <c r="FK72" s="26">
        <f ca="1">IFERROR(OFFSET(ARGUS!$A$3, MATCH($A72, ARGUS!$A$3:$A$176, 0)-1,MATCH(EOMONTH(FK$15,1), ARGUS!$B$4:$LG$4, 0)-1,1,1)/1000, 0)</f>
        <v>40.350999999999999</v>
      </c>
      <c r="FL72" s="26">
        <f ca="1">IFERROR(OFFSET(ARGUS!$A$3, MATCH($A72, ARGUS!$A$3:$A$176, 0)-1,MATCH(EOMONTH(FL$15,1), ARGUS!$B$4:$LG$4, 0)-1,1,1)/1000, 0)</f>
        <v>40.350999999999999</v>
      </c>
      <c r="FM72" s="26">
        <f ca="1">IFERROR(OFFSET(ARGUS!$A$3, MATCH($A72, ARGUS!$A$3:$A$176, 0)-1,MATCH(EOMONTH(FM$15,1), ARGUS!$B$4:$LG$4, 0)-1,1,1)/1000, 0)</f>
        <v>40.350999999999999</v>
      </c>
      <c r="FN72" s="26">
        <f ca="1">IFERROR(OFFSET(ARGUS!$A$3, MATCH($A72, ARGUS!$A$3:$A$176, 0)-1,MATCH(EOMONTH(FN$15,1), ARGUS!$B$4:$LG$4, 0)-1,1,1)/1000, 0)</f>
        <v>40.350999999999999</v>
      </c>
      <c r="FO72" s="26">
        <f ca="1">IFERROR(OFFSET(ARGUS!$A$3, MATCH($A72, ARGUS!$A$3:$A$176, 0)-1,MATCH(EOMONTH(FO$15,1), ARGUS!$B$4:$LG$4, 0)-1,1,1)/1000, 0)</f>
        <v>40.350999999999999</v>
      </c>
      <c r="FP72" s="26">
        <f ca="1">IFERROR(OFFSET(ARGUS!$A$3, MATCH($A72, ARGUS!$A$3:$A$176, 0)-1,MATCH(EOMONTH(FP$15,1), ARGUS!$B$4:$LG$4, 0)-1,1,1)/1000, 0)</f>
        <v>40.350999999999999</v>
      </c>
      <c r="FQ72" s="26">
        <f ca="1">IFERROR(OFFSET(ARGUS!$A$3, MATCH($A72, ARGUS!$A$3:$A$176, 0)-1,MATCH(EOMONTH(FQ$15,1), ARGUS!$B$4:$LG$4, 0)-1,1,1)/1000, 0)</f>
        <v>40.350999999999999</v>
      </c>
      <c r="FR72" s="26">
        <f ca="1">IFERROR(OFFSET(ARGUS!$A$3, MATCH($A72, ARGUS!$A$3:$A$176, 0)-1,MATCH(EOMONTH(FR$15,1), ARGUS!$B$4:$LG$4, 0)-1,1,1)/1000, 0)</f>
        <v>41.561</v>
      </c>
      <c r="FS72" s="26">
        <f ca="1">IFERROR(OFFSET(ARGUS!$A$3, MATCH($A72, ARGUS!$A$3:$A$176, 0)-1,MATCH(EOMONTH(FS$15,1), ARGUS!$B$4:$LG$4, 0)-1,1,1)/1000, 0)</f>
        <v>41.561</v>
      </c>
      <c r="FT72" s="26">
        <f ca="1">IFERROR(OFFSET(ARGUS!$A$3, MATCH($A72, ARGUS!$A$3:$A$176, 0)-1,MATCH(EOMONTH(FT$15,1), ARGUS!$B$4:$LG$4, 0)-1,1,1)/1000, 0)</f>
        <v>41.561</v>
      </c>
      <c r="FU72" s="26">
        <f ca="1">IFERROR(OFFSET(ARGUS!$A$3, MATCH($A72, ARGUS!$A$3:$A$176, 0)-1,MATCH(EOMONTH(FU$15,1), ARGUS!$B$4:$LG$4, 0)-1,1,1)/1000, 0)</f>
        <v>41.561</v>
      </c>
      <c r="FV72" s="26">
        <f ca="1">IFERROR(OFFSET(ARGUS!$A$3, MATCH($A72, ARGUS!$A$3:$A$176, 0)-1,MATCH(EOMONTH(FV$15,1), ARGUS!$B$4:$LG$4, 0)-1,1,1)/1000, 0)</f>
        <v>41.561</v>
      </c>
      <c r="FW72" s="26">
        <f ca="1">IFERROR(OFFSET(ARGUS!$A$3, MATCH($A72, ARGUS!$A$3:$A$176, 0)-1,MATCH(EOMONTH(FW$15,1), ARGUS!$B$4:$LG$4, 0)-1,1,1)/1000, 0)</f>
        <v>41.561</v>
      </c>
      <c r="FX72" s="26">
        <f ca="1">IFERROR(OFFSET(ARGUS!$A$3, MATCH($A72, ARGUS!$A$3:$A$176, 0)-1,MATCH(EOMONTH(FX$15,1), ARGUS!$B$4:$LG$4, 0)-1,1,1)/1000, 0)</f>
        <v>41.561</v>
      </c>
      <c r="FY72" s="26">
        <f ca="1">IFERROR(OFFSET(ARGUS!$A$3, MATCH($A72, ARGUS!$A$3:$A$176, 0)-1,MATCH(EOMONTH(FY$15,1), ARGUS!$B$4:$LG$4, 0)-1,1,1)/1000, 0)</f>
        <v>41.561</v>
      </c>
      <c r="FZ72" s="26">
        <f ca="1">IFERROR(OFFSET(ARGUS!$A$3, MATCH($A72, ARGUS!$A$3:$A$176, 0)-1,MATCH(EOMONTH(FZ$15,1), ARGUS!$B$4:$LG$4, 0)-1,1,1)/1000, 0)</f>
        <v>41.561</v>
      </c>
      <c r="GA72" s="26">
        <f ca="1">IFERROR(OFFSET(ARGUS!$A$3, MATCH($A72, ARGUS!$A$3:$A$176, 0)-1,MATCH(EOMONTH(GA$15,1), ARGUS!$B$4:$LG$4, 0)-1,1,1)/1000, 0)</f>
        <v>41.561</v>
      </c>
      <c r="GB72" s="26">
        <f ca="1">IFERROR(OFFSET(ARGUS!$A$3, MATCH($A72, ARGUS!$A$3:$A$176, 0)-1,MATCH(EOMONTH(GB$15,1), ARGUS!$B$4:$LG$4, 0)-1,1,1)/1000, 0)</f>
        <v>41.561</v>
      </c>
      <c r="GC72" s="26">
        <f ca="1">IFERROR(OFFSET(ARGUS!$A$3, MATCH($A72, ARGUS!$A$3:$A$176, 0)-1,MATCH(EOMONTH(GC$15,1), ARGUS!$B$4:$LG$4, 0)-1,1,1)/1000, 0)</f>
        <v>41.561</v>
      </c>
      <c r="GD72" s="26">
        <f ca="1">IFERROR(OFFSET(ARGUS!$A$3, MATCH($A72, ARGUS!$A$3:$A$176, 0)-1,MATCH(EOMONTH(GD$15,1), ARGUS!$B$4:$LG$4, 0)-1,1,1)/1000, 0)</f>
        <v>42.808</v>
      </c>
      <c r="GE72" s="26">
        <f ca="1">IFERROR(OFFSET(ARGUS!$A$3, MATCH($A72, ARGUS!$A$3:$A$176, 0)-1,MATCH(EOMONTH(GE$15,1), ARGUS!$B$4:$LG$4, 0)-1,1,1)/1000, 0)</f>
        <v>42.808</v>
      </c>
      <c r="GF72" s="26">
        <f ca="1">IFERROR(OFFSET(ARGUS!$A$3, MATCH($A72, ARGUS!$A$3:$A$176, 0)-1,MATCH(EOMONTH(GF$15,1), ARGUS!$B$4:$LG$4, 0)-1,1,1)/1000, 0)</f>
        <v>42.808</v>
      </c>
      <c r="GG72" s="26">
        <f ca="1">IFERROR(OFFSET(ARGUS!$A$3, MATCH($A72, ARGUS!$A$3:$A$176, 0)-1,MATCH(EOMONTH(GG$15,1), ARGUS!$B$4:$LG$4, 0)-1,1,1)/1000, 0)</f>
        <v>42.808</v>
      </c>
      <c r="GH72" s="26">
        <f ca="1">IFERROR(OFFSET(ARGUS!$A$3, MATCH($A72, ARGUS!$A$3:$A$176, 0)-1,MATCH(EOMONTH(GH$15,1), ARGUS!$B$4:$LG$4, 0)-1,1,1)/1000, 0)</f>
        <v>42.808</v>
      </c>
      <c r="GI72" s="26">
        <f ca="1">IFERROR(OFFSET(ARGUS!$A$3, MATCH($A72, ARGUS!$A$3:$A$176, 0)-1,MATCH(EOMONTH(GI$15,1), ARGUS!$B$4:$LG$4, 0)-1,1,1)/1000, 0)</f>
        <v>42.808</v>
      </c>
      <c r="GJ72" s="26">
        <f ca="1">IFERROR(OFFSET(ARGUS!$A$3, MATCH($A72, ARGUS!$A$3:$A$176, 0)-1,MATCH(EOMONTH(GJ$15,1), ARGUS!$B$4:$LG$4, 0)-1,1,1)/1000, 0)</f>
        <v>42.808</v>
      </c>
      <c r="GK72" s="26">
        <f ca="1">IFERROR(OFFSET(ARGUS!$A$3, MATCH($A72, ARGUS!$A$3:$A$176, 0)-1,MATCH(EOMONTH(GK$15,1), ARGUS!$B$4:$LG$4, 0)-1,1,1)/1000, 0)</f>
        <v>42.808</v>
      </c>
      <c r="GL72" s="26">
        <f ca="1">IFERROR(OFFSET(ARGUS!$A$3, MATCH($A72, ARGUS!$A$3:$A$176, 0)-1,MATCH(EOMONTH(GL$15,1), ARGUS!$B$4:$LG$4, 0)-1,1,1)/1000, 0)</f>
        <v>42.808</v>
      </c>
      <c r="GM72" s="26">
        <f ca="1">IFERROR(OFFSET(ARGUS!$A$3, MATCH($A72, ARGUS!$A$3:$A$176, 0)-1,MATCH(EOMONTH(GM$15,1), ARGUS!$B$4:$LG$4, 0)-1,1,1)/1000, 0)</f>
        <v>42.808</v>
      </c>
      <c r="GN72" s="26">
        <f ca="1">IFERROR(OFFSET(ARGUS!$A$3, MATCH($A72, ARGUS!$A$3:$A$176, 0)-1,MATCH(EOMONTH(GN$15,1), ARGUS!$B$4:$LG$4, 0)-1,1,1)/1000, 0)</f>
        <v>42.808</v>
      </c>
      <c r="GO72" s="26">
        <f ca="1">IFERROR(OFFSET(ARGUS!$A$3, MATCH($A72, ARGUS!$A$3:$A$176, 0)-1,MATCH(EOMONTH(GO$15,1), ARGUS!$B$4:$LG$4, 0)-1,1,1)/1000, 0)</f>
        <v>42.808</v>
      </c>
      <c r="GP72" s="26">
        <f ca="1">IFERROR(OFFSET(ARGUS!$A$3, MATCH($A72, ARGUS!$A$3:$A$176, 0)-1,MATCH(EOMONTH(GP$15,1), ARGUS!$B$4:$LG$4, 0)-1,1,1)/1000, 0)</f>
        <v>44.093000000000004</v>
      </c>
      <c r="GQ72" s="26">
        <f ca="1">IFERROR(OFFSET(ARGUS!$A$3, MATCH($A72, ARGUS!$A$3:$A$176, 0)-1,MATCH(EOMONTH(GQ$15,1), ARGUS!$B$4:$LG$4, 0)-1,1,1)/1000, 0)</f>
        <v>44.093000000000004</v>
      </c>
      <c r="GR72" s="26">
        <f ca="1">IFERROR(OFFSET(ARGUS!$A$3, MATCH($A72, ARGUS!$A$3:$A$176, 0)-1,MATCH(EOMONTH(GR$15,1), ARGUS!$B$4:$LG$4, 0)-1,1,1)/1000, 0)</f>
        <v>44.093000000000004</v>
      </c>
      <c r="GS72" s="26">
        <f ca="1">IFERROR(OFFSET(ARGUS!$A$3, MATCH($A72, ARGUS!$A$3:$A$176, 0)-1,MATCH(EOMONTH(GS$15,1), ARGUS!$B$4:$LG$4, 0)-1,1,1)/1000, 0)</f>
        <v>44.093000000000004</v>
      </c>
      <c r="GT72" s="26">
        <f ca="1">IFERROR(OFFSET(ARGUS!$A$3, MATCH($A72, ARGUS!$A$3:$A$176, 0)-1,MATCH(EOMONTH(GT$15,1), ARGUS!$B$4:$LG$4, 0)-1,1,1)/1000, 0)</f>
        <v>44.093000000000004</v>
      </c>
      <c r="GU72" s="26"/>
      <c r="GV72" s="26"/>
      <c r="GW72" s="26"/>
      <c r="GX72" s="26"/>
      <c r="GY72" s="26"/>
      <c r="GZ72" s="26"/>
      <c r="HA72" s="26"/>
      <c r="HB72" s="26"/>
      <c r="HC72" s="26"/>
      <c r="HD72" s="26"/>
      <c r="HE72" s="26"/>
      <c r="HF72" s="1" t="s">
        <v>212</v>
      </c>
      <c r="HG72" s="139" t="e">
        <f t="shared" si="519"/>
        <v>#REF!</v>
      </c>
      <c r="HH72" s="1" t="str">
        <f t="shared" si="664"/>
        <v>Real Estate Taxes</v>
      </c>
      <c r="HI72" s="26"/>
      <c r="HJ72" s="26"/>
      <c r="HK72" s="26"/>
      <c r="HL72" s="132">
        <f t="shared" ca="1" si="665"/>
        <v>3157.2176799999997</v>
      </c>
      <c r="HM72" s="26"/>
      <c r="HN72" s="133">
        <f t="shared" si="666"/>
        <v>0</v>
      </c>
      <c r="HO72" s="26">
        <f t="shared" si="666"/>
        <v>352.31851</v>
      </c>
      <c r="HP72" s="26">
        <f t="shared" si="666"/>
        <v>400.92675999999994</v>
      </c>
      <c r="HQ72" s="26">
        <f t="shared" si="666"/>
        <v>401.72574000000003</v>
      </c>
      <c r="HR72" s="26">
        <f t="shared" si="666"/>
        <v>385.15030000000002</v>
      </c>
      <c r="HS72" s="26">
        <f t="shared" si="666"/>
        <v>400.62312999999995</v>
      </c>
      <c r="HT72" s="26">
        <f t="shared" si="666"/>
        <v>395.53153999999995</v>
      </c>
      <c r="HU72" s="26">
        <f t="shared" ca="1" si="666"/>
        <v>409.3417</v>
      </c>
      <c r="HV72" s="26">
        <f t="shared" ca="1" si="666"/>
        <v>411.60000000000008</v>
      </c>
      <c r="HW72"/>
    </row>
    <row r="73" spans="1:231" ht="6" customHeight="1">
      <c r="E73" s="150"/>
      <c r="I73" s="132"/>
      <c r="J73" s="26"/>
      <c r="K73" s="133"/>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c r="FJ73" s="26"/>
      <c r="FK73" s="26"/>
      <c r="FL73" s="26"/>
      <c r="FM73" s="26"/>
      <c r="FN73" s="26"/>
      <c r="FO73" s="26"/>
      <c r="FP73" s="26"/>
      <c r="FQ73" s="26"/>
      <c r="FR73" s="26"/>
      <c r="FS73" s="26"/>
      <c r="FT73" s="26"/>
      <c r="FU73" s="26"/>
      <c r="FV73" s="26"/>
      <c r="FW73" s="26"/>
      <c r="FX73" s="26"/>
      <c r="FY73" s="26"/>
      <c r="FZ73" s="26"/>
      <c r="GA73" s="26"/>
      <c r="GB73" s="26"/>
      <c r="GC73" s="26"/>
      <c r="GD73" s="26"/>
      <c r="GE73" s="26"/>
      <c r="GF73" s="26"/>
      <c r="GG73" s="26"/>
      <c r="GH73" s="26"/>
      <c r="GI73" s="26"/>
      <c r="GJ73" s="26"/>
      <c r="GK73" s="26"/>
      <c r="GL73" s="26"/>
      <c r="GM73" s="26"/>
      <c r="GN73" s="26"/>
      <c r="GO73" s="26"/>
      <c r="GP73" s="26"/>
      <c r="GQ73" s="26"/>
      <c r="GR73" s="26"/>
      <c r="GS73" s="26"/>
      <c r="GT73" s="26"/>
      <c r="GU73" s="26"/>
      <c r="GV73" s="26"/>
      <c r="GW73" s="26"/>
      <c r="GX73" s="26"/>
      <c r="GY73" s="26"/>
      <c r="GZ73" s="26"/>
      <c r="HA73" s="26"/>
      <c r="HB73" s="26"/>
      <c r="HC73" s="26"/>
      <c r="HD73" s="26"/>
      <c r="HE73" s="26"/>
      <c r="HF73" s="1" t="s">
        <v>212</v>
      </c>
      <c r="HG73" s="139" t="e">
        <f>HG72+1</f>
        <v>#REF!</v>
      </c>
      <c r="HI73" s="26"/>
      <c r="HJ73" s="26"/>
      <c r="HK73" s="26"/>
      <c r="HL73" s="132"/>
      <c r="HM73" s="26"/>
      <c r="HN73" s="133"/>
      <c r="HO73" s="26"/>
      <c r="HP73" s="26"/>
      <c r="HQ73" s="26"/>
      <c r="HR73" s="26"/>
      <c r="HS73" s="26"/>
      <c r="HT73" s="26"/>
      <c r="HU73" s="26"/>
      <c r="HV73" s="26"/>
      <c r="HW73"/>
    </row>
    <row r="74" spans="1:231" ht="15">
      <c r="A74" s="441" t="s">
        <v>445</v>
      </c>
      <c r="B74" s="31" t="s">
        <v>102</v>
      </c>
      <c r="C74" s="31"/>
      <c r="D74" s="31"/>
      <c r="E74" s="31"/>
      <c r="F74" s="31"/>
      <c r="G74" s="31"/>
      <c r="H74" s="31"/>
      <c r="I74" s="134">
        <f ca="1">SUMIF($K$13:$GT$13,"&lt;="&amp;Assumptions!$L$17,'Monthly Cash Flow'!K74:GT74)</f>
        <v>14432.523459999999</v>
      </c>
      <c r="J74" s="32"/>
      <c r="K74" s="135"/>
      <c r="L74" s="32">
        <f t="shared" ref="L74:AQ74" si="668">SUM(L65:L72)</f>
        <v>115.59081000000002</v>
      </c>
      <c r="M74" s="32">
        <f t="shared" si="668"/>
        <v>144.24526</v>
      </c>
      <c r="N74" s="32">
        <f t="shared" si="668"/>
        <v>124.63961</v>
      </c>
      <c r="O74" s="32">
        <f t="shared" si="668"/>
        <v>166.90173999999999</v>
      </c>
      <c r="P74" s="32">
        <f t="shared" si="668"/>
        <v>107.83644000000001</v>
      </c>
      <c r="Q74" s="32">
        <f t="shared" si="668"/>
        <v>126.94687</v>
      </c>
      <c r="R74" s="32">
        <f t="shared" si="668"/>
        <v>114.63320000000002</v>
      </c>
      <c r="S74" s="32">
        <f t="shared" si="668"/>
        <v>103.62411</v>
      </c>
      <c r="T74" s="32">
        <f t="shared" si="668"/>
        <v>131.42531</v>
      </c>
      <c r="U74" s="32">
        <f t="shared" si="668"/>
        <v>135.10629</v>
      </c>
      <c r="V74" s="32">
        <f t="shared" si="668"/>
        <v>102.09072999999999</v>
      </c>
      <c r="W74" s="32">
        <f t="shared" si="668"/>
        <v>215.55073999999999</v>
      </c>
      <c r="X74" s="32">
        <f t="shared" si="668"/>
        <v>132.31889999999999</v>
      </c>
      <c r="Y74" s="32">
        <f t="shared" si="668"/>
        <v>214.14920000000001</v>
      </c>
      <c r="Z74" s="32">
        <f t="shared" si="668"/>
        <v>121.15303999999998</v>
      </c>
      <c r="AA74" s="32">
        <f t="shared" si="668"/>
        <v>97.168429999999972</v>
      </c>
      <c r="AB74" s="32">
        <f t="shared" si="668"/>
        <v>136.49839</v>
      </c>
      <c r="AC74" s="32">
        <f t="shared" si="668"/>
        <v>191.10236</v>
      </c>
      <c r="AD74" s="32">
        <f t="shared" si="668"/>
        <v>110.00149999999999</v>
      </c>
      <c r="AE74" s="32">
        <f t="shared" si="668"/>
        <v>122.42569999999998</v>
      </c>
      <c r="AF74" s="32">
        <f t="shared" si="668"/>
        <v>115.16693000000001</v>
      </c>
      <c r="AG74" s="32">
        <f t="shared" si="668"/>
        <v>104.11953</v>
      </c>
      <c r="AH74" s="32">
        <f t="shared" si="668"/>
        <v>113.76400000000001</v>
      </c>
      <c r="AI74" s="32">
        <f t="shared" si="668"/>
        <v>104.22780000000002</v>
      </c>
      <c r="AJ74" s="32">
        <f t="shared" si="668"/>
        <v>120.52921000000002</v>
      </c>
      <c r="AK74" s="32">
        <f t="shared" si="668"/>
        <v>128.14591000000001</v>
      </c>
      <c r="AL74" s="32">
        <f t="shared" si="668"/>
        <v>113.02325</v>
      </c>
      <c r="AM74" s="32">
        <f t="shared" si="668"/>
        <v>114.47328999999999</v>
      </c>
      <c r="AN74" s="32">
        <f t="shared" si="668"/>
        <v>127.91719999999998</v>
      </c>
      <c r="AO74" s="32">
        <f t="shared" si="668"/>
        <v>126.31856000000001</v>
      </c>
      <c r="AP74" s="32">
        <f t="shared" si="668"/>
        <v>107.14108000000002</v>
      </c>
      <c r="AQ74" s="32">
        <f t="shared" si="668"/>
        <v>112.05107000000001</v>
      </c>
      <c r="AR74" s="32">
        <f t="shared" ref="AR74:BW74" si="669">SUM(AR65:AR72)</f>
        <v>115.41155000000001</v>
      </c>
      <c r="AS74" s="32">
        <f t="shared" si="669"/>
        <v>111.62540000000001</v>
      </c>
      <c r="AT74" s="32">
        <f t="shared" si="669"/>
        <v>133.62564</v>
      </c>
      <c r="AU74" s="32">
        <f t="shared" si="669"/>
        <v>115.47171</v>
      </c>
      <c r="AV74" s="32">
        <f t="shared" si="669"/>
        <v>128.32291000000001</v>
      </c>
      <c r="AW74" s="32">
        <f t="shared" si="669"/>
        <v>123.30367</v>
      </c>
      <c r="AX74" s="32">
        <f t="shared" si="669"/>
        <v>148.85364000000001</v>
      </c>
      <c r="AY74" s="32">
        <f t="shared" si="669"/>
        <v>152.61577</v>
      </c>
      <c r="AZ74" s="32">
        <f t="shared" si="669"/>
        <v>139.33308</v>
      </c>
      <c r="BA74" s="32">
        <f t="shared" si="669"/>
        <v>145.33588</v>
      </c>
      <c r="BB74" s="32">
        <f t="shared" si="669"/>
        <v>168.34182999999999</v>
      </c>
      <c r="BC74" s="32">
        <f t="shared" si="669"/>
        <v>132.77460999999997</v>
      </c>
      <c r="BD74" s="32">
        <f t="shared" si="669"/>
        <v>123.17434</v>
      </c>
      <c r="BE74" s="32">
        <f t="shared" si="669"/>
        <v>102.86583999999999</v>
      </c>
      <c r="BF74" s="32">
        <f t="shared" si="669"/>
        <v>112.87549</v>
      </c>
      <c r="BG74" s="32">
        <f t="shared" si="669"/>
        <v>103.48957000000001</v>
      </c>
      <c r="BH74" s="32">
        <f t="shared" si="669"/>
        <v>109.86706</v>
      </c>
      <c r="BI74" s="32">
        <f t="shared" si="669"/>
        <v>139.29623000000001</v>
      </c>
      <c r="BJ74" s="32">
        <f t="shared" si="669"/>
        <v>625.50516000000005</v>
      </c>
      <c r="BK74" s="32">
        <f t="shared" si="669"/>
        <v>108.04414</v>
      </c>
      <c r="BL74" s="32">
        <f t="shared" si="669"/>
        <v>104.74219000000001</v>
      </c>
      <c r="BM74" s="32">
        <f t="shared" si="669"/>
        <v>249.77114999999998</v>
      </c>
      <c r="BN74" s="32">
        <f t="shared" si="669"/>
        <v>82.596949999999978</v>
      </c>
      <c r="BO74" s="32">
        <f t="shared" si="669"/>
        <v>108.99615</v>
      </c>
      <c r="BP74" s="32">
        <f t="shared" si="669"/>
        <v>108.78355999999999</v>
      </c>
      <c r="BQ74" s="32">
        <f t="shared" si="669"/>
        <v>115.32195000000002</v>
      </c>
      <c r="BR74" s="32">
        <f t="shared" si="669"/>
        <v>159.76864</v>
      </c>
      <c r="BS74" s="32">
        <f t="shared" si="669"/>
        <v>65.522720000000007</v>
      </c>
      <c r="BT74" s="32">
        <f t="shared" si="669"/>
        <v>151.53192000000001</v>
      </c>
      <c r="BU74" s="32">
        <f t="shared" si="669"/>
        <v>174.57608999999997</v>
      </c>
      <c r="BV74" s="32">
        <f t="shared" si="669"/>
        <v>131.08381</v>
      </c>
      <c r="BW74" s="32">
        <f t="shared" si="669"/>
        <v>84.586669999999998</v>
      </c>
      <c r="BX74" s="32">
        <f t="shared" ref="BX74:DC74" si="670">SUM(BX65:BX72)</f>
        <v>176.70553000000001</v>
      </c>
      <c r="BY74" s="32">
        <f t="shared" si="670"/>
        <v>110.85014999999999</v>
      </c>
      <c r="BZ74" s="32">
        <f t="shared" si="670"/>
        <v>91.067560000000014</v>
      </c>
      <c r="CA74" s="32">
        <f t="shared" si="670"/>
        <v>240.06934000000001</v>
      </c>
      <c r="CB74" s="32">
        <f t="shared" si="670"/>
        <v>147.29024999999999</v>
      </c>
      <c r="CC74" s="32">
        <f t="shared" si="670"/>
        <v>131.06407000000002</v>
      </c>
      <c r="CD74" s="32">
        <f t="shared" si="670"/>
        <v>186.93230999999997</v>
      </c>
      <c r="CE74" s="32">
        <f t="shared" si="670"/>
        <v>145.46845999999999</v>
      </c>
      <c r="CF74" s="32">
        <f t="shared" si="670"/>
        <v>136.05350000000001</v>
      </c>
      <c r="CG74" s="32">
        <f t="shared" si="670"/>
        <v>143.05216000000001</v>
      </c>
      <c r="CH74" s="32">
        <f t="shared" si="670"/>
        <v>145.12935000000002</v>
      </c>
      <c r="CI74" s="32">
        <f t="shared" ca="1" si="670"/>
        <v>144.82900000000001</v>
      </c>
      <c r="CJ74" s="32">
        <f t="shared" ca="1" si="670"/>
        <v>145.53300000000002</v>
      </c>
      <c r="CK74" s="32">
        <f t="shared" ca="1" si="670"/>
        <v>145.53300000000002</v>
      </c>
      <c r="CL74" s="32">
        <f t="shared" ca="1" si="670"/>
        <v>149.745</v>
      </c>
      <c r="CM74" s="32">
        <f t="shared" ca="1" si="670"/>
        <v>149.745</v>
      </c>
      <c r="CN74" s="32">
        <f t="shared" ca="1" si="670"/>
        <v>149.75800000000001</v>
      </c>
      <c r="CO74" s="32">
        <f t="shared" ca="1" si="670"/>
        <v>149.75800000000001</v>
      </c>
      <c r="CP74" s="32">
        <f t="shared" ca="1" si="670"/>
        <v>150.07400000000001</v>
      </c>
      <c r="CQ74" s="32">
        <f t="shared" ca="1" si="670"/>
        <v>150.10000000000002</v>
      </c>
      <c r="CR74" s="32">
        <f t="shared" ca="1" si="670"/>
        <v>149.58800000000002</v>
      </c>
      <c r="CS74" s="32">
        <f t="shared" ca="1" si="670"/>
        <v>149.13400000000001</v>
      </c>
      <c r="CT74" s="32">
        <f t="shared" ca="1" si="670"/>
        <v>150.30100000000002</v>
      </c>
      <c r="CU74" s="32">
        <f t="shared" ca="1" si="670"/>
        <v>150.19200000000001</v>
      </c>
      <c r="CV74" s="32">
        <f t="shared" ca="1" si="670"/>
        <v>150.38300000000001</v>
      </c>
      <c r="CW74" s="32">
        <f t="shared" ca="1" si="670"/>
        <v>150.38300000000001</v>
      </c>
      <c r="CX74" s="32">
        <f t="shared" ca="1" si="670"/>
        <v>153.96800000000002</v>
      </c>
      <c r="CY74" s="32">
        <f t="shared" ca="1" si="670"/>
        <v>154.66200000000001</v>
      </c>
      <c r="CZ74" s="32">
        <f t="shared" ca="1" si="670"/>
        <v>154.01100000000002</v>
      </c>
      <c r="DA74" s="32">
        <f t="shared" ca="1" si="670"/>
        <v>154.642</v>
      </c>
      <c r="DB74" s="32">
        <f t="shared" ca="1" si="670"/>
        <v>155.11600000000001</v>
      </c>
      <c r="DC74" s="32">
        <f t="shared" ca="1" si="670"/>
        <v>156.20300000000003</v>
      </c>
      <c r="DD74" s="32">
        <f t="shared" ref="DD74:EI74" ca="1" si="671">SUM(DD65:DD72)</f>
        <v>156.20300000000003</v>
      </c>
      <c r="DE74" s="32">
        <f t="shared" ca="1" si="671"/>
        <v>156.21700000000001</v>
      </c>
      <c r="DF74" s="32">
        <f t="shared" ca="1" si="671"/>
        <v>156.24</v>
      </c>
      <c r="DG74" s="32">
        <f t="shared" ca="1" si="671"/>
        <v>156.25400000000002</v>
      </c>
      <c r="DH74" s="32">
        <f t="shared" ca="1" si="671"/>
        <v>156.27600000000001</v>
      </c>
      <c r="DI74" s="32">
        <f t="shared" ca="1" si="671"/>
        <v>156.291</v>
      </c>
      <c r="DJ74" s="32">
        <f t="shared" ca="1" si="671"/>
        <v>160.77799999999999</v>
      </c>
      <c r="DK74" s="32">
        <f t="shared" ca="1" si="671"/>
        <v>160.79199999999997</v>
      </c>
      <c r="DL74" s="32">
        <f t="shared" ca="1" si="671"/>
        <v>160.79199999999997</v>
      </c>
      <c r="DM74" s="32">
        <f t="shared" ca="1" si="671"/>
        <v>160.80500000000001</v>
      </c>
      <c r="DN74" s="32">
        <f t="shared" ca="1" si="671"/>
        <v>160.54</v>
      </c>
      <c r="DO74" s="32">
        <f t="shared" ca="1" si="671"/>
        <v>160.80199999999999</v>
      </c>
      <c r="DP74" s="32">
        <f t="shared" ca="1" si="671"/>
        <v>160.80199999999999</v>
      </c>
      <c r="DQ74" s="32">
        <f t="shared" ca="1" si="671"/>
        <v>160.81700000000001</v>
      </c>
      <c r="DR74" s="32">
        <f t="shared" ca="1" si="671"/>
        <v>160.83999999999997</v>
      </c>
      <c r="DS74" s="32">
        <f t="shared" ca="1" si="671"/>
        <v>160.85199999999998</v>
      </c>
      <c r="DT74" s="32">
        <f t="shared" ca="1" si="671"/>
        <v>160.875</v>
      </c>
      <c r="DU74" s="32">
        <f t="shared" ca="1" si="671"/>
        <v>160.89299999999997</v>
      </c>
      <c r="DV74" s="32">
        <f t="shared" ca="1" si="671"/>
        <v>165.46999999999997</v>
      </c>
      <c r="DW74" s="32">
        <f t="shared" ca="1" si="671"/>
        <v>165.48399999999998</v>
      </c>
      <c r="DX74" s="32">
        <f t="shared" ca="1" si="671"/>
        <v>165.48399999999998</v>
      </c>
      <c r="DY74" s="32">
        <f t="shared" ca="1" si="671"/>
        <v>165.49699999999999</v>
      </c>
      <c r="DZ74" s="32">
        <f t="shared" ca="1" si="671"/>
        <v>165.50799999999998</v>
      </c>
      <c r="EA74" s="32">
        <f t="shared" ca="1" si="671"/>
        <v>165.53399999999996</v>
      </c>
      <c r="EB74" s="32">
        <f t="shared" ca="1" si="671"/>
        <v>165.53399999999996</v>
      </c>
      <c r="EC74" s="32">
        <f t="shared" ca="1" si="671"/>
        <v>165.54899999999998</v>
      </c>
      <c r="ED74" s="32">
        <f t="shared" ca="1" si="671"/>
        <v>165.57299999999998</v>
      </c>
      <c r="EE74" s="32">
        <f t="shared" ca="1" si="671"/>
        <v>165.04799999999997</v>
      </c>
      <c r="EF74" s="32">
        <f t="shared" ca="1" si="671"/>
        <v>164.77999999999997</v>
      </c>
      <c r="EG74" s="32">
        <f t="shared" ca="1" si="671"/>
        <v>165.58699999999999</v>
      </c>
      <c r="EH74" s="32">
        <f t="shared" ca="1" si="671"/>
        <v>170.34099999999998</v>
      </c>
      <c r="EI74" s="32">
        <f t="shared" ca="1" si="671"/>
        <v>170.35599999999999</v>
      </c>
      <c r="EJ74" s="32">
        <f t="shared" ref="EJ74:FO74" ca="1" si="672">SUM(EJ65:EJ72)</f>
        <v>170.35599999999999</v>
      </c>
      <c r="EK74" s="32">
        <f t="shared" ca="1" si="672"/>
        <v>170.369</v>
      </c>
      <c r="EL74" s="32">
        <f t="shared" ca="1" si="672"/>
        <v>170.381</v>
      </c>
      <c r="EM74" s="32">
        <f t="shared" ca="1" si="672"/>
        <v>170.40799999999999</v>
      </c>
      <c r="EN74" s="32">
        <f t="shared" ca="1" si="672"/>
        <v>170.40799999999999</v>
      </c>
      <c r="EO74" s="32">
        <f t="shared" ca="1" si="672"/>
        <v>170.423</v>
      </c>
      <c r="EP74" s="32">
        <f t="shared" ca="1" si="672"/>
        <v>170.45599999999999</v>
      </c>
      <c r="EQ74" s="32">
        <f t="shared" ca="1" si="672"/>
        <v>169.94</v>
      </c>
      <c r="ER74" s="32">
        <f t="shared" ca="1" si="672"/>
        <v>170.36599999999999</v>
      </c>
      <c r="ES74" s="32">
        <f t="shared" ca="1" si="672"/>
        <v>170.39699999999999</v>
      </c>
      <c r="ET74" s="32">
        <f t="shared" ca="1" si="672"/>
        <v>175.28500000000003</v>
      </c>
      <c r="EU74" s="32">
        <f t="shared" ca="1" si="672"/>
        <v>175.3</v>
      </c>
      <c r="EV74" s="32">
        <f t="shared" ca="1" si="672"/>
        <v>175.3</v>
      </c>
      <c r="EW74" s="32">
        <f t="shared" ca="1" si="672"/>
        <v>175.31400000000002</v>
      </c>
      <c r="EX74" s="32">
        <f t="shared" ca="1" si="672"/>
        <v>174.964</v>
      </c>
      <c r="EY74" s="32">
        <f t="shared" ca="1" si="672"/>
        <v>174.71300000000002</v>
      </c>
      <c r="EZ74" s="32">
        <f t="shared" ca="1" si="672"/>
        <v>175.25600000000003</v>
      </c>
      <c r="FA74" s="32">
        <f t="shared" ca="1" si="672"/>
        <v>174.46000000000004</v>
      </c>
      <c r="FB74" s="32">
        <f t="shared" ca="1" si="672"/>
        <v>173.87299999999999</v>
      </c>
      <c r="FC74" s="32">
        <f t="shared" ca="1" si="672"/>
        <v>175.113</v>
      </c>
      <c r="FD74" s="32">
        <f t="shared" ca="1" si="672"/>
        <v>175.13300000000004</v>
      </c>
      <c r="FE74" s="32">
        <f t="shared" ca="1" si="672"/>
        <v>175.149</v>
      </c>
      <c r="FF74" s="32">
        <f t="shared" ca="1" si="672"/>
        <v>180.17300000000003</v>
      </c>
      <c r="FG74" s="32">
        <f t="shared" ca="1" si="672"/>
        <v>179.36200000000002</v>
      </c>
      <c r="FH74" s="32">
        <f t="shared" ca="1" si="672"/>
        <v>180.11400000000003</v>
      </c>
      <c r="FI74" s="32">
        <f t="shared" ca="1" si="672"/>
        <v>179.40100000000001</v>
      </c>
      <c r="FJ74" s="32">
        <f t="shared" ca="1" si="672"/>
        <v>180.06800000000001</v>
      </c>
      <c r="FK74" s="32">
        <f t="shared" ca="1" si="672"/>
        <v>178.47500000000002</v>
      </c>
      <c r="FL74" s="32">
        <f t="shared" ca="1" si="672"/>
        <v>178.97400000000002</v>
      </c>
      <c r="FM74" s="32">
        <f t="shared" ca="1" si="672"/>
        <v>179.83</v>
      </c>
      <c r="FN74" s="32">
        <f t="shared" ca="1" si="672"/>
        <v>179.84400000000002</v>
      </c>
      <c r="FO74" s="32">
        <f t="shared" ca="1" si="672"/>
        <v>179.86800000000002</v>
      </c>
      <c r="FP74" s="32">
        <f t="shared" ref="FP74:GT74" ca="1" si="673">SUM(FP65:FP72)</f>
        <v>179.88800000000003</v>
      </c>
      <c r="FQ74" s="32">
        <f t="shared" ca="1" si="673"/>
        <v>179.90500000000003</v>
      </c>
      <c r="FR74" s="32">
        <f t="shared" ca="1" si="673"/>
        <v>185.09399999999999</v>
      </c>
      <c r="FS74" s="32">
        <f t="shared" ca="1" si="673"/>
        <v>185.09399999999999</v>
      </c>
      <c r="FT74" s="32">
        <f t="shared" ca="1" si="673"/>
        <v>185.108</v>
      </c>
      <c r="FU74" s="32">
        <f t="shared" ca="1" si="673"/>
        <v>185.108</v>
      </c>
      <c r="FV74" s="32">
        <f t="shared" ca="1" si="673"/>
        <v>185.126</v>
      </c>
      <c r="FW74" s="32">
        <f t="shared" ca="1" si="673"/>
        <v>184.864</v>
      </c>
      <c r="FX74" s="32">
        <f t="shared" ca="1" si="673"/>
        <v>185.13400000000001</v>
      </c>
      <c r="FY74" s="32">
        <f t="shared" ca="1" si="673"/>
        <v>185.143</v>
      </c>
      <c r="FZ74" s="32">
        <f t="shared" ca="1" si="673"/>
        <v>185.15700000000001</v>
      </c>
      <c r="GA74" s="32">
        <f t="shared" ca="1" si="673"/>
        <v>185.173</v>
      </c>
      <c r="GB74" s="32">
        <f t="shared" ca="1" si="673"/>
        <v>185.19399999999999</v>
      </c>
      <c r="GC74" s="32">
        <f t="shared" ca="1" si="673"/>
        <v>185.22900000000001</v>
      </c>
      <c r="GD74" s="32">
        <f t="shared" ca="1" si="673"/>
        <v>190.57400000000001</v>
      </c>
      <c r="GE74" s="32">
        <f t="shared" ca="1" si="673"/>
        <v>190.57400000000001</v>
      </c>
      <c r="GF74" s="32">
        <f t="shared" ca="1" si="673"/>
        <v>190.58799999999999</v>
      </c>
      <c r="GG74" s="32">
        <f t="shared" ca="1" si="673"/>
        <v>190.58799999999999</v>
      </c>
      <c r="GH74" s="32">
        <f t="shared" ca="1" si="673"/>
        <v>190.607</v>
      </c>
      <c r="GI74" s="32">
        <f t="shared" ca="1" si="673"/>
        <v>190.61500000000001</v>
      </c>
      <c r="GJ74" s="32">
        <f t="shared" ca="1" si="673"/>
        <v>190.63900000000001</v>
      </c>
      <c r="GK74" s="32">
        <f t="shared" ca="1" si="673"/>
        <v>190.648</v>
      </c>
      <c r="GL74" s="32">
        <f t="shared" ca="1" si="673"/>
        <v>190.66300000000001</v>
      </c>
      <c r="GM74" s="32">
        <f t="shared" ca="1" si="673"/>
        <v>190.685</v>
      </c>
      <c r="GN74" s="32">
        <f t="shared" ca="1" si="673"/>
        <v>189.958</v>
      </c>
      <c r="GO74" s="32">
        <f t="shared" ca="1" si="673"/>
        <v>189.727</v>
      </c>
      <c r="GP74" s="32">
        <f t="shared" ca="1" si="673"/>
        <v>196.04899999999998</v>
      </c>
      <c r="GQ74" s="32">
        <f t="shared" ca="1" si="673"/>
        <v>196.04899999999998</v>
      </c>
      <c r="GR74" s="32">
        <f t="shared" ca="1" si="673"/>
        <v>196.06399999999996</v>
      </c>
      <c r="GS74" s="32">
        <f t="shared" ca="1" si="673"/>
        <v>196.06399999999996</v>
      </c>
      <c r="GT74" s="32">
        <f t="shared" ca="1" si="673"/>
        <v>196.084</v>
      </c>
      <c r="GU74" s="34"/>
      <c r="GV74" s="34"/>
      <c r="GW74" s="34"/>
      <c r="GX74" s="34"/>
      <c r="GY74" s="34"/>
      <c r="GZ74" s="34"/>
      <c r="HA74" s="34"/>
      <c r="HB74" s="34"/>
      <c r="HC74" s="34"/>
      <c r="HD74" s="34"/>
      <c r="HE74" s="34"/>
      <c r="HF74" s="1" t="s">
        <v>212</v>
      </c>
      <c r="HG74" s="139" t="e">
        <f t="shared" si="519"/>
        <v>#REF!</v>
      </c>
      <c r="HH74" s="31" t="str">
        <f>B74</f>
        <v>Total Operating Expenses</v>
      </c>
      <c r="HI74" s="32"/>
      <c r="HJ74" s="32"/>
      <c r="HK74" s="32"/>
      <c r="HL74" s="134">
        <f t="shared" ca="1" si="665"/>
        <v>13495.042459999999</v>
      </c>
      <c r="HM74" s="32"/>
      <c r="HN74" s="135">
        <f t="shared" ref="HN74:HV74" si="674">SUMIF($K$14:$GT$14,HN$14,$K74:$GT74)</f>
        <v>0</v>
      </c>
      <c r="HO74" s="32">
        <f t="shared" si="674"/>
        <v>1588.5911099999998</v>
      </c>
      <c r="HP74" s="32">
        <f t="shared" si="674"/>
        <v>1562.0957800000001</v>
      </c>
      <c r="HQ74" s="32">
        <f t="shared" si="674"/>
        <v>1425.73387</v>
      </c>
      <c r="HR74" s="32">
        <f t="shared" si="674"/>
        <v>1581.2866299999998</v>
      </c>
      <c r="HS74" s="32">
        <f t="shared" si="674"/>
        <v>1978.2158999999999</v>
      </c>
      <c r="HT74" s="32">
        <f t="shared" si="674"/>
        <v>1771.2261599999999</v>
      </c>
      <c r="HU74" s="32">
        <f t="shared" ca="1" si="674"/>
        <v>1759.3100100000001</v>
      </c>
      <c r="HV74" s="32">
        <f t="shared" ca="1" si="674"/>
        <v>1828.5830000000001</v>
      </c>
      <c r="HW74"/>
    </row>
    <row r="75" spans="1:231" ht="15">
      <c r="B75" s="84"/>
      <c r="C75" s="84"/>
      <c r="D75" s="84"/>
      <c r="E75" s="84"/>
      <c r="F75" s="84"/>
      <c r="G75" s="84"/>
      <c r="H75" s="84"/>
      <c r="I75" s="159"/>
      <c r="J75" s="160"/>
      <c r="K75" s="161"/>
      <c r="L75" s="905"/>
      <c r="M75" s="905"/>
      <c r="N75" s="905"/>
      <c r="O75" s="905"/>
      <c r="P75" s="905"/>
      <c r="Q75" s="905"/>
      <c r="R75" s="905"/>
      <c r="S75" s="905"/>
      <c r="T75" s="905"/>
      <c r="U75" s="905"/>
      <c r="V75" s="905"/>
      <c r="W75" s="905"/>
      <c r="X75" s="905"/>
      <c r="Y75" s="905"/>
      <c r="Z75" s="905"/>
      <c r="AA75" s="905"/>
      <c r="AB75" s="905"/>
      <c r="AC75" s="905"/>
      <c r="AD75" s="905"/>
      <c r="AE75" s="905"/>
      <c r="AF75" s="905"/>
      <c r="AG75" s="905"/>
      <c r="AH75" s="905"/>
      <c r="AI75" s="905"/>
      <c r="AJ75" s="905"/>
      <c r="AK75" s="905"/>
      <c r="AL75" s="905"/>
      <c r="AM75" s="905"/>
      <c r="AN75" s="905"/>
      <c r="AO75" s="905"/>
      <c r="AP75" s="905"/>
      <c r="AQ75" s="905"/>
      <c r="AR75" s="905"/>
      <c r="AS75" s="905"/>
      <c r="AT75" s="905"/>
      <c r="AU75" s="905"/>
      <c r="AV75" s="905"/>
      <c r="AW75" s="905"/>
      <c r="AX75" s="905"/>
      <c r="AY75" s="905"/>
      <c r="AZ75" s="905"/>
      <c r="BA75" s="905"/>
      <c r="BB75" s="905"/>
      <c r="BC75" s="905"/>
      <c r="BD75" s="905"/>
      <c r="BE75" s="905"/>
      <c r="BF75" s="905"/>
      <c r="BG75" s="905"/>
      <c r="BH75" s="905"/>
      <c r="BI75" s="905"/>
      <c r="BJ75" s="905"/>
      <c r="BK75" s="905"/>
      <c r="BL75" s="905"/>
      <c r="BM75" s="905"/>
      <c r="BN75" s="905"/>
      <c r="BO75" s="905"/>
      <c r="BP75" s="905"/>
      <c r="BQ75" s="905"/>
      <c r="BR75" s="905"/>
      <c r="BS75" s="905"/>
      <c r="BT75" s="905"/>
      <c r="BU75" s="905"/>
      <c r="BV75" s="905"/>
      <c r="BW75" s="905"/>
      <c r="BX75" s="905"/>
      <c r="BY75" s="905"/>
      <c r="BZ75" s="905"/>
      <c r="CA75" s="905"/>
      <c r="CB75" s="905"/>
      <c r="CC75" s="905"/>
      <c r="CD75" s="905"/>
      <c r="CE75" s="905"/>
      <c r="CF75" s="905"/>
      <c r="CG75" s="905"/>
      <c r="CH75" s="905"/>
      <c r="CI75" s="905"/>
      <c r="CJ75" s="905"/>
      <c r="CK75" s="905"/>
      <c r="CL75" s="905"/>
      <c r="CM75" s="905"/>
      <c r="CN75" s="905"/>
      <c r="CO75" s="905"/>
      <c r="CP75" s="905"/>
      <c r="CQ75" s="905"/>
      <c r="CR75" s="905"/>
      <c r="CS75" s="905"/>
      <c r="CT75" s="905"/>
      <c r="CU75" s="905"/>
      <c r="CV75" s="905"/>
      <c r="CW75" s="905"/>
      <c r="CX75" s="905"/>
      <c r="CY75" s="905"/>
      <c r="CZ75" s="905"/>
      <c r="DA75" s="905"/>
      <c r="DB75" s="905"/>
      <c r="DC75" s="905"/>
      <c r="DD75" s="905"/>
      <c r="DE75" s="905"/>
      <c r="DF75" s="905"/>
      <c r="DG75" s="905"/>
      <c r="DH75" s="905"/>
      <c r="DI75" s="905"/>
      <c r="DJ75" s="905"/>
      <c r="DK75" s="905"/>
      <c r="DL75" s="905"/>
      <c r="DM75" s="905"/>
      <c r="DN75" s="905"/>
      <c r="DO75" s="905"/>
      <c r="DP75" s="905"/>
      <c r="DQ75" s="905"/>
      <c r="DR75" s="905"/>
      <c r="DS75" s="905"/>
      <c r="DT75" s="905"/>
      <c r="DU75" s="905"/>
      <c r="DV75" s="905"/>
      <c r="DW75" s="905"/>
      <c r="DX75" s="905"/>
      <c r="DY75" s="905"/>
      <c r="DZ75" s="905"/>
      <c r="EA75" s="905"/>
      <c r="EB75" s="905"/>
      <c r="EC75" s="905"/>
      <c r="ED75" s="905"/>
      <c r="EE75" s="905"/>
      <c r="EF75" s="905"/>
      <c r="EG75" s="905"/>
      <c r="EH75" s="905"/>
      <c r="EI75" s="905"/>
      <c r="EJ75" s="905"/>
      <c r="EK75" s="905"/>
      <c r="EL75" s="905"/>
      <c r="EM75" s="905"/>
      <c r="EN75" s="905"/>
      <c r="EO75" s="905"/>
      <c r="EP75" s="905"/>
      <c r="EQ75" s="905"/>
      <c r="ER75" s="905"/>
      <c r="ES75" s="905"/>
      <c r="ET75" s="905"/>
      <c r="EU75" s="905"/>
      <c r="EV75" s="905"/>
      <c r="EW75" s="905"/>
      <c r="EX75" s="905"/>
      <c r="EY75" s="905"/>
      <c r="EZ75" s="905"/>
      <c r="FA75" s="905"/>
      <c r="FB75" s="905"/>
      <c r="FC75" s="905"/>
      <c r="FD75" s="905"/>
      <c r="FE75" s="905"/>
      <c r="FF75" s="905"/>
      <c r="FG75" s="905"/>
      <c r="FH75" s="905"/>
      <c r="FI75" s="905"/>
      <c r="FJ75" s="905"/>
      <c r="FK75" s="905"/>
      <c r="FL75" s="905"/>
      <c r="FM75" s="905"/>
      <c r="FN75" s="905"/>
      <c r="FO75" s="905"/>
      <c r="FP75" s="905"/>
      <c r="FQ75" s="905"/>
      <c r="FR75" s="905"/>
      <c r="FS75" s="905"/>
      <c r="FT75" s="905"/>
      <c r="FU75" s="905"/>
      <c r="FV75" s="905"/>
      <c r="FW75" s="905"/>
      <c r="FX75" s="905"/>
      <c r="FY75" s="905"/>
      <c r="FZ75" s="905"/>
      <c r="GA75" s="905"/>
      <c r="GB75" s="905"/>
      <c r="GC75" s="905"/>
      <c r="GD75" s="905"/>
      <c r="GE75" s="905"/>
      <c r="GF75" s="905"/>
      <c r="GG75" s="905"/>
      <c r="GH75" s="905"/>
      <c r="GI75" s="905"/>
      <c r="GJ75" s="905"/>
      <c r="GK75" s="905"/>
      <c r="GL75" s="905"/>
      <c r="GM75" s="905"/>
      <c r="GN75" s="905"/>
      <c r="GO75" s="905"/>
      <c r="GP75" s="905"/>
      <c r="GQ75" s="905"/>
      <c r="GR75" s="905"/>
      <c r="GS75" s="905"/>
      <c r="GT75" s="905"/>
      <c r="GU75" s="1581"/>
      <c r="GV75" s="1581"/>
      <c r="GW75" s="1581"/>
      <c r="GX75" s="1581"/>
      <c r="GY75" s="1581"/>
      <c r="GZ75" s="1581"/>
      <c r="HA75" s="1581"/>
      <c r="HB75" s="1581"/>
      <c r="HC75" s="1581"/>
      <c r="HD75" s="1581"/>
      <c r="HE75" s="1581"/>
      <c r="HF75" s="1" t="s">
        <v>212</v>
      </c>
      <c r="HG75" s="139" t="e">
        <f t="shared" si="519"/>
        <v>#REF!</v>
      </c>
      <c r="HH75" s="84"/>
      <c r="HI75" s="160"/>
      <c r="HJ75" s="160"/>
      <c r="HK75" s="160"/>
      <c r="HL75" s="159"/>
      <c r="HM75" s="160"/>
      <c r="HN75" s="161"/>
      <c r="HO75" s="160"/>
      <c r="HP75" s="160"/>
      <c r="HQ75" s="160"/>
      <c r="HR75" s="160"/>
      <c r="HS75" s="160"/>
      <c r="HT75" s="160"/>
      <c r="HU75" s="160"/>
      <c r="HV75" s="160"/>
      <c r="HW75"/>
    </row>
    <row r="76" spans="1:231" ht="15">
      <c r="A76" s="441" t="s">
        <v>74</v>
      </c>
      <c r="B76" s="162" t="s">
        <v>225</v>
      </c>
      <c r="C76" s="162"/>
      <c r="D76" s="162"/>
      <c r="E76" s="162"/>
      <c r="F76" s="162"/>
      <c r="G76" s="162"/>
      <c r="H76" s="162"/>
      <c r="I76" s="146">
        <f ca="1">SUMIF($K$13:$GT$13,"&lt;="&amp;Assumptions!$L$17,'Monthly Cash Flow'!K76:GT76)</f>
        <v>11582.533260000006</v>
      </c>
      <c r="J76" s="147"/>
      <c r="K76" s="163"/>
      <c r="L76" s="147">
        <f t="shared" ref="L76:AQ76" si="675">L62-L74</f>
        <v>58.588409999999996</v>
      </c>
      <c r="M76" s="147">
        <f t="shared" si="675"/>
        <v>39.424859999999995</v>
      </c>
      <c r="N76" s="147">
        <f t="shared" si="675"/>
        <v>62.164510000000007</v>
      </c>
      <c r="O76" s="147">
        <f t="shared" si="675"/>
        <v>23.673310000000015</v>
      </c>
      <c r="P76" s="147">
        <f t="shared" si="675"/>
        <v>69.427840000000003</v>
      </c>
      <c r="Q76" s="147">
        <f t="shared" si="675"/>
        <v>53.221360000000018</v>
      </c>
      <c r="R76" s="147">
        <f t="shared" si="675"/>
        <v>66.139569999999992</v>
      </c>
      <c r="S76" s="147">
        <f t="shared" si="675"/>
        <v>136.26360000000003</v>
      </c>
      <c r="T76" s="147">
        <f t="shared" si="675"/>
        <v>66.867030000000028</v>
      </c>
      <c r="U76" s="147">
        <f t="shared" si="675"/>
        <v>154.67081000000002</v>
      </c>
      <c r="V76" s="147">
        <f t="shared" si="675"/>
        <v>239.07783999999998</v>
      </c>
      <c r="W76" s="147">
        <f t="shared" si="675"/>
        <v>-129.80023</v>
      </c>
      <c r="X76" s="147">
        <f t="shared" si="675"/>
        <v>81.805930000000018</v>
      </c>
      <c r="Y76" s="147">
        <f t="shared" si="675"/>
        <v>-5.0317100000000039</v>
      </c>
      <c r="Z76" s="147">
        <f t="shared" si="675"/>
        <v>73.826150000000041</v>
      </c>
      <c r="AA76" s="147">
        <f t="shared" si="675"/>
        <v>118.62709000000004</v>
      </c>
      <c r="AB76" s="147">
        <f t="shared" si="675"/>
        <v>60.287239999999997</v>
      </c>
      <c r="AC76" s="147">
        <f t="shared" si="675"/>
        <v>26.828859999999992</v>
      </c>
      <c r="AD76" s="147">
        <f t="shared" si="675"/>
        <v>119.66310999999999</v>
      </c>
      <c r="AE76" s="147">
        <f t="shared" si="675"/>
        <v>105.07043000000002</v>
      </c>
      <c r="AF76" s="147">
        <f t="shared" si="675"/>
        <v>94.892400000000038</v>
      </c>
      <c r="AG76" s="147">
        <f t="shared" si="675"/>
        <v>86.470220000000012</v>
      </c>
      <c r="AH76" s="147">
        <f t="shared" si="675"/>
        <v>113.23488</v>
      </c>
      <c r="AI76" s="147">
        <f t="shared" si="675"/>
        <v>93.738080000000011</v>
      </c>
      <c r="AJ76" s="147">
        <f t="shared" si="675"/>
        <v>73.349319999999992</v>
      </c>
      <c r="AK76" s="147">
        <f t="shared" si="675"/>
        <v>58.081759999999974</v>
      </c>
      <c r="AL76" s="147">
        <f t="shared" si="675"/>
        <v>99.803760000000025</v>
      </c>
      <c r="AM76" s="147">
        <f t="shared" si="675"/>
        <v>118.04129</v>
      </c>
      <c r="AN76" s="147">
        <f t="shared" si="675"/>
        <v>101.45357000000001</v>
      </c>
      <c r="AO76" s="147">
        <f t="shared" si="675"/>
        <v>81.414159999999995</v>
      </c>
      <c r="AP76" s="147">
        <f t="shared" si="675"/>
        <v>135.38081</v>
      </c>
      <c r="AQ76" s="147">
        <f t="shared" si="675"/>
        <v>131.88220999999999</v>
      </c>
      <c r="AR76" s="147">
        <f t="shared" ref="AR76:BW76" si="676">AR62-AR74</f>
        <v>106.14256</v>
      </c>
      <c r="AS76" s="147">
        <f t="shared" si="676"/>
        <v>134.99206999999998</v>
      </c>
      <c r="AT76" s="147">
        <f t="shared" si="676"/>
        <v>116.68306999999999</v>
      </c>
      <c r="AU76" s="147">
        <f t="shared" si="676"/>
        <v>134.19099000000003</v>
      </c>
      <c r="AV76" s="147">
        <f t="shared" si="676"/>
        <v>137.95124999999999</v>
      </c>
      <c r="AW76" s="147">
        <f t="shared" si="676"/>
        <v>129.61628999999999</v>
      </c>
      <c r="AX76" s="147">
        <f t="shared" si="676"/>
        <v>117.20541999999998</v>
      </c>
      <c r="AY76" s="147">
        <f t="shared" si="676"/>
        <v>115.52426000000003</v>
      </c>
      <c r="AZ76" s="147">
        <f t="shared" si="676"/>
        <v>51.822730000000007</v>
      </c>
      <c r="BA76" s="147">
        <f t="shared" si="676"/>
        <v>131.91952999999998</v>
      </c>
      <c r="BB76" s="147">
        <f t="shared" si="676"/>
        <v>111.86949000000001</v>
      </c>
      <c r="BC76" s="147">
        <f t="shared" si="676"/>
        <v>104.50782999999998</v>
      </c>
      <c r="BD76" s="147">
        <f t="shared" si="676"/>
        <v>110.20179000000002</v>
      </c>
      <c r="BE76" s="147">
        <f t="shared" si="676"/>
        <v>142.38238000000001</v>
      </c>
      <c r="BF76" s="147">
        <f t="shared" si="676"/>
        <v>154.56266999999997</v>
      </c>
      <c r="BG76" s="147">
        <f t="shared" si="676"/>
        <v>137.96525999999997</v>
      </c>
      <c r="BH76" s="147">
        <f t="shared" si="676"/>
        <v>131.58776999999998</v>
      </c>
      <c r="BI76" s="147">
        <f t="shared" si="676"/>
        <v>114.46233999999998</v>
      </c>
      <c r="BJ76" s="147">
        <f t="shared" si="676"/>
        <v>-364.37422000000004</v>
      </c>
      <c r="BK76" s="147">
        <f t="shared" si="676"/>
        <v>147.14487</v>
      </c>
      <c r="BL76" s="147">
        <f t="shared" ca="1" si="676"/>
        <v>112.02141999999999</v>
      </c>
      <c r="BM76" s="147">
        <f t="shared" ca="1" si="676"/>
        <v>9.8311400000000617</v>
      </c>
      <c r="BN76" s="147">
        <f t="shared" ca="1" si="676"/>
        <v>105.67253000000004</v>
      </c>
      <c r="BO76" s="147">
        <f t="shared" ca="1" si="676"/>
        <v>107.25182000000001</v>
      </c>
      <c r="BP76" s="147">
        <f t="shared" ca="1" si="676"/>
        <v>19.220650000000006</v>
      </c>
      <c r="BQ76" s="147">
        <f t="shared" ca="1" si="676"/>
        <v>112.32699999999997</v>
      </c>
      <c r="BR76" s="147">
        <f t="shared" ca="1" si="676"/>
        <v>59.421770000000009</v>
      </c>
      <c r="BS76" s="147">
        <f t="shared" ca="1" si="676"/>
        <v>188.27978999999999</v>
      </c>
      <c r="BT76" s="147">
        <f t="shared" ca="1" si="676"/>
        <v>59.065499999999986</v>
      </c>
      <c r="BU76" s="147">
        <f t="shared" ca="1" si="676"/>
        <v>68.98786000000004</v>
      </c>
      <c r="BV76" s="147">
        <f t="shared" ca="1" si="676"/>
        <v>104.43064999999999</v>
      </c>
      <c r="BW76" s="147">
        <f t="shared" ca="1" si="676"/>
        <v>175.25096999999997</v>
      </c>
      <c r="BX76" s="147">
        <f t="shared" ref="BX76:DC76" ca="1" si="677">BX62-BX74</f>
        <v>90.894769999999937</v>
      </c>
      <c r="BY76" s="147">
        <f t="shared" ca="1" si="677"/>
        <v>127.74132000000003</v>
      </c>
      <c r="BZ76" s="147">
        <f t="shared" ca="1" si="677"/>
        <v>182.24637999999999</v>
      </c>
      <c r="CA76" s="147">
        <f t="shared" ca="1" si="677"/>
        <v>15.259610000000009</v>
      </c>
      <c r="CB76" s="147">
        <f t="shared" ca="1" si="677"/>
        <v>127.26703999999998</v>
      </c>
      <c r="CC76" s="147">
        <f t="shared" ca="1" si="677"/>
        <v>134.62045999999998</v>
      </c>
      <c r="CD76" s="147">
        <f t="shared" ca="1" si="677"/>
        <v>97.98275000000001</v>
      </c>
      <c r="CE76" s="147">
        <f t="shared" ca="1" si="677"/>
        <v>100.20571000000004</v>
      </c>
      <c r="CF76" s="147">
        <f t="shared" ca="1" si="677"/>
        <v>158.74802999999994</v>
      </c>
      <c r="CG76" s="147">
        <f t="shared" ca="1" si="677"/>
        <v>129.90303999999998</v>
      </c>
      <c r="CH76" s="147">
        <f t="shared" ca="1" si="677"/>
        <v>127.58223000000001</v>
      </c>
      <c r="CI76" s="147">
        <f t="shared" ca="1" si="677"/>
        <v>117.577</v>
      </c>
      <c r="CJ76" s="147">
        <f t="shared" ca="1" si="677"/>
        <v>145.029</v>
      </c>
      <c r="CK76" s="147">
        <f t="shared" ca="1" si="677"/>
        <v>145.029</v>
      </c>
      <c r="CL76" s="147">
        <f t="shared" ca="1" si="677"/>
        <v>145.42499999999995</v>
      </c>
      <c r="CM76" s="147">
        <f t="shared" ca="1" si="677"/>
        <v>145.42499999999995</v>
      </c>
      <c r="CN76" s="147">
        <f t="shared" ca="1" si="677"/>
        <v>145.905</v>
      </c>
      <c r="CO76" s="147">
        <f t="shared" ca="1" si="677"/>
        <v>145.905</v>
      </c>
      <c r="CP76" s="147">
        <f t="shared" ca="1" si="677"/>
        <v>158.25599999999997</v>
      </c>
      <c r="CQ76" s="147">
        <f t="shared" ca="1" si="677"/>
        <v>159.27499999999998</v>
      </c>
      <c r="CR76" s="147">
        <f t="shared" ca="1" si="677"/>
        <v>139.30799999999994</v>
      </c>
      <c r="CS76" s="147">
        <f t="shared" ca="1" si="677"/>
        <v>121.59599999999995</v>
      </c>
      <c r="CT76" s="147">
        <f t="shared" ca="1" si="677"/>
        <v>167.08699999999996</v>
      </c>
      <c r="CU76" s="147">
        <f t="shared" ca="1" si="677"/>
        <v>163.53899999999999</v>
      </c>
      <c r="CV76" s="147">
        <f t="shared" ca="1" si="677"/>
        <v>170.98599999999996</v>
      </c>
      <c r="CW76" s="147">
        <f t="shared" ca="1" si="677"/>
        <v>170.98599999999996</v>
      </c>
      <c r="CX76" s="147">
        <f t="shared" ca="1" si="677"/>
        <v>142.03799999999995</v>
      </c>
      <c r="CY76" s="147">
        <f t="shared" ca="1" si="677"/>
        <v>169.083</v>
      </c>
      <c r="CZ76" s="147">
        <f t="shared" ca="1" si="677"/>
        <v>143.70399999999995</v>
      </c>
      <c r="DA76" s="147">
        <f t="shared" ca="1" si="677"/>
        <v>168.303</v>
      </c>
      <c r="DB76" s="147">
        <f t="shared" ca="1" si="677"/>
        <v>186.80699999999999</v>
      </c>
      <c r="DC76" s="147">
        <f t="shared" ca="1" si="677"/>
        <v>218.85199999999992</v>
      </c>
      <c r="DD76" s="147">
        <f t="shared" ref="DD76:EI76" ca="1" si="678">DD62-DD74</f>
        <v>218.85199999999992</v>
      </c>
      <c r="DE76" s="147">
        <f t="shared" ca="1" si="678"/>
        <v>219.39599999999993</v>
      </c>
      <c r="DF76" s="147">
        <f t="shared" ca="1" si="678"/>
        <v>220.27699999999993</v>
      </c>
      <c r="DG76" s="147">
        <f t="shared" ca="1" si="678"/>
        <v>220.81699999999995</v>
      </c>
      <c r="DH76" s="147">
        <f t="shared" ca="1" si="678"/>
        <v>221.69200000000001</v>
      </c>
      <c r="DI76" s="147">
        <f t="shared" ca="1" si="678"/>
        <v>222.27499999999998</v>
      </c>
      <c r="DJ76" s="147">
        <f t="shared" ca="1" si="678"/>
        <v>223.39300000000006</v>
      </c>
      <c r="DK76" s="147">
        <f t="shared" ca="1" si="678"/>
        <v>223.94200000000006</v>
      </c>
      <c r="DL76" s="147">
        <f t="shared" ca="1" si="678"/>
        <v>223.94200000000006</v>
      </c>
      <c r="DM76" s="147">
        <f t="shared" ca="1" si="678"/>
        <v>224.42400000000004</v>
      </c>
      <c r="DN76" s="147">
        <f t="shared" ca="1" si="678"/>
        <v>214.11900000000006</v>
      </c>
      <c r="DO76" s="147">
        <f t="shared" ca="1" si="678"/>
        <v>224.33200000000002</v>
      </c>
      <c r="DP76" s="147">
        <f t="shared" ca="1" si="678"/>
        <v>224.33200000000002</v>
      </c>
      <c r="DQ76" s="147">
        <f t="shared" ca="1" si="678"/>
        <v>224.89200000000005</v>
      </c>
      <c r="DR76" s="147">
        <f t="shared" ca="1" si="678"/>
        <v>225.80000000000007</v>
      </c>
      <c r="DS76" s="147">
        <f t="shared" ca="1" si="678"/>
        <v>226.27000000000004</v>
      </c>
      <c r="DT76" s="147">
        <f t="shared" ca="1" si="678"/>
        <v>227.18</v>
      </c>
      <c r="DU76" s="147">
        <f t="shared" ca="1" si="678"/>
        <v>227.85000000000002</v>
      </c>
      <c r="DV76" s="147">
        <f t="shared" ca="1" si="678"/>
        <v>227.31</v>
      </c>
      <c r="DW76" s="147">
        <f t="shared" ca="1" si="678"/>
        <v>227.87600000000003</v>
      </c>
      <c r="DX76" s="147">
        <f t="shared" ca="1" si="678"/>
        <v>227.87600000000003</v>
      </c>
      <c r="DY76" s="147">
        <f t="shared" ca="1" si="678"/>
        <v>228.37300000000002</v>
      </c>
      <c r="DZ76" s="147">
        <f t="shared" ca="1" si="678"/>
        <v>228.79700000000003</v>
      </c>
      <c r="EA76" s="147">
        <f t="shared" ca="1" si="678"/>
        <v>229.82700000000003</v>
      </c>
      <c r="EB76" s="147">
        <f t="shared" ca="1" si="678"/>
        <v>229.82700000000003</v>
      </c>
      <c r="EC76" s="147">
        <f t="shared" ca="1" si="678"/>
        <v>230.404</v>
      </c>
      <c r="ED76" s="147">
        <f t="shared" ca="1" si="678"/>
        <v>231.34000000000003</v>
      </c>
      <c r="EE76" s="147">
        <f t="shared" ca="1" si="678"/>
        <v>210.88600000000005</v>
      </c>
      <c r="EF76" s="147">
        <f t="shared" ca="1" si="678"/>
        <v>200.41200000000009</v>
      </c>
      <c r="EG76" s="147">
        <f t="shared" ca="1" si="678"/>
        <v>231.90200000000004</v>
      </c>
      <c r="EH76" s="147">
        <f t="shared" ca="1" si="678"/>
        <v>232.79400000000007</v>
      </c>
      <c r="EI76" s="147">
        <f t="shared" ca="1" si="678"/>
        <v>233.37600000000003</v>
      </c>
      <c r="EJ76" s="147">
        <f t="shared" ref="EJ76:FO76" ca="1" si="679">EJ62-EJ74</f>
        <v>233.37600000000003</v>
      </c>
      <c r="EK76" s="147">
        <f t="shared" ca="1" si="679"/>
        <v>233.88800000000001</v>
      </c>
      <c r="EL76" s="147">
        <f t="shared" ca="1" si="679"/>
        <v>234.32399999999998</v>
      </c>
      <c r="EM76" s="147">
        <f t="shared" ca="1" si="679"/>
        <v>235.38600000000005</v>
      </c>
      <c r="EN76" s="147">
        <f t="shared" ca="1" si="679"/>
        <v>235.38600000000005</v>
      </c>
      <c r="EO76" s="147">
        <f t="shared" ca="1" si="679"/>
        <v>235.98000000000002</v>
      </c>
      <c r="EP76" s="147">
        <f t="shared" ca="1" si="679"/>
        <v>237.25399999999999</v>
      </c>
      <c r="EQ76" s="147">
        <f t="shared" ca="1" si="679"/>
        <v>217.15000000000003</v>
      </c>
      <c r="ER76" s="147">
        <f t="shared" ca="1" si="679"/>
        <v>233.73599999999999</v>
      </c>
      <c r="ES76" s="147">
        <f t="shared" ca="1" si="679"/>
        <v>234.97899999999998</v>
      </c>
      <c r="ET76" s="147">
        <f t="shared" ca="1" si="679"/>
        <v>235.62299999999993</v>
      </c>
      <c r="EU76" s="147">
        <f t="shared" ca="1" si="679"/>
        <v>236.22299999999996</v>
      </c>
      <c r="EV76" s="147">
        <f t="shared" ca="1" si="679"/>
        <v>236.22299999999996</v>
      </c>
      <c r="EW76" s="147">
        <f t="shared" ca="1" si="679"/>
        <v>236.74999999999989</v>
      </c>
      <c r="EX76" s="147">
        <f t="shared" ca="1" si="679"/>
        <v>223.13399999999996</v>
      </c>
      <c r="EY76" s="147">
        <f t="shared" ca="1" si="679"/>
        <v>213.32199999999989</v>
      </c>
      <c r="EZ76" s="147">
        <f t="shared" ca="1" si="679"/>
        <v>234.49099999999987</v>
      </c>
      <c r="FA76" s="147">
        <f t="shared" ca="1" si="679"/>
        <v>203.44199999999989</v>
      </c>
      <c r="FB76" s="147">
        <f t="shared" ca="1" si="679"/>
        <v>180.56099999999998</v>
      </c>
      <c r="FC76" s="147">
        <f t="shared" ca="1" si="679"/>
        <v>228.92199999999997</v>
      </c>
      <c r="FD76" s="147">
        <f t="shared" ca="1" si="679"/>
        <v>229.69499999999994</v>
      </c>
      <c r="FE76" s="147">
        <f t="shared" ca="1" si="679"/>
        <v>230.32099999999997</v>
      </c>
      <c r="FF76" s="147">
        <f t="shared" ca="1" si="679"/>
        <v>230.61100000000002</v>
      </c>
      <c r="FG76" s="147">
        <f t="shared" ca="1" si="679"/>
        <v>199.00900000000001</v>
      </c>
      <c r="FH76" s="147">
        <f t="shared" ca="1" si="679"/>
        <v>228.31599999999997</v>
      </c>
      <c r="FI76" s="147">
        <f t="shared" ca="1" si="679"/>
        <v>200.50400000000002</v>
      </c>
      <c r="FJ76" s="147">
        <f t="shared" ca="1" si="679"/>
        <v>226.51699999999997</v>
      </c>
      <c r="FK76" s="147">
        <f t="shared" ca="1" si="679"/>
        <v>164.39300000000003</v>
      </c>
      <c r="FL76" s="147">
        <f t="shared" ca="1" si="679"/>
        <v>183.86300000000003</v>
      </c>
      <c r="FM76" s="147">
        <f t="shared" ca="1" si="679"/>
        <v>217.24100000000001</v>
      </c>
      <c r="FN76" s="147">
        <f t="shared" ca="1" si="679"/>
        <v>217.785</v>
      </c>
      <c r="FO76" s="147">
        <f t="shared" ca="1" si="679"/>
        <v>218.72799999999998</v>
      </c>
      <c r="FP76" s="147">
        <f t="shared" ref="FP76:GT76" ca="1" si="680">FP62-FP74</f>
        <v>219.52499999999998</v>
      </c>
      <c r="FQ76" s="147">
        <f t="shared" ca="1" si="680"/>
        <v>220.16899999999998</v>
      </c>
      <c r="FR76" s="147">
        <f t="shared" ca="1" si="680"/>
        <v>221.02000000000004</v>
      </c>
      <c r="FS76" s="147">
        <f t="shared" ca="1" si="680"/>
        <v>221.02000000000004</v>
      </c>
      <c r="FT76" s="147">
        <f t="shared" ca="1" si="680"/>
        <v>221.56800000000004</v>
      </c>
      <c r="FU76" s="147">
        <f t="shared" ca="1" si="680"/>
        <v>221.56800000000004</v>
      </c>
      <c r="FV76" s="147">
        <f t="shared" ca="1" si="680"/>
        <v>222.27799999999999</v>
      </c>
      <c r="FW76" s="147">
        <f t="shared" ca="1" si="680"/>
        <v>212.05300000000003</v>
      </c>
      <c r="FX76" s="147">
        <f t="shared" ca="1" si="680"/>
        <v>222.58399999999995</v>
      </c>
      <c r="FY76" s="147">
        <f t="shared" ca="1" si="680"/>
        <v>222.93300000000002</v>
      </c>
      <c r="FZ76" s="147">
        <f t="shared" ca="1" si="680"/>
        <v>223.49399999999994</v>
      </c>
      <c r="GA76" s="147">
        <f t="shared" ca="1" si="680"/>
        <v>224.10399999999998</v>
      </c>
      <c r="GB76" s="147">
        <f t="shared" ca="1" si="680"/>
        <v>224.92499999999998</v>
      </c>
      <c r="GC76" s="147">
        <f t="shared" ca="1" si="680"/>
        <v>226.28099999999992</v>
      </c>
      <c r="GD76" s="147">
        <f t="shared" ca="1" si="680"/>
        <v>227.13499999999993</v>
      </c>
      <c r="GE76" s="147">
        <f t="shared" ca="1" si="680"/>
        <v>227.13499999999993</v>
      </c>
      <c r="GF76" s="147">
        <f t="shared" ca="1" si="680"/>
        <v>227.70099999999999</v>
      </c>
      <c r="GG76" s="147">
        <f t="shared" ca="1" si="680"/>
        <v>227.70099999999999</v>
      </c>
      <c r="GH76" s="147">
        <f t="shared" ca="1" si="680"/>
        <v>228.43099999999995</v>
      </c>
      <c r="GI76" s="147">
        <f t="shared" ca="1" si="680"/>
        <v>228.75</v>
      </c>
      <c r="GJ76" s="147">
        <f t="shared" ca="1" si="680"/>
        <v>229.66499999999996</v>
      </c>
      <c r="GK76" s="147">
        <f t="shared" ca="1" si="680"/>
        <v>230.02399999999997</v>
      </c>
      <c r="GL76" s="147">
        <f t="shared" ca="1" si="680"/>
        <v>230.601</v>
      </c>
      <c r="GM76" s="147">
        <f t="shared" ca="1" si="680"/>
        <v>231.47899999999993</v>
      </c>
      <c r="GN76" s="147">
        <f t="shared" ca="1" si="680"/>
        <v>203.10999999999993</v>
      </c>
      <c r="GO76" s="147">
        <f t="shared" ca="1" si="680"/>
        <v>194.13099999999994</v>
      </c>
      <c r="GP76" s="147">
        <f t="shared" ca="1" si="680"/>
        <v>226.846</v>
      </c>
      <c r="GQ76" s="147">
        <f t="shared" ca="1" si="680"/>
        <v>226.846</v>
      </c>
      <c r="GR76" s="147">
        <f t="shared" ca="1" si="680"/>
        <v>227.42700000000002</v>
      </c>
      <c r="GS76" s="147">
        <f t="shared" ca="1" si="680"/>
        <v>227.42700000000002</v>
      </c>
      <c r="GT76" s="147">
        <f t="shared" ca="1" si="680"/>
        <v>228.18</v>
      </c>
      <c r="GU76" s="34"/>
      <c r="GV76" s="34"/>
      <c r="GW76" s="34"/>
      <c r="GX76" s="34"/>
      <c r="GY76" s="34"/>
      <c r="GZ76" s="34"/>
      <c r="HA76" s="34"/>
      <c r="HB76" s="34"/>
      <c r="HC76" s="34"/>
      <c r="HD76" s="34"/>
      <c r="HE76" s="34"/>
      <c r="HF76" s="1" t="s">
        <v>212</v>
      </c>
      <c r="HG76" s="139" t="e">
        <f t="shared" si="519"/>
        <v>#REF!</v>
      </c>
      <c r="HH76" s="162" t="str">
        <f>B76</f>
        <v>Net Operating Income</v>
      </c>
      <c r="HI76" s="147"/>
      <c r="HJ76" s="147"/>
      <c r="HK76" s="147"/>
      <c r="HL76" s="146">
        <f ca="1">SUM(HN76:HV76)</f>
        <v>10259.224259999999</v>
      </c>
      <c r="HM76" s="147"/>
      <c r="HN76" s="163">
        <f t="shared" ref="HN76:HV76" si="681">SUMIF($K$14:$GT$14,HN$14,$K76:$GT76)</f>
        <v>0</v>
      </c>
      <c r="HO76" s="147">
        <f t="shared" si="681"/>
        <v>839.71890999999982</v>
      </c>
      <c r="HP76" s="147">
        <f t="shared" si="681"/>
        <v>969.41268000000002</v>
      </c>
      <c r="HQ76" s="147">
        <f t="shared" si="681"/>
        <v>1291.4155700000001</v>
      </c>
      <c r="HR76" s="147">
        <f t="shared" si="681"/>
        <v>1445.5289</v>
      </c>
      <c r="HS76" s="147">
        <f t="shared" ca="1" si="681"/>
        <v>742.84688000000006</v>
      </c>
      <c r="HT76" s="147">
        <f t="shared" ca="1" si="681"/>
        <v>1283.9530200000002</v>
      </c>
      <c r="HU76" s="147">
        <f t="shared" ca="1" si="681"/>
        <v>1724.0592999999999</v>
      </c>
      <c r="HV76" s="147">
        <f t="shared" ca="1" si="681"/>
        <v>1962.2889999999995</v>
      </c>
      <c r="HW76"/>
    </row>
    <row r="77" spans="1:231" ht="15">
      <c r="B77" s="139" t="s">
        <v>2208</v>
      </c>
      <c r="C77" s="33"/>
      <c r="D77" s="33"/>
      <c r="E77" s="33"/>
      <c r="F77" s="33"/>
      <c r="G77" s="33"/>
      <c r="H77" s="33"/>
      <c r="I77" s="123"/>
      <c r="J77" s="34"/>
      <c r="K77" s="124"/>
      <c r="L77" s="788"/>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c r="BJ77" s="34"/>
      <c r="BK77" s="34"/>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f ca="1">CI76-(ARGUS!B42/1000)</f>
        <v>9.679000000000002</v>
      </c>
      <c r="CJ77" s="18">
        <f ca="1">CJ76-(ARGUS!C42/1000)</f>
        <v>9.679000000000002</v>
      </c>
      <c r="CK77" s="18">
        <f ca="1">CK76-(ARGUS!D42/1000)</f>
        <v>9.679000000000002</v>
      </c>
      <c r="CL77" s="18">
        <f ca="1">CL76-(ARGUS!E42/1000)</f>
        <v>9.67999999999995</v>
      </c>
      <c r="CM77" s="18">
        <f ca="1">CM76-(ARGUS!F42/1000)</f>
        <v>9.67999999999995</v>
      </c>
      <c r="CN77" s="18">
        <f ca="1">CN76-(ARGUS!G42/1000)</f>
        <v>9.679000000000002</v>
      </c>
      <c r="CO77" s="18">
        <f ca="1">CO76-(ARGUS!H42/1000)</f>
        <v>9.679000000000002</v>
      </c>
      <c r="CP77" s="18">
        <f ca="1">CP76-(ARGUS!I42/1000)</f>
        <v>9.6789999999999736</v>
      </c>
      <c r="CQ77" s="18">
        <f ca="1">CQ76-(ARGUS!J42/1000)</f>
        <v>9.6789999999999736</v>
      </c>
      <c r="CR77" s="18">
        <f ca="1">CR76-(ARGUS!K42/1000)</f>
        <v>9.6789999999999452</v>
      </c>
      <c r="CS77" s="18">
        <f ca="1">CS76-(ARGUS!L42/1000)</f>
        <v>9.6789999999999452</v>
      </c>
      <c r="CT77" s="18">
        <f ca="1">CT76-(ARGUS!M42/1000)</f>
        <v>9.6789999999999736</v>
      </c>
      <c r="CU77" s="18">
        <f ca="1">CU76-(ARGUS!N42/1000)</f>
        <v>10.364999999999981</v>
      </c>
      <c r="CV77" s="18">
        <f ca="1">CV76-(ARGUS!O42/1000)</f>
        <v>10.364999999999952</v>
      </c>
      <c r="CW77" s="18">
        <f ca="1">CW76-(ARGUS!P42/1000)</f>
        <v>10.364999999999952</v>
      </c>
      <c r="CX77" s="18">
        <f ca="1">CX76-(ARGUS!Q42/1000)</f>
        <v>10.365999999999957</v>
      </c>
      <c r="CY77" s="18">
        <f ca="1">CY76-(ARGUS!R42/1000)</f>
        <v>10.365000000000009</v>
      </c>
      <c r="CZ77" s="18">
        <f ca="1">CZ76-(ARGUS!S42/1000)</f>
        <v>10.364999999999952</v>
      </c>
      <c r="DA77" s="18">
        <f ca="1">DA76-(ARGUS!T42/1000)</f>
        <v>10.364000000000004</v>
      </c>
      <c r="DB77" s="18">
        <f ca="1">DB76-(ARGUS!U42/1000)</f>
        <v>10.363999999999976</v>
      </c>
      <c r="DC77" s="18">
        <f ca="1">DC76-(ARGUS!V42/1000)</f>
        <v>0</v>
      </c>
      <c r="DD77" s="18">
        <f ca="1">DD76-(ARGUS!W42/1000)</f>
        <v>0</v>
      </c>
      <c r="DE77" s="18">
        <f ca="1">DE76-(ARGUS!X42/1000)</f>
        <v>0</v>
      </c>
      <c r="DF77" s="18">
        <f ca="1">DF76-(ARGUS!Y42/1000)</f>
        <v>-1.0000000000616183E-3</v>
      </c>
      <c r="DG77" s="18">
        <f ca="1">DG76-(ARGUS!Z42/1000)</f>
        <v>0</v>
      </c>
      <c r="DH77" s="18">
        <f ca="1">DH76-(ARGUS!AA42/1000)</f>
        <v>0</v>
      </c>
      <c r="DI77" s="18">
        <f ca="1">DI76-(ARGUS!AB42/1000)</f>
        <v>-1.0000000000331966E-3</v>
      </c>
      <c r="DJ77" s="18">
        <f ca="1">DJ76-(ARGUS!AC42/1000)</f>
        <v>0</v>
      </c>
      <c r="DK77" s="18">
        <f ca="1">DK76-(ARGUS!AD42/1000)</f>
        <v>0</v>
      </c>
      <c r="DL77" s="18">
        <f ca="1">DL76-(ARGUS!AE42/1000)</f>
        <v>0</v>
      </c>
      <c r="DM77" s="18">
        <f ca="1">DM76-(ARGUS!AF42/1000)</f>
        <v>0</v>
      </c>
      <c r="DN77" s="18">
        <f ca="1">DN76-(ARGUS!AG42/1000)</f>
        <v>1.0000000000616183E-3</v>
      </c>
      <c r="DO77" s="18">
        <f ca="1">DO76-(ARGUS!AH42/1000)</f>
        <v>0</v>
      </c>
      <c r="DP77" s="18">
        <f ca="1">DP76-(ARGUS!AI42/1000)</f>
        <v>0</v>
      </c>
      <c r="DQ77" s="18">
        <f ca="1">DQ76-(ARGUS!AJ42/1000)</f>
        <v>0</v>
      </c>
      <c r="DR77" s="18">
        <f ca="1">DR76-(ARGUS!AK42/1000)</f>
        <v>0</v>
      </c>
      <c r="DS77" s="18">
        <f ca="1">DS76-(ARGUS!AL42/1000)</f>
        <v>0</v>
      </c>
      <c r="DT77" s="18">
        <f ca="1">DT76-(ARGUS!AM42/1000)</f>
        <v>0</v>
      </c>
      <c r="DU77" s="18">
        <f ca="1">DU76-(ARGUS!AN42/1000)</f>
        <v>-9.9999999997635314E-4</v>
      </c>
      <c r="DV77" s="18">
        <f ca="1">DV76-(ARGUS!AO42/1000)</f>
        <v>0</v>
      </c>
      <c r="DW77" s="18">
        <f ca="1">DW76-(ARGUS!AP42/1000)</f>
        <v>1.0000000000331966E-3</v>
      </c>
      <c r="DX77" s="18">
        <f ca="1">DX76-(ARGUS!AQ42/1000)</f>
        <v>1.0000000000331966E-3</v>
      </c>
      <c r="DY77" s="18">
        <f ca="1">DY76-(ARGUS!AR42/1000)</f>
        <v>0</v>
      </c>
      <c r="DZ77" s="18">
        <f ca="1">DZ76-(ARGUS!AS42/1000)</f>
        <v>1.0000000000331966E-3</v>
      </c>
      <c r="EA77" s="18">
        <f ca="1">EA76-(ARGUS!AT42/1000)</f>
        <v>0</v>
      </c>
      <c r="EB77" s="18">
        <f ca="1">EB76-(ARGUS!AU42/1000)</f>
        <v>0</v>
      </c>
      <c r="EC77" s="18">
        <f ca="1">EC76-(ARGUS!AV42/1000)</f>
        <v>0</v>
      </c>
      <c r="ED77" s="18">
        <f ca="1">ED76-(ARGUS!AW42/1000)</f>
        <v>1.0000000000331966E-3</v>
      </c>
      <c r="EE77" s="18">
        <f ca="1">EE76-(ARGUS!AX42/1000)</f>
        <v>1.0000000000616183E-3</v>
      </c>
      <c r="EF77" s="18">
        <f ca="1">EF76-(ARGUS!AY42/1000)</f>
        <v>1.00000000009004E-3</v>
      </c>
      <c r="EG77" s="18">
        <f ca="1">EG76-(ARGUS!AZ42/1000)</f>
        <v>1.0000000000331966E-3</v>
      </c>
      <c r="EH77" s="18">
        <f ca="1">EH76-(ARGUS!BA42/1000)</f>
        <v>-1.9999999999242846E-3</v>
      </c>
      <c r="EI77" s="18">
        <f ca="1">EI76-(ARGUS!BB42/1000)</f>
        <v>-1.9999999999527063E-3</v>
      </c>
      <c r="EJ77" s="18">
        <f ca="1">EJ76-(ARGUS!BC42/1000)</f>
        <v>-1.9999999999527063E-3</v>
      </c>
      <c r="EK77" s="18">
        <f ca="1">EK76-(ARGUS!BD42/1000)</f>
        <v>-1.999999999981128E-3</v>
      </c>
      <c r="EL77" s="18">
        <f ca="1">EL76-(ARGUS!BE42/1000)</f>
        <v>-2.0000000000095497E-3</v>
      </c>
      <c r="EM77" s="18">
        <f ca="1">EM76-(ARGUS!BF42/1000)</f>
        <v>-1.9999999999527063E-3</v>
      </c>
      <c r="EN77" s="18">
        <f ca="1">EN76-(ARGUS!BG42/1000)</f>
        <v>-1.9999999999527063E-3</v>
      </c>
      <c r="EO77" s="18">
        <f ca="1">EO76-(ARGUS!BH42/1000)</f>
        <v>-1.999999999981128E-3</v>
      </c>
      <c r="EP77" s="18">
        <f ca="1">EP76-(ARGUS!BI42/1000)</f>
        <v>-2.0000000000095497E-3</v>
      </c>
      <c r="EQ77" s="18">
        <f ca="1">EQ76-(ARGUS!BJ42/1000)</f>
        <v>-1.9999999999527063E-3</v>
      </c>
      <c r="ER77" s="18">
        <f ca="1">ER76-(ARGUS!BK42/1000)</f>
        <v>-2.0000000000095497E-3</v>
      </c>
      <c r="ES77" s="18">
        <f ca="1">ES76-(ARGUS!BL42/1000)</f>
        <v>-2.0000000000095497E-3</v>
      </c>
      <c r="ET77" s="18">
        <f ca="1">ET76-(ARGUS!BM42/1000)</f>
        <v>-2.0000000000663931E-3</v>
      </c>
      <c r="EU77" s="18">
        <f ca="1">EU76-(ARGUS!BN42/1000)</f>
        <v>-2.0000000000379714E-3</v>
      </c>
      <c r="EV77" s="18">
        <f ca="1">EV76-(ARGUS!BO42/1000)</f>
        <v>-2.0000000000379714E-3</v>
      </c>
      <c r="EW77" s="18">
        <f ca="1">EW76-(ARGUS!BP42/1000)</f>
        <v>-2.0000000001232365E-3</v>
      </c>
      <c r="EX77" s="18">
        <f ca="1">EX76-(ARGUS!BQ42/1000)</f>
        <v>-1.0000000000331966E-3</v>
      </c>
      <c r="EY77" s="18">
        <f ca="1">EY76-(ARGUS!BR42/1000)</f>
        <v>-2.0000000001232365E-3</v>
      </c>
      <c r="EZ77" s="18">
        <f ca="1">EZ76-(ARGUS!BS42/1000)</f>
        <v>-2.0000000001232365E-3</v>
      </c>
      <c r="FA77" s="18">
        <f ca="1">FA76-(ARGUS!BT42/1000)</f>
        <v>-2.0000000000948148E-3</v>
      </c>
      <c r="FB77" s="18">
        <f ca="1">FB76-(ARGUS!BU42/1000)</f>
        <v>-2.0000000000095497E-3</v>
      </c>
      <c r="FC77" s="18">
        <f ca="1">FC76-(ARGUS!BV42/1000)</f>
        <v>-2.0000000000379714E-3</v>
      </c>
      <c r="FD77" s="18">
        <f ca="1">FD76-(ARGUS!BW42/1000)</f>
        <v>-2.0000000000663931E-3</v>
      </c>
      <c r="FE77" s="18">
        <f ca="1">FE76-(ARGUS!BX42/1000)</f>
        <v>-1.0000000000331966E-3</v>
      </c>
      <c r="FF77" s="18">
        <f ca="1">FF76-(ARGUS!BY42/1000)</f>
        <v>1.0000000000047748E-3</v>
      </c>
      <c r="FG77" s="18">
        <f ca="1">FG76-(ARGUS!BZ42/1000)</f>
        <v>1.0000000000047748E-3</v>
      </c>
      <c r="FH77" s="18">
        <f ca="1">FH76-(ARGUS!CA42/1000)</f>
        <v>9.9999999997635314E-4</v>
      </c>
      <c r="FI77" s="18">
        <f ca="1">FI76-(ARGUS!CB42/1000)</f>
        <v>0</v>
      </c>
      <c r="FJ77" s="18">
        <f ca="1">FJ76-(ARGUS!CC42/1000)</f>
        <v>9.9999999997635314E-4</v>
      </c>
      <c r="FK77" s="18">
        <f ca="1">FK76-(ARGUS!CD42/1000)</f>
        <v>1.0000000000331966E-3</v>
      </c>
      <c r="FL77" s="18">
        <f ca="1">FL76-(ARGUS!CE42/1000)</f>
        <v>0</v>
      </c>
      <c r="FM77" s="18">
        <f ca="1">FM76-(ARGUS!CF42/1000)</f>
        <v>1.0000000000047748E-3</v>
      </c>
      <c r="FN77" s="18">
        <f ca="1">FN76-(ARGUS!CG42/1000)</f>
        <v>1.0000000000047748E-3</v>
      </c>
      <c r="FO77" s="18">
        <f ca="1">FO76-(ARGUS!CH42/1000)</f>
        <v>9.9999999997635314E-4</v>
      </c>
      <c r="FP77" s="18">
        <f ca="1">FP76-(ARGUS!CI42/1000)</f>
        <v>9.9999999997635314E-4</v>
      </c>
      <c r="FQ77" s="18">
        <f ca="1">FQ76-(ARGUS!CJ42/1000)</f>
        <v>9.9999999997635314E-4</v>
      </c>
      <c r="FR77" s="18">
        <f ca="1">FR76-(ARGUS!CK42/1000)</f>
        <v>0</v>
      </c>
      <c r="FS77" s="18">
        <f ca="1">FS76-(ARGUS!CL42/1000)</f>
        <v>0</v>
      </c>
      <c r="FT77" s="18">
        <f ca="1">FT76-(ARGUS!CM42/1000)</f>
        <v>0</v>
      </c>
      <c r="FU77" s="18">
        <f ca="1">FU76-(ARGUS!CN42/1000)</f>
        <v>0</v>
      </c>
      <c r="FV77" s="18">
        <f ca="1">FV76-(ARGUS!CO42/1000)</f>
        <v>0</v>
      </c>
      <c r="FW77" s="18">
        <f ca="1">FW76-(ARGUS!CP42/1000)</f>
        <v>1.0000000000331966E-3</v>
      </c>
      <c r="FX77" s="18">
        <f ca="1">FX76-(ARGUS!CQ42/1000)</f>
        <v>0</v>
      </c>
      <c r="FY77" s="18">
        <f ca="1">FY76-(ARGUS!CR42/1000)</f>
        <v>0</v>
      </c>
      <c r="FZ77" s="18">
        <f ca="1">FZ76-(ARGUS!CS42/1000)</f>
        <v>9.9999999994793143E-4</v>
      </c>
      <c r="GA77" s="18">
        <f ca="1">GA76-(ARGUS!CT42/1000)</f>
        <v>-1.0000000000047748E-3</v>
      </c>
      <c r="GB77" s="18">
        <f ca="1">GB76-(ARGUS!CU42/1000)</f>
        <v>0</v>
      </c>
      <c r="GC77" s="18">
        <f ca="1">GC76-(ARGUS!CV42/1000)</f>
        <v>-1.00000000009004E-3</v>
      </c>
      <c r="GD77" s="18">
        <f ca="1">GD76-(ARGUS!CW42/1000)</f>
        <v>-1.0000000000616183E-3</v>
      </c>
      <c r="GE77" s="18">
        <f ca="1">GE76-(ARGUS!CX42/1000)</f>
        <v>-1.0000000000616183E-3</v>
      </c>
      <c r="GF77" s="18">
        <f ca="1">GF76-(ARGUS!CY42/1000)</f>
        <v>0</v>
      </c>
      <c r="GG77" s="18">
        <f ca="1">GG76-(ARGUS!CZ42/1000)</f>
        <v>0</v>
      </c>
      <c r="GH77" s="18">
        <f ca="1">GH76-(ARGUS!DA42/1000)</f>
        <v>-1.0000000000331966E-3</v>
      </c>
      <c r="GI77" s="18">
        <f ca="1">GI76-(ARGUS!DB42/1000)</f>
        <v>0</v>
      </c>
      <c r="GJ77" s="18">
        <f ca="1">GJ76-(ARGUS!DC42/1000)</f>
        <v>0</v>
      </c>
      <c r="GK77" s="18">
        <f ca="1">GK76-(ARGUS!DD42/1000)</f>
        <v>-1.0000000000331966E-3</v>
      </c>
      <c r="GL77" s="18">
        <f ca="1">GL76-(ARGUS!DE42/1000)</f>
        <v>-1.0000000000047748E-3</v>
      </c>
      <c r="GM77" s="18">
        <f ca="1">GM76-(ARGUS!DF42/1000)</f>
        <v>-1.0000000000616183E-3</v>
      </c>
      <c r="GN77" s="18">
        <f ca="1">GN76-(ARGUS!DG42/1000)</f>
        <v>-1.0000000000616183E-3</v>
      </c>
      <c r="GO77" s="18">
        <f ca="1">GO76-(ARGUS!DH42/1000)</f>
        <v>0</v>
      </c>
      <c r="GP77" s="18">
        <f ca="1">GP76-(ARGUS!DI42/1000)</f>
        <v>0</v>
      </c>
      <c r="GQ77" s="18">
        <f ca="1">GQ76-(ARGUS!DJ42/1000)</f>
        <v>0</v>
      </c>
      <c r="GR77" s="18">
        <f ca="1">GR76-(ARGUS!DK42/1000)</f>
        <v>-9.9999999997635314E-4</v>
      </c>
      <c r="GS77" s="18">
        <f ca="1">GS76-(ARGUS!DL42/1000)</f>
        <v>-9.9999999997635314E-4</v>
      </c>
      <c r="GT77" s="18">
        <f ca="1">GT76-(ARGUS!DM42/1000)</f>
        <v>-1.0000000000047748E-3</v>
      </c>
      <c r="GU77" s="18"/>
      <c r="GV77" s="18"/>
      <c r="GW77" s="18"/>
      <c r="GX77" s="18"/>
      <c r="GY77" s="18"/>
      <c r="GZ77" s="18"/>
      <c r="HA77" s="18"/>
      <c r="HB77" s="18"/>
      <c r="HC77" s="18"/>
      <c r="HD77" s="18"/>
      <c r="HE77" s="18"/>
      <c r="HF77" s="1" t="s">
        <v>212</v>
      </c>
      <c r="HG77" s="139" t="e">
        <f t="shared" si="519"/>
        <v>#REF!</v>
      </c>
      <c r="HH77" s="33"/>
      <c r="HI77" s="34"/>
      <c r="HJ77" s="34"/>
      <c r="HK77" s="34"/>
      <c r="HL77" s="123"/>
      <c r="HM77" s="34"/>
      <c r="HN77" s="124"/>
      <c r="HO77" s="34"/>
      <c r="HP77" s="34"/>
      <c r="HQ77" s="34"/>
      <c r="HR77" s="34"/>
      <c r="HS77" s="34"/>
      <c r="HT77" s="34"/>
      <c r="HU77" s="34"/>
      <c r="HV77" s="34"/>
      <c r="HW77"/>
    </row>
    <row r="78" spans="1:231" ht="15">
      <c r="I78" s="97"/>
      <c r="L78" s="18"/>
      <c r="HF78" s="1" t="s">
        <v>212</v>
      </c>
      <c r="HG78" s="139" t="e">
        <f t="shared" si="519"/>
        <v>#REF!</v>
      </c>
      <c r="HL78" s="97"/>
      <c r="HN78" s="102"/>
      <c r="HW78"/>
    </row>
    <row r="79" spans="1:231" ht="15">
      <c r="B79" s="162" t="s">
        <v>104</v>
      </c>
      <c r="C79" s="162"/>
      <c r="D79" s="162"/>
      <c r="E79" s="162"/>
      <c r="F79" s="162"/>
      <c r="G79" s="162"/>
      <c r="H79" s="162"/>
      <c r="I79" s="146">
        <f ca="1">SUMIF($K$13:$GT$13,"&lt;="&amp;Assumptions!$L$17,'Monthly Cash Flow'!K79:GT79)</f>
        <v>11582.533260000006</v>
      </c>
      <c r="J79" s="147"/>
      <c r="K79" s="163"/>
      <c r="L79" s="147">
        <f>+L76</f>
        <v>58.588409999999996</v>
      </c>
      <c r="M79" s="147">
        <f t="shared" ref="M79:BX79" si="682">+M76</f>
        <v>39.424859999999995</v>
      </c>
      <c r="N79" s="147">
        <f t="shared" si="682"/>
        <v>62.164510000000007</v>
      </c>
      <c r="O79" s="147">
        <f t="shared" si="682"/>
        <v>23.673310000000015</v>
      </c>
      <c r="P79" s="147">
        <f t="shared" si="682"/>
        <v>69.427840000000003</v>
      </c>
      <c r="Q79" s="147">
        <f t="shared" si="682"/>
        <v>53.221360000000018</v>
      </c>
      <c r="R79" s="147">
        <f t="shared" si="682"/>
        <v>66.139569999999992</v>
      </c>
      <c r="S79" s="147">
        <f t="shared" si="682"/>
        <v>136.26360000000003</v>
      </c>
      <c r="T79" s="147">
        <f t="shared" si="682"/>
        <v>66.867030000000028</v>
      </c>
      <c r="U79" s="147">
        <f t="shared" si="682"/>
        <v>154.67081000000002</v>
      </c>
      <c r="V79" s="147">
        <f t="shared" si="682"/>
        <v>239.07783999999998</v>
      </c>
      <c r="W79" s="147">
        <f t="shared" si="682"/>
        <v>-129.80023</v>
      </c>
      <c r="X79" s="147">
        <f t="shared" si="682"/>
        <v>81.805930000000018</v>
      </c>
      <c r="Y79" s="147">
        <f t="shared" si="682"/>
        <v>-5.0317100000000039</v>
      </c>
      <c r="Z79" s="147">
        <f t="shared" si="682"/>
        <v>73.826150000000041</v>
      </c>
      <c r="AA79" s="147">
        <f t="shared" si="682"/>
        <v>118.62709000000004</v>
      </c>
      <c r="AB79" s="147">
        <f t="shared" si="682"/>
        <v>60.287239999999997</v>
      </c>
      <c r="AC79" s="147">
        <f t="shared" si="682"/>
        <v>26.828859999999992</v>
      </c>
      <c r="AD79" s="147">
        <f t="shared" si="682"/>
        <v>119.66310999999999</v>
      </c>
      <c r="AE79" s="147">
        <f t="shared" si="682"/>
        <v>105.07043000000002</v>
      </c>
      <c r="AF79" s="147">
        <f t="shared" si="682"/>
        <v>94.892400000000038</v>
      </c>
      <c r="AG79" s="147">
        <f t="shared" si="682"/>
        <v>86.470220000000012</v>
      </c>
      <c r="AH79" s="147">
        <f t="shared" si="682"/>
        <v>113.23488</v>
      </c>
      <c r="AI79" s="147">
        <f t="shared" si="682"/>
        <v>93.738080000000011</v>
      </c>
      <c r="AJ79" s="147">
        <f t="shared" si="682"/>
        <v>73.349319999999992</v>
      </c>
      <c r="AK79" s="147">
        <f t="shared" si="682"/>
        <v>58.081759999999974</v>
      </c>
      <c r="AL79" s="147">
        <f t="shared" si="682"/>
        <v>99.803760000000025</v>
      </c>
      <c r="AM79" s="147">
        <f t="shared" si="682"/>
        <v>118.04129</v>
      </c>
      <c r="AN79" s="147">
        <f t="shared" si="682"/>
        <v>101.45357000000001</v>
      </c>
      <c r="AO79" s="147">
        <f t="shared" si="682"/>
        <v>81.414159999999995</v>
      </c>
      <c r="AP79" s="147">
        <f t="shared" si="682"/>
        <v>135.38081</v>
      </c>
      <c r="AQ79" s="147">
        <f t="shared" si="682"/>
        <v>131.88220999999999</v>
      </c>
      <c r="AR79" s="147">
        <f t="shared" si="682"/>
        <v>106.14256</v>
      </c>
      <c r="AS79" s="147">
        <f t="shared" si="682"/>
        <v>134.99206999999998</v>
      </c>
      <c r="AT79" s="147">
        <f t="shared" si="682"/>
        <v>116.68306999999999</v>
      </c>
      <c r="AU79" s="147">
        <f t="shared" si="682"/>
        <v>134.19099000000003</v>
      </c>
      <c r="AV79" s="147">
        <f t="shared" si="682"/>
        <v>137.95124999999999</v>
      </c>
      <c r="AW79" s="147">
        <f t="shared" si="682"/>
        <v>129.61628999999999</v>
      </c>
      <c r="AX79" s="147">
        <f t="shared" si="682"/>
        <v>117.20541999999998</v>
      </c>
      <c r="AY79" s="147">
        <f t="shared" si="682"/>
        <v>115.52426000000003</v>
      </c>
      <c r="AZ79" s="147">
        <f t="shared" si="682"/>
        <v>51.822730000000007</v>
      </c>
      <c r="BA79" s="147">
        <f t="shared" si="682"/>
        <v>131.91952999999998</v>
      </c>
      <c r="BB79" s="147">
        <f t="shared" si="682"/>
        <v>111.86949000000001</v>
      </c>
      <c r="BC79" s="147">
        <f t="shared" si="682"/>
        <v>104.50782999999998</v>
      </c>
      <c r="BD79" s="147">
        <f t="shared" si="682"/>
        <v>110.20179000000002</v>
      </c>
      <c r="BE79" s="147">
        <f t="shared" si="682"/>
        <v>142.38238000000001</v>
      </c>
      <c r="BF79" s="147">
        <f t="shared" si="682"/>
        <v>154.56266999999997</v>
      </c>
      <c r="BG79" s="147">
        <f t="shared" si="682"/>
        <v>137.96525999999997</v>
      </c>
      <c r="BH79" s="147">
        <f t="shared" si="682"/>
        <v>131.58776999999998</v>
      </c>
      <c r="BI79" s="147">
        <f t="shared" si="682"/>
        <v>114.46233999999998</v>
      </c>
      <c r="BJ79" s="147">
        <f t="shared" si="682"/>
        <v>-364.37422000000004</v>
      </c>
      <c r="BK79" s="147">
        <f t="shared" si="682"/>
        <v>147.14487</v>
      </c>
      <c r="BL79" s="147">
        <f t="shared" ca="1" si="682"/>
        <v>112.02141999999999</v>
      </c>
      <c r="BM79" s="147">
        <f t="shared" ca="1" si="682"/>
        <v>9.8311400000000617</v>
      </c>
      <c r="BN79" s="147">
        <f t="shared" ca="1" si="682"/>
        <v>105.67253000000004</v>
      </c>
      <c r="BO79" s="147">
        <f t="shared" ca="1" si="682"/>
        <v>107.25182000000001</v>
      </c>
      <c r="BP79" s="147">
        <f t="shared" ca="1" si="682"/>
        <v>19.220650000000006</v>
      </c>
      <c r="BQ79" s="147">
        <f t="shared" ca="1" si="682"/>
        <v>112.32699999999997</v>
      </c>
      <c r="BR79" s="147">
        <f t="shared" ca="1" si="682"/>
        <v>59.421770000000009</v>
      </c>
      <c r="BS79" s="147">
        <f t="shared" ca="1" si="682"/>
        <v>188.27978999999999</v>
      </c>
      <c r="BT79" s="147">
        <f t="shared" ca="1" si="682"/>
        <v>59.065499999999986</v>
      </c>
      <c r="BU79" s="147">
        <f t="shared" ca="1" si="682"/>
        <v>68.98786000000004</v>
      </c>
      <c r="BV79" s="147">
        <f t="shared" ca="1" si="682"/>
        <v>104.43064999999999</v>
      </c>
      <c r="BW79" s="147">
        <f t="shared" ca="1" si="682"/>
        <v>175.25096999999997</v>
      </c>
      <c r="BX79" s="147">
        <f t="shared" ca="1" si="682"/>
        <v>90.894769999999937</v>
      </c>
      <c r="BY79" s="147">
        <f t="shared" ref="BY79:EJ79" ca="1" si="683">+BY76</f>
        <v>127.74132000000003</v>
      </c>
      <c r="BZ79" s="147">
        <f t="shared" ca="1" si="683"/>
        <v>182.24637999999999</v>
      </c>
      <c r="CA79" s="147">
        <f t="shared" ca="1" si="683"/>
        <v>15.259610000000009</v>
      </c>
      <c r="CB79" s="147">
        <f t="shared" ca="1" si="683"/>
        <v>127.26703999999998</v>
      </c>
      <c r="CC79" s="147">
        <f t="shared" ca="1" si="683"/>
        <v>134.62045999999998</v>
      </c>
      <c r="CD79" s="147">
        <f t="shared" ca="1" si="683"/>
        <v>97.98275000000001</v>
      </c>
      <c r="CE79" s="147">
        <f t="shared" ca="1" si="683"/>
        <v>100.20571000000004</v>
      </c>
      <c r="CF79" s="147">
        <f t="shared" ca="1" si="683"/>
        <v>158.74802999999994</v>
      </c>
      <c r="CG79" s="147">
        <f t="shared" ca="1" si="683"/>
        <v>129.90303999999998</v>
      </c>
      <c r="CH79" s="147">
        <f t="shared" ca="1" si="683"/>
        <v>127.58223000000001</v>
      </c>
      <c r="CI79" s="147">
        <f t="shared" ca="1" si="683"/>
        <v>117.577</v>
      </c>
      <c r="CJ79" s="147">
        <f t="shared" ca="1" si="683"/>
        <v>145.029</v>
      </c>
      <c r="CK79" s="147">
        <f t="shared" ca="1" si="683"/>
        <v>145.029</v>
      </c>
      <c r="CL79" s="147">
        <f t="shared" ca="1" si="683"/>
        <v>145.42499999999995</v>
      </c>
      <c r="CM79" s="147">
        <f t="shared" ca="1" si="683"/>
        <v>145.42499999999995</v>
      </c>
      <c r="CN79" s="147">
        <f t="shared" ca="1" si="683"/>
        <v>145.905</v>
      </c>
      <c r="CO79" s="147">
        <f t="shared" ca="1" si="683"/>
        <v>145.905</v>
      </c>
      <c r="CP79" s="147">
        <f t="shared" ca="1" si="683"/>
        <v>158.25599999999997</v>
      </c>
      <c r="CQ79" s="147">
        <f t="shared" ca="1" si="683"/>
        <v>159.27499999999998</v>
      </c>
      <c r="CR79" s="147">
        <f t="shared" ca="1" si="683"/>
        <v>139.30799999999994</v>
      </c>
      <c r="CS79" s="147">
        <f t="shared" ca="1" si="683"/>
        <v>121.59599999999995</v>
      </c>
      <c r="CT79" s="147">
        <f t="shared" ca="1" si="683"/>
        <v>167.08699999999996</v>
      </c>
      <c r="CU79" s="147">
        <f t="shared" ca="1" si="683"/>
        <v>163.53899999999999</v>
      </c>
      <c r="CV79" s="147">
        <f t="shared" ca="1" si="683"/>
        <v>170.98599999999996</v>
      </c>
      <c r="CW79" s="147">
        <f t="shared" ca="1" si="683"/>
        <v>170.98599999999996</v>
      </c>
      <c r="CX79" s="147">
        <f t="shared" ca="1" si="683"/>
        <v>142.03799999999995</v>
      </c>
      <c r="CY79" s="147">
        <f t="shared" ca="1" si="683"/>
        <v>169.083</v>
      </c>
      <c r="CZ79" s="147">
        <f t="shared" ca="1" si="683"/>
        <v>143.70399999999995</v>
      </c>
      <c r="DA79" s="147">
        <f t="shared" ca="1" si="683"/>
        <v>168.303</v>
      </c>
      <c r="DB79" s="147">
        <f t="shared" ca="1" si="683"/>
        <v>186.80699999999999</v>
      </c>
      <c r="DC79" s="147">
        <f t="shared" ca="1" si="683"/>
        <v>218.85199999999992</v>
      </c>
      <c r="DD79" s="147">
        <f t="shared" ca="1" si="683"/>
        <v>218.85199999999992</v>
      </c>
      <c r="DE79" s="147">
        <f t="shared" ca="1" si="683"/>
        <v>219.39599999999993</v>
      </c>
      <c r="DF79" s="147">
        <f t="shared" ca="1" si="683"/>
        <v>220.27699999999993</v>
      </c>
      <c r="DG79" s="147">
        <f t="shared" ca="1" si="683"/>
        <v>220.81699999999995</v>
      </c>
      <c r="DH79" s="147">
        <f t="shared" ca="1" si="683"/>
        <v>221.69200000000001</v>
      </c>
      <c r="DI79" s="147">
        <f t="shared" ca="1" si="683"/>
        <v>222.27499999999998</v>
      </c>
      <c r="DJ79" s="147">
        <f t="shared" ca="1" si="683"/>
        <v>223.39300000000006</v>
      </c>
      <c r="DK79" s="147">
        <f t="shared" ca="1" si="683"/>
        <v>223.94200000000006</v>
      </c>
      <c r="DL79" s="147">
        <f t="shared" ca="1" si="683"/>
        <v>223.94200000000006</v>
      </c>
      <c r="DM79" s="147">
        <f t="shared" ca="1" si="683"/>
        <v>224.42400000000004</v>
      </c>
      <c r="DN79" s="147">
        <f t="shared" ca="1" si="683"/>
        <v>214.11900000000006</v>
      </c>
      <c r="DO79" s="147">
        <f t="shared" ca="1" si="683"/>
        <v>224.33200000000002</v>
      </c>
      <c r="DP79" s="147">
        <f t="shared" ca="1" si="683"/>
        <v>224.33200000000002</v>
      </c>
      <c r="DQ79" s="147">
        <f t="shared" ca="1" si="683"/>
        <v>224.89200000000005</v>
      </c>
      <c r="DR79" s="147">
        <f t="shared" ca="1" si="683"/>
        <v>225.80000000000007</v>
      </c>
      <c r="DS79" s="147">
        <f t="shared" ca="1" si="683"/>
        <v>226.27000000000004</v>
      </c>
      <c r="DT79" s="147">
        <f t="shared" ca="1" si="683"/>
        <v>227.18</v>
      </c>
      <c r="DU79" s="147">
        <f t="shared" ca="1" si="683"/>
        <v>227.85000000000002</v>
      </c>
      <c r="DV79" s="147">
        <f t="shared" ca="1" si="683"/>
        <v>227.31</v>
      </c>
      <c r="DW79" s="147">
        <f t="shared" ca="1" si="683"/>
        <v>227.87600000000003</v>
      </c>
      <c r="DX79" s="147">
        <f t="shared" ca="1" si="683"/>
        <v>227.87600000000003</v>
      </c>
      <c r="DY79" s="147">
        <f t="shared" ca="1" si="683"/>
        <v>228.37300000000002</v>
      </c>
      <c r="DZ79" s="147">
        <f t="shared" ca="1" si="683"/>
        <v>228.79700000000003</v>
      </c>
      <c r="EA79" s="147">
        <f t="shared" ca="1" si="683"/>
        <v>229.82700000000003</v>
      </c>
      <c r="EB79" s="147">
        <f t="shared" ca="1" si="683"/>
        <v>229.82700000000003</v>
      </c>
      <c r="EC79" s="147">
        <f t="shared" ca="1" si="683"/>
        <v>230.404</v>
      </c>
      <c r="ED79" s="147">
        <f t="shared" ca="1" si="683"/>
        <v>231.34000000000003</v>
      </c>
      <c r="EE79" s="147">
        <f t="shared" ca="1" si="683"/>
        <v>210.88600000000005</v>
      </c>
      <c r="EF79" s="147">
        <f t="shared" ca="1" si="683"/>
        <v>200.41200000000009</v>
      </c>
      <c r="EG79" s="147">
        <f t="shared" ca="1" si="683"/>
        <v>231.90200000000004</v>
      </c>
      <c r="EH79" s="147">
        <f t="shared" ca="1" si="683"/>
        <v>232.79400000000007</v>
      </c>
      <c r="EI79" s="147">
        <f t="shared" ca="1" si="683"/>
        <v>233.37600000000003</v>
      </c>
      <c r="EJ79" s="147">
        <f t="shared" ca="1" si="683"/>
        <v>233.37600000000003</v>
      </c>
      <c r="EK79" s="147">
        <f t="shared" ref="EK79:EL79" ca="1" si="684">+EK76</f>
        <v>233.88800000000001</v>
      </c>
      <c r="EL79" s="147">
        <f t="shared" ca="1" si="684"/>
        <v>234.32399999999998</v>
      </c>
      <c r="EM79" s="147">
        <f t="shared" ref="EM79:FD79" ca="1" si="685">+EM76</f>
        <v>235.38600000000005</v>
      </c>
      <c r="EN79" s="147">
        <f t="shared" ca="1" si="685"/>
        <v>235.38600000000005</v>
      </c>
      <c r="EO79" s="147">
        <f t="shared" ca="1" si="685"/>
        <v>235.98000000000002</v>
      </c>
      <c r="EP79" s="147">
        <f t="shared" ca="1" si="685"/>
        <v>237.25399999999999</v>
      </c>
      <c r="EQ79" s="147">
        <f t="shared" ca="1" si="685"/>
        <v>217.15000000000003</v>
      </c>
      <c r="ER79" s="147">
        <f t="shared" ca="1" si="685"/>
        <v>233.73599999999999</v>
      </c>
      <c r="ES79" s="147">
        <f t="shared" ca="1" si="685"/>
        <v>234.97899999999998</v>
      </c>
      <c r="ET79" s="147">
        <f t="shared" ca="1" si="685"/>
        <v>235.62299999999993</v>
      </c>
      <c r="EU79" s="147">
        <f t="shared" ca="1" si="685"/>
        <v>236.22299999999996</v>
      </c>
      <c r="EV79" s="147">
        <f t="shared" ca="1" si="685"/>
        <v>236.22299999999996</v>
      </c>
      <c r="EW79" s="147">
        <f t="shared" ca="1" si="685"/>
        <v>236.74999999999989</v>
      </c>
      <c r="EX79" s="147">
        <f t="shared" ca="1" si="685"/>
        <v>223.13399999999996</v>
      </c>
      <c r="EY79" s="147">
        <f t="shared" ca="1" si="685"/>
        <v>213.32199999999989</v>
      </c>
      <c r="EZ79" s="147">
        <f t="shared" ca="1" si="685"/>
        <v>234.49099999999987</v>
      </c>
      <c r="FA79" s="147">
        <f t="shared" ca="1" si="685"/>
        <v>203.44199999999989</v>
      </c>
      <c r="FB79" s="147">
        <f t="shared" ca="1" si="685"/>
        <v>180.56099999999998</v>
      </c>
      <c r="FC79" s="147">
        <f t="shared" ca="1" si="685"/>
        <v>228.92199999999997</v>
      </c>
      <c r="FD79" s="147">
        <f t="shared" ca="1" si="685"/>
        <v>229.69499999999994</v>
      </c>
      <c r="FE79" s="147">
        <f t="shared" ref="FE79:FI79" ca="1" si="686">+FE76</f>
        <v>230.32099999999997</v>
      </c>
      <c r="FF79" s="147">
        <f t="shared" ca="1" si="686"/>
        <v>230.61100000000002</v>
      </c>
      <c r="FG79" s="147">
        <f t="shared" ca="1" si="686"/>
        <v>199.00900000000001</v>
      </c>
      <c r="FH79" s="147">
        <f t="shared" ca="1" si="686"/>
        <v>228.31599999999997</v>
      </c>
      <c r="FI79" s="147">
        <f t="shared" ca="1" si="686"/>
        <v>200.50400000000002</v>
      </c>
      <c r="FJ79" s="147">
        <f t="shared" ref="FJ79:GC79" ca="1" si="687">+FJ76</f>
        <v>226.51699999999997</v>
      </c>
      <c r="FK79" s="147">
        <f t="shared" ca="1" si="687"/>
        <v>164.39300000000003</v>
      </c>
      <c r="FL79" s="147">
        <f t="shared" ca="1" si="687"/>
        <v>183.86300000000003</v>
      </c>
      <c r="FM79" s="147">
        <f t="shared" ca="1" si="687"/>
        <v>217.24100000000001</v>
      </c>
      <c r="FN79" s="147">
        <f t="shared" ca="1" si="687"/>
        <v>217.785</v>
      </c>
      <c r="FO79" s="147">
        <f t="shared" ca="1" si="687"/>
        <v>218.72799999999998</v>
      </c>
      <c r="FP79" s="147">
        <f t="shared" ca="1" si="687"/>
        <v>219.52499999999998</v>
      </c>
      <c r="FQ79" s="147">
        <f t="shared" ca="1" si="687"/>
        <v>220.16899999999998</v>
      </c>
      <c r="FR79" s="147">
        <f t="shared" ca="1" si="687"/>
        <v>221.02000000000004</v>
      </c>
      <c r="FS79" s="147">
        <f t="shared" ca="1" si="687"/>
        <v>221.02000000000004</v>
      </c>
      <c r="FT79" s="147">
        <f t="shared" ca="1" si="687"/>
        <v>221.56800000000004</v>
      </c>
      <c r="FU79" s="147">
        <f t="shared" ca="1" si="687"/>
        <v>221.56800000000004</v>
      </c>
      <c r="FV79" s="147">
        <f t="shared" ca="1" si="687"/>
        <v>222.27799999999999</v>
      </c>
      <c r="FW79" s="147">
        <f t="shared" ca="1" si="687"/>
        <v>212.05300000000003</v>
      </c>
      <c r="FX79" s="147">
        <f t="shared" ca="1" si="687"/>
        <v>222.58399999999995</v>
      </c>
      <c r="FY79" s="147">
        <f t="shared" ca="1" si="687"/>
        <v>222.93300000000002</v>
      </c>
      <c r="FZ79" s="147">
        <f t="shared" ca="1" si="687"/>
        <v>223.49399999999994</v>
      </c>
      <c r="GA79" s="147">
        <f t="shared" ca="1" si="687"/>
        <v>224.10399999999998</v>
      </c>
      <c r="GB79" s="147">
        <f t="shared" ca="1" si="687"/>
        <v>224.92499999999998</v>
      </c>
      <c r="GC79" s="147">
        <f t="shared" ca="1" si="687"/>
        <v>226.28099999999992</v>
      </c>
      <c r="GD79" s="147">
        <f t="shared" ref="GD79:GT79" ca="1" si="688">+GD76</f>
        <v>227.13499999999993</v>
      </c>
      <c r="GE79" s="147">
        <f t="shared" ca="1" si="688"/>
        <v>227.13499999999993</v>
      </c>
      <c r="GF79" s="147">
        <f t="shared" ca="1" si="688"/>
        <v>227.70099999999999</v>
      </c>
      <c r="GG79" s="147">
        <f t="shared" ca="1" si="688"/>
        <v>227.70099999999999</v>
      </c>
      <c r="GH79" s="147">
        <f t="shared" ca="1" si="688"/>
        <v>228.43099999999995</v>
      </c>
      <c r="GI79" s="147">
        <f t="shared" ca="1" si="688"/>
        <v>228.75</v>
      </c>
      <c r="GJ79" s="147">
        <f t="shared" ca="1" si="688"/>
        <v>229.66499999999996</v>
      </c>
      <c r="GK79" s="147">
        <f t="shared" ca="1" si="688"/>
        <v>230.02399999999997</v>
      </c>
      <c r="GL79" s="147">
        <f t="shared" ca="1" si="688"/>
        <v>230.601</v>
      </c>
      <c r="GM79" s="147">
        <f t="shared" ca="1" si="688"/>
        <v>231.47899999999993</v>
      </c>
      <c r="GN79" s="147">
        <f t="shared" ca="1" si="688"/>
        <v>203.10999999999993</v>
      </c>
      <c r="GO79" s="147">
        <f t="shared" ca="1" si="688"/>
        <v>194.13099999999994</v>
      </c>
      <c r="GP79" s="147">
        <f t="shared" ca="1" si="688"/>
        <v>226.846</v>
      </c>
      <c r="GQ79" s="147">
        <f t="shared" ca="1" si="688"/>
        <v>226.846</v>
      </c>
      <c r="GR79" s="147">
        <f t="shared" ca="1" si="688"/>
        <v>227.42700000000002</v>
      </c>
      <c r="GS79" s="147">
        <f t="shared" ca="1" si="688"/>
        <v>227.42700000000002</v>
      </c>
      <c r="GT79" s="147">
        <f t="shared" ca="1" si="688"/>
        <v>228.18</v>
      </c>
      <c r="GU79" s="34"/>
      <c r="GV79" s="34"/>
      <c r="GW79" s="34"/>
      <c r="GX79" s="34"/>
      <c r="GY79" s="34"/>
      <c r="GZ79" s="34"/>
      <c r="HA79" s="34"/>
      <c r="HB79" s="34"/>
      <c r="HC79" s="34"/>
      <c r="HD79" s="34"/>
      <c r="HE79" s="34"/>
      <c r="HF79" s="1" t="s">
        <v>212</v>
      </c>
      <c r="HG79" s="139" t="e">
        <f t="shared" si="519"/>
        <v>#REF!</v>
      </c>
      <c r="HH79" s="162" t="str">
        <f>B79</f>
        <v>Total Potential NOI</v>
      </c>
      <c r="HI79" s="147"/>
      <c r="HJ79" s="147"/>
      <c r="HK79" s="147"/>
      <c r="HL79" s="146">
        <f t="shared" ref="HL79:HL80" ca="1" si="689">SUM(HN79:HV79)</f>
        <v>10259.224259999999</v>
      </c>
      <c r="HM79" s="147"/>
      <c r="HN79" s="163">
        <f t="shared" ref="HN79:HV81" si="690">SUMIF($K$14:$GT$14,HN$14,$K79:$GT79)</f>
        <v>0</v>
      </c>
      <c r="HO79" s="147">
        <f t="shared" si="690"/>
        <v>839.71890999999982</v>
      </c>
      <c r="HP79" s="147">
        <f t="shared" si="690"/>
        <v>969.41268000000002</v>
      </c>
      <c r="HQ79" s="147">
        <f t="shared" si="690"/>
        <v>1291.4155700000001</v>
      </c>
      <c r="HR79" s="147">
        <f t="shared" si="690"/>
        <v>1445.5289</v>
      </c>
      <c r="HS79" s="147">
        <f t="shared" ca="1" si="690"/>
        <v>742.84688000000006</v>
      </c>
      <c r="HT79" s="147">
        <f t="shared" ca="1" si="690"/>
        <v>1283.9530200000002</v>
      </c>
      <c r="HU79" s="147">
        <f t="shared" ca="1" si="690"/>
        <v>1724.0592999999999</v>
      </c>
      <c r="HV79" s="147">
        <f t="shared" ca="1" si="690"/>
        <v>1962.2889999999995</v>
      </c>
      <c r="HW79"/>
    </row>
    <row r="80" spans="1:231" ht="16" thickBot="1">
      <c r="B80" s="11" t="s">
        <v>105</v>
      </c>
      <c r="C80" s="11"/>
      <c r="D80" s="11"/>
      <c r="E80" s="11"/>
      <c r="F80" s="11"/>
      <c r="G80" s="11"/>
      <c r="H80" s="11"/>
      <c r="I80" s="136">
        <f ca="1">SUMIF($K$13:$GT$13,"&lt;="&amp;Assumptions!$L$17,'Monthly Cash Flow'!K80:GT80)</f>
        <v>11582.533260000006</v>
      </c>
      <c r="J80" s="137"/>
      <c r="K80" s="138"/>
      <c r="L80" s="137">
        <f>IF(L13&lt;=Assumptions!$L$17,'Monthly Cash Flow'!L79,0)</f>
        <v>58.588409999999996</v>
      </c>
      <c r="M80" s="137">
        <f>IF(M13&lt;=Assumptions!$L$17,'Monthly Cash Flow'!M79,0)</f>
        <v>39.424859999999995</v>
      </c>
      <c r="N80" s="137">
        <f>IF(N13&lt;=Assumptions!$L$17,'Monthly Cash Flow'!N79,0)</f>
        <v>62.164510000000007</v>
      </c>
      <c r="O80" s="137">
        <f>IF(O13&lt;=Assumptions!$L$17,'Monthly Cash Flow'!O79,0)</f>
        <v>23.673310000000015</v>
      </c>
      <c r="P80" s="137">
        <f>IF(P13&lt;=Assumptions!$L$17,'Monthly Cash Flow'!P79,0)</f>
        <v>69.427840000000003</v>
      </c>
      <c r="Q80" s="137">
        <f>IF(Q13&lt;=Assumptions!$L$17,'Monthly Cash Flow'!Q79,0)</f>
        <v>53.221360000000018</v>
      </c>
      <c r="R80" s="137">
        <f>IF(R13&lt;=Assumptions!$L$17,'Monthly Cash Flow'!R79,0)</f>
        <v>66.139569999999992</v>
      </c>
      <c r="S80" s="137">
        <f>IF(S13&lt;=Assumptions!$L$17,'Monthly Cash Flow'!S79,0)</f>
        <v>136.26360000000003</v>
      </c>
      <c r="T80" s="137">
        <f>IF(T13&lt;=Assumptions!$L$17,'Monthly Cash Flow'!T79,0)</f>
        <v>66.867030000000028</v>
      </c>
      <c r="U80" s="137">
        <f>IF(U13&lt;=Assumptions!$L$17,'Monthly Cash Flow'!U79,0)</f>
        <v>154.67081000000002</v>
      </c>
      <c r="V80" s="137">
        <f>IF(V13&lt;=Assumptions!$L$17,'Monthly Cash Flow'!V79,0)</f>
        <v>239.07783999999998</v>
      </c>
      <c r="W80" s="137">
        <f>IF(W13&lt;=Assumptions!$L$17,'Monthly Cash Flow'!W79,0)</f>
        <v>-129.80023</v>
      </c>
      <c r="X80" s="137">
        <f>IF(X13&lt;=Assumptions!$L$17,'Monthly Cash Flow'!X79,0)</f>
        <v>81.805930000000018</v>
      </c>
      <c r="Y80" s="137">
        <f>IF(Y13&lt;=Assumptions!$L$17,'Monthly Cash Flow'!Y79,0)</f>
        <v>-5.0317100000000039</v>
      </c>
      <c r="Z80" s="137">
        <f>IF(Z13&lt;=Assumptions!$L$17,'Monthly Cash Flow'!Z79,0)</f>
        <v>73.826150000000041</v>
      </c>
      <c r="AA80" s="137">
        <f>IF(AA13&lt;=Assumptions!$L$17,'Monthly Cash Flow'!AA79,0)</f>
        <v>118.62709000000004</v>
      </c>
      <c r="AB80" s="137">
        <f>IF(AB13&lt;=Assumptions!$L$17,'Monthly Cash Flow'!AB79,0)</f>
        <v>60.287239999999997</v>
      </c>
      <c r="AC80" s="137">
        <f>IF(AC13&lt;=Assumptions!$L$17,'Monthly Cash Flow'!AC79,0)</f>
        <v>26.828859999999992</v>
      </c>
      <c r="AD80" s="137">
        <f>IF(AD13&lt;=Assumptions!$L$17,'Monthly Cash Flow'!AD79,0)</f>
        <v>119.66310999999999</v>
      </c>
      <c r="AE80" s="137">
        <f>IF(AE13&lt;=Assumptions!$L$17,'Monthly Cash Flow'!AE79,0)</f>
        <v>105.07043000000002</v>
      </c>
      <c r="AF80" s="137">
        <f>IF(AF13&lt;=Assumptions!$L$17,'Monthly Cash Flow'!AF79,0)</f>
        <v>94.892400000000038</v>
      </c>
      <c r="AG80" s="137">
        <f>IF(AG13&lt;=Assumptions!$L$17,'Monthly Cash Flow'!AG79,0)</f>
        <v>86.470220000000012</v>
      </c>
      <c r="AH80" s="137">
        <f>IF(AH13&lt;=Assumptions!$L$17,'Monthly Cash Flow'!AH79,0)</f>
        <v>113.23488</v>
      </c>
      <c r="AI80" s="137">
        <f>IF(AI13&lt;=Assumptions!$L$17,'Monthly Cash Flow'!AI79,0)</f>
        <v>93.738080000000011</v>
      </c>
      <c r="AJ80" s="137">
        <f>IF(AJ13&lt;=Assumptions!$L$17,'Monthly Cash Flow'!AJ79,0)</f>
        <v>73.349319999999992</v>
      </c>
      <c r="AK80" s="137">
        <f>IF(AK13&lt;=Assumptions!$L$17,'Monthly Cash Flow'!AK79,0)</f>
        <v>58.081759999999974</v>
      </c>
      <c r="AL80" s="137">
        <f>IF(AL13&lt;=Assumptions!$L$17,'Monthly Cash Flow'!AL79,0)</f>
        <v>99.803760000000025</v>
      </c>
      <c r="AM80" s="137">
        <f>IF(AM13&lt;=Assumptions!$L$17,'Monthly Cash Flow'!AM79,0)</f>
        <v>118.04129</v>
      </c>
      <c r="AN80" s="137">
        <f>IF(AN13&lt;=Assumptions!$L$17,'Monthly Cash Flow'!AN79,0)</f>
        <v>101.45357000000001</v>
      </c>
      <c r="AO80" s="137">
        <f>IF(AO13&lt;=Assumptions!$L$17,'Monthly Cash Flow'!AO79,0)</f>
        <v>81.414159999999995</v>
      </c>
      <c r="AP80" s="137">
        <f>IF(AP13&lt;=Assumptions!$L$17,'Monthly Cash Flow'!AP79,0)</f>
        <v>135.38081</v>
      </c>
      <c r="AQ80" s="137">
        <f>IF(AQ13&lt;=Assumptions!$L$17,'Monthly Cash Flow'!AQ79,0)</f>
        <v>131.88220999999999</v>
      </c>
      <c r="AR80" s="137">
        <f>IF(AR13&lt;=Assumptions!$L$17,'Monthly Cash Flow'!AR79,0)</f>
        <v>106.14256</v>
      </c>
      <c r="AS80" s="137">
        <f>IF(AS13&lt;=Assumptions!$L$17,'Monthly Cash Flow'!AS79,0)</f>
        <v>134.99206999999998</v>
      </c>
      <c r="AT80" s="137">
        <f>IF(AT13&lt;=Assumptions!$L$17,'Monthly Cash Flow'!AT79,0)</f>
        <v>116.68306999999999</v>
      </c>
      <c r="AU80" s="137">
        <f>IF(AU13&lt;=Assumptions!$L$17,'Monthly Cash Flow'!AU79,0)</f>
        <v>134.19099000000003</v>
      </c>
      <c r="AV80" s="137">
        <f>IF(AV13&lt;=Assumptions!$L$17,'Monthly Cash Flow'!AV79,0)</f>
        <v>137.95124999999999</v>
      </c>
      <c r="AW80" s="137">
        <f>IF(AW13&lt;=Assumptions!$L$17,'Monthly Cash Flow'!AW79,0)</f>
        <v>129.61628999999999</v>
      </c>
      <c r="AX80" s="137">
        <f>IF(AX13&lt;=Assumptions!$L$17,'Monthly Cash Flow'!AX79,0)</f>
        <v>117.20541999999998</v>
      </c>
      <c r="AY80" s="137">
        <f>IF(AY13&lt;=Assumptions!$L$17,'Monthly Cash Flow'!AY79,0)</f>
        <v>115.52426000000003</v>
      </c>
      <c r="AZ80" s="137">
        <f>IF(AZ13&lt;=Assumptions!$L$17,'Monthly Cash Flow'!AZ79,0)</f>
        <v>51.822730000000007</v>
      </c>
      <c r="BA80" s="137">
        <f>IF(BA13&lt;=Assumptions!$L$17,'Monthly Cash Flow'!BA79,0)</f>
        <v>131.91952999999998</v>
      </c>
      <c r="BB80" s="137">
        <f>IF(BB13&lt;=Assumptions!$L$17,'Monthly Cash Flow'!BB79,0)</f>
        <v>111.86949000000001</v>
      </c>
      <c r="BC80" s="137">
        <f>IF(BC13&lt;=Assumptions!$L$17,'Monthly Cash Flow'!BC79,0)</f>
        <v>104.50782999999998</v>
      </c>
      <c r="BD80" s="137">
        <f>IF(BD13&lt;=Assumptions!$L$17,'Monthly Cash Flow'!BD79,0)</f>
        <v>110.20179000000002</v>
      </c>
      <c r="BE80" s="137">
        <f>IF(BE13&lt;=Assumptions!$L$17,'Monthly Cash Flow'!BE79,0)</f>
        <v>142.38238000000001</v>
      </c>
      <c r="BF80" s="137">
        <f>IF(BF13&lt;=Assumptions!$L$17,'Monthly Cash Flow'!BF79,0)</f>
        <v>154.56266999999997</v>
      </c>
      <c r="BG80" s="137">
        <f>IF(BG13&lt;=Assumptions!$L$17,'Monthly Cash Flow'!BG79,0)</f>
        <v>137.96525999999997</v>
      </c>
      <c r="BH80" s="137">
        <f>IF(BH13&lt;=Assumptions!$L$17,'Monthly Cash Flow'!BH79,0)</f>
        <v>131.58776999999998</v>
      </c>
      <c r="BI80" s="137">
        <f>IF(BI13&lt;=Assumptions!$L$17,'Monthly Cash Flow'!BI79,0)</f>
        <v>114.46233999999998</v>
      </c>
      <c r="BJ80" s="137">
        <f>IF(BJ13&lt;=Assumptions!$L$17,'Monthly Cash Flow'!BJ79,0)</f>
        <v>-364.37422000000004</v>
      </c>
      <c r="BK80" s="137">
        <f>IF(BK13&lt;=Assumptions!$L$17,'Monthly Cash Flow'!BK79,0)</f>
        <v>147.14487</v>
      </c>
      <c r="BL80" s="137">
        <f ca="1">IF(BL13&lt;=Assumptions!$L$17,'Monthly Cash Flow'!BL79,0)</f>
        <v>112.02141999999999</v>
      </c>
      <c r="BM80" s="137">
        <f ca="1">IF(BM13&lt;=Assumptions!$L$17,'Monthly Cash Flow'!BM79,0)</f>
        <v>9.8311400000000617</v>
      </c>
      <c r="BN80" s="137">
        <f ca="1">IF(BN13&lt;=Assumptions!$L$17,'Monthly Cash Flow'!BN79,0)</f>
        <v>105.67253000000004</v>
      </c>
      <c r="BO80" s="137">
        <f ca="1">IF(BO13&lt;=Assumptions!$L$17,'Monthly Cash Flow'!BO79,0)</f>
        <v>107.25182000000001</v>
      </c>
      <c r="BP80" s="137">
        <f ca="1">IF(BP13&lt;=Assumptions!$L$17,'Monthly Cash Flow'!BP79,0)</f>
        <v>19.220650000000006</v>
      </c>
      <c r="BQ80" s="137">
        <f ca="1">IF(BQ13&lt;=Assumptions!$L$17,'Monthly Cash Flow'!BQ79,0)</f>
        <v>112.32699999999997</v>
      </c>
      <c r="BR80" s="137">
        <f ca="1">IF(BR13&lt;=Assumptions!$L$17,'Monthly Cash Flow'!BR79,0)</f>
        <v>59.421770000000009</v>
      </c>
      <c r="BS80" s="137">
        <f ca="1">IF(BS13&lt;=Assumptions!$L$17,'Monthly Cash Flow'!BS79,0)</f>
        <v>188.27978999999999</v>
      </c>
      <c r="BT80" s="137">
        <f ca="1">IF(BT13&lt;=Assumptions!$L$17,'Monthly Cash Flow'!BT79,0)</f>
        <v>59.065499999999986</v>
      </c>
      <c r="BU80" s="137">
        <f ca="1">IF(BU13&lt;=Assumptions!$L$17,'Monthly Cash Flow'!BU79,0)</f>
        <v>68.98786000000004</v>
      </c>
      <c r="BV80" s="137">
        <f ca="1">IF(BV13&lt;=Assumptions!$L$17,'Monthly Cash Flow'!BV79,0)</f>
        <v>104.43064999999999</v>
      </c>
      <c r="BW80" s="137">
        <f ca="1">IF(BW13&lt;=Assumptions!$L$17,'Monthly Cash Flow'!BW79,0)</f>
        <v>175.25096999999997</v>
      </c>
      <c r="BX80" s="137">
        <f ca="1">IF(BX13&lt;=Assumptions!$L$17,'Monthly Cash Flow'!BX79,0)</f>
        <v>90.894769999999937</v>
      </c>
      <c r="BY80" s="137">
        <f ca="1">IF(BY13&lt;=Assumptions!$L$17,'Monthly Cash Flow'!BY79,0)</f>
        <v>127.74132000000003</v>
      </c>
      <c r="BZ80" s="137">
        <f ca="1">IF(BZ13&lt;=Assumptions!$L$17,'Monthly Cash Flow'!BZ79,0)</f>
        <v>182.24637999999999</v>
      </c>
      <c r="CA80" s="137">
        <f ca="1">IF(CA13&lt;=Assumptions!$L$17,'Monthly Cash Flow'!CA79,0)</f>
        <v>15.259610000000009</v>
      </c>
      <c r="CB80" s="137">
        <f ca="1">IF(CB13&lt;=Assumptions!$L$17,'Monthly Cash Flow'!CB79,0)</f>
        <v>127.26703999999998</v>
      </c>
      <c r="CC80" s="137">
        <f ca="1">IF(CC13&lt;=Assumptions!$L$17,'Monthly Cash Flow'!CC79,0)</f>
        <v>134.62045999999998</v>
      </c>
      <c r="CD80" s="137">
        <f ca="1">IF(CD13&lt;=Assumptions!$L$17,'Monthly Cash Flow'!CD79,0)</f>
        <v>97.98275000000001</v>
      </c>
      <c r="CE80" s="137">
        <f ca="1">IF(CE13&lt;=Assumptions!$L$17,'Monthly Cash Flow'!CE79,0)</f>
        <v>100.20571000000004</v>
      </c>
      <c r="CF80" s="137">
        <f ca="1">IF(CF13&lt;=Assumptions!$L$17,'Monthly Cash Flow'!CF79,0)</f>
        <v>158.74802999999994</v>
      </c>
      <c r="CG80" s="137">
        <f ca="1">IF(CG13&lt;=Assumptions!$L$17,'Monthly Cash Flow'!CG79,0)</f>
        <v>129.90303999999998</v>
      </c>
      <c r="CH80" s="137">
        <f ca="1">IF(CH13&lt;=Assumptions!$L$17,'Monthly Cash Flow'!CH79,0)</f>
        <v>127.58223000000001</v>
      </c>
      <c r="CI80" s="137">
        <f ca="1">IF(CI13&lt;=Assumptions!$L$17,'Monthly Cash Flow'!CI79,0)</f>
        <v>117.577</v>
      </c>
      <c r="CJ80" s="137">
        <f ca="1">IF(CJ13&lt;=Assumptions!$L$17,'Monthly Cash Flow'!CJ79,0)</f>
        <v>145.029</v>
      </c>
      <c r="CK80" s="137">
        <f ca="1">IF(CK13&lt;=Assumptions!$L$17,'Monthly Cash Flow'!CK79,0)</f>
        <v>145.029</v>
      </c>
      <c r="CL80" s="137">
        <f ca="1">IF(CL13&lt;=Assumptions!$L$17,'Monthly Cash Flow'!CL79,0)</f>
        <v>145.42499999999995</v>
      </c>
      <c r="CM80" s="137">
        <f ca="1">IF(CM13&lt;=Assumptions!$L$17,'Monthly Cash Flow'!CM79,0)</f>
        <v>145.42499999999995</v>
      </c>
      <c r="CN80" s="137">
        <f ca="1">IF(CN13&lt;=Assumptions!$L$17,'Monthly Cash Flow'!CN79,0)</f>
        <v>145.905</v>
      </c>
      <c r="CO80" s="137">
        <f ca="1">IF(CO13&lt;=Assumptions!$L$17,'Monthly Cash Flow'!CO79,0)</f>
        <v>145.905</v>
      </c>
      <c r="CP80" s="137">
        <f ca="1">IF(CP13&lt;=Assumptions!$L$17,'Monthly Cash Flow'!CP79,0)</f>
        <v>158.25599999999997</v>
      </c>
      <c r="CQ80" s="137">
        <f ca="1">IF(CQ13&lt;=Assumptions!$L$17,'Monthly Cash Flow'!CQ79,0)</f>
        <v>159.27499999999998</v>
      </c>
      <c r="CR80" s="137">
        <f ca="1">IF(CR13&lt;=Assumptions!$L$17,'Monthly Cash Flow'!CR79,0)</f>
        <v>139.30799999999994</v>
      </c>
      <c r="CS80" s="137">
        <f ca="1">IF(CS13&lt;=Assumptions!$L$17,'Monthly Cash Flow'!CS79,0)</f>
        <v>121.59599999999995</v>
      </c>
      <c r="CT80" s="137">
        <f ca="1">IF(CT13&lt;=Assumptions!$L$17,'Monthly Cash Flow'!CT79,0)</f>
        <v>167.08699999999996</v>
      </c>
      <c r="CU80" s="137">
        <f ca="1">IF(CU13&lt;=Assumptions!$L$17,'Monthly Cash Flow'!CU79,0)</f>
        <v>163.53899999999999</v>
      </c>
      <c r="CV80" s="137">
        <f ca="1">IF(CV13&lt;=Assumptions!$L$17,'Monthly Cash Flow'!CV79,0)</f>
        <v>170.98599999999996</v>
      </c>
      <c r="CW80" s="137">
        <f ca="1">IF(CW13&lt;=Assumptions!$L$17,'Monthly Cash Flow'!CW79,0)</f>
        <v>170.98599999999996</v>
      </c>
      <c r="CX80" s="137">
        <f ca="1">IF(CX13&lt;=Assumptions!$L$17,'Monthly Cash Flow'!CX79,0)</f>
        <v>142.03799999999995</v>
      </c>
      <c r="CY80" s="137">
        <f ca="1">IF(CY13&lt;=Assumptions!$L$17,'Monthly Cash Flow'!CY79,0)</f>
        <v>169.083</v>
      </c>
      <c r="CZ80" s="137">
        <f ca="1">IF(CZ13&lt;=Assumptions!$L$17,'Monthly Cash Flow'!CZ79,0)</f>
        <v>143.70399999999995</v>
      </c>
      <c r="DA80" s="137">
        <f ca="1">IF(DA13&lt;=Assumptions!$L$17,'Monthly Cash Flow'!DA79,0)</f>
        <v>168.303</v>
      </c>
      <c r="DB80" s="137">
        <f ca="1">IF(DB13&lt;=Assumptions!$L$17,'Monthly Cash Flow'!DB79,0)</f>
        <v>186.80699999999999</v>
      </c>
      <c r="DC80" s="137">
        <f ca="1">IF(DC13&lt;=Assumptions!$L$17,'Monthly Cash Flow'!DC79,0)</f>
        <v>218.85199999999992</v>
      </c>
      <c r="DD80" s="137">
        <f ca="1">IF(DD13&lt;=Assumptions!$L$17,'Monthly Cash Flow'!DD79,0)</f>
        <v>218.85199999999992</v>
      </c>
      <c r="DE80" s="137">
        <f ca="1">IF(DE13&lt;=Assumptions!$L$17,'Monthly Cash Flow'!DE79,0)</f>
        <v>219.39599999999993</v>
      </c>
      <c r="DF80" s="137">
        <f ca="1">IF(DF13&lt;=Assumptions!$L$17,'Monthly Cash Flow'!DF79,0)</f>
        <v>220.27699999999993</v>
      </c>
      <c r="DG80" s="137">
        <f ca="1">IF(DG13&lt;=Assumptions!$L$17,'Monthly Cash Flow'!DG79,0)</f>
        <v>220.81699999999995</v>
      </c>
      <c r="DH80" s="137">
        <f ca="1">IF(DH13&lt;=Assumptions!$L$17,'Monthly Cash Flow'!DH79,0)</f>
        <v>221.69200000000001</v>
      </c>
      <c r="DI80" s="137">
        <f ca="1">IF(DI13&lt;=Assumptions!$L$17,'Monthly Cash Flow'!DI79,0)</f>
        <v>222.27499999999998</v>
      </c>
      <c r="DJ80" s="137">
        <f>IF(DJ13&lt;=Assumptions!$L$17,'Monthly Cash Flow'!DJ79,0)</f>
        <v>0</v>
      </c>
      <c r="DK80" s="137">
        <f>IF(DK13&lt;=Assumptions!$L$17,'Monthly Cash Flow'!DK79,0)</f>
        <v>0</v>
      </c>
      <c r="DL80" s="137">
        <f>IF(DL13&lt;=Assumptions!$L$17,'Monthly Cash Flow'!DL79,0)</f>
        <v>0</v>
      </c>
      <c r="DM80" s="137">
        <f>IF(DM13&lt;=Assumptions!$L$17,'Monthly Cash Flow'!DM79,0)</f>
        <v>0</v>
      </c>
      <c r="DN80" s="137">
        <f>IF(DN13&lt;=Assumptions!$L$17,'Monthly Cash Flow'!DN79,0)</f>
        <v>0</v>
      </c>
      <c r="DO80" s="137">
        <f>IF(DO13&lt;=Assumptions!$L$17,'Monthly Cash Flow'!DO79,0)</f>
        <v>0</v>
      </c>
      <c r="DP80" s="137">
        <f>IF(DP13&lt;=Assumptions!$L$17,'Monthly Cash Flow'!DP79,0)</f>
        <v>0</v>
      </c>
      <c r="DQ80" s="137">
        <f>IF(DQ13&lt;=Assumptions!$L$17,'Monthly Cash Flow'!DQ79,0)</f>
        <v>0</v>
      </c>
      <c r="DR80" s="137">
        <f>IF(DR13&lt;=Assumptions!$L$17,'Monthly Cash Flow'!DR79,0)</f>
        <v>0</v>
      </c>
      <c r="DS80" s="137">
        <f>IF(DS13&lt;=Assumptions!$L$17,'Monthly Cash Flow'!DS79,0)</f>
        <v>0</v>
      </c>
      <c r="DT80" s="137">
        <f>IF(DT13&lt;=Assumptions!$L$17,'Monthly Cash Flow'!DT79,0)</f>
        <v>0</v>
      </c>
      <c r="DU80" s="137">
        <f>IF(DU13&lt;=Assumptions!$L$17,'Monthly Cash Flow'!DU79,0)</f>
        <v>0</v>
      </c>
      <c r="DV80" s="137">
        <f>IF(DV13&lt;=Assumptions!$L$17,'Monthly Cash Flow'!DV79,0)</f>
        <v>0</v>
      </c>
      <c r="DW80" s="137">
        <f>IF(DW13&lt;=Assumptions!$L$17,'Monthly Cash Flow'!DW79,0)</f>
        <v>0</v>
      </c>
      <c r="DX80" s="137">
        <f>IF(DX13&lt;=Assumptions!$L$17,'Monthly Cash Flow'!DX79,0)</f>
        <v>0</v>
      </c>
      <c r="DY80" s="137">
        <f>IF(DY13&lt;=Assumptions!$L$17,'Monthly Cash Flow'!DY79,0)</f>
        <v>0</v>
      </c>
      <c r="DZ80" s="137">
        <f>IF(DZ13&lt;=Assumptions!$L$17,'Monthly Cash Flow'!DZ79,0)</f>
        <v>0</v>
      </c>
      <c r="EA80" s="137">
        <f>IF(EA13&lt;=Assumptions!$L$17,'Monthly Cash Flow'!EA79,0)</f>
        <v>0</v>
      </c>
      <c r="EB80" s="137">
        <f>IF(EB13&lt;=Assumptions!$L$17,'Monthly Cash Flow'!EB79,0)</f>
        <v>0</v>
      </c>
      <c r="EC80" s="137">
        <f>IF(EC13&lt;=Assumptions!$L$17,'Monthly Cash Flow'!EC79,0)</f>
        <v>0</v>
      </c>
      <c r="ED80" s="137">
        <f>IF(ED13&lt;=Assumptions!$L$17,'Monthly Cash Flow'!ED79,0)</f>
        <v>0</v>
      </c>
      <c r="EE80" s="137">
        <f>IF(EE13&lt;=Assumptions!$L$17,'Monthly Cash Flow'!EE79,0)</f>
        <v>0</v>
      </c>
      <c r="EF80" s="137">
        <f>IF(EF13&lt;=Assumptions!$L$17,'Monthly Cash Flow'!EF79,0)</f>
        <v>0</v>
      </c>
      <c r="EG80" s="137">
        <f>IF(EG13&lt;=Assumptions!$L$17,'Monthly Cash Flow'!EG79,0)</f>
        <v>0</v>
      </c>
      <c r="EH80" s="137">
        <f>IF(EH13&lt;=Assumptions!$L$17,'Monthly Cash Flow'!EH79,0)</f>
        <v>0</v>
      </c>
      <c r="EI80" s="137">
        <f>IF(EI13&lt;=Assumptions!$L$17,'Monthly Cash Flow'!EI79,0)</f>
        <v>0</v>
      </c>
      <c r="EJ80" s="137">
        <f>IF(EJ13&lt;=Assumptions!$L$17,'Monthly Cash Flow'!EJ79,0)</f>
        <v>0</v>
      </c>
      <c r="EK80" s="137">
        <f>IF(EK13&lt;=Assumptions!$L$17,'Monthly Cash Flow'!EK79,0)</f>
        <v>0</v>
      </c>
      <c r="EL80" s="137">
        <f>IF(EL13&lt;=Assumptions!$L$17,'Monthly Cash Flow'!EL79,0)</f>
        <v>0</v>
      </c>
      <c r="EM80" s="137">
        <f>IF(EM13&lt;=Assumptions!$L$17,'Monthly Cash Flow'!EM79,0)</f>
        <v>0</v>
      </c>
      <c r="EN80" s="137">
        <f>IF(EN13&lt;=Assumptions!$L$17,'Monthly Cash Flow'!EN79,0)</f>
        <v>0</v>
      </c>
      <c r="EO80" s="137">
        <f>IF(EO13&lt;=Assumptions!$L$17,'Monthly Cash Flow'!EO79,0)</f>
        <v>0</v>
      </c>
      <c r="EP80" s="137">
        <f>IF(EP13&lt;=Assumptions!$L$17,'Monthly Cash Flow'!EP79,0)</f>
        <v>0</v>
      </c>
      <c r="EQ80" s="137">
        <f>IF(EQ13&lt;=Assumptions!$L$17,'Monthly Cash Flow'!EQ79,0)</f>
        <v>0</v>
      </c>
      <c r="ER80" s="137">
        <f>IF(ER13&lt;=Assumptions!$L$17,'Monthly Cash Flow'!ER79,0)</f>
        <v>0</v>
      </c>
      <c r="ES80" s="137">
        <f>IF(ES13&lt;=Assumptions!$L$17,'Monthly Cash Flow'!ES79,0)</f>
        <v>0</v>
      </c>
      <c r="ET80" s="137">
        <f>IF(ET13&lt;=Assumptions!$L$17,'Monthly Cash Flow'!ET79,0)</f>
        <v>0</v>
      </c>
      <c r="EU80" s="137">
        <f>IF(EU13&lt;=Assumptions!$L$17,'Monthly Cash Flow'!EU79,0)</f>
        <v>0</v>
      </c>
      <c r="EV80" s="137">
        <f>IF(EV13&lt;=Assumptions!$L$17,'Monthly Cash Flow'!EV79,0)</f>
        <v>0</v>
      </c>
      <c r="EW80" s="137">
        <f>IF(EW13&lt;=Assumptions!$L$17,'Monthly Cash Flow'!EW79,0)</f>
        <v>0</v>
      </c>
      <c r="EX80" s="137">
        <f>IF(EX13&lt;=Assumptions!$L$17,'Monthly Cash Flow'!EX79,0)</f>
        <v>0</v>
      </c>
      <c r="EY80" s="137">
        <f>IF(EY13&lt;=Assumptions!$L$17,'Monthly Cash Flow'!EY79,0)</f>
        <v>0</v>
      </c>
      <c r="EZ80" s="137">
        <f>IF(EZ13&lt;=Assumptions!$L$17,'Monthly Cash Flow'!EZ79,0)</f>
        <v>0</v>
      </c>
      <c r="FA80" s="137">
        <f>IF(FA13&lt;=Assumptions!$L$17,'Monthly Cash Flow'!FA79,0)</f>
        <v>0</v>
      </c>
      <c r="FB80" s="137">
        <f>IF(FB13&lt;=Assumptions!$L$17,'Monthly Cash Flow'!FB79,0)</f>
        <v>0</v>
      </c>
      <c r="FC80" s="137">
        <f>IF(FC13&lt;=Assumptions!$L$17,'Monthly Cash Flow'!FC79,0)</f>
        <v>0</v>
      </c>
      <c r="FD80" s="137">
        <f>IF(FD13&lt;=Assumptions!$L$17,'Monthly Cash Flow'!FD79,0)</f>
        <v>0</v>
      </c>
      <c r="FE80" s="137">
        <f>IF(FE13&lt;=Assumptions!$L$17,'Monthly Cash Flow'!FE79,0)</f>
        <v>0</v>
      </c>
      <c r="FF80" s="137">
        <f>IF(FF13&lt;=Assumptions!$L$17,'Monthly Cash Flow'!FF79,0)</f>
        <v>0</v>
      </c>
      <c r="FG80" s="137">
        <f>IF(FG13&lt;=Assumptions!$L$17,'Monthly Cash Flow'!FG79,0)</f>
        <v>0</v>
      </c>
      <c r="FH80" s="137">
        <f>IF(FH13&lt;=Assumptions!$L$17,'Monthly Cash Flow'!FH79,0)</f>
        <v>0</v>
      </c>
      <c r="FI80" s="137">
        <f>IF(FI13&lt;=Assumptions!$L$17,'Monthly Cash Flow'!FI79,0)</f>
        <v>0</v>
      </c>
      <c r="FJ80" s="137">
        <f>IF(FJ13&lt;=Assumptions!$L$17,'Monthly Cash Flow'!FJ79,0)</f>
        <v>0</v>
      </c>
      <c r="FK80" s="137">
        <f>IF(FK13&lt;=Assumptions!$L$17,'Monthly Cash Flow'!FK79,0)</f>
        <v>0</v>
      </c>
      <c r="FL80" s="137">
        <f>IF(FL13&lt;=Assumptions!$L$17,'Monthly Cash Flow'!FL79,0)</f>
        <v>0</v>
      </c>
      <c r="FM80" s="137">
        <f>IF(FM13&lt;=Assumptions!$L$17,'Monthly Cash Flow'!FM79,0)</f>
        <v>0</v>
      </c>
      <c r="FN80" s="137">
        <f>IF(FN13&lt;=Assumptions!$L$17,'Monthly Cash Flow'!FN79,0)</f>
        <v>0</v>
      </c>
      <c r="FO80" s="137">
        <f>IF(FO13&lt;=Assumptions!$L$17,'Monthly Cash Flow'!FO79,0)</f>
        <v>0</v>
      </c>
      <c r="FP80" s="137">
        <f>IF(FP13&lt;=Assumptions!$L$17,'Monthly Cash Flow'!FP79,0)</f>
        <v>0</v>
      </c>
      <c r="FQ80" s="137">
        <f>IF(FQ13&lt;=Assumptions!$L$17,'Monthly Cash Flow'!FQ79,0)</f>
        <v>0</v>
      </c>
      <c r="FR80" s="137">
        <f>IF(FR13&lt;=Assumptions!$L$17,'Monthly Cash Flow'!FR79,0)</f>
        <v>0</v>
      </c>
      <c r="FS80" s="137">
        <f>IF(FS13&lt;=Assumptions!$L$17,'Monthly Cash Flow'!FS79,0)</f>
        <v>0</v>
      </c>
      <c r="FT80" s="137">
        <f>IF(FT13&lt;=Assumptions!$L$17,'Monthly Cash Flow'!FT79,0)</f>
        <v>0</v>
      </c>
      <c r="FU80" s="137">
        <f>IF(FU13&lt;=Assumptions!$L$17,'Monthly Cash Flow'!FU79,0)</f>
        <v>0</v>
      </c>
      <c r="FV80" s="137">
        <f>IF(FV13&lt;=Assumptions!$L$17,'Monthly Cash Flow'!FV79,0)</f>
        <v>0</v>
      </c>
      <c r="FW80" s="137">
        <f>IF(FW13&lt;=Assumptions!$L$17,'Monthly Cash Flow'!FW79,0)</f>
        <v>0</v>
      </c>
      <c r="FX80" s="137">
        <f>IF(FX13&lt;=Assumptions!$L$17,'Monthly Cash Flow'!FX79,0)</f>
        <v>0</v>
      </c>
      <c r="FY80" s="137">
        <f>IF(FY13&lt;=Assumptions!$L$17,'Monthly Cash Flow'!FY79,0)</f>
        <v>0</v>
      </c>
      <c r="FZ80" s="137">
        <f>IF(FZ13&lt;=Assumptions!$L$17,'Monthly Cash Flow'!FZ79,0)</f>
        <v>0</v>
      </c>
      <c r="GA80" s="137">
        <f>IF(GA13&lt;=Assumptions!$L$17,'Monthly Cash Flow'!GA79,0)</f>
        <v>0</v>
      </c>
      <c r="GB80" s="137">
        <f>IF(GB13&lt;=Assumptions!$L$17,'Monthly Cash Flow'!GB79,0)</f>
        <v>0</v>
      </c>
      <c r="GC80" s="137">
        <f>IF(GC13&lt;=Assumptions!$L$17,'Monthly Cash Flow'!GC79,0)</f>
        <v>0</v>
      </c>
      <c r="GD80" s="137">
        <f>IF(GD13&lt;=Assumptions!$L$17,'Monthly Cash Flow'!GD79,0)</f>
        <v>0</v>
      </c>
      <c r="GE80" s="137">
        <f>IF(GE13&lt;=Assumptions!$L$17,'Monthly Cash Flow'!GE79,0)</f>
        <v>0</v>
      </c>
      <c r="GF80" s="137">
        <f>IF(GF13&lt;=Assumptions!$L$17,'Monthly Cash Flow'!GF79,0)</f>
        <v>0</v>
      </c>
      <c r="GG80" s="137">
        <f>IF(GG13&lt;=Assumptions!$L$17,'Monthly Cash Flow'!GG79,0)</f>
        <v>0</v>
      </c>
      <c r="GH80" s="137">
        <f>IF(GH13&lt;=Assumptions!$L$17,'Monthly Cash Flow'!GH79,0)</f>
        <v>0</v>
      </c>
      <c r="GI80" s="137">
        <f>IF(GI13&lt;=Assumptions!$L$17,'Monthly Cash Flow'!GI79,0)</f>
        <v>0</v>
      </c>
      <c r="GJ80" s="137">
        <f>IF(GJ13&lt;=Assumptions!$L$17,'Monthly Cash Flow'!GJ79,0)</f>
        <v>0</v>
      </c>
      <c r="GK80" s="137">
        <f>IF(GK13&lt;=Assumptions!$L$17,'Monthly Cash Flow'!GK79,0)</f>
        <v>0</v>
      </c>
      <c r="GL80" s="137">
        <f>IF(GL13&lt;=Assumptions!$L$17,'Monthly Cash Flow'!GL79,0)</f>
        <v>0</v>
      </c>
      <c r="GM80" s="137">
        <f>IF(GM13&lt;=Assumptions!$L$17,'Monthly Cash Flow'!GM79,0)</f>
        <v>0</v>
      </c>
      <c r="GN80" s="137">
        <f>IF(GN13&lt;=Assumptions!$L$17,'Monthly Cash Flow'!GN79,0)</f>
        <v>0</v>
      </c>
      <c r="GO80" s="137">
        <f>IF(GO13&lt;=Assumptions!$L$17,'Monthly Cash Flow'!GO79,0)</f>
        <v>0</v>
      </c>
      <c r="GP80" s="137">
        <f>IF(GP13&lt;=Assumptions!$L$17,'Monthly Cash Flow'!GP79,0)</f>
        <v>0</v>
      </c>
      <c r="GQ80" s="137">
        <f>IF(GQ13&lt;=Assumptions!$L$17,'Monthly Cash Flow'!GQ79,0)</f>
        <v>0</v>
      </c>
      <c r="GR80" s="137">
        <f>IF(GR13&lt;=Assumptions!$L$17,'Monthly Cash Flow'!GR79,0)</f>
        <v>0</v>
      </c>
      <c r="GS80" s="137">
        <f>IF(GS13&lt;=Assumptions!$L$17,'Monthly Cash Flow'!GS79,0)</f>
        <v>0</v>
      </c>
      <c r="GT80" s="137">
        <f>IF(GT13&lt;=Assumptions!$L$17,'Monthly Cash Flow'!GT79,0)</f>
        <v>0</v>
      </c>
      <c r="GU80" s="34"/>
      <c r="GV80" s="34"/>
      <c r="GW80" s="34"/>
      <c r="GX80" s="34"/>
      <c r="GY80" s="34"/>
      <c r="GZ80" s="34"/>
      <c r="HA80" s="34"/>
      <c r="HB80" s="34"/>
      <c r="HC80" s="34"/>
      <c r="HD80" s="34"/>
      <c r="HE80" s="34"/>
      <c r="HF80" s="1" t="s">
        <v>212</v>
      </c>
      <c r="HG80" s="139" t="e">
        <f t="shared" si="519"/>
        <v>#REF!</v>
      </c>
      <c r="HH80" s="11" t="str">
        <f>B80</f>
        <v>Total Actual NOI</v>
      </c>
      <c r="HI80" s="137"/>
      <c r="HJ80" s="137"/>
      <c r="HK80" s="137"/>
      <c r="HL80" s="136">
        <f t="shared" ca="1" si="689"/>
        <v>10259.224259999999</v>
      </c>
      <c r="HM80" s="137"/>
      <c r="HN80" s="138">
        <f t="shared" si="690"/>
        <v>0</v>
      </c>
      <c r="HO80" s="137">
        <f t="shared" si="690"/>
        <v>839.71890999999982</v>
      </c>
      <c r="HP80" s="137">
        <f t="shared" si="690"/>
        <v>969.41268000000002</v>
      </c>
      <c r="HQ80" s="137">
        <f t="shared" si="690"/>
        <v>1291.4155700000001</v>
      </c>
      <c r="HR80" s="137">
        <f t="shared" si="690"/>
        <v>1445.5289</v>
      </c>
      <c r="HS80" s="137">
        <f t="shared" ca="1" si="690"/>
        <v>742.84688000000006</v>
      </c>
      <c r="HT80" s="137">
        <f t="shared" ca="1" si="690"/>
        <v>1283.9530200000002</v>
      </c>
      <c r="HU80" s="137">
        <f t="shared" ca="1" si="690"/>
        <v>1724.0592999999999</v>
      </c>
      <c r="HV80" s="137">
        <f t="shared" ca="1" si="690"/>
        <v>1962.2889999999995</v>
      </c>
      <c r="HW80"/>
    </row>
    <row r="81" spans="2:231" ht="15" outlineLevel="1">
      <c r="B81" s="141" t="s">
        <v>106</v>
      </c>
      <c r="I81" s="97"/>
      <c r="K81" s="165"/>
      <c r="L81" s="166">
        <f ca="1">IF(L$13&gt;12,SUM(OFFSET(L$79,0,0,1,-12))/SUM($J87:L87),0)</f>
        <v>0</v>
      </c>
      <c r="M81" s="166">
        <f ca="1">IF(M$13&gt;12,SUM(OFFSET(M$79,0,0,1,-12))/SUM($J87:M87),0)</f>
        <v>0</v>
      </c>
      <c r="N81" s="166">
        <f ca="1">IF(N$13&gt;12,SUM(OFFSET(N$79,0,0,1,-12))/SUM($J87:N87),0)</f>
        <v>0</v>
      </c>
      <c r="O81" s="166">
        <f ca="1">IF(O$13&gt;12,SUM(OFFSET(O$79,0,0,1,-12))/SUM($J87:O87),0)</f>
        <v>0</v>
      </c>
      <c r="P81" s="166">
        <f ca="1">IF(P$13&gt;12,SUM(OFFSET(P$79,0,0,1,-12))/SUM($J87:P87),0)</f>
        <v>0</v>
      </c>
      <c r="Q81" s="166">
        <f ca="1">IF(Q$13&gt;12,SUM(OFFSET(Q$79,0,0,1,-12))/SUM($J87:Q87),0)</f>
        <v>0</v>
      </c>
      <c r="R81" s="166">
        <f ca="1">IF(R$13&gt;12,SUM(OFFSET(R$79,0,0,1,-12))/SUM($J87:R87),0)</f>
        <v>0</v>
      </c>
      <c r="S81" s="166">
        <f ca="1">IF(S$13&gt;12,SUM(OFFSET(S$79,0,0,1,-12))/SUM($J87:S87),0)</f>
        <v>0</v>
      </c>
      <c r="T81" s="166">
        <f ca="1">IF(T$13&gt;12,SUM(OFFSET(T$79,0,0,1,-12))/SUM($J87:T87),0)</f>
        <v>0</v>
      </c>
      <c r="U81" s="166">
        <f ca="1">IF(U$13&gt;12,SUM(OFFSET(U$79,0,0,1,-12))/SUM($J87:U87),0)</f>
        <v>0</v>
      </c>
      <c r="V81" s="166">
        <f ca="1">IF(V$13&gt;12,SUM(OFFSET(V$79,0,0,1,-12))/SUM($J87:V87),0)</f>
        <v>0</v>
      </c>
      <c r="W81" s="166">
        <f ca="1">IF(W$13&gt;12,SUM(OFFSET(W$79,0,0,1,-12))/SUM($J87:W87),0)</f>
        <v>0</v>
      </c>
      <c r="X81" s="166">
        <f ca="1">IF(X$13&gt;12,SUM(OFFSET(X$79,0,0,1,-12))/SUM($J87:X87),0)</f>
        <v>2.8289892801067057E-2</v>
      </c>
      <c r="Y81" s="166">
        <f ca="1">IF(Y$13&gt;12,SUM(OFFSET(Y$79,0,0,1,-12))/SUM($J87:Y87),0)</f>
        <v>2.683246029980722E-2</v>
      </c>
      <c r="Z81" s="166">
        <f ca="1">IF(Z$13&gt;12,SUM(OFFSET(Z$79,0,0,1,-12))/SUM($J87:Z87),0)</f>
        <v>2.6808559453715956E-2</v>
      </c>
      <c r="AA81" s="166">
        <f ca="1">IF(AA$13&gt;12,SUM(OFFSET(AA$79,0,0,1,-12))/SUM($J87:AA87),0)</f>
        <v>2.9874993376709891E-2</v>
      </c>
      <c r="AB81" s="166">
        <f ca="1">IF(AB$13&gt;12,SUM(OFFSET(AB$79,0,0,1,-12))/SUM($J87:AB87),0)</f>
        <v>2.91483768471246E-2</v>
      </c>
      <c r="AC81" s="166">
        <f ca="1">IF(AC$13&gt;12,SUM(OFFSET(AC$79,0,0,1,-12))/SUM($J87:AC87),0)</f>
        <v>2.830848972963344E-2</v>
      </c>
      <c r="AD81" s="166">
        <f ca="1">IF(AD$13&gt;12,SUM(OFFSET(AD$79,0,0,1,-12))/SUM($J87:AD87),0)</f>
        <v>3.0011766483579547E-2</v>
      </c>
      <c r="AE81" s="166">
        <f ca="1">IF(AE$13&gt;12,SUM(OFFSET(AE$79,0,0,1,-12))/SUM($J87:AE87),0)</f>
        <v>2.8575757064227721E-2</v>
      </c>
      <c r="AF81" s="166">
        <f ca="1">IF(AF$13&gt;12,SUM(OFFSET(AF$79,0,0,1,-12))/SUM($J87:AF87),0)</f>
        <v>2.9263272695060225E-2</v>
      </c>
      <c r="AG81" s="166">
        <f ca="1">IF(AG$13&gt;12,SUM(OFFSET(AG$79,0,0,1,-12))/SUM($J87:AG87),0)</f>
        <v>2.69151299500969E-2</v>
      </c>
      <c r="AH81" s="166">
        <f ca="1">IF(AH$13&gt;12,SUM(OFFSET(AH$79,0,0,1,-12))/SUM($J87:AH87),0)</f>
        <v>2.3029604785987975E-2</v>
      </c>
      <c r="AI81" s="166">
        <f ca="1">IF(AI$13&gt;12,SUM(OFFSET(AI$79,0,0,1,-12))/SUM($J87:AI87),0)</f>
        <v>2.9855528326431239E-2</v>
      </c>
      <c r="AJ81" s="166">
        <f ca="1">IF(AJ$13&gt;12,SUM(OFFSET(AJ$79,0,0,1,-12))/SUM($J87:AJ87),0)</f>
        <v>2.9595085519555038E-2</v>
      </c>
      <c r="AK81" s="166">
        <f ca="1">IF(AK$13&gt;12,SUM(OFFSET(AK$79,0,0,1,-12))/SUM($J87:AK87),0)</f>
        <v>3.1538825301630484E-2</v>
      </c>
      <c r="AL81" s="166">
        <f ca="1">IF(AL$13&gt;12,SUM(OFFSET(AL$79,0,0,1,-12))/SUM($J87:AL87),0)</f>
        <v>3.2121949224553831E-2</v>
      </c>
      <c r="AM81" s="166">
        <f ca="1">IF(AM$13&gt;12,SUM(OFFSET(AM$79,0,0,1,-12))/SUM($J87:AM87),0)</f>
        <v>3.2104029040821373E-2</v>
      </c>
      <c r="AN81" s="166">
        <f ca="1">IF(AN$13&gt;12,SUM(OFFSET(AN$79,0,0,1,-12))/SUM($J87:AN87),0)</f>
        <v>3.3330605025096653E-2</v>
      </c>
      <c r="AO81" s="166">
        <f ca="1">IF(AO$13&gt;12,SUM(OFFSET(AO$79,0,0,1,-12))/SUM($J87:AO87),0)</f>
        <v>3.4998782999890406E-2</v>
      </c>
      <c r="AP81" s="166">
        <f ca="1">IF(AP$13&gt;12,SUM(OFFSET(AP$79,0,0,1,-12))/SUM($J87:AP87),0)</f>
        <v>3.5307825961220902E-2</v>
      </c>
      <c r="AQ81" s="166">
        <f ca="1">IF(AQ$13&gt;12,SUM(OFFSET(AQ$79,0,0,1,-12))/SUM($J87:AQ87),0)</f>
        <v>3.6077260126471472E-2</v>
      </c>
      <c r="AR81" s="166">
        <f ca="1">IF(AR$13&gt;12,SUM(OFFSET(AR$79,0,0,1,-12))/SUM($J87:AR87),0)</f>
        <v>3.6418979785785857E-2</v>
      </c>
      <c r="AS81" s="166">
        <f ca="1">IF(AS$13&gt;12,SUM(OFFSET(AS$79,0,0,1,-12))/SUM($J87:AS87),0)</f>
        <v>3.7892813940260409E-2</v>
      </c>
      <c r="AT81" s="166">
        <f ca="1">IF(AT$13&gt;12,SUM(OFFSET(AT$79,0,0,1,-12))/SUM($J87:AT87),0)</f>
        <v>3.7997551500619654E-2</v>
      </c>
      <c r="AU81" s="166">
        <f ca="1">IF(AU$13&gt;12,SUM(OFFSET(AU$79,0,0,1,-12))/SUM($J87:AU87),0)</f>
        <v>3.9226294436140161E-2</v>
      </c>
      <c r="AV81" s="166">
        <f ca="1">IF(AV$13&gt;12,SUM(OFFSET(AV$79,0,0,1,-12))/SUM($J87:AV87),0)</f>
        <v>4.1188555373820289E-2</v>
      </c>
      <c r="AW81" s="166">
        <f ca="1">IF(AW$13&gt;12,SUM(OFFSET(AW$79,0,0,1,-12))/SUM($J87:AW87),0)</f>
        <v>4.3025489705742104E-2</v>
      </c>
      <c r="AX81" s="166">
        <f ca="1">IF(AX$13&gt;12,SUM(OFFSET(AX$79,0,0,1,-12))/SUM($J87:AX87),0)</f>
        <v>4.354996442011929E-2</v>
      </c>
      <c r="AY81" s="166">
        <f ca="1">IF(AY$13&gt;12,SUM(OFFSET(AY$79,0,0,1,-12))/SUM($J87:AY87),0)</f>
        <v>4.3478689240946458E-2</v>
      </c>
      <c r="AZ81" s="166">
        <f ca="1">IF(AZ$13&gt;12,SUM(OFFSET(AZ$79,0,0,1,-12))/SUM($J87:AZ87),0)</f>
        <v>4.182029549039451E-2</v>
      </c>
      <c r="BA81" s="166">
        <f ca="1">IF(BA$13&gt;12,SUM(OFFSET(BA$79,0,0,1,-12))/SUM($J87:BA87),0)</f>
        <v>4.3143191291143121E-2</v>
      </c>
      <c r="BB81" s="166">
        <f ca="1">IF(BB$13&gt;12,SUM(OFFSET(BB$79,0,0,1,-12))/SUM($J87:BB87),0)</f>
        <v>4.2440395259840072E-2</v>
      </c>
      <c r="BC81" s="166">
        <f ca="1">IF(BC$13&gt;12,SUM(OFFSET(BC$79,0,0,1,-12))/SUM($J87:BC87),0)</f>
        <v>4.1446077876484771E-2</v>
      </c>
      <c r="BD81" s="166">
        <f ca="1">IF(BD$13&gt;12,SUM(OFFSET(BD$79,0,0,1,-12))/SUM($J87:BD87),0)</f>
        <v>4.1538146247787171E-2</v>
      </c>
      <c r="BE81" s="166">
        <f ca="1">IF(BE$13&gt;12,SUM(OFFSET(BE$79,0,0,1,-12))/SUM($J87:BE87),0)</f>
        <v>4.1757969474779943E-2</v>
      </c>
      <c r="BF81" s="166">
        <f ca="1">IF(BF$13&gt;12,SUM(OFFSET(BF$79,0,0,1,-12))/SUM($J87:BF87),0)</f>
        <v>4.288469026310885E-2</v>
      </c>
      <c r="BG81" s="166">
        <f ca="1">IF(BG$13&gt;12,SUM(OFFSET(BG$79,0,0,1,-12))/SUM($J87:BG87),0)</f>
        <v>4.2996955135751809E-2</v>
      </c>
      <c r="BH81" s="166">
        <f ca="1">IF(BH$13&gt;12,SUM(OFFSET(BH$79,0,0,1,-12))/SUM($J87:BH87),0)</f>
        <v>4.2807674752587371E-2</v>
      </c>
      <c r="BI81" s="166">
        <f ca="1">IF(BI$13&gt;12,SUM(OFFSET(BI$79,0,0,1,-12))/SUM($J87:BI87),0)</f>
        <v>4.2356923675746623E-2</v>
      </c>
      <c r="BJ81" s="166">
        <f ca="1">IF(BJ$13&gt;12,SUM(OFFSET(BJ$79,0,0,1,-12))/SUM($J87:BJ87),0)</f>
        <v>2.8032437893849425E-2</v>
      </c>
      <c r="BK81" s="166">
        <f ca="1">IF(BK$13&gt;12,SUM(OFFSET(BK$79,0,0,1,-12))/SUM($J87:BK87),0)</f>
        <v>2.8972986332234225E-2</v>
      </c>
      <c r="BL81" s="166">
        <f ca="1">IF(BL$13&gt;12,SUM(OFFSET(BL$79,0,0,1,-12))/SUM($J87:BL87),0)</f>
        <v>3.0763583789788371E-2</v>
      </c>
      <c r="BM81" s="166">
        <f ca="1">IF(BM$13&gt;12,SUM(OFFSET(BM$79,0,0,1,-12))/SUM($J87:BM87),0)</f>
        <v>2.7132090135509865E-2</v>
      </c>
      <c r="BN81" s="166">
        <f ca="1">IF(BN$13&gt;12,SUM(OFFSET(BN$79,0,0,1,-12))/SUM($J87:BN87),0)</f>
        <v>2.6947762854956682E-2</v>
      </c>
      <c r="BO81" s="166">
        <f ca="1">IF(BO$13&gt;12,SUM(OFFSET(BO$79,0,0,1,-12))/SUM($J87:BO87),0)</f>
        <v>2.7029382264242063E-2</v>
      </c>
      <c r="BP81" s="166">
        <f ca="1">IF(BP$13&gt;12,SUM(OFFSET(BP$79,0,0,1,-12))/SUM($J87:BP87),0)</f>
        <v>2.4323167262397714E-2</v>
      </c>
      <c r="BQ81" s="166">
        <f ca="1">IF(BQ$13&gt;12,SUM(OFFSET(BQ$79,0,0,1,-12))/SUM($J87:BQ87),0)</f>
        <v>2.3429176263360635E-2</v>
      </c>
      <c r="BR81" s="166">
        <f ca="1">IF(BR$13&gt;12,SUM(OFFSET(BR$79,0,0,1,-12))/SUM($J87:BR87),0)</f>
        <v>2.0558916180926604E-2</v>
      </c>
      <c r="BS81" s="166">
        <f ca="1">IF(BS$13&gt;12,SUM(OFFSET(BS$79,0,0,1,-12))/SUM($J87:BS87),0)</f>
        <v>2.205258244063666E-2</v>
      </c>
      <c r="BT81" s="166">
        <f ca="1">IF(BT$13&gt;12,SUM(OFFSET(BT$79,0,0,1,-12))/SUM($J87:BT87),0)</f>
        <v>1.9899644357411334E-2</v>
      </c>
      <c r="BU81" s="166">
        <f ca="1">IF(BU$13&gt;12,SUM(OFFSET(BU$79,0,0,1,-12))/SUM($J87:BU87),0)</f>
        <v>1.8549662623429927E-2</v>
      </c>
      <c r="BV81" s="166">
        <f ca="1">IF(BV$13&gt;12,SUM(OFFSET(BV$79,0,0,1,-12))/SUM($J87:BV87),0)</f>
        <v>3.2466875339254957E-2</v>
      </c>
      <c r="BW81" s="166">
        <f ca="1">IF(BW$13&gt;12,SUM(OFFSET(BW$79,0,0,1,-12))/SUM($J87:BW87),0)</f>
        <v>3.3292013197708359E-2</v>
      </c>
      <c r="BX81" s="166">
        <f ca="1">IF(BX$13&gt;12,SUM(OFFSET(BX$79,0,0,1,-12))/SUM($J87:BX87),0)</f>
        <v>3.2638647772116322E-2</v>
      </c>
      <c r="BY81" s="166">
        <f ca="1">IF(BY$13&gt;12,SUM(OFFSET(BY$79,0,0,1,-12))/SUM($J87:BY87),0)</f>
        <v>3.6041860364976003E-2</v>
      </c>
      <c r="BZ81" s="166">
        <f ca="1">IF(BZ$13&gt;12,SUM(OFFSET(BZ$79,0,0,1,-12))/SUM($J87:BZ87),0)</f>
        <v>3.830674582043004E-2</v>
      </c>
      <c r="CA81" s="166">
        <f ca="1">IF(CA$13&gt;12,SUM(OFFSET(CA$79,0,0,1,-12))/SUM($J87:CA87),0)</f>
        <v>3.5481486840857904E-2</v>
      </c>
      <c r="CB81" s="166">
        <f ca="1">IF(CB$13&gt;12,SUM(OFFSET(CB$79,0,0,1,-12))/SUM($J87:CB87),0)</f>
        <v>3.8662190064175601E-2</v>
      </c>
      <c r="CC81" s="166">
        <f ca="1">IF(CC$13&gt;12,SUM(OFFSET(CC$79,0,0,1,-12))/SUM($J87:CC87),0)</f>
        <v>3.9319551229491614E-2</v>
      </c>
      <c r="CD81" s="166">
        <f ca="1">IF(CD$13&gt;12,SUM(OFFSET(CD$79,0,0,1,-12))/SUM($J87:CD87),0)</f>
        <v>4.0125708466884395E-2</v>
      </c>
      <c r="CE81" s="166">
        <f ca="1">IF(CE$13&gt;12,SUM(OFFSET(CE$79,0,0,1,-12))/SUM($J87:CE87),0)</f>
        <v>3.7549932188435484E-2</v>
      </c>
      <c r="CF81" s="166">
        <f ca="1">IF(CF$13&gt;12,SUM(OFFSET(CF$79,0,0,1,-12))/SUM($J87:CF87),0)</f>
        <v>4.0386128538794107E-2</v>
      </c>
      <c r="CG81" s="166">
        <f ca="1">IF(CG$13&gt;12,SUM(OFFSET(CG$79,0,0,1,-12))/SUM($J87:CG87),0)</f>
        <v>4.2164146087883367E-2</v>
      </c>
      <c r="CH81" s="166">
        <f ca="1">IF(CH$13&gt;12,SUM(OFFSET(CH$79,0,0,1,-12))/SUM($J87:CH87),0)</f>
        <v>4.2812054481381076E-2</v>
      </c>
      <c r="CI81" s="166">
        <f ca="1">IF(CI$13&gt;12,SUM(OFFSET(CI$79,0,0,1,-12))/SUM($J87:CI87),0)</f>
        <v>4.1129737073433731E-2</v>
      </c>
      <c r="CJ81" s="166">
        <f ca="1">IF(CJ$13&gt;12,SUM(OFFSET(CJ$79,0,0,1,-12))/SUM($J87:CJ87),0)</f>
        <v>4.2708802247806606E-2</v>
      </c>
      <c r="CK81" s="166">
        <f ca="1">IF(CK$13&gt;12,SUM(OFFSET(CK$79,0,0,1,-12))/SUM($J87:CK87),0)</f>
        <v>4.3213074192446847E-2</v>
      </c>
      <c r="CL81" s="166">
        <f ca="1">IF(CL$13&gt;12,SUM(OFFSET(CL$79,0,0,1,-12))/SUM($J87:CL87),0)</f>
        <v>4.2139015157519236E-2</v>
      </c>
      <c r="CM81" s="166">
        <f ca="1">IF(CM$13&gt;12,SUM(OFFSET(CM$79,0,0,1,-12))/SUM($J87:CM87),0)</f>
        <v>4.5844513874036749E-2</v>
      </c>
      <c r="CN81" s="166">
        <f ca="1">IF(CN$13&gt;12,SUM(OFFSET(CN$79,0,0,1,-12))/SUM($J87:CN87),0)</f>
        <v>4.6295024477303645E-2</v>
      </c>
      <c r="CO81" s="166">
        <f ca="1">IF(CO$13&gt;12,SUM(OFFSET(CO$79,0,0,1,-12))/SUM($J87:CO87),0)</f>
        <v>4.6530529803738119E-2</v>
      </c>
      <c r="CP81" s="166">
        <f ca="1">IF(CP$13&gt;12,SUM(OFFSET(CP$79,0,0,1,-12))/SUM($J87:CP87),0)</f>
        <v>4.8053577067300061E-2</v>
      </c>
      <c r="CQ81" s="166">
        <f ca="1">IF(CQ$13&gt;12,SUM(OFFSET(CQ$79,0,0,1,-12))/SUM($J87:CQ87),0)</f>
        <v>4.9669417368963714E-2</v>
      </c>
      <c r="CR81" s="166">
        <f ca="1">IF(CR$13&gt;12,SUM(OFFSET(CR$79,0,0,1,-12))/SUM($J87:CR87),0)</f>
        <v>4.9021706414810025E-2</v>
      </c>
      <c r="CS81" s="166">
        <f ca="1">IF(CS$13&gt;12,SUM(OFFSET(CS$79,0,0,1,-12))/SUM($J87:CS87),0)</f>
        <v>4.8454420879904848E-2</v>
      </c>
      <c r="CT81" s="166">
        <f ca="1">IF(CT$13&gt;12,SUM(OFFSET(CT$79,0,0,1,-12))/SUM($J87:CT87),0)</f>
        <v>4.9166163673581613E-2</v>
      </c>
      <c r="CU81" s="166">
        <f ca="1">IF(CU$13&gt;12,SUM(OFFSET(CU$79,0,0,1,-12))/SUM($J87:CU87),0)</f>
        <v>5.0428338132914266E-2</v>
      </c>
      <c r="CV81" s="166">
        <f ca="1">IF(CV$13&gt;12,SUM(OFFSET(CV$79,0,0,1,-12))/SUM($J87:CV87),0)</f>
        <v>5.1162979394774488E-2</v>
      </c>
      <c r="CW81" s="166">
        <f ca="1">IF(CW$13&gt;12,SUM(OFFSET(CW$79,0,0,1,-12))/SUM($J87:CW87),0)</f>
        <v>5.189762065663471E-2</v>
      </c>
      <c r="CX81" s="166">
        <f ca="1">IF(CX$13&gt;12,SUM(OFFSET(CX$79,0,0,1,-12))/SUM($J87:CX87),0)</f>
        <v>5.1801760967382468E-2</v>
      </c>
      <c r="CY81" s="166">
        <f ca="1">IF(CY$13&gt;12,SUM(OFFSET(CY$79,0,0,1,-12))/SUM($J87:CY87),0)</f>
        <v>5.2212556368587078E-2</v>
      </c>
      <c r="CZ81" s="166">
        <f ca="1">IF(CZ$13&gt;12,SUM(OFFSET(CZ$79,0,0,1,-12))/SUM($J87:CZ87),0)</f>
        <v>5.2150570355607717E-2</v>
      </c>
      <c r="DA81" s="166">
        <f ca="1">IF(DA$13&gt;12,SUM(OFFSET(DA$79,0,0,1,-12))/SUM($J87:DA87),0)</f>
        <v>5.2553258348541194E-2</v>
      </c>
      <c r="DB81" s="166">
        <f ca="1">IF(DB$13&gt;12,SUM(OFFSET(DB$79,0,0,1,-12))/SUM($J87:DB87),0)</f>
        <v>5.1642705780348068E-2</v>
      </c>
      <c r="DC81" s="166">
        <f ca="1">IF(DC$13&gt;12,SUM(OFFSET(DC$79,0,0,1,-12))/SUM($J87:DC87),0)</f>
        <v>5.2982468956777086E-2</v>
      </c>
      <c r="DD81" s="166">
        <f ca="1">IF(DD$13&gt;12,SUM(OFFSET(DD$79,0,0,1,-12))/SUM($J87:DD87),0)</f>
        <v>5.5130183952222647E-2</v>
      </c>
      <c r="DE81" s="166">
        <f ca="1">IF(DE$13&gt;12,SUM(OFFSET(DE$79,0,0,1,-12))/SUM($J87:DE87),0)</f>
        <v>5.7770817143344241E-2</v>
      </c>
      <c r="DF81" s="166">
        <f ca="1">IF(DF$13&gt;12,SUM(OFFSET(DF$79,0,0,1,-12))/SUM($J87:DF87),0)</f>
        <v>5.9206965194834607E-2</v>
      </c>
      <c r="DG81" s="166">
        <f ca="1">IF(DG$13&gt;12,SUM(OFFSET(DG$79,0,0,1,-12))/SUM($J87:DG87),0)</f>
        <v>6.0753490633700273E-2</v>
      </c>
      <c r="DH81" s="166">
        <f ca="1">IF(DH$13&gt;12,SUM(OFFSET(DH$79,0,0,1,-12))/SUM($J87:DH87),0)</f>
        <v>6.2122569842176872E-2</v>
      </c>
      <c r="DI81" s="166">
        <f ca="1">IF(DI$13&gt;12,SUM(OFFSET(DI$79,0,0,1,-12))/SUM($J87:DI87),0)</f>
        <v>6.350739024851057E-2</v>
      </c>
      <c r="DJ81" s="166">
        <f ca="1">IF(DJ$13&gt;12,SUM(OFFSET(DJ$79,0,0,1,-12))/SUM($J87:DJ87),0)</f>
        <v>6.5704002858568825E-2</v>
      </c>
      <c r="DK81" s="166">
        <f ca="1">IF(DK$13&gt;12,SUM(OFFSET(DK$79,0,0,1,-12))/SUM($J87:DK87),0)</f>
        <v>6.7185214476480293E-2</v>
      </c>
      <c r="DL81" s="166">
        <f ca="1">IF(DL$13&gt;12,SUM(OFFSET(DL$79,0,0,1,-12))/SUM($J87:DL87),0)</f>
        <v>6.9351667707453837E-2</v>
      </c>
      <c r="DM81" s="166">
        <f ca="1">IF(DM$13&gt;12,SUM(OFFSET(DM$79,0,0,1,-12))/SUM($J87:DM87),0)</f>
        <v>7.0866953753659728E-2</v>
      </c>
      <c r="DN81" s="166">
        <f ca="1">IF(DN$13&gt;12,SUM(OFFSET(DN$79,0,0,1,-12))/SUM($J87:DN87),0)</f>
        <v>7.1604387022738594E-2</v>
      </c>
      <c r="DO81" s="166">
        <f ca="1">IF(DO$13&gt;12,SUM(OFFSET(DO$79,0,0,1,-12))/SUM($J87:DO87),0)</f>
        <v>7.1752348882527406E-2</v>
      </c>
      <c r="DP81" s="166">
        <f ca="1">IF(DP$13&gt;12,SUM(OFFSET(DP$79,0,0,1,-12))/SUM($J87:DP87),0)</f>
        <v>7.1900310742316217E-2</v>
      </c>
      <c r="DQ81" s="166">
        <f ca="1">IF(DQ$13&gt;12,SUM(OFFSET(DQ$79,0,0,1,-12))/SUM($J87:DQ87),0)</f>
        <v>7.2048704607535083E-2</v>
      </c>
      <c r="DR81" s="166">
        <f ca="1">IF(DR$13&gt;12,SUM(OFFSET(DR$79,0,0,1,-12))/SUM($J87:DR87),0)</f>
        <v>7.2197827481917137E-2</v>
      </c>
      <c r="DS81" s="166">
        <f ca="1">IF(DS$13&gt;12,SUM(OFFSET(DS$79,0,0,1,-12))/SUM($J87:DS87),0)</f>
        <v>7.2345060332542788E-2</v>
      </c>
      <c r="DT81" s="166">
        <f ca="1">IF(DT$13&gt;12,SUM(OFFSET(DT$79,0,0,1,-12))/SUM($J87:DT87),0)</f>
        <v>7.2493238195046605E-2</v>
      </c>
      <c r="DU81" s="166">
        <f ca="1">IF(DU$13&gt;12,SUM(OFFSET(DU$79,0,0,1,-12))/SUM($J87:DU87),0)</f>
        <v>7.264376508707629E-2</v>
      </c>
      <c r="DV81" s="166">
        <f ca="1">IF(DV$13&gt;12,SUM(OFFSET(DV$79,0,0,1,-12))/SUM($J87:DV87),0)</f>
        <v>7.2749525416418034E-2</v>
      </c>
      <c r="DW81" s="166">
        <f ca="1">IF(DW$13&gt;12,SUM(OFFSET(DW$79,0,0,1,-12))/SUM($J87:DW87),0)</f>
        <v>7.2855744751529214E-2</v>
      </c>
      <c r="DX81" s="166">
        <f ca="1">IF(DX$13&gt;12,SUM(OFFSET(DX$79,0,0,1,-12))/SUM($J87:DX87),0)</f>
        <v>7.2961964086640393E-2</v>
      </c>
      <c r="DY81" s="166">
        <f ca="1">IF(DY$13&gt;12,SUM(OFFSET(DY$79,0,0,1,-12))/SUM($J87:DY87),0)</f>
        <v>7.3068588426842232E-2</v>
      </c>
      <c r="DZ81" s="166">
        <f ca="1">IF(DZ$13&gt;12,SUM(OFFSET(DZ$79,0,0,1,-12))/SUM($J87:DZ87),0)</f>
        <v>7.3464899408225467E-2</v>
      </c>
      <c r="EA81" s="166">
        <f ca="1">IF(EA$13&gt;12,SUM(OFFSET(EA$79,0,0,1,-12))/SUM($J87:EA87),0)</f>
        <v>7.3613266273104952E-2</v>
      </c>
      <c r="EB81" s="166">
        <f ca="1">IF(EB$13&gt;12,SUM(OFFSET(EB$79,0,0,1,-12))/SUM($J87:EB87),0)</f>
        <v>7.3761633137984436E-2</v>
      </c>
      <c r="EC81" s="166">
        <f ca="1">IF(EC$13&gt;12,SUM(OFFSET(EC$79,0,0,1,-12))/SUM($J87:EC87),0)</f>
        <v>7.3910459008633328E-2</v>
      </c>
      <c r="ED81" s="166">
        <f ca="1">IF(ED$13&gt;12,SUM(OFFSET(ED$79,0,0,1,-12))/SUM($J87:ED87),0)</f>
        <v>7.4060040888784803E-2</v>
      </c>
      <c r="EE81" s="166">
        <f ca="1">IF(EE$13&gt;12,SUM(OFFSET(EE$79,0,0,1,-12))/SUM($J87:EE87),0)</f>
        <v>7.3644667667801006E-2</v>
      </c>
      <c r="EF81" s="166">
        <f ca="1">IF(EF$13&gt;12,SUM(OFFSET(EF$79,0,0,1,-12))/SUM($J87:EF87),0)</f>
        <v>7.2921922583343526E-2</v>
      </c>
      <c r="EG81" s="166">
        <f ca="1">IF(EG$13&gt;12,SUM(OFFSET(EG$79,0,0,1,-12))/SUM($J87:EG87),0)</f>
        <v>7.303132795850123E-2</v>
      </c>
      <c r="EH81" s="166">
        <f ca="1">IF(EH$13&gt;12,SUM(OFFSET(EH$79,0,0,1,-12))/SUM($J87:EH87),0)</f>
        <v>7.3179397819647551E-2</v>
      </c>
      <c r="EI81" s="166">
        <f ca="1">IF(EI$13&gt;12,SUM(OFFSET(EI$79,0,0,1,-12))/SUM($J87:EI87),0)</f>
        <v>7.3327899686223927E-2</v>
      </c>
      <c r="EJ81" s="166">
        <f ca="1">IF(EJ$13&gt;12,SUM(OFFSET(EJ$79,0,0,1,-12))/SUM($J87:EJ87),0)</f>
        <v>7.3476401552800302E-2</v>
      </c>
      <c r="EK81" s="166">
        <f ca="1">IF(EK$13&gt;12,SUM(OFFSET(EK$79,0,0,1,-12))/SUM($J87:EK87),0)</f>
        <v>7.3625308424467337E-2</v>
      </c>
      <c r="EL81" s="166">
        <f ca="1">IF(EL$13&gt;12,SUM(OFFSET(EL$79,0,0,1,-12))/SUM($J87:EL87),0)</f>
        <v>7.3774539300206887E-2</v>
      </c>
      <c r="EM81" s="166">
        <f ca="1">IF(EM$13&gt;12,SUM(OFFSET(EM$79,0,0,1,-12))/SUM($J87:EM87),0)</f>
        <v>7.3924634186806532E-2</v>
      </c>
      <c r="EN81" s="166">
        <f ca="1">IF(EN$13&gt;12,SUM(OFFSET(EN$79,0,0,1,-12))/SUM($J87:EN87),0)</f>
        <v>7.4074729073406162E-2</v>
      </c>
      <c r="EO81" s="166">
        <f ca="1">IF(EO$13&gt;12,SUM(OFFSET(EO$79,0,0,1,-12))/SUM($J87:EO87),0)</f>
        <v>7.4225282965775227E-2</v>
      </c>
      <c r="EP81" s="166">
        <f ca="1">IF(EP$13&gt;12,SUM(OFFSET(EP$79,0,0,1,-12))/SUM($J87:EP87),0)</f>
        <v>7.4384962972853894E-2</v>
      </c>
      <c r="EQ81" s="166">
        <f ca="1">IF(EQ$13&gt;12,SUM(OFFSET(EQ$79,0,0,1,-12))/SUM($J87:EQ87),0)</f>
        <v>7.4554093098714677E-2</v>
      </c>
      <c r="ER81" s="166">
        <f ca="1">IF(ER$13&gt;12,SUM(OFFSET(ER$79,0,0,1,-12))/SUM($J87:ER87),0)</f>
        <v>7.5453852408131197E-2</v>
      </c>
      <c r="ES81" s="166">
        <f ca="1">IF(ES$13&gt;12,SUM(OFFSET(ES$79,0,0,1,-12))/SUM($J87:ES87),0)</f>
        <v>7.553693245239583E-2</v>
      </c>
      <c r="ET81" s="166">
        <f ca="1">IF(ET$13&gt;12,SUM(OFFSET(ET$79,0,0,1,-12))/SUM($J87:ET87),0)</f>
        <v>7.561331641249483E-2</v>
      </c>
      <c r="EU81" s="166">
        <f ca="1">IF(EU$13&gt;12,SUM(OFFSET(EU$79,0,0,1,-12))/SUM($J87:EU87),0)</f>
        <v>7.5690186378702645E-2</v>
      </c>
      <c r="EV81" s="166">
        <f ca="1">IF(EV$13&gt;12,SUM(OFFSET(EV$79,0,0,1,-12))/SUM($J87:EV87),0)</f>
        <v>7.5767056344910447E-2</v>
      </c>
      <c r="EW81" s="166">
        <f ca="1">IF(EW$13&gt;12,SUM(OFFSET(EW$79,0,0,1,-12))/SUM($J87:EW87),0)</f>
        <v>7.5844331316208921E-2</v>
      </c>
      <c r="EX81" s="166">
        <f ca="1">IF(EX$13&gt;12,SUM(OFFSET(EX$79,0,0,1,-12))/SUM($J87:EX87),0)</f>
        <v>7.5542197518574453E-2</v>
      </c>
      <c r="EY81" s="166">
        <f ca="1">IF(EY$13&gt;12,SUM(OFFSET(EY$79,0,0,1,-12))/SUM($J87:EY87),0)</f>
        <v>7.4946462030548819E-2</v>
      </c>
      <c r="EZ81" s="166">
        <f ca="1">IF(EZ$13&gt;12,SUM(OFFSET(EZ$79,0,0,1,-12))/SUM($J87:EZ87),0)</f>
        <v>7.4922296726805934E-2</v>
      </c>
      <c r="FA81" s="166">
        <f ca="1">IF(FA$13&gt;12,SUM(OFFSET(FA$79,0,0,1,-12))/SUM($J87:FA87),0)</f>
        <v>7.404375968414012E-2</v>
      </c>
      <c r="FB81" s="166">
        <f ca="1">IF(FB$13&gt;12,SUM(OFFSET(FB$79,0,0,1,-12))/SUM($J87:FB87),0)</f>
        <v>7.2513029443810315E-2</v>
      </c>
      <c r="FC81" s="166">
        <f ca="1">IF(FC$13&gt;12,SUM(OFFSET(FC$79,0,0,1,-12))/SUM($J87:FC87),0)</f>
        <v>7.2830877438962494E-2</v>
      </c>
      <c r="FD81" s="166">
        <f ca="1">IF(FD$13&gt;12,SUM(OFFSET(FD$79,0,0,1,-12))/SUM($J87:FD87),0)</f>
        <v>7.2721769067537939E-2</v>
      </c>
      <c r="FE81" s="166">
        <f ca="1">IF(FE$13&gt;12,SUM(OFFSET(FE$79,0,0,1,-12))/SUM($J87:FE87),0)</f>
        <v>7.2596001486717424E-2</v>
      </c>
      <c r="FF81" s="166">
        <f ca="1">IF(FF$13&gt;12,SUM(OFFSET(FF$79,0,0,1,-12))/SUM($J87:FF87),0)</f>
        <v>7.2460675785757281E-2</v>
      </c>
      <c r="FG81" s="166">
        <f ca="1">IF(FG$13&gt;12,SUM(OFFSET(FG$79,0,0,1,-12))/SUM($J87:FG87),0)</f>
        <v>7.1455885156162205E-2</v>
      </c>
      <c r="FH81" s="166">
        <f ca="1">IF(FH$13&gt;12,SUM(OFFSET(FH$79,0,0,1,-12))/SUM($J87:FH87),0)</f>
        <v>7.1242393472704141E-2</v>
      </c>
      <c r="FI81" s="166">
        <f ca="1">IF(FI$13&gt;12,SUM(OFFSET(FI$79,0,0,1,-12))/SUM($J87:FI87),0)</f>
        <v>7.026373917162651E-2</v>
      </c>
      <c r="FJ81" s="166">
        <f ca="1">IF(FJ$13&gt;12,SUM(OFFSET(FJ$79,0,0,1,-12))/SUM($J87:FJ87),0)</f>
        <v>7.0355081319740664E-2</v>
      </c>
      <c r="FK81" s="166">
        <f ca="1">IF(FK$13&gt;12,SUM(OFFSET(FK$79,0,0,1,-12))/SUM($J87:FK87),0)</f>
        <v>6.903398171433793E-2</v>
      </c>
      <c r="FL81" s="166">
        <f ca="1">IF(FL$13&gt;12,SUM(OFFSET(FL$79,0,0,1,-12))/SUM($J87:FL87),0)</f>
        <v>6.7667008532332762E-2</v>
      </c>
      <c r="FM81" s="166">
        <f ca="1">IF(FM$13&gt;12,SUM(OFFSET(FM$79,0,0,1,-12))/SUM($J87:FM87),0)</f>
        <v>6.8039586215403194E-2</v>
      </c>
      <c r="FN81" s="166">
        <f ca="1">IF(FN$13&gt;12,SUM(OFFSET(FN$79,0,0,1,-12))/SUM($J87:FN87),0)</f>
        <v>6.9044646848392052E-2</v>
      </c>
      <c r="FO81" s="166">
        <f ca="1">IF(FO$13&gt;12,SUM(OFFSET(FO$79,0,0,1,-12))/SUM($J87:FO87),0)</f>
        <v>6.8769405388777599E-2</v>
      </c>
      <c r="FP81" s="166">
        <f ca="1">IF(FP$13&gt;12,SUM(OFFSET(FP$79,0,0,1,-12))/SUM($J87:FP87),0)</f>
        <v>6.8494811937308206E-2</v>
      </c>
      <c r="FQ81" s="166">
        <f ca="1">IF(FQ$13&gt;12,SUM(OFFSET(FQ$79,0,0,1,-12))/SUM($J87:FQ87),0)</f>
        <v>6.8220704491947615E-2</v>
      </c>
      <c r="FR81" s="166">
        <f ca="1">IF(FR$13&gt;12,SUM(OFFSET(FR$79,0,0,1,-12))/SUM($J87:FR87),0)</f>
        <v>6.7961744236977789E-2</v>
      </c>
      <c r="FS81" s="166">
        <f ca="1">IF(FS$13&gt;12,SUM(OFFSET(FS$79,0,0,1,-12))/SUM($J87:FS87),0)</f>
        <v>6.8556048707016426E-2</v>
      </c>
      <c r="FT81" s="166">
        <f ca="1">IF(FT$13&gt;12,SUM(OFFSET(FT$79,0,0,1,-12))/SUM($J87:FT87),0)</f>
        <v>6.837385041689692E-2</v>
      </c>
      <c r="FU81" s="166">
        <f ca="1">IF(FU$13&gt;12,SUM(OFFSET(FU$79,0,0,1,-12))/SUM($J87:FU87),0)</f>
        <v>6.8942585565545028E-2</v>
      </c>
      <c r="FV81" s="166">
        <f ca="1">IF(FV$13&gt;12,SUM(OFFSET(FV$79,0,0,1,-12))/SUM($J87:FV87),0)</f>
        <v>6.8828131126923708E-2</v>
      </c>
      <c r="FW81" s="166">
        <f ca="1">IF(FW$13&gt;12,SUM(OFFSET(FW$79,0,0,1,-12))/SUM($J87:FW87),0)</f>
        <v>7.0114967301656367E-2</v>
      </c>
      <c r="FX81" s="166">
        <f ca="1">IF(FX$13&gt;12,SUM(OFFSET(FX$79,0,0,1,-12))/SUM($J87:FX87),0)</f>
        <v>7.116044744269337E-2</v>
      </c>
      <c r="FY81" s="166">
        <f ca="1">IF(FY$13&gt;12,SUM(OFFSET(FY$79,0,0,1,-12))/SUM($J87:FY87),0)</f>
        <v>7.1314133374430239E-2</v>
      </c>
      <c r="FZ81" s="166">
        <f ca="1">IF(FZ$13&gt;12,SUM(OFFSET(FZ$79,0,0,1,-12))/SUM($J87:FZ87),0)</f>
        <v>7.1468278311936514E-2</v>
      </c>
      <c r="GA81" s="166">
        <f ca="1">IF(GA$13&gt;12,SUM(OFFSET(GA$79,0,0,1,-12))/SUM($J87:GA87),0)</f>
        <v>7.1613432136430052E-2</v>
      </c>
      <c r="GB81" s="166">
        <f ca="1">IF(GB$13&gt;12,SUM(OFFSET(GB$79,0,0,1,-12))/SUM($J87:GB87),0)</f>
        <v>7.1759233969068692E-2</v>
      </c>
      <c r="GC81" s="166">
        <f ca="1">IF(GC$13&gt;12,SUM(OFFSET(GC$79,0,0,1,-12))/SUM($J87:GC87),0)</f>
        <v>7.1924260043344096E-2</v>
      </c>
      <c r="GD81" s="166">
        <f ca="1">IF(GD$13&gt;12,SUM(OFFSET(GD$79,0,0,1,-12))/SUM($J87:GD87),0)</f>
        <v>7.2089367118637643E-2</v>
      </c>
      <c r="GE81" s="166">
        <f ca="1">IF(GE$13&gt;12,SUM(OFFSET(GE$79,0,0,1,-12))/SUM($J87:GE87),0)</f>
        <v>7.2254474193931148E-2</v>
      </c>
      <c r="GF81" s="166">
        <f ca="1">IF(GF$13&gt;12,SUM(OFFSET(GF$79,0,0,1,-12))/SUM($J87:GF87),0)</f>
        <v>7.2420067275333497E-2</v>
      </c>
      <c r="GG81" s="166">
        <f ca="1">IF(GG$13&gt;12,SUM(OFFSET(GG$79,0,0,1,-12))/SUM($J87:GG87),0)</f>
        <v>7.2585660356735845E-2</v>
      </c>
      <c r="GH81" s="166">
        <f ca="1">IF(GH$13&gt;12,SUM(OFFSET(GH$79,0,0,1,-12))/SUM($J87:GH87),0)</f>
        <v>7.2751793444925744E-2</v>
      </c>
      <c r="GI81" s="166">
        <f ca="1">IF(GI$13&gt;12,SUM(OFFSET(GI$79,0,0,1,-12))/SUM($J87:GI87),0)</f>
        <v>7.3202618111512199E-2</v>
      </c>
      <c r="GJ81" s="166">
        <f ca="1">IF(GJ$13&gt;12,SUM(OFFSET(GJ$79,0,0,1,-12))/SUM($J87:GJ87),0)</f>
        <v>7.3393807514644444E-2</v>
      </c>
      <c r="GK81" s="166">
        <f ca="1">IF(GK$13&gt;12,SUM(OFFSET(GK$79,0,0,1,-12))/SUM($J87:GK87),0)</f>
        <v>7.3585266921170456E-2</v>
      </c>
      <c r="GL81" s="166">
        <f ca="1">IF(GL$13&gt;12,SUM(OFFSET(GL$79,0,0,1,-12))/SUM($J87:GL87),0)</f>
        <v>7.3777158333126494E-2</v>
      </c>
      <c r="GM81" s="166">
        <f ca="1">IF(GM$13&gt;12,SUM(OFFSET(GM$79,0,0,1,-12))/SUM($J87:GM87),0)</f>
        <v>7.3976285836035716E-2</v>
      </c>
      <c r="GN81" s="166">
        <f ca="1">IF(GN$13&gt;12,SUM(OFFSET(GN$79,0,0,1,-12))/SUM($J87:GN87),0)</f>
        <v>7.3387273432515082E-2</v>
      </c>
      <c r="GO81" s="166">
        <f ca="1">IF(GO$13&gt;12,SUM(OFFSET(GO$79,0,0,1,-12))/SUM($J87:GO87),0)</f>
        <v>7.2519212521527751E-2</v>
      </c>
      <c r="GP81" s="166">
        <f ca="1">IF(GP$13&gt;12,SUM(OFFSET(GP$79,0,0,1,-12))/SUM($J87:GP87),0)</f>
        <v>7.2511409423447665E-2</v>
      </c>
      <c r="GQ81" s="166">
        <f ca="1">IF(GQ$13&gt;12,SUM(OFFSET(GQ$79,0,0,1,-12))/SUM($J87:GQ87),0)</f>
        <v>7.2503606325367564E-2</v>
      </c>
      <c r="GR81" s="166">
        <f ca="1">IF(GR$13&gt;12,SUM(OFFSET(GR$79,0,0,1,-12))/SUM($J87:GR87),0)</f>
        <v>7.2496208232378109E-2</v>
      </c>
      <c r="GS81" s="166">
        <f ca="1">IF(GS$13&gt;12,SUM(OFFSET(GS$79,0,0,1,-12))/SUM($J87:GS87),0)</f>
        <v>7.2488810139388682E-2</v>
      </c>
      <c r="GT81" s="166">
        <f ca="1">IF(GT$13&gt;12,SUM(OFFSET(GT$79,0,0,1,-12))/SUM($J87:GT87),0)</f>
        <v>7.2482033054204906E-2</v>
      </c>
      <c r="GU81" s="166"/>
      <c r="GV81" s="166"/>
      <c r="GW81" s="166"/>
      <c r="GX81" s="166"/>
      <c r="GY81" s="166"/>
      <c r="GZ81" s="166"/>
      <c r="HA81" s="166"/>
      <c r="HB81" s="166"/>
      <c r="HC81" s="166"/>
      <c r="HD81" s="166"/>
      <c r="HE81" s="166"/>
      <c r="HF81" s="1" t="s">
        <v>212</v>
      </c>
      <c r="HG81" s="139" t="e">
        <f t="shared" ref="HG81:HG92" si="691">HG80+1</f>
        <v>#REF!</v>
      </c>
      <c r="HH81" s="141" t="str">
        <f>B81</f>
        <v>Return on Cost</v>
      </c>
      <c r="HL81" s="97"/>
      <c r="HN81" s="165">
        <f t="shared" si="690"/>
        <v>0</v>
      </c>
      <c r="HO81" s="166">
        <f t="shared" ca="1" si="690"/>
        <v>0</v>
      </c>
      <c r="HP81" s="166">
        <f t="shared" ca="1" si="690"/>
        <v>0.33691383181344176</v>
      </c>
      <c r="HQ81" s="166">
        <f t="shared" ca="1" si="690"/>
        <v>0.41661000286204625</v>
      </c>
      <c r="HR81" s="166">
        <f t="shared" ca="1" si="690"/>
        <v>0.50927041977991838</v>
      </c>
      <c r="HS81" s="166">
        <f t="shared" ca="1" si="690"/>
        <v>0.34440668384623624</v>
      </c>
      <c r="HT81" s="166">
        <f t="shared" ca="1" si="690"/>
        <v>0.40233431826517196</v>
      </c>
      <c r="HU81" s="166">
        <f t="shared" ca="1" si="690"/>
        <v>0.53094602037060723</v>
      </c>
      <c r="HV81" s="166">
        <f t="shared" ca="1" si="690"/>
        <v>0.6134745499298635</v>
      </c>
      <c r="HW81"/>
    </row>
    <row r="82" spans="2:231" ht="15" outlineLevel="1">
      <c r="B82" s="141" t="s">
        <v>107</v>
      </c>
      <c r="I82" s="97"/>
      <c r="K82" s="167">
        <f t="shared" ref="K82:AP82" si="692">+K79-K56</f>
        <v>0</v>
      </c>
      <c r="L82" s="27">
        <f t="shared" si="692"/>
        <v>58.588409999999996</v>
      </c>
      <c r="M82" s="27">
        <f t="shared" si="692"/>
        <v>39.424859999999995</v>
      </c>
      <c r="N82" s="27">
        <f t="shared" si="692"/>
        <v>62.164510000000007</v>
      </c>
      <c r="O82" s="27">
        <f t="shared" si="692"/>
        <v>23.673310000000015</v>
      </c>
      <c r="P82" s="27">
        <f t="shared" si="692"/>
        <v>69.427840000000003</v>
      </c>
      <c r="Q82" s="27">
        <f t="shared" si="692"/>
        <v>53.221360000000018</v>
      </c>
      <c r="R82" s="27">
        <f t="shared" si="692"/>
        <v>66.139569999999992</v>
      </c>
      <c r="S82" s="27">
        <f t="shared" si="692"/>
        <v>136.26360000000003</v>
      </c>
      <c r="T82" s="27">
        <f t="shared" si="692"/>
        <v>66.867030000000028</v>
      </c>
      <c r="U82" s="27">
        <f t="shared" si="692"/>
        <v>154.67081000000002</v>
      </c>
      <c r="V82" s="27">
        <f t="shared" si="692"/>
        <v>292.19283999999999</v>
      </c>
      <c r="W82" s="27">
        <f t="shared" si="692"/>
        <v>-129.80023</v>
      </c>
      <c r="X82" s="27">
        <f t="shared" si="692"/>
        <v>81.805930000000018</v>
      </c>
      <c r="Y82" s="27">
        <f t="shared" si="692"/>
        <v>-5.0317100000000039</v>
      </c>
      <c r="Z82" s="27">
        <f t="shared" si="692"/>
        <v>73.826150000000041</v>
      </c>
      <c r="AA82" s="27">
        <f t="shared" si="692"/>
        <v>118.62709000000004</v>
      </c>
      <c r="AB82" s="27">
        <f t="shared" si="692"/>
        <v>94.145989999999998</v>
      </c>
      <c r="AC82" s="27">
        <f t="shared" si="692"/>
        <v>32.482859999999988</v>
      </c>
      <c r="AD82" s="27">
        <f t="shared" si="692"/>
        <v>119.66310999999999</v>
      </c>
      <c r="AE82" s="27">
        <f t="shared" si="692"/>
        <v>105.07043000000002</v>
      </c>
      <c r="AF82" s="27">
        <f t="shared" si="692"/>
        <v>115.43983000000003</v>
      </c>
      <c r="AG82" s="27">
        <f t="shared" si="692"/>
        <v>107.01765</v>
      </c>
      <c r="AH82" s="27">
        <f t="shared" si="692"/>
        <v>133.78231</v>
      </c>
      <c r="AI82" s="27">
        <f t="shared" si="692"/>
        <v>114.28551000000002</v>
      </c>
      <c r="AJ82" s="27">
        <f t="shared" si="692"/>
        <v>93.896749999999997</v>
      </c>
      <c r="AK82" s="27">
        <f t="shared" si="692"/>
        <v>90.383519999999976</v>
      </c>
      <c r="AL82" s="27">
        <f t="shared" si="692"/>
        <v>99.803760000000025</v>
      </c>
      <c r="AM82" s="27">
        <f t="shared" si="692"/>
        <v>115.38479000000001</v>
      </c>
      <c r="AN82" s="27">
        <f t="shared" si="692"/>
        <v>101.45357000000001</v>
      </c>
      <c r="AO82" s="27">
        <f t="shared" si="692"/>
        <v>121.09653</v>
      </c>
      <c r="AP82" s="27">
        <f t="shared" si="692"/>
        <v>135.38081</v>
      </c>
      <c r="AQ82" s="27">
        <f t="shared" ref="AQ82:BV82" si="693">+AQ79-AQ56</f>
        <v>131.88220999999999</v>
      </c>
      <c r="AR82" s="27">
        <f t="shared" si="693"/>
        <v>121.17979</v>
      </c>
      <c r="AS82" s="27">
        <f t="shared" si="693"/>
        <v>134.99206999999998</v>
      </c>
      <c r="AT82" s="27">
        <f t="shared" si="693"/>
        <v>116.68306999999999</v>
      </c>
      <c r="AU82" s="27">
        <f t="shared" si="693"/>
        <v>134.19099000000003</v>
      </c>
      <c r="AV82" s="27">
        <f t="shared" si="693"/>
        <v>137.95124999999999</v>
      </c>
      <c r="AW82" s="27">
        <f t="shared" si="693"/>
        <v>140.86347000000001</v>
      </c>
      <c r="AX82" s="27">
        <f t="shared" si="693"/>
        <v>117.20541999999998</v>
      </c>
      <c r="AY82" s="27">
        <f t="shared" si="693"/>
        <v>115.52426000000003</v>
      </c>
      <c r="AZ82" s="27">
        <f t="shared" si="693"/>
        <v>116.11048000000001</v>
      </c>
      <c r="BA82" s="27">
        <f t="shared" si="693"/>
        <v>149.82135999999997</v>
      </c>
      <c r="BB82" s="27">
        <f t="shared" si="693"/>
        <v>117.82124000000002</v>
      </c>
      <c r="BC82" s="27">
        <f t="shared" si="693"/>
        <v>104.50782999999998</v>
      </c>
      <c r="BD82" s="27">
        <f t="shared" si="693"/>
        <v>125.69013000000001</v>
      </c>
      <c r="BE82" s="27">
        <f t="shared" si="693"/>
        <v>142.38238000000001</v>
      </c>
      <c r="BF82" s="27">
        <f t="shared" si="693"/>
        <v>154.56266999999997</v>
      </c>
      <c r="BG82" s="27">
        <f t="shared" si="693"/>
        <v>137.96525999999997</v>
      </c>
      <c r="BH82" s="27">
        <f t="shared" si="693"/>
        <v>131.58776999999998</v>
      </c>
      <c r="BI82" s="27">
        <f t="shared" si="693"/>
        <v>125.70951999999998</v>
      </c>
      <c r="BJ82" s="27">
        <f t="shared" si="693"/>
        <v>-364.37422000000004</v>
      </c>
      <c r="BK82" s="27">
        <f t="shared" si="693"/>
        <v>147.14487</v>
      </c>
      <c r="BL82" s="27">
        <f t="shared" ca="1" si="693"/>
        <v>145.88016999999999</v>
      </c>
      <c r="BM82" s="27">
        <f t="shared" ca="1" si="693"/>
        <v>9.8311400000000617</v>
      </c>
      <c r="BN82" s="27">
        <f t="shared" ca="1" si="693"/>
        <v>119.82767000000004</v>
      </c>
      <c r="BO82" s="27">
        <f t="shared" ca="1" si="693"/>
        <v>107.25182000000001</v>
      </c>
      <c r="BP82" s="27">
        <f t="shared" ca="1" si="693"/>
        <v>19.220650000000006</v>
      </c>
      <c r="BQ82" s="27">
        <f t="shared" ca="1" si="693"/>
        <v>112.32699999999997</v>
      </c>
      <c r="BR82" s="27">
        <f t="shared" ca="1" si="693"/>
        <v>59.421770000000009</v>
      </c>
      <c r="BS82" s="27">
        <f t="shared" ca="1" si="693"/>
        <v>188.27978999999999</v>
      </c>
      <c r="BT82" s="27">
        <f t="shared" ca="1" si="693"/>
        <v>59.065499999999986</v>
      </c>
      <c r="BU82" s="27">
        <f t="shared" ca="1" si="693"/>
        <v>80.235040000000041</v>
      </c>
      <c r="BV82" s="27">
        <f t="shared" ca="1" si="693"/>
        <v>104.43064999999999</v>
      </c>
      <c r="BW82" s="27">
        <f t="shared" ref="BW82:DB82" ca="1" si="694">+BW79-BW56</f>
        <v>175.25096999999997</v>
      </c>
      <c r="BX82" s="27">
        <f t="shared" ca="1" si="694"/>
        <v>90.894769999999937</v>
      </c>
      <c r="BY82" s="27">
        <f t="shared" ca="1" si="694"/>
        <v>127.74132000000003</v>
      </c>
      <c r="BZ82" s="27">
        <f t="shared" ca="1" si="694"/>
        <v>182.24637999999999</v>
      </c>
      <c r="CA82" s="27">
        <f t="shared" ca="1" si="694"/>
        <v>31.212600000000009</v>
      </c>
      <c r="CB82" s="27">
        <f t="shared" ca="1" si="694"/>
        <v>127.26703999999998</v>
      </c>
      <c r="CC82" s="27">
        <f t="shared" ca="1" si="694"/>
        <v>134.62045999999998</v>
      </c>
      <c r="CD82" s="27">
        <f t="shared" ca="1" si="694"/>
        <v>97.98275000000001</v>
      </c>
      <c r="CE82" s="27">
        <f t="shared" ca="1" si="694"/>
        <v>100.20571000000004</v>
      </c>
      <c r="CF82" s="27">
        <f t="shared" ca="1" si="694"/>
        <v>158.74802999999994</v>
      </c>
      <c r="CG82" s="27">
        <f t="shared" ca="1" si="694"/>
        <v>141.15021999999999</v>
      </c>
      <c r="CH82" s="27">
        <f t="shared" ca="1" si="694"/>
        <v>137.96598</v>
      </c>
      <c r="CI82" s="27">
        <f t="shared" ca="1" si="694"/>
        <v>144.70499999999998</v>
      </c>
      <c r="CJ82" s="27">
        <f t="shared" ca="1" si="694"/>
        <v>145.029</v>
      </c>
      <c r="CK82" s="27">
        <f t="shared" ca="1" si="694"/>
        <v>145.029</v>
      </c>
      <c r="CL82" s="27">
        <f t="shared" ca="1" si="694"/>
        <v>145.42499999999995</v>
      </c>
      <c r="CM82" s="27">
        <f t="shared" ca="1" si="694"/>
        <v>145.42499999999995</v>
      </c>
      <c r="CN82" s="27">
        <f t="shared" ca="1" si="694"/>
        <v>145.905</v>
      </c>
      <c r="CO82" s="27">
        <f t="shared" ca="1" si="694"/>
        <v>145.905</v>
      </c>
      <c r="CP82" s="27">
        <f t="shared" ca="1" si="694"/>
        <v>158.25599999999997</v>
      </c>
      <c r="CQ82" s="27">
        <f t="shared" ca="1" si="694"/>
        <v>159.27499999999998</v>
      </c>
      <c r="CR82" s="27">
        <f t="shared" ca="1" si="694"/>
        <v>139.30799999999994</v>
      </c>
      <c r="CS82" s="27">
        <f t="shared" ca="1" si="694"/>
        <v>121.59599999999995</v>
      </c>
      <c r="CT82" s="27">
        <f t="shared" ca="1" si="694"/>
        <v>167.08699999999996</v>
      </c>
      <c r="CU82" s="27">
        <f t="shared" ca="1" si="694"/>
        <v>170.31399999999999</v>
      </c>
      <c r="CV82" s="27">
        <f t="shared" ca="1" si="694"/>
        <v>170.98599999999996</v>
      </c>
      <c r="CW82" s="27">
        <f t="shared" ca="1" si="694"/>
        <v>170.98599999999996</v>
      </c>
      <c r="CX82" s="27">
        <f t="shared" ca="1" si="694"/>
        <v>142.03799999999995</v>
      </c>
      <c r="CY82" s="27">
        <f t="shared" ca="1" si="694"/>
        <v>169.083</v>
      </c>
      <c r="CZ82" s="27">
        <f t="shared" ca="1" si="694"/>
        <v>143.70399999999995</v>
      </c>
      <c r="DA82" s="27">
        <f t="shared" ca="1" si="694"/>
        <v>168.303</v>
      </c>
      <c r="DB82" s="27">
        <f t="shared" ca="1" si="694"/>
        <v>186.80699999999999</v>
      </c>
      <c r="DC82" s="27">
        <f t="shared" ref="DC82:EH82" ca="1" si="695">+DC79-DC56</f>
        <v>218.85199999999992</v>
      </c>
      <c r="DD82" s="27">
        <f t="shared" ca="1" si="695"/>
        <v>218.85199999999992</v>
      </c>
      <c r="DE82" s="27">
        <f t="shared" ca="1" si="695"/>
        <v>219.39599999999993</v>
      </c>
      <c r="DF82" s="27">
        <f t="shared" ca="1" si="695"/>
        <v>220.27699999999993</v>
      </c>
      <c r="DG82" s="27">
        <f t="shared" ca="1" si="695"/>
        <v>220.81699999999995</v>
      </c>
      <c r="DH82" s="27">
        <f t="shared" ca="1" si="695"/>
        <v>221.69200000000001</v>
      </c>
      <c r="DI82" s="27">
        <f t="shared" ca="1" si="695"/>
        <v>222.27499999999998</v>
      </c>
      <c r="DJ82" s="27">
        <f t="shared" ca="1" si="695"/>
        <v>223.39300000000006</v>
      </c>
      <c r="DK82" s="27">
        <f t="shared" ca="1" si="695"/>
        <v>223.94200000000006</v>
      </c>
      <c r="DL82" s="27">
        <f t="shared" ca="1" si="695"/>
        <v>223.94200000000006</v>
      </c>
      <c r="DM82" s="27">
        <f t="shared" ca="1" si="695"/>
        <v>224.42400000000004</v>
      </c>
      <c r="DN82" s="27">
        <f t="shared" ca="1" si="695"/>
        <v>214.11900000000006</v>
      </c>
      <c r="DO82" s="27">
        <f t="shared" ca="1" si="695"/>
        <v>224.33200000000002</v>
      </c>
      <c r="DP82" s="27">
        <f t="shared" ca="1" si="695"/>
        <v>224.33200000000002</v>
      </c>
      <c r="DQ82" s="27">
        <f t="shared" ca="1" si="695"/>
        <v>224.89200000000005</v>
      </c>
      <c r="DR82" s="27">
        <f t="shared" ca="1" si="695"/>
        <v>225.80000000000007</v>
      </c>
      <c r="DS82" s="27">
        <f t="shared" ca="1" si="695"/>
        <v>226.27000000000004</v>
      </c>
      <c r="DT82" s="27">
        <f t="shared" ca="1" si="695"/>
        <v>227.18</v>
      </c>
      <c r="DU82" s="27">
        <f t="shared" ca="1" si="695"/>
        <v>227.85000000000002</v>
      </c>
      <c r="DV82" s="27">
        <f t="shared" ca="1" si="695"/>
        <v>227.31</v>
      </c>
      <c r="DW82" s="27">
        <f t="shared" ca="1" si="695"/>
        <v>227.87600000000003</v>
      </c>
      <c r="DX82" s="27">
        <f t="shared" ca="1" si="695"/>
        <v>227.87600000000003</v>
      </c>
      <c r="DY82" s="27">
        <f t="shared" ca="1" si="695"/>
        <v>228.37300000000002</v>
      </c>
      <c r="DZ82" s="27">
        <f t="shared" ca="1" si="695"/>
        <v>228.79700000000003</v>
      </c>
      <c r="EA82" s="27">
        <f t="shared" ca="1" si="695"/>
        <v>229.82700000000003</v>
      </c>
      <c r="EB82" s="27">
        <f t="shared" ca="1" si="695"/>
        <v>229.82700000000003</v>
      </c>
      <c r="EC82" s="27">
        <f t="shared" ca="1" si="695"/>
        <v>230.404</v>
      </c>
      <c r="ED82" s="27">
        <f t="shared" ca="1" si="695"/>
        <v>231.34000000000003</v>
      </c>
      <c r="EE82" s="27">
        <f t="shared" ca="1" si="695"/>
        <v>210.88600000000005</v>
      </c>
      <c r="EF82" s="27">
        <f t="shared" ca="1" si="695"/>
        <v>200.41200000000009</v>
      </c>
      <c r="EG82" s="27">
        <f t="shared" ca="1" si="695"/>
        <v>231.90200000000004</v>
      </c>
      <c r="EH82" s="27">
        <f t="shared" ca="1" si="695"/>
        <v>232.79400000000007</v>
      </c>
      <c r="EI82" s="27">
        <f t="shared" ref="EI82:FN82" ca="1" si="696">+EI79-EI56</f>
        <v>233.37600000000003</v>
      </c>
      <c r="EJ82" s="27">
        <f t="shared" ca="1" si="696"/>
        <v>233.37600000000003</v>
      </c>
      <c r="EK82" s="27">
        <f t="shared" ca="1" si="696"/>
        <v>233.88800000000001</v>
      </c>
      <c r="EL82" s="27">
        <f t="shared" ca="1" si="696"/>
        <v>234.32399999999998</v>
      </c>
      <c r="EM82" s="27">
        <f t="shared" ca="1" si="696"/>
        <v>235.38600000000005</v>
      </c>
      <c r="EN82" s="27">
        <f t="shared" ca="1" si="696"/>
        <v>235.38600000000005</v>
      </c>
      <c r="EO82" s="27">
        <f t="shared" ca="1" si="696"/>
        <v>235.98000000000002</v>
      </c>
      <c r="EP82" s="27">
        <f t="shared" ca="1" si="696"/>
        <v>237.25399999999999</v>
      </c>
      <c r="EQ82" s="27">
        <f t="shared" ca="1" si="696"/>
        <v>217.15000000000003</v>
      </c>
      <c r="ER82" s="27">
        <f t="shared" ca="1" si="696"/>
        <v>233.73599999999999</v>
      </c>
      <c r="ES82" s="27">
        <f t="shared" ca="1" si="696"/>
        <v>234.97899999999998</v>
      </c>
      <c r="ET82" s="27">
        <f t="shared" ca="1" si="696"/>
        <v>235.62299999999993</v>
      </c>
      <c r="EU82" s="27">
        <f t="shared" ca="1" si="696"/>
        <v>236.22299999999996</v>
      </c>
      <c r="EV82" s="27">
        <f t="shared" ca="1" si="696"/>
        <v>236.22299999999996</v>
      </c>
      <c r="EW82" s="27">
        <f t="shared" ca="1" si="696"/>
        <v>236.74999999999989</v>
      </c>
      <c r="EX82" s="27">
        <f t="shared" ca="1" si="696"/>
        <v>223.13399999999996</v>
      </c>
      <c r="EY82" s="27">
        <f t="shared" ca="1" si="696"/>
        <v>213.32199999999989</v>
      </c>
      <c r="EZ82" s="27">
        <f t="shared" ca="1" si="696"/>
        <v>234.49099999999987</v>
      </c>
      <c r="FA82" s="27">
        <f t="shared" ca="1" si="696"/>
        <v>203.44199999999989</v>
      </c>
      <c r="FB82" s="27">
        <f t="shared" ca="1" si="696"/>
        <v>180.56099999999998</v>
      </c>
      <c r="FC82" s="27">
        <f t="shared" ca="1" si="696"/>
        <v>228.92199999999997</v>
      </c>
      <c r="FD82" s="27">
        <f t="shared" ca="1" si="696"/>
        <v>229.69499999999994</v>
      </c>
      <c r="FE82" s="27">
        <f t="shared" ca="1" si="696"/>
        <v>230.32099999999997</v>
      </c>
      <c r="FF82" s="27">
        <f t="shared" ca="1" si="696"/>
        <v>230.61100000000002</v>
      </c>
      <c r="FG82" s="27">
        <f t="shared" ca="1" si="696"/>
        <v>199.00900000000001</v>
      </c>
      <c r="FH82" s="27">
        <f t="shared" ca="1" si="696"/>
        <v>228.31599999999997</v>
      </c>
      <c r="FI82" s="27">
        <f t="shared" ca="1" si="696"/>
        <v>200.50400000000002</v>
      </c>
      <c r="FJ82" s="27">
        <f t="shared" ca="1" si="696"/>
        <v>226.51699999999997</v>
      </c>
      <c r="FK82" s="27">
        <f t="shared" ca="1" si="696"/>
        <v>164.39300000000003</v>
      </c>
      <c r="FL82" s="27">
        <f t="shared" ca="1" si="696"/>
        <v>183.86300000000003</v>
      </c>
      <c r="FM82" s="27">
        <f t="shared" ca="1" si="696"/>
        <v>217.24100000000001</v>
      </c>
      <c r="FN82" s="27">
        <f t="shared" ca="1" si="696"/>
        <v>217.785</v>
      </c>
      <c r="FO82" s="27">
        <f t="shared" ref="FO82:GT82" ca="1" si="697">+FO79-FO56</f>
        <v>218.72799999999998</v>
      </c>
      <c r="FP82" s="27">
        <f t="shared" ca="1" si="697"/>
        <v>219.52499999999998</v>
      </c>
      <c r="FQ82" s="27">
        <f t="shared" ca="1" si="697"/>
        <v>220.16899999999998</v>
      </c>
      <c r="FR82" s="27">
        <f t="shared" ca="1" si="697"/>
        <v>221.02000000000004</v>
      </c>
      <c r="FS82" s="27">
        <f t="shared" ca="1" si="697"/>
        <v>221.02000000000004</v>
      </c>
      <c r="FT82" s="27">
        <f t="shared" ca="1" si="697"/>
        <v>221.56800000000004</v>
      </c>
      <c r="FU82" s="27">
        <f t="shared" ca="1" si="697"/>
        <v>221.56800000000004</v>
      </c>
      <c r="FV82" s="27">
        <f t="shared" ca="1" si="697"/>
        <v>222.27799999999999</v>
      </c>
      <c r="FW82" s="27">
        <f t="shared" ca="1" si="697"/>
        <v>212.05300000000003</v>
      </c>
      <c r="FX82" s="27">
        <f t="shared" ca="1" si="697"/>
        <v>222.58399999999995</v>
      </c>
      <c r="FY82" s="27">
        <f t="shared" ca="1" si="697"/>
        <v>222.93300000000002</v>
      </c>
      <c r="FZ82" s="27">
        <f t="shared" ca="1" si="697"/>
        <v>223.49399999999994</v>
      </c>
      <c r="GA82" s="27">
        <f t="shared" ca="1" si="697"/>
        <v>224.10399999999998</v>
      </c>
      <c r="GB82" s="27">
        <f t="shared" ca="1" si="697"/>
        <v>224.92499999999998</v>
      </c>
      <c r="GC82" s="27">
        <f t="shared" ca="1" si="697"/>
        <v>226.28099999999992</v>
      </c>
      <c r="GD82" s="27">
        <f t="shared" ca="1" si="697"/>
        <v>227.13499999999993</v>
      </c>
      <c r="GE82" s="27">
        <f t="shared" ca="1" si="697"/>
        <v>227.13499999999993</v>
      </c>
      <c r="GF82" s="27">
        <f t="shared" ca="1" si="697"/>
        <v>227.70099999999999</v>
      </c>
      <c r="GG82" s="27">
        <f t="shared" ca="1" si="697"/>
        <v>227.70099999999999</v>
      </c>
      <c r="GH82" s="27">
        <f t="shared" ca="1" si="697"/>
        <v>228.43099999999995</v>
      </c>
      <c r="GI82" s="27">
        <f t="shared" ca="1" si="697"/>
        <v>228.75</v>
      </c>
      <c r="GJ82" s="27">
        <f t="shared" ca="1" si="697"/>
        <v>229.66499999999996</v>
      </c>
      <c r="GK82" s="27">
        <f t="shared" ca="1" si="697"/>
        <v>230.02399999999997</v>
      </c>
      <c r="GL82" s="27">
        <f t="shared" ca="1" si="697"/>
        <v>230.601</v>
      </c>
      <c r="GM82" s="27">
        <f t="shared" ca="1" si="697"/>
        <v>231.47899999999993</v>
      </c>
      <c r="GN82" s="27">
        <f t="shared" ca="1" si="697"/>
        <v>203.10999999999993</v>
      </c>
      <c r="GO82" s="27">
        <f t="shared" ca="1" si="697"/>
        <v>194.13099999999994</v>
      </c>
      <c r="GP82" s="27">
        <f t="shared" ca="1" si="697"/>
        <v>226.846</v>
      </c>
      <c r="GQ82" s="27">
        <f t="shared" ca="1" si="697"/>
        <v>226.846</v>
      </c>
      <c r="GR82" s="27">
        <f t="shared" ca="1" si="697"/>
        <v>227.42700000000002</v>
      </c>
      <c r="GS82" s="27">
        <f t="shared" ca="1" si="697"/>
        <v>227.42700000000002</v>
      </c>
      <c r="GT82" s="27">
        <f t="shared" ca="1" si="697"/>
        <v>228.18</v>
      </c>
      <c r="GU82" s="27"/>
      <c r="GV82" s="27"/>
      <c r="GW82" s="27"/>
      <c r="GX82" s="27"/>
      <c r="GY82" s="27"/>
      <c r="GZ82" s="27"/>
      <c r="HA82" s="27"/>
      <c r="HB82" s="27"/>
      <c r="HC82" s="27"/>
      <c r="HD82" s="27"/>
      <c r="HE82" s="27"/>
      <c r="HF82" s="1" t="s">
        <v>212</v>
      </c>
      <c r="HG82" s="139" t="e">
        <f t="shared" si="691"/>
        <v>#REF!</v>
      </c>
      <c r="HH82" s="141" t="str">
        <f>B82</f>
        <v>NOI With Free Rent</v>
      </c>
      <c r="HL82" s="97"/>
      <c r="HN82" s="165"/>
      <c r="HO82" s="166"/>
      <c r="HP82" s="166"/>
      <c r="HQ82" s="166"/>
      <c r="HR82" s="166"/>
      <c r="HS82" s="166"/>
      <c r="HT82" s="166"/>
      <c r="HU82" s="166"/>
      <c r="HV82" s="166"/>
      <c r="HW82"/>
    </row>
    <row r="83" spans="2:231" ht="15" outlineLevel="1">
      <c r="B83" s="141" t="s">
        <v>108</v>
      </c>
      <c r="I83" s="97"/>
      <c r="K83" s="167">
        <f>K79-K82</f>
        <v>0</v>
      </c>
      <c r="L83" s="27">
        <f t="shared" ref="L83:BW83" si="698">L79-L82</f>
        <v>0</v>
      </c>
      <c r="M83" s="27">
        <f t="shared" si="698"/>
        <v>0</v>
      </c>
      <c r="N83" s="27">
        <f t="shared" si="698"/>
        <v>0</v>
      </c>
      <c r="O83" s="27">
        <f t="shared" si="698"/>
        <v>0</v>
      </c>
      <c r="P83" s="27">
        <f t="shared" si="698"/>
        <v>0</v>
      </c>
      <c r="Q83" s="27">
        <f t="shared" si="698"/>
        <v>0</v>
      </c>
      <c r="R83" s="27">
        <f t="shared" si="698"/>
        <v>0</v>
      </c>
      <c r="S83" s="27">
        <f t="shared" si="698"/>
        <v>0</v>
      </c>
      <c r="T83" s="27">
        <f t="shared" si="698"/>
        <v>0</v>
      </c>
      <c r="U83" s="27">
        <f t="shared" si="698"/>
        <v>0</v>
      </c>
      <c r="V83" s="27">
        <f t="shared" si="698"/>
        <v>-53.115000000000009</v>
      </c>
      <c r="W83" s="27">
        <f t="shared" si="698"/>
        <v>0</v>
      </c>
      <c r="X83" s="27">
        <f t="shared" si="698"/>
        <v>0</v>
      </c>
      <c r="Y83" s="27">
        <f t="shared" si="698"/>
        <v>0</v>
      </c>
      <c r="Z83" s="27">
        <f t="shared" si="698"/>
        <v>0</v>
      </c>
      <c r="AA83" s="27">
        <f t="shared" si="698"/>
        <v>0</v>
      </c>
      <c r="AB83" s="27">
        <f t="shared" si="698"/>
        <v>-33.858750000000001</v>
      </c>
      <c r="AC83" s="27">
        <f t="shared" si="698"/>
        <v>-5.6539999999999964</v>
      </c>
      <c r="AD83" s="27">
        <f t="shared" si="698"/>
        <v>0</v>
      </c>
      <c r="AE83" s="27">
        <f t="shared" si="698"/>
        <v>0</v>
      </c>
      <c r="AF83" s="27">
        <f t="shared" si="698"/>
        <v>-20.547429999999991</v>
      </c>
      <c r="AG83" s="27">
        <f t="shared" si="698"/>
        <v>-20.547429999999991</v>
      </c>
      <c r="AH83" s="27">
        <f t="shared" si="698"/>
        <v>-20.547429999999991</v>
      </c>
      <c r="AI83" s="27">
        <f t="shared" si="698"/>
        <v>-20.547430000000006</v>
      </c>
      <c r="AJ83" s="27">
        <f t="shared" si="698"/>
        <v>-20.547430000000006</v>
      </c>
      <c r="AK83" s="27">
        <f t="shared" si="698"/>
        <v>-32.301760000000002</v>
      </c>
      <c r="AL83" s="27">
        <f t="shared" si="698"/>
        <v>0</v>
      </c>
      <c r="AM83" s="27">
        <f t="shared" si="698"/>
        <v>2.6564999999999941</v>
      </c>
      <c r="AN83" s="27">
        <f t="shared" si="698"/>
        <v>0</v>
      </c>
      <c r="AO83" s="27">
        <f t="shared" si="698"/>
        <v>-39.682370000000006</v>
      </c>
      <c r="AP83" s="27">
        <f t="shared" si="698"/>
        <v>0</v>
      </c>
      <c r="AQ83" s="27">
        <f t="shared" si="698"/>
        <v>0</v>
      </c>
      <c r="AR83" s="27">
        <f t="shared" si="698"/>
        <v>-15.037229999999994</v>
      </c>
      <c r="AS83" s="27">
        <f t="shared" si="698"/>
        <v>0</v>
      </c>
      <c r="AT83" s="27">
        <f t="shared" si="698"/>
        <v>0</v>
      </c>
      <c r="AU83" s="27">
        <f t="shared" si="698"/>
        <v>0</v>
      </c>
      <c r="AV83" s="27">
        <f t="shared" si="698"/>
        <v>0</v>
      </c>
      <c r="AW83" s="27">
        <f t="shared" si="698"/>
        <v>-11.247180000000014</v>
      </c>
      <c r="AX83" s="27">
        <f t="shared" si="698"/>
        <v>0</v>
      </c>
      <c r="AY83" s="27">
        <f t="shared" si="698"/>
        <v>0</v>
      </c>
      <c r="AZ83" s="27">
        <f t="shared" si="698"/>
        <v>-64.287750000000003</v>
      </c>
      <c r="BA83" s="27">
        <f t="shared" si="698"/>
        <v>-17.90182999999999</v>
      </c>
      <c r="BB83" s="27">
        <f t="shared" si="698"/>
        <v>-5.9517500000000041</v>
      </c>
      <c r="BC83" s="27">
        <f t="shared" si="698"/>
        <v>0</v>
      </c>
      <c r="BD83" s="27">
        <f t="shared" si="698"/>
        <v>-15.488339999999994</v>
      </c>
      <c r="BE83" s="27">
        <f t="shared" si="698"/>
        <v>0</v>
      </c>
      <c r="BF83" s="27">
        <f t="shared" si="698"/>
        <v>0</v>
      </c>
      <c r="BG83" s="27">
        <f t="shared" si="698"/>
        <v>0</v>
      </c>
      <c r="BH83" s="27">
        <f t="shared" si="698"/>
        <v>0</v>
      </c>
      <c r="BI83" s="27">
        <f t="shared" si="698"/>
        <v>-11.24718</v>
      </c>
      <c r="BJ83" s="27">
        <f t="shared" si="698"/>
        <v>0</v>
      </c>
      <c r="BK83" s="27">
        <f t="shared" si="698"/>
        <v>0</v>
      </c>
      <c r="BL83" s="27">
        <f t="shared" ca="1" si="698"/>
        <v>-33.858750000000001</v>
      </c>
      <c r="BM83" s="27">
        <f t="shared" ca="1" si="698"/>
        <v>0</v>
      </c>
      <c r="BN83" s="27">
        <f t="shared" ca="1" si="698"/>
        <v>-14.155140000000003</v>
      </c>
      <c r="BO83" s="27">
        <f t="shared" ca="1" si="698"/>
        <v>0</v>
      </c>
      <c r="BP83" s="27">
        <f t="shared" ca="1" si="698"/>
        <v>0</v>
      </c>
      <c r="BQ83" s="27">
        <f t="shared" ca="1" si="698"/>
        <v>0</v>
      </c>
      <c r="BR83" s="27">
        <f t="shared" ca="1" si="698"/>
        <v>0</v>
      </c>
      <c r="BS83" s="27">
        <f t="shared" ca="1" si="698"/>
        <v>0</v>
      </c>
      <c r="BT83" s="27">
        <f t="shared" ca="1" si="698"/>
        <v>0</v>
      </c>
      <c r="BU83" s="27">
        <f t="shared" ca="1" si="698"/>
        <v>-11.24718</v>
      </c>
      <c r="BV83" s="27">
        <f t="shared" ca="1" si="698"/>
        <v>0</v>
      </c>
      <c r="BW83" s="27">
        <f t="shared" ca="1" si="698"/>
        <v>0</v>
      </c>
      <c r="BX83" s="27">
        <f t="shared" ref="BX83:CE83" ca="1" si="699">BX79-BX82</f>
        <v>0</v>
      </c>
      <c r="BY83" s="27">
        <f t="shared" ca="1" si="699"/>
        <v>0</v>
      </c>
      <c r="BZ83" s="27">
        <f t="shared" ca="1" si="699"/>
        <v>0</v>
      </c>
      <c r="CA83" s="27">
        <f t="shared" ca="1" si="699"/>
        <v>-15.95299</v>
      </c>
      <c r="CB83" s="27">
        <f t="shared" ca="1" si="699"/>
        <v>0</v>
      </c>
      <c r="CC83" s="27">
        <f t="shared" ca="1" si="699"/>
        <v>0</v>
      </c>
      <c r="CD83" s="27">
        <f t="shared" ca="1" si="699"/>
        <v>0</v>
      </c>
      <c r="CE83" s="27">
        <f t="shared" ca="1" si="699"/>
        <v>0</v>
      </c>
      <c r="CF83" s="27">
        <f t="shared" ref="CF83:EL83" ca="1" si="700">CF79-CF82</f>
        <v>0</v>
      </c>
      <c r="CG83" s="27">
        <f t="shared" ca="1" si="700"/>
        <v>-11.247180000000014</v>
      </c>
      <c r="CH83" s="27">
        <f t="shared" ca="1" si="700"/>
        <v>-10.383749999999992</v>
      </c>
      <c r="CI83" s="27">
        <f t="shared" ca="1" si="700"/>
        <v>-27.127999999999986</v>
      </c>
      <c r="CJ83" s="27">
        <f t="shared" ca="1" si="700"/>
        <v>0</v>
      </c>
      <c r="CK83" s="27">
        <f t="shared" ca="1" si="700"/>
        <v>0</v>
      </c>
      <c r="CL83" s="27">
        <f t="shared" ca="1" si="700"/>
        <v>0</v>
      </c>
      <c r="CM83" s="27">
        <f t="shared" ca="1" si="700"/>
        <v>0</v>
      </c>
      <c r="CN83" s="27">
        <f t="shared" ca="1" si="700"/>
        <v>0</v>
      </c>
      <c r="CO83" s="27">
        <f t="shared" ca="1" si="700"/>
        <v>0</v>
      </c>
      <c r="CP83" s="27">
        <f t="shared" ca="1" si="700"/>
        <v>0</v>
      </c>
      <c r="CQ83" s="27">
        <f t="shared" ca="1" si="700"/>
        <v>0</v>
      </c>
      <c r="CR83" s="27">
        <f t="shared" ca="1" si="700"/>
        <v>0</v>
      </c>
      <c r="CS83" s="27">
        <f t="shared" ca="1" si="700"/>
        <v>0</v>
      </c>
      <c r="CT83" s="27">
        <f t="shared" ca="1" si="700"/>
        <v>0</v>
      </c>
      <c r="CU83" s="27">
        <f t="shared" ca="1" si="700"/>
        <v>-6.7750000000000057</v>
      </c>
      <c r="CV83" s="27">
        <f t="shared" ca="1" si="700"/>
        <v>0</v>
      </c>
      <c r="CW83" s="27">
        <f t="shared" ca="1" si="700"/>
        <v>0</v>
      </c>
      <c r="CX83" s="27">
        <f t="shared" ca="1" si="700"/>
        <v>0</v>
      </c>
      <c r="CY83" s="27">
        <f t="shared" ca="1" si="700"/>
        <v>0</v>
      </c>
      <c r="CZ83" s="27">
        <f t="shared" ca="1" si="700"/>
        <v>0</v>
      </c>
      <c r="DA83" s="27">
        <f t="shared" ca="1" si="700"/>
        <v>0</v>
      </c>
      <c r="DB83" s="27">
        <f t="shared" ca="1" si="700"/>
        <v>0</v>
      </c>
      <c r="DC83" s="27">
        <f t="shared" ca="1" si="700"/>
        <v>0</v>
      </c>
      <c r="DD83" s="27">
        <f t="shared" ca="1" si="700"/>
        <v>0</v>
      </c>
      <c r="DE83" s="27">
        <f t="shared" ca="1" si="700"/>
        <v>0</v>
      </c>
      <c r="DF83" s="27">
        <f t="shared" ca="1" si="700"/>
        <v>0</v>
      </c>
      <c r="DG83" s="27">
        <f t="shared" ca="1" si="700"/>
        <v>0</v>
      </c>
      <c r="DH83" s="27">
        <f t="shared" ca="1" si="700"/>
        <v>0</v>
      </c>
      <c r="DI83" s="27">
        <f t="shared" ca="1" si="700"/>
        <v>0</v>
      </c>
      <c r="DJ83" s="27">
        <f t="shared" ca="1" si="700"/>
        <v>0</v>
      </c>
      <c r="DK83" s="27">
        <f t="shared" ca="1" si="700"/>
        <v>0</v>
      </c>
      <c r="DL83" s="27">
        <f t="shared" ca="1" si="700"/>
        <v>0</v>
      </c>
      <c r="DM83" s="27">
        <f t="shared" ca="1" si="700"/>
        <v>0</v>
      </c>
      <c r="DN83" s="27">
        <f t="shared" ca="1" si="700"/>
        <v>0</v>
      </c>
      <c r="DO83" s="27">
        <f t="shared" ca="1" si="700"/>
        <v>0</v>
      </c>
      <c r="DP83" s="27">
        <f t="shared" ca="1" si="700"/>
        <v>0</v>
      </c>
      <c r="DQ83" s="27">
        <f t="shared" ca="1" si="700"/>
        <v>0</v>
      </c>
      <c r="DR83" s="27">
        <f t="shared" ca="1" si="700"/>
        <v>0</v>
      </c>
      <c r="DS83" s="27">
        <f t="shared" ca="1" si="700"/>
        <v>0</v>
      </c>
      <c r="DT83" s="27">
        <f t="shared" ca="1" si="700"/>
        <v>0</v>
      </c>
      <c r="DU83" s="27">
        <f t="shared" ca="1" si="700"/>
        <v>0</v>
      </c>
      <c r="DV83" s="27">
        <f t="shared" ca="1" si="700"/>
        <v>0</v>
      </c>
      <c r="DW83" s="27">
        <f t="shared" ca="1" si="700"/>
        <v>0</v>
      </c>
      <c r="DX83" s="27">
        <f t="shared" ca="1" si="700"/>
        <v>0</v>
      </c>
      <c r="DY83" s="27">
        <f t="shared" ca="1" si="700"/>
        <v>0</v>
      </c>
      <c r="DZ83" s="27">
        <f t="shared" ca="1" si="700"/>
        <v>0</v>
      </c>
      <c r="EA83" s="27">
        <f t="shared" ca="1" si="700"/>
        <v>0</v>
      </c>
      <c r="EB83" s="27">
        <f t="shared" ca="1" si="700"/>
        <v>0</v>
      </c>
      <c r="EC83" s="27">
        <f t="shared" ca="1" si="700"/>
        <v>0</v>
      </c>
      <c r="ED83" s="27">
        <f t="shared" ca="1" si="700"/>
        <v>0</v>
      </c>
      <c r="EE83" s="27">
        <f t="shared" ca="1" si="700"/>
        <v>0</v>
      </c>
      <c r="EF83" s="27">
        <f t="shared" ca="1" si="700"/>
        <v>0</v>
      </c>
      <c r="EG83" s="27">
        <f t="shared" ca="1" si="700"/>
        <v>0</v>
      </c>
      <c r="EH83" s="27">
        <f t="shared" ca="1" si="700"/>
        <v>0</v>
      </c>
      <c r="EI83" s="27">
        <f t="shared" ca="1" si="700"/>
        <v>0</v>
      </c>
      <c r="EJ83" s="27">
        <f t="shared" ca="1" si="700"/>
        <v>0</v>
      </c>
      <c r="EK83" s="27">
        <f t="shared" ca="1" si="700"/>
        <v>0</v>
      </c>
      <c r="EL83" s="27">
        <f t="shared" ca="1" si="700"/>
        <v>0</v>
      </c>
      <c r="EM83" s="27">
        <f t="shared" ref="EM83:FD83" ca="1" si="701">EM79-EM82</f>
        <v>0</v>
      </c>
      <c r="EN83" s="27">
        <f t="shared" ca="1" si="701"/>
        <v>0</v>
      </c>
      <c r="EO83" s="27">
        <f t="shared" ca="1" si="701"/>
        <v>0</v>
      </c>
      <c r="EP83" s="27">
        <f t="shared" ca="1" si="701"/>
        <v>0</v>
      </c>
      <c r="EQ83" s="27">
        <f t="shared" ca="1" si="701"/>
        <v>0</v>
      </c>
      <c r="ER83" s="27">
        <f t="shared" ca="1" si="701"/>
        <v>0</v>
      </c>
      <c r="ES83" s="27">
        <f t="shared" ca="1" si="701"/>
        <v>0</v>
      </c>
      <c r="ET83" s="27">
        <f t="shared" ca="1" si="701"/>
        <v>0</v>
      </c>
      <c r="EU83" s="27">
        <f t="shared" ca="1" si="701"/>
        <v>0</v>
      </c>
      <c r="EV83" s="27">
        <f t="shared" ca="1" si="701"/>
        <v>0</v>
      </c>
      <c r="EW83" s="27">
        <f t="shared" ca="1" si="701"/>
        <v>0</v>
      </c>
      <c r="EX83" s="27">
        <f t="shared" ca="1" si="701"/>
        <v>0</v>
      </c>
      <c r="EY83" s="27">
        <f t="shared" ca="1" si="701"/>
        <v>0</v>
      </c>
      <c r="EZ83" s="27">
        <f t="shared" ca="1" si="701"/>
        <v>0</v>
      </c>
      <c r="FA83" s="27">
        <f t="shared" ca="1" si="701"/>
        <v>0</v>
      </c>
      <c r="FB83" s="27">
        <f t="shared" ca="1" si="701"/>
        <v>0</v>
      </c>
      <c r="FC83" s="27">
        <f t="shared" ca="1" si="701"/>
        <v>0</v>
      </c>
      <c r="FD83" s="27">
        <f t="shared" ca="1" si="701"/>
        <v>0</v>
      </c>
      <c r="FE83" s="27">
        <f t="shared" ref="FE83:FI83" ca="1" si="702">FE79-FE82</f>
        <v>0</v>
      </c>
      <c r="FF83" s="27">
        <f t="shared" ca="1" si="702"/>
        <v>0</v>
      </c>
      <c r="FG83" s="27">
        <f t="shared" ca="1" si="702"/>
        <v>0</v>
      </c>
      <c r="FH83" s="27">
        <f t="shared" ca="1" si="702"/>
        <v>0</v>
      </c>
      <c r="FI83" s="27">
        <f t="shared" ca="1" si="702"/>
        <v>0</v>
      </c>
      <c r="FJ83" s="27">
        <f t="shared" ref="FJ83:GC83" ca="1" si="703">FJ79-FJ82</f>
        <v>0</v>
      </c>
      <c r="FK83" s="27">
        <f t="shared" ca="1" si="703"/>
        <v>0</v>
      </c>
      <c r="FL83" s="27">
        <f t="shared" ca="1" si="703"/>
        <v>0</v>
      </c>
      <c r="FM83" s="27">
        <f t="shared" ca="1" si="703"/>
        <v>0</v>
      </c>
      <c r="FN83" s="27">
        <f t="shared" ca="1" si="703"/>
        <v>0</v>
      </c>
      <c r="FO83" s="27">
        <f t="shared" ca="1" si="703"/>
        <v>0</v>
      </c>
      <c r="FP83" s="27">
        <f t="shared" ca="1" si="703"/>
        <v>0</v>
      </c>
      <c r="FQ83" s="27">
        <f t="shared" ca="1" si="703"/>
        <v>0</v>
      </c>
      <c r="FR83" s="27">
        <f t="shared" ca="1" si="703"/>
        <v>0</v>
      </c>
      <c r="FS83" s="27">
        <f t="shared" ca="1" si="703"/>
        <v>0</v>
      </c>
      <c r="FT83" s="27">
        <f t="shared" ca="1" si="703"/>
        <v>0</v>
      </c>
      <c r="FU83" s="27">
        <f t="shared" ca="1" si="703"/>
        <v>0</v>
      </c>
      <c r="FV83" s="27">
        <f t="shared" ca="1" si="703"/>
        <v>0</v>
      </c>
      <c r="FW83" s="27">
        <f t="shared" ca="1" si="703"/>
        <v>0</v>
      </c>
      <c r="FX83" s="27">
        <f t="shared" ca="1" si="703"/>
        <v>0</v>
      </c>
      <c r="FY83" s="27">
        <f t="shared" ca="1" si="703"/>
        <v>0</v>
      </c>
      <c r="FZ83" s="27">
        <f t="shared" ca="1" si="703"/>
        <v>0</v>
      </c>
      <c r="GA83" s="27">
        <f t="shared" ca="1" si="703"/>
        <v>0</v>
      </c>
      <c r="GB83" s="27">
        <f t="shared" ca="1" si="703"/>
        <v>0</v>
      </c>
      <c r="GC83" s="27">
        <f t="shared" ca="1" si="703"/>
        <v>0</v>
      </c>
      <c r="GD83" s="27">
        <f t="shared" ref="GD83:GT83" ca="1" si="704">GD79-GD82</f>
        <v>0</v>
      </c>
      <c r="GE83" s="27">
        <f t="shared" ca="1" si="704"/>
        <v>0</v>
      </c>
      <c r="GF83" s="27">
        <f t="shared" ca="1" si="704"/>
        <v>0</v>
      </c>
      <c r="GG83" s="27">
        <f t="shared" ca="1" si="704"/>
        <v>0</v>
      </c>
      <c r="GH83" s="27">
        <f t="shared" ca="1" si="704"/>
        <v>0</v>
      </c>
      <c r="GI83" s="27">
        <f t="shared" ca="1" si="704"/>
        <v>0</v>
      </c>
      <c r="GJ83" s="27">
        <f t="shared" ca="1" si="704"/>
        <v>0</v>
      </c>
      <c r="GK83" s="27">
        <f t="shared" ca="1" si="704"/>
        <v>0</v>
      </c>
      <c r="GL83" s="27">
        <f t="shared" ca="1" si="704"/>
        <v>0</v>
      </c>
      <c r="GM83" s="27">
        <f t="shared" ca="1" si="704"/>
        <v>0</v>
      </c>
      <c r="GN83" s="27">
        <f t="shared" ca="1" si="704"/>
        <v>0</v>
      </c>
      <c r="GO83" s="27">
        <f t="shared" ca="1" si="704"/>
        <v>0</v>
      </c>
      <c r="GP83" s="27">
        <f t="shared" ca="1" si="704"/>
        <v>0</v>
      </c>
      <c r="GQ83" s="27">
        <f t="shared" ca="1" si="704"/>
        <v>0</v>
      </c>
      <c r="GR83" s="27">
        <f t="shared" ca="1" si="704"/>
        <v>0</v>
      </c>
      <c r="GS83" s="27">
        <f t="shared" ca="1" si="704"/>
        <v>0</v>
      </c>
      <c r="GT83" s="27">
        <f t="shared" ca="1" si="704"/>
        <v>0</v>
      </c>
      <c r="GU83" s="27"/>
      <c r="GV83" s="27"/>
      <c r="GW83" s="27"/>
      <c r="GX83" s="27"/>
      <c r="GY83" s="27"/>
      <c r="GZ83" s="27"/>
      <c r="HA83" s="27"/>
      <c r="HB83" s="27"/>
      <c r="HC83" s="27"/>
      <c r="HD83" s="27"/>
      <c r="HE83" s="27"/>
      <c r="HF83" s="1" t="s">
        <v>212</v>
      </c>
      <c r="HG83" s="139" t="e">
        <f t="shared" si="691"/>
        <v>#REF!</v>
      </c>
      <c r="HH83" s="141"/>
      <c r="HL83" s="97"/>
      <c r="HN83" s="165"/>
      <c r="HO83" s="166"/>
      <c r="HP83" s="166"/>
      <c r="HQ83" s="166"/>
      <c r="HR83" s="166"/>
      <c r="HS83" s="166"/>
      <c r="HT83" s="166"/>
      <c r="HU83" s="166"/>
      <c r="HV83" s="166"/>
      <c r="HW83"/>
    </row>
    <row r="84" spans="2:231" ht="15">
      <c r="I84" s="97"/>
      <c r="HF84" s="1" t="s">
        <v>212</v>
      </c>
      <c r="HG84" s="139" t="e">
        <f t="shared" si="691"/>
        <v>#REF!</v>
      </c>
      <c r="HL84" s="97"/>
      <c r="HN84" s="102"/>
      <c r="HW84"/>
    </row>
    <row r="85" spans="2:231" ht="15">
      <c r="B85" s="33" t="s">
        <v>39</v>
      </c>
      <c r="C85" s="33"/>
      <c r="D85" s="33"/>
      <c r="E85" s="33"/>
      <c r="F85" s="33"/>
      <c r="G85" s="33"/>
      <c r="H85" s="33"/>
      <c r="I85" s="123">
        <f ca="1">SUMIF($K$13:$GT$13,"&lt;="&amp;Assumptions!$L$17,'Monthly Cash Flow'!K85:GT85)</f>
        <v>53235.704325000006</v>
      </c>
      <c r="J85" s="34"/>
      <c r="K85" s="124">
        <f>IF(K$13=Assumptions!$L$20,Assumptions!$L$31,0)</f>
        <v>0</v>
      </c>
      <c r="L85" s="34">
        <f>IF(L$13=Assumptions!$L$20,Assumptions!$L$31,0)</f>
        <v>0</v>
      </c>
      <c r="M85" s="34">
        <f>IF(M$13=Assumptions!$L$20,Assumptions!$L$31,0)</f>
        <v>0</v>
      </c>
      <c r="N85" s="34">
        <f>IF(N$13=Assumptions!$L$20,Assumptions!$L$31,0)</f>
        <v>0</v>
      </c>
      <c r="O85" s="34">
        <f>IF(O$13=Assumptions!$L$20,Assumptions!$L$31,0)</f>
        <v>0</v>
      </c>
      <c r="P85" s="34">
        <f>IF(P$13=Assumptions!$L$20,Assumptions!$L$31,0)</f>
        <v>0</v>
      </c>
      <c r="Q85" s="34">
        <f>IF(Q$13=Assumptions!$L$20,Assumptions!$L$31,0)</f>
        <v>0</v>
      </c>
      <c r="R85" s="34">
        <f>IF(R$13=Assumptions!$L$20,Assumptions!$L$31,0)</f>
        <v>0</v>
      </c>
      <c r="S85" s="34">
        <f>IF(S$13=Assumptions!$L$20,Assumptions!$L$31,0)</f>
        <v>0</v>
      </c>
      <c r="T85" s="34">
        <f>IF(T$13=Assumptions!$L$20,Assumptions!$L$31,0)</f>
        <v>0</v>
      </c>
      <c r="U85" s="34">
        <f>IF(U$13=Assumptions!$L$20,Assumptions!$L$31,0)</f>
        <v>0</v>
      </c>
      <c r="V85" s="34">
        <f>IF(V$13=Assumptions!$L$20,Assumptions!$L$31,0)</f>
        <v>0</v>
      </c>
      <c r="W85" s="34">
        <f>IF(W$13=Assumptions!$L$20,Assumptions!$L$31,0)</f>
        <v>0</v>
      </c>
      <c r="X85" s="34">
        <f>IF(X$13=Assumptions!$L$20,Assumptions!$L$31,0)</f>
        <v>0</v>
      </c>
      <c r="Y85" s="34">
        <f>IF(Y$13=Assumptions!$L$20,Assumptions!$L$31,0)</f>
        <v>0</v>
      </c>
      <c r="Z85" s="34">
        <f>IF(Z$13=Assumptions!$L$20,Assumptions!$L$31,0)</f>
        <v>0</v>
      </c>
      <c r="AA85" s="34">
        <f>IF(AA$13=Assumptions!$L$20,Assumptions!$L$31,0)</f>
        <v>0</v>
      </c>
      <c r="AB85" s="34">
        <f>IF(AB$13=Assumptions!$L$20,Assumptions!$L$31,0)</f>
        <v>0</v>
      </c>
      <c r="AC85" s="34">
        <f>IF(AC$13=Assumptions!$L$20,Assumptions!$L$31,0)</f>
        <v>0</v>
      </c>
      <c r="AD85" s="34">
        <f>IF(AD$13=Assumptions!$L$20,Assumptions!$L$31,0)</f>
        <v>0</v>
      </c>
      <c r="AE85" s="34">
        <f>IF(AE$13=Assumptions!$L$20,Assumptions!$L$31,0)</f>
        <v>0</v>
      </c>
      <c r="AF85" s="34">
        <f>IF(AF$13=Assumptions!$L$20,Assumptions!$L$31,0)</f>
        <v>0</v>
      </c>
      <c r="AG85" s="34">
        <f>IF(AG$13=Assumptions!$L$20,Assumptions!$L$31,0)</f>
        <v>0</v>
      </c>
      <c r="AH85" s="34">
        <f>IF(AH$13=Assumptions!$L$20,Assumptions!$L$31,0)</f>
        <v>0</v>
      </c>
      <c r="AI85" s="34">
        <f>IF(AI$13=Assumptions!$L$20,Assumptions!$L$31,0)</f>
        <v>0</v>
      </c>
      <c r="AJ85" s="34">
        <f>IF(AJ$13=Assumptions!$L$20,Assumptions!$L$31,0)</f>
        <v>0</v>
      </c>
      <c r="AK85" s="34">
        <f>IF(AK$13=Assumptions!$L$20,Assumptions!$L$31,0)</f>
        <v>0</v>
      </c>
      <c r="AL85" s="34">
        <f>IF(AL$13=Assumptions!$L$20,Assumptions!$L$31,0)</f>
        <v>0</v>
      </c>
      <c r="AM85" s="34">
        <f>IF(AM$13=Assumptions!$L$20,Assumptions!$L$31,0)</f>
        <v>0</v>
      </c>
      <c r="AN85" s="34">
        <f>IF(AN$13=Assumptions!$L$20,Assumptions!$L$31,0)</f>
        <v>0</v>
      </c>
      <c r="AO85" s="34">
        <f>IF(AO$13=Assumptions!$L$20,Assumptions!$L$31,0)</f>
        <v>0</v>
      </c>
      <c r="AP85" s="34">
        <f>IF(AP$13=Assumptions!$L$20,Assumptions!$L$31,0)</f>
        <v>0</v>
      </c>
      <c r="AQ85" s="34">
        <f>IF(AQ$13=Assumptions!$L$20,Assumptions!$L$31,0)</f>
        <v>0</v>
      </c>
      <c r="AR85" s="34">
        <f>IF(AR$13=Assumptions!$L$20,Assumptions!$L$31,0)</f>
        <v>0</v>
      </c>
      <c r="AS85" s="34">
        <f>IF(AS$13=Assumptions!$L$20,Assumptions!$L$31,0)</f>
        <v>0</v>
      </c>
      <c r="AT85" s="34">
        <f>IF(AT$13=Assumptions!$L$20,Assumptions!$L$31,0)</f>
        <v>0</v>
      </c>
      <c r="AU85" s="34">
        <f>IF(AU$13=Assumptions!$L$20,Assumptions!$L$31,0)</f>
        <v>0</v>
      </c>
      <c r="AV85" s="34">
        <f>IF(AV$13=Assumptions!$L$20,Assumptions!$L$31,0)</f>
        <v>0</v>
      </c>
      <c r="AW85" s="34">
        <f>IF(AW$13=Assumptions!$L$20,Assumptions!$L$31,0)</f>
        <v>0</v>
      </c>
      <c r="AX85" s="34">
        <f>IF(AX$13=Assumptions!$L$20,Assumptions!$L$31,0)</f>
        <v>0</v>
      </c>
      <c r="AY85" s="34">
        <f>IF(AY$13=Assumptions!$L$20,Assumptions!$L$31,0)</f>
        <v>0</v>
      </c>
      <c r="AZ85" s="34">
        <f>IF(AZ$13=Assumptions!$L$20,Assumptions!$L$31,0)</f>
        <v>0</v>
      </c>
      <c r="BA85" s="34">
        <f>IF(BA$13=Assumptions!$L$20,Assumptions!$L$31,0)</f>
        <v>0</v>
      </c>
      <c r="BB85" s="34">
        <f>IF(BB$13=Assumptions!$L$20,Assumptions!$L$31,0)</f>
        <v>0</v>
      </c>
      <c r="BC85" s="34">
        <f>IF(BC$13=Assumptions!$L$20,Assumptions!$L$31,0)</f>
        <v>0</v>
      </c>
      <c r="BD85" s="34">
        <f>IF(BD$13=Assumptions!$L$20,Assumptions!$L$31,0)</f>
        <v>0</v>
      </c>
      <c r="BE85" s="34">
        <f>IF(BE$13=Assumptions!$L$20,Assumptions!$L$31,0)</f>
        <v>0</v>
      </c>
      <c r="BF85" s="34">
        <f>IF(BF$13=Assumptions!$L$20,Assumptions!$L$31,0)</f>
        <v>0</v>
      </c>
      <c r="BG85" s="34">
        <f>IF(BG$13=Assumptions!$L$20,Assumptions!$L$31,0)</f>
        <v>0</v>
      </c>
      <c r="BH85" s="34">
        <f>IF(BH$13=Assumptions!$L$20,Assumptions!$L$31,0)</f>
        <v>0</v>
      </c>
      <c r="BI85" s="34">
        <f>IF(BI$13=Assumptions!$L$20,Assumptions!$L$31,0)</f>
        <v>0</v>
      </c>
      <c r="BJ85" s="34">
        <f>IF(BJ$13=Assumptions!$L$20,Assumptions!$L$31,0)</f>
        <v>0</v>
      </c>
      <c r="BK85" s="34">
        <f>IF(BK$13=Assumptions!$L$20,Assumptions!$L$31,0)</f>
        <v>0</v>
      </c>
      <c r="BL85" s="34">
        <f>IF(BL$13=Assumptions!$L$20,Assumptions!$L$31,0)</f>
        <v>0</v>
      </c>
      <c r="BM85" s="34">
        <f>IF(BM$13=Assumptions!$L$20,Assumptions!$L$31,0)</f>
        <v>0</v>
      </c>
      <c r="BN85" s="34">
        <f>IF(BN$13=Assumptions!$L$20,Assumptions!$L$31,0)</f>
        <v>0</v>
      </c>
      <c r="BO85" s="34">
        <f>IF(BO$13=Assumptions!$L$20,Assumptions!$L$31,0)</f>
        <v>0</v>
      </c>
      <c r="BP85" s="34">
        <f>IF(BP$13=Assumptions!$L$20,Assumptions!$L$31,0)</f>
        <v>0</v>
      </c>
      <c r="BQ85" s="34">
        <f>IF(BQ$13=Assumptions!$L$20,Assumptions!$L$31,0)</f>
        <v>0</v>
      </c>
      <c r="BR85" s="34">
        <f>IF(BR$13=Assumptions!$L$20,Assumptions!$L$31,0)</f>
        <v>0</v>
      </c>
      <c r="BS85" s="34">
        <f>IF(BS$13=Assumptions!$L$20,Assumptions!$L$31,0)</f>
        <v>0</v>
      </c>
      <c r="BT85" s="34">
        <f>IF(BT$13=Assumptions!$L$20,Assumptions!$L$31,0)</f>
        <v>0</v>
      </c>
      <c r="BU85" s="34">
        <f>IF(BU$13=Assumptions!$L$20,Assumptions!$L$31,0)</f>
        <v>0</v>
      </c>
      <c r="BV85" s="34">
        <f>IF(BV$13=Assumptions!$L$20,Assumptions!$L$31,0)</f>
        <v>0</v>
      </c>
      <c r="BW85" s="34">
        <f>IF(BW$13=Assumptions!$L$20,Assumptions!$L$31,0)</f>
        <v>0</v>
      </c>
      <c r="BX85" s="34">
        <f>IF(BX$13=Assumptions!$L$20,Assumptions!$L$31,0)</f>
        <v>0</v>
      </c>
      <c r="BY85" s="34">
        <f>IF(BY$13=Assumptions!$L$20,Assumptions!$L$31,0)</f>
        <v>0</v>
      </c>
      <c r="BZ85" s="34">
        <f>IF(BZ$13=Assumptions!$L$20,Assumptions!$L$31,0)</f>
        <v>0</v>
      </c>
      <c r="CA85" s="34">
        <f>IF(CA$13=Assumptions!$L$20,Assumptions!$L$31,0)</f>
        <v>0</v>
      </c>
      <c r="CB85" s="34">
        <f>IF(CB$13=Assumptions!$L$20,Assumptions!$L$31,0)</f>
        <v>0</v>
      </c>
      <c r="CC85" s="34">
        <f>IF(CC$13=Assumptions!$L$20,Assumptions!$L$31,0)</f>
        <v>0</v>
      </c>
      <c r="CD85" s="34">
        <f>IF(CD$13=Assumptions!$L$20,Assumptions!$L$31,0)</f>
        <v>0</v>
      </c>
      <c r="CE85" s="34">
        <f>IF(CE$13=Assumptions!$L$20,Assumptions!$L$31,0)</f>
        <v>0</v>
      </c>
      <c r="CF85" s="34">
        <f>IF(CF$13=Assumptions!$L$20,Assumptions!$L$31,0)</f>
        <v>0</v>
      </c>
      <c r="CG85" s="34">
        <f>IF(CG$13=Assumptions!$L$20,Assumptions!$L$31,0)</f>
        <v>0</v>
      </c>
      <c r="CH85" s="34">
        <f>IF(CH$13=Assumptions!$L$20,Assumptions!$L$31,0)</f>
        <v>0</v>
      </c>
      <c r="CI85" s="34">
        <f>IF(CI$13=Assumptions!$L$20,Assumptions!$L$31,0)</f>
        <v>0</v>
      </c>
      <c r="CJ85" s="34">
        <f>IF(CJ$13=Assumptions!$L$20,Assumptions!$L$31,0)</f>
        <v>0</v>
      </c>
      <c r="CK85" s="34">
        <f>(IF(CK$13=Assumptions!$L$20,Assumptions!$L$31,0))</f>
        <v>0</v>
      </c>
      <c r="CL85" s="34">
        <f>IF(CL$13=Assumptions!$L$20,Assumptions!$L$31,0)</f>
        <v>0</v>
      </c>
      <c r="CM85" s="34">
        <f>IF(CM$13=Assumptions!$L$20,Assumptions!$L$31,0)</f>
        <v>0</v>
      </c>
      <c r="CN85" s="34">
        <f>IF(CN$13=Assumptions!$L$20,Assumptions!$L$31,0)</f>
        <v>0</v>
      </c>
      <c r="CO85" s="34">
        <f>IF(CO$13=Assumptions!$L$20,Assumptions!$L$31,0)</f>
        <v>0</v>
      </c>
      <c r="CP85" s="34">
        <f>IF(CP$13=Assumptions!$L$20,Assumptions!$L$31,0)</f>
        <v>0</v>
      </c>
      <c r="CQ85" s="34">
        <f>IF(CQ$13=Assumptions!$L$20,Assumptions!$L$31,0)</f>
        <v>0</v>
      </c>
      <c r="CR85" s="34">
        <f>IF(CR$13=Assumptions!$L$20,Assumptions!$L$31,0)</f>
        <v>0</v>
      </c>
      <c r="CS85" s="34">
        <f>IF(CS$13=Assumptions!$L$20,Assumptions!$L$31,0)</f>
        <v>0</v>
      </c>
      <c r="CT85" s="34">
        <f>IF(CT$13=Assumptions!$L$20,Assumptions!$L$31,0)</f>
        <v>0</v>
      </c>
      <c r="CU85" s="34">
        <f>IF(CU$13=Assumptions!$L$20,Assumptions!$L$31,0)</f>
        <v>0</v>
      </c>
      <c r="CV85" s="34">
        <f>IF(CV$13=Assumptions!$L$20,Assumptions!$L$31,0)</f>
        <v>0</v>
      </c>
      <c r="CW85" s="34">
        <f>IF(CW$13=Assumptions!$L$20,Assumptions!$L$31,0)</f>
        <v>0</v>
      </c>
      <c r="CX85" s="34">
        <f>IF(CX$13=Assumptions!$L$20,Assumptions!$L$31,0)</f>
        <v>0</v>
      </c>
      <c r="CY85" s="34">
        <f>IF(CY$13=Assumptions!$L$20,Assumptions!$L$31,0)</f>
        <v>0</v>
      </c>
      <c r="CZ85" s="34">
        <f>IF(CZ$13=Assumptions!$L$20,Assumptions!$L$31,0)</f>
        <v>0</v>
      </c>
      <c r="DA85" s="34">
        <f>IF(DA$13=Assumptions!$L$20,Assumptions!$L$31,0)</f>
        <v>0</v>
      </c>
      <c r="DB85" s="34">
        <f>IF(DB$13=Assumptions!$L$20,Assumptions!$L$31,0)</f>
        <v>0</v>
      </c>
      <c r="DC85" s="34">
        <f>IF(DC$13=Assumptions!$L$20,Assumptions!$L$31,0)</f>
        <v>0</v>
      </c>
      <c r="DD85" s="34">
        <f>IF(DD$13=Assumptions!$L$20,Assumptions!$L$31,0)</f>
        <v>0</v>
      </c>
      <c r="DE85" s="34">
        <f>IF(DE$13=Assumptions!$L$20,Assumptions!$L$31,0)</f>
        <v>0</v>
      </c>
      <c r="DF85" s="34">
        <f>IF(DF$13=Assumptions!$L$20,Assumptions!$L$31,0)</f>
        <v>0</v>
      </c>
      <c r="DG85" s="34">
        <f>IF(DG$13=Assumptions!$L$20,Assumptions!$L$31,0)</f>
        <v>0</v>
      </c>
      <c r="DH85" s="34">
        <f>IF(DH$13=Assumptions!$L$20,Assumptions!$L$31,0)</f>
        <v>0</v>
      </c>
      <c r="DI85" s="34">
        <f ca="1">IF(DI$13=Assumptions!$L$20,Assumptions!$L$31,0)</f>
        <v>53235.704325000006</v>
      </c>
      <c r="DJ85" s="34">
        <f>IF(DJ$13=Assumptions!$L$20,Assumptions!$L$31,0)</f>
        <v>0</v>
      </c>
      <c r="DK85" s="34">
        <f>IF(DK$13=Assumptions!$L$20,Assumptions!$L$31,0)</f>
        <v>0</v>
      </c>
      <c r="DL85" s="34">
        <f>IF(DL$13=Assumptions!$L$20,Assumptions!$L$31,0)</f>
        <v>0</v>
      </c>
      <c r="DM85" s="34">
        <f>IF(DM$13=Assumptions!$L$20,Assumptions!$L$31,0)</f>
        <v>0</v>
      </c>
      <c r="DN85" s="34">
        <f>IF(DN$13=Assumptions!$L$20,Assumptions!$L$31,0)</f>
        <v>0</v>
      </c>
      <c r="DO85" s="34">
        <f>IF(DO$13=Assumptions!$L$20,Assumptions!$L$31,0)</f>
        <v>0</v>
      </c>
      <c r="DP85" s="34">
        <f>IF(DP$13=Assumptions!$L$20,Assumptions!$L$31,0)</f>
        <v>0</v>
      </c>
      <c r="DQ85" s="34">
        <f>IF(DQ$13=Assumptions!$L$20,Assumptions!$L$31,0)</f>
        <v>0</v>
      </c>
      <c r="DR85" s="34">
        <f>IF(DR$13=Assumptions!$L$20,Assumptions!$L$31,0)</f>
        <v>0</v>
      </c>
      <c r="DS85" s="34">
        <f>IF(DS$13=Assumptions!$L$20,Assumptions!$L$31,0)</f>
        <v>0</v>
      </c>
      <c r="DT85" s="34">
        <f>IF(DT$13=Assumptions!$L$20,Assumptions!$L$31,0)</f>
        <v>0</v>
      </c>
      <c r="DU85" s="34">
        <f>IF(DU$13=Assumptions!$L$20,Assumptions!$L$31,0)</f>
        <v>0</v>
      </c>
      <c r="DV85" s="34">
        <f>IF(DV$13=Assumptions!$L$20,Assumptions!$L$31,0)</f>
        <v>0</v>
      </c>
      <c r="DW85" s="34">
        <f>IF(DW$13=Assumptions!$L$20,Assumptions!$L$31,0)</f>
        <v>0</v>
      </c>
      <c r="DX85" s="34">
        <f>IF(DX$13=Assumptions!$L$20,Assumptions!$L$31,0)</f>
        <v>0</v>
      </c>
      <c r="DY85" s="34">
        <f>IF(DY$13=Assumptions!$L$20,Assumptions!$L$31,0)</f>
        <v>0</v>
      </c>
      <c r="DZ85" s="34">
        <f>IF(DZ$13=Assumptions!$L$20,Assumptions!$L$31,0)</f>
        <v>0</v>
      </c>
      <c r="EA85" s="34">
        <f>IF(EA$13=Assumptions!$L$20,Assumptions!$L$31,0)</f>
        <v>0</v>
      </c>
      <c r="EB85" s="34">
        <f>IF(EB$13=Assumptions!$L$20,Assumptions!$L$31,0)</f>
        <v>0</v>
      </c>
      <c r="EC85" s="34">
        <f>IF(EC$13=Assumptions!$L$20,Assumptions!$L$31,0)</f>
        <v>0</v>
      </c>
      <c r="ED85" s="34">
        <f>IF(ED$13=Assumptions!$L$20,Assumptions!$L$31,0)</f>
        <v>0</v>
      </c>
      <c r="EE85" s="34">
        <f>IF(EE$13=Assumptions!$L$20,Assumptions!$L$31,0)</f>
        <v>0</v>
      </c>
      <c r="EF85" s="34">
        <f>IF(EF$13=Assumptions!$L$20,Assumptions!$L$31,0)</f>
        <v>0</v>
      </c>
      <c r="EG85" s="34">
        <f>IF(EG$13=Assumptions!$L$20,Assumptions!$L$31,0)</f>
        <v>0</v>
      </c>
      <c r="EH85" s="34">
        <f>IF(EH$13=Assumptions!$L$20,Assumptions!$L$31,0)</f>
        <v>0</v>
      </c>
      <c r="EI85" s="34">
        <f>IF(EI$13=Assumptions!$L$20,Assumptions!$L$31,0)</f>
        <v>0</v>
      </c>
      <c r="EJ85" s="34">
        <f>IF(EJ$13=Assumptions!$L$20,Assumptions!$L$31,0)</f>
        <v>0</v>
      </c>
      <c r="EK85" s="34">
        <f>IF(EK$13=Assumptions!$L$20,Assumptions!$L$31,0)</f>
        <v>0</v>
      </c>
      <c r="EL85" s="34">
        <f>IF(EL$13=Assumptions!$L$20,Assumptions!$L$31,0)</f>
        <v>0</v>
      </c>
      <c r="EM85" s="34">
        <f>IF(EM$13=Assumptions!$L$20,Assumptions!$L$31,0)</f>
        <v>0</v>
      </c>
      <c r="EN85" s="34">
        <f>IF(EN$13=Assumptions!$L$20,Assumptions!$L$31,0)</f>
        <v>0</v>
      </c>
      <c r="EO85" s="34">
        <f>IF(EO$13=Assumptions!$L$20,Assumptions!$L$31,0)</f>
        <v>0</v>
      </c>
      <c r="EP85" s="34">
        <f>IF(EP$13=Assumptions!$L$20,Assumptions!$L$31,0)</f>
        <v>0</v>
      </c>
      <c r="EQ85" s="34">
        <f>IF(EQ$13=Assumptions!$L$20,Assumptions!$L$31,0)</f>
        <v>0</v>
      </c>
      <c r="ER85" s="34">
        <f>IF(ER$13=Assumptions!$L$20,Assumptions!$L$31,0)</f>
        <v>0</v>
      </c>
      <c r="ES85" s="34">
        <f>IF(ES$13=Assumptions!$L$20,Assumptions!$L$31,0)</f>
        <v>0</v>
      </c>
      <c r="ET85" s="34">
        <f>IF(ET$13=Assumptions!$L$20,Assumptions!$L$31,0)</f>
        <v>0</v>
      </c>
      <c r="EU85" s="34">
        <f>IF(EU$13=Assumptions!$L$20,Assumptions!$L$31,0)</f>
        <v>0</v>
      </c>
      <c r="EV85" s="34">
        <f>IF(EV$13=Assumptions!$L$20,Assumptions!$L$31,0)</f>
        <v>0</v>
      </c>
      <c r="EW85" s="34">
        <f>IF(EW$13=Assumptions!$L$20,Assumptions!$L$31,0)</f>
        <v>0</v>
      </c>
      <c r="EX85" s="34">
        <f>IF(EX$13=Assumptions!$L$20,Assumptions!$L$31,0)</f>
        <v>0</v>
      </c>
      <c r="EY85" s="34">
        <f>IF(EY$13=Assumptions!$L$20,Assumptions!$L$31,0)</f>
        <v>0</v>
      </c>
      <c r="EZ85" s="34">
        <f>IF(EZ$13=Assumptions!$L$20,Assumptions!$L$31,0)</f>
        <v>0</v>
      </c>
      <c r="FA85" s="34">
        <f>IF(FA$13=Assumptions!$L$20,Assumptions!$L$31,0)</f>
        <v>0</v>
      </c>
      <c r="FB85" s="34">
        <f>IF(FB$13=Assumptions!$L$20,Assumptions!$L$31,0)</f>
        <v>0</v>
      </c>
      <c r="FC85" s="34">
        <f>IF(FC$13=Assumptions!$L$20,Assumptions!$L$31,0)</f>
        <v>0</v>
      </c>
      <c r="FD85" s="34">
        <f>IF(FD$13=Assumptions!$L$20,Assumptions!$L$31,0)</f>
        <v>0</v>
      </c>
      <c r="FE85" s="34">
        <f>IF(FE$13=Assumptions!$L$20,Assumptions!$L$31,0)</f>
        <v>0</v>
      </c>
      <c r="FF85" s="34">
        <f>IF(FF$13=Assumptions!$L$20,Assumptions!$L$31,0)</f>
        <v>0</v>
      </c>
      <c r="FG85" s="34">
        <f>IF(FG$13=Assumptions!$L$20,Assumptions!$L$31,0)</f>
        <v>0</v>
      </c>
      <c r="FH85" s="34">
        <f>IF(FH$13=Assumptions!$L$20,Assumptions!$L$31,0)</f>
        <v>0</v>
      </c>
      <c r="FI85" s="34">
        <f>IF(FI$13=Assumptions!$L$20,Assumptions!$L$31,0)</f>
        <v>0</v>
      </c>
      <c r="FJ85" s="34">
        <f>IF(FJ$13=Assumptions!$L$20,Assumptions!$L$31,0)</f>
        <v>0</v>
      </c>
      <c r="FK85" s="34">
        <f>IF(FK$13=Assumptions!$L$20,Assumptions!$L$31,0)</f>
        <v>0</v>
      </c>
      <c r="FL85" s="34">
        <f>IF(FL$13=Assumptions!$L$20,Assumptions!$L$31,0)</f>
        <v>0</v>
      </c>
      <c r="FM85" s="34">
        <f>IF(FM$13=Assumptions!$L$20,Assumptions!$L$31,0)</f>
        <v>0</v>
      </c>
      <c r="FN85" s="34">
        <f>IF(FN$13=Assumptions!$L$20,Assumptions!$L$31,0)</f>
        <v>0</v>
      </c>
      <c r="FO85" s="34">
        <f>IF(FO$13=Assumptions!$L$20,Assumptions!$L$31,0)</f>
        <v>0</v>
      </c>
      <c r="FP85" s="34">
        <f>IF(FP$13=Assumptions!$L$20,Assumptions!$L$31,0)</f>
        <v>0</v>
      </c>
      <c r="FQ85" s="34">
        <f>IF(FQ$13=Assumptions!$L$20,Assumptions!$L$31,0)</f>
        <v>0</v>
      </c>
      <c r="FR85" s="34">
        <f>IF(FR$13=Assumptions!$L$20,Assumptions!$L$31,0)</f>
        <v>0</v>
      </c>
      <c r="FS85" s="34">
        <f>IF(FS$13=Assumptions!$L$20,Assumptions!$L$31,0)</f>
        <v>0</v>
      </c>
      <c r="FT85" s="34">
        <f>IF(FT$13=Assumptions!$L$20,Assumptions!$L$31,0)</f>
        <v>0</v>
      </c>
      <c r="FU85" s="34">
        <f>IF(FU$13=Assumptions!$L$20,Assumptions!$L$31,0)</f>
        <v>0</v>
      </c>
      <c r="FV85" s="34">
        <f>IF(FV$13=Assumptions!$L$20,Assumptions!$L$31,0)</f>
        <v>0</v>
      </c>
      <c r="FW85" s="34">
        <f>IF(FW$13=Assumptions!$L$20,Assumptions!$L$31,0)</f>
        <v>0</v>
      </c>
      <c r="FX85" s="34">
        <f>IF(FX$13=Assumptions!$L$20,Assumptions!$L$31,0)</f>
        <v>0</v>
      </c>
      <c r="FY85" s="34">
        <f>IF(FY$13=Assumptions!$L$20,Assumptions!$L$31,0)</f>
        <v>0</v>
      </c>
      <c r="FZ85" s="34">
        <f>IF(FZ$13=Assumptions!$L$20,Assumptions!$L$31,0)</f>
        <v>0</v>
      </c>
      <c r="GA85" s="34">
        <f>IF(GA$13=Assumptions!$L$20,Assumptions!$L$31,0)</f>
        <v>0</v>
      </c>
      <c r="GB85" s="34">
        <f>IF(GB$13=Assumptions!$L$20,Assumptions!$L$31,0)</f>
        <v>0</v>
      </c>
      <c r="GC85" s="34">
        <f>IF(GC$13=Assumptions!$L$20,Assumptions!$L$31,0)</f>
        <v>0</v>
      </c>
      <c r="GD85" s="34">
        <f>IF(GD$13=Assumptions!$L$20,Assumptions!$L$31,0)</f>
        <v>0</v>
      </c>
      <c r="GE85" s="34">
        <f>IF(GE$13=Assumptions!$L$20,Assumptions!$L$31,0)</f>
        <v>0</v>
      </c>
      <c r="GF85" s="34">
        <f>IF(GF$13=Assumptions!$L$20,Assumptions!$L$31,0)</f>
        <v>0</v>
      </c>
      <c r="GG85" s="34">
        <f>IF(GG$13=Assumptions!$L$20,Assumptions!$L$31,0)</f>
        <v>0</v>
      </c>
      <c r="GH85" s="34">
        <f>IF(GH$13=Assumptions!$L$20,Assumptions!$L$31,0)</f>
        <v>0</v>
      </c>
      <c r="GI85" s="34">
        <f>IF(GI$13=Assumptions!$L$20,Assumptions!$L$31,0)</f>
        <v>0</v>
      </c>
      <c r="GJ85" s="34">
        <f>IF(GJ$13=Assumptions!$L$20,Assumptions!$L$31,0)</f>
        <v>0</v>
      </c>
      <c r="GK85" s="34">
        <f>IF(GK$13=Assumptions!$L$20,Assumptions!$L$31,0)</f>
        <v>0</v>
      </c>
      <c r="GL85" s="34">
        <f>IF(GL$13=Assumptions!$L$20,Assumptions!$L$31,0)</f>
        <v>0</v>
      </c>
      <c r="GM85" s="34">
        <f>IF(GM$13=Assumptions!$L$20,Assumptions!$L$31,0)</f>
        <v>0</v>
      </c>
      <c r="GN85" s="34">
        <f>IF(GN$13=Assumptions!$L$20,Assumptions!$L$31,0)</f>
        <v>0</v>
      </c>
      <c r="GO85" s="34">
        <f>IF(GO$13=Assumptions!$L$20,Assumptions!$L$31,0)</f>
        <v>0</v>
      </c>
      <c r="GP85" s="34">
        <f>IF(GP$13=Assumptions!$L$20,Assumptions!$L$31,0)</f>
        <v>0</v>
      </c>
      <c r="GQ85" s="34">
        <f>IF(GQ$13=Assumptions!$L$20,Assumptions!$L$31,0)</f>
        <v>0</v>
      </c>
      <c r="GR85" s="34">
        <f>IF(GR$13=Assumptions!$L$20,Assumptions!$L$31,0)</f>
        <v>0</v>
      </c>
      <c r="GS85" s="34">
        <f>IF(GS$13=Assumptions!$L$20,Assumptions!$L$31,0)</f>
        <v>0</v>
      </c>
      <c r="GT85" s="34">
        <f>IF(GT$13=Assumptions!$L$20,Assumptions!$L$31,0)</f>
        <v>0</v>
      </c>
      <c r="GU85" s="34"/>
      <c r="GV85" s="34"/>
      <c r="GW85" s="34"/>
      <c r="GX85" s="34"/>
      <c r="GY85" s="34"/>
      <c r="GZ85" s="34"/>
      <c r="HA85" s="34"/>
      <c r="HB85" s="34"/>
      <c r="HC85" s="34"/>
      <c r="HD85" s="34"/>
      <c r="HE85" s="34"/>
      <c r="HF85" s="1" t="s">
        <v>212</v>
      </c>
      <c r="HG85" s="139" t="e">
        <f t="shared" si="691"/>
        <v>#REF!</v>
      </c>
      <c r="HH85" s="33" t="str">
        <f>B85</f>
        <v>Net Exit Proceeds</v>
      </c>
      <c r="HI85" s="34"/>
      <c r="HJ85" s="34"/>
      <c r="HK85" s="34"/>
      <c r="HL85" s="123">
        <f>SUM(HN85:HV85)</f>
        <v>0</v>
      </c>
      <c r="HM85" s="34"/>
      <c r="HN85" s="124">
        <f t="shared" ref="HN85:HV85" si="705">SUMIF($K$14:$GT$14,HN$14,$K85:$GT85)</f>
        <v>0</v>
      </c>
      <c r="HO85" s="34">
        <f t="shared" si="705"/>
        <v>0</v>
      </c>
      <c r="HP85" s="34">
        <f t="shared" si="705"/>
        <v>0</v>
      </c>
      <c r="HQ85" s="34">
        <f t="shared" si="705"/>
        <v>0</v>
      </c>
      <c r="HR85" s="34">
        <f t="shared" si="705"/>
        <v>0</v>
      </c>
      <c r="HS85" s="34">
        <f t="shared" si="705"/>
        <v>0</v>
      </c>
      <c r="HT85" s="34">
        <f t="shared" si="705"/>
        <v>0</v>
      </c>
      <c r="HU85" s="34">
        <f t="shared" si="705"/>
        <v>0</v>
      </c>
      <c r="HV85" s="34">
        <f t="shared" si="705"/>
        <v>0</v>
      </c>
      <c r="HW85"/>
    </row>
    <row r="86" spans="2:231" ht="15">
      <c r="I86" s="97"/>
      <c r="HF86" s="1" t="s">
        <v>212</v>
      </c>
      <c r="HG86" s="139" t="e">
        <f t="shared" si="691"/>
        <v>#REF!</v>
      </c>
      <c r="HL86" s="97"/>
      <c r="HN86" s="102"/>
      <c r="HW86"/>
    </row>
    <row r="87" spans="2:231" ht="15">
      <c r="B87" s="9" t="s">
        <v>96</v>
      </c>
      <c r="I87" s="132">
        <f ca="1">SUMIF($K$13:$GT$13,"&lt;="&amp;Assumptions!$L$17,'Monthly Cash Flow'!K87:GT87)</f>
        <v>37036.571504450425</v>
      </c>
      <c r="J87" s="26"/>
      <c r="K87" s="133">
        <f>IF(K$13&lt;=Assumptions!$L$17,'Monthly Cash Flow'!K41,0)</f>
        <v>30206</v>
      </c>
      <c r="L87" s="26">
        <f ca="1">IF(L$13&lt;=Assumptions!$L$17,'Monthly Cash Flow'!L41,0)</f>
        <v>0</v>
      </c>
      <c r="M87" s="26">
        <f ca="1">IF(M$13&lt;=Assumptions!$L$17,'Monthly Cash Flow'!M41,0)</f>
        <v>0</v>
      </c>
      <c r="N87" s="26">
        <f ca="1">IF(N$13&lt;=Assumptions!$L$17,'Monthly Cash Flow'!N41,0)</f>
        <v>0</v>
      </c>
      <c r="O87" s="26">
        <f ca="1">IF(O$13&lt;=Assumptions!$L$17,'Monthly Cash Flow'!O41,0)</f>
        <v>0</v>
      </c>
      <c r="P87" s="26">
        <f ca="1">IF(P$13&lt;=Assumptions!$L$17,'Monthly Cash Flow'!P41,0)</f>
        <v>0</v>
      </c>
      <c r="Q87" s="26">
        <f ca="1">IF(Q$13&lt;=Assumptions!$L$17,'Monthly Cash Flow'!Q41,0)</f>
        <v>0</v>
      </c>
      <c r="R87" s="26">
        <f ca="1">IF(R$13&lt;=Assumptions!$L$17,'Monthly Cash Flow'!R41,0)</f>
        <v>0</v>
      </c>
      <c r="S87" s="26">
        <f ca="1">IF(S$13&lt;=Assumptions!$L$17,'Monthly Cash Flow'!S41,0)</f>
        <v>0</v>
      </c>
      <c r="T87" s="26">
        <f ca="1">IF(T$13&lt;=Assumptions!$L$17,'Monthly Cash Flow'!T41,0)</f>
        <v>0</v>
      </c>
      <c r="U87" s="26">
        <f ca="1">IF(U$13&lt;=Assumptions!$L$17,'Monthly Cash Flow'!U41,0)</f>
        <v>184.97674000000001</v>
      </c>
      <c r="V87" s="26">
        <f ca="1">IF(V$13&lt;=Assumptions!$L$17,'Monthly Cash Flow'!V41,0)</f>
        <v>0</v>
      </c>
      <c r="W87" s="26">
        <f ca="1">IF(W$13&lt;=Assumptions!$L$17,'Monthly Cash Flow'!W41,0)</f>
        <v>108.76859</v>
      </c>
      <c r="X87" s="26">
        <f ca="1">IF(X$13&lt;=Assumptions!$L$17,'Monthly Cash Flow'!X41,0)</f>
        <v>3.6021399999999999</v>
      </c>
      <c r="Y87" s="26">
        <f ca="1">IF(Y$13&lt;=Assumptions!$L$17,'Monthly Cash Flow'!Y41,0)</f>
        <v>0</v>
      </c>
      <c r="Z87" s="26">
        <f ca="1">IF(Z$13&lt;=Assumptions!$L$17,'Monthly Cash Flow'!Z41,0)</f>
        <v>462.19177999999999</v>
      </c>
      <c r="AA87" s="26">
        <f ca="1">IF(AA$13&lt;=Assumptions!$L$17,'Monthly Cash Flow'!AA41,0)</f>
        <v>0</v>
      </c>
      <c r="AB87" s="26">
        <f ca="1">IF(AB$13&lt;=Assumptions!$L$17,'Monthly Cash Flow'!AB41,0)</f>
        <v>458.32646999999997</v>
      </c>
      <c r="AC87" s="26">
        <f ca="1">IF(AC$13&lt;=Assumptions!$L$17,'Monthly Cash Flow'!AC41,0)</f>
        <v>0</v>
      </c>
      <c r="AD87" s="26">
        <f ca="1">IF(AD$13&lt;=Assumptions!$L$17,'Monthly Cash Flow'!AD41,0)</f>
        <v>2.28E-15</v>
      </c>
      <c r="AE87" s="26">
        <f ca="1">IF(AE$13&lt;=Assumptions!$L$17,'Monthly Cash Flow'!AE41,0)</f>
        <v>487.53904</v>
      </c>
      <c r="AF87" s="26">
        <f ca="1">IF(AF$13&lt;=Assumptions!$L$17,'Monthly Cash Flow'!AF41,0)</f>
        <v>207.9665008454283</v>
      </c>
      <c r="AG87" s="26">
        <f ca="1">IF(AG$13&lt;=Assumptions!$L$17,'Monthly Cash Flow'!AG41,0)</f>
        <v>268.26096000000001</v>
      </c>
      <c r="AH87" s="26">
        <f ca="1">IF(AH$13&lt;=Assumptions!$L$17,'Monthly Cash Flow'!AH41,0)</f>
        <v>0</v>
      </c>
      <c r="AI87" s="26">
        <f ca="1">IF(AI$13&lt;=Assumptions!$L$17,'Monthly Cash Flow'!AI41,0)</f>
        <v>82.490880000000004</v>
      </c>
      <c r="AJ87" s="26">
        <f ca="1">IF(AJ$13&lt;=Assumptions!$L$17,'Monthly Cash Flow'!AJ41,0)</f>
        <v>0</v>
      </c>
      <c r="AK87" s="26">
        <f ca="1">IF(AK$13&lt;=Assumptions!$L$17,'Monthly Cash Flow'!AK41,0)</f>
        <v>0</v>
      </c>
      <c r="AL87" s="26">
        <f ca="1">IF(AL$13&lt;=Assumptions!$L$17,'Monthly Cash Flow'!AL41,0)</f>
        <v>219.27388000000002</v>
      </c>
      <c r="AM87" s="26">
        <f ca="1">IF(AM$13&lt;=Assumptions!$L$17,'Monthly Cash Flow'!AM41,0)</f>
        <v>0</v>
      </c>
      <c r="AN87" s="26">
        <f ca="1">IF(AN$13&lt;=Assumptions!$L$17,'Monthly Cash Flow'!AN41,0)</f>
        <v>32.111649999999997</v>
      </c>
      <c r="AO87" s="26">
        <f ca="1">IF(AO$13&lt;=Assumptions!$L$17,'Monthly Cash Flow'!AO41,0)</f>
        <v>0</v>
      </c>
      <c r="AP87" s="26">
        <f ca="1">IF(AP$13&lt;=Assumptions!$L$17,'Monthly Cash Flow'!AP41,0)</f>
        <v>158.75653402388377</v>
      </c>
      <c r="AQ87" s="26">
        <f ca="1">IF(AQ$13&lt;=Assumptions!$L$17,'Monthly Cash Flow'!AQ41,0)</f>
        <v>41.92615</v>
      </c>
      <c r="AR87" s="26">
        <f ca="1">IF(AR$13&lt;=Assumptions!$L$17,'Monthly Cash Flow'!AR41,0)</f>
        <v>0</v>
      </c>
      <c r="AS87" s="26">
        <f ca="1">IF(AS$13&lt;=Assumptions!$L$17,'Monthly Cash Flow'!AS41,0)</f>
        <v>0</v>
      </c>
      <c r="AT87" s="26">
        <f ca="1">IF(AT$13&lt;=Assumptions!$L$17,'Monthly Cash Flow'!AT41,0)</f>
        <v>0</v>
      </c>
      <c r="AU87" s="26">
        <f ca="1">IF(AU$13&lt;=Assumptions!$L$17,'Monthly Cash Flow'!AU41,0)</f>
        <v>0</v>
      </c>
      <c r="AV87" s="26">
        <f ca="1">IF(AV$13&lt;=Assumptions!$L$17,'Monthly Cash Flow'!AV41,0)</f>
        <v>0</v>
      </c>
      <c r="AW87" s="26">
        <f ca="1">IF(AW$13&lt;=Assumptions!$L$17,'Monthly Cash Flow'!AW41,0)</f>
        <v>257.02499999999998</v>
      </c>
      <c r="AX87" s="26">
        <f ca="1">IF(AX$13&lt;=Assumptions!$L$17,'Monthly Cash Flow'!AX41,0)</f>
        <v>0</v>
      </c>
      <c r="AY87" s="26">
        <f ca="1">IF(AY$13&lt;=Assumptions!$L$17,'Monthly Cash Flow'!AY41,0)</f>
        <v>-3.5</v>
      </c>
      <c r="AZ87" s="26">
        <f ca="1">IF(AZ$13&lt;=Assumptions!$L$17,'Monthly Cash Flow'!AZ41,0)</f>
        <v>128.82645958111405</v>
      </c>
      <c r="BA87" s="26">
        <f ca="1">IF(BA$13&lt;=Assumptions!$L$17,'Monthly Cash Flow'!BA41,0)</f>
        <v>149.43100000000001</v>
      </c>
      <c r="BB87" s="26">
        <f ca="1">IF(BB$13&lt;=Assumptions!$L$17,'Monthly Cash Flow'!BB41,0)</f>
        <v>0</v>
      </c>
      <c r="BC87" s="26">
        <f ca="1">IF(BC$13&lt;=Assumptions!$L$17,'Monthly Cash Flow'!BC41,0)</f>
        <v>142.10000000000002</v>
      </c>
      <c r="BD87" s="26">
        <f ca="1">IF(BD$13&lt;=Assumptions!$L$17,'Monthly Cash Flow'!BD41,0)</f>
        <v>23.257999999999999</v>
      </c>
      <c r="BE87" s="26">
        <f ca="1">IF(BE$13&lt;=Assumptions!$L$17,'Monthly Cash Flow'!BE41,0)</f>
        <v>0</v>
      </c>
      <c r="BF87" s="26">
        <f ca="1">IF(BF$13&lt;=Assumptions!$L$17,'Monthly Cash Flow'!BF41,0)</f>
        <v>0</v>
      </c>
      <c r="BG87" s="26">
        <f ca="1">IF(BG$13&lt;=Assumptions!$L$17,'Monthly Cash Flow'!BG41,0)</f>
        <v>0</v>
      </c>
      <c r="BH87" s="26">
        <f ca="1">IF(BH$13&lt;=Assumptions!$L$17,'Monthly Cash Flow'!BH41,0)</f>
        <v>0</v>
      </c>
      <c r="BI87" s="26">
        <f ca="1">IF(BI$13&lt;=Assumptions!$L$17,'Monthly Cash Flow'!BI41,0)</f>
        <v>0</v>
      </c>
      <c r="BJ87" s="26">
        <f ca="1">IF(BJ$13&lt;=Assumptions!$L$17,'Monthly Cash Flow'!BJ41,0)</f>
        <v>0</v>
      </c>
      <c r="BK87" s="26">
        <f ca="1">IF(BK$13&lt;=Assumptions!$L$17,'Monthly Cash Flow'!BK41,0)</f>
        <v>0</v>
      </c>
      <c r="BL87" s="26">
        <f ca="1">IF(BL$13&lt;=Assumptions!$L$17,'Monthly Cash Flow'!BL41,0)</f>
        <v>0</v>
      </c>
      <c r="BM87" s="26">
        <f ca="1">IF(BM$13&lt;=Assumptions!$L$17,'Monthly Cash Flow'!BM41,0)</f>
        <v>0</v>
      </c>
      <c r="BN87" s="26">
        <f ca="1">IF(BN$13&lt;=Assumptions!$L$17,'Monthly Cash Flow'!BN41,0)</f>
        <v>0</v>
      </c>
      <c r="BO87" s="26">
        <f ca="1">IF(BO$13&lt;=Assumptions!$L$17,'Monthly Cash Flow'!BO41,0)</f>
        <v>0</v>
      </c>
      <c r="BP87" s="26">
        <f ca="1">IF(BP$13&lt;=Assumptions!$L$17,'Monthly Cash Flow'!BP41,0)</f>
        <v>0</v>
      </c>
      <c r="BQ87" s="26">
        <f ca="1">IF(BQ$13&lt;=Assumptions!$L$17,'Monthly Cash Flow'!BQ41,0)</f>
        <v>0</v>
      </c>
      <c r="BR87" s="26">
        <f ca="1">IF(BR$13&lt;=Assumptions!$L$17,'Monthly Cash Flow'!BR41,0)</f>
        <v>65.924000000000007</v>
      </c>
      <c r="BS87" s="26">
        <f ca="1">IF(BS$13&lt;=Assumptions!$L$17,'Monthly Cash Flow'!BS41,0)</f>
        <v>0</v>
      </c>
      <c r="BT87" s="26">
        <f ca="1">IF(BT$13&lt;=Assumptions!$L$17,'Monthly Cash Flow'!BT41,0)</f>
        <v>0</v>
      </c>
      <c r="BU87" s="26">
        <f ca="1">IF(BU$13&lt;=Assumptions!$L$17,'Monthly Cash Flow'!BU41,0)</f>
        <v>0</v>
      </c>
      <c r="BV87" s="26">
        <f ca="1">IF(BV$13&lt;=Assumptions!$L$17,'Monthly Cash Flow'!BV41,0)</f>
        <v>0</v>
      </c>
      <c r="BW87" s="26">
        <f ca="1">IF(BW$13&lt;=Assumptions!$L$17,'Monthly Cash Flow'!BW41,0)</f>
        <v>9.3451900000000006</v>
      </c>
      <c r="BX87" s="26">
        <f ca="1">IF(BX$13&lt;=Assumptions!$L$17,'Monthly Cash Flow'!BX41,0)</f>
        <v>27.214280000000002</v>
      </c>
      <c r="BY87" s="26">
        <f ca="1">IF(BY$13&lt;=Assumptions!$L$17,'Monthly Cash Flow'!BY41,0)</f>
        <v>87.333829999999992</v>
      </c>
      <c r="BZ87" s="26">
        <f ca="1">IF(BZ$13&lt;=Assumptions!$L$17,'Monthly Cash Flow'!BZ41,0)</f>
        <v>0</v>
      </c>
      <c r="CA87" s="26">
        <f ca="1">IF(CA$13&lt;=Assumptions!$L$17,'Monthly Cash Flow'!CA41,0)</f>
        <v>99.415000000000006</v>
      </c>
      <c r="CB87" s="26">
        <f ca="1">IF(CB$13&lt;=Assumptions!$L$17,'Monthly Cash Flow'!CB41,0)</f>
        <v>5</v>
      </c>
      <c r="CC87" s="26">
        <f ca="1">IF(CC$13&lt;=Assumptions!$L$17,'Monthly Cash Flow'!CC41,0)</f>
        <v>0</v>
      </c>
      <c r="CD87" s="26">
        <f ca="1">IF(CD$13&lt;=Assumptions!$L$17,'Monthly Cash Flow'!CD41,0)</f>
        <v>279.654</v>
      </c>
      <c r="CE87" s="26">
        <f ca="1">IF(CE$13&lt;=Assumptions!$L$17,'Monthly Cash Flow'!CE41,0)</f>
        <v>0</v>
      </c>
      <c r="CF87" s="26">
        <f ca="1">IF(CF$13&lt;=Assumptions!$L$17,'Monthly Cash Flow'!CF41,0)</f>
        <v>66.949960000000004</v>
      </c>
      <c r="CG87" s="26">
        <f ca="1">IF(CG$13&lt;=Assumptions!$L$17,'Monthly Cash Flow'!CG41,0)</f>
        <v>0</v>
      </c>
      <c r="CH87" s="26">
        <f ca="1">IF(CH$13&lt;=Assumptions!$L$17,'Monthly Cash Flow'!CH41,0)</f>
        <v>22.286470000000001</v>
      </c>
      <c r="CI87" s="26">
        <f ca="1">IF(CI$13&lt;=Assumptions!$L$17,'Monthly Cash Flow'!CI41,0)</f>
        <v>0</v>
      </c>
      <c r="CJ87" s="26">
        <f ca="1">IF(CJ$13&lt;=Assumptions!$L$17,'Monthly Cash Flow'!CJ41,0)</f>
        <v>0</v>
      </c>
      <c r="CK87" s="26">
        <f ca="1">IF(CK$13&lt;=Assumptions!$L$17,'Monthly Cash Flow'!CK41,0)</f>
        <v>0</v>
      </c>
      <c r="CL87" s="26">
        <f ca="1">IF(CL$13&lt;=Assumptions!$L$17,'Monthly Cash Flow'!CL41,0)</f>
        <v>0</v>
      </c>
      <c r="CM87" s="26">
        <f ca="1">IF(CM$13&lt;=Assumptions!$L$17,'Monthly Cash Flow'!CM41,0)</f>
        <v>68.313492063492063</v>
      </c>
      <c r="CN87" s="26">
        <f ca="1">IF(CN$13&lt;=Assumptions!$L$17,'Monthly Cash Flow'!CN41,0)</f>
        <v>68.313492063492063</v>
      </c>
      <c r="CO87" s="26">
        <f ca="1">IF(CO$13&lt;=Assumptions!$L$17,'Monthly Cash Flow'!CO41,0)</f>
        <v>68.313492063492077</v>
      </c>
      <c r="CP87" s="26">
        <f ca="1">IF(CP$13&lt;=Assumptions!$L$17,'Monthly Cash Flow'!CP41,0)</f>
        <v>161.22249206349207</v>
      </c>
      <c r="CQ87" s="26">
        <f ca="1">IF(CQ$13&lt;=Assumptions!$L$17,'Monthly Cash Flow'!CQ41,0)</f>
        <v>62.063492063492063</v>
      </c>
      <c r="CR87" s="26">
        <f ca="1">IF(CR$13&lt;=Assumptions!$L$17,'Monthly Cash Flow'!CR41,0)</f>
        <v>62.06349206349207</v>
      </c>
      <c r="CS87" s="26">
        <f ca="1">IF(CS$13&lt;=Assumptions!$L$17,'Monthly Cash Flow'!CS41,0)</f>
        <v>235.66549206349205</v>
      </c>
      <c r="CT87" s="26">
        <f ca="1">IF(CT$13&lt;=Assumptions!$L$17,'Monthly Cash Flow'!CT41,0)</f>
        <v>296.70377777777776</v>
      </c>
      <c r="CU87" s="26">
        <f ca="1">IF(CU$13&lt;=Assumptions!$L$17,'Monthly Cash Flow'!CU41,0)</f>
        <v>27.777777777777771</v>
      </c>
      <c r="CV87" s="26">
        <f ca="1">IF(CV$13&lt;=Assumptions!$L$17,'Monthly Cash Flow'!CV41,0)</f>
        <v>0</v>
      </c>
      <c r="CW87" s="26">
        <f ca="1">IF(CW$13&lt;=Assumptions!$L$17,'Monthly Cash Flow'!CW41,0)</f>
        <v>0</v>
      </c>
      <c r="CX87" s="26">
        <f ca="1">IF(CX$13&lt;=Assumptions!$L$17,'Monthly Cash Flow'!CX41,0)</f>
        <v>0</v>
      </c>
      <c r="CY87" s="26">
        <f ca="1">IF(CY$13&lt;=Assumptions!$L$17,'Monthly Cash Flow'!CY41,0)</f>
        <v>175.119</v>
      </c>
      <c r="CZ87" s="26">
        <f ca="1">IF(CZ$13&lt;=Assumptions!$L$17,'Monthly Cash Flow'!CZ41,0)</f>
        <v>0</v>
      </c>
      <c r="DA87" s="26">
        <f ca="1">IF(DA$13&lt;=Assumptions!$L$17,'Monthly Cash Flow'!DA41,0)</f>
        <v>154.11699999999999</v>
      </c>
      <c r="DB87" s="26">
        <f ca="1">IF(DB$13&lt;=Assumptions!$L$17,'Monthly Cash Flow'!DB41,0)</f>
        <v>1181.643</v>
      </c>
      <c r="DC87" s="26">
        <f ca="1">IF(DC$13&lt;=Assumptions!$L$17,'Monthly Cash Flow'!DC41,0)</f>
        <v>192.80099999999999</v>
      </c>
      <c r="DD87" s="26">
        <f ca="1">IF(DD$13&lt;=Assumptions!$L$17,'Monthly Cash Flow'!DD41,0)</f>
        <v>0</v>
      </c>
      <c r="DE87" s="26">
        <f ca="1">IF(DE$13&lt;=Assumptions!$L$17,'Monthly Cash Flow'!DE41,0)</f>
        <v>0</v>
      </c>
      <c r="DF87" s="26">
        <f ca="1">IF(DF$13&lt;=Assumptions!$L$17,'Monthly Cash Flow'!DF41,0)</f>
        <v>0</v>
      </c>
      <c r="DG87" s="26">
        <f ca="1">IF(DG$13&lt;=Assumptions!$L$17,'Monthly Cash Flow'!DG41,0)</f>
        <v>0</v>
      </c>
      <c r="DH87" s="26">
        <f ca="1">IF(DH$13&lt;=Assumptions!$L$17,'Monthly Cash Flow'!DH41,0)</f>
        <v>0</v>
      </c>
      <c r="DI87" s="26">
        <f ca="1">IF(DI$13&lt;=Assumptions!$L$17,'Monthly Cash Flow'!DI41,0)</f>
        <v>0</v>
      </c>
      <c r="DJ87" s="26">
        <f>IF(DJ$13&lt;=Assumptions!$L$17,'Monthly Cash Flow'!DJ41,0)</f>
        <v>0</v>
      </c>
      <c r="DK87" s="26">
        <f>IF(DK$13&lt;=Assumptions!$L$17,'Monthly Cash Flow'!DK41,0)</f>
        <v>0</v>
      </c>
      <c r="DL87" s="26">
        <f>IF(DL$13&lt;=Assumptions!$L$17,'Monthly Cash Flow'!DL41,0)</f>
        <v>0</v>
      </c>
      <c r="DM87" s="26">
        <f>IF(DM$13&lt;=Assumptions!$L$17,'Monthly Cash Flow'!DM41,0)</f>
        <v>0</v>
      </c>
      <c r="DN87" s="26">
        <f>IF(DN$13&lt;=Assumptions!$L$17,'Monthly Cash Flow'!DN41,0)</f>
        <v>0</v>
      </c>
      <c r="DO87" s="26">
        <f>IF(DO$13&lt;=Assumptions!$L$17,'Monthly Cash Flow'!DO41,0)</f>
        <v>0</v>
      </c>
      <c r="DP87" s="26">
        <f>IF(DP$13&lt;=Assumptions!$L$17,'Monthly Cash Flow'!DP41,0)</f>
        <v>0</v>
      </c>
      <c r="DQ87" s="26">
        <f>IF(DQ$13&lt;=Assumptions!$L$17,'Monthly Cash Flow'!DQ41,0)</f>
        <v>0</v>
      </c>
      <c r="DR87" s="26">
        <f>IF(DR$13&lt;=Assumptions!$L$17,'Monthly Cash Flow'!DR41,0)</f>
        <v>0</v>
      </c>
      <c r="DS87" s="26">
        <f>IF(DS$13&lt;=Assumptions!$L$17,'Monthly Cash Flow'!DS41,0)</f>
        <v>0</v>
      </c>
      <c r="DT87" s="26">
        <f>IF(DT$13&lt;=Assumptions!$L$17,'Monthly Cash Flow'!DT41,0)</f>
        <v>0</v>
      </c>
      <c r="DU87" s="26">
        <f>IF(DU$13&lt;=Assumptions!$L$17,'Monthly Cash Flow'!DU41,0)</f>
        <v>0</v>
      </c>
      <c r="DV87" s="26">
        <f>IF(DV$13&lt;=Assumptions!$L$17,'Monthly Cash Flow'!DV41,0)</f>
        <v>0</v>
      </c>
      <c r="DW87" s="26">
        <f>IF(DW$13&lt;=Assumptions!$L$17,'Monthly Cash Flow'!DW41,0)</f>
        <v>0</v>
      </c>
      <c r="DX87" s="26">
        <f>IF(DX$13&lt;=Assumptions!$L$17,'Monthly Cash Flow'!DX41,0)</f>
        <v>0</v>
      </c>
      <c r="DY87" s="26">
        <f>IF(DY$13&lt;=Assumptions!$L$17,'Monthly Cash Flow'!DY41,0)</f>
        <v>0</v>
      </c>
      <c r="DZ87" s="26">
        <f>IF(DZ$13&lt;=Assumptions!$L$17,'Monthly Cash Flow'!DZ41,0)</f>
        <v>0</v>
      </c>
      <c r="EA87" s="26">
        <f>IF(EA$13&lt;=Assumptions!$L$17,'Monthly Cash Flow'!EA41,0)</f>
        <v>0</v>
      </c>
      <c r="EB87" s="26">
        <f>IF(EB$13&lt;=Assumptions!$L$17,'Monthly Cash Flow'!EB41,0)</f>
        <v>0</v>
      </c>
      <c r="EC87" s="26">
        <f>IF(EC$13&lt;=Assumptions!$L$17,'Monthly Cash Flow'!EC41,0)</f>
        <v>0</v>
      </c>
      <c r="ED87" s="26">
        <f>IF(ED$13&lt;=Assumptions!$L$17,'Monthly Cash Flow'!ED41,0)</f>
        <v>0</v>
      </c>
      <c r="EE87" s="26">
        <f>IF(EE$13&lt;=Assumptions!$L$17,'Monthly Cash Flow'!EE41,0)</f>
        <v>0</v>
      </c>
      <c r="EF87" s="26">
        <f>IF(EF$13&lt;=Assumptions!$L$17,'Monthly Cash Flow'!EF41,0)</f>
        <v>0</v>
      </c>
      <c r="EG87" s="26">
        <f>IF(EG$13&lt;=Assumptions!$L$17,'Monthly Cash Flow'!EG41,0)</f>
        <v>0</v>
      </c>
      <c r="EH87" s="26">
        <f>IF(EH$13&lt;=Assumptions!$L$17,'Monthly Cash Flow'!EH41,0)</f>
        <v>0</v>
      </c>
      <c r="EI87" s="26">
        <f>IF(EI$13&lt;=Assumptions!$L$17,'Monthly Cash Flow'!EI41,0)</f>
        <v>0</v>
      </c>
      <c r="EJ87" s="26">
        <f>IF(EJ$13&lt;=Assumptions!$L$17,'Monthly Cash Flow'!EJ41,0)</f>
        <v>0</v>
      </c>
      <c r="EK87" s="26">
        <f>IF(EK$13&lt;=Assumptions!$L$17,'Monthly Cash Flow'!EK41,0)</f>
        <v>0</v>
      </c>
      <c r="EL87" s="26">
        <f>IF(EL$13&lt;=Assumptions!$L$17,'Monthly Cash Flow'!EL41,0)</f>
        <v>0</v>
      </c>
      <c r="EM87" s="26">
        <f>IF(EM$13&lt;=Assumptions!$L$17,'Monthly Cash Flow'!EM41,0)</f>
        <v>0</v>
      </c>
      <c r="EN87" s="26">
        <f>IF(EN$13&lt;=Assumptions!$L$17,'Monthly Cash Flow'!EN41,0)</f>
        <v>0</v>
      </c>
      <c r="EO87" s="26">
        <f>IF(EO$13&lt;=Assumptions!$L$17,'Monthly Cash Flow'!EO41,0)</f>
        <v>0</v>
      </c>
      <c r="EP87" s="26">
        <f>IF(EP$13&lt;=Assumptions!$L$17,'Monthly Cash Flow'!EP41,0)</f>
        <v>0</v>
      </c>
      <c r="EQ87" s="26">
        <f>IF(EQ$13&lt;=Assumptions!$L$17,'Monthly Cash Flow'!EQ41,0)</f>
        <v>0</v>
      </c>
      <c r="ER87" s="26">
        <f>IF(ER$13&lt;=Assumptions!$L$17,'Monthly Cash Flow'!ER41,0)</f>
        <v>0</v>
      </c>
      <c r="ES87" s="26">
        <f>IF(ES$13&lt;=Assumptions!$L$17,'Monthly Cash Flow'!ES41,0)</f>
        <v>0</v>
      </c>
      <c r="ET87" s="26">
        <f>IF(ET$13&lt;=Assumptions!$L$17,'Monthly Cash Flow'!ET41,0)</f>
        <v>0</v>
      </c>
      <c r="EU87" s="26">
        <f>IF(EU$13&lt;=Assumptions!$L$17,'Monthly Cash Flow'!EU41,0)</f>
        <v>0</v>
      </c>
      <c r="EV87" s="26">
        <f>IF(EV$13&lt;=Assumptions!$L$17,'Monthly Cash Flow'!EV41,0)</f>
        <v>0</v>
      </c>
      <c r="EW87" s="26">
        <f>IF(EW$13&lt;=Assumptions!$L$17,'Monthly Cash Flow'!EW41,0)</f>
        <v>0</v>
      </c>
      <c r="EX87" s="26">
        <f>IF(EX$13&lt;=Assumptions!$L$17,'Monthly Cash Flow'!EX41,0)</f>
        <v>0</v>
      </c>
      <c r="EY87" s="26">
        <f>IF(EY$13&lt;=Assumptions!$L$17,'Monthly Cash Flow'!EY41,0)</f>
        <v>0</v>
      </c>
      <c r="EZ87" s="26">
        <f>IF(EZ$13&lt;=Assumptions!$L$17,'Monthly Cash Flow'!EZ41,0)</f>
        <v>0</v>
      </c>
      <c r="FA87" s="26">
        <f>IF(FA$13&lt;=Assumptions!$L$17,'Monthly Cash Flow'!FA41,0)</f>
        <v>0</v>
      </c>
      <c r="FB87" s="26">
        <f>IF(FB$13&lt;=Assumptions!$L$17,'Monthly Cash Flow'!FB41,0)</f>
        <v>0</v>
      </c>
      <c r="FC87" s="26">
        <f>IF(FC$13&lt;=Assumptions!$L$17,'Monthly Cash Flow'!FC41,0)</f>
        <v>0</v>
      </c>
      <c r="FD87" s="26">
        <f>IF(FD$13&lt;=Assumptions!$L$17,'Monthly Cash Flow'!FD41,0)</f>
        <v>0</v>
      </c>
      <c r="FE87" s="26">
        <f>IF(FE$13&lt;=Assumptions!$L$17,'Monthly Cash Flow'!FE41,0)</f>
        <v>0</v>
      </c>
      <c r="FF87" s="26">
        <f>IF(FF$13&lt;=Assumptions!$L$17,'Monthly Cash Flow'!FF41,0)</f>
        <v>0</v>
      </c>
      <c r="FG87" s="26">
        <f>IF(FG$13&lt;=Assumptions!$L$17,'Monthly Cash Flow'!FG41,0)</f>
        <v>0</v>
      </c>
      <c r="FH87" s="26">
        <f>IF(FH$13&lt;=Assumptions!$L$17,'Monthly Cash Flow'!FH41,0)</f>
        <v>0</v>
      </c>
      <c r="FI87" s="26">
        <f>IF(FI$13&lt;=Assumptions!$L$17,'Monthly Cash Flow'!FI41,0)</f>
        <v>0</v>
      </c>
      <c r="FJ87" s="26">
        <f>IF(FJ$13&lt;=Assumptions!$L$17,'Monthly Cash Flow'!FJ41,0)</f>
        <v>0</v>
      </c>
      <c r="FK87" s="26">
        <f>IF(FK$13&lt;=Assumptions!$L$17,'Monthly Cash Flow'!FK41,0)</f>
        <v>0</v>
      </c>
      <c r="FL87" s="26">
        <f>IF(FL$13&lt;=Assumptions!$L$17,'Monthly Cash Flow'!FL41,0)</f>
        <v>0</v>
      </c>
      <c r="FM87" s="26">
        <f>IF(FM$13&lt;=Assumptions!$L$17,'Monthly Cash Flow'!FM41,0)</f>
        <v>0</v>
      </c>
      <c r="FN87" s="26">
        <f>IF(FN$13&lt;=Assumptions!$L$17,'Monthly Cash Flow'!FN41,0)</f>
        <v>0</v>
      </c>
      <c r="FO87" s="26">
        <f>IF(FO$13&lt;=Assumptions!$L$17,'Monthly Cash Flow'!FO41,0)</f>
        <v>0</v>
      </c>
      <c r="FP87" s="26">
        <f>IF(FP$13&lt;=Assumptions!$L$17,'Monthly Cash Flow'!FP41,0)</f>
        <v>0</v>
      </c>
      <c r="FQ87" s="26">
        <f>IF(FQ$13&lt;=Assumptions!$L$17,'Monthly Cash Flow'!FQ41,0)</f>
        <v>0</v>
      </c>
      <c r="FR87" s="26">
        <f>IF(FR$13&lt;=Assumptions!$L$17,'Monthly Cash Flow'!FR41,0)</f>
        <v>0</v>
      </c>
      <c r="FS87" s="26">
        <f>IF(FS$13&lt;=Assumptions!$L$17,'Monthly Cash Flow'!FS41,0)</f>
        <v>0</v>
      </c>
      <c r="FT87" s="26">
        <f>IF(FT$13&lt;=Assumptions!$L$17,'Monthly Cash Flow'!FT41,0)</f>
        <v>0</v>
      </c>
      <c r="FU87" s="26">
        <f>IF(FU$13&lt;=Assumptions!$L$17,'Monthly Cash Flow'!FU41,0)</f>
        <v>0</v>
      </c>
      <c r="FV87" s="26">
        <f>IF(FV$13&lt;=Assumptions!$L$17,'Monthly Cash Flow'!FV41,0)</f>
        <v>0</v>
      </c>
      <c r="FW87" s="26">
        <f>IF(FW$13&lt;=Assumptions!$L$17,'Monthly Cash Flow'!FW41,0)</f>
        <v>0</v>
      </c>
      <c r="FX87" s="26">
        <f>IF(FX$13&lt;=Assumptions!$L$17,'Monthly Cash Flow'!FX41,0)</f>
        <v>0</v>
      </c>
      <c r="FY87" s="26">
        <f>IF(FY$13&lt;=Assumptions!$L$17,'Monthly Cash Flow'!FY41,0)</f>
        <v>0</v>
      </c>
      <c r="FZ87" s="26">
        <f>IF(FZ$13&lt;=Assumptions!$L$17,'Monthly Cash Flow'!FZ41,0)</f>
        <v>0</v>
      </c>
      <c r="GA87" s="26">
        <f>IF(GA$13&lt;=Assumptions!$L$17,'Monthly Cash Flow'!GA41,0)</f>
        <v>0</v>
      </c>
      <c r="GB87" s="26">
        <f>IF(GB$13&lt;=Assumptions!$L$17,'Monthly Cash Flow'!GB41,0)</f>
        <v>0</v>
      </c>
      <c r="GC87" s="26">
        <f>IF(GC$13&lt;=Assumptions!$L$17,'Monthly Cash Flow'!GC41,0)</f>
        <v>0</v>
      </c>
      <c r="GD87" s="26">
        <f>IF(GD$13&lt;=Assumptions!$L$17,'Monthly Cash Flow'!GD41,0)</f>
        <v>0</v>
      </c>
      <c r="GE87" s="26">
        <f>IF(GE$13&lt;=Assumptions!$L$17,'Monthly Cash Flow'!GE41,0)</f>
        <v>0</v>
      </c>
      <c r="GF87" s="26">
        <f>IF(GF$13&lt;=Assumptions!$L$17,'Monthly Cash Flow'!GF41,0)</f>
        <v>0</v>
      </c>
      <c r="GG87" s="26">
        <f>IF(GG$13&lt;=Assumptions!$L$17,'Monthly Cash Flow'!GG41,0)</f>
        <v>0</v>
      </c>
      <c r="GH87" s="26">
        <f>IF(GH$13&lt;=Assumptions!$L$17,'Monthly Cash Flow'!GH41,0)</f>
        <v>0</v>
      </c>
      <c r="GI87" s="26">
        <f>IF(GI$13&lt;=Assumptions!$L$17,'Monthly Cash Flow'!GI41,0)</f>
        <v>0</v>
      </c>
      <c r="GJ87" s="26">
        <f>IF(GJ$13&lt;=Assumptions!$L$17,'Monthly Cash Flow'!GJ41,0)</f>
        <v>0</v>
      </c>
      <c r="GK87" s="26">
        <f>IF(GK$13&lt;=Assumptions!$L$17,'Monthly Cash Flow'!GK41,0)</f>
        <v>0</v>
      </c>
      <c r="GL87" s="26">
        <f>IF(GL$13&lt;=Assumptions!$L$17,'Monthly Cash Flow'!GL41,0)</f>
        <v>0</v>
      </c>
      <c r="GM87" s="26">
        <f>IF(GM$13&lt;=Assumptions!$L$17,'Monthly Cash Flow'!GM41,0)</f>
        <v>0</v>
      </c>
      <c r="GN87" s="26">
        <f>IF(GN$13&lt;=Assumptions!$L$17,'Monthly Cash Flow'!GN41,0)</f>
        <v>0</v>
      </c>
      <c r="GO87" s="26">
        <f>IF(GO$13&lt;=Assumptions!$L$17,'Monthly Cash Flow'!GO41,0)</f>
        <v>0</v>
      </c>
      <c r="GP87" s="26">
        <f>IF(GP$13&lt;=Assumptions!$L$17,'Monthly Cash Flow'!GP41,0)</f>
        <v>0</v>
      </c>
      <c r="GQ87" s="26">
        <f>IF(GQ$13&lt;=Assumptions!$L$17,'Monthly Cash Flow'!GQ41,0)</f>
        <v>0</v>
      </c>
      <c r="GR87" s="26">
        <f>IF(GR$13&lt;=Assumptions!$L$17,'Monthly Cash Flow'!GR41,0)</f>
        <v>0</v>
      </c>
      <c r="GS87" s="26">
        <f>IF(GS$13&lt;=Assumptions!$L$17,'Monthly Cash Flow'!GS41,0)</f>
        <v>0</v>
      </c>
      <c r="GT87" s="26">
        <f>IF(GT$13&lt;=Assumptions!$L$17,'Monthly Cash Flow'!GT41,0)</f>
        <v>0</v>
      </c>
      <c r="GU87" s="26"/>
      <c r="GV87" s="26"/>
      <c r="GW87" s="26"/>
      <c r="GX87" s="26"/>
      <c r="GY87" s="26"/>
      <c r="GZ87" s="26"/>
      <c r="HA87" s="26"/>
      <c r="HB87" s="26"/>
      <c r="HC87" s="26"/>
      <c r="HD87" s="26"/>
      <c r="HE87" s="26"/>
      <c r="HF87" s="1" t="s">
        <v>212</v>
      </c>
      <c r="HG87" s="139" t="e">
        <f t="shared" si="691"/>
        <v>#REF!</v>
      </c>
      <c r="HH87" s="9" t="str">
        <f>B87</f>
        <v>Unleveraged Costs</v>
      </c>
      <c r="HI87" s="26"/>
      <c r="HJ87" s="26"/>
      <c r="HK87" s="26"/>
      <c r="HL87" s="132">
        <f ca="1">SUM(HN87:HV87)</f>
        <v>37036.571504450425</v>
      </c>
      <c r="HM87" s="26"/>
      <c r="HN87" s="133">
        <f t="shared" ref="HN87:HV92" si="706">SUMIF($K$14:$GT$14,HN$14,$K87:$GT87)</f>
        <v>30206</v>
      </c>
      <c r="HO87" s="26">
        <f t="shared" ca="1" si="706"/>
        <v>293.74533000000002</v>
      </c>
      <c r="HP87" s="26">
        <f t="shared" ca="1" si="706"/>
        <v>1970.3777708454286</v>
      </c>
      <c r="HQ87" s="26">
        <f t="shared" ca="1" si="706"/>
        <v>452.0682140238838</v>
      </c>
      <c r="HR87" s="26">
        <f t="shared" ca="1" si="706"/>
        <v>697.1404595811141</v>
      </c>
      <c r="HS87" s="26">
        <f t="shared" ca="1" si="706"/>
        <v>65.924000000000007</v>
      </c>
      <c r="HT87" s="26">
        <f t="shared" ca="1" si="706"/>
        <v>507.96230000000003</v>
      </c>
      <c r="HU87" s="26">
        <f t="shared" ca="1" si="706"/>
        <v>517.46289031746028</v>
      </c>
      <c r="HV87" s="26">
        <f t="shared" ca="1" si="706"/>
        <v>2325.8905396825398</v>
      </c>
      <c r="HW87"/>
    </row>
    <row r="88" spans="2:231" ht="15">
      <c r="B88" s="9" t="s">
        <v>25</v>
      </c>
      <c r="I88" s="132">
        <f ca="1">SUMIF($K$13:$GT$13,"&lt;="&amp;Assumptions!$L$17,'Monthly Cash Flow'!K88:GT88)</f>
        <v>499.20616000000007</v>
      </c>
      <c r="J88" s="26"/>
      <c r="K88" s="133">
        <f t="shared" ref="K88:BS88" si="707">-MIN(K80,0)</f>
        <v>0</v>
      </c>
      <c r="L88" s="26">
        <f t="shared" si="707"/>
        <v>0</v>
      </c>
      <c r="M88" s="26">
        <f t="shared" si="707"/>
        <v>0</v>
      </c>
      <c r="N88" s="26">
        <f t="shared" si="707"/>
        <v>0</v>
      </c>
      <c r="O88" s="26">
        <f t="shared" si="707"/>
        <v>0</v>
      </c>
      <c r="P88" s="26">
        <f t="shared" si="707"/>
        <v>0</v>
      </c>
      <c r="Q88" s="26">
        <f t="shared" si="707"/>
        <v>0</v>
      </c>
      <c r="R88" s="26">
        <f t="shared" si="707"/>
        <v>0</v>
      </c>
      <c r="S88" s="26">
        <f t="shared" si="707"/>
        <v>0</v>
      </c>
      <c r="T88" s="26">
        <f t="shared" si="707"/>
        <v>0</v>
      </c>
      <c r="U88" s="26">
        <f t="shared" si="707"/>
        <v>0</v>
      </c>
      <c r="V88" s="26">
        <f t="shared" si="707"/>
        <v>0</v>
      </c>
      <c r="W88" s="26">
        <f t="shared" si="707"/>
        <v>129.80023</v>
      </c>
      <c r="X88" s="26">
        <f t="shared" si="707"/>
        <v>0</v>
      </c>
      <c r="Y88" s="26">
        <f t="shared" si="707"/>
        <v>5.0317100000000039</v>
      </c>
      <c r="Z88" s="26">
        <f t="shared" si="707"/>
        <v>0</v>
      </c>
      <c r="AA88" s="26">
        <f t="shared" si="707"/>
        <v>0</v>
      </c>
      <c r="AB88" s="26">
        <f t="shared" si="707"/>
        <v>0</v>
      </c>
      <c r="AC88" s="26">
        <f t="shared" si="707"/>
        <v>0</v>
      </c>
      <c r="AD88" s="26">
        <f t="shared" si="707"/>
        <v>0</v>
      </c>
      <c r="AE88" s="26">
        <f t="shared" si="707"/>
        <v>0</v>
      </c>
      <c r="AF88" s="26">
        <f t="shared" si="707"/>
        <v>0</v>
      </c>
      <c r="AG88" s="26">
        <f t="shared" si="707"/>
        <v>0</v>
      </c>
      <c r="AH88" s="26">
        <f t="shared" si="707"/>
        <v>0</v>
      </c>
      <c r="AI88" s="26">
        <f t="shared" si="707"/>
        <v>0</v>
      </c>
      <c r="AJ88" s="26">
        <f t="shared" si="707"/>
        <v>0</v>
      </c>
      <c r="AK88" s="26">
        <f t="shared" si="707"/>
        <v>0</v>
      </c>
      <c r="AL88" s="26">
        <f t="shared" si="707"/>
        <v>0</v>
      </c>
      <c r="AM88" s="26">
        <f t="shared" si="707"/>
        <v>0</v>
      </c>
      <c r="AN88" s="26">
        <f t="shared" si="707"/>
        <v>0</v>
      </c>
      <c r="AO88" s="26">
        <f t="shared" si="707"/>
        <v>0</v>
      </c>
      <c r="AP88" s="26">
        <f t="shared" si="707"/>
        <v>0</v>
      </c>
      <c r="AQ88" s="26">
        <f t="shared" si="707"/>
        <v>0</v>
      </c>
      <c r="AR88" s="26">
        <f t="shared" si="707"/>
        <v>0</v>
      </c>
      <c r="AS88" s="26">
        <f t="shared" si="707"/>
        <v>0</v>
      </c>
      <c r="AT88" s="26">
        <f t="shared" si="707"/>
        <v>0</v>
      </c>
      <c r="AU88" s="26">
        <f t="shared" si="707"/>
        <v>0</v>
      </c>
      <c r="AV88" s="26">
        <f t="shared" si="707"/>
        <v>0</v>
      </c>
      <c r="AW88" s="26">
        <f t="shared" si="707"/>
        <v>0</v>
      </c>
      <c r="AX88" s="26">
        <f t="shared" si="707"/>
        <v>0</v>
      </c>
      <c r="AY88" s="26">
        <f t="shared" si="707"/>
        <v>0</v>
      </c>
      <c r="AZ88" s="26">
        <f t="shared" si="707"/>
        <v>0</v>
      </c>
      <c r="BA88" s="26">
        <f t="shared" si="707"/>
        <v>0</v>
      </c>
      <c r="BB88" s="26">
        <f t="shared" si="707"/>
        <v>0</v>
      </c>
      <c r="BC88" s="26">
        <f t="shared" si="707"/>
        <v>0</v>
      </c>
      <c r="BD88" s="26">
        <f t="shared" si="707"/>
        <v>0</v>
      </c>
      <c r="BE88" s="26">
        <f t="shared" si="707"/>
        <v>0</v>
      </c>
      <c r="BF88" s="26">
        <f t="shared" si="707"/>
        <v>0</v>
      </c>
      <c r="BG88" s="26">
        <f t="shared" si="707"/>
        <v>0</v>
      </c>
      <c r="BH88" s="26">
        <f t="shared" si="707"/>
        <v>0</v>
      </c>
      <c r="BI88" s="26">
        <f t="shared" si="707"/>
        <v>0</v>
      </c>
      <c r="BJ88" s="26">
        <f t="shared" si="707"/>
        <v>364.37422000000004</v>
      </c>
      <c r="BK88" s="26">
        <f t="shared" si="707"/>
        <v>0</v>
      </c>
      <c r="BL88" s="26">
        <f t="shared" ca="1" si="707"/>
        <v>0</v>
      </c>
      <c r="BM88" s="26">
        <f t="shared" ca="1" si="707"/>
        <v>0</v>
      </c>
      <c r="BN88" s="26">
        <f t="shared" ca="1" si="707"/>
        <v>0</v>
      </c>
      <c r="BO88" s="26">
        <f t="shared" ca="1" si="707"/>
        <v>0</v>
      </c>
      <c r="BP88" s="26">
        <f t="shared" ca="1" si="707"/>
        <v>0</v>
      </c>
      <c r="BQ88" s="26">
        <f t="shared" ca="1" si="707"/>
        <v>0</v>
      </c>
      <c r="BR88" s="26">
        <f t="shared" ca="1" si="707"/>
        <v>0</v>
      </c>
      <c r="BS88" s="26">
        <f t="shared" ca="1" si="707"/>
        <v>0</v>
      </c>
      <c r="BT88" s="26">
        <f ca="1">-MIN(BT80,0)</f>
        <v>0</v>
      </c>
      <c r="BU88" s="26">
        <f ca="1">-MIN(BU80,0)</f>
        <v>0</v>
      </c>
      <c r="BV88" s="26">
        <f ca="1">-MIN(BV80,0)</f>
        <v>0</v>
      </c>
      <c r="BW88" s="26">
        <f ca="1">-MIN(BW80,0)</f>
        <v>0</v>
      </c>
      <c r="BX88" s="26">
        <f t="shared" ref="BX88:CE88" ca="1" si="708">-MIN(BX80,0)</f>
        <v>0</v>
      </c>
      <c r="BY88" s="26">
        <f t="shared" ca="1" si="708"/>
        <v>0</v>
      </c>
      <c r="BZ88" s="26">
        <f t="shared" ca="1" si="708"/>
        <v>0</v>
      </c>
      <c r="CA88" s="26">
        <f t="shared" ca="1" si="708"/>
        <v>0</v>
      </c>
      <c r="CB88" s="26">
        <f t="shared" ca="1" si="708"/>
        <v>0</v>
      </c>
      <c r="CC88" s="26">
        <f t="shared" ca="1" si="708"/>
        <v>0</v>
      </c>
      <c r="CD88" s="26">
        <f t="shared" ca="1" si="708"/>
        <v>0</v>
      </c>
      <c r="CE88" s="26">
        <f t="shared" ca="1" si="708"/>
        <v>0</v>
      </c>
      <c r="CF88" s="26">
        <f t="shared" ref="CF88:EL88" ca="1" si="709">-MIN(CF80,0)</f>
        <v>0</v>
      </c>
      <c r="CG88" s="26">
        <f t="shared" ca="1" si="709"/>
        <v>0</v>
      </c>
      <c r="CH88" s="26">
        <f t="shared" ca="1" si="709"/>
        <v>0</v>
      </c>
      <c r="CI88" s="26">
        <f t="shared" ca="1" si="709"/>
        <v>0</v>
      </c>
      <c r="CJ88" s="26">
        <f t="shared" ca="1" si="709"/>
        <v>0</v>
      </c>
      <c r="CK88" s="26">
        <f t="shared" ca="1" si="709"/>
        <v>0</v>
      </c>
      <c r="CL88" s="26">
        <f t="shared" ca="1" si="709"/>
        <v>0</v>
      </c>
      <c r="CM88" s="26">
        <f t="shared" ca="1" si="709"/>
        <v>0</v>
      </c>
      <c r="CN88" s="26">
        <f t="shared" ca="1" si="709"/>
        <v>0</v>
      </c>
      <c r="CO88" s="26">
        <f t="shared" ca="1" si="709"/>
        <v>0</v>
      </c>
      <c r="CP88" s="26">
        <f t="shared" ca="1" si="709"/>
        <v>0</v>
      </c>
      <c r="CQ88" s="26">
        <f t="shared" ca="1" si="709"/>
        <v>0</v>
      </c>
      <c r="CR88" s="26">
        <f t="shared" ca="1" si="709"/>
        <v>0</v>
      </c>
      <c r="CS88" s="26">
        <f t="shared" ca="1" si="709"/>
        <v>0</v>
      </c>
      <c r="CT88" s="26">
        <f t="shared" ca="1" si="709"/>
        <v>0</v>
      </c>
      <c r="CU88" s="26">
        <f t="shared" ca="1" si="709"/>
        <v>0</v>
      </c>
      <c r="CV88" s="26">
        <f t="shared" ca="1" si="709"/>
        <v>0</v>
      </c>
      <c r="CW88" s="26">
        <f t="shared" ca="1" si="709"/>
        <v>0</v>
      </c>
      <c r="CX88" s="26">
        <f t="shared" ca="1" si="709"/>
        <v>0</v>
      </c>
      <c r="CY88" s="26">
        <f t="shared" ca="1" si="709"/>
        <v>0</v>
      </c>
      <c r="CZ88" s="26">
        <f t="shared" ca="1" si="709"/>
        <v>0</v>
      </c>
      <c r="DA88" s="26">
        <f t="shared" ca="1" si="709"/>
        <v>0</v>
      </c>
      <c r="DB88" s="26">
        <f t="shared" ca="1" si="709"/>
        <v>0</v>
      </c>
      <c r="DC88" s="26">
        <f t="shared" ca="1" si="709"/>
        <v>0</v>
      </c>
      <c r="DD88" s="26">
        <f t="shared" ca="1" si="709"/>
        <v>0</v>
      </c>
      <c r="DE88" s="26">
        <f t="shared" ca="1" si="709"/>
        <v>0</v>
      </c>
      <c r="DF88" s="26">
        <f t="shared" ca="1" si="709"/>
        <v>0</v>
      </c>
      <c r="DG88" s="26">
        <f t="shared" ca="1" si="709"/>
        <v>0</v>
      </c>
      <c r="DH88" s="26">
        <f t="shared" ca="1" si="709"/>
        <v>0</v>
      </c>
      <c r="DI88" s="26">
        <f t="shared" ca="1" si="709"/>
        <v>0</v>
      </c>
      <c r="DJ88" s="26">
        <f t="shared" si="709"/>
        <v>0</v>
      </c>
      <c r="DK88" s="26">
        <f t="shared" si="709"/>
        <v>0</v>
      </c>
      <c r="DL88" s="26">
        <f t="shared" si="709"/>
        <v>0</v>
      </c>
      <c r="DM88" s="26">
        <f t="shared" si="709"/>
        <v>0</v>
      </c>
      <c r="DN88" s="26">
        <f t="shared" si="709"/>
        <v>0</v>
      </c>
      <c r="DO88" s="26">
        <f t="shared" si="709"/>
        <v>0</v>
      </c>
      <c r="DP88" s="26">
        <f t="shared" si="709"/>
        <v>0</v>
      </c>
      <c r="DQ88" s="26">
        <f t="shared" si="709"/>
        <v>0</v>
      </c>
      <c r="DR88" s="26">
        <f t="shared" si="709"/>
        <v>0</v>
      </c>
      <c r="DS88" s="26">
        <f t="shared" si="709"/>
        <v>0</v>
      </c>
      <c r="DT88" s="26">
        <f t="shared" si="709"/>
        <v>0</v>
      </c>
      <c r="DU88" s="26">
        <f t="shared" si="709"/>
        <v>0</v>
      </c>
      <c r="DV88" s="26">
        <f t="shared" si="709"/>
        <v>0</v>
      </c>
      <c r="DW88" s="26">
        <f t="shared" si="709"/>
        <v>0</v>
      </c>
      <c r="DX88" s="26">
        <f t="shared" si="709"/>
        <v>0</v>
      </c>
      <c r="DY88" s="26">
        <f t="shared" si="709"/>
        <v>0</v>
      </c>
      <c r="DZ88" s="26">
        <f t="shared" si="709"/>
        <v>0</v>
      </c>
      <c r="EA88" s="26">
        <f t="shared" si="709"/>
        <v>0</v>
      </c>
      <c r="EB88" s="26">
        <f t="shared" si="709"/>
        <v>0</v>
      </c>
      <c r="EC88" s="26">
        <f t="shared" si="709"/>
        <v>0</v>
      </c>
      <c r="ED88" s="26">
        <f t="shared" si="709"/>
        <v>0</v>
      </c>
      <c r="EE88" s="26">
        <f t="shared" si="709"/>
        <v>0</v>
      </c>
      <c r="EF88" s="26">
        <f t="shared" si="709"/>
        <v>0</v>
      </c>
      <c r="EG88" s="26">
        <f t="shared" si="709"/>
        <v>0</v>
      </c>
      <c r="EH88" s="26">
        <f t="shared" si="709"/>
        <v>0</v>
      </c>
      <c r="EI88" s="26">
        <f t="shared" si="709"/>
        <v>0</v>
      </c>
      <c r="EJ88" s="26">
        <f t="shared" si="709"/>
        <v>0</v>
      </c>
      <c r="EK88" s="26">
        <f t="shared" si="709"/>
        <v>0</v>
      </c>
      <c r="EL88" s="26">
        <f t="shared" si="709"/>
        <v>0</v>
      </c>
      <c r="EM88" s="26">
        <f t="shared" ref="EM88:FD88" si="710">-MIN(EM80,0)</f>
        <v>0</v>
      </c>
      <c r="EN88" s="26">
        <f t="shared" si="710"/>
        <v>0</v>
      </c>
      <c r="EO88" s="26">
        <f t="shared" si="710"/>
        <v>0</v>
      </c>
      <c r="EP88" s="26">
        <f t="shared" si="710"/>
        <v>0</v>
      </c>
      <c r="EQ88" s="26">
        <f t="shared" si="710"/>
        <v>0</v>
      </c>
      <c r="ER88" s="26">
        <f t="shared" si="710"/>
        <v>0</v>
      </c>
      <c r="ES88" s="26">
        <f t="shared" si="710"/>
        <v>0</v>
      </c>
      <c r="ET88" s="26">
        <f t="shared" si="710"/>
        <v>0</v>
      </c>
      <c r="EU88" s="26">
        <f t="shared" si="710"/>
        <v>0</v>
      </c>
      <c r="EV88" s="26">
        <f t="shared" si="710"/>
        <v>0</v>
      </c>
      <c r="EW88" s="26">
        <f t="shared" si="710"/>
        <v>0</v>
      </c>
      <c r="EX88" s="26">
        <f t="shared" si="710"/>
        <v>0</v>
      </c>
      <c r="EY88" s="26">
        <f t="shared" si="710"/>
        <v>0</v>
      </c>
      <c r="EZ88" s="26">
        <f t="shared" si="710"/>
        <v>0</v>
      </c>
      <c r="FA88" s="26">
        <f t="shared" si="710"/>
        <v>0</v>
      </c>
      <c r="FB88" s="26">
        <f t="shared" si="710"/>
        <v>0</v>
      </c>
      <c r="FC88" s="26">
        <f t="shared" si="710"/>
        <v>0</v>
      </c>
      <c r="FD88" s="26">
        <f t="shared" si="710"/>
        <v>0</v>
      </c>
      <c r="FE88" s="26">
        <f t="shared" ref="FE88:FI88" si="711">-MIN(FE80,0)</f>
        <v>0</v>
      </c>
      <c r="FF88" s="26">
        <f t="shared" si="711"/>
        <v>0</v>
      </c>
      <c r="FG88" s="26">
        <f t="shared" si="711"/>
        <v>0</v>
      </c>
      <c r="FH88" s="26">
        <f t="shared" si="711"/>
        <v>0</v>
      </c>
      <c r="FI88" s="26">
        <f t="shared" si="711"/>
        <v>0</v>
      </c>
      <c r="FJ88" s="26">
        <f t="shared" ref="FJ88:GC88" si="712">-MIN(FJ80,0)</f>
        <v>0</v>
      </c>
      <c r="FK88" s="26">
        <f t="shared" si="712"/>
        <v>0</v>
      </c>
      <c r="FL88" s="26">
        <f t="shared" si="712"/>
        <v>0</v>
      </c>
      <c r="FM88" s="26">
        <f t="shared" si="712"/>
        <v>0</v>
      </c>
      <c r="FN88" s="26">
        <f t="shared" si="712"/>
        <v>0</v>
      </c>
      <c r="FO88" s="26">
        <f t="shared" si="712"/>
        <v>0</v>
      </c>
      <c r="FP88" s="26">
        <f t="shared" si="712"/>
        <v>0</v>
      </c>
      <c r="FQ88" s="26">
        <f t="shared" si="712"/>
        <v>0</v>
      </c>
      <c r="FR88" s="26">
        <f t="shared" si="712"/>
        <v>0</v>
      </c>
      <c r="FS88" s="26">
        <f t="shared" si="712"/>
        <v>0</v>
      </c>
      <c r="FT88" s="26">
        <f t="shared" si="712"/>
        <v>0</v>
      </c>
      <c r="FU88" s="26">
        <f t="shared" si="712"/>
        <v>0</v>
      </c>
      <c r="FV88" s="26">
        <f t="shared" si="712"/>
        <v>0</v>
      </c>
      <c r="FW88" s="26">
        <f t="shared" si="712"/>
        <v>0</v>
      </c>
      <c r="FX88" s="26">
        <f t="shared" si="712"/>
        <v>0</v>
      </c>
      <c r="FY88" s="26">
        <f t="shared" si="712"/>
        <v>0</v>
      </c>
      <c r="FZ88" s="26">
        <f t="shared" si="712"/>
        <v>0</v>
      </c>
      <c r="GA88" s="26">
        <f t="shared" si="712"/>
        <v>0</v>
      </c>
      <c r="GB88" s="26">
        <f t="shared" si="712"/>
        <v>0</v>
      </c>
      <c r="GC88" s="26">
        <f t="shared" si="712"/>
        <v>0</v>
      </c>
      <c r="GD88" s="26">
        <f t="shared" ref="GD88:GT88" si="713">-MIN(GD80,0)</f>
        <v>0</v>
      </c>
      <c r="GE88" s="26">
        <f t="shared" si="713"/>
        <v>0</v>
      </c>
      <c r="GF88" s="26">
        <f t="shared" si="713"/>
        <v>0</v>
      </c>
      <c r="GG88" s="26">
        <f t="shared" si="713"/>
        <v>0</v>
      </c>
      <c r="GH88" s="26">
        <f t="shared" si="713"/>
        <v>0</v>
      </c>
      <c r="GI88" s="26">
        <f t="shared" si="713"/>
        <v>0</v>
      </c>
      <c r="GJ88" s="26">
        <f t="shared" si="713"/>
        <v>0</v>
      </c>
      <c r="GK88" s="26">
        <f t="shared" si="713"/>
        <v>0</v>
      </c>
      <c r="GL88" s="26">
        <f t="shared" si="713"/>
        <v>0</v>
      </c>
      <c r="GM88" s="26">
        <f t="shared" si="713"/>
        <v>0</v>
      </c>
      <c r="GN88" s="26">
        <f t="shared" si="713"/>
        <v>0</v>
      </c>
      <c r="GO88" s="26">
        <f t="shared" si="713"/>
        <v>0</v>
      </c>
      <c r="GP88" s="26">
        <f t="shared" si="713"/>
        <v>0</v>
      </c>
      <c r="GQ88" s="26">
        <f t="shared" si="713"/>
        <v>0</v>
      </c>
      <c r="GR88" s="26">
        <f t="shared" si="713"/>
        <v>0</v>
      </c>
      <c r="GS88" s="26">
        <f t="shared" si="713"/>
        <v>0</v>
      </c>
      <c r="GT88" s="26">
        <f t="shared" si="713"/>
        <v>0</v>
      </c>
      <c r="GU88" s="26"/>
      <c r="GV88" s="26"/>
      <c r="GW88" s="26"/>
      <c r="GX88" s="26"/>
      <c r="GY88" s="26"/>
      <c r="GZ88" s="26"/>
      <c r="HA88" s="26"/>
      <c r="HB88" s="26"/>
      <c r="HC88" s="26"/>
      <c r="HD88" s="26"/>
      <c r="HE88" s="26"/>
      <c r="HF88" s="1" t="s">
        <v>212</v>
      </c>
      <c r="HG88" s="139" t="e">
        <f t="shared" si="691"/>
        <v>#REF!</v>
      </c>
      <c r="HH88" s="9" t="str">
        <f>B88</f>
        <v>Operating Losses</v>
      </c>
      <c r="HI88" s="26"/>
      <c r="HJ88" s="26"/>
      <c r="HK88" s="26"/>
      <c r="HL88" s="132"/>
      <c r="HM88" s="26"/>
      <c r="HN88" s="133">
        <f t="shared" si="706"/>
        <v>0</v>
      </c>
      <c r="HO88" s="26">
        <f t="shared" si="706"/>
        <v>129.80023</v>
      </c>
      <c r="HP88" s="26">
        <f t="shared" si="706"/>
        <v>5.0317100000000039</v>
      </c>
      <c r="HQ88" s="26">
        <f t="shared" si="706"/>
        <v>0</v>
      </c>
      <c r="HR88" s="26">
        <f t="shared" si="706"/>
        <v>0</v>
      </c>
      <c r="HS88" s="26">
        <f t="shared" ca="1" si="706"/>
        <v>364.37422000000004</v>
      </c>
      <c r="HT88" s="26">
        <f t="shared" ca="1" si="706"/>
        <v>0</v>
      </c>
      <c r="HU88" s="26">
        <f t="shared" ca="1" si="706"/>
        <v>0</v>
      </c>
      <c r="HV88" s="26">
        <f t="shared" ca="1" si="706"/>
        <v>0</v>
      </c>
      <c r="HW88"/>
    </row>
    <row r="89" spans="2:231" ht="15">
      <c r="B89" s="43" t="s">
        <v>109</v>
      </c>
      <c r="C89" s="84"/>
      <c r="D89" s="84"/>
      <c r="E89" s="84"/>
      <c r="F89" s="84"/>
      <c r="G89" s="84"/>
      <c r="H89" s="84"/>
      <c r="I89" s="119">
        <f ca="1">SUMIF($K$13:$GT$13,"&lt;="&amp;Assumptions!$L$17,'Monthly Cash Flow'!K89:GT89)</f>
        <v>-33515.043118095236</v>
      </c>
      <c r="J89" s="120"/>
      <c r="K89" s="140">
        <f>-MAX(MIN(K87,K80),0)</f>
        <v>-30206</v>
      </c>
      <c r="L89" s="120">
        <f t="shared" ref="L89:BS89" ca="1" si="714">-MAX(MIN(L87,L80),0)</f>
        <v>0</v>
      </c>
      <c r="M89" s="120">
        <f t="shared" ca="1" si="714"/>
        <v>0</v>
      </c>
      <c r="N89" s="120">
        <f t="shared" ca="1" si="714"/>
        <v>0</v>
      </c>
      <c r="O89" s="120">
        <f t="shared" ca="1" si="714"/>
        <v>0</v>
      </c>
      <c r="P89" s="120">
        <f t="shared" ca="1" si="714"/>
        <v>0</v>
      </c>
      <c r="Q89" s="120">
        <f t="shared" ca="1" si="714"/>
        <v>0</v>
      </c>
      <c r="R89" s="120">
        <f t="shared" ca="1" si="714"/>
        <v>0</v>
      </c>
      <c r="S89" s="120">
        <f t="shared" ca="1" si="714"/>
        <v>0</v>
      </c>
      <c r="T89" s="120">
        <f t="shared" ca="1" si="714"/>
        <v>0</v>
      </c>
      <c r="U89" s="120">
        <f t="shared" ca="1" si="714"/>
        <v>-154.67081000000002</v>
      </c>
      <c r="V89" s="120">
        <f t="shared" ca="1" si="714"/>
        <v>0</v>
      </c>
      <c r="W89" s="120">
        <f t="shared" ca="1" si="714"/>
        <v>0</v>
      </c>
      <c r="X89" s="120">
        <f t="shared" ca="1" si="714"/>
        <v>-3.6021399999999999</v>
      </c>
      <c r="Y89" s="120">
        <f t="shared" ca="1" si="714"/>
        <v>0</v>
      </c>
      <c r="Z89" s="120">
        <f t="shared" ca="1" si="714"/>
        <v>-73.826150000000041</v>
      </c>
      <c r="AA89" s="120">
        <f t="shared" ca="1" si="714"/>
        <v>0</v>
      </c>
      <c r="AB89" s="120">
        <f t="shared" ca="1" si="714"/>
        <v>-60.287239999999997</v>
      </c>
      <c r="AC89" s="120">
        <f t="shared" ca="1" si="714"/>
        <v>0</v>
      </c>
      <c r="AD89" s="120">
        <f t="shared" ca="1" si="714"/>
        <v>-2.28E-15</v>
      </c>
      <c r="AE89" s="120">
        <f t="shared" ca="1" si="714"/>
        <v>-105.07043000000002</v>
      </c>
      <c r="AF89" s="120">
        <f t="shared" ca="1" si="714"/>
        <v>-94.892400000000038</v>
      </c>
      <c r="AG89" s="120">
        <f t="shared" ca="1" si="714"/>
        <v>-86.470220000000012</v>
      </c>
      <c r="AH89" s="120">
        <f t="shared" ca="1" si="714"/>
        <v>0</v>
      </c>
      <c r="AI89" s="120">
        <f t="shared" ca="1" si="714"/>
        <v>-82.490880000000004</v>
      </c>
      <c r="AJ89" s="120">
        <f t="shared" ca="1" si="714"/>
        <v>0</v>
      </c>
      <c r="AK89" s="120">
        <f t="shared" ca="1" si="714"/>
        <v>0</v>
      </c>
      <c r="AL89" s="120">
        <f t="shared" ca="1" si="714"/>
        <v>-99.803760000000025</v>
      </c>
      <c r="AM89" s="120">
        <f t="shared" ca="1" si="714"/>
        <v>0</v>
      </c>
      <c r="AN89" s="120">
        <f t="shared" ca="1" si="714"/>
        <v>-32.111649999999997</v>
      </c>
      <c r="AO89" s="120">
        <f t="shared" ca="1" si="714"/>
        <v>0</v>
      </c>
      <c r="AP89" s="120">
        <f t="shared" ca="1" si="714"/>
        <v>-135.38081</v>
      </c>
      <c r="AQ89" s="120">
        <f t="shared" ca="1" si="714"/>
        <v>-41.92615</v>
      </c>
      <c r="AR89" s="120">
        <f t="shared" ca="1" si="714"/>
        <v>0</v>
      </c>
      <c r="AS89" s="120">
        <f t="shared" ca="1" si="714"/>
        <v>0</v>
      </c>
      <c r="AT89" s="120">
        <f t="shared" ca="1" si="714"/>
        <v>0</v>
      </c>
      <c r="AU89" s="120">
        <f t="shared" ca="1" si="714"/>
        <v>0</v>
      </c>
      <c r="AV89" s="120">
        <f ca="1">-MAX(MIN(AV87,AV80),0)</f>
        <v>0</v>
      </c>
      <c r="AW89" s="120">
        <f t="shared" ca="1" si="714"/>
        <v>-129.61628999999999</v>
      </c>
      <c r="AX89" s="120">
        <f t="shared" ca="1" si="714"/>
        <v>0</v>
      </c>
      <c r="AY89" s="120">
        <f t="shared" ca="1" si="714"/>
        <v>0</v>
      </c>
      <c r="AZ89" s="120">
        <f t="shared" ca="1" si="714"/>
        <v>-51.822730000000007</v>
      </c>
      <c r="BA89" s="120">
        <f t="shared" ca="1" si="714"/>
        <v>-131.91952999999998</v>
      </c>
      <c r="BB89" s="120">
        <f t="shared" ca="1" si="714"/>
        <v>0</v>
      </c>
      <c r="BC89" s="120">
        <f t="shared" ca="1" si="714"/>
        <v>-104.50782999999998</v>
      </c>
      <c r="BD89" s="120">
        <f t="shared" ca="1" si="714"/>
        <v>-23.257999999999999</v>
      </c>
      <c r="BE89" s="120">
        <f t="shared" ca="1" si="714"/>
        <v>0</v>
      </c>
      <c r="BF89" s="120">
        <f t="shared" ca="1" si="714"/>
        <v>0</v>
      </c>
      <c r="BG89" s="120">
        <f t="shared" ca="1" si="714"/>
        <v>0</v>
      </c>
      <c r="BH89" s="120">
        <f t="shared" ca="1" si="714"/>
        <v>0</v>
      </c>
      <c r="BI89" s="120">
        <f t="shared" ca="1" si="714"/>
        <v>0</v>
      </c>
      <c r="BJ89" s="120">
        <f t="shared" ca="1" si="714"/>
        <v>0</v>
      </c>
      <c r="BK89" s="120">
        <f t="shared" ca="1" si="714"/>
        <v>0</v>
      </c>
      <c r="BL89" s="120">
        <f t="shared" ca="1" si="714"/>
        <v>0</v>
      </c>
      <c r="BM89" s="120">
        <f t="shared" ca="1" si="714"/>
        <v>0</v>
      </c>
      <c r="BN89" s="120">
        <f t="shared" ca="1" si="714"/>
        <v>0</v>
      </c>
      <c r="BO89" s="120">
        <f t="shared" ca="1" si="714"/>
        <v>0</v>
      </c>
      <c r="BP89" s="120">
        <f t="shared" ca="1" si="714"/>
        <v>0</v>
      </c>
      <c r="BQ89" s="120">
        <f t="shared" ca="1" si="714"/>
        <v>0</v>
      </c>
      <c r="BR89" s="120">
        <f t="shared" ca="1" si="714"/>
        <v>-59.421770000000009</v>
      </c>
      <c r="BS89" s="120">
        <f t="shared" ca="1" si="714"/>
        <v>0</v>
      </c>
      <c r="BT89" s="120">
        <f ca="1">-MAX(MIN(BT87,BT80),0)</f>
        <v>0</v>
      </c>
      <c r="BU89" s="120">
        <f ca="1">-MAX(MIN(BU87,BU80),0)</f>
        <v>0</v>
      </c>
      <c r="BV89" s="120">
        <f ca="1">-MAX(MIN(BV87,BV80),0)</f>
        <v>0</v>
      </c>
      <c r="BW89" s="120">
        <f ca="1">-MAX(MIN(BW87,BW80),0)</f>
        <v>-9.3451900000000006</v>
      </c>
      <c r="BX89" s="120">
        <f t="shared" ref="BX89:CE89" ca="1" si="715">-MAX(MIN(BX87,BX80),0)</f>
        <v>-27.214280000000002</v>
      </c>
      <c r="BY89" s="120">
        <f t="shared" ca="1" si="715"/>
        <v>-87.333829999999992</v>
      </c>
      <c r="BZ89" s="120">
        <f t="shared" ca="1" si="715"/>
        <v>0</v>
      </c>
      <c r="CA89" s="120">
        <f t="shared" ca="1" si="715"/>
        <v>-15.259610000000009</v>
      </c>
      <c r="CB89" s="120">
        <f t="shared" ca="1" si="715"/>
        <v>-5</v>
      </c>
      <c r="CC89" s="120">
        <f t="shared" ca="1" si="715"/>
        <v>0</v>
      </c>
      <c r="CD89" s="120">
        <f t="shared" ca="1" si="715"/>
        <v>-97.98275000000001</v>
      </c>
      <c r="CE89" s="120">
        <f t="shared" ca="1" si="715"/>
        <v>0</v>
      </c>
      <c r="CF89" s="120">
        <f t="shared" ref="CF89:EL89" ca="1" si="716">-MAX(MIN(CF87,CF80),0)</f>
        <v>-66.949960000000004</v>
      </c>
      <c r="CG89" s="120">
        <f t="shared" ca="1" si="716"/>
        <v>0</v>
      </c>
      <c r="CH89" s="120">
        <f t="shared" ca="1" si="716"/>
        <v>-22.286470000000001</v>
      </c>
      <c r="CI89" s="120">
        <f t="shared" ca="1" si="716"/>
        <v>0</v>
      </c>
      <c r="CJ89" s="120">
        <f t="shared" ca="1" si="716"/>
        <v>0</v>
      </c>
      <c r="CK89" s="120">
        <f t="shared" ca="1" si="716"/>
        <v>0</v>
      </c>
      <c r="CL89" s="120">
        <f t="shared" ca="1" si="716"/>
        <v>0</v>
      </c>
      <c r="CM89" s="120">
        <f t="shared" ca="1" si="716"/>
        <v>-68.313492063492063</v>
      </c>
      <c r="CN89" s="120">
        <f t="shared" ca="1" si="716"/>
        <v>-68.313492063492063</v>
      </c>
      <c r="CO89" s="120">
        <f t="shared" ca="1" si="716"/>
        <v>-68.313492063492077</v>
      </c>
      <c r="CP89" s="120">
        <f t="shared" ca="1" si="716"/>
        <v>-158.25599999999997</v>
      </c>
      <c r="CQ89" s="120">
        <f t="shared" ca="1" si="716"/>
        <v>-62.063492063492063</v>
      </c>
      <c r="CR89" s="120">
        <f t="shared" ca="1" si="716"/>
        <v>-62.06349206349207</v>
      </c>
      <c r="CS89" s="120">
        <f t="shared" ca="1" si="716"/>
        <v>-121.59599999999995</v>
      </c>
      <c r="CT89" s="120">
        <f t="shared" ca="1" si="716"/>
        <v>-167.08699999999996</v>
      </c>
      <c r="CU89" s="120">
        <f t="shared" ca="1" si="716"/>
        <v>-27.777777777777771</v>
      </c>
      <c r="CV89" s="120">
        <f t="shared" ca="1" si="716"/>
        <v>0</v>
      </c>
      <c r="CW89" s="120">
        <f t="shared" ca="1" si="716"/>
        <v>0</v>
      </c>
      <c r="CX89" s="120">
        <f t="shared" ca="1" si="716"/>
        <v>0</v>
      </c>
      <c r="CY89" s="120">
        <f t="shared" ca="1" si="716"/>
        <v>-169.083</v>
      </c>
      <c r="CZ89" s="120">
        <f t="shared" ca="1" si="716"/>
        <v>0</v>
      </c>
      <c r="DA89" s="120">
        <f t="shared" ca="1" si="716"/>
        <v>-154.11699999999999</v>
      </c>
      <c r="DB89" s="120">
        <f t="shared" ca="1" si="716"/>
        <v>-186.80699999999999</v>
      </c>
      <c r="DC89" s="120">
        <f t="shared" ca="1" si="716"/>
        <v>-192.80099999999999</v>
      </c>
      <c r="DD89" s="120">
        <f t="shared" ca="1" si="716"/>
        <v>0</v>
      </c>
      <c r="DE89" s="120">
        <f t="shared" ca="1" si="716"/>
        <v>0</v>
      </c>
      <c r="DF89" s="120">
        <f t="shared" ca="1" si="716"/>
        <v>0</v>
      </c>
      <c r="DG89" s="120">
        <f t="shared" ca="1" si="716"/>
        <v>0</v>
      </c>
      <c r="DH89" s="120">
        <f t="shared" ca="1" si="716"/>
        <v>0</v>
      </c>
      <c r="DI89" s="120">
        <f t="shared" ca="1" si="716"/>
        <v>0</v>
      </c>
      <c r="DJ89" s="120">
        <f t="shared" si="716"/>
        <v>0</v>
      </c>
      <c r="DK89" s="120">
        <f t="shared" si="716"/>
        <v>0</v>
      </c>
      <c r="DL89" s="120">
        <f t="shared" si="716"/>
        <v>0</v>
      </c>
      <c r="DM89" s="120">
        <f t="shared" si="716"/>
        <v>0</v>
      </c>
      <c r="DN89" s="120">
        <f t="shared" si="716"/>
        <v>0</v>
      </c>
      <c r="DO89" s="120">
        <f t="shared" si="716"/>
        <v>0</v>
      </c>
      <c r="DP89" s="120">
        <f t="shared" si="716"/>
        <v>0</v>
      </c>
      <c r="DQ89" s="120">
        <f t="shared" si="716"/>
        <v>0</v>
      </c>
      <c r="DR89" s="120">
        <f t="shared" si="716"/>
        <v>0</v>
      </c>
      <c r="DS89" s="120">
        <f t="shared" si="716"/>
        <v>0</v>
      </c>
      <c r="DT89" s="120">
        <f t="shared" si="716"/>
        <v>0</v>
      </c>
      <c r="DU89" s="120">
        <f t="shared" si="716"/>
        <v>0</v>
      </c>
      <c r="DV89" s="120">
        <f t="shared" si="716"/>
        <v>0</v>
      </c>
      <c r="DW89" s="120">
        <f t="shared" si="716"/>
        <v>0</v>
      </c>
      <c r="DX89" s="120">
        <f t="shared" si="716"/>
        <v>0</v>
      </c>
      <c r="DY89" s="120">
        <f t="shared" si="716"/>
        <v>0</v>
      </c>
      <c r="DZ89" s="120">
        <f t="shared" si="716"/>
        <v>0</v>
      </c>
      <c r="EA89" s="120">
        <f t="shared" si="716"/>
        <v>0</v>
      </c>
      <c r="EB89" s="120">
        <f t="shared" si="716"/>
        <v>0</v>
      </c>
      <c r="EC89" s="120">
        <f t="shared" si="716"/>
        <v>0</v>
      </c>
      <c r="ED89" s="120">
        <f t="shared" si="716"/>
        <v>0</v>
      </c>
      <c r="EE89" s="120">
        <f t="shared" si="716"/>
        <v>0</v>
      </c>
      <c r="EF89" s="120">
        <f t="shared" si="716"/>
        <v>0</v>
      </c>
      <c r="EG89" s="120">
        <f t="shared" si="716"/>
        <v>0</v>
      </c>
      <c r="EH89" s="120">
        <f t="shared" si="716"/>
        <v>0</v>
      </c>
      <c r="EI89" s="120">
        <f t="shared" si="716"/>
        <v>0</v>
      </c>
      <c r="EJ89" s="120">
        <f t="shared" si="716"/>
        <v>0</v>
      </c>
      <c r="EK89" s="120">
        <f t="shared" si="716"/>
        <v>0</v>
      </c>
      <c r="EL89" s="120">
        <f t="shared" si="716"/>
        <v>0</v>
      </c>
      <c r="EM89" s="120">
        <f t="shared" ref="EM89:FD89" si="717">-MAX(MIN(EM87,EM80),0)</f>
        <v>0</v>
      </c>
      <c r="EN89" s="120">
        <f t="shared" si="717"/>
        <v>0</v>
      </c>
      <c r="EO89" s="120">
        <f t="shared" si="717"/>
        <v>0</v>
      </c>
      <c r="EP89" s="120">
        <f t="shared" si="717"/>
        <v>0</v>
      </c>
      <c r="EQ89" s="120">
        <f t="shared" si="717"/>
        <v>0</v>
      </c>
      <c r="ER89" s="120">
        <f t="shared" si="717"/>
        <v>0</v>
      </c>
      <c r="ES89" s="120">
        <f t="shared" si="717"/>
        <v>0</v>
      </c>
      <c r="ET89" s="120">
        <f t="shared" si="717"/>
        <v>0</v>
      </c>
      <c r="EU89" s="120">
        <f t="shared" si="717"/>
        <v>0</v>
      </c>
      <c r="EV89" s="120">
        <f t="shared" si="717"/>
        <v>0</v>
      </c>
      <c r="EW89" s="120">
        <f t="shared" si="717"/>
        <v>0</v>
      </c>
      <c r="EX89" s="120">
        <f t="shared" si="717"/>
        <v>0</v>
      </c>
      <c r="EY89" s="120">
        <f t="shared" si="717"/>
        <v>0</v>
      </c>
      <c r="EZ89" s="120">
        <f t="shared" si="717"/>
        <v>0</v>
      </c>
      <c r="FA89" s="120">
        <f t="shared" si="717"/>
        <v>0</v>
      </c>
      <c r="FB89" s="120">
        <f t="shared" si="717"/>
        <v>0</v>
      </c>
      <c r="FC89" s="120">
        <f t="shared" si="717"/>
        <v>0</v>
      </c>
      <c r="FD89" s="120">
        <f t="shared" si="717"/>
        <v>0</v>
      </c>
      <c r="FE89" s="120">
        <f t="shared" ref="FE89:FI89" si="718">-MAX(MIN(FE87,FE80),0)</f>
        <v>0</v>
      </c>
      <c r="FF89" s="120">
        <f t="shared" si="718"/>
        <v>0</v>
      </c>
      <c r="FG89" s="120">
        <f t="shared" si="718"/>
        <v>0</v>
      </c>
      <c r="FH89" s="120">
        <f t="shared" si="718"/>
        <v>0</v>
      </c>
      <c r="FI89" s="120">
        <f t="shared" si="718"/>
        <v>0</v>
      </c>
      <c r="FJ89" s="120">
        <f t="shared" ref="FJ89:GC89" si="719">-MAX(MIN(FJ87,FJ80),0)</f>
        <v>0</v>
      </c>
      <c r="FK89" s="120">
        <f t="shared" si="719"/>
        <v>0</v>
      </c>
      <c r="FL89" s="120">
        <f t="shared" si="719"/>
        <v>0</v>
      </c>
      <c r="FM89" s="120">
        <f t="shared" si="719"/>
        <v>0</v>
      </c>
      <c r="FN89" s="120">
        <f t="shared" si="719"/>
        <v>0</v>
      </c>
      <c r="FO89" s="120">
        <f t="shared" si="719"/>
        <v>0</v>
      </c>
      <c r="FP89" s="120">
        <f t="shared" si="719"/>
        <v>0</v>
      </c>
      <c r="FQ89" s="120">
        <f t="shared" si="719"/>
        <v>0</v>
      </c>
      <c r="FR89" s="120">
        <f t="shared" si="719"/>
        <v>0</v>
      </c>
      <c r="FS89" s="120">
        <f t="shared" si="719"/>
        <v>0</v>
      </c>
      <c r="FT89" s="120">
        <f t="shared" si="719"/>
        <v>0</v>
      </c>
      <c r="FU89" s="120">
        <f t="shared" si="719"/>
        <v>0</v>
      </c>
      <c r="FV89" s="120">
        <f t="shared" si="719"/>
        <v>0</v>
      </c>
      <c r="FW89" s="120">
        <f t="shared" si="719"/>
        <v>0</v>
      </c>
      <c r="FX89" s="120">
        <f t="shared" si="719"/>
        <v>0</v>
      </c>
      <c r="FY89" s="120">
        <f t="shared" si="719"/>
        <v>0</v>
      </c>
      <c r="FZ89" s="120">
        <f t="shared" si="719"/>
        <v>0</v>
      </c>
      <c r="GA89" s="120">
        <f t="shared" si="719"/>
        <v>0</v>
      </c>
      <c r="GB89" s="120">
        <f t="shared" si="719"/>
        <v>0</v>
      </c>
      <c r="GC89" s="120">
        <f t="shared" si="719"/>
        <v>0</v>
      </c>
      <c r="GD89" s="120">
        <f t="shared" ref="GD89:GT89" si="720">-MAX(MIN(GD87,GD80),0)</f>
        <v>0</v>
      </c>
      <c r="GE89" s="120">
        <f t="shared" si="720"/>
        <v>0</v>
      </c>
      <c r="GF89" s="120">
        <f t="shared" si="720"/>
        <v>0</v>
      </c>
      <c r="GG89" s="120">
        <f t="shared" si="720"/>
        <v>0</v>
      </c>
      <c r="GH89" s="120">
        <f t="shared" si="720"/>
        <v>0</v>
      </c>
      <c r="GI89" s="120">
        <f t="shared" si="720"/>
        <v>0</v>
      </c>
      <c r="GJ89" s="120">
        <f t="shared" si="720"/>
        <v>0</v>
      </c>
      <c r="GK89" s="120">
        <f t="shared" si="720"/>
        <v>0</v>
      </c>
      <c r="GL89" s="120">
        <f t="shared" si="720"/>
        <v>0</v>
      </c>
      <c r="GM89" s="120">
        <f t="shared" si="720"/>
        <v>0</v>
      </c>
      <c r="GN89" s="120">
        <f t="shared" si="720"/>
        <v>0</v>
      </c>
      <c r="GO89" s="120">
        <f t="shared" si="720"/>
        <v>0</v>
      </c>
      <c r="GP89" s="120">
        <f t="shared" si="720"/>
        <v>0</v>
      </c>
      <c r="GQ89" s="120">
        <f t="shared" si="720"/>
        <v>0</v>
      </c>
      <c r="GR89" s="120">
        <f t="shared" si="720"/>
        <v>0</v>
      </c>
      <c r="GS89" s="120">
        <f t="shared" si="720"/>
        <v>0</v>
      </c>
      <c r="GT89" s="120">
        <f t="shared" si="720"/>
        <v>0</v>
      </c>
      <c r="GU89" s="26"/>
      <c r="GV89" s="26"/>
      <c r="GW89" s="26"/>
      <c r="GX89" s="26"/>
      <c r="GY89" s="26"/>
      <c r="GZ89" s="26"/>
      <c r="HA89" s="26"/>
      <c r="HB89" s="26"/>
      <c r="HC89" s="26"/>
      <c r="HD89" s="26"/>
      <c r="HE89" s="26"/>
      <c r="HF89" s="1" t="s">
        <v>212</v>
      </c>
      <c r="HG89" s="139" t="e">
        <f t="shared" si="691"/>
        <v>#REF!</v>
      </c>
      <c r="HH89" s="43" t="str">
        <f>B89</f>
        <v>Less Cash Flow from Operations</v>
      </c>
      <c r="HI89" s="120"/>
      <c r="HJ89" s="120"/>
      <c r="HK89" s="120"/>
      <c r="HL89" s="119">
        <f t="shared" ref="HL89:HL91" ca="1" si="721">SUM(HN89:HV89)</f>
        <v>-33515.043118095236</v>
      </c>
      <c r="HM89" s="120"/>
      <c r="HN89" s="140">
        <f t="shared" si="706"/>
        <v>-30206</v>
      </c>
      <c r="HO89" s="120">
        <f t="shared" ca="1" si="706"/>
        <v>-154.67081000000002</v>
      </c>
      <c r="HP89" s="120">
        <f t="shared" ca="1" si="706"/>
        <v>-506.63946000000016</v>
      </c>
      <c r="HQ89" s="120">
        <f t="shared" ca="1" si="706"/>
        <v>-309.22237000000001</v>
      </c>
      <c r="HR89" s="120">
        <f t="shared" ca="1" si="706"/>
        <v>-441.12437999999992</v>
      </c>
      <c r="HS89" s="120">
        <f t="shared" ca="1" si="706"/>
        <v>-59.421770000000009</v>
      </c>
      <c r="HT89" s="120">
        <f t="shared" ca="1" si="706"/>
        <v>-242.13566000000003</v>
      </c>
      <c r="HU89" s="120">
        <f t="shared" ca="1" si="706"/>
        <v>-514.49639825396821</v>
      </c>
      <c r="HV89" s="120">
        <f t="shared" ca="1" si="706"/>
        <v>-1081.3322698412696</v>
      </c>
      <c r="HW89"/>
    </row>
    <row r="90" spans="2:231" ht="15">
      <c r="B90" s="34" t="s">
        <v>110</v>
      </c>
      <c r="C90" s="34"/>
      <c r="D90" s="34"/>
      <c r="E90" s="34"/>
      <c r="F90" s="34"/>
      <c r="G90" s="34"/>
      <c r="H90" s="34"/>
      <c r="I90" s="123">
        <f ca="1">SUMIF($K$13:$GT$13,"&lt;="&amp;Assumptions!$L$17,'Monthly Cash Flow'!K90:GT90)</f>
        <v>4020.7345463551874</v>
      </c>
      <c r="J90" s="34"/>
      <c r="K90" s="124">
        <f>SUM(K87:K89)</f>
        <v>0</v>
      </c>
      <c r="L90" s="34">
        <f t="shared" ref="L90:AP90" ca="1" si="722">SUM(L87:L89)</f>
        <v>0</v>
      </c>
      <c r="M90" s="34">
        <f t="shared" ca="1" si="722"/>
        <v>0</v>
      </c>
      <c r="N90" s="34">
        <f t="shared" ca="1" si="722"/>
        <v>0</v>
      </c>
      <c r="O90" s="34">
        <f t="shared" ca="1" si="722"/>
        <v>0</v>
      </c>
      <c r="P90" s="34">
        <f t="shared" ca="1" si="722"/>
        <v>0</v>
      </c>
      <c r="Q90" s="34">
        <f t="shared" ca="1" si="722"/>
        <v>0</v>
      </c>
      <c r="R90" s="34">
        <f t="shared" ca="1" si="722"/>
        <v>0</v>
      </c>
      <c r="S90" s="34">
        <f t="shared" ca="1" si="722"/>
        <v>0</v>
      </c>
      <c r="T90" s="34">
        <f t="shared" ca="1" si="722"/>
        <v>0</v>
      </c>
      <c r="U90" s="34">
        <f t="shared" ca="1" si="722"/>
        <v>30.305929999999989</v>
      </c>
      <c r="V90" s="34">
        <f t="shared" ca="1" si="722"/>
        <v>0</v>
      </c>
      <c r="W90" s="34">
        <f t="shared" ca="1" si="722"/>
        <v>238.56882000000002</v>
      </c>
      <c r="X90" s="34">
        <f t="shared" ca="1" si="722"/>
        <v>0</v>
      </c>
      <c r="Y90" s="34">
        <f t="shared" ca="1" si="722"/>
        <v>5.0317100000000039</v>
      </c>
      <c r="Z90" s="34">
        <f t="shared" ca="1" si="722"/>
        <v>388.36562999999995</v>
      </c>
      <c r="AA90" s="34">
        <f t="shared" ca="1" si="722"/>
        <v>0</v>
      </c>
      <c r="AB90" s="34">
        <f t="shared" ca="1" si="722"/>
        <v>398.03922999999998</v>
      </c>
      <c r="AC90" s="34">
        <f t="shared" ca="1" si="722"/>
        <v>0</v>
      </c>
      <c r="AD90" s="34">
        <f t="shared" ca="1" si="722"/>
        <v>0</v>
      </c>
      <c r="AE90" s="34">
        <f t="shared" ca="1" si="722"/>
        <v>382.46861000000001</v>
      </c>
      <c r="AF90" s="34">
        <f t="shared" ca="1" si="722"/>
        <v>113.07410084542826</v>
      </c>
      <c r="AG90" s="34">
        <f t="shared" ca="1" si="722"/>
        <v>181.79074</v>
      </c>
      <c r="AH90" s="34">
        <f t="shared" ca="1" si="722"/>
        <v>0</v>
      </c>
      <c r="AI90" s="34">
        <f t="shared" ca="1" si="722"/>
        <v>0</v>
      </c>
      <c r="AJ90" s="34">
        <f t="shared" ca="1" si="722"/>
        <v>0</v>
      </c>
      <c r="AK90" s="34">
        <f t="shared" ca="1" si="722"/>
        <v>0</v>
      </c>
      <c r="AL90" s="34">
        <f t="shared" ca="1" si="722"/>
        <v>119.47011999999999</v>
      </c>
      <c r="AM90" s="34">
        <f t="shared" ca="1" si="722"/>
        <v>0</v>
      </c>
      <c r="AN90" s="34">
        <f t="shared" ca="1" si="722"/>
        <v>0</v>
      </c>
      <c r="AO90" s="34">
        <f t="shared" ca="1" si="722"/>
        <v>0</v>
      </c>
      <c r="AP90" s="34">
        <f t="shared" ca="1" si="722"/>
        <v>23.375724023883777</v>
      </c>
      <c r="AQ90" s="34">
        <f t="shared" ref="AQ90:BS90" ca="1" si="723">SUM(AQ87:AQ89)</f>
        <v>0</v>
      </c>
      <c r="AR90" s="34">
        <f t="shared" ca="1" si="723"/>
        <v>0</v>
      </c>
      <c r="AS90" s="34">
        <f t="shared" ca="1" si="723"/>
        <v>0</v>
      </c>
      <c r="AT90" s="34">
        <f t="shared" ca="1" si="723"/>
        <v>0</v>
      </c>
      <c r="AU90" s="34">
        <f t="shared" ca="1" si="723"/>
        <v>0</v>
      </c>
      <c r="AV90" s="34">
        <f t="shared" ca="1" si="723"/>
        <v>0</v>
      </c>
      <c r="AW90" s="34">
        <f t="shared" ca="1" si="723"/>
        <v>127.40870999999999</v>
      </c>
      <c r="AX90" s="34">
        <f t="shared" ca="1" si="723"/>
        <v>0</v>
      </c>
      <c r="AY90" s="34">
        <f t="shared" ca="1" si="723"/>
        <v>-3.5</v>
      </c>
      <c r="AZ90" s="34">
        <f t="shared" ca="1" si="723"/>
        <v>77.003729581114044</v>
      </c>
      <c r="BA90" s="34">
        <f t="shared" ca="1" si="723"/>
        <v>17.511470000000031</v>
      </c>
      <c r="BB90" s="34">
        <f t="shared" ca="1" si="723"/>
        <v>0</v>
      </c>
      <c r="BC90" s="34">
        <f t="shared" ca="1" si="723"/>
        <v>37.592170000000038</v>
      </c>
      <c r="BD90" s="34">
        <f t="shared" ca="1" si="723"/>
        <v>0</v>
      </c>
      <c r="BE90" s="34">
        <f t="shared" ca="1" si="723"/>
        <v>0</v>
      </c>
      <c r="BF90" s="34">
        <f t="shared" ca="1" si="723"/>
        <v>0</v>
      </c>
      <c r="BG90" s="34">
        <f t="shared" ca="1" si="723"/>
        <v>0</v>
      </c>
      <c r="BH90" s="34">
        <f t="shared" ca="1" si="723"/>
        <v>0</v>
      </c>
      <c r="BI90" s="34">
        <f t="shared" ca="1" si="723"/>
        <v>0</v>
      </c>
      <c r="BJ90" s="34">
        <f t="shared" ca="1" si="723"/>
        <v>364.37422000000004</v>
      </c>
      <c r="BK90" s="34">
        <f t="shared" ca="1" si="723"/>
        <v>0</v>
      </c>
      <c r="BL90" s="34">
        <f t="shared" ca="1" si="723"/>
        <v>0</v>
      </c>
      <c r="BM90" s="34">
        <f t="shared" ca="1" si="723"/>
        <v>0</v>
      </c>
      <c r="BN90" s="34">
        <f t="shared" ca="1" si="723"/>
        <v>0</v>
      </c>
      <c r="BO90" s="34">
        <f t="shared" ca="1" si="723"/>
        <v>0</v>
      </c>
      <c r="BP90" s="34">
        <f t="shared" ca="1" si="723"/>
        <v>0</v>
      </c>
      <c r="BQ90" s="34">
        <f t="shared" ca="1" si="723"/>
        <v>0</v>
      </c>
      <c r="BR90" s="34">
        <f t="shared" ca="1" si="723"/>
        <v>6.5022299999999973</v>
      </c>
      <c r="BS90" s="34">
        <f t="shared" ca="1" si="723"/>
        <v>0</v>
      </c>
      <c r="BT90" s="34">
        <f ca="1">SUM(BT87:BT89)</f>
        <v>0</v>
      </c>
      <c r="BU90" s="34">
        <f ca="1">SUM(BU87:BU89)</f>
        <v>0</v>
      </c>
      <c r="BV90" s="34">
        <f ca="1">SUM(BV87:BV89)</f>
        <v>0</v>
      </c>
      <c r="BW90" s="34">
        <f ca="1">SUM(BW87:BW89)</f>
        <v>0</v>
      </c>
      <c r="BX90" s="34">
        <f t="shared" ref="BX90:CE90" ca="1" si="724">SUM(BX87:BX89)</f>
        <v>0</v>
      </c>
      <c r="BY90" s="34">
        <f t="shared" ca="1" si="724"/>
        <v>0</v>
      </c>
      <c r="BZ90" s="34">
        <f t="shared" ca="1" si="724"/>
        <v>0</v>
      </c>
      <c r="CA90" s="34">
        <f t="shared" ca="1" si="724"/>
        <v>84.155389999999997</v>
      </c>
      <c r="CB90" s="34">
        <f t="shared" ca="1" si="724"/>
        <v>0</v>
      </c>
      <c r="CC90" s="34">
        <f t="shared" ca="1" si="724"/>
        <v>0</v>
      </c>
      <c r="CD90" s="34">
        <f t="shared" ca="1" si="724"/>
        <v>181.67124999999999</v>
      </c>
      <c r="CE90" s="34">
        <f t="shared" ca="1" si="724"/>
        <v>0</v>
      </c>
      <c r="CF90" s="34">
        <f t="shared" ref="CF90:EL90" ca="1" si="725">SUM(CF87:CF89)</f>
        <v>0</v>
      </c>
      <c r="CG90" s="34">
        <f t="shared" ca="1" si="725"/>
        <v>0</v>
      </c>
      <c r="CH90" s="34">
        <f t="shared" ca="1" si="725"/>
        <v>0</v>
      </c>
      <c r="CI90" s="34">
        <f t="shared" ca="1" si="725"/>
        <v>0</v>
      </c>
      <c r="CJ90" s="34">
        <f t="shared" ca="1" si="725"/>
        <v>0</v>
      </c>
      <c r="CK90" s="34">
        <f t="shared" ca="1" si="725"/>
        <v>0</v>
      </c>
      <c r="CL90" s="34">
        <f t="shared" ca="1" si="725"/>
        <v>0</v>
      </c>
      <c r="CM90" s="34">
        <f t="shared" ca="1" si="725"/>
        <v>0</v>
      </c>
      <c r="CN90" s="34">
        <f t="shared" ca="1" si="725"/>
        <v>0</v>
      </c>
      <c r="CO90" s="34">
        <f t="shared" ca="1" si="725"/>
        <v>0</v>
      </c>
      <c r="CP90" s="34">
        <f t="shared" ca="1" si="725"/>
        <v>2.9664920634920975</v>
      </c>
      <c r="CQ90" s="34">
        <f t="shared" ca="1" si="725"/>
        <v>0</v>
      </c>
      <c r="CR90" s="34">
        <f t="shared" ca="1" si="725"/>
        <v>0</v>
      </c>
      <c r="CS90" s="34">
        <f t="shared" ca="1" si="725"/>
        <v>114.06949206349211</v>
      </c>
      <c r="CT90" s="34">
        <f t="shared" ca="1" si="725"/>
        <v>129.6167777777778</v>
      </c>
      <c r="CU90" s="34">
        <f t="shared" ca="1" si="725"/>
        <v>0</v>
      </c>
      <c r="CV90" s="34">
        <f t="shared" ca="1" si="725"/>
        <v>0</v>
      </c>
      <c r="CW90" s="34">
        <f t="shared" ca="1" si="725"/>
        <v>0</v>
      </c>
      <c r="CX90" s="34">
        <f t="shared" ca="1" si="725"/>
        <v>0</v>
      </c>
      <c r="CY90" s="34">
        <f t="shared" ca="1" si="725"/>
        <v>6.0360000000000014</v>
      </c>
      <c r="CZ90" s="34">
        <f t="shared" ca="1" si="725"/>
        <v>0</v>
      </c>
      <c r="DA90" s="34">
        <f t="shared" ca="1" si="725"/>
        <v>0</v>
      </c>
      <c r="DB90" s="34">
        <f t="shared" ca="1" si="725"/>
        <v>994.83600000000001</v>
      </c>
      <c r="DC90" s="34">
        <f t="shared" ca="1" si="725"/>
        <v>0</v>
      </c>
      <c r="DD90" s="34">
        <f t="shared" ca="1" si="725"/>
        <v>0</v>
      </c>
      <c r="DE90" s="34">
        <f t="shared" ca="1" si="725"/>
        <v>0</v>
      </c>
      <c r="DF90" s="34">
        <f t="shared" ca="1" si="725"/>
        <v>0</v>
      </c>
      <c r="DG90" s="34">
        <f t="shared" ca="1" si="725"/>
        <v>0</v>
      </c>
      <c r="DH90" s="34">
        <f t="shared" ca="1" si="725"/>
        <v>0</v>
      </c>
      <c r="DI90" s="34">
        <f t="shared" ca="1" si="725"/>
        <v>0</v>
      </c>
      <c r="DJ90" s="34">
        <f t="shared" si="725"/>
        <v>0</v>
      </c>
      <c r="DK90" s="34">
        <f t="shared" si="725"/>
        <v>0</v>
      </c>
      <c r="DL90" s="34">
        <f t="shared" si="725"/>
        <v>0</v>
      </c>
      <c r="DM90" s="34">
        <f t="shared" si="725"/>
        <v>0</v>
      </c>
      <c r="DN90" s="34">
        <f t="shared" si="725"/>
        <v>0</v>
      </c>
      <c r="DO90" s="34">
        <f t="shared" si="725"/>
        <v>0</v>
      </c>
      <c r="DP90" s="34">
        <f t="shared" si="725"/>
        <v>0</v>
      </c>
      <c r="DQ90" s="34">
        <f t="shared" si="725"/>
        <v>0</v>
      </c>
      <c r="DR90" s="34">
        <f t="shared" si="725"/>
        <v>0</v>
      </c>
      <c r="DS90" s="34">
        <f t="shared" si="725"/>
        <v>0</v>
      </c>
      <c r="DT90" s="34">
        <f t="shared" si="725"/>
        <v>0</v>
      </c>
      <c r="DU90" s="34">
        <f t="shared" si="725"/>
        <v>0</v>
      </c>
      <c r="DV90" s="34">
        <f t="shared" si="725"/>
        <v>0</v>
      </c>
      <c r="DW90" s="34">
        <f t="shared" si="725"/>
        <v>0</v>
      </c>
      <c r="DX90" s="34">
        <f t="shared" si="725"/>
        <v>0</v>
      </c>
      <c r="DY90" s="34">
        <f t="shared" si="725"/>
        <v>0</v>
      </c>
      <c r="DZ90" s="34">
        <f t="shared" si="725"/>
        <v>0</v>
      </c>
      <c r="EA90" s="34">
        <f t="shared" si="725"/>
        <v>0</v>
      </c>
      <c r="EB90" s="34">
        <f t="shared" si="725"/>
        <v>0</v>
      </c>
      <c r="EC90" s="34">
        <f t="shared" si="725"/>
        <v>0</v>
      </c>
      <c r="ED90" s="34">
        <f t="shared" si="725"/>
        <v>0</v>
      </c>
      <c r="EE90" s="34">
        <f t="shared" si="725"/>
        <v>0</v>
      </c>
      <c r="EF90" s="34">
        <f t="shared" si="725"/>
        <v>0</v>
      </c>
      <c r="EG90" s="34">
        <f t="shared" si="725"/>
        <v>0</v>
      </c>
      <c r="EH90" s="34">
        <f t="shared" si="725"/>
        <v>0</v>
      </c>
      <c r="EI90" s="34">
        <f t="shared" si="725"/>
        <v>0</v>
      </c>
      <c r="EJ90" s="34">
        <f t="shared" si="725"/>
        <v>0</v>
      </c>
      <c r="EK90" s="34">
        <f t="shared" si="725"/>
        <v>0</v>
      </c>
      <c r="EL90" s="34">
        <f t="shared" si="725"/>
        <v>0</v>
      </c>
      <c r="EM90" s="34">
        <f t="shared" ref="EM90:FD90" si="726">SUM(EM87:EM89)</f>
        <v>0</v>
      </c>
      <c r="EN90" s="34">
        <f t="shared" si="726"/>
        <v>0</v>
      </c>
      <c r="EO90" s="34">
        <f t="shared" si="726"/>
        <v>0</v>
      </c>
      <c r="EP90" s="34">
        <f t="shared" si="726"/>
        <v>0</v>
      </c>
      <c r="EQ90" s="34">
        <f t="shared" si="726"/>
        <v>0</v>
      </c>
      <c r="ER90" s="34">
        <f t="shared" si="726"/>
        <v>0</v>
      </c>
      <c r="ES90" s="34">
        <f t="shared" si="726"/>
        <v>0</v>
      </c>
      <c r="ET90" s="34">
        <f t="shared" si="726"/>
        <v>0</v>
      </c>
      <c r="EU90" s="34">
        <f t="shared" si="726"/>
        <v>0</v>
      </c>
      <c r="EV90" s="34">
        <f t="shared" si="726"/>
        <v>0</v>
      </c>
      <c r="EW90" s="34">
        <f t="shared" si="726"/>
        <v>0</v>
      </c>
      <c r="EX90" s="34">
        <f t="shared" si="726"/>
        <v>0</v>
      </c>
      <c r="EY90" s="34">
        <f t="shared" si="726"/>
        <v>0</v>
      </c>
      <c r="EZ90" s="34">
        <f t="shared" si="726"/>
        <v>0</v>
      </c>
      <c r="FA90" s="34">
        <f t="shared" si="726"/>
        <v>0</v>
      </c>
      <c r="FB90" s="34">
        <f t="shared" si="726"/>
        <v>0</v>
      </c>
      <c r="FC90" s="34">
        <f t="shared" si="726"/>
        <v>0</v>
      </c>
      <c r="FD90" s="34">
        <f t="shared" si="726"/>
        <v>0</v>
      </c>
      <c r="FE90" s="34">
        <f t="shared" ref="FE90:FI90" si="727">SUM(FE87:FE89)</f>
        <v>0</v>
      </c>
      <c r="FF90" s="34">
        <f t="shared" si="727"/>
        <v>0</v>
      </c>
      <c r="FG90" s="34">
        <f t="shared" si="727"/>
        <v>0</v>
      </c>
      <c r="FH90" s="34">
        <f t="shared" si="727"/>
        <v>0</v>
      </c>
      <c r="FI90" s="34">
        <f t="shared" si="727"/>
        <v>0</v>
      </c>
      <c r="FJ90" s="34">
        <f t="shared" ref="FJ90:GC90" si="728">SUM(FJ87:FJ89)</f>
        <v>0</v>
      </c>
      <c r="FK90" s="34">
        <f t="shared" si="728"/>
        <v>0</v>
      </c>
      <c r="FL90" s="34">
        <f t="shared" si="728"/>
        <v>0</v>
      </c>
      <c r="FM90" s="34">
        <f t="shared" si="728"/>
        <v>0</v>
      </c>
      <c r="FN90" s="34">
        <f t="shared" si="728"/>
        <v>0</v>
      </c>
      <c r="FO90" s="34">
        <f t="shared" si="728"/>
        <v>0</v>
      </c>
      <c r="FP90" s="34">
        <f t="shared" si="728"/>
        <v>0</v>
      </c>
      <c r="FQ90" s="34">
        <f t="shared" si="728"/>
        <v>0</v>
      </c>
      <c r="FR90" s="34">
        <f t="shared" si="728"/>
        <v>0</v>
      </c>
      <c r="FS90" s="34">
        <f t="shared" si="728"/>
        <v>0</v>
      </c>
      <c r="FT90" s="34">
        <f t="shared" si="728"/>
        <v>0</v>
      </c>
      <c r="FU90" s="34">
        <f t="shared" si="728"/>
        <v>0</v>
      </c>
      <c r="FV90" s="34">
        <f t="shared" si="728"/>
        <v>0</v>
      </c>
      <c r="FW90" s="34">
        <f t="shared" si="728"/>
        <v>0</v>
      </c>
      <c r="FX90" s="34">
        <f t="shared" si="728"/>
        <v>0</v>
      </c>
      <c r="FY90" s="34">
        <f t="shared" si="728"/>
        <v>0</v>
      </c>
      <c r="FZ90" s="34">
        <f t="shared" si="728"/>
        <v>0</v>
      </c>
      <c r="GA90" s="34">
        <f t="shared" si="728"/>
        <v>0</v>
      </c>
      <c r="GB90" s="34">
        <f t="shared" si="728"/>
        <v>0</v>
      </c>
      <c r="GC90" s="34">
        <f t="shared" si="728"/>
        <v>0</v>
      </c>
      <c r="GD90" s="34">
        <f t="shared" ref="GD90:GT90" si="729">SUM(GD87:GD89)</f>
        <v>0</v>
      </c>
      <c r="GE90" s="34">
        <f t="shared" si="729"/>
        <v>0</v>
      </c>
      <c r="GF90" s="34">
        <f t="shared" si="729"/>
        <v>0</v>
      </c>
      <c r="GG90" s="34">
        <f t="shared" si="729"/>
        <v>0</v>
      </c>
      <c r="GH90" s="34">
        <f t="shared" si="729"/>
        <v>0</v>
      </c>
      <c r="GI90" s="34">
        <f t="shared" si="729"/>
        <v>0</v>
      </c>
      <c r="GJ90" s="34">
        <f t="shared" si="729"/>
        <v>0</v>
      </c>
      <c r="GK90" s="34">
        <f t="shared" si="729"/>
        <v>0</v>
      </c>
      <c r="GL90" s="34">
        <f t="shared" si="729"/>
        <v>0</v>
      </c>
      <c r="GM90" s="34">
        <f t="shared" si="729"/>
        <v>0</v>
      </c>
      <c r="GN90" s="34">
        <f t="shared" si="729"/>
        <v>0</v>
      </c>
      <c r="GO90" s="34">
        <f t="shared" si="729"/>
        <v>0</v>
      </c>
      <c r="GP90" s="34">
        <f t="shared" si="729"/>
        <v>0</v>
      </c>
      <c r="GQ90" s="34">
        <f t="shared" si="729"/>
        <v>0</v>
      </c>
      <c r="GR90" s="34">
        <f t="shared" si="729"/>
        <v>0</v>
      </c>
      <c r="GS90" s="34">
        <f t="shared" si="729"/>
        <v>0</v>
      </c>
      <c r="GT90" s="34">
        <f t="shared" si="729"/>
        <v>0</v>
      </c>
      <c r="GU90" s="34"/>
      <c r="GV90" s="34"/>
      <c r="GW90" s="34"/>
      <c r="GX90" s="34"/>
      <c r="GY90" s="34"/>
      <c r="GZ90" s="34"/>
      <c r="HA90" s="34"/>
      <c r="HB90" s="34"/>
      <c r="HC90" s="34"/>
      <c r="HD90" s="34"/>
      <c r="HE90" s="34"/>
      <c r="HF90" s="1" t="s">
        <v>212</v>
      </c>
      <c r="HG90" s="139" t="e">
        <f t="shared" si="691"/>
        <v>#REF!</v>
      </c>
      <c r="HH90" s="34" t="str">
        <f>B90</f>
        <v>Unleveraged Equity Investment</v>
      </c>
      <c r="HI90" s="34"/>
      <c r="HJ90" s="34"/>
      <c r="HK90" s="34"/>
      <c r="HL90" s="123">
        <f t="shared" ca="1" si="721"/>
        <v>4020.7345463551883</v>
      </c>
      <c r="HM90" s="34"/>
      <c r="HN90" s="124">
        <f t="shared" si="706"/>
        <v>0</v>
      </c>
      <c r="HO90" s="34">
        <f t="shared" ca="1" si="706"/>
        <v>268.87475000000001</v>
      </c>
      <c r="HP90" s="34">
        <f t="shared" ca="1" si="706"/>
        <v>1468.7700208454282</v>
      </c>
      <c r="HQ90" s="34">
        <f t="shared" ca="1" si="706"/>
        <v>142.84584402388379</v>
      </c>
      <c r="HR90" s="34">
        <f t="shared" ca="1" si="706"/>
        <v>256.01607958111413</v>
      </c>
      <c r="HS90" s="34">
        <f t="shared" ca="1" si="706"/>
        <v>370.87645000000003</v>
      </c>
      <c r="HT90" s="34">
        <f t="shared" ca="1" si="706"/>
        <v>265.82664</v>
      </c>
      <c r="HU90" s="34">
        <f t="shared" ca="1" si="706"/>
        <v>2.9664920634920975</v>
      </c>
      <c r="HV90" s="34">
        <f t="shared" ca="1" si="706"/>
        <v>1244.55826984127</v>
      </c>
      <c r="HW90"/>
    </row>
    <row r="91" spans="2:231" ht="15">
      <c r="B91" s="168"/>
      <c r="C91" s="168"/>
      <c r="D91" s="168"/>
      <c r="E91" s="168"/>
      <c r="F91" s="168"/>
      <c r="G91" s="168"/>
      <c r="H91" s="168"/>
      <c r="I91" s="132">
        <f ca="1">SUMIF($K$13:$GT$13,"&lt;="&amp;Assumptions!$L$17,'Monthly Cash Flow'!K91:GT91)</f>
        <v>-7075.7777344504275</v>
      </c>
      <c r="J91" s="168"/>
      <c r="K91" s="170"/>
      <c r="L91" s="26">
        <f ca="1">-SUM(L85:L89,L80)</f>
        <v>-58.588409999999996</v>
      </c>
      <c r="M91" s="26">
        <f t="shared" ref="M91:O91" ca="1" si="730">-SUM(M85:M89,M80)</f>
        <v>-39.424859999999995</v>
      </c>
      <c r="N91" s="26">
        <f t="shared" ca="1" si="730"/>
        <v>-62.164510000000007</v>
      </c>
      <c r="O91" s="26">
        <f t="shared" ca="1" si="730"/>
        <v>-23.673310000000015</v>
      </c>
      <c r="P91" s="26">
        <f t="shared" ref="P91:BK91" ca="1" si="731">-SUM(P85:P89,P80)</f>
        <v>-69.427840000000003</v>
      </c>
      <c r="Q91" s="26">
        <f t="shared" ca="1" si="731"/>
        <v>-53.221360000000018</v>
      </c>
      <c r="R91" s="26">
        <f t="shared" ca="1" si="731"/>
        <v>-66.139569999999992</v>
      </c>
      <c r="S91" s="26">
        <f t="shared" ca="1" si="731"/>
        <v>-136.26360000000003</v>
      </c>
      <c r="T91" s="26">
        <f t="shared" ca="1" si="731"/>
        <v>-66.867030000000028</v>
      </c>
      <c r="U91" s="26">
        <f t="shared" ca="1" si="731"/>
        <v>-184.97674000000001</v>
      </c>
      <c r="V91" s="26">
        <f t="shared" ca="1" si="731"/>
        <v>-239.07783999999998</v>
      </c>
      <c r="W91" s="26">
        <f t="shared" ca="1" si="731"/>
        <v>-108.76859000000002</v>
      </c>
      <c r="X91" s="26">
        <f t="shared" ca="1" si="731"/>
        <v>-81.805930000000018</v>
      </c>
      <c r="Y91" s="26">
        <f t="shared" ca="1" si="731"/>
        <v>0</v>
      </c>
      <c r="Z91" s="26">
        <f t="shared" ca="1" si="731"/>
        <v>-462.19177999999999</v>
      </c>
      <c r="AA91" s="26">
        <f t="shared" ca="1" si="731"/>
        <v>-118.62709000000004</v>
      </c>
      <c r="AB91" s="26">
        <f t="shared" ca="1" si="731"/>
        <v>-458.32646999999997</v>
      </c>
      <c r="AC91" s="26">
        <f t="shared" ca="1" si="731"/>
        <v>-26.828859999999992</v>
      </c>
      <c r="AD91" s="26">
        <f t="shared" ca="1" si="731"/>
        <v>-119.66310999999999</v>
      </c>
      <c r="AE91" s="26">
        <f t="shared" ca="1" si="731"/>
        <v>-487.53904</v>
      </c>
      <c r="AF91" s="26">
        <f t="shared" ca="1" si="731"/>
        <v>-207.9665008454283</v>
      </c>
      <c r="AG91" s="26">
        <f t="shared" ca="1" si="731"/>
        <v>-268.26096000000001</v>
      </c>
      <c r="AH91" s="26">
        <f t="shared" ca="1" si="731"/>
        <v>-113.23488</v>
      </c>
      <c r="AI91" s="26">
        <f t="shared" ca="1" si="731"/>
        <v>-93.738080000000011</v>
      </c>
      <c r="AJ91" s="26">
        <f t="shared" ca="1" si="731"/>
        <v>-73.349319999999992</v>
      </c>
      <c r="AK91" s="26">
        <f t="shared" ca="1" si="731"/>
        <v>-58.081759999999974</v>
      </c>
      <c r="AL91" s="26">
        <f t="shared" ca="1" si="731"/>
        <v>-219.27388000000002</v>
      </c>
      <c r="AM91" s="26">
        <f t="shared" ca="1" si="731"/>
        <v>-118.04129</v>
      </c>
      <c r="AN91" s="26">
        <f t="shared" ca="1" si="731"/>
        <v>-101.45357000000001</v>
      </c>
      <c r="AO91" s="26">
        <f t="shared" ca="1" si="731"/>
        <v>-81.414159999999995</v>
      </c>
      <c r="AP91" s="26">
        <f t="shared" ca="1" si="731"/>
        <v>-158.75653402388377</v>
      </c>
      <c r="AQ91" s="26">
        <f t="shared" ca="1" si="731"/>
        <v>-131.88220999999999</v>
      </c>
      <c r="AR91" s="26">
        <f t="shared" ca="1" si="731"/>
        <v>-106.14256</v>
      </c>
      <c r="AS91" s="26">
        <f t="shared" ca="1" si="731"/>
        <v>-134.99206999999998</v>
      </c>
      <c r="AT91" s="26">
        <f t="shared" ca="1" si="731"/>
        <v>-116.68306999999999</v>
      </c>
      <c r="AU91" s="26">
        <f t="shared" ca="1" si="731"/>
        <v>-134.19099000000003</v>
      </c>
      <c r="AV91" s="26">
        <f t="shared" ca="1" si="731"/>
        <v>-137.95124999999999</v>
      </c>
      <c r="AW91" s="26">
        <f t="shared" ca="1" si="731"/>
        <v>-257.02499999999998</v>
      </c>
      <c r="AX91" s="26">
        <f t="shared" ca="1" si="731"/>
        <v>-117.20541999999998</v>
      </c>
      <c r="AY91" s="26">
        <f t="shared" ca="1" si="731"/>
        <v>-112.02426000000003</v>
      </c>
      <c r="AZ91" s="26">
        <f t="shared" ca="1" si="731"/>
        <v>-128.82645958111405</v>
      </c>
      <c r="BA91" s="26">
        <f t="shared" ca="1" si="731"/>
        <v>-149.43100000000001</v>
      </c>
      <c r="BB91" s="26">
        <f t="shared" ca="1" si="731"/>
        <v>-111.86949000000001</v>
      </c>
      <c r="BC91" s="26">
        <f t="shared" ca="1" si="731"/>
        <v>-142.10000000000002</v>
      </c>
      <c r="BD91" s="26">
        <f t="shared" ca="1" si="731"/>
        <v>-110.20179000000002</v>
      </c>
      <c r="BE91" s="26">
        <f t="shared" ca="1" si="731"/>
        <v>-142.38238000000001</v>
      </c>
      <c r="BF91" s="26">
        <f t="shared" ca="1" si="731"/>
        <v>-154.56266999999997</v>
      </c>
      <c r="BG91" s="26">
        <f t="shared" ca="1" si="731"/>
        <v>-137.96525999999997</v>
      </c>
      <c r="BH91" s="26">
        <f t="shared" ca="1" si="731"/>
        <v>-131.58776999999998</v>
      </c>
      <c r="BI91" s="26">
        <f t="shared" ca="1" si="731"/>
        <v>-114.46233999999998</v>
      </c>
      <c r="BJ91" s="26">
        <f t="shared" ca="1" si="731"/>
        <v>0</v>
      </c>
      <c r="BK91" s="26">
        <f t="shared" ca="1" si="731"/>
        <v>-147.14487</v>
      </c>
      <c r="BL91" s="168"/>
      <c r="BM91" s="168"/>
      <c r="BN91" s="168"/>
      <c r="BO91" s="168"/>
      <c r="BP91" s="168"/>
      <c r="BQ91" s="168"/>
      <c r="BR91" s="168"/>
      <c r="BS91" s="168"/>
      <c r="BT91" s="168"/>
      <c r="BU91" s="168"/>
      <c r="BV91" s="168"/>
      <c r="BW91" s="168"/>
      <c r="BX91" s="168"/>
      <c r="BY91" s="168"/>
      <c r="BZ91" s="168"/>
      <c r="CA91" s="168"/>
      <c r="CB91" s="168"/>
      <c r="CC91" s="168"/>
      <c r="CD91" s="168"/>
      <c r="CE91" s="168"/>
      <c r="CF91" s="168"/>
      <c r="CG91" s="168"/>
      <c r="CH91" s="168"/>
      <c r="CI91" s="168"/>
      <c r="CJ91" s="168"/>
      <c r="CK91" s="168"/>
      <c r="CL91" s="168"/>
      <c r="CM91" s="168"/>
      <c r="CN91" s="168"/>
      <c r="CO91" s="168"/>
      <c r="CP91" s="168"/>
      <c r="CQ91" s="168"/>
      <c r="CR91" s="168"/>
      <c r="CS91" s="168"/>
      <c r="CT91" s="168"/>
      <c r="CU91" s="168"/>
      <c r="CV91" s="168"/>
      <c r="CW91" s="168"/>
      <c r="CX91" s="168"/>
      <c r="CY91" s="168"/>
      <c r="CZ91" s="168"/>
      <c r="DA91" s="168"/>
      <c r="DB91" s="168"/>
      <c r="DC91" s="168"/>
      <c r="DD91" s="168"/>
      <c r="DE91" s="168"/>
      <c r="DF91" s="168"/>
      <c r="DG91" s="168"/>
      <c r="DH91" s="168"/>
      <c r="DI91" s="168"/>
      <c r="DJ91" s="168"/>
      <c r="DK91" s="168"/>
      <c r="DL91" s="168"/>
      <c r="DM91" s="168"/>
      <c r="DN91" s="168"/>
      <c r="DO91" s="168"/>
      <c r="DP91" s="168"/>
      <c r="DQ91" s="168"/>
      <c r="DR91" s="168"/>
      <c r="DS91" s="168"/>
      <c r="DT91" s="168"/>
      <c r="DU91" s="168"/>
      <c r="DV91" s="168"/>
      <c r="DW91" s="168"/>
      <c r="DX91" s="168"/>
      <c r="DY91" s="168"/>
      <c r="DZ91" s="168"/>
      <c r="EA91" s="168"/>
      <c r="EB91" s="168"/>
      <c r="EC91" s="168"/>
      <c r="ED91" s="168"/>
      <c r="EE91" s="168"/>
      <c r="EF91" s="168"/>
      <c r="EG91" s="168"/>
      <c r="EH91" s="168"/>
      <c r="EI91" s="168"/>
      <c r="EJ91" s="168"/>
      <c r="EK91" s="168"/>
      <c r="EL91" s="168"/>
      <c r="EM91" s="168"/>
      <c r="EN91" s="168"/>
      <c r="EO91" s="168"/>
      <c r="EP91" s="168"/>
      <c r="EQ91" s="168"/>
      <c r="ER91" s="168"/>
      <c r="ES91" s="168"/>
      <c r="ET91" s="168"/>
      <c r="EU91" s="168"/>
      <c r="EV91" s="168"/>
      <c r="EW91" s="168"/>
      <c r="EX91" s="168"/>
      <c r="EY91" s="168"/>
      <c r="EZ91" s="168"/>
      <c r="FA91" s="168"/>
      <c r="FB91" s="168"/>
      <c r="FC91" s="168"/>
      <c r="FD91" s="168"/>
      <c r="FE91" s="168"/>
      <c r="FF91" s="168"/>
      <c r="FG91" s="168"/>
      <c r="FH91" s="168"/>
      <c r="FI91" s="168"/>
      <c r="FJ91" s="168"/>
      <c r="FK91" s="168"/>
      <c r="FL91" s="168"/>
      <c r="FM91" s="168"/>
      <c r="FN91" s="168"/>
      <c r="FO91" s="168"/>
      <c r="FP91" s="168"/>
      <c r="FQ91" s="168"/>
      <c r="FR91" s="168"/>
      <c r="FS91" s="168"/>
      <c r="FT91" s="168"/>
      <c r="FU91" s="168"/>
      <c r="FV91" s="168"/>
      <c r="FW91" s="168"/>
      <c r="FX91" s="168"/>
      <c r="FY91" s="168"/>
      <c r="FZ91" s="168"/>
      <c r="GA91" s="168"/>
      <c r="GB91" s="168"/>
      <c r="GC91" s="168"/>
      <c r="GD91" s="168"/>
      <c r="GE91" s="168"/>
      <c r="GF91" s="168"/>
      <c r="GG91" s="168"/>
      <c r="GH91" s="168"/>
      <c r="GI91" s="168"/>
      <c r="GJ91" s="168"/>
      <c r="GK91" s="168"/>
      <c r="GL91" s="168"/>
      <c r="GM91" s="168"/>
      <c r="GN91" s="168"/>
      <c r="GO91" s="168"/>
      <c r="GP91" s="168"/>
      <c r="GQ91" s="168"/>
      <c r="GR91" s="168"/>
      <c r="GS91" s="168"/>
      <c r="GT91" s="168"/>
      <c r="GU91" s="18"/>
      <c r="GV91" s="18"/>
      <c r="GW91" s="18"/>
      <c r="GX91" s="18"/>
      <c r="GY91" s="18"/>
      <c r="GZ91" s="18"/>
      <c r="HA91" s="18"/>
      <c r="HB91" s="18"/>
      <c r="HC91" s="18"/>
      <c r="HD91" s="18"/>
      <c r="HE91" s="18"/>
      <c r="HF91" s="1" t="s">
        <v>212</v>
      </c>
      <c r="HG91" s="139" t="e">
        <f t="shared" si="691"/>
        <v>#REF!</v>
      </c>
      <c r="HH91" s="168"/>
      <c r="HI91" s="168"/>
      <c r="HJ91" s="168"/>
      <c r="HK91" s="168"/>
      <c r="HL91" s="169">
        <f t="shared" ca="1" si="721"/>
        <v>-7075.7777344504266</v>
      </c>
      <c r="HM91" s="168"/>
      <c r="HN91" s="170">
        <f t="shared" si="706"/>
        <v>0</v>
      </c>
      <c r="HO91" s="168">
        <f t="shared" ca="1" si="706"/>
        <v>-1108.59366</v>
      </c>
      <c r="HP91" s="168">
        <f t="shared" ca="1" si="706"/>
        <v>-2438.1827008454284</v>
      </c>
      <c r="HQ91" s="168">
        <f t="shared" ca="1" si="706"/>
        <v>-1434.2614140238841</v>
      </c>
      <c r="HR91" s="168">
        <f t="shared" ca="1" si="706"/>
        <v>-1701.5449795811141</v>
      </c>
      <c r="HS91" s="168">
        <f t="shared" ca="1" si="706"/>
        <v>-393.19497999999999</v>
      </c>
      <c r="HT91" s="168">
        <f t="shared" si="706"/>
        <v>0</v>
      </c>
      <c r="HU91" s="168">
        <f t="shared" si="706"/>
        <v>0</v>
      </c>
      <c r="HV91" s="168">
        <f t="shared" si="706"/>
        <v>0</v>
      </c>
      <c r="HW91"/>
    </row>
    <row r="92" spans="2:231" ht="16" thickBot="1">
      <c r="B92" s="32" t="s">
        <v>111</v>
      </c>
      <c r="C92" s="32"/>
      <c r="D92" s="32"/>
      <c r="E92" s="32"/>
      <c r="F92" s="32"/>
      <c r="G92" s="32"/>
      <c r="H92" s="32"/>
      <c r="I92" s="134">
        <f ca="1">SUMIF($K$13:$GT$13,"&lt;="&amp;Assumptions!$L$17,'Monthly Cash Flow'!K92:GT92)</f>
        <v>20705.888346099153</v>
      </c>
      <c r="J92" s="137"/>
      <c r="K92" s="138">
        <f>-K41+K80+K85</f>
        <v>-30206</v>
      </c>
      <c r="L92" s="137">
        <f t="shared" ref="L92:AQ92" ca="1" si="732">-L41+L80+L85+L91</f>
        <v>0</v>
      </c>
      <c r="M92" s="137">
        <f t="shared" ca="1" si="732"/>
        <v>0</v>
      </c>
      <c r="N92" s="137">
        <f t="shared" ca="1" si="732"/>
        <v>0</v>
      </c>
      <c r="O92" s="137">
        <f t="shared" ca="1" si="732"/>
        <v>0</v>
      </c>
      <c r="P92" s="137">
        <f t="shared" ca="1" si="732"/>
        <v>0</v>
      </c>
      <c r="Q92" s="137">
        <f t="shared" ca="1" si="732"/>
        <v>0</v>
      </c>
      <c r="R92" s="137">
        <f t="shared" ca="1" si="732"/>
        <v>0</v>
      </c>
      <c r="S92" s="137">
        <f t="shared" ca="1" si="732"/>
        <v>0</v>
      </c>
      <c r="T92" s="137">
        <f t="shared" ca="1" si="732"/>
        <v>0</v>
      </c>
      <c r="U92" s="137">
        <f t="shared" ca="1" si="732"/>
        <v>-215.28267</v>
      </c>
      <c r="V92" s="137">
        <f t="shared" ca="1" si="732"/>
        <v>0</v>
      </c>
      <c r="W92" s="137">
        <f t="shared" ca="1" si="732"/>
        <v>-347.33741000000003</v>
      </c>
      <c r="X92" s="137">
        <f t="shared" ca="1" si="732"/>
        <v>-3.6021400000000057</v>
      </c>
      <c r="Y92" s="137">
        <f t="shared" ca="1" si="732"/>
        <v>-5.0317100000000039</v>
      </c>
      <c r="Z92" s="137">
        <f t="shared" ca="1" si="732"/>
        <v>-850.55740999999989</v>
      </c>
      <c r="AA92" s="137">
        <f t="shared" ca="1" si="732"/>
        <v>0</v>
      </c>
      <c r="AB92" s="137">
        <f t="shared" ca="1" si="732"/>
        <v>-856.36569999999995</v>
      </c>
      <c r="AC92" s="137">
        <f t="shared" ca="1" si="732"/>
        <v>0</v>
      </c>
      <c r="AD92" s="137">
        <f t="shared" ca="1" si="732"/>
        <v>0</v>
      </c>
      <c r="AE92" s="137">
        <f t="shared" ca="1" si="732"/>
        <v>-870.00765000000001</v>
      </c>
      <c r="AF92" s="137">
        <f t="shared" ca="1" si="732"/>
        <v>-321.04060169085653</v>
      </c>
      <c r="AG92" s="137">
        <f t="shared" ca="1" si="732"/>
        <v>-450.05169999999998</v>
      </c>
      <c r="AH92" s="137">
        <f t="shared" ca="1" si="732"/>
        <v>0</v>
      </c>
      <c r="AI92" s="137">
        <f t="shared" ca="1" si="732"/>
        <v>-82.490880000000004</v>
      </c>
      <c r="AJ92" s="137">
        <f t="shared" ca="1" si="732"/>
        <v>0</v>
      </c>
      <c r="AK92" s="137">
        <f t="shared" ca="1" si="732"/>
        <v>0</v>
      </c>
      <c r="AL92" s="137">
        <f t="shared" ca="1" si="732"/>
        <v>-338.74400000000003</v>
      </c>
      <c r="AM92" s="137">
        <f t="shared" ca="1" si="732"/>
        <v>0</v>
      </c>
      <c r="AN92" s="137">
        <f t="shared" ca="1" si="732"/>
        <v>-32.111649999999997</v>
      </c>
      <c r="AO92" s="137">
        <f t="shared" ca="1" si="732"/>
        <v>0</v>
      </c>
      <c r="AP92" s="137">
        <f t="shared" ca="1" si="732"/>
        <v>-182.13225804776755</v>
      </c>
      <c r="AQ92" s="137">
        <f t="shared" ca="1" si="732"/>
        <v>-41.926150000000007</v>
      </c>
      <c r="AR92" s="137">
        <f t="shared" ref="AR92:BK92" ca="1" si="733">-AR41+AR80+AR85+AR91</f>
        <v>0</v>
      </c>
      <c r="AS92" s="137">
        <f t="shared" ca="1" si="733"/>
        <v>0</v>
      </c>
      <c r="AT92" s="137">
        <f t="shared" ca="1" si="733"/>
        <v>0</v>
      </c>
      <c r="AU92" s="137">
        <f t="shared" ca="1" si="733"/>
        <v>0</v>
      </c>
      <c r="AV92" s="137">
        <f t="shared" ca="1" si="733"/>
        <v>0</v>
      </c>
      <c r="AW92" s="137">
        <f t="shared" ca="1" si="733"/>
        <v>-384.43370999999996</v>
      </c>
      <c r="AX92" s="137">
        <f t="shared" ca="1" si="733"/>
        <v>0</v>
      </c>
      <c r="AY92" s="137">
        <f t="shared" ca="1" si="733"/>
        <v>7</v>
      </c>
      <c r="AZ92" s="137">
        <f t="shared" ca="1" si="733"/>
        <v>-205.83018916222809</v>
      </c>
      <c r="BA92" s="137">
        <f t="shared" ca="1" si="733"/>
        <v>-166.94247000000004</v>
      </c>
      <c r="BB92" s="137">
        <f t="shared" ca="1" si="733"/>
        <v>0</v>
      </c>
      <c r="BC92" s="137">
        <f t="shared" ca="1" si="733"/>
        <v>-179.69217000000006</v>
      </c>
      <c r="BD92" s="137">
        <f t="shared" ca="1" si="733"/>
        <v>-23.257999999999996</v>
      </c>
      <c r="BE92" s="137">
        <f t="shared" ca="1" si="733"/>
        <v>0</v>
      </c>
      <c r="BF92" s="137">
        <f t="shared" ca="1" si="733"/>
        <v>0</v>
      </c>
      <c r="BG92" s="137">
        <f t="shared" ca="1" si="733"/>
        <v>0</v>
      </c>
      <c r="BH92" s="137">
        <f t="shared" ca="1" si="733"/>
        <v>0</v>
      </c>
      <c r="BI92" s="137">
        <f t="shared" ca="1" si="733"/>
        <v>0</v>
      </c>
      <c r="BJ92" s="137">
        <f t="shared" ca="1" si="733"/>
        <v>-364.37422000000004</v>
      </c>
      <c r="BK92" s="137">
        <f t="shared" ca="1" si="733"/>
        <v>0</v>
      </c>
      <c r="BL92" s="137">
        <f t="shared" ref="BL92:CQ92" ca="1" si="734">-BL41+BL80+BL85</f>
        <v>112.02141999999999</v>
      </c>
      <c r="BM92" s="137">
        <f t="shared" ca="1" si="734"/>
        <v>9.8311400000000617</v>
      </c>
      <c r="BN92" s="137">
        <f t="shared" ca="1" si="734"/>
        <v>105.67253000000004</v>
      </c>
      <c r="BO92" s="137">
        <f t="shared" ca="1" si="734"/>
        <v>107.25182000000001</v>
      </c>
      <c r="BP92" s="137">
        <f t="shared" ca="1" si="734"/>
        <v>19.220650000000006</v>
      </c>
      <c r="BQ92" s="137">
        <f t="shared" ca="1" si="734"/>
        <v>112.32699999999997</v>
      </c>
      <c r="BR92" s="137">
        <f t="shared" ca="1" si="734"/>
        <v>-6.5022299999999973</v>
      </c>
      <c r="BS92" s="137">
        <f t="shared" ca="1" si="734"/>
        <v>188.27978999999999</v>
      </c>
      <c r="BT92" s="137">
        <f t="shared" ca="1" si="734"/>
        <v>59.065499999999986</v>
      </c>
      <c r="BU92" s="137">
        <f t="shared" ca="1" si="734"/>
        <v>68.98786000000004</v>
      </c>
      <c r="BV92" s="137">
        <f t="shared" ca="1" si="734"/>
        <v>104.43064999999999</v>
      </c>
      <c r="BW92" s="137">
        <f t="shared" ca="1" si="734"/>
        <v>165.90577999999996</v>
      </c>
      <c r="BX92" s="137">
        <f t="shared" ca="1" si="734"/>
        <v>63.680489999999935</v>
      </c>
      <c r="BY92" s="137">
        <f t="shared" ca="1" si="734"/>
        <v>40.407490000000038</v>
      </c>
      <c r="BZ92" s="137">
        <f t="shared" ca="1" si="734"/>
        <v>182.24637999999999</v>
      </c>
      <c r="CA92" s="137">
        <f t="shared" ca="1" si="734"/>
        <v>-84.155389999999997</v>
      </c>
      <c r="CB92" s="137">
        <f t="shared" ca="1" si="734"/>
        <v>122.26703999999998</v>
      </c>
      <c r="CC92" s="137">
        <f t="shared" ca="1" si="734"/>
        <v>134.62045999999998</v>
      </c>
      <c r="CD92" s="137">
        <f t="shared" ca="1" si="734"/>
        <v>-181.67124999999999</v>
      </c>
      <c r="CE92" s="137">
        <f t="shared" ca="1" si="734"/>
        <v>100.20571000000004</v>
      </c>
      <c r="CF92" s="137">
        <f t="shared" ca="1" si="734"/>
        <v>91.798069999999939</v>
      </c>
      <c r="CG92" s="137">
        <f t="shared" ca="1" si="734"/>
        <v>129.90303999999998</v>
      </c>
      <c r="CH92" s="137">
        <f t="shared" ca="1" si="734"/>
        <v>105.29576</v>
      </c>
      <c r="CI92" s="137">
        <f t="shared" ca="1" si="734"/>
        <v>117.577</v>
      </c>
      <c r="CJ92" s="137">
        <f t="shared" ca="1" si="734"/>
        <v>145.029</v>
      </c>
      <c r="CK92" s="137">
        <f t="shared" ca="1" si="734"/>
        <v>145.029</v>
      </c>
      <c r="CL92" s="137">
        <f t="shared" ca="1" si="734"/>
        <v>145.42499999999995</v>
      </c>
      <c r="CM92" s="137">
        <f t="shared" ca="1" si="734"/>
        <v>77.111507936507891</v>
      </c>
      <c r="CN92" s="137">
        <f t="shared" ca="1" si="734"/>
        <v>77.591507936507938</v>
      </c>
      <c r="CO92" s="137">
        <f t="shared" ca="1" si="734"/>
        <v>77.591507936507924</v>
      </c>
      <c r="CP92" s="137">
        <f t="shared" ca="1" si="734"/>
        <v>-2.9664920634920975</v>
      </c>
      <c r="CQ92" s="137">
        <f t="shared" ca="1" si="734"/>
        <v>97.211507936507914</v>
      </c>
      <c r="CR92" s="137">
        <f t="shared" ref="CR92:DW92" ca="1" si="735">-CR41+CR80+CR85</f>
        <v>77.244507936507858</v>
      </c>
      <c r="CS92" s="137">
        <f t="shared" ca="1" si="735"/>
        <v>-114.06949206349211</v>
      </c>
      <c r="CT92" s="137">
        <f t="shared" ca="1" si="735"/>
        <v>-129.6167777777778</v>
      </c>
      <c r="CU92" s="137">
        <f t="shared" ca="1" si="735"/>
        <v>135.76122222222222</v>
      </c>
      <c r="CV92" s="137">
        <f t="shared" ca="1" si="735"/>
        <v>170.98599999999996</v>
      </c>
      <c r="CW92" s="137">
        <f t="shared" ca="1" si="735"/>
        <v>170.98599999999996</v>
      </c>
      <c r="CX92" s="137">
        <f t="shared" ca="1" si="735"/>
        <v>142.03799999999995</v>
      </c>
      <c r="CY92" s="137">
        <f t="shared" ca="1" si="735"/>
        <v>-6.0360000000000014</v>
      </c>
      <c r="CZ92" s="137">
        <f t="shared" ca="1" si="735"/>
        <v>143.70399999999995</v>
      </c>
      <c r="DA92" s="137">
        <f t="shared" ca="1" si="735"/>
        <v>14.186000000000007</v>
      </c>
      <c r="DB92" s="137">
        <f t="shared" ca="1" si="735"/>
        <v>-994.83600000000001</v>
      </c>
      <c r="DC92" s="137">
        <f t="shared" ca="1" si="735"/>
        <v>26.050999999999931</v>
      </c>
      <c r="DD92" s="137">
        <f t="shared" ca="1" si="735"/>
        <v>218.85199999999992</v>
      </c>
      <c r="DE92" s="137">
        <f t="shared" ca="1" si="735"/>
        <v>219.39599999999993</v>
      </c>
      <c r="DF92" s="137">
        <f t="shared" ca="1" si="735"/>
        <v>220.27699999999993</v>
      </c>
      <c r="DG92" s="137">
        <f t="shared" ca="1" si="735"/>
        <v>220.81699999999995</v>
      </c>
      <c r="DH92" s="137">
        <f t="shared" ca="1" si="735"/>
        <v>221.69200000000001</v>
      </c>
      <c r="DI92" s="137">
        <f t="shared" ca="1" si="735"/>
        <v>53457.979325000008</v>
      </c>
      <c r="DJ92" s="137">
        <f t="shared" si="735"/>
        <v>0</v>
      </c>
      <c r="DK92" s="137">
        <f t="shared" si="735"/>
        <v>0</v>
      </c>
      <c r="DL92" s="137">
        <f t="shared" si="735"/>
        <v>0</v>
      </c>
      <c r="DM92" s="137">
        <f t="shared" si="735"/>
        <v>0</v>
      </c>
      <c r="DN92" s="137">
        <f t="shared" si="735"/>
        <v>0</v>
      </c>
      <c r="DO92" s="137">
        <f t="shared" si="735"/>
        <v>0</v>
      </c>
      <c r="DP92" s="137">
        <f t="shared" si="735"/>
        <v>0</v>
      </c>
      <c r="DQ92" s="137">
        <f t="shared" si="735"/>
        <v>0</v>
      </c>
      <c r="DR92" s="137">
        <f t="shared" si="735"/>
        <v>0</v>
      </c>
      <c r="DS92" s="137">
        <f t="shared" si="735"/>
        <v>0</v>
      </c>
      <c r="DT92" s="137">
        <f t="shared" si="735"/>
        <v>0</v>
      </c>
      <c r="DU92" s="137">
        <f t="shared" si="735"/>
        <v>0</v>
      </c>
      <c r="DV92" s="137">
        <f t="shared" si="735"/>
        <v>0</v>
      </c>
      <c r="DW92" s="137">
        <f t="shared" si="735"/>
        <v>0</v>
      </c>
      <c r="DX92" s="137">
        <f t="shared" ref="DX92:FC92" si="736">-DX41+DX80+DX85</f>
        <v>0</v>
      </c>
      <c r="DY92" s="137">
        <f t="shared" si="736"/>
        <v>0</v>
      </c>
      <c r="DZ92" s="137">
        <f t="shared" si="736"/>
        <v>0</v>
      </c>
      <c r="EA92" s="137">
        <f t="shared" si="736"/>
        <v>0</v>
      </c>
      <c r="EB92" s="137">
        <f t="shared" si="736"/>
        <v>0</v>
      </c>
      <c r="EC92" s="137">
        <f t="shared" si="736"/>
        <v>0</v>
      </c>
      <c r="ED92" s="137">
        <f t="shared" si="736"/>
        <v>0</v>
      </c>
      <c r="EE92" s="137">
        <f t="shared" si="736"/>
        <v>0</v>
      </c>
      <c r="EF92" s="137">
        <f t="shared" si="736"/>
        <v>0</v>
      </c>
      <c r="EG92" s="137">
        <f t="shared" si="736"/>
        <v>0</v>
      </c>
      <c r="EH92" s="137">
        <f t="shared" si="736"/>
        <v>0</v>
      </c>
      <c r="EI92" s="137">
        <f t="shared" si="736"/>
        <v>0</v>
      </c>
      <c r="EJ92" s="137">
        <f t="shared" si="736"/>
        <v>0</v>
      </c>
      <c r="EK92" s="137">
        <f t="shared" si="736"/>
        <v>0</v>
      </c>
      <c r="EL92" s="137">
        <f t="shared" si="736"/>
        <v>0</v>
      </c>
      <c r="EM92" s="137">
        <f t="shared" si="736"/>
        <v>0</v>
      </c>
      <c r="EN92" s="137">
        <f t="shared" si="736"/>
        <v>0</v>
      </c>
      <c r="EO92" s="137">
        <f t="shared" si="736"/>
        <v>0</v>
      </c>
      <c r="EP92" s="137">
        <f t="shared" si="736"/>
        <v>0</v>
      </c>
      <c r="EQ92" s="137">
        <f t="shared" si="736"/>
        <v>0</v>
      </c>
      <c r="ER92" s="137">
        <f t="shared" si="736"/>
        <v>0</v>
      </c>
      <c r="ES92" s="137">
        <f t="shared" si="736"/>
        <v>0</v>
      </c>
      <c r="ET92" s="137">
        <f t="shared" si="736"/>
        <v>0</v>
      </c>
      <c r="EU92" s="137">
        <f t="shared" si="736"/>
        <v>0</v>
      </c>
      <c r="EV92" s="137">
        <f t="shared" si="736"/>
        <v>0</v>
      </c>
      <c r="EW92" s="137">
        <f t="shared" si="736"/>
        <v>0</v>
      </c>
      <c r="EX92" s="137">
        <f t="shared" si="736"/>
        <v>0</v>
      </c>
      <c r="EY92" s="137">
        <f t="shared" si="736"/>
        <v>0</v>
      </c>
      <c r="EZ92" s="137">
        <f t="shared" si="736"/>
        <v>0</v>
      </c>
      <c r="FA92" s="137">
        <f t="shared" si="736"/>
        <v>0</v>
      </c>
      <c r="FB92" s="137">
        <f t="shared" si="736"/>
        <v>0</v>
      </c>
      <c r="FC92" s="137">
        <f t="shared" si="736"/>
        <v>0</v>
      </c>
      <c r="FD92" s="137">
        <f t="shared" ref="FD92:GI92" si="737">-FD41+FD80+FD85</f>
        <v>0</v>
      </c>
      <c r="FE92" s="137">
        <f t="shared" si="737"/>
        <v>0</v>
      </c>
      <c r="FF92" s="137">
        <f t="shared" si="737"/>
        <v>0</v>
      </c>
      <c r="FG92" s="137">
        <f t="shared" si="737"/>
        <v>0</v>
      </c>
      <c r="FH92" s="137">
        <f t="shared" si="737"/>
        <v>0</v>
      </c>
      <c r="FI92" s="137">
        <f t="shared" si="737"/>
        <v>0</v>
      </c>
      <c r="FJ92" s="137">
        <f t="shared" si="737"/>
        <v>0</v>
      </c>
      <c r="FK92" s="137">
        <f t="shared" si="737"/>
        <v>0</v>
      </c>
      <c r="FL92" s="137">
        <f t="shared" si="737"/>
        <v>0</v>
      </c>
      <c r="FM92" s="137">
        <f t="shared" si="737"/>
        <v>0</v>
      </c>
      <c r="FN92" s="137">
        <f t="shared" si="737"/>
        <v>0</v>
      </c>
      <c r="FO92" s="137">
        <f t="shared" si="737"/>
        <v>0</v>
      </c>
      <c r="FP92" s="137">
        <f t="shared" si="737"/>
        <v>0</v>
      </c>
      <c r="FQ92" s="137">
        <f t="shared" si="737"/>
        <v>0</v>
      </c>
      <c r="FR92" s="137">
        <f t="shared" si="737"/>
        <v>0</v>
      </c>
      <c r="FS92" s="137">
        <f t="shared" si="737"/>
        <v>0</v>
      </c>
      <c r="FT92" s="137">
        <f t="shared" si="737"/>
        <v>0</v>
      </c>
      <c r="FU92" s="137">
        <f t="shared" si="737"/>
        <v>0</v>
      </c>
      <c r="FV92" s="137">
        <f t="shared" si="737"/>
        <v>0</v>
      </c>
      <c r="FW92" s="137">
        <f t="shared" si="737"/>
        <v>0</v>
      </c>
      <c r="FX92" s="137">
        <f t="shared" si="737"/>
        <v>0</v>
      </c>
      <c r="FY92" s="137">
        <f t="shared" si="737"/>
        <v>0</v>
      </c>
      <c r="FZ92" s="137">
        <f t="shared" si="737"/>
        <v>0</v>
      </c>
      <c r="GA92" s="137">
        <f t="shared" si="737"/>
        <v>0</v>
      </c>
      <c r="GB92" s="137">
        <f t="shared" si="737"/>
        <v>0</v>
      </c>
      <c r="GC92" s="137">
        <f t="shared" si="737"/>
        <v>0</v>
      </c>
      <c r="GD92" s="137">
        <f t="shared" si="737"/>
        <v>0</v>
      </c>
      <c r="GE92" s="137">
        <f t="shared" si="737"/>
        <v>0</v>
      </c>
      <c r="GF92" s="137">
        <f t="shared" si="737"/>
        <v>0</v>
      </c>
      <c r="GG92" s="137">
        <f t="shared" si="737"/>
        <v>0</v>
      </c>
      <c r="GH92" s="137">
        <f t="shared" si="737"/>
        <v>0</v>
      </c>
      <c r="GI92" s="137">
        <f t="shared" si="737"/>
        <v>0</v>
      </c>
      <c r="GJ92" s="137">
        <f t="shared" ref="GJ92:GT92" si="738">-GJ41+GJ80+GJ85</f>
        <v>0</v>
      </c>
      <c r="GK92" s="137">
        <f t="shared" si="738"/>
        <v>0</v>
      </c>
      <c r="GL92" s="137">
        <f t="shared" si="738"/>
        <v>0</v>
      </c>
      <c r="GM92" s="137">
        <f t="shared" si="738"/>
        <v>0</v>
      </c>
      <c r="GN92" s="137">
        <f t="shared" si="738"/>
        <v>0</v>
      </c>
      <c r="GO92" s="137">
        <f t="shared" si="738"/>
        <v>0</v>
      </c>
      <c r="GP92" s="137">
        <f t="shared" si="738"/>
        <v>0</v>
      </c>
      <c r="GQ92" s="137">
        <f t="shared" si="738"/>
        <v>0</v>
      </c>
      <c r="GR92" s="137">
        <f t="shared" si="738"/>
        <v>0</v>
      </c>
      <c r="GS92" s="137">
        <f t="shared" si="738"/>
        <v>0</v>
      </c>
      <c r="GT92" s="137">
        <f t="shared" si="738"/>
        <v>0</v>
      </c>
      <c r="GU92" s="34"/>
      <c r="GV92" s="34"/>
      <c r="GW92" s="34"/>
      <c r="GX92" s="34"/>
      <c r="GY92" s="34"/>
      <c r="GZ92" s="34"/>
      <c r="HA92" s="34"/>
      <c r="HB92" s="34"/>
      <c r="HC92" s="34"/>
      <c r="HD92" s="34"/>
      <c r="HE92" s="34"/>
      <c r="HF92" s="1" t="s">
        <v>212</v>
      </c>
      <c r="HG92" s="139" t="e">
        <f t="shared" si="691"/>
        <v>#REF!</v>
      </c>
      <c r="HH92" s="137" t="str">
        <f>B92</f>
        <v>Unleveraged Cash Flow</v>
      </c>
      <c r="HI92" s="137"/>
      <c r="HJ92" s="137"/>
      <c r="HK92" s="137"/>
      <c r="HL92" s="136">
        <f ca="1">SUM(HN92:HV92)</f>
        <v>-33853.124978900851</v>
      </c>
      <c r="HM92" s="137"/>
      <c r="HN92" s="138">
        <f t="shared" si="706"/>
        <v>-30206</v>
      </c>
      <c r="HO92" s="137">
        <f t="shared" ca="1" si="706"/>
        <v>-562.62008000000003</v>
      </c>
      <c r="HP92" s="137">
        <f t="shared" ca="1" si="706"/>
        <v>-3439.1477916908561</v>
      </c>
      <c r="HQ92" s="137">
        <f t="shared" ca="1" si="706"/>
        <v>-594.91405804776764</v>
      </c>
      <c r="HR92" s="137">
        <f t="shared" ca="1" si="706"/>
        <v>-953.15653916222823</v>
      </c>
      <c r="HS92" s="137">
        <f t="shared" ca="1" si="706"/>
        <v>283.72790000000003</v>
      </c>
      <c r="HT92" s="137">
        <f t="shared" ca="1" si="706"/>
        <v>775.99072000000001</v>
      </c>
      <c r="HU92" s="137">
        <f t="shared" ca="1" si="706"/>
        <v>1206.5964096825394</v>
      </c>
      <c r="HV92" s="137">
        <f t="shared" ca="1" si="706"/>
        <v>-363.60153968254008</v>
      </c>
      <c r="HW92"/>
    </row>
    <row r="93" spans="2:231" ht="15">
      <c r="B93" s="171" t="s">
        <v>5</v>
      </c>
      <c r="C93" s="172"/>
      <c r="D93" s="172"/>
      <c r="E93" s="172"/>
      <c r="F93" s="172"/>
      <c r="G93" s="172"/>
      <c r="H93" s="172"/>
      <c r="I93" s="173">
        <f ca="1">I92</f>
        <v>20705.888346099153</v>
      </c>
      <c r="K93" s="131"/>
      <c r="HF93" s="1" t="s">
        <v>212</v>
      </c>
      <c r="HH93" s="174" t="str">
        <f>B93</f>
        <v>Profit</v>
      </c>
      <c r="HL93" s="173">
        <f ca="1">HL92</f>
        <v>-33853.124978900851</v>
      </c>
      <c r="HN93" s="102"/>
      <c r="HW93"/>
    </row>
    <row r="94" spans="2:231" ht="15">
      <c r="B94" s="174" t="s">
        <v>7</v>
      </c>
      <c r="C94" s="33"/>
      <c r="D94" s="33"/>
      <c r="E94" s="33"/>
      <c r="F94" s="33"/>
      <c r="G94" s="33"/>
      <c r="H94" s="33"/>
      <c r="I94" s="175">
        <f ca="1">-SUMIF(K92:GT92,"&lt;0")</f>
        <v>37647.066320805607</v>
      </c>
      <c r="HF94" s="1" t="s">
        <v>212</v>
      </c>
      <c r="HH94" s="174" t="str">
        <f>B94</f>
        <v>Investment</v>
      </c>
      <c r="HL94" s="176">
        <f ca="1">-SUMIF(HN92:HV92,"&lt;0")</f>
        <v>36119.440008583391</v>
      </c>
      <c r="HN94" s="102"/>
      <c r="HW94"/>
    </row>
    <row r="95" spans="2:231" ht="15">
      <c r="B95" s="174" t="s">
        <v>9</v>
      </c>
      <c r="C95" s="33"/>
      <c r="D95" s="33"/>
      <c r="E95" s="33"/>
      <c r="F95" s="33"/>
      <c r="G95" s="33"/>
      <c r="H95" s="33"/>
      <c r="I95" s="177">
        <f ca="1">I93/I94+1</f>
        <v>1.5500000496627293</v>
      </c>
      <c r="HF95" s="1" t="s">
        <v>212</v>
      </c>
      <c r="HH95" s="174" t="str">
        <f>B95</f>
        <v>Multiple</v>
      </c>
      <c r="HL95" s="177">
        <f ca="1">HL93/HL94+1</f>
        <v>6.2745021216939589E-2</v>
      </c>
      <c r="HN95" s="102"/>
      <c r="HW95"/>
    </row>
    <row r="96" spans="2:231" ht="16" thickBot="1">
      <c r="B96" s="178" t="s">
        <v>10</v>
      </c>
      <c r="C96" s="11"/>
      <c r="D96" s="11"/>
      <c r="E96" s="11"/>
      <c r="F96" s="11"/>
      <c r="G96" s="11"/>
      <c r="H96" s="11"/>
      <c r="I96" s="179">
        <f ca="1">XIRR(K92:GT92,$K$15:$GT$15)</f>
        <v>5.7904282212257394E-2</v>
      </c>
      <c r="K96" s="131"/>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c r="CY96" s="18"/>
      <c r="CZ96" s="18"/>
      <c r="DA96" s="18"/>
      <c r="DB96" s="18"/>
      <c r="DC96" s="18"/>
      <c r="DD96" s="18"/>
      <c r="DE96" s="18"/>
      <c r="DF96" s="18"/>
      <c r="DG96" s="18"/>
      <c r="DH96" s="18"/>
      <c r="DI96" s="18"/>
      <c r="DJ96" s="18"/>
      <c r="DK96" s="18"/>
      <c r="DL96" s="18"/>
      <c r="DM96" s="18"/>
      <c r="DN96" s="18"/>
      <c r="DO96" s="18"/>
      <c r="DP96" s="18"/>
      <c r="DQ96" s="18"/>
      <c r="DR96" s="18"/>
      <c r="DS96" s="18"/>
      <c r="DT96" s="18"/>
      <c r="DU96" s="18"/>
      <c r="DV96" s="18"/>
      <c r="DW96" s="18"/>
      <c r="DX96" s="18"/>
      <c r="DY96" s="18"/>
      <c r="DZ96" s="18"/>
      <c r="EA96" s="18"/>
      <c r="EB96" s="18"/>
      <c r="EC96" s="18"/>
      <c r="ED96" s="18"/>
      <c r="EE96" s="18"/>
      <c r="EF96" s="18"/>
      <c r="EG96" s="18"/>
      <c r="EH96" s="18"/>
      <c r="EI96" s="18"/>
      <c r="EJ96" s="18"/>
      <c r="EK96" s="18"/>
      <c r="EL96" s="18"/>
      <c r="EM96" s="18"/>
      <c r="EN96" s="18"/>
      <c r="EO96" s="18"/>
      <c r="EP96" s="18"/>
      <c r="EQ96" s="18"/>
      <c r="ER96" s="18"/>
      <c r="ES96" s="18"/>
      <c r="ET96" s="18"/>
      <c r="EU96" s="18"/>
      <c r="EV96" s="18"/>
      <c r="EW96" s="18"/>
      <c r="EX96" s="18"/>
      <c r="EY96" s="18"/>
      <c r="EZ96" s="18"/>
      <c r="FA96" s="18"/>
      <c r="FB96" s="18"/>
      <c r="FC96" s="18"/>
      <c r="FD96" s="18"/>
      <c r="FE96" s="18"/>
      <c r="FF96" s="18"/>
      <c r="FG96" s="18"/>
      <c r="FH96" s="18"/>
      <c r="FI96" s="18"/>
      <c r="FJ96" s="18"/>
      <c r="FK96" s="18"/>
      <c r="FL96" s="18"/>
      <c r="FM96" s="18"/>
      <c r="FN96" s="18"/>
      <c r="FO96" s="18"/>
      <c r="FP96" s="18"/>
      <c r="FQ96" s="18"/>
      <c r="FR96" s="18"/>
      <c r="FS96" s="18"/>
      <c r="FT96" s="18"/>
      <c r="FU96" s="18"/>
      <c r="FV96" s="18"/>
      <c r="FW96" s="18"/>
      <c r="FX96" s="18"/>
      <c r="FY96" s="18"/>
      <c r="FZ96" s="18"/>
      <c r="GA96" s="18"/>
      <c r="GB96" s="18"/>
      <c r="GC96" s="18"/>
      <c r="GD96" s="18"/>
      <c r="GE96" s="18"/>
      <c r="GF96" s="18"/>
      <c r="GG96" s="18"/>
      <c r="GH96" s="18"/>
      <c r="GI96" s="18"/>
      <c r="GJ96" s="18"/>
      <c r="GK96" s="18"/>
      <c r="GL96" s="18"/>
      <c r="GM96" s="18"/>
      <c r="GN96" s="18"/>
      <c r="GO96" s="18"/>
      <c r="GP96" s="18"/>
      <c r="GQ96" s="18"/>
      <c r="GR96" s="18"/>
      <c r="GS96" s="18"/>
      <c r="GT96" s="18"/>
      <c r="GU96" s="18"/>
      <c r="GV96" s="18"/>
      <c r="GW96" s="18"/>
      <c r="GX96" s="18"/>
      <c r="GY96" s="18"/>
      <c r="GZ96" s="18"/>
      <c r="HA96" s="18"/>
      <c r="HB96" s="18"/>
      <c r="HC96" s="18"/>
      <c r="HD96" s="18"/>
      <c r="HE96" s="18"/>
      <c r="HF96" s="1" t="s">
        <v>212</v>
      </c>
      <c r="HH96" s="178" t="str">
        <f>B96</f>
        <v>IRR</v>
      </c>
      <c r="HI96" s="3"/>
      <c r="HJ96" s="3"/>
      <c r="HK96" s="3"/>
      <c r="HL96" s="179">
        <f ca="1">I96</f>
        <v>5.7904282212257394E-2</v>
      </c>
      <c r="HN96" s="402"/>
      <c r="HW96"/>
    </row>
    <row r="97" spans="2:231" ht="15">
      <c r="I97" s="97"/>
      <c r="HF97" s="1" t="s">
        <v>212</v>
      </c>
      <c r="HL97" s="97"/>
      <c r="HN97" s="102"/>
      <c r="HW97"/>
    </row>
    <row r="98" spans="2:231" ht="15" outlineLevel="1">
      <c r="B98" s="1421" t="s">
        <v>112</v>
      </c>
      <c r="C98" s="1421"/>
      <c r="D98" s="1421"/>
      <c r="E98" s="1421"/>
      <c r="F98" s="1421"/>
      <c r="G98" s="1421"/>
      <c r="H98" s="1421"/>
      <c r="I98" s="97"/>
      <c r="HF98" s="1" t="s">
        <v>212</v>
      </c>
      <c r="HH98" s="1631" t="str">
        <f>B98</f>
        <v>Leverage Cash Flows</v>
      </c>
      <c r="HI98" s="1631"/>
      <c r="HJ98" s="1631"/>
      <c r="HK98" s="1631"/>
      <c r="HL98" s="97"/>
      <c r="HN98" s="102"/>
      <c r="HW98"/>
    </row>
    <row r="99" spans="2:231" ht="15" outlineLevel="1">
      <c r="I99" s="97"/>
      <c r="HF99" s="1" t="s">
        <v>212</v>
      </c>
      <c r="HL99" s="97"/>
      <c r="HN99" s="102"/>
      <c r="HW99"/>
    </row>
    <row r="100" spans="2:231" ht="15" outlineLevel="1">
      <c r="B100" s="9" t="s">
        <v>74</v>
      </c>
      <c r="I100" s="116">
        <f ca="1">SUMIF($K$13:$GT$13,"&lt;="&amp;Assumptions!$L$17,'Monthly Cash Flow'!K100:GT100)</f>
        <v>12081.739420000004</v>
      </c>
      <c r="J100" s="18"/>
      <c r="K100" s="131">
        <f t="shared" ref="K100:AP100" si="739">MAX(0,K80)</f>
        <v>0</v>
      </c>
      <c r="L100" s="18">
        <f t="shared" si="739"/>
        <v>58.588409999999996</v>
      </c>
      <c r="M100" s="18">
        <f t="shared" si="739"/>
        <v>39.424859999999995</v>
      </c>
      <c r="N100" s="18">
        <f t="shared" si="739"/>
        <v>62.164510000000007</v>
      </c>
      <c r="O100" s="18">
        <f t="shared" si="739"/>
        <v>23.673310000000015</v>
      </c>
      <c r="P100" s="18">
        <f t="shared" si="739"/>
        <v>69.427840000000003</v>
      </c>
      <c r="Q100" s="18">
        <f t="shared" si="739"/>
        <v>53.221360000000018</v>
      </c>
      <c r="R100" s="18">
        <f t="shared" si="739"/>
        <v>66.139569999999992</v>
      </c>
      <c r="S100" s="18">
        <f t="shared" si="739"/>
        <v>136.26360000000003</v>
      </c>
      <c r="T100" s="18">
        <f t="shared" si="739"/>
        <v>66.867030000000028</v>
      </c>
      <c r="U100" s="18">
        <f t="shared" si="739"/>
        <v>154.67081000000002</v>
      </c>
      <c r="V100" s="18">
        <f t="shared" si="739"/>
        <v>239.07783999999998</v>
      </c>
      <c r="W100" s="18">
        <f t="shared" si="739"/>
        <v>0</v>
      </c>
      <c r="X100" s="18">
        <f t="shared" si="739"/>
        <v>81.805930000000018</v>
      </c>
      <c r="Y100" s="18">
        <f t="shared" si="739"/>
        <v>0</v>
      </c>
      <c r="Z100" s="18">
        <f t="shared" si="739"/>
        <v>73.826150000000041</v>
      </c>
      <c r="AA100" s="18">
        <f t="shared" si="739"/>
        <v>118.62709000000004</v>
      </c>
      <c r="AB100" s="18">
        <f t="shared" si="739"/>
        <v>60.287239999999997</v>
      </c>
      <c r="AC100" s="18">
        <f t="shared" si="739"/>
        <v>26.828859999999992</v>
      </c>
      <c r="AD100" s="18">
        <f t="shared" si="739"/>
        <v>119.66310999999999</v>
      </c>
      <c r="AE100" s="18">
        <f t="shared" si="739"/>
        <v>105.07043000000002</v>
      </c>
      <c r="AF100" s="18">
        <f t="shared" si="739"/>
        <v>94.892400000000038</v>
      </c>
      <c r="AG100" s="18">
        <f t="shared" si="739"/>
        <v>86.470220000000012</v>
      </c>
      <c r="AH100" s="18">
        <f t="shared" si="739"/>
        <v>113.23488</v>
      </c>
      <c r="AI100" s="18">
        <f t="shared" si="739"/>
        <v>93.738080000000011</v>
      </c>
      <c r="AJ100" s="18">
        <f t="shared" si="739"/>
        <v>73.349319999999992</v>
      </c>
      <c r="AK100" s="18">
        <f t="shared" si="739"/>
        <v>58.081759999999974</v>
      </c>
      <c r="AL100" s="18">
        <f t="shared" si="739"/>
        <v>99.803760000000025</v>
      </c>
      <c r="AM100" s="18">
        <f t="shared" si="739"/>
        <v>118.04129</v>
      </c>
      <c r="AN100" s="18">
        <f t="shared" si="739"/>
        <v>101.45357000000001</v>
      </c>
      <c r="AO100" s="18">
        <f t="shared" si="739"/>
        <v>81.414159999999995</v>
      </c>
      <c r="AP100" s="18">
        <f t="shared" si="739"/>
        <v>135.38081</v>
      </c>
      <c r="AQ100" s="18">
        <f t="shared" ref="AQ100:BV100" si="740">MAX(0,AQ80)</f>
        <v>131.88220999999999</v>
      </c>
      <c r="AR100" s="18">
        <f t="shared" si="740"/>
        <v>106.14256</v>
      </c>
      <c r="AS100" s="18">
        <f t="shared" si="740"/>
        <v>134.99206999999998</v>
      </c>
      <c r="AT100" s="18">
        <f t="shared" si="740"/>
        <v>116.68306999999999</v>
      </c>
      <c r="AU100" s="18">
        <f t="shared" si="740"/>
        <v>134.19099000000003</v>
      </c>
      <c r="AV100" s="18">
        <f t="shared" si="740"/>
        <v>137.95124999999999</v>
      </c>
      <c r="AW100" s="18">
        <f t="shared" si="740"/>
        <v>129.61628999999999</v>
      </c>
      <c r="AX100" s="18">
        <f t="shared" si="740"/>
        <v>117.20541999999998</v>
      </c>
      <c r="AY100" s="18">
        <f t="shared" si="740"/>
        <v>115.52426000000003</v>
      </c>
      <c r="AZ100" s="18">
        <f t="shared" si="740"/>
        <v>51.822730000000007</v>
      </c>
      <c r="BA100" s="18">
        <f t="shared" si="740"/>
        <v>131.91952999999998</v>
      </c>
      <c r="BB100" s="18">
        <f t="shared" si="740"/>
        <v>111.86949000000001</v>
      </c>
      <c r="BC100" s="18">
        <f t="shared" si="740"/>
        <v>104.50782999999998</v>
      </c>
      <c r="BD100" s="18">
        <f t="shared" si="740"/>
        <v>110.20179000000002</v>
      </c>
      <c r="BE100" s="18">
        <f t="shared" si="740"/>
        <v>142.38238000000001</v>
      </c>
      <c r="BF100" s="18">
        <f t="shared" si="740"/>
        <v>154.56266999999997</v>
      </c>
      <c r="BG100" s="18">
        <f t="shared" si="740"/>
        <v>137.96525999999997</v>
      </c>
      <c r="BH100" s="18">
        <f t="shared" si="740"/>
        <v>131.58776999999998</v>
      </c>
      <c r="BI100" s="18">
        <f t="shared" si="740"/>
        <v>114.46233999999998</v>
      </c>
      <c r="BJ100" s="18">
        <f t="shared" si="740"/>
        <v>0</v>
      </c>
      <c r="BK100" s="18">
        <f t="shared" si="740"/>
        <v>147.14487</v>
      </c>
      <c r="BL100" s="18">
        <f t="shared" ca="1" si="740"/>
        <v>112.02141999999999</v>
      </c>
      <c r="BM100" s="18">
        <f t="shared" ca="1" si="740"/>
        <v>9.8311400000000617</v>
      </c>
      <c r="BN100" s="18">
        <f t="shared" ca="1" si="740"/>
        <v>105.67253000000004</v>
      </c>
      <c r="BO100" s="18">
        <f t="shared" ca="1" si="740"/>
        <v>107.25182000000001</v>
      </c>
      <c r="BP100" s="18">
        <f t="shared" ca="1" si="740"/>
        <v>19.220650000000006</v>
      </c>
      <c r="BQ100" s="18">
        <f t="shared" ca="1" si="740"/>
        <v>112.32699999999997</v>
      </c>
      <c r="BR100" s="18">
        <f t="shared" ca="1" si="740"/>
        <v>59.421770000000009</v>
      </c>
      <c r="BS100" s="18">
        <f t="shared" ca="1" si="740"/>
        <v>188.27978999999999</v>
      </c>
      <c r="BT100" s="18">
        <f t="shared" ca="1" si="740"/>
        <v>59.065499999999986</v>
      </c>
      <c r="BU100" s="18">
        <f t="shared" ca="1" si="740"/>
        <v>68.98786000000004</v>
      </c>
      <c r="BV100" s="18">
        <f t="shared" ca="1" si="740"/>
        <v>104.43064999999999</v>
      </c>
      <c r="BW100" s="18">
        <f t="shared" ref="BW100:DB100" ca="1" si="741">MAX(0,BW80)</f>
        <v>175.25096999999997</v>
      </c>
      <c r="BX100" s="18">
        <f t="shared" ca="1" si="741"/>
        <v>90.894769999999937</v>
      </c>
      <c r="BY100" s="18">
        <f t="shared" ca="1" si="741"/>
        <v>127.74132000000003</v>
      </c>
      <c r="BZ100" s="18">
        <f t="shared" ca="1" si="741"/>
        <v>182.24637999999999</v>
      </c>
      <c r="CA100" s="18">
        <f t="shared" ca="1" si="741"/>
        <v>15.259610000000009</v>
      </c>
      <c r="CB100" s="18">
        <f t="shared" ca="1" si="741"/>
        <v>127.26703999999998</v>
      </c>
      <c r="CC100" s="18">
        <f t="shared" ca="1" si="741"/>
        <v>134.62045999999998</v>
      </c>
      <c r="CD100" s="18">
        <f t="shared" ca="1" si="741"/>
        <v>97.98275000000001</v>
      </c>
      <c r="CE100" s="18">
        <f t="shared" ca="1" si="741"/>
        <v>100.20571000000004</v>
      </c>
      <c r="CF100" s="18">
        <f t="shared" ca="1" si="741"/>
        <v>158.74802999999994</v>
      </c>
      <c r="CG100" s="18">
        <f t="shared" ca="1" si="741"/>
        <v>129.90303999999998</v>
      </c>
      <c r="CH100" s="18">
        <f t="shared" ca="1" si="741"/>
        <v>127.58223000000001</v>
      </c>
      <c r="CI100" s="18">
        <f t="shared" ca="1" si="741"/>
        <v>117.577</v>
      </c>
      <c r="CJ100" s="18">
        <f t="shared" ca="1" si="741"/>
        <v>145.029</v>
      </c>
      <c r="CK100" s="18">
        <f t="shared" ca="1" si="741"/>
        <v>145.029</v>
      </c>
      <c r="CL100" s="18">
        <f t="shared" ca="1" si="741"/>
        <v>145.42499999999995</v>
      </c>
      <c r="CM100" s="18">
        <f t="shared" ca="1" si="741"/>
        <v>145.42499999999995</v>
      </c>
      <c r="CN100" s="18">
        <f t="shared" ca="1" si="741"/>
        <v>145.905</v>
      </c>
      <c r="CO100" s="18">
        <f t="shared" ca="1" si="741"/>
        <v>145.905</v>
      </c>
      <c r="CP100" s="18">
        <f t="shared" ca="1" si="741"/>
        <v>158.25599999999997</v>
      </c>
      <c r="CQ100" s="18">
        <f t="shared" ca="1" si="741"/>
        <v>159.27499999999998</v>
      </c>
      <c r="CR100" s="18">
        <f t="shared" ca="1" si="741"/>
        <v>139.30799999999994</v>
      </c>
      <c r="CS100" s="18">
        <f t="shared" ca="1" si="741"/>
        <v>121.59599999999995</v>
      </c>
      <c r="CT100" s="18">
        <f t="shared" ca="1" si="741"/>
        <v>167.08699999999996</v>
      </c>
      <c r="CU100" s="18">
        <f t="shared" ca="1" si="741"/>
        <v>163.53899999999999</v>
      </c>
      <c r="CV100" s="18">
        <f t="shared" ca="1" si="741"/>
        <v>170.98599999999996</v>
      </c>
      <c r="CW100" s="18">
        <f t="shared" ca="1" si="741"/>
        <v>170.98599999999996</v>
      </c>
      <c r="CX100" s="18">
        <f t="shared" ca="1" si="741"/>
        <v>142.03799999999995</v>
      </c>
      <c r="CY100" s="18">
        <f t="shared" ca="1" si="741"/>
        <v>169.083</v>
      </c>
      <c r="CZ100" s="18">
        <f t="shared" ca="1" si="741"/>
        <v>143.70399999999995</v>
      </c>
      <c r="DA100" s="18">
        <f t="shared" ca="1" si="741"/>
        <v>168.303</v>
      </c>
      <c r="DB100" s="18">
        <f t="shared" ca="1" si="741"/>
        <v>186.80699999999999</v>
      </c>
      <c r="DC100" s="18">
        <f t="shared" ref="DC100:EH100" ca="1" si="742">MAX(0,DC80)</f>
        <v>218.85199999999992</v>
      </c>
      <c r="DD100" s="18">
        <f t="shared" ca="1" si="742"/>
        <v>218.85199999999992</v>
      </c>
      <c r="DE100" s="18">
        <f t="shared" ca="1" si="742"/>
        <v>219.39599999999993</v>
      </c>
      <c r="DF100" s="18">
        <f t="shared" ca="1" si="742"/>
        <v>220.27699999999993</v>
      </c>
      <c r="DG100" s="18">
        <f t="shared" ca="1" si="742"/>
        <v>220.81699999999995</v>
      </c>
      <c r="DH100" s="18">
        <f t="shared" ca="1" si="742"/>
        <v>221.69200000000001</v>
      </c>
      <c r="DI100" s="18">
        <f t="shared" ca="1" si="742"/>
        <v>222.27499999999998</v>
      </c>
      <c r="DJ100" s="18">
        <f t="shared" si="742"/>
        <v>0</v>
      </c>
      <c r="DK100" s="18">
        <f t="shared" si="742"/>
        <v>0</v>
      </c>
      <c r="DL100" s="18">
        <f t="shared" si="742"/>
        <v>0</v>
      </c>
      <c r="DM100" s="18">
        <f t="shared" si="742"/>
        <v>0</v>
      </c>
      <c r="DN100" s="18">
        <f t="shared" si="742"/>
        <v>0</v>
      </c>
      <c r="DO100" s="18">
        <f t="shared" si="742"/>
        <v>0</v>
      </c>
      <c r="DP100" s="18">
        <f t="shared" si="742"/>
        <v>0</v>
      </c>
      <c r="DQ100" s="18">
        <f t="shared" si="742"/>
        <v>0</v>
      </c>
      <c r="DR100" s="18">
        <f t="shared" si="742"/>
        <v>0</v>
      </c>
      <c r="DS100" s="18">
        <f t="shared" si="742"/>
        <v>0</v>
      </c>
      <c r="DT100" s="18">
        <f t="shared" si="742"/>
        <v>0</v>
      </c>
      <c r="DU100" s="18">
        <f t="shared" si="742"/>
        <v>0</v>
      </c>
      <c r="DV100" s="18">
        <f t="shared" si="742"/>
        <v>0</v>
      </c>
      <c r="DW100" s="18">
        <f t="shared" si="742"/>
        <v>0</v>
      </c>
      <c r="DX100" s="18">
        <f t="shared" si="742"/>
        <v>0</v>
      </c>
      <c r="DY100" s="18">
        <f t="shared" si="742"/>
        <v>0</v>
      </c>
      <c r="DZ100" s="18">
        <f t="shared" si="742"/>
        <v>0</v>
      </c>
      <c r="EA100" s="18">
        <f t="shared" si="742"/>
        <v>0</v>
      </c>
      <c r="EB100" s="18">
        <f t="shared" si="742"/>
        <v>0</v>
      </c>
      <c r="EC100" s="18">
        <f t="shared" si="742"/>
        <v>0</v>
      </c>
      <c r="ED100" s="18">
        <f t="shared" si="742"/>
        <v>0</v>
      </c>
      <c r="EE100" s="18">
        <f t="shared" si="742"/>
        <v>0</v>
      </c>
      <c r="EF100" s="18">
        <f t="shared" si="742"/>
        <v>0</v>
      </c>
      <c r="EG100" s="18">
        <f t="shared" si="742"/>
        <v>0</v>
      </c>
      <c r="EH100" s="18">
        <f t="shared" si="742"/>
        <v>0</v>
      </c>
      <c r="EI100" s="18">
        <f t="shared" ref="EI100:FN100" si="743">MAX(0,EI80)</f>
        <v>0</v>
      </c>
      <c r="EJ100" s="18">
        <f t="shared" si="743"/>
        <v>0</v>
      </c>
      <c r="EK100" s="18">
        <f t="shared" si="743"/>
        <v>0</v>
      </c>
      <c r="EL100" s="18">
        <f t="shared" si="743"/>
        <v>0</v>
      </c>
      <c r="EM100" s="18">
        <f t="shared" si="743"/>
        <v>0</v>
      </c>
      <c r="EN100" s="18">
        <f t="shared" si="743"/>
        <v>0</v>
      </c>
      <c r="EO100" s="18">
        <f t="shared" si="743"/>
        <v>0</v>
      </c>
      <c r="EP100" s="18">
        <f t="shared" si="743"/>
        <v>0</v>
      </c>
      <c r="EQ100" s="18">
        <f t="shared" si="743"/>
        <v>0</v>
      </c>
      <c r="ER100" s="18">
        <f t="shared" si="743"/>
        <v>0</v>
      </c>
      <c r="ES100" s="18">
        <f t="shared" si="743"/>
        <v>0</v>
      </c>
      <c r="ET100" s="18">
        <f t="shared" si="743"/>
        <v>0</v>
      </c>
      <c r="EU100" s="18">
        <f t="shared" si="743"/>
        <v>0</v>
      </c>
      <c r="EV100" s="18">
        <f t="shared" si="743"/>
        <v>0</v>
      </c>
      <c r="EW100" s="18">
        <f t="shared" si="743"/>
        <v>0</v>
      </c>
      <c r="EX100" s="18">
        <f t="shared" si="743"/>
        <v>0</v>
      </c>
      <c r="EY100" s="18">
        <f t="shared" si="743"/>
        <v>0</v>
      </c>
      <c r="EZ100" s="18">
        <f t="shared" si="743"/>
        <v>0</v>
      </c>
      <c r="FA100" s="18">
        <f t="shared" si="743"/>
        <v>0</v>
      </c>
      <c r="FB100" s="18">
        <f t="shared" si="743"/>
        <v>0</v>
      </c>
      <c r="FC100" s="18">
        <f t="shared" si="743"/>
        <v>0</v>
      </c>
      <c r="FD100" s="18">
        <f t="shared" si="743"/>
        <v>0</v>
      </c>
      <c r="FE100" s="18">
        <f t="shared" si="743"/>
        <v>0</v>
      </c>
      <c r="FF100" s="18">
        <f t="shared" si="743"/>
        <v>0</v>
      </c>
      <c r="FG100" s="18">
        <f t="shared" si="743"/>
        <v>0</v>
      </c>
      <c r="FH100" s="18">
        <f t="shared" si="743"/>
        <v>0</v>
      </c>
      <c r="FI100" s="18">
        <f t="shared" si="743"/>
        <v>0</v>
      </c>
      <c r="FJ100" s="18">
        <f t="shared" si="743"/>
        <v>0</v>
      </c>
      <c r="FK100" s="18">
        <f t="shared" si="743"/>
        <v>0</v>
      </c>
      <c r="FL100" s="18">
        <f t="shared" si="743"/>
        <v>0</v>
      </c>
      <c r="FM100" s="18">
        <f t="shared" si="743"/>
        <v>0</v>
      </c>
      <c r="FN100" s="18">
        <f t="shared" si="743"/>
        <v>0</v>
      </c>
      <c r="FO100" s="18">
        <f t="shared" ref="FO100:GC100" si="744">MAX(0,FO80)</f>
        <v>0</v>
      </c>
      <c r="FP100" s="18">
        <f t="shared" si="744"/>
        <v>0</v>
      </c>
      <c r="FQ100" s="18">
        <f t="shared" si="744"/>
        <v>0</v>
      </c>
      <c r="FR100" s="18">
        <f t="shared" si="744"/>
        <v>0</v>
      </c>
      <c r="FS100" s="18">
        <f t="shared" si="744"/>
        <v>0</v>
      </c>
      <c r="FT100" s="18">
        <f t="shared" si="744"/>
        <v>0</v>
      </c>
      <c r="FU100" s="18">
        <f t="shared" si="744"/>
        <v>0</v>
      </c>
      <c r="FV100" s="18">
        <f t="shared" si="744"/>
        <v>0</v>
      </c>
      <c r="FW100" s="18">
        <f t="shared" si="744"/>
        <v>0</v>
      </c>
      <c r="FX100" s="18">
        <f t="shared" si="744"/>
        <v>0</v>
      </c>
      <c r="FY100" s="18">
        <f t="shared" si="744"/>
        <v>0</v>
      </c>
      <c r="FZ100" s="18">
        <f t="shared" si="744"/>
        <v>0</v>
      </c>
      <c r="GA100" s="18">
        <f t="shared" si="744"/>
        <v>0</v>
      </c>
      <c r="GB100" s="18">
        <f t="shared" si="744"/>
        <v>0</v>
      </c>
      <c r="GC100" s="18">
        <f t="shared" si="744"/>
        <v>0</v>
      </c>
      <c r="GD100" s="18"/>
      <c r="GE100" s="18"/>
      <c r="GF100" s="18"/>
      <c r="GG100" s="18"/>
      <c r="GH100" s="18"/>
      <c r="GI100" s="18"/>
      <c r="GJ100" s="18"/>
      <c r="GK100" s="18"/>
      <c r="GL100" s="18"/>
      <c r="GM100" s="18"/>
      <c r="GN100" s="18"/>
      <c r="GO100" s="18"/>
      <c r="GP100" s="18">
        <f>MAX(0,GP80)</f>
        <v>0</v>
      </c>
      <c r="GQ100" s="18">
        <f>MAX(0,GQ80)</f>
        <v>0</v>
      </c>
      <c r="GR100" s="18">
        <f>MAX(0,GR80)</f>
        <v>0</v>
      </c>
      <c r="GS100" s="18">
        <f>MAX(0,GS80)</f>
        <v>0</v>
      </c>
      <c r="GT100" s="18">
        <f>MAX(0,GT80)</f>
        <v>0</v>
      </c>
      <c r="GU100" s="18"/>
      <c r="GV100" s="18"/>
      <c r="GW100" s="18"/>
      <c r="GX100" s="18"/>
      <c r="GY100" s="18"/>
      <c r="GZ100" s="18"/>
      <c r="HA100" s="18"/>
      <c r="HB100" s="18"/>
      <c r="HC100" s="18"/>
      <c r="HD100" s="18"/>
      <c r="HE100" s="18"/>
      <c r="HF100" s="1" t="s">
        <v>212</v>
      </c>
      <c r="HH100" s="9" t="str">
        <f>B100</f>
        <v>NOI</v>
      </c>
      <c r="HL100" s="116">
        <f t="shared" ref="HL100:HL103" ca="1" si="745">SUM(HN100:HV100)</f>
        <v>10758.430419999999</v>
      </c>
      <c r="HM100" s="18"/>
      <c r="HN100" s="131">
        <f t="shared" ref="HN100:HV100" si="746">SUMIF($K$14:$GT$14,HN$14,$K100:$GT100)</f>
        <v>0</v>
      </c>
      <c r="HO100" s="18">
        <f t="shared" si="746"/>
        <v>969.51913999999988</v>
      </c>
      <c r="HP100" s="18">
        <f t="shared" si="746"/>
        <v>974.44439000000011</v>
      </c>
      <c r="HQ100" s="18">
        <f t="shared" si="746"/>
        <v>1291.4155700000001</v>
      </c>
      <c r="HR100" s="18">
        <f t="shared" si="746"/>
        <v>1445.5289</v>
      </c>
      <c r="HS100" s="18">
        <f t="shared" ca="1" si="746"/>
        <v>1107.2211</v>
      </c>
      <c r="HT100" s="18">
        <f t="shared" ca="1" si="746"/>
        <v>1283.9530200000002</v>
      </c>
      <c r="HU100" s="18">
        <f t="shared" ca="1" si="746"/>
        <v>1724.0592999999999</v>
      </c>
      <c r="HV100" s="18">
        <f t="shared" ca="1" si="746"/>
        <v>1962.2889999999995</v>
      </c>
      <c r="HW100"/>
    </row>
    <row r="101" spans="2:231" ht="15" outlineLevel="1">
      <c r="B101" s="9" t="s">
        <v>717</v>
      </c>
      <c r="I101" s="116">
        <f ca="1">SUMIF($K$13:$GT$13,"&lt;="&amp;Assumptions!$L$17,'Monthly Cash Flow'!K101:GT101)</f>
        <v>0</v>
      </c>
      <c r="J101" s="18"/>
      <c r="K101" s="133">
        <v>0</v>
      </c>
      <c r="L101" s="531">
        <f t="shared" ref="L101:AQ101" ca="1" si="747">L39</f>
        <v>0</v>
      </c>
      <c r="M101" s="531">
        <f t="shared" ca="1" si="747"/>
        <v>0</v>
      </c>
      <c r="N101" s="531">
        <f t="shared" ca="1" si="747"/>
        <v>0</v>
      </c>
      <c r="O101" s="531">
        <f t="shared" ca="1" si="747"/>
        <v>0</v>
      </c>
      <c r="P101" s="531">
        <f t="shared" ca="1" si="747"/>
        <v>0</v>
      </c>
      <c r="Q101" s="531">
        <f t="shared" ca="1" si="747"/>
        <v>0</v>
      </c>
      <c r="R101" s="531">
        <f t="shared" ca="1" si="747"/>
        <v>0</v>
      </c>
      <c r="S101" s="531">
        <f t="shared" ca="1" si="747"/>
        <v>0</v>
      </c>
      <c r="T101" s="531">
        <f t="shared" ca="1" si="747"/>
        <v>0</v>
      </c>
      <c r="U101" s="531">
        <f t="shared" ca="1" si="747"/>
        <v>0</v>
      </c>
      <c r="V101" s="531">
        <f t="shared" ca="1" si="747"/>
        <v>0</v>
      </c>
      <c r="W101" s="531">
        <f t="shared" ca="1" si="747"/>
        <v>0</v>
      </c>
      <c r="X101" s="531">
        <f t="shared" ca="1" si="747"/>
        <v>0</v>
      </c>
      <c r="Y101" s="531">
        <f t="shared" ca="1" si="747"/>
        <v>0</v>
      </c>
      <c r="Z101" s="531">
        <f t="shared" ca="1" si="747"/>
        <v>0</v>
      </c>
      <c r="AA101" s="531">
        <f t="shared" ca="1" si="747"/>
        <v>0</v>
      </c>
      <c r="AB101" s="531">
        <f t="shared" ca="1" si="747"/>
        <v>0</v>
      </c>
      <c r="AC101" s="531">
        <f t="shared" ca="1" si="747"/>
        <v>0</v>
      </c>
      <c r="AD101" s="531">
        <f t="shared" ca="1" si="747"/>
        <v>0</v>
      </c>
      <c r="AE101" s="531">
        <f t="shared" ca="1" si="747"/>
        <v>0</v>
      </c>
      <c r="AF101" s="531">
        <f t="shared" ca="1" si="747"/>
        <v>0</v>
      </c>
      <c r="AG101" s="531">
        <f t="shared" ca="1" si="747"/>
        <v>0</v>
      </c>
      <c r="AH101" s="531">
        <f t="shared" ca="1" si="747"/>
        <v>0</v>
      </c>
      <c r="AI101" s="531">
        <f t="shared" ca="1" si="747"/>
        <v>0</v>
      </c>
      <c r="AJ101" s="531">
        <f t="shared" ca="1" si="747"/>
        <v>0</v>
      </c>
      <c r="AK101" s="531">
        <f t="shared" ca="1" si="747"/>
        <v>0</v>
      </c>
      <c r="AL101" s="531">
        <f t="shared" ca="1" si="747"/>
        <v>0</v>
      </c>
      <c r="AM101" s="531">
        <f t="shared" ca="1" si="747"/>
        <v>0</v>
      </c>
      <c r="AN101" s="531">
        <f t="shared" ca="1" si="747"/>
        <v>0</v>
      </c>
      <c r="AO101" s="531">
        <f t="shared" ca="1" si="747"/>
        <v>0</v>
      </c>
      <c r="AP101" s="531">
        <f t="shared" ca="1" si="747"/>
        <v>0</v>
      </c>
      <c r="AQ101" s="531">
        <f t="shared" ca="1" si="747"/>
        <v>0</v>
      </c>
      <c r="AR101" s="531">
        <f t="shared" ref="AR101:BW101" ca="1" si="748">AR39</f>
        <v>0</v>
      </c>
      <c r="AS101" s="531">
        <f t="shared" ca="1" si="748"/>
        <v>0</v>
      </c>
      <c r="AT101" s="531">
        <f t="shared" ca="1" si="748"/>
        <v>0</v>
      </c>
      <c r="AU101" s="531">
        <f t="shared" ca="1" si="748"/>
        <v>0</v>
      </c>
      <c r="AV101" s="531">
        <f t="shared" ca="1" si="748"/>
        <v>0</v>
      </c>
      <c r="AW101" s="531">
        <f t="shared" ca="1" si="748"/>
        <v>0</v>
      </c>
      <c r="AX101" s="531">
        <f t="shared" ca="1" si="748"/>
        <v>0</v>
      </c>
      <c r="AY101" s="531">
        <f t="shared" ca="1" si="748"/>
        <v>0</v>
      </c>
      <c r="AZ101" s="531">
        <f t="shared" ca="1" si="748"/>
        <v>0</v>
      </c>
      <c r="BA101" s="531">
        <f t="shared" ca="1" si="748"/>
        <v>0</v>
      </c>
      <c r="BB101" s="531">
        <f t="shared" ca="1" si="748"/>
        <v>0</v>
      </c>
      <c r="BC101" s="531">
        <f t="shared" ca="1" si="748"/>
        <v>0</v>
      </c>
      <c r="BD101" s="531">
        <f t="shared" ca="1" si="748"/>
        <v>0</v>
      </c>
      <c r="BE101" s="531">
        <f t="shared" ca="1" si="748"/>
        <v>0</v>
      </c>
      <c r="BF101" s="531">
        <f t="shared" ca="1" si="748"/>
        <v>0</v>
      </c>
      <c r="BG101" s="531">
        <f t="shared" ca="1" si="748"/>
        <v>0</v>
      </c>
      <c r="BH101" s="531">
        <f t="shared" ca="1" si="748"/>
        <v>0</v>
      </c>
      <c r="BI101" s="531">
        <f t="shared" ca="1" si="748"/>
        <v>0</v>
      </c>
      <c r="BJ101" s="531">
        <f t="shared" ca="1" si="748"/>
        <v>0</v>
      </c>
      <c r="BK101" s="531">
        <f t="shared" ca="1" si="748"/>
        <v>0</v>
      </c>
      <c r="BL101" s="531">
        <f t="shared" ca="1" si="748"/>
        <v>0</v>
      </c>
      <c r="BM101" s="531">
        <f t="shared" ca="1" si="748"/>
        <v>0</v>
      </c>
      <c r="BN101" s="531">
        <f t="shared" ca="1" si="748"/>
        <v>0</v>
      </c>
      <c r="BO101" s="531">
        <f t="shared" ca="1" si="748"/>
        <v>0</v>
      </c>
      <c r="BP101" s="531">
        <f t="shared" ca="1" si="748"/>
        <v>0</v>
      </c>
      <c r="BQ101" s="531">
        <f t="shared" ca="1" si="748"/>
        <v>0</v>
      </c>
      <c r="BR101" s="531">
        <f t="shared" ca="1" si="748"/>
        <v>0</v>
      </c>
      <c r="BS101" s="531">
        <f t="shared" ca="1" si="748"/>
        <v>0</v>
      </c>
      <c r="BT101" s="531">
        <f t="shared" ca="1" si="748"/>
        <v>0</v>
      </c>
      <c r="BU101" s="531">
        <f t="shared" ca="1" si="748"/>
        <v>0</v>
      </c>
      <c r="BV101" s="531">
        <f t="shared" ca="1" si="748"/>
        <v>0</v>
      </c>
      <c r="BW101" s="531">
        <f t="shared" ca="1" si="748"/>
        <v>0</v>
      </c>
      <c r="BX101" s="531">
        <f t="shared" ref="BX101:DC101" ca="1" si="749">BX39</f>
        <v>0</v>
      </c>
      <c r="BY101" s="531">
        <f t="shared" ca="1" si="749"/>
        <v>0</v>
      </c>
      <c r="BZ101" s="531">
        <f t="shared" ca="1" si="749"/>
        <v>0</v>
      </c>
      <c r="CA101" s="531">
        <f t="shared" ca="1" si="749"/>
        <v>0</v>
      </c>
      <c r="CB101" s="531">
        <f t="shared" ca="1" si="749"/>
        <v>0</v>
      </c>
      <c r="CC101" s="531">
        <f t="shared" ca="1" si="749"/>
        <v>0</v>
      </c>
      <c r="CD101" s="531">
        <f t="shared" ca="1" si="749"/>
        <v>0</v>
      </c>
      <c r="CE101" s="531">
        <f t="shared" ca="1" si="749"/>
        <v>0</v>
      </c>
      <c r="CF101" s="531">
        <f t="shared" ca="1" si="749"/>
        <v>0</v>
      </c>
      <c r="CG101" s="531">
        <f t="shared" ca="1" si="749"/>
        <v>0</v>
      </c>
      <c r="CH101" s="531">
        <f t="shared" ca="1" si="749"/>
        <v>0</v>
      </c>
      <c r="CI101" s="531">
        <f t="shared" ca="1" si="749"/>
        <v>0</v>
      </c>
      <c r="CJ101" s="531">
        <f t="shared" ca="1" si="749"/>
        <v>0</v>
      </c>
      <c r="CK101" s="531">
        <f t="shared" ca="1" si="749"/>
        <v>0</v>
      </c>
      <c r="CL101" s="531">
        <f t="shared" ca="1" si="749"/>
        <v>0</v>
      </c>
      <c r="CM101" s="531">
        <f t="shared" ca="1" si="749"/>
        <v>0</v>
      </c>
      <c r="CN101" s="531">
        <f t="shared" ca="1" si="749"/>
        <v>0</v>
      </c>
      <c r="CO101" s="531">
        <f t="shared" ca="1" si="749"/>
        <v>0</v>
      </c>
      <c r="CP101" s="531">
        <f t="shared" ca="1" si="749"/>
        <v>0</v>
      </c>
      <c r="CQ101" s="531">
        <f t="shared" ca="1" si="749"/>
        <v>0</v>
      </c>
      <c r="CR101" s="531">
        <f t="shared" ca="1" si="749"/>
        <v>0</v>
      </c>
      <c r="CS101" s="531">
        <f t="shared" ca="1" si="749"/>
        <v>0</v>
      </c>
      <c r="CT101" s="531">
        <f t="shared" ca="1" si="749"/>
        <v>0</v>
      </c>
      <c r="CU101" s="531">
        <f t="shared" ca="1" si="749"/>
        <v>0</v>
      </c>
      <c r="CV101" s="531">
        <f t="shared" ca="1" si="749"/>
        <v>0</v>
      </c>
      <c r="CW101" s="531">
        <f t="shared" ca="1" si="749"/>
        <v>0</v>
      </c>
      <c r="CX101" s="531">
        <f t="shared" ca="1" si="749"/>
        <v>0</v>
      </c>
      <c r="CY101" s="531">
        <f t="shared" ca="1" si="749"/>
        <v>0</v>
      </c>
      <c r="CZ101" s="531">
        <f t="shared" ca="1" si="749"/>
        <v>0</v>
      </c>
      <c r="DA101" s="531">
        <f t="shared" ca="1" si="749"/>
        <v>0</v>
      </c>
      <c r="DB101" s="531">
        <f t="shared" ca="1" si="749"/>
        <v>0</v>
      </c>
      <c r="DC101" s="531">
        <f t="shared" ca="1" si="749"/>
        <v>0</v>
      </c>
      <c r="DD101" s="531">
        <f t="shared" ref="DD101:EI101" ca="1" si="750">DD39</f>
        <v>0</v>
      </c>
      <c r="DE101" s="531">
        <f t="shared" ca="1" si="750"/>
        <v>0</v>
      </c>
      <c r="DF101" s="531">
        <f t="shared" ca="1" si="750"/>
        <v>0</v>
      </c>
      <c r="DG101" s="531">
        <f t="shared" ca="1" si="750"/>
        <v>0</v>
      </c>
      <c r="DH101" s="531">
        <f t="shared" ca="1" si="750"/>
        <v>0</v>
      </c>
      <c r="DI101" s="531">
        <f t="shared" ca="1" si="750"/>
        <v>0</v>
      </c>
      <c r="DJ101" s="531">
        <f t="shared" ca="1" si="750"/>
        <v>0</v>
      </c>
      <c r="DK101" s="531">
        <f t="shared" ca="1" si="750"/>
        <v>0</v>
      </c>
      <c r="DL101" s="531">
        <f t="shared" ca="1" si="750"/>
        <v>0</v>
      </c>
      <c r="DM101" s="531">
        <f t="shared" ca="1" si="750"/>
        <v>0</v>
      </c>
      <c r="DN101" s="531">
        <f t="shared" ca="1" si="750"/>
        <v>0</v>
      </c>
      <c r="DO101" s="531">
        <f t="shared" ca="1" si="750"/>
        <v>0</v>
      </c>
      <c r="DP101" s="531">
        <f t="shared" ca="1" si="750"/>
        <v>0</v>
      </c>
      <c r="DQ101" s="531">
        <f t="shared" ca="1" si="750"/>
        <v>0</v>
      </c>
      <c r="DR101" s="531">
        <f t="shared" ca="1" si="750"/>
        <v>0</v>
      </c>
      <c r="DS101" s="531">
        <f t="shared" ca="1" si="750"/>
        <v>0</v>
      </c>
      <c r="DT101" s="531">
        <f t="shared" ca="1" si="750"/>
        <v>0</v>
      </c>
      <c r="DU101" s="531">
        <f t="shared" ca="1" si="750"/>
        <v>0</v>
      </c>
      <c r="DV101" s="531">
        <f t="shared" ca="1" si="750"/>
        <v>0</v>
      </c>
      <c r="DW101" s="531">
        <f t="shared" ca="1" si="750"/>
        <v>0</v>
      </c>
      <c r="DX101" s="531">
        <f t="shared" ca="1" si="750"/>
        <v>0</v>
      </c>
      <c r="DY101" s="531">
        <f t="shared" ca="1" si="750"/>
        <v>0</v>
      </c>
      <c r="DZ101" s="531">
        <f t="shared" ca="1" si="750"/>
        <v>0</v>
      </c>
      <c r="EA101" s="531">
        <f t="shared" ca="1" si="750"/>
        <v>0</v>
      </c>
      <c r="EB101" s="531">
        <f t="shared" ca="1" si="750"/>
        <v>0</v>
      </c>
      <c r="EC101" s="531">
        <f t="shared" ca="1" si="750"/>
        <v>0</v>
      </c>
      <c r="ED101" s="531">
        <f t="shared" ca="1" si="750"/>
        <v>0</v>
      </c>
      <c r="EE101" s="531">
        <f t="shared" ca="1" si="750"/>
        <v>0</v>
      </c>
      <c r="EF101" s="531">
        <f t="shared" ca="1" si="750"/>
        <v>0</v>
      </c>
      <c r="EG101" s="531">
        <f t="shared" ca="1" si="750"/>
        <v>0</v>
      </c>
      <c r="EH101" s="531">
        <f t="shared" ca="1" si="750"/>
        <v>0</v>
      </c>
      <c r="EI101" s="531">
        <f t="shared" ca="1" si="750"/>
        <v>0</v>
      </c>
      <c r="EJ101" s="531">
        <f t="shared" ref="EJ101:FO101" ca="1" si="751">EJ39</f>
        <v>0</v>
      </c>
      <c r="EK101" s="531">
        <f t="shared" ca="1" si="751"/>
        <v>0</v>
      </c>
      <c r="EL101" s="531">
        <f t="shared" ca="1" si="751"/>
        <v>0</v>
      </c>
      <c r="EM101" s="531">
        <f t="shared" ca="1" si="751"/>
        <v>0</v>
      </c>
      <c r="EN101" s="531">
        <f t="shared" ca="1" si="751"/>
        <v>0</v>
      </c>
      <c r="EO101" s="531">
        <f t="shared" ca="1" si="751"/>
        <v>0</v>
      </c>
      <c r="EP101" s="531">
        <f t="shared" ca="1" si="751"/>
        <v>0</v>
      </c>
      <c r="EQ101" s="531">
        <f t="shared" ca="1" si="751"/>
        <v>0</v>
      </c>
      <c r="ER101" s="531">
        <f t="shared" ca="1" si="751"/>
        <v>0</v>
      </c>
      <c r="ES101" s="531">
        <f t="shared" ca="1" si="751"/>
        <v>0</v>
      </c>
      <c r="ET101" s="531">
        <f t="shared" ca="1" si="751"/>
        <v>0</v>
      </c>
      <c r="EU101" s="531">
        <f t="shared" ca="1" si="751"/>
        <v>0</v>
      </c>
      <c r="EV101" s="531">
        <f t="shared" ca="1" si="751"/>
        <v>0</v>
      </c>
      <c r="EW101" s="531">
        <f t="shared" ca="1" si="751"/>
        <v>0</v>
      </c>
      <c r="EX101" s="531">
        <f t="shared" ca="1" si="751"/>
        <v>0</v>
      </c>
      <c r="EY101" s="531">
        <f t="shared" ca="1" si="751"/>
        <v>0</v>
      </c>
      <c r="EZ101" s="531">
        <f t="shared" ca="1" si="751"/>
        <v>0</v>
      </c>
      <c r="FA101" s="531">
        <f t="shared" ca="1" si="751"/>
        <v>0</v>
      </c>
      <c r="FB101" s="531">
        <f t="shared" ca="1" si="751"/>
        <v>0</v>
      </c>
      <c r="FC101" s="531">
        <f t="shared" ca="1" si="751"/>
        <v>0</v>
      </c>
      <c r="FD101" s="531">
        <f t="shared" ca="1" si="751"/>
        <v>0</v>
      </c>
      <c r="FE101" s="531">
        <f t="shared" ca="1" si="751"/>
        <v>0</v>
      </c>
      <c r="FF101" s="531">
        <f t="shared" ca="1" si="751"/>
        <v>0</v>
      </c>
      <c r="FG101" s="531">
        <f t="shared" ca="1" si="751"/>
        <v>0</v>
      </c>
      <c r="FH101" s="531">
        <f t="shared" ca="1" si="751"/>
        <v>0</v>
      </c>
      <c r="FI101" s="531">
        <f t="shared" ca="1" si="751"/>
        <v>0</v>
      </c>
      <c r="FJ101" s="531">
        <f t="shared" ca="1" si="751"/>
        <v>0</v>
      </c>
      <c r="FK101" s="531">
        <f t="shared" ca="1" si="751"/>
        <v>0</v>
      </c>
      <c r="FL101" s="531">
        <f t="shared" ca="1" si="751"/>
        <v>0</v>
      </c>
      <c r="FM101" s="531">
        <f t="shared" ca="1" si="751"/>
        <v>0</v>
      </c>
      <c r="FN101" s="531">
        <f t="shared" ca="1" si="751"/>
        <v>0</v>
      </c>
      <c r="FO101" s="531">
        <f t="shared" ca="1" si="751"/>
        <v>0</v>
      </c>
      <c r="FP101" s="531">
        <f t="shared" ref="FP101:GC101" ca="1" si="752">FP39</f>
        <v>0</v>
      </c>
      <c r="FQ101" s="531">
        <f t="shared" ca="1" si="752"/>
        <v>0</v>
      </c>
      <c r="FR101" s="531">
        <f t="shared" ca="1" si="752"/>
        <v>0</v>
      </c>
      <c r="FS101" s="531">
        <f t="shared" ca="1" si="752"/>
        <v>0</v>
      </c>
      <c r="FT101" s="531">
        <f t="shared" ca="1" si="752"/>
        <v>0</v>
      </c>
      <c r="FU101" s="531">
        <f t="shared" ca="1" si="752"/>
        <v>0</v>
      </c>
      <c r="FV101" s="531">
        <f t="shared" ca="1" si="752"/>
        <v>0</v>
      </c>
      <c r="FW101" s="531">
        <f t="shared" ca="1" si="752"/>
        <v>0</v>
      </c>
      <c r="FX101" s="531">
        <f t="shared" ca="1" si="752"/>
        <v>0</v>
      </c>
      <c r="FY101" s="531">
        <f t="shared" ca="1" si="752"/>
        <v>0</v>
      </c>
      <c r="FZ101" s="531">
        <f t="shared" ca="1" si="752"/>
        <v>0</v>
      </c>
      <c r="GA101" s="531">
        <f t="shared" ca="1" si="752"/>
        <v>0</v>
      </c>
      <c r="GB101" s="531">
        <f t="shared" ca="1" si="752"/>
        <v>0</v>
      </c>
      <c r="GC101" s="531">
        <f t="shared" ca="1" si="752"/>
        <v>0</v>
      </c>
      <c r="GD101" s="531"/>
      <c r="GE101" s="531"/>
      <c r="GF101" s="531"/>
      <c r="GG101" s="531"/>
      <c r="GH101" s="531"/>
      <c r="GI101" s="531"/>
      <c r="GJ101" s="531"/>
      <c r="GK101" s="531"/>
      <c r="GL101" s="531"/>
      <c r="GM101" s="531"/>
      <c r="GN101" s="531"/>
      <c r="GO101" s="531"/>
      <c r="GP101" s="531">
        <f ca="1">GP39</f>
        <v>0</v>
      </c>
      <c r="GQ101" s="531">
        <f ca="1">GQ39</f>
        <v>0</v>
      </c>
      <c r="GR101" s="531">
        <f ca="1">GR39</f>
        <v>0</v>
      </c>
      <c r="GS101" s="531">
        <f ca="1">GS39</f>
        <v>0</v>
      </c>
      <c r="GT101" s="531">
        <f ca="1">GT39</f>
        <v>0</v>
      </c>
      <c r="GU101" s="531"/>
      <c r="GV101" s="531"/>
      <c r="GW101" s="531"/>
      <c r="GX101" s="531"/>
      <c r="GY101" s="531"/>
      <c r="GZ101" s="531"/>
      <c r="HA101" s="531"/>
      <c r="HB101" s="531"/>
      <c r="HC101" s="531"/>
      <c r="HD101" s="531"/>
      <c r="HE101" s="531"/>
      <c r="HF101" s="1" t="s">
        <v>212</v>
      </c>
      <c r="HH101" s="9"/>
      <c r="HL101" s="116"/>
      <c r="HM101" s="18"/>
      <c r="HN101" s="131"/>
      <c r="HO101" s="18"/>
      <c r="HP101" s="18"/>
      <c r="HQ101" s="18"/>
      <c r="HR101" s="18"/>
      <c r="HS101" s="18"/>
      <c r="HT101" s="18"/>
      <c r="HU101" s="18"/>
      <c r="HV101" s="18"/>
      <c r="HW101"/>
    </row>
    <row r="102" spans="2:231" ht="15" outlineLevel="1">
      <c r="B102" s="43" t="s">
        <v>113</v>
      </c>
      <c r="C102" s="84"/>
      <c r="D102" s="84"/>
      <c r="E102" s="84"/>
      <c r="F102" s="84"/>
      <c r="G102" s="84"/>
      <c r="H102" s="84"/>
      <c r="I102" s="119">
        <f ca="1">SUMIF($K$13:$GT$13,"&lt;="&amp;Assumptions!$L$17,'Monthly Cash Flow'!K102:GT102)</f>
        <v>-12580.976553638144</v>
      </c>
      <c r="J102" s="120"/>
      <c r="K102" s="140">
        <f>-MIN(K100,K148)</f>
        <v>0</v>
      </c>
      <c r="L102" s="526">
        <f>+L182+L183</f>
        <v>-99.817880000000002</v>
      </c>
      <c r="M102" s="526">
        <f t="shared" ref="M102:BX102" si="753">+M182+M183</f>
        <v>-107.07263</v>
      </c>
      <c r="N102" s="526">
        <f t="shared" si="753"/>
        <v>-93.756550000000004</v>
      </c>
      <c r="O102" s="526">
        <f t="shared" si="753"/>
        <v>-97.477069999999998</v>
      </c>
      <c r="P102" s="526">
        <f t="shared" si="753"/>
        <v>-93.802399999999992</v>
      </c>
      <c r="Q102" s="526">
        <f t="shared" si="753"/>
        <v>-97.247420000000005</v>
      </c>
      <c r="R102" s="526">
        <f t="shared" si="753"/>
        <v>-97.714269999999985</v>
      </c>
      <c r="S102" s="526">
        <f t="shared" si="753"/>
        <v>-94.318039999999996</v>
      </c>
      <c r="T102" s="526">
        <f t="shared" si="753"/>
        <v>-101.34725</v>
      </c>
      <c r="U102" s="526">
        <f t="shared" si="753"/>
        <v>-100.38728000000002</v>
      </c>
      <c r="V102" s="526">
        <f t="shared" si="753"/>
        <v>-106.00931999999999</v>
      </c>
      <c r="W102" s="526">
        <f t="shared" si="753"/>
        <v>-102.52549</v>
      </c>
      <c r="X102" s="526">
        <f t="shared" si="753"/>
        <v>-109.64747</v>
      </c>
      <c r="Y102" s="526">
        <f t="shared" si="753"/>
        <v>-110.21392</v>
      </c>
      <c r="Z102" s="526">
        <f t="shared" si="753"/>
        <v>-106.67487</v>
      </c>
      <c r="AA102" s="526">
        <f t="shared" si="753"/>
        <v>-113.30676000000001</v>
      </c>
      <c r="AB102" s="526">
        <f t="shared" si="753"/>
        <v>-109.32448000000001</v>
      </c>
      <c r="AC102" s="526">
        <f t="shared" si="753"/>
        <v>-113.17747</v>
      </c>
      <c r="AD102" s="526">
        <f t="shared" si="753"/>
        <v>-126.27515</v>
      </c>
      <c r="AE102" s="526">
        <f t="shared" si="753"/>
        <v>-116.49860000000001</v>
      </c>
      <c r="AF102" s="526">
        <f t="shared" si="753"/>
        <v>-128.33968999999999</v>
      </c>
      <c r="AG102" s="526">
        <f t="shared" si="753"/>
        <v>-127.63253999999999</v>
      </c>
      <c r="AH102" s="526">
        <f t="shared" si="753"/>
        <v>-134.13919000000001</v>
      </c>
      <c r="AI102" s="526">
        <f t="shared" si="753"/>
        <v>-130.21171000000001</v>
      </c>
      <c r="AJ102" s="526">
        <f t="shared" si="753"/>
        <v>-137.46123</v>
      </c>
      <c r="AK102" s="526">
        <f t="shared" si="753"/>
        <v>-137.42370000000003</v>
      </c>
      <c r="AL102" s="526">
        <f t="shared" si="753"/>
        <v>-147.13461999999998</v>
      </c>
      <c r="AM102" s="526">
        <f t="shared" si="753"/>
        <v>-128.02465000000001</v>
      </c>
      <c r="AN102" s="526">
        <f t="shared" si="753"/>
        <v>-162.54771999999997</v>
      </c>
      <c r="AO102" s="526">
        <f t="shared" si="753"/>
        <v>-161.53258000000002</v>
      </c>
      <c r="AP102" s="526">
        <f t="shared" si="753"/>
        <v>-152.23414</v>
      </c>
      <c r="AQ102" s="526">
        <f t="shared" si="753"/>
        <v>-132.09123000000002</v>
      </c>
      <c r="AR102" s="526">
        <f t="shared" si="753"/>
        <v>-146.26062999999999</v>
      </c>
      <c r="AS102" s="526">
        <f t="shared" si="753"/>
        <v>-141.18404000000001</v>
      </c>
      <c r="AT102" s="526">
        <f t="shared" si="753"/>
        <v>-144.95245</v>
      </c>
      <c r="AU102" s="526">
        <f t="shared" si="753"/>
        <v>-139.98539000000002</v>
      </c>
      <c r="AV102" s="526">
        <f t="shared" si="753"/>
        <v>-143.52170999999998</v>
      </c>
      <c r="AW102" s="526">
        <f t="shared" si="753"/>
        <v>-142.16876999999999</v>
      </c>
      <c r="AX102" s="526">
        <f t="shared" si="753"/>
        <v>-135.25839999999999</v>
      </c>
      <c r="AY102" s="526">
        <f t="shared" si="753"/>
        <v>-136.60156000000001</v>
      </c>
      <c r="AZ102" s="526">
        <f t="shared" si="753"/>
        <v>-130.12090000000001</v>
      </c>
      <c r="BA102" s="526">
        <f t="shared" si="753"/>
        <v>-131.68058000000002</v>
      </c>
      <c r="BB102" s="526">
        <f t="shared" si="753"/>
        <v>-131.19252</v>
      </c>
      <c r="BC102" s="526">
        <f t="shared" si="753"/>
        <v>-121.62235000000001</v>
      </c>
      <c r="BD102" s="526">
        <f t="shared" si="753"/>
        <v>-129.67227</v>
      </c>
      <c r="BE102" s="526">
        <f t="shared" si="753"/>
        <v>-108.16163</v>
      </c>
      <c r="BF102" s="526">
        <f t="shared" si="753"/>
        <v>-113.81280000000001</v>
      </c>
      <c r="BG102" s="526">
        <f t="shared" si="753"/>
        <v>-104.43817999999999</v>
      </c>
      <c r="BH102" s="526">
        <f t="shared" si="753"/>
        <v>-107.91946</v>
      </c>
      <c r="BI102" s="526">
        <f t="shared" si="753"/>
        <v>-107.91946</v>
      </c>
      <c r="BJ102" s="526">
        <f t="shared" si="753"/>
        <v>-104.43817999999999</v>
      </c>
      <c r="BK102" s="526">
        <f t="shared" si="753"/>
        <v>-107.91946</v>
      </c>
      <c r="BL102" s="526">
        <f t="shared" si="753"/>
        <v>-104.43817999999999</v>
      </c>
      <c r="BM102" s="526">
        <f t="shared" si="753"/>
        <v>-107.91946</v>
      </c>
      <c r="BN102" s="526">
        <f t="shared" si="753"/>
        <v>-107.91945</v>
      </c>
      <c r="BO102" s="526">
        <f t="shared" si="753"/>
        <v>-97.47563000000001</v>
      </c>
      <c r="BP102" s="526">
        <f t="shared" si="753"/>
        <v>-107.91945</v>
      </c>
      <c r="BQ102" s="526">
        <f t="shared" si="753"/>
        <v>-104.43817999999999</v>
      </c>
      <c r="BR102" s="526">
        <f t="shared" si="753"/>
        <v>-107.91946</v>
      </c>
      <c r="BS102" s="526">
        <f t="shared" si="753"/>
        <v>-107.63529</v>
      </c>
      <c r="BT102" s="526">
        <f t="shared" si="753"/>
        <v>-99.109529999999992</v>
      </c>
      <c r="BU102" s="526">
        <f t="shared" si="753"/>
        <v>-99.109520000000003</v>
      </c>
      <c r="BV102" s="526">
        <f t="shared" si="753"/>
        <v>-95.912440000000004</v>
      </c>
      <c r="BW102" s="526">
        <f t="shared" si="753"/>
        <v>-99.10951</v>
      </c>
      <c r="BX102" s="526">
        <f t="shared" si="753"/>
        <v>-96.316159999999996</v>
      </c>
      <c r="BY102" s="526">
        <f t="shared" ref="BY102:EJ102" si="754">+BY182+BY183</f>
        <v>-100.07224000000001</v>
      </c>
      <c r="BZ102" s="526">
        <f t="shared" si="754"/>
        <v>-100.07224000000001</v>
      </c>
      <c r="CA102" s="526">
        <f t="shared" si="754"/>
        <v>-90.387830000000008</v>
      </c>
      <c r="CB102" s="526">
        <f t="shared" si="754"/>
        <v>-101.28278999999999</v>
      </c>
      <c r="CC102" s="526">
        <f t="shared" si="754"/>
        <v>-100.18088</v>
      </c>
      <c r="CD102" s="526">
        <f t="shared" si="754"/>
        <v>-110.84980999999999</v>
      </c>
      <c r="CE102" s="526">
        <f t="shared" si="754"/>
        <v>-108.56345</v>
      </c>
      <c r="CF102" s="526">
        <f t="shared" si="754"/>
        <v>-133.17430999999999</v>
      </c>
      <c r="CG102" s="526">
        <f t="shared" si="754"/>
        <v>-141.79045000000002</v>
      </c>
      <c r="CH102" s="526">
        <f t="shared" si="754"/>
        <v>-112.83533</v>
      </c>
      <c r="CI102" s="526">
        <f t="shared" ca="1" si="754"/>
        <v>-103.28730200935985</v>
      </c>
      <c r="CJ102" s="526">
        <f t="shared" ca="1" si="754"/>
        <v>-121.23113973333334</v>
      </c>
      <c r="CK102" s="526">
        <f t="shared" ca="1" si="754"/>
        <v>-125.27217772444443</v>
      </c>
      <c r="CL102" s="526">
        <f t="shared" ca="1" si="754"/>
        <v>-125.27217772444443</v>
      </c>
      <c r="CM102" s="526">
        <f t="shared" ca="1" si="754"/>
        <v>-113.14906375111111</v>
      </c>
      <c r="CN102" s="526">
        <f t="shared" ca="1" si="754"/>
        <v>-125.64866096959435</v>
      </c>
      <c r="CO102" s="526">
        <f t="shared" ca="1" si="754"/>
        <v>-121.95981698201059</v>
      </c>
      <c r="CP102" s="526">
        <f t="shared" ca="1" si="754"/>
        <v>-126.40162745989417</v>
      </c>
      <c r="CQ102" s="526">
        <f t="shared" ca="1" si="754"/>
        <v>-123.1840088973545</v>
      </c>
      <c r="CR102" s="526">
        <f t="shared" ca="1" si="754"/>
        <v>-147.57470966046733</v>
      </c>
      <c r="CS102" s="526">
        <f t="shared" ca="1" si="754"/>
        <v>-147.97019202378303</v>
      </c>
      <c r="CT102" s="526">
        <f t="shared" ca="1" si="754"/>
        <v>-144.65023055740738</v>
      </c>
      <c r="CU102" s="526">
        <f t="shared" ca="1" si="754"/>
        <v>-151.36256731549378</v>
      </c>
      <c r="CV102" s="526">
        <f t="shared" ca="1" si="754"/>
        <v>-146.65120014999997</v>
      </c>
      <c r="CW102" s="526">
        <f t="shared" ca="1" si="754"/>
        <v>-151.5395734883333</v>
      </c>
      <c r="CX102" s="526">
        <f t="shared" ca="1" si="754"/>
        <v>-151.5395734883333</v>
      </c>
      <c r="CY102" s="526">
        <f t="shared" ca="1" si="754"/>
        <v>-141.76282681166663</v>
      </c>
      <c r="CZ102" s="526">
        <f t="shared" ca="1" si="754"/>
        <v>-152.65547067166662</v>
      </c>
      <c r="DA102" s="526">
        <f t="shared" ca="1" si="754"/>
        <v>-147.73110064999995</v>
      </c>
      <c r="DB102" s="526">
        <f t="shared" ca="1" si="754"/>
        <v>-153.63753844388884</v>
      </c>
      <c r="DC102" s="526">
        <f t="shared" ca="1" si="754"/>
        <v>-155.96828731666662</v>
      </c>
      <c r="DD102" s="526">
        <f t="shared" ca="1" si="754"/>
        <v>-162.39580104388884</v>
      </c>
      <c r="DE102" s="526">
        <f t="shared" ca="1" si="754"/>
        <v>-162.39580104388884</v>
      </c>
      <c r="DF102" s="526">
        <f t="shared" ca="1" si="754"/>
        <v>-157.15722681666662</v>
      </c>
      <c r="DG102" s="526">
        <f t="shared" ca="1" si="754"/>
        <v>-162.39580104388884</v>
      </c>
      <c r="DH102" s="526">
        <f t="shared" ca="1" si="754"/>
        <v>-157.15722681666662</v>
      </c>
      <c r="DI102" s="526">
        <f t="shared" ca="1" si="754"/>
        <v>-162.39580104388884</v>
      </c>
      <c r="DJ102" s="526">
        <f t="shared" si="754"/>
        <v>0</v>
      </c>
      <c r="DK102" s="526">
        <f t="shared" si="754"/>
        <v>0</v>
      </c>
      <c r="DL102" s="526">
        <f t="shared" si="754"/>
        <v>0</v>
      </c>
      <c r="DM102" s="526">
        <f t="shared" si="754"/>
        <v>0</v>
      </c>
      <c r="DN102" s="526">
        <f t="shared" si="754"/>
        <v>0</v>
      </c>
      <c r="DO102" s="526">
        <f t="shared" si="754"/>
        <v>0</v>
      </c>
      <c r="DP102" s="526">
        <f t="shared" si="754"/>
        <v>0</v>
      </c>
      <c r="DQ102" s="526">
        <f t="shared" si="754"/>
        <v>0</v>
      </c>
      <c r="DR102" s="526">
        <f t="shared" si="754"/>
        <v>0</v>
      </c>
      <c r="DS102" s="526">
        <f t="shared" si="754"/>
        <v>0</v>
      </c>
      <c r="DT102" s="526">
        <f t="shared" si="754"/>
        <v>0</v>
      </c>
      <c r="DU102" s="526">
        <f t="shared" si="754"/>
        <v>0</v>
      </c>
      <c r="DV102" s="526">
        <f t="shared" si="754"/>
        <v>0</v>
      </c>
      <c r="DW102" s="526">
        <f t="shared" si="754"/>
        <v>0</v>
      </c>
      <c r="DX102" s="526">
        <f t="shared" si="754"/>
        <v>0</v>
      </c>
      <c r="DY102" s="526">
        <f t="shared" si="754"/>
        <v>0</v>
      </c>
      <c r="DZ102" s="526">
        <f t="shared" si="754"/>
        <v>0</v>
      </c>
      <c r="EA102" s="526">
        <f t="shared" si="754"/>
        <v>0</v>
      </c>
      <c r="EB102" s="526">
        <f t="shared" si="754"/>
        <v>0</v>
      </c>
      <c r="EC102" s="526">
        <f t="shared" si="754"/>
        <v>0</v>
      </c>
      <c r="ED102" s="526">
        <f t="shared" si="754"/>
        <v>0</v>
      </c>
      <c r="EE102" s="526">
        <f t="shared" si="754"/>
        <v>0</v>
      </c>
      <c r="EF102" s="526">
        <f t="shared" si="754"/>
        <v>0</v>
      </c>
      <c r="EG102" s="526">
        <f t="shared" si="754"/>
        <v>0</v>
      </c>
      <c r="EH102" s="526">
        <f t="shared" si="754"/>
        <v>0</v>
      </c>
      <c r="EI102" s="526">
        <f t="shared" si="754"/>
        <v>0</v>
      </c>
      <c r="EJ102" s="526">
        <f t="shared" si="754"/>
        <v>0</v>
      </c>
      <c r="EK102" s="526">
        <f t="shared" ref="EK102:EL102" si="755">+EK182+EK183</f>
        <v>0</v>
      </c>
      <c r="EL102" s="526">
        <f t="shared" si="755"/>
        <v>0</v>
      </c>
      <c r="EM102" s="526">
        <f t="shared" ref="EM102:FD102" si="756">+EM182+EM183</f>
        <v>0</v>
      </c>
      <c r="EN102" s="526">
        <f t="shared" si="756"/>
        <v>0</v>
      </c>
      <c r="EO102" s="526">
        <f t="shared" si="756"/>
        <v>0</v>
      </c>
      <c r="EP102" s="526">
        <f t="shared" si="756"/>
        <v>0</v>
      </c>
      <c r="EQ102" s="526">
        <f t="shared" si="756"/>
        <v>0</v>
      </c>
      <c r="ER102" s="526">
        <f t="shared" si="756"/>
        <v>0</v>
      </c>
      <c r="ES102" s="526">
        <f t="shared" si="756"/>
        <v>0</v>
      </c>
      <c r="ET102" s="526">
        <f t="shared" si="756"/>
        <v>0</v>
      </c>
      <c r="EU102" s="526">
        <f t="shared" si="756"/>
        <v>0</v>
      </c>
      <c r="EV102" s="526">
        <f t="shared" si="756"/>
        <v>0</v>
      </c>
      <c r="EW102" s="526">
        <f t="shared" si="756"/>
        <v>0</v>
      </c>
      <c r="EX102" s="526">
        <f t="shared" si="756"/>
        <v>0</v>
      </c>
      <c r="EY102" s="526">
        <f t="shared" si="756"/>
        <v>0</v>
      </c>
      <c r="EZ102" s="526">
        <f t="shared" si="756"/>
        <v>0</v>
      </c>
      <c r="FA102" s="526">
        <f t="shared" si="756"/>
        <v>0</v>
      </c>
      <c r="FB102" s="526">
        <f t="shared" si="756"/>
        <v>0</v>
      </c>
      <c r="FC102" s="526">
        <f t="shared" si="756"/>
        <v>0</v>
      </c>
      <c r="FD102" s="526">
        <f t="shared" si="756"/>
        <v>0</v>
      </c>
      <c r="FE102" s="526">
        <f t="shared" ref="FE102:FI102" si="757">+FE182+FE183</f>
        <v>0</v>
      </c>
      <c r="FF102" s="526">
        <f t="shared" si="757"/>
        <v>0</v>
      </c>
      <c r="FG102" s="526">
        <f t="shared" si="757"/>
        <v>0</v>
      </c>
      <c r="FH102" s="526">
        <f t="shared" si="757"/>
        <v>0</v>
      </c>
      <c r="FI102" s="526">
        <f t="shared" si="757"/>
        <v>0</v>
      </c>
      <c r="FJ102" s="526">
        <f t="shared" ref="FJ102:GT102" si="758">+FJ182+FJ183</f>
        <v>0</v>
      </c>
      <c r="FK102" s="526">
        <f t="shared" si="758"/>
        <v>0</v>
      </c>
      <c r="FL102" s="526">
        <f t="shared" si="758"/>
        <v>0</v>
      </c>
      <c r="FM102" s="526">
        <f t="shared" si="758"/>
        <v>0</v>
      </c>
      <c r="FN102" s="526">
        <f t="shared" si="758"/>
        <v>0</v>
      </c>
      <c r="FO102" s="526">
        <f t="shared" si="758"/>
        <v>0</v>
      </c>
      <c r="FP102" s="526">
        <f t="shared" si="758"/>
        <v>0</v>
      </c>
      <c r="FQ102" s="526">
        <f t="shared" si="758"/>
        <v>0</v>
      </c>
      <c r="FR102" s="526">
        <f t="shared" si="758"/>
        <v>0</v>
      </c>
      <c r="FS102" s="526">
        <f t="shared" si="758"/>
        <v>0</v>
      </c>
      <c r="FT102" s="526">
        <f t="shared" si="758"/>
        <v>0</v>
      </c>
      <c r="FU102" s="526">
        <f t="shared" si="758"/>
        <v>0</v>
      </c>
      <c r="FV102" s="526">
        <f t="shared" si="758"/>
        <v>0</v>
      </c>
      <c r="FW102" s="526">
        <f t="shared" si="758"/>
        <v>0</v>
      </c>
      <c r="FX102" s="526">
        <f t="shared" si="758"/>
        <v>0</v>
      </c>
      <c r="FY102" s="526">
        <f t="shared" si="758"/>
        <v>0</v>
      </c>
      <c r="FZ102" s="526">
        <f t="shared" si="758"/>
        <v>0</v>
      </c>
      <c r="GA102" s="526">
        <f t="shared" si="758"/>
        <v>0</v>
      </c>
      <c r="GB102" s="526">
        <f t="shared" si="758"/>
        <v>0</v>
      </c>
      <c r="GC102" s="526">
        <f t="shared" si="758"/>
        <v>0</v>
      </c>
      <c r="GD102" s="526"/>
      <c r="GE102" s="526"/>
      <c r="GF102" s="526"/>
      <c r="GG102" s="526"/>
      <c r="GH102" s="526"/>
      <c r="GI102" s="526"/>
      <c r="GJ102" s="526"/>
      <c r="GK102" s="526"/>
      <c r="GL102" s="526"/>
      <c r="GM102" s="526"/>
      <c r="GN102" s="526"/>
      <c r="GO102" s="526"/>
      <c r="GP102" s="526">
        <f t="shared" si="758"/>
        <v>0</v>
      </c>
      <c r="GQ102" s="526">
        <f t="shared" si="758"/>
        <v>0</v>
      </c>
      <c r="GR102" s="526">
        <f t="shared" si="758"/>
        <v>0</v>
      </c>
      <c r="GS102" s="526">
        <f t="shared" si="758"/>
        <v>0</v>
      </c>
      <c r="GT102" s="526">
        <f t="shared" si="758"/>
        <v>0</v>
      </c>
      <c r="GU102" s="531"/>
      <c r="GV102" s="531"/>
      <c r="GW102" s="531"/>
      <c r="GX102" s="531"/>
      <c r="GY102" s="531"/>
      <c r="GZ102" s="531"/>
      <c r="HA102" s="531"/>
      <c r="HB102" s="531"/>
      <c r="HC102" s="531"/>
      <c r="HD102" s="531"/>
      <c r="HE102" s="531"/>
      <c r="HF102" s="1" t="s">
        <v>212</v>
      </c>
      <c r="HH102" s="43" t="str">
        <f>B102</f>
        <v>Less Debt Service</v>
      </c>
      <c r="HI102" s="120"/>
      <c r="HJ102" s="120"/>
      <c r="HK102" s="120"/>
      <c r="HL102" s="119">
        <f t="shared" ca="1" si="745"/>
        <v>-11617.078895829254</v>
      </c>
      <c r="HM102" s="120"/>
      <c r="HN102" s="140">
        <f t="shared" ref="HN102:HV103" si="759">SUMIF($K$14:$GT$14,HN$14,$K102:$GT102)</f>
        <v>0</v>
      </c>
      <c r="HO102" s="120">
        <f t="shared" si="759"/>
        <v>-1191.4756</v>
      </c>
      <c r="HP102" s="120">
        <f t="shared" si="759"/>
        <v>-1425.4418500000002</v>
      </c>
      <c r="HQ102" s="120">
        <f t="shared" si="759"/>
        <v>-1730.8323800000003</v>
      </c>
      <c r="HR102" s="120">
        <f t="shared" si="759"/>
        <v>-1528.2516700000001</v>
      </c>
      <c r="HS102" s="120">
        <f t="shared" si="759"/>
        <v>-1273.8616599999998</v>
      </c>
      <c r="HT102" s="120">
        <f t="shared" si="759"/>
        <v>-1200.9664</v>
      </c>
      <c r="HU102" s="120">
        <f t="shared" ca="1" si="759"/>
        <v>-1473.2060652515468</v>
      </c>
      <c r="HV102" s="120">
        <f t="shared" ca="1" si="759"/>
        <v>-1793.0432705777066</v>
      </c>
      <c r="HW102"/>
    </row>
    <row r="103" spans="2:231" ht="15" outlineLevel="1">
      <c r="B103" s="33" t="s">
        <v>114</v>
      </c>
      <c r="I103" s="123">
        <f ca="1">SUMIF($K$13:$GT$13,"&lt;="&amp;Assumptions!$L$17,'Monthly Cash Flow'!K103:GT103)</f>
        <v>-499.23713363814215</v>
      </c>
      <c r="J103" s="34"/>
      <c r="K103" s="124">
        <f t="shared" ref="K103:AP103" si="760">SUM(K100:K102)</f>
        <v>0</v>
      </c>
      <c r="L103" s="527">
        <f t="shared" ca="1" si="760"/>
        <v>-41.229470000000006</v>
      </c>
      <c r="M103" s="527">
        <f t="shared" ca="1" si="760"/>
        <v>-67.647770000000008</v>
      </c>
      <c r="N103" s="527">
        <f t="shared" ca="1" si="760"/>
        <v>-31.592039999999997</v>
      </c>
      <c r="O103" s="527">
        <f t="shared" ca="1" si="760"/>
        <v>-73.803759999999983</v>
      </c>
      <c r="P103" s="527">
        <f t="shared" ca="1" si="760"/>
        <v>-24.374559999999988</v>
      </c>
      <c r="Q103" s="527">
        <f t="shared" ca="1" si="760"/>
        <v>-44.026059999999987</v>
      </c>
      <c r="R103" s="527">
        <f t="shared" ca="1" si="760"/>
        <v>-31.574699999999993</v>
      </c>
      <c r="S103" s="527">
        <f t="shared" ca="1" si="760"/>
        <v>41.945560000000029</v>
      </c>
      <c r="T103" s="527">
        <f t="shared" ca="1" si="760"/>
        <v>-34.480219999999974</v>
      </c>
      <c r="U103" s="527">
        <f t="shared" ca="1" si="760"/>
        <v>54.283529999999999</v>
      </c>
      <c r="V103" s="527">
        <f t="shared" ca="1" si="760"/>
        <v>133.06851999999998</v>
      </c>
      <c r="W103" s="527">
        <f ca="1">SUM(W100:W102)</f>
        <v>-102.52549</v>
      </c>
      <c r="X103" s="527">
        <f t="shared" ca="1" si="760"/>
        <v>-27.841539999999981</v>
      </c>
      <c r="Y103" s="527">
        <f t="shared" ca="1" si="760"/>
        <v>-110.21392</v>
      </c>
      <c r="Z103" s="527">
        <f t="shared" ca="1" si="760"/>
        <v>-32.848719999999958</v>
      </c>
      <c r="AA103" s="527">
        <f t="shared" ca="1" si="760"/>
        <v>5.3203300000000269</v>
      </c>
      <c r="AB103" s="527">
        <f t="shared" ca="1" si="760"/>
        <v>-49.037240000000011</v>
      </c>
      <c r="AC103" s="527">
        <f t="shared" ca="1" si="760"/>
        <v>-86.348610000000008</v>
      </c>
      <c r="AD103" s="527">
        <f t="shared" ca="1" si="760"/>
        <v>-6.6120400000000075</v>
      </c>
      <c r="AE103" s="527">
        <f t="shared" ca="1" si="760"/>
        <v>-11.428169999999994</v>
      </c>
      <c r="AF103" s="527">
        <f t="shared" ca="1" si="760"/>
        <v>-33.447289999999953</v>
      </c>
      <c r="AG103" s="527">
        <f t="shared" ca="1" si="760"/>
        <v>-41.16231999999998</v>
      </c>
      <c r="AH103" s="527">
        <f t="shared" ca="1" si="760"/>
        <v>-20.904310000000009</v>
      </c>
      <c r="AI103" s="527">
        <f t="shared" ca="1" si="760"/>
        <v>-36.47363</v>
      </c>
      <c r="AJ103" s="527">
        <f t="shared" ca="1" si="760"/>
        <v>-64.111910000000009</v>
      </c>
      <c r="AK103" s="527">
        <f t="shared" ca="1" si="760"/>
        <v>-79.341940000000051</v>
      </c>
      <c r="AL103" s="527">
        <f t="shared" ca="1" si="760"/>
        <v>-47.330859999999959</v>
      </c>
      <c r="AM103" s="527">
        <f t="shared" ca="1" si="760"/>
        <v>-9.9833600000000047</v>
      </c>
      <c r="AN103" s="527">
        <f t="shared" ca="1" si="760"/>
        <v>-61.094149999999956</v>
      </c>
      <c r="AO103" s="527">
        <f t="shared" ca="1" si="760"/>
        <v>-80.118420000000029</v>
      </c>
      <c r="AP103" s="527">
        <f t="shared" ca="1" si="760"/>
        <v>-16.85333</v>
      </c>
      <c r="AQ103" s="527">
        <f t="shared" ref="AQ103:CE103" ca="1" si="761">SUM(AQ100:AQ102)</f>
        <v>-0.20902000000003795</v>
      </c>
      <c r="AR103" s="527">
        <f t="shared" ca="1" si="761"/>
        <v>-40.118069999999989</v>
      </c>
      <c r="AS103" s="527">
        <f t="shared" ca="1" si="761"/>
        <v>-6.1919700000000262</v>
      </c>
      <c r="AT103" s="527">
        <f t="shared" ca="1" si="761"/>
        <v>-28.269380000000012</v>
      </c>
      <c r="AU103" s="527">
        <f t="shared" ca="1" si="761"/>
        <v>-5.794399999999996</v>
      </c>
      <c r="AV103" s="527">
        <f t="shared" ca="1" si="761"/>
        <v>-5.5704599999999971</v>
      </c>
      <c r="AW103" s="527">
        <f t="shared" ca="1" si="761"/>
        <v>-12.552480000000003</v>
      </c>
      <c r="AX103" s="527">
        <f t="shared" ca="1" si="761"/>
        <v>-18.052980000000019</v>
      </c>
      <c r="AY103" s="527">
        <f t="shared" ca="1" si="761"/>
        <v>-21.07729999999998</v>
      </c>
      <c r="AZ103" s="527">
        <f t="shared" ca="1" si="761"/>
        <v>-78.298169999999999</v>
      </c>
      <c r="BA103" s="527">
        <f t="shared" ca="1" si="761"/>
        <v>0.23894999999996003</v>
      </c>
      <c r="BB103" s="527">
        <f t="shared" ca="1" si="761"/>
        <v>-19.323029999999989</v>
      </c>
      <c r="BC103" s="527">
        <f t="shared" ca="1" si="761"/>
        <v>-17.114520000000027</v>
      </c>
      <c r="BD103" s="527">
        <f t="shared" ca="1" si="761"/>
        <v>-19.470479999999981</v>
      </c>
      <c r="BE103" s="527">
        <f t="shared" ca="1" si="761"/>
        <v>34.22075000000001</v>
      </c>
      <c r="BF103" s="527">
        <f t="shared" ca="1" si="761"/>
        <v>40.749869999999959</v>
      </c>
      <c r="BG103" s="527">
        <f t="shared" ca="1" si="761"/>
        <v>33.527079999999984</v>
      </c>
      <c r="BH103" s="527">
        <f t="shared" ca="1" si="761"/>
        <v>23.668309999999977</v>
      </c>
      <c r="BI103" s="527">
        <f t="shared" ca="1" si="761"/>
        <v>6.5428799999999825</v>
      </c>
      <c r="BJ103" s="527">
        <f t="shared" ca="1" si="761"/>
        <v>-104.43817999999999</v>
      </c>
      <c r="BK103" s="527">
        <f t="shared" ca="1" si="761"/>
        <v>39.225409999999997</v>
      </c>
      <c r="BL103" s="527">
        <f t="shared" ca="1" si="761"/>
        <v>7.5832400000000035</v>
      </c>
      <c r="BM103" s="527">
        <f t="shared" ca="1" si="761"/>
        <v>-98.088319999999939</v>
      </c>
      <c r="BN103" s="527">
        <f t="shared" ca="1" si="761"/>
        <v>-2.2469199999999603</v>
      </c>
      <c r="BO103" s="527">
        <f t="shared" ca="1" si="761"/>
        <v>9.7761899999999997</v>
      </c>
      <c r="BP103" s="527">
        <f t="shared" ca="1" si="761"/>
        <v>-88.698799999999991</v>
      </c>
      <c r="BQ103" s="527">
        <f t="shared" ca="1" si="761"/>
        <v>7.8888199999999813</v>
      </c>
      <c r="BR103" s="527">
        <f t="shared" ca="1" si="761"/>
        <v>-48.497689999999992</v>
      </c>
      <c r="BS103" s="527">
        <f t="shared" ca="1" si="761"/>
        <v>80.644499999999994</v>
      </c>
      <c r="BT103" s="527">
        <f t="shared" ca="1" si="761"/>
        <v>-40.044030000000006</v>
      </c>
      <c r="BU103" s="527">
        <f t="shared" ca="1" si="761"/>
        <v>-30.121659999999963</v>
      </c>
      <c r="BV103" s="527">
        <f t="shared" ca="1" si="761"/>
        <v>8.5182099999999821</v>
      </c>
      <c r="BW103" s="527">
        <f t="shared" ca="1" si="761"/>
        <v>76.141459999999967</v>
      </c>
      <c r="BX103" s="527">
        <f t="shared" ca="1" si="761"/>
        <v>-5.4213900000000592</v>
      </c>
      <c r="BY103" s="527">
        <f t="shared" ca="1" si="761"/>
        <v>27.669080000000022</v>
      </c>
      <c r="BZ103" s="527">
        <f t="shared" ca="1" si="761"/>
        <v>82.17413999999998</v>
      </c>
      <c r="CA103" s="527">
        <f t="shared" ca="1" si="761"/>
        <v>-75.128219999999999</v>
      </c>
      <c r="CB103" s="527">
        <f t="shared" ca="1" si="761"/>
        <v>25.984249999999989</v>
      </c>
      <c r="CC103" s="527">
        <f t="shared" ca="1" si="761"/>
        <v>34.439579999999978</v>
      </c>
      <c r="CD103" s="527">
        <f t="shared" ca="1" si="761"/>
        <v>-12.867059999999981</v>
      </c>
      <c r="CE103" s="527">
        <f t="shared" ca="1" si="761"/>
        <v>-8.3577399999999642</v>
      </c>
      <c r="CF103" s="527">
        <f t="shared" ref="CF103:EL103" ca="1" si="762">SUM(CF100:CF102)</f>
        <v>25.573719999999952</v>
      </c>
      <c r="CG103" s="527">
        <f t="shared" ca="1" si="762"/>
        <v>-11.887410000000045</v>
      </c>
      <c r="CH103" s="527">
        <f t="shared" ca="1" si="762"/>
        <v>14.746900000000011</v>
      </c>
      <c r="CI103" s="527">
        <f t="shared" ca="1" si="762"/>
        <v>14.28969799064015</v>
      </c>
      <c r="CJ103" s="527">
        <f t="shared" ca="1" si="762"/>
        <v>23.79786026666666</v>
      </c>
      <c r="CK103" s="527">
        <f t="shared" ca="1" si="762"/>
        <v>19.756822275555564</v>
      </c>
      <c r="CL103" s="527">
        <f t="shared" ca="1" si="762"/>
        <v>20.152822275555522</v>
      </c>
      <c r="CM103" s="527">
        <f t="shared" ca="1" si="762"/>
        <v>32.27593624888884</v>
      </c>
      <c r="CN103" s="527">
        <f t="shared" ca="1" si="762"/>
        <v>20.256339030405655</v>
      </c>
      <c r="CO103" s="527">
        <f t="shared" ca="1" si="762"/>
        <v>23.945183017989407</v>
      </c>
      <c r="CP103" s="527">
        <f t="shared" ca="1" si="762"/>
        <v>31.8543725401058</v>
      </c>
      <c r="CQ103" s="527">
        <f t="shared" ca="1" si="762"/>
        <v>36.090991102645475</v>
      </c>
      <c r="CR103" s="527">
        <f t="shared" ca="1" si="762"/>
        <v>-8.2667096604673986</v>
      </c>
      <c r="CS103" s="527">
        <f t="shared" ca="1" si="762"/>
        <v>-26.374192023783081</v>
      </c>
      <c r="CT103" s="527">
        <f t="shared" ca="1" si="762"/>
        <v>22.436769442592578</v>
      </c>
      <c r="CU103" s="527">
        <f t="shared" ca="1" si="762"/>
        <v>12.17643268450621</v>
      </c>
      <c r="CV103" s="527">
        <f t="shared" ca="1" si="762"/>
        <v>24.334799849999996</v>
      </c>
      <c r="CW103" s="527">
        <f t="shared" ca="1" si="762"/>
        <v>19.446426511666658</v>
      </c>
      <c r="CX103" s="527">
        <f t="shared" ca="1" si="762"/>
        <v>-9.5015734883333494</v>
      </c>
      <c r="CY103" s="527">
        <f t="shared" ca="1" si="762"/>
        <v>27.320173188333371</v>
      </c>
      <c r="CZ103" s="527">
        <f t="shared" ca="1" si="762"/>
        <v>-8.9514706716666694</v>
      </c>
      <c r="DA103" s="527">
        <f t="shared" ca="1" si="762"/>
        <v>20.571899350000052</v>
      </c>
      <c r="DB103" s="527">
        <f t="shared" ca="1" si="762"/>
        <v>33.169461556111145</v>
      </c>
      <c r="DC103" s="527">
        <f t="shared" ca="1" si="762"/>
        <v>62.8837126833333</v>
      </c>
      <c r="DD103" s="527">
        <f t="shared" ca="1" si="762"/>
        <v>56.456198956111081</v>
      </c>
      <c r="DE103" s="527">
        <f t="shared" ca="1" si="762"/>
        <v>57.000198956111092</v>
      </c>
      <c r="DF103" s="527">
        <f t="shared" ca="1" si="762"/>
        <v>63.119773183333308</v>
      </c>
      <c r="DG103" s="527">
        <f t="shared" ca="1" si="762"/>
        <v>58.421198956111112</v>
      </c>
      <c r="DH103" s="527">
        <f t="shared" ca="1" si="762"/>
        <v>64.534773183333385</v>
      </c>
      <c r="DI103" s="527">
        <f t="shared" ca="1" si="762"/>
        <v>59.879198956111139</v>
      </c>
      <c r="DJ103" s="527">
        <f t="shared" ca="1" si="762"/>
        <v>0</v>
      </c>
      <c r="DK103" s="527">
        <f t="shared" ca="1" si="762"/>
        <v>0</v>
      </c>
      <c r="DL103" s="527">
        <f t="shared" ca="1" si="762"/>
        <v>0</v>
      </c>
      <c r="DM103" s="527">
        <f t="shared" ca="1" si="762"/>
        <v>0</v>
      </c>
      <c r="DN103" s="527">
        <f t="shared" ca="1" si="762"/>
        <v>0</v>
      </c>
      <c r="DO103" s="527">
        <f t="shared" ca="1" si="762"/>
        <v>0</v>
      </c>
      <c r="DP103" s="527">
        <f t="shared" ca="1" si="762"/>
        <v>0</v>
      </c>
      <c r="DQ103" s="527">
        <f t="shared" ca="1" si="762"/>
        <v>0</v>
      </c>
      <c r="DR103" s="527">
        <f t="shared" ca="1" si="762"/>
        <v>0</v>
      </c>
      <c r="DS103" s="527">
        <f t="shared" ca="1" si="762"/>
        <v>0</v>
      </c>
      <c r="DT103" s="527">
        <f t="shared" ca="1" si="762"/>
        <v>0</v>
      </c>
      <c r="DU103" s="527">
        <f t="shared" ca="1" si="762"/>
        <v>0</v>
      </c>
      <c r="DV103" s="527">
        <f t="shared" ca="1" si="762"/>
        <v>0</v>
      </c>
      <c r="DW103" s="527">
        <f t="shared" ca="1" si="762"/>
        <v>0</v>
      </c>
      <c r="DX103" s="527">
        <f t="shared" ca="1" si="762"/>
        <v>0</v>
      </c>
      <c r="DY103" s="527">
        <f t="shared" ca="1" si="762"/>
        <v>0</v>
      </c>
      <c r="DZ103" s="527">
        <f t="shared" ca="1" si="762"/>
        <v>0</v>
      </c>
      <c r="EA103" s="527">
        <f t="shared" ca="1" si="762"/>
        <v>0</v>
      </c>
      <c r="EB103" s="527">
        <f t="shared" ca="1" si="762"/>
        <v>0</v>
      </c>
      <c r="EC103" s="527">
        <f t="shared" ca="1" si="762"/>
        <v>0</v>
      </c>
      <c r="ED103" s="527">
        <f t="shared" ca="1" si="762"/>
        <v>0</v>
      </c>
      <c r="EE103" s="527">
        <f t="shared" ca="1" si="762"/>
        <v>0</v>
      </c>
      <c r="EF103" s="527">
        <f t="shared" ca="1" si="762"/>
        <v>0</v>
      </c>
      <c r="EG103" s="527">
        <f t="shared" ca="1" si="762"/>
        <v>0</v>
      </c>
      <c r="EH103" s="527">
        <f t="shared" ca="1" si="762"/>
        <v>0</v>
      </c>
      <c r="EI103" s="527">
        <f t="shared" ca="1" si="762"/>
        <v>0</v>
      </c>
      <c r="EJ103" s="527">
        <f t="shared" ca="1" si="762"/>
        <v>0</v>
      </c>
      <c r="EK103" s="527">
        <f t="shared" ca="1" si="762"/>
        <v>0</v>
      </c>
      <c r="EL103" s="527">
        <f t="shared" ca="1" si="762"/>
        <v>0</v>
      </c>
      <c r="EM103" s="527">
        <f t="shared" ref="EM103:FD103" ca="1" si="763">SUM(EM100:EM102)</f>
        <v>0</v>
      </c>
      <c r="EN103" s="527">
        <f t="shared" ca="1" si="763"/>
        <v>0</v>
      </c>
      <c r="EO103" s="527">
        <f t="shared" ca="1" si="763"/>
        <v>0</v>
      </c>
      <c r="EP103" s="527">
        <f t="shared" ca="1" si="763"/>
        <v>0</v>
      </c>
      <c r="EQ103" s="527">
        <f t="shared" ca="1" si="763"/>
        <v>0</v>
      </c>
      <c r="ER103" s="527">
        <f t="shared" ca="1" si="763"/>
        <v>0</v>
      </c>
      <c r="ES103" s="527">
        <f t="shared" ca="1" si="763"/>
        <v>0</v>
      </c>
      <c r="ET103" s="527">
        <f t="shared" ca="1" si="763"/>
        <v>0</v>
      </c>
      <c r="EU103" s="527">
        <f t="shared" ca="1" si="763"/>
        <v>0</v>
      </c>
      <c r="EV103" s="527">
        <f t="shared" ca="1" si="763"/>
        <v>0</v>
      </c>
      <c r="EW103" s="527">
        <f t="shared" ca="1" si="763"/>
        <v>0</v>
      </c>
      <c r="EX103" s="527">
        <f t="shared" ca="1" si="763"/>
        <v>0</v>
      </c>
      <c r="EY103" s="527">
        <f t="shared" ca="1" si="763"/>
        <v>0</v>
      </c>
      <c r="EZ103" s="527">
        <f t="shared" ca="1" si="763"/>
        <v>0</v>
      </c>
      <c r="FA103" s="527">
        <f t="shared" ca="1" si="763"/>
        <v>0</v>
      </c>
      <c r="FB103" s="527">
        <f t="shared" ca="1" si="763"/>
        <v>0</v>
      </c>
      <c r="FC103" s="527">
        <f t="shared" ca="1" si="763"/>
        <v>0</v>
      </c>
      <c r="FD103" s="527">
        <f t="shared" ca="1" si="763"/>
        <v>0</v>
      </c>
      <c r="FE103" s="527">
        <f t="shared" ref="FE103:FI103" ca="1" si="764">SUM(FE100:FE102)</f>
        <v>0</v>
      </c>
      <c r="FF103" s="527">
        <f t="shared" ca="1" si="764"/>
        <v>0</v>
      </c>
      <c r="FG103" s="527">
        <f t="shared" ca="1" si="764"/>
        <v>0</v>
      </c>
      <c r="FH103" s="527">
        <f t="shared" ca="1" si="764"/>
        <v>0</v>
      </c>
      <c r="FI103" s="527">
        <f t="shared" ca="1" si="764"/>
        <v>0</v>
      </c>
      <c r="FJ103" s="527">
        <f t="shared" ref="FJ103:GT103" ca="1" si="765">SUM(FJ100:FJ102)</f>
        <v>0</v>
      </c>
      <c r="FK103" s="527">
        <f t="shared" ca="1" si="765"/>
        <v>0</v>
      </c>
      <c r="FL103" s="527">
        <f t="shared" ca="1" si="765"/>
        <v>0</v>
      </c>
      <c r="FM103" s="527">
        <f t="shared" ca="1" si="765"/>
        <v>0</v>
      </c>
      <c r="FN103" s="527">
        <f t="shared" ca="1" si="765"/>
        <v>0</v>
      </c>
      <c r="FO103" s="527">
        <f t="shared" ca="1" si="765"/>
        <v>0</v>
      </c>
      <c r="FP103" s="527">
        <f t="shared" ca="1" si="765"/>
        <v>0</v>
      </c>
      <c r="FQ103" s="527">
        <f t="shared" ca="1" si="765"/>
        <v>0</v>
      </c>
      <c r="FR103" s="527">
        <f t="shared" ca="1" si="765"/>
        <v>0</v>
      </c>
      <c r="FS103" s="527">
        <f t="shared" ca="1" si="765"/>
        <v>0</v>
      </c>
      <c r="FT103" s="527">
        <f t="shared" ca="1" si="765"/>
        <v>0</v>
      </c>
      <c r="FU103" s="527">
        <f t="shared" ca="1" si="765"/>
        <v>0</v>
      </c>
      <c r="FV103" s="527">
        <f t="shared" ca="1" si="765"/>
        <v>0</v>
      </c>
      <c r="FW103" s="527">
        <f t="shared" ca="1" si="765"/>
        <v>0</v>
      </c>
      <c r="FX103" s="527">
        <f t="shared" ca="1" si="765"/>
        <v>0</v>
      </c>
      <c r="FY103" s="527">
        <f t="shared" ca="1" si="765"/>
        <v>0</v>
      </c>
      <c r="FZ103" s="527">
        <f t="shared" ca="1" si="765"/>
        <v>0</v>
      </c>
      <c r="GA103" s="527">
        <f t="shared" ca="1" si="765"/>
        <v>0</v>
      </c>
      <c r="GB103" s="527">
        <f t="shared" ca="1" si="765"/>
        <v>0</v>
      </c>
      <c r="GC103" s="527">
        <f t="shared" ca="1" si="765"/>
        <v>0</v>
      </c>
      <c r="GD103" s="527"/>
      <c r="GE103" s="527"/>
      <c r="GF103" s="527"/>
      <c r="GG103" s="527"/>
      <c r="GH103" s="527"/>
      <c r="GI103" s="527"/>
      <c r="GJ103" s="527"/>
      <c r="GK103" s="527"/>
      <c r="GL103" s="527"/>
      <c r="GM103" s="527"/>
      <c r="GN103" s="527"/>
      <c r="GO103" s="527"/>
      <c r="GP103" s="527">
        <f t="shared" ca="1" si="765"/>
        <v>0</v>
      </c>
      <c r="GQ103" s="527">
        <f t="shared" ca="1" si="765"/>
        <v>0</v>
      </c>
      <c r="GR103" s="527">
        <f t="shared" ca="1" si="765"/>
        <v>0</v>
      </c>
      <c r="GS103" s="527">
        <f t="shared" ca="1" si="765"/>
        <v>0</v>
      </c>
      <c r="GT103" s="527">
        <f t="shared" ca="1" si="765"/>
        <v>0</v>
      </c>
      <c r="GU103" s="527"/>
      <c r="GV103" s="527"/>
      <c r="GW103" s="527"/>
      <c r="GX103" s="527"/>
      <c r="GY103" s="527"/>
      <c r="GZ103" s="527"/>
      <c r="HA103" s="527"/>
      <c r="HB103" s="527"/>
      <c r="HC103" s="527"/>
      <c r="HD103" s="527"/>
      <c r="HE103" s="527"/>
      <c r="HF103" s="1" t="s">
        <v>212</v>
      </c>
      <c r="HH103" s="33" t="str">
        <f>B103</f>
        <v>Cash Flow After Debt Service</v>
      </c>
      <c r="HI103" s="34"/>
      <c r="HJ103" s="34"/>
      <c r="HK103" s="34"/>
      <c r="HL103" s="123">
        <f t="shared" ca="1" si="745"/>
        <v>-858.64847582925461</v>
      </c>
      <c r="HM103" s="34"/>
      <c r="HN103" s="124">
        <f t="shared" si="759"/>
        <v>0</v>
      </c>
      <c r="HO103" s="34">
        <f t="shared" ca="1" si="759"/>
        <v>-221.95645999999994</v>
      </c>
      <c r="HP103" s="34">
        <f t="shared" ca="1" si="759"/>
        <v>-450.99745999999993</v>
      </c>
      <c r="HQ103" s="34">
        <f t="shared" ca="1" si="759"/>
        <v>-439.41681000000005</v>
      </c>
      <c r="HR103" s="34">
        <f t="shared" ca="1" si="759"/>
        <v>-82.722770000000082</v>
      </c>
      <c r="HS103" s="34">
        <f t="shared" ca="1" si="759"/>
        <v>-166.64055999999994</v>
      </c>
      <c r="HT103" s="34">
        <f t="shared" ca="1" si="759"/>
        <v>82.986619999999945</v>
      </c>
      <c r="HU103" s="34">
        <f t="shared" ca="1" si="759"/>
        <v>250.85323474845296</v>
      </c>
      <c r="HV103" s="34">
        <f t="shared" ca="1" si="759"/>
        <v>169.24572942229281</v>
      </c>
      <c r="HW103"/>
    </row>
    <row r="104" spans="2:231" ht="15" outlineLevel="1">
      <c r="I104" s="180"/>
      <c r="J104" s="181"/>
      <c r="K104" s="182"/>
      <c r="L104" s="528"/>
      <c r="M104" s="528"/>
      <c r="N104" s="528"/>
      <c r="O104" s="528"/>
      <c r="P104" s="528"/>
      <c r="Q104" s="528"/>
      <c r="R104" s="528"/>
      <c r="S104" s="528"/>
      <c r="T104" s="528"/>
      <c r="U104" s="528"/>
      <c r="V104" s="528"/>
      <c r="W104" s="528"/>
      <c r="X104" s="528"/>
      <c r="Y104" s="528"/>
      <c r="Z104" s="528"/>
      <c r="AA104" s="528"/>
      <c r="AB104" s="528"/>
      <c r="AC104" s="528"/>
      <c r="AD104" s="528"/>
      <c r="AE104" s="528"/>
      <c r="AF104" s="528"/>
      <c r="AG104" s="528"/>
      <c r="AH104" s="528"/>
      <c r="AI104" s="528"/>
      <c r="AJ104" s="528"/>
      <c r="AK104" s="528"/>
      <c r="AL104" s="528"/>
      <c r="AM104" s="528"/>
      <c r="AN104" s="528"/>
      <c r="AO104" s="528"/>
      <c r="AP104" s="528"/>
      <c r="AQ104" s="528"/>
      <c r="AR104" s="528"/>
      <c r="AS104" s="528"/>
      <c r="AT104" s="528"/>
      <c r="AU104" s="528"/>
      <c r="AV104" s="528"/>
      <c r="AW104" s="528"/>
      <c r="AX104" s="528"/>
      <c r="AY104" s="528"/>
      <c r="AZ104" s="528"/>
      <c r="BA104" s="528"/>
      <c r="BB104" s="528"/>
      <c r="BC104" s="528"/>
      <c r="BD104" s="528"/>
      <c r="BE104" s="528"/>
      <c r="BF104" s="528"/>
      <c r="BG104" s="528"/>
      <c r="BH104" s="528"/>
      <c r="BI104" s="528"/>
      <c r="BJ104" s="528"/>
      <c r="BK104" s="528"/>
      <c r="BL104" s="528"/>
      <c r="BM104" s="528"/>
      <c r="BN104" s="528"/>
      <c r="BO104" s="528"/>
      <c r="BP104" s="528"/>
      <c r="BQ104" s="528"/>
      <c r="BR104" s="528"/>
      <c r="BS104" s="528"/>
      <c r="BT104" s="528"/>
      <c r="BU104" s="528"/>
      <c r="BV104" s="528"/>
      <c r="BW104" s="528"/>
      <c r="BX104" s="528"/>
      <c r="BY104" s="528"/>
      <c r="BZ104" s="528"/>
      <c r="CA104" s="528"/>
      <c r="CB104" s="528"/>
      <c r="CC104" s="528"/>
      <c r="CD104" s="528"/>
      <c r="CE104" s="528"/>
      <c r="CF104" s="528"/>
      <c r="CG104" s="528"/>
      <c r="CH104" s="528"/>
      <c r="CI104" s="528"/>
      <c r="CJ104" s="528"/>
      <c r="CK104" s="528"/>
      <c r="CL104" s="528"/>
      <c r="CM104" s="528"/>
      <c r="CN104" s="528"/>
      <c r="CO104" s="528"/>
      <c r="CP104" s="528"/>
      <c r="CQ104" s="528"/>
      <c r="CR104" s="528"/>
      <c r="CS104" s="528"/>
      <c r="CT104" s="528"/>
      <c r="CU104" s="528"/>
      <c r="CV104" s="528"/>
      <c r="CW104" s="528"/>
      <c r="CX104" s="528"/>
      <c r="CY104" s="528"/>
      <c r="CZ104" s="528"/>
      <c r="DA104" s="528"/>
      <c r="DB104" s="528"/>
      <c r="DC104" s="528"/>
      <c r="DD104" s="528"/>
      <c r="DE104" s="528"/>
      <c r="DF104" s="528"/>
      <c r="DG104" s="528"/>
      <c r="DH104" s="528"/>
      <c r="DI104" s="528"/>
      <c r="DJ104" s="528"/>
      <c r="DK104" s="528"/>
      <c r="DL104" s="528"/>
      <c r="DM104" s="528"/>
      <c r="DN104" s="528"/>
      <c r="DO104" s="528"/>
      <c r="DP104" s="528"/>
      <c r="DQ104" s="528"/>
      <c r="DR104" s="528"/>
      <c r="DS104" s="528"/>
      <c r="DT104" s="528"/>
      <c r="DU104" s="528"/>
      <c r="DV104" s="528"/>
      <c r="DW104" s="528"/>
      <c r="DX104" s="528"/>
      <c r="DY104" s="528"/>
      <c r="DZ104" s="528"/>
      <c r="EA104" s="528"/>
      <c r="EB104" s="528"/>
      <c r="EC104" s="528"/>
      <c r="ED104" s="528"/>
      <c r="EE104" s="528"/>
      <c r="EF104" s="528"/>
      <c r="EG104" s="528"/>
      <c r="EH104" s="528"/>
      <c r="EI104" s="528"/>
      <c r="EJ104" s="528"/>
      <c r="EK104" s="528"/>
      <c r="EL104" s="528"/>
      <c r="EM104" s="528"/>
      <c r="EN104" s="528"/>
      <c r="EO104" s="528"/>
      <c r="EP104" s="528"/>
      <c r="EQ104" s="528"/>
      <c r="ER104" s="528"/>
      <c r="ES104" s="528"/>
      <c r="ET104" s="528"/>
      <c r="EU104" s="528"/>
      <c r="EV104" s="528"/>
      <c r="EW104" s="528"/>
      <c r="EX104" s="528"/>
      <c r="EY104" s="528"/>
      <c r="EZ104" s="528"/>
      <c r="FA104" s="528"/>
      <c r="FB104" s="528"/>
      <c r="FC104" s="528"/>
      <c r="FD104" s="528"/>
      <c r="FE104" s="528"/>
      <c r="FF104" s="528"/>
      <c r="FG104" s="528"/>
      <c r="FH104" s="528"/>
      <c r="FI104" s="528"/>
      <c r="FJ104" s="528"/>
      <c r="FK104" s="528"/>
      <c r="FL104" s="528"/>
      <c r="FM104" s="528"/>
      <c r="FN104" s="528"/>
      <c r="FO104" s="528"/>
      <c r="FP104" s="528"/>
      <c r="FQ104" s="528"/>
      <c r="FR104" s="528"/>
      <c r="FS104" s="528"/>
      <c r="FT104" s="528"/>
      <c r="FU104" s="528"/>
      <c r="FV104" s="528"/>
      <c r="FW104" s="528"/>
      <c r="FX104" s="528"/>
      <c r="FY104" s="528"/>
      <c r="FZ104" s="528"/>
      <c r="GA104" s="528"/>
      <c r="GB104" s="528"/>
      <c r="GC104" s="528"/>
      <c r="GD104" s="528"/>
      <c r="GE104" s="528"/>
      <c r="GF104" s="528"/>
      <c r="GG104" s="528"/>
      <c r="GH104" s="528"/>
      <c r="GI104" s="528"/>
      <c r="GJ104" s="528"/>
      <c r="GK104" s="528"/>
      <c r="GL104" s="528"/>
      <c r="GM104" s="528"/>
      <c r="GN104" s="528"/>
      <c r="GO104" s="528"/>
      <c r="GP104" s="528"/>
      <c r="GQ104" s="528"/>
      <c r="GR104" s="528"/>
      <c r="GS104" s="528"/>
      <c r="GT104" s="528"/>
      <c r="GU104" s="528"/>
      <c r="GV104" s="528"/>
      <c r="GW104" s="528"/>
      <c r="GX104" s="528"/>
      <c r="GY104" s="528"/>
      <c r="GZ104" s="528"/>
      <c r="HA104" s="528"/>
      <c r="HB104" s="528"/>
      <c r="HC104" s="528"/>
      <c r="HD104" s="528"/>
      <c r="HE104" s="528"/>
      <c r="HF104" s="1" t="s">
        <v>212</v>
      </c>
      <c r="HI104" s="181"/>
      <c r="HJ104" s="181"/>
      <c r="HK104" s="181"/>
      <c r="HL104" s="180"/>
      <c r="HM104" s="181"/>
      <c r="HN104" s="182"/>
      <c r="HO104" s="181"/>
      <c r="HP104" s="181"/>
      <c r="HQ104" s="181"/>
      <c r="HR104" s="181"/>
      <c r="HS104" s="181"/>
      <c r="HT104" s="181"/>
      <c r="HU104" s="181"/>
      <c r="HV104" s="181"/>
      <c r="HW104"/>
    </row>
    <row r="105" spans="2:231" ht="15" outlineLevel="1">
      <c r="B105" s="44" t="s">
        <v>115</v>
      </c>
      <c r="C105" s="9"/>
      <c r="D105" s="9"/>
      <c r="E105" s="9"/>
      <c r="G105" s="9"/>
      <c r="H105" s="9"/>
      <c r="I105" s="183"/>
      <c r="J105" s="184"/>
      <c r="K105" s="185"/>
      <c r="L105" s="529"/>
      <c r="M105" s="529"/>
      <c r="N105" s="529"/>
      <c r="O105" s="529"/>
      <c r="P105" s="529"/>
      <c r="Q105" s="529"/>
      <c r="R105" s="529"/>
      <c r="S105" s="529"/>
      <c r="T105" s="529"/>
      <c r="U105" s="529"/>
      <c r="V105" s="529"/>
      <c r="W105" s="529"/>
      <c r="X105" s="529"/>
      <c r="Y105" s="529"/>
      <c r="Z105" s="529"/>
      <c r="AA105" s="529"/>
      <c r="AB105" s="529"/>
      <c r="AC105" s="529"/>
      <c r="AD105" s="529"/>
      <c r="AE105" s="529"/>
      <c r="AF105" s="529"/>
      <c r="AG105" s="529"/>
      <c r="AH105" s="529"/>
      <c r="AI105" s="529"/>
      <c r="AJ105" s="529"/>
      <c r="AK105" s="529"/>
      <c r="AL105" s="529"/>
      <c r="AM105" s="529"/>
      <c r="AN105" s="529"/>
      <c r="AO105" s="529"/>
      <c r="AP105" s="529"/>
      <c r="AQ105" s="529"/>
      <c r="AR105" s="529"/>
      <c r="AS105" s="529"/>
      <c r="AT105" s="529"/>
      <c r="AU105" s="529"/>
      <c r="AV105" s="529"/>
      <c r="AW105" s="529"/>
      <c r="AX105" s="529"/>
      <c r="AY105" s="529"/>
      <c r="AZ105" s="529"/>
      <c r="BA105" s="529"/>
      <c r="BB105" s="529"/>
      <c r="BC105" s="529"/>
      <c r="BD105" s="529"/>
      <c r="BE105" s="529"/>
      <c r="BF105" s="529"/>
      <c r="BG105" s="529"/>
      <c r="BH105" s="529"/>
      <c r="BI105" s="529"/>
      <c r="BJ105" s="529"/>
      <c r="BK105" s="529"/>
      <c r="BL105" s="529"/>
      <c r="BM105" s="529"/>
      <c r="BN105" s="529"/>
      <c r="BO105" s="529"/>
      <c r="BP105" s="529"/>
      <c r="BQ105" s="529"/>
      <c r="BR105" s="529"/>
      <c r="BS105" s="529"/>
      <c r="BT105" s="529"/>
      <c r="BU105" s="529"/>
      <c r="BV105" s="529"/>
      <c r="BW105" s="529"/>
      <c r="BX105" s="529"/>
      <c r="BY105" s="529"/>
      <c r="BZ105" s="529"/>
      <c r="CA105" s="529"/>
      <c r="CB105" s="529"/>
      <c r="CC105" s="529"/>
      <c r="CD105" s="529"/>
      <c r="CE105" s="529"/>
      <c r="CF105" s="529"/>
      <c r="CG105" s="529"/>
      <c r="CH105" s="529"/>
      <c r="CI105" s="529"/>
      <c r="CJ105" s="529"/>
      <c r="CK105" s="529"/>
      <c r="CL105" s="529"/>
      <c r="CM105" s="529"/>
      <c r="CN105" s="529"/>
      <c r="CO105" s="529"/>
      <c r="CP105" s="529"/>
      <c r="CQ105" s="529"/>
      <c r="CR105" s="529"/>
      <c r="CS105" s="529"/>
      <c r="CT105" s="529"/>
      <c r="CU105" s="529"/>
      <c r="CV105" s="529"/>
      <c r="CW105" s="529"/>
      <c r="CX105" s="529"/>
      <c r="CY105" s="529"/>
      <c r="CZ105" s="529"/>
      <c r="DA105" s="529"/>
      <c r="DB105" s="529"/>
      <c r="DC105" s="529"/>
      <c r="DD105" s="529"/>
      <c r="DE105" s="529"/>
      <c r="DF105" s="529"/>
      <c r="DG105" s="529"/>
      <c r="DH105" s="529"/>
      <c r="DI105" s="529"/>
      <c r="DJ105" s="529"/>
      <c r="DK105" s="529"/>
      <c r="DL105" s="529"/>
      <c r="DM105" s="529"/>
      <c r="DN105" s="529"/>
      <c r="DO105" s="529"/>
      <c r="DP105" s="529"/>
      <c r="DQ105" s="529"/>
      <c r="DR105" s="529"/>
      <c r="DS105" s="529"/>
      <c r="DT105" s="529"/>
      <c r="DU105" s="529"/>
      <c r="DV105" s="529"/>
      <c r="DW105" s="529"/>
      <c r="DX105" s="529"/>
      <c r="DY105" s="529"/>
      <c r="DZ105" s="529"/>
      <c r="EA105" s="529"/>
      <c r="EB105" s="529"/>
      <c r="EC105" s="529"/>
      <c r="ED105" s="529"/>
      <c r="EE105" s="529"/>
      <c r="EF105" s="529"/>
      <c r="EG105" s="529"/>
      <c r="EH105" s="529"/>
      <c r="EI105" s="529"/>
      <c r="EJ105" s="529"/>
      <c r="EK105" s="529"/>
      <c r="EL105" s="529"/>
      <c r="EM105" s="529"/>
      <c r="EN105" s="529"/>
      <c r="EO105" s="529"/>
      <c r="EP105" s="529"/>
      <c r="EQ105" s="529"/>
      <c r="ER105" s="529"/>
      <c r="ES105" s="529"/>
      <c r="ET105" s="529"/>
      <c r="EU105" s="529"/>
      <c r="EV105" s="529"/>
      <c r="EW105" s="529"/>
      <c r="EX105" s="529"/>
      <c r="EY105" s="529"/>
      <c r="EZ105" s="529"/>
      <c r="FA105" s="529"/>
      <c r="FB105" s="529"/>
      <c r="FC105" s="529"/>
      <c r="FD105" s="529"/>
      <c r="FE105" s="529"/>
      <c r="FF105" s="529"/>
      <c r="FG105" s="529"/>
      <c r="FH105" s="529"/>
      <c r="FI105" s="529"/>
      <c r="FJ105" s="529"/>
      <c r="FK105" s="529"/>
      <c r="FL105" s="529"/>
      <c r="FM105" s="529"/>
      <c r="FN105" s="529"/>
      <c r="FO105" s="529"/>
      <c r="FP105" s="529"/>
      <c r="FQ105" s="529"/>
      <c r="FR105" s="529"/>
      <c r="FS105" s="529"/>
      <c r="FT105" s="529"/>
      <c r="FU105" s="529"/>
      <c r="FV105" s="529"/>
      <c r="FW105" s="529"/>
      <c r="FX105" s="529"/>
      <c r="FY105" s="529"/>
      <c r="FZ105" s="529"/>
      <c r="GA105" s="529"/>
      <c r="GB105" s="529"/>
      <c r="GC105" s="529"/>
      <c r="GD105" s="529"/>
      <c r="GE105" s="529"/>
      <c r="GF105" s="529"/>
      <c r="GG105" s="529"/>
      <c r="GH105" s="529"/>
      <c r="GI105" s="529"/>
      <c r="GJ105" s="529"/>
      <c r="GK105" s="529"/>
      <c r="GL105" s="529"/>
      <c r="GM105" s="529"/>
      <c r="GN105" s="529"/>
      <c r="GO105" s="529"/>
      <c r="GP105" s="529"/>
      <c r="GQ105" s="529"/>
      <c r="GR105" s="529"/>
      <c r="GS105" s="529"/>
      <c r="GT105" s="529"/>
      <c r="GU105" s="529"/>
      <c r="GV105" s="529"/>
      <c r="GW105" s="529"/>
      <c r="GX105" s="529"/>
      <c r="GY105" s="529"/>
      <c r="GZ105" s="529"/>
      <c r="HA105" s="529"/>
      <c r="HB105" s="529"/>
      <c r="HC105" s="529"/>
      <c r="HD105" s="529"/>
      <c r="HE105" s="529"/>
      <c r="HF105" s="1" t="s">
        <v>212</v>
      </c>
      <c r="HH105" s="44" t="str">
        <f t="shared" ref="HH105:HH113" si="766">B105</f>
        <v>Loan Leveraged Costs</v>
      </c>
      <c r="HI105" s="184"/>
      <c r="HJ105" s="184"/>
      <c r="HK105" s="184"/>
      <c r="HL105" s="183"/>
      <c r="HM105" s="184"/>
      <c r="HN105" s="185"/>
      <c r="HO105" s="184"/>
      <c r="HP105" s="184"/>
      <c r="HQ105" s="184"/>
      <c r="HR105" s="184"/>
      <c r="HS105" s="184"/>
      <c r="HT105" s="184"/>
      <c r="HU105" s="184"/>
      <c r="HV105" s="184"/>
      <c r="HW105"/>
    </row>
    <row r="106" spans="2:231" ht="15" outlineLevel="1">
      <c r="B106" s="9" t="s">
        <v>96</v>
      </c>
      <c r="C106" s="9"/>
      <c r="D106" s="9"/>
      <c r="E106" s="9"/>
      <c r="F106" s="846">
        <v>0</v>
      </c>
      <c r="G106" s="9"/>
      <c r="H106" s="9"/>
      <c r="I106" s="116">
        <f ca="1">SUMIF($K$13:$GT$13,"&lt;="&amp;Assumptions!$L$17,'Monthly Cash Flow'!K106:GT106)</f>
        <v>37036.571504450425</v>
      </c>
      <c r="J106" s="18"/>
      <c r="K106" s="131">
        <f t="shared" ref="K106:AP106" si="767">K87</f>
        <v>30206</v>
      </c>
      <c r="L106" s="530">
        <f t="shared" ca="1" si="767"/>
        <v>0</v>
      </c>
      <c r="M106" s="530">
        <f t="shared" ca="1" si="767"/>
        <v>0</v>
      </c>
      <c r="N106" s="530">
        <f t="shared" ca="1" si="767"/>
        <v>0</v>
      </c>
      <c r="O106" s="530">
        <f t="shared" ca="1" si="767"/>
        <v>0</v>
      </c>
      <c r="P106" s="530">
        <f t="shared" ca="1" si="767"/>
        <v>0</v>
      </c>
      <c r="Q106" s="530">
        <f t="shared" ca="1" si="767"/>
        <v>0</v>
      </c>
      <c r="R106" s="530">
        <f t="shared" ca="1" si="767"/>
        <v>0</v>
      </c>
      <c r="S106" s="530">
        <f t="shared" ca="1" si="767"/>
        <v>0</v>
      </c>
      <c r="T106" s="530">
        <f t="shared" ca="1" si="767"/>
        <v>0</v>
      </c>
      <c r="U106" s="530">
        <f t="shared" ca="1" si="767"/>
        <v>184.97674000000001</v>
      </c>
      <c r="V106" s="530">
        <f t="shared" ca="1" si="767"/>
        <v>0</v>
      </c>
      <c r="W106" s="530">
        <f t="shared" ca="1" si="767"/>
        <v>108.76859</v>
      </c>
      <c r="X106" s="530">
        <f t="shared" ca="1" si="767"/>
        <v>3.6021399999999999</v>
      </c>
      <c r="Y106" s="530">
        <f t="shared" ca="1" si="767"/>
        <v>0</v>
      </c>
      <c r="Z106" s="530">
        <f t="shared" ca="1" si="767"/>
        <v>462.19177999999999</v>
      </c>
      <c r="AA106" s="530">
        <f t="shared" ca="1" si="767"/>
        <v>0</v>
      </c>
      <c r="AB106" s="530">
        <f t="shared" ca="1" si="767"/>
        <v>458.32646999999997</v>
      </c>
      <c r="AC106" s="530">
        <f t="shared" ca="1" si="767"/>
        <v>0</v>
      </c>
      <c r="AD106" s="530">
        <f t="shared" ca="1" si="767"/>
        <v>2.28E-15</v>
      </c>
      <c r="AE106" s="530">
        <f t="shared" ca="1" si="767"/>
        <v>487.53904</v>
      </c>
      <c r="AF106" s="530">
        <f t="shared" ca="1" si="767"/>
        <v>207.9665008454283</v>
      </c>
      <c r="AG106" s="530">
        <f t="shared" ca="1" si="767"/>
        <v>268.26096000000001</v>
      </c>
      <c r="AH106" s="530">
        <f t="shared" ca="1" si="767"/>
        <v>0</v>
      </c>
      <c r="AI106" s="530">
        <f t="shared" ca="1" si="767"/>
        <v>82.490880000000004</v>
      </c>
      <c r="AJ106" s="530">
        <f t="shared" ca="1" si="767"/>
        <v>0</v>
      </c>
      <c r="AK106" s="530">
        <f t="shared" ca="1" si="767"/>
        <v>0</v>
      </c>
      <c r="AL106" s="530">
        <f t="shared" ca="1" si="767"/>
        <v>219.27388000000002</v>
      </c>
      <c r="AM106" s="530">
        <f t="shared" ca="1" si="767"/>
        <v>0</v>
      </c>
      <c r="AN106" s="530">
        <f t="shared" ca="1" si="767"/>
        <v>32.111649999999997</v>
      </c>
      <c r="AO106" s="530">
        <f t="shared" ca="1" si="767"/>
        <v>0</v>
      </c>
      <c r="AP106" s="530">
        <f t="shared" ca="1" si="767"/>
        <v>158.75653402388377</v>
      </c>
      <c r="AQ106" s="530">
        <f t="shared" ref="AQ106:BV106" ca="1" si="768">AQ87</f>
        <v>41.92615</v>
      </c>
      <c r="AR106" s="530">
        <f t="shared" ca="1" si="768"/>
        <v>0</v>
      </c>
      <c r="AS106" s="530">
        <f t="shared" ca="1" si="768"/>
        <v>0</v>
      </c>
      <c r="AT106" s="530">
        <f t="shared" ca="1" si="768"/>
        <v>0</v>
      </c>
      <c r="AU106" s="530">
        <f t="shared" ca="1" si="768"/>
        <v>0</v>
      </c>
      <c r="AV106" s="530">
        <f t="shared" ca="1" si="768"/>
        <v>0</v>
      </c>
      <c r="AW106" s="530">
        <f t="shared" ca="1" si="768"/>
        <v>257.02499999999998</v>
      </c>
      <c r="AX106" s="530">
        <f t="shared" ca="1" si="768"/>
        <v>0</v>
      </c>
      <c r="AY106" s="530">
        <f t="shared" ca="1" si="768"/>
        <v>-3.5</v>
      </c>
      <c r="AZ106" s="530">
        <f t="shared" ca="1" si="768"/>
        <v>128.82645958111405</v>
      </c>
      <c r="BA106" s="530">
        <f t="shared" ca="1" si="768"/>
        <v>149.43100000000001</v>
      </c>
      <c r="BB106" s="530">
        <f t="shared" ca="1" si="768"/>
        <v>0</v>
      </c>
      <c r="BC106" s="530">
        <f t="shared" ca="1" si="768"/>
        <v>142.10000000000002</v>
      </c>
      <c r="BD106" s="530">
        <f t="shared" ca="1" si="768"/>
        <v>23.257999999999999</v>
      </c>
      <c r="BE106" s="530">
        <f t="shared" ca="1" si="768"/>
        <v>0</v>
      </c>
      <c r="BF106" s="530">
        <f t="shared" ca="1" si="768"/>
        <v>0</v>
      </c>
      <c r="BG106" s="530">
        <f t="shared" ca="1" si="768"/>
        <v>0</v>
      </c>
      <c r="BH106" s="530">
        <f t="shared" ca="1" si="768"/>
        <v>0</v>
      </c>
      <c r="BI106" s="530">
        <f t="shared" ca="1" si="768"/>
        <v>0</v>
      </c>
      <c r="BJ106" s="530">
        <f t="shared" ca="1" si="768"/>
        <v>0</v>
      </c>
      <c r="BK106" s="530">
        <f t="shared" ca="1" si="768"/>
        <v>0</v>
      </c>
      <c r="BL106" s="530">
        <f t="shared" ca="1" si="768"/>
        <v>0</v>
      </c>
      <c r="BM106" s="530">
        <f t="shared" ca="1" si="768"/>
        <v>0</v>
      </c>
      <c r="BN106" s="530">
        <f t="shared" ca="1" si="768"/>
        <v>0</v>
      </c>
      <c r="BO106" s="530">
        <f t="shared" ca="1" si="768"/>
        <v>0</v>
      </c>
      <c r="BP106" s="530">
        <f t="shared" ca="1" si="768"/>
        <v>0</v>
      </c>
      <c r="BQ106" s="530">
        <f t="shared" ca="1" si="768"/>
        <v>0</v>
      </c>
      <c r="BR106" s="530">
        <f t="shared" ca="1" si="768"/>
        <v>65.924000000000007</v>
      </c>
      <c r="BS106" s="530">
        <f t="shared" ca="1" si="768"/>
        <v>0</v>
      </c>
      <c r="BT106" s="530">
        <f t="shared" ca="1" si="768"/>
        <v>0</v>
      </c>
      <c r="BU106" s="530">
        <f t="shared" ca="1" si="768"/>
        <v>0</v>
      </c>
      <c r="BV106" s="530">
        <f t="shared" ca="1" si="768"/>
        <v>0</v>
      </c>
      <c r="BW106" s="530">
        <f t="shared" ref="BW106:DB106" ca="1" si="769">BW87</f>
        <v>9.3451900000000006</v>
      </c>
      <c r="BX106" s="530">
        <f t="shared" ca="1" si="769"/>
        <v>27.214280000000002</v>
      </c>
      <c r="BY106" s="530">
        <f t="shared" ca="1" si="769"/>
        <v>87.333829999999992</v>
      </c>
      <c r="BZ106" s="530">
        <f t="shared" ca="1" si="769"/>
        <v>0</v>
      </c>
      <c r="CA106" s="530">
        <f t="shared" ca="1" si="769"/>
        <v>99.415000000000006</v>
      </c>
      <c r="CB106" s="530">
        <f t="shared" ca="1" si="769"/>
        <v>5</v>
      </c>
      <c r="CC106" s="530">
        <f t="shared" ca="1" si="769"/>
        <v>0</v>
      </c>
      <c r="CD106" s="530">
        <f t="shared" ca="1" si="769"/>
        <v>279.654</v>
      </c>
      <c r="CE106" s="530">
        <f t="shared" ca="1" si="769"/>
        <v>0</v>
      </c>
      <c r="CF106" s="530">
        <f t="shared" ca="1" si="769"/>
        <v>66.949960000000004</v>
      </c>
      <c r="CG106" s="530">
        <f t="shared" ca="1" si="769"/>
        <v>0</v>
      </c>
      <c r="CH106" s="530">
        <f t="shared" ca="1" si="769"/>
        <v>22.286470000000001</v>
      </c>
      <c r="CI106" s="530">
        <f t="shared" ca="1" si="769"/>
        <v>0</v>
      </c>
      <c r="CJ106" s="530">
        <f t="shared" ca="1" si="769"/>
        <v>0</v>
      </c>
      <c r="CK106" s="530">
        <f t="shared" ca="1" si="769"/>
        <v>0</v>
      </c>
      <c r="CL106" s="530">
        <f t="shared" ca="1" si="769"/>
        <v>0</v>
      </c>
      <c r="CM106" s="530">
        <f t="shared" ca="1" si="769"/>
        <v>68.313492063492063</v>
      </c>
      <c r="CN106" s="530">
        <f t="shared" ca="1" si="769"/>
        <v>68.313492063492063</v>
      </c>
      <c r="CO106" s="530">
        <f t="shared" ca="1" si="769"/>
        <v>68.313492063492077</v>
      </c>
      <c r="CP106" s="530">
        <f t="shared" ca="1" si="769"/>
        <v>161.22249206349207</v>
      </c>
      <c r="CQ106" s="530">
        <f t="shared" ca="1" si="769"/>
        <v>62.063492063492063</v>
      </c>
      <c r="CR106" s="530">
        <f t="shared" ca="1" si="769"/>
        <v>62.06349206349207</v>
      </c>
      <c r="CS106" s="530">
        <f t="shared" ca="1" si="769"/>
        <v>235.66549206349205</v>
      </c>
      <c r="CT106" s="530">
        <f t="shared" ca="1" si="769"/>
        <v>296.70377777777776</v>
      </c>
      <c r="CU106" s="530">
        <f t="shared" ca="1" si="769"/>
        <v>27.777777777777771</v>
      </c>
      <c r="CV106" s="530">
        <f t="shared" ca="1" si="769"/>
        <v>0</v>
      </c>
      <c r="CW106" s="530">
        <f t="shared" ca="1" si="769"/>
        <v>0</v>
      </c>
      <c r="CX106" s="530">
        <f t="shared" ca="1" si="769"/>
        <v>0</v>
      </c>
      <c r="CY106" s="530">
        <f t="shared" ca="1" si="769"/>
        <v>175.119</v>
      </c>
      <c r="CZ106" s="530">
        <f t="shared" ca="1" si="769"/>
        <v>0</v>
      </c>
      <c r="DA106" s="530">
        <f t="shared" ca="1" si="769"/>
        <v>154.11699999999999</v>
      </c>
      <c r="DB106" s="530">
        <f t="shared" ca="1" si="769"/>
        <v>1181.643</v>
      </c>
      <c r="DC106" s="530">
        <f t="shared" ref="DC106:EH106" ca="1" si="770">DC87</f>
        <v>192.80099999999999</v>
      </c>
      <c r="DD106" s="530">
        <f t="shared" ca="1" si="770"/>
        <v>0</v>
      </c>
      <c r="DE106" s="530">
        <f t="shared" ca="1" si="770"/>
        <v>0</v>
      </c>
      <c r="DF106" s="530">
        <f t="shared" ca="1" si="770"/>
        <v>0</v>
      </c>
      <c r="DG106" s="530">
        <f t="shared" ca="1" si="770"/>
        <v>0</v>
      </c>
      <c r="DH106" s="530">
        <f t="shared" ca="1" si="770"/>
        <v>0</v>
      </c>
      <c r="DI106" s="530">
        <f t="shared" ca="1" si="770"/>
        <v>0</v>
      </c>
      <c r="DJ106" s="530">
        <f t="shared" si="770"/>
        <v>0</v>
      </c>
      <c r="DK106" s="530">
        <f t="shared" si="770"/>
        <v>0</v>
      </c>
      <c r="DL106" s="530">
        <f t="shared" si="770"/>
        <v>0</v>
      </c>
      <c r="DM106" s="530">
        <f t="shared" si="770"/>
        <v>0</v>
      </c>
      <c r="DN106" s="530">
        <f t="shared" si="770"/>
        <v>0</v>
      </c>
      <c r="DO106" s="530">
        <f t="shared" si="770"/>
        <v>0</v>
      </c>
      <c r="DP106" s="530">
        <f t="shared" si="770"/>
        <v>0</v>
      </c>
      <c r="DQ106" s="530">
        <f t="shared" si="770"/>
        <v>0</v>
      </c>
      <c r="DR106" s="530">
        <f t="shared" si="770"/>
        <v>0</v>
      </c>
      <c r="DS106" s="530">
        <f t="shared" si="770"/>
        <v>0</v>
      </c>
      <c r="DT106" s="530">
        <f t="shared" si="770"/>
        <v>0</v>
      </c>
      <c r="DU106" s="530">
        <f t="shared" si="770"/>
        <v>0</v>
      </c>
      <c r="DV106" s="530">
        <f t="shared" si="770"/>
        <v>0</v>
      </c>
      <c r="DW106" s="530">
        <f t="shared" si="770"/>
        <v>0</v>
      </c>
      <c r="DX106" s="530">
        <f t="shared" si="770"/>
        <v>0</v>
      </c>
      <c r="DY106" s="530">
        <f t="shared" si="770"/>
        <v>0</v>
      </c>
      <c r="DZ106" s="530">
        <f t="shared" si="770"/>
        <v>0</v>
      </c>
      <c r="EA106" s="530">
        <f t="shared" si="770"/>
        <v>0</v>
      </c>
      <c r="EB106" s="530">
        <f t="shared" si="770"/>
        <v>0</v>
      </c>
      <c r="EC106" s="530">
        <f t="shared" si="770"/>
        <v>0</v>
      </c>
      <c r="ED106" s="530">
        <f t="shared" si="770"/>
        <v>0</v>
      </c>
      <c r="EE106" s="530">
        <f t="shared" si="770"/>
        <v>0</v>
      </c>
      <c r="EF106" s="530">
        <f t="shared" si="770"/>
        <v>0</v>
      </c>
      <c r="EG106" s="530">
        <f t="shared" si="770"/>
        <v>0</v>
      </c>
      <c r="EH106" s="530">
        <f t="shared" si="770"/>
        <v>0</v>
      </c>
      <c r="EI106" s="530">
        <f t="shared" ref="EI106:FN106" si="771">EI87</f>
        <v>0</v>
      </c>
      <c r="EJ106" s="530">
        <f t="shared" si="771"/>
        <v>0</v>
      </c>
      <c r="EK106" s="530">
        <f t="shared" si="771"/>
        <v>0</v>
      </c>
      <c r="EL106" s="530">
        <f t="shared" si="771"/>
        <v>0</v>
      </c>
      <c r="EM106" s="530">
        <f t="shared" si="771"/>
        <v>0</v>
      </c>
      <c r="EN106" s="530">
        <f t="shared" si="771"/>
        <v>0</v>
      </c>
      <c r="EO106" s="530">
        <f t="shared" si="771"/>
        <v>0</v>
      </c>
      <c r="EP106" s="530">
        <f t="shared" si="771"/>
        <v>0</v>
      </c>
      <c r="EQ106" s="530">
        <f t="shared" si="771"/>
        <v>0</v>
      </c>
      <c r="ER106" s="530">
        <f t="shared" si="771"/>
        <v>0</v>
      </c>
      <c r="ES106" s="530">
        <f t="shared" si="771"/>
        <v>0</v>
      </c>
      <c r="ET106" s="530">
        <f t="shared" si="771"/>
        <v>0</v>
      </c>
      <c r="EU106" s="530">
        <f t="shared" si="771"/>
        <v>0</v>
      </c>
      <c r="EV106" s="530">
        <f t="shared" si="771"/>
        <v>0</v>
      </c>
      <c r="EW106" s="530">
        <f t="shared" si="771"/>
        <v>0</v>
      </c>
      <c r="EX106" s="530">
        <f t="shared" si="771"/>
        <v>0</v>
      </c>
      <c r="EY106" s="530">
        <f t="shared" si="771"/>
        <v>0</v>
      </c>
      <c r="EZ106" s="530">
        <f t="shared" si="771"/>
        <v>0</v>
      </c>
      <c r="FA106" s="530">
        <f t="shared" si="771"/>
        <v>0</v>
      </c>
      <c r="FB106" s="530">
        <f t="shared" si="771"/>
        <v>0</v>
      </c>
      <c r="FC106" s="530">
        <f t="shared" si="771"/>
        <v>0</v>
      </c>
      <c r="FD106" s="530">
        <f t="shared" si="771"/>
        <v>0</v>
      </c>
      <c r="FE106" s="530">
        <f t="shared" si="771"/>
        <v>0</v>
      </c>
      <c r="FF106" s="530">
        <f t="shared" si="771"/>
        <v>0</v>
      </c>
      <c r="FG106" s="530">
        <f t="shared" si="771"/>
        <v>0</v>
      </c>
      <c r="FH106" s="530">
        <f t="shared" si="771"/>
        <v>0</v>
      </c>
      <c r="FI106" s="530">
        <f t="shared" si="771"/>
        <v>0</v>
      </c>
      <c r="FJ106" s="530">
        <f t="shared" si="771"/>
        <v>0</v>
      </c>
      <c r="FK106" s="530">
        <f t="shared" si="771"/>
        <v>0</v>
      </c>
      <c r="FL106" s="530">
        <f t="shared" si="771"/>
        <v>0</v>
      </c>
      <c r="FM106" s="530">
        <f t="shared" si="771"/>
        <v>0</v>
      </c>
      <c r="FN106" s="530">
        <f t="shared" si="771"/>
        <v>0</v>
      </c>
      <c r="FO106" s="530">
        <f t="shared" ref="FO106:GC106" si="772">FO87</f>
        <v>0</v>
      </c>
      <c r="FP106" s="530">
        <f t="shared" si="772"/>
        <v>0</v>
      </c>
      <c r="FQ106" s="530">
        <f t="shared" si="772"/>
        <v>0</v>
      </c>
      <c r="FR106" s="530">
        <f t="shared" si="772"/>
        <v>0</v>
      </c>
      <c r="FS106" s="530">
        <f t="shared" si="772"/>
        <v>0</v>
      </c>
      <c r="FT106" s="530">
        <f t="shared" si="772"/>
        <v>0</v>
      </c>
      <c r="FU106" s="530">
        <f t="shared" si="772"/>
        <v>0</v>
      </c>
      <c r="FV106" s="530">
        <f t="shared" si="772"/>
        <v>0</v>
      </c>
      <c r="FW106" s="530">
        <f t="shared" si="772"/>
        <v>0</v>
      </c>
      <c r="FX106" s="530">
        <f t="shared" si="772"/>
        <v>0</v>
      </c>
      <c r="FY106" s="530">
        <f t="shared" si="772"/>
        <v>0</v>
      </c>
      <c r="FZ106" s="530">
        <f t="shared" si="772"/>
        <v>0</v>
      </c>
      <c r="GA106" s="530">
        <f t="shared" si="772"/>
        <v>0</v>
      </c>
      <c r="GB106" s="530">
        <f t="shared" si="772"/>
        <v>0</v>
      </c>
      <c r="GC106" s="530">
        <f t="shared" si="772"/>
        <v>0</v>
      </c>
      <c r="GD106" s="530"/>
      <c r="GE106" s="530"/>
      <c r="GF106" s="530"/>
      <c r="GG106" s="530"/>
      <c r="GH106" s="530"/>
      <c r="GI106" s="530"/>
      <c r="GJ106" s="530"/>
      <c r="GK106" s="530"/>
      <c r="GL106" s="530"/>
      <c r="GM106" s="530"/>
      <c r="GN106" s="530"/>
      <c r="GO106" s="530"/>
      <c r="GP106" s="530">
        <f>GP87</f>
        <v>0</v>
      </c>
      <c r="GQ106" s="530">
        <f>GQ87</f>
        <v>0</v>
      </c>
      <c r="GR106" s="530">
        <f>GR87</f>
        <v>0</v>
      </c>
      <c r="GS106" s="530">
        <f>GS87</f>
        <v>0</v>
      </c>
      <c r="GT106" s="530">
        <f>GT87</f>
        <v>0</v>
      </c>
      <c r="GU106" s="530"/>
      <c r="GV106" s="530"/>
      <c r="GW106" s="530"/>
      <c r="GX106" s="530"/>
      <c r="GY106" s="530"/>
      <c r="GZ106" s="530"/>
      <c r="HA106" s="530"/>
      <c r="HB106" s="530"/>
      <c r="HC106" s="530"/>
      <c r="HD106" s="530"/>
      <c r="HE106" s="530"/>
      <c r="HF106" s="1" t="s">
        <v>212</v>
      </c>
      <c r="HH106" s="9" t="str">
        <f t="shared" si="766"/>
        <v>Unleveraged Costs</v>
      </c>
      <c r="HI106" s="18"/>
      <c r="HJ106" s="18"/>
      <c r="HK106" s="18"/>
      <c r="HL106" s="116">
        <f t="shared" ref="HL106:HL113" ca="1" si="773">SUM(HN106:HV106)</f>
        <v>37036.571504450425</v>
      </c>
      <c r="HM106" s="18"/>
      <c r="HN106" s="131">
        <f t="shared" ref="HN106:HV113" si="774">SUMIF($K$14:$GT$14,HN$14,$K106:$GT106)</f>
        <v>30206</v>
      </c>
      <c r="HO106" s="18">
        <f t="shared" ca="1" si="774"/>
        <v>293.74533000000002</v>
      </c>
      <c r="HP106" s="18">
        <f t="shared" ca="1" si="774"/>
        <v>1970.3777708454286</v>
      </c>
      <c r="HQ106" s="18">
        <f t="shared" ca="1" si="774"/>
        <v>452.0682140238838</v>
      </c>
      <c r="HR106" s="18">
        <f t="shared" ca="1" si="774"/>
        <v>697.1404595811141</v>
      </c>
      <c r="HS106" s="18">
        <f t="shared" ca="1" si="774"/>
        <v>65.924000000000007</v>
      </c>
      <c r="HT106" s="18">
        <f t="shared" ca="1" si="774"/>
        <v>507.96230000000003</v>
      </c>
      <c r="HU106" s="18">
        <f t="shared" ca="1" si="774"/>
        <v>517.46289031746028</v>
      </c>
      <c r="HV106" s="18">
        <f t="shared" ca="1" si="774"/>
        <v>2325.8905396825398</v>
      </c>
      <c r="HW106"/>
    </row>
    <row r="107" spans="2:231" ht="15" outlineLevel="1">
      <c r="B107" s="9" t="s">
        <v>91</v>
      </c>
      <c r="C107" s="9"/>
      <c r="D107" s="9"/>
      <c r="E107" s="9"/>
      <c r="F107" s="9"/>
      <c r="G107" s="9"/>
      <c r="H107" s="9"/>
      <c r="I107" s="132">
        <f ca="1">SUMIF($K$13:$GT$13,"&lt;="&amp;Assumptions!$L$17,'Monthly Cash Flow'!K107:GT107)</f>
        <v>1016.25</v>
      </c>
      <c r="J107" s="26"/>
      <c r="K107" s="133">
        <f>IF(Assumptions!$E$1=0,0,IF('Monthly Cash Flow'!K$13='Monthly Cash Flow'!$F106,Assumptions!$C$24,0))</f>
        <v>570</v>
      </c>
      <c r="L107" s="531">
        <f>IF(Assumptions!$E$1=0,0,IF(L$13=$F106,Assumptions!$C$24,0))+IF(AND(Assumptions!$F$61=1, L13&gt;Assumptions!$F$66), 0, IF(L13&lt;=Assumptions!$L$17, (L137/12)*Assumptions!$F$34/10000,0))</f>
        <v>0</v>
      </c>
      <c r="M107" s="531">
        <f>IF(Assumptions!$E$1=0,0,IF('Monthly Cash Flow'!M$13='Monthly Cash Flow'!$F106,Assumptions!$F$35,0))+IF(AND(Assumptions!$F$61=1, M13&gt;Assumptions!$F$66), 0, IF(M13&lt;=Assumptions!$L$17, (M137/12)*Assumptions!$F$34/10000,0))</f>
        <v>0</v>
      </c>
      <c r="N107" s="531">
        <f>IF(Assumptions!$E$1=0,0,IF('Monthly Cash Flow'!N$13='Monthly Cash Flow'!$F106,Assumptions!$F$35,0))+IF(AND(Assumptions!$F$61=1, N13&gt;Assumptions!$F$66), 0, IF(N13&lt;=Assumptions!$L$17, (N137/12)*Assumptions!$F$34/10000,0))</f>
        <v>0</v>
      </c>
      <c r="O107" s="531">
        <f>IF(Assumptions!$E$1=0,0,IF('Monthly Cash Flow'!O$13='Monthly Cash Flow'!$F106,Assumptions!$F$35,0))+IF(AND(Assumptions!$F$61=1, O13&gt;Assumptions!$F$66), 0, IF(O13&lt;=Assumptions!$L$17, (O137/12)*Assumptions!$F$34/10000,0))</f>
        <v>0</v>
      </c>
      <c r="P107" s="531">
        <f>IF(Assumptions!$E$1=0,0,IF('Monthly Cash Flow'!P$13='Monthly Cash Flow'!$F106,Assumptions!$F$35,0))+IF(AND(Assumptions!$F$61=1, P13&gt;Assumptions!$F$66), 0, IF(P13&lt;=Assumptions!$L$17, (P137/12)*Assumptions!$F$34/10000,0))</f>
        <v>0</v>
      </c>
      <c r="Q107" s="531">
        <f>IF(Assumptions!$E$1=0,0,IF('Monthly Cash Flow'!Q$13='Monthly Cash Flow'!$F106,Assumptions!$F$35,0))+IF(AND(Assumptions!$F$61=1, Q13&gt;Assumptions!$F$66), 0, IF(Q13&lt;=Assumptions!$L$17, (Q137/12)*Assumptions!$F$34/10000,0))</f>
        <v>0</v>
      </c>
      <c r="R107" s="531">
        <f>IF(Assumptions!$E$1=0,0,IF('Monthly Cash Flow'!R$13='Monthly Cash Flow'!$F106,Assumptions!$F$35,0))+IF(AND(Assumptions!$F$61=1, R13&gt;Assumptions!$F$66), 0, IF(R13&lt;=Assumptions!$L$17, (R137/12)*Assumptions!$F$34/10000,0))</f>
        <v>0</v>
      </c>
      <c r="S107" s="531">
        <f>IF(Assumptions!$E$1=0,0,IF('Monthly Cash Flow'!S$13='Monthly Cash Flow'!$F106,Assumptions!$F$35,0))+IF(AND(Assumptions!$F$61=1, S13&gt;Assumptions!$F$66), 0, IF(S13&lt;=Assumptions!$L$17, (S137/12)*Assumptions!$F$34/10000,0))</f>
        <v>0</v>
      </c>
      <c r="T107" s="531">
        <f>IF(Assumptions!$E$1=0,0,IF('Monthly Cash Flow'!T$13='Monthly Cash Flow'!$F106,Assumptions!$F$35,0))+IF(AND(Assumptions!$F$61=1, T13&gt;Assumptions!$F$66), 0, IF(T13&lt;=Assumptions!$L$17, (T137/12)*Assumptions!$F$34/10000,0))</f>
        <v>0</v>
      </c>
      <c r="U107" s="531">
        <f>IF(Assumptions!$E$1=0,0,IF('Monthly Cash Flow'!U$13='Monthly Cash Flow'!$F106,Assumptions!$F$35,0))+IF(AND(Assumptions!$F$61=1, U13&gt;Assumptions!$F$66), 0, IF(U13&lt;=Assumptions!$L$17, (U137/12)*Assumptions!$F$34/10000,0))</f>
        <v>0</v>
      </c>
      <c r="V107" s="531">
        <f>IF(Assumptions!$E$1=0,0,IF('Monthly Cash Flow'!V$13='Monthly Cash Flow'!$F106,Assumptions!$F$35,0))+IF(AND(Assumptions!$F$61=1, V13&gt;Assumptions!$F$66), 0, IF(V13&lt;=Assumptions!$L$17, (V137/12)*Assumptions!$F$34/10000,0))</f>
        <v>0</v>
      </c>
      <c r="W107" s="531">
        <f>IF(Assumptions!$E$1=0,0,IF('Monthly Cash Flow'!W$13='Monthly Cash Flow'!$F106,Assumptions!$F$35,0))+IF(AND(Assumptions!$F$61=1, W13&gt;Assumptions!$F$66), 0, IF(W13&lt;=Assumptions!$L$17, (W137/12)*Assumptions!$F$34/10000,0))</f>
        <v>0</v>
      </c>
      <c r="X107" s="531">
        <f>IF(Assumptions!$E$1=0,0,IF('Monthly Cash Flow'!X$13='Monthly Cash Flow'!$F106,Assumptions!$F$35,0))+IF(AND(Assumptions!$F$61=1, X13&gt;Assumptions!$F$66), 0, IF(X13&lt;=Assumptions!$L$17, (X137/12)*Assumptions!$F$34/10000,0))</f>
        <v>0</v>
      </c>
      <c r="Y107" s="531">
        <f>IF(Assumptions!$E$1=0,0,IF('Monthly Cash Flow'!Y$13='Monthly Cash Flow'!$F106,Assumptions!$F$35,0))+IF(AND(Assumptions!$F$61=1, Y13&gt;Assumptions!$F$66), 0, IF(Y13&lt;=Assumptions!$L$17, (Y137/12)*Assumptions!$F$34/10000,0))</f>
        <v>0</v>
      </c>
      <c r="Z107" s="531">
        <f>IF(Assumptions!$E$1=0,0,IF('Monthly Cash Flow'!Z$13='Monthly Cash Flow'!$F106,Assumptions!$F$35,0))+IF(AND(Assumptions!$F$61=1, Z13&gt;Assumptions!$F$66), 0, IF(Z13&lt;=Assumptions!$L$17, (Z137/12)*Assumptions!$F$34/10000,0))</f>
        <v>0</v>
      </c>
      <c r="AA107" s="531">
        <f>IF(Assumptions!$E$1=0,0,IF('Monthly Cash Flow'!AA$13='Monthly Cash Flow'!$F106,Assumptions!$F$35,0))+IF(AND(Assumptions!$F$61=1, AA13&gt;Assumptions!$F$66), 0, IF(AA13&lt;=Assumptions!$L$17, (AA137/12)*Assumptions!$F$34/10000,0))</f>
        <v>0</v>
      </c>
      <c r="AB107" s="531">
        <f>IF(Assumptions!$E$1=0,0,IF('Monthly Cash Flow'!AB$13='Monthly Cash Flow'!$F106,Assumptions!$F$35,0))+IF(AND(Assumptions!$F$61=1, AB13&gt;Assumptions!$F$66), 0, IF(AB13&lt;=Assumptions!$L$17, (AB137/12)*Assumptions!$F$34/10000,0))</f>
        <v>0</v>
      </c>
      <c r="AC107" s="531">
        <f>IF(Assumptions!$E$1=0,0,IF('Monthly Cash Flow'!AC$13='Monthly Cash Flow'!$F106,Assumptions!$F$35,0))+IF(AND(Assumptions!$F$61=1, AC13&gt;Assumptions!$F$66), 0, IF(AC13&lt;=Assumptions!$L$17, (AC137/12)*Assumptions!$F$34/10000,0))</f>
        <v>0</v>
      </c>
      <c r="AD107" s="531">
        <f>IF(Assumptions!$E$1=0,0,IF('Monthly Cash Flow'!AD$13='Monthly Cash Flow'!$F106,Assumptions!$F$35,0))+IF(AND(Assumptions!$F$61=1, AD13&gt;Assumptions!$F$66), 0, IF(AD13&lt;=Assumptions!$L$17, (AD137/12)*Assumptions!$F$34/10000,0))</f>
        <v>0</v>
      </c>
      <c r="AE107" s="531">
        <f>IF(Assumptions!$E$1=0,0,IF('Monthly Cash Flow'!AE$13='Monthly Cash Flow'!$F106,Assumptions!$F$35,0))+IF(AND(Assumptions!$F$61=1, AE13&gt;Assumptions!$F$66), 0, IF(AE13&lt;=Assumptions!$L$17, (AE137/12)*Assumptions!$F$34/10000,0))</f>
        <v>0</v>
      </c>
      <c r="AF107" s="531">
        <f>IF(Assumptions!$E$1=0,0,IF('Monthly Cash Flow'!AF$13='Monthly Cash Flow'!$F106,Assumptions!$F$35,0))+IF(AND(Assumptions!$F$61=1, AF13&gt;Assumptions!$F$66), 0, IF(AF13&lt;=Assumptions!$L$17, (AF137/12)*Assumptions!$F$34/10000,0))</f>
        <v>0</v>
      </c>
      <c r="AG107" s="531">
        <f>IF(Assumptions!$E$1=0,0,IF('Monthly Cash Flow'!AG$13='Monthly Cash Flow'!$F106,Assumptions!$F$35,0))+IF(AND(Assumptions!$F$61=1, AG13&gt;Assumptions!$F$66), 0, IF(AG13&lt;=Assumptions!$L$17, (AG137/12)*Assumptions!$F$34/10000,0))</f>
        <v>0</v>
      </c>
      <c r="AH107" s="531">
        <f>IF(Assumptions!$E$1=0,0,IF('Monthly Cash Flow'!AH$13='Monthly Cash Flow'!$F106,Assumptions!$F$35,0))+IF(AND(Assumptions!$F$61=1, AH13&gt;Assumptions!$F$66), 0, IF(AH13&lt;=Assumptions!$L$17, (AH137/12)*Assumptions!$F$34/10000,0))</f>
        <v>0</v>
      </c>
      <c r="AI107" s="531">
        <f>IF(Assumptions!$E$1=0,0,IF('Monthly Cash Flow'!AI$13='Monthly Cash Flow'!$F106,Assumptions!$F$35,0))+IF(AND(Assumptions!$F$61=1, AI13&gt;Assumptions!$F$66), 0, IF(AI13&lt;=Assumptions!$L$17, (AI137/12)*Assumptions!$F$34/10000,0))</f>
        <v>0</v>
      </c>
      <c r="AJ107" s="531">
        <f>IF(Assumptions!$E$1=0,0,IF('Monthly Cash Flow'!AJ$13='Monthly Cash Flow'!$F106,Assumptions!$F$35,0))+IF(AND(Assumptions!$F$61=1, AJ13&gt;Assumptions!$F$66), 0, IF(AJ13&lt;=Assumptions!$L$17, (AJ137/12)*Assumptions!$F$34/10000,0))</f>
        <v>0</v>
      </c>
      <c r="AK107" s="531">
        <f>IF(Assumptions!$E$1=0,0,IF('Monthly Cash Flow'!AK$13='Monthly Cash Flow'!$F106,Assumptions!$F$35,0))+IF(AND(Assumptions!$F$61=1, AK13&gt;Assumptions!$F$66), 0, IF(AK13&lt;=Assumptions!$L$17, (AK137/12)*Assumptions!$F$34/10000,0))</f>
        <v>0</v>
      </c>
      <c r="AL107" s="531">
        <f>IF(Assumptions!$E$1=0,0,IF('Monthly Cash Flow'!AL$13='Monthly Cash Flow'!$F106,Assumptions!$F$35,0))+IF(AND(Assumptions!$F$61=1, AL13&gt;Assumptions!$F$66), 0, IF(AL13&lt;=Assumptions!$L$17, (AL137/12)*Assumptions!$F$34/10000,0))</f>
        <v>0</v>
      </c>
      <c r="AM107" s="531">
        <f>IF(Assumptions!$E$1=0,0,IF('Monthly Cash Flow'!AM$13='Monthly Cash Flow'!$F106,Assumptions!$F$35,0))+IF(AND(Assumptions!$F$61=1, AM13&gt;Assumptions!$F$66), 0, IF(AM13&lt;=Assumptions!$L$17, (AM137/12)*Assumptions!$F$34/10000,0))</f>
        <v>0</v>
      </c>
      <c r="AN107" s="531">
        <f>IF(Assumptions!$E$1=0,0,IF('Monthly Cash Flow'!AN$13='Monthly Cash Flow'!$F106,Assumptions!$F$35,0))+IF(AND(Assumptions!$F$61=1, AN13&gt;Assumptions!$F$66), 0, IF(AN13&lt;=Assumptions!$L$17, (AN137/12)*Assumptions!$F$34/10000,0))</f>
        <v>0</v>
      </c>
      <c r="AO107" s="531">
        <f>IF(Assumptions!$E$1=0,0,IF('Monthly Cash Flow'!AO$13='Monthly Cash Flow'!$F106,Assumptions!$F$35,0))+IF(AND(Assumptions!$F$61=1, AO13&gt;Assumptions!$F$66), 0, IF(AO13&lt;=Assumptions!$L$17, (AO137/12)*Assumptions!$F$34/10000,0))</f>
        <v>0</v>
      </c>
      <c r="AP107" s="531">
        <f>IF(Assumptions!$E$1=0,0,IF('Monthly Cash Flow'!AP$13='Monthly Cash Flow'!$F106,Assumptions!$F$35,0))+IF(AND(Assumptions!$F$61=1, AP13&gt;Assumptions!$F$66), 0, IF(AP13&lt;=Assumptions!$L$17, (AP137/12)*Assumptions!$F$34/10000,0))</f>
        <v>0</v>
      </c>
      <c r="AQ107" s="531">
        <f>IF(Assumptions!$E$1=0,0,IF('Monthly Cash Flow'!AQ$13='Monthly Cash Flow'!$F106,Assumptions!$F$35,0))+IF(AND(Assumptions!$F$61=1, AQ13&gt;Assumptions!$F$66), 0, IF(AQ13&lt;=Assumptions!$L$17, (AQ137/12)*Assumptions!$F$34/10000,0))</f>
        <v>0</v>
      </c>
      <c r="AR107" s="531">
        <f>IF(Assumptions!$E$1=0,0,IF('Monthly Cash Flow'!AR$13='Monthly Cash Flow'!$F106,Assumptions!$F$35,0))+IF(AND(Assumptions!$F$61=1, AR13&gt;Assumptions!$F$66), 0, IF(AR13&lt;=Assumptions!$L$17, (AR137/12)*Assumptions!$F$34/10000,0))</f>
        <v>0</v>
      </c>
      <c r="AS107" s="531">
        <f>IF(Assumptions!$E$1=0,0,IF('Monthly Cash Flow'!AS$13='Monthly Cash Flow'!$F106,Assumptions!$F$35,0))+IF(AND(Assumptions!$F$61=1, AS13&gt;Assumptions!$F$66), 0, IF(AS13&lt;=Assumptions!$L$17, (AS137/12)*Assumptions!$F$34/10000,0))</f>
        <v>0</v>
      </c>
      <c r="AT107" s="531">
        <f>IF(Assumptions!$E$1=0,0,IF('Monthly Cash Flow'!AT$13='Monthly Cash Flow'!$F106,Assumptions!$F$35,0))+IF(AND(Assumptions!$F$61=1, AT13&gt;Assumptions!$F$66), 0, IF(AT13&lt;=Assumptions!$L$17, (AT137/12)*Assumptions!$F$34/10000,0))</f>
        <v>0</v>
      </c>
      <c r="AU107" s="531">
        <f>IF(Assumptions!$E$1=0,0,IF('Monthly Cash Flow'!AU$13='Monthly Cash Flow'!$F106,Assumptions!$F$35,0))+IF(AND(Assumptions!$F$61=1, AU13&gt;Assumptions!$F$66), 0, IF(AU13&lt;=Assumptions!$L$17, (AU137/12)*Assumptions!$F$34/10000,0))</f>
        <v>0</v>
      </c>
      <c r="AV107" s="531">
        <f>IF(Assumptions!$E$1=0,0,IF('Monthly Cash Flow'!AV$13='Monthly Cash Flow'!$F106,Assumptions!$F$35,0))+IF(AND(Assumptions!$F$61=1, AV13&gt;Assumptions!$F$66), 0, IF(AV13&lt;=Assumptions!$L$17, (AV137/12)*Assumptions!$F$34/10000,0))</f>
        <v>0</v>
      </c>
      <c r="AW107" s="531">
        <f>IF(Assumptions!$E$1=0,0,IF('Monthly Cash Flow'!AW$13='Monthly Cash Flow'!$F106,Assumptions!$F$35,0))+IF(AND(Assumptions!$F$61=1, AW13&gt;Assumptions!$F$66), 0, IF(AW13&lt;=Assumptions!$L$17, (AW137/12)*Assumptions!$F$34/10000,0))</f>
        <v>0</v>
      </c>
      <c r="AX107" s="531">
        <f>IF(Assumptions!$E$1=0,0,IF('Monthly Cash Flow'!AX$13='Monthly Cash Flow'!$F106,Assumptions!$F$35,0))+IF(AND(Assumptions!$F$61=1, AX13&gt;Assumptions!$F$66), 0, IF(AX13&lt;=Assumptions!$L$17, (AX137/12)*Assumptions!$F$34/10000,0))</f>
        <v>0</v>
      </c>
      <c r="AY107" s="531">
        <f>IF(Assumptions!$E$1=0,0,IF('Monthly Cash Flow'!AY$13='Monthly Cash Flow'!$F106,Assumptions!$F$35,0))+IF(AND(Assumptions!$F$61=1, AY13&gt;Assumptions!$F$66), 0, IF(AY13&lt;=Assumptions!$L$17, (AY137/12)*Assumptions!$F$34/10000,0))</f>
        <v>0</v>
      </c>
      <c r="AZ107" s="531">
        <f>IF(Assumptions!$E$1=0,0,IF('Monthly Cash Flow'!AZ$13='Monthly Cash Flow'!$F106,Assumptions!$F$35,0))+IF(AND(Assumptions!$F$61=1, AZ13&gt;Assumptions!$F$66), 0, IF(AZ13&lt;=Assumptions!$L$17, (AZ137/12)*Assumptions!$F$34/10000,0))</f>
        <v>0</v>
      </c>
      <c r="BA107" s="531">
        <f>IF(Assumptions!$E$1=0,0,IF('Monthly Cash Flow'!BA$13='Monthly Cash Flow'!$F106,Assumptions!$F$35,0))+IF(AND(Assumptions!$F$61=1, BA13&gt;Assumptions!$F$66), 0, IF(BA13&lt;=Assumptions!$L$17, (BA137/12)*Assumptions!$F$34/10000,0))</f>
        <v>0</v>
      </c>
      <c r="BB107" s="531">
        <f>IF(Assumptions!$E$1=0,0,IF('Monthly Cash Flow'!BB$13='Monthly Cash Flow'!$F106,Assumptions!$F$35,0))+IF(AND(Assumptions!$F$61=1, BB13&gt;Assumptions!$F$66), 0, IF(BB13&lt;=Assumptions!$L$17, (BB137/12)*Assumptions!$F$34/10000,0))</f>
        <v>0</v>
      </c>
      <c r="BC107" s="531">
        <f>IF(Assumptions!$E$1=0,0,IF('Monthly Cash Flow'!BC$13='Monthly Cash Flow'!$F106,Assumptions!$F$35,0))+IF(AND(Assumptions!$F$61=1, BC13&gt;Assumptions!$F$66), 0, IF(BC13&lt;=Assumptions!$L$17, (BC137/12)*Assumptions!$F$34/10000,0))</f>
        <v>0</v>
      </c>
      <c r="BD107" s="531">
        <f>IF(Assumptions!$E$1=0,0,IF('Monthly Cash Flow'!BD$13='Monthly Cash Flow'!$F106,Assumptions!$F$35,0))+IF(AND(Assumptions!$F$61=1, BD13&gt;Assumptions!$F$66), 0, IF(BD13&lt;=Assumptions!$L$17, (BD137/12)*Assumptions!$F$34/10000,0))</f>
        <v>0</v>
      </c>
      <c r="BE107" s="531">
        <f>IF(Assumptions!$E$1=0,0,IF('Monthly Cash Flow'!BE$13='Monthly Cash Flow'!$F106,Assumptions!$F$35,0))+IF(AND(Assumptions!$F$61=1, BE13&gt;Assumptions!$F$66), 0, IF(BE13&lt;=Assumptions!$L$17, (BE137/12)*Assumptions!$F$34/10000,0))</f>
        <v>0</v>
      </c>
      <c r="BF107" s="531">
        <f>IF(Assumptions!$E$1=0,0,IF('Monthly Cash Flow'!BF$13='Monthly Cash Flow'!$F106,Assumptions!$F$35,0))+IF(AND(Assumptions!$F$61=1, BF13&gt;Assumptions!$F$66), 0, IF(BF13&lt;=Assumptions!$L$17, (BF137/12)*Assumptions!$F$34/10000,0))</f>
        <v>0</v>
      </c>
      <c r="BG107" s="531">
        <f>IF(Assumptions!$E$1=0,0,IF('Monthly Cash Flow'!BG$13='Monthly Cash Flow'!$F106,Assumptions!$F$35,0))+IF(AND(Assumptions!$F$61=1, BG13&gt;Assumptions!$F$66), 0, IF(BG13&lt;=Assumptions!$L$17, (BG137/12)*Assumptions!$F$34/10000,0))</f>
        <v>0</v>
      </c>
      <c r="BH107" s="531">
        <f>IF(Assumptions!$E$1=0,0,IF('Monthly Cash Flow'!BH$13='Monthly Cash Flow'!$F106,Assumptions!$F$35,0))+IF(AND(Assumptions!$F$61=1, BH13&gt;Assumptions!$F$66), 0, IF(BH13&lt;=Assumptions!$L$17, (BH137/12)*Assumptions!$F$34/10000,0))</f>
        <v>0</v>
      </c>
      <c r="BI107" s="531">
        <f>IF(Assumptions!$E$1=0,0,IF('Monthly Cash Flow'!BI$13='Monthly Cash Flow'!$F106,Assumptions!$F$35,0))+IF(AND(Assumptions!$F$61=1, BI13&gt;Assumptions!$F$66), 0, IF(BI13&lt;=Assumptions!$L$17, (BI137/12)*Assumptions!$F$34/10000,0))</f>
        <v>0</v>
      </c>
      <c r="BJ107" s="531">
        <f>IF(Assumptions!$E$1=0,0,IF('Monthly Cash Flow'!BJ$13='Monthly Cash Flow'!$F106,Assumptions!$F$35,0))+IF(AND(Assumptions!$F$61=1, BJ13&gt;Assumptions!$F$66), 0, IF(BJ13&lt;=Assumptions!$L$17, (BJ137/12)*Assumptions!$F$34/10000,0))</f>
        <v>0</v>
      </c>
      <c r="BK107" s="531">
        <f>IF(Assumptions!$E$1=0,0,IF('Monthly Cash Flow'!BK$13='Monthly Cash Flow'!$F106,Assumptions!$F$35,0))+IF(AND(Assumptions!$F$61=1, BK13&gt;Assumptions!$F$66), 0, IF(BK13&lt;=Assumptions!$L$17, (BK137/12)*Assumptions!$F$34/10000,0))</f>
        <v>0</v>
      </c>
      <c r="BL107" s="531">
        <f>IF(Assumptions!$E$1=0,0,IF('Monthly Cash Flow'!BL$13='Monthly Cash Flow'!$F106,Assumptions!$F$35,0))+IF(AND(Assumptions!$F$61=1, BL13&gt;Assumptions!$F$66), 0, IF(BL13&lt;=Assumptions!$L$17, (BL137/12)*Assumptions!$F$34/10000,0))</f>
        <v>0</v>
      </c>
      <c r="BM107" s="531">
        <f ca="1">IF(Assumptions!$E$1=0,0,IF('Monthly Cash Flow'!BM$13='Monthly Cash Flow'!$F106,Assumptions!$F$35,0))+IF(AND(Assumptions!$F$61=1, BM13&gt;Assumptions!$F$66), 0, IF(BM13&lt;=Assumptions!$L$17, (BM137/12)*Assumptions!$F$34/10000,0))</f>
        <v>0</v>
      </c>
      <c r="BN107" s="531">
        <f ca="1">IF(Assumptions!$E$1=0,0,IF('Monthly Cash Flow'!BN$13='Monthly Cash Flow'!$F106,Assumptions!$F$35,0))+IF(AND(Assumptions!$F$61=1, BN13&gt;Assumptions!$F$66), 0, IF(BN13&lt;=Assumptions!$L$17, (BN137/12)*Assumptions!$F$34/10000,0))</f>
        <v>0</v>
      </c>
      <c r="BO107" s="531">
        <f ca="1">IF(Assumptions!$E$1=0,0,IF('Monthly Cash Flow'!BO$13='Monthly Cash Flow'!$F106,Assumptions!$F$35,0))+IF(AND(Assumptions!$F$61=1, BO13&gt;Assumptions!$F$66), 0, IF(BO13&lt;=Assumptions!$L$17, (BO137/12)*Assumptions!$F$34/10000,0))</f>
        <v>0</v>
      </c>
      <c r="BP107" s="531">
        <f ca="1">IF(Assumptions!$E$1=0,0,IF('Monthly Cash Flow'!BP$13='Monthly Cash Flow'!$F106,Assumptions!$F$35,0))+IF(AND(Assumptions!$F$61=1, BP13&gt;Assumptions!$F$66), 0, IF(BP13&lt;=Assumptions!$L$17, (BP137/12)*Assumptions!$F$34/10000,0))</f>
        <v>0</v>
      </c>
      <c r="BQ107" s="531">
        <f ca="1">IF(Assumptions!$E$1=0,0,IF('Monthly Cash Flow'!BQ$13='Monthly Cash Flow'!$F106,Assumptions!$F$35,0))+IF(AND(Assumptions!$F$61=1, BQ13&gt;Assumptions!$F$66), 0, IF(BQ13&lt;=Assumptions!$L$17, (BQ137/12)*Assumptions!$F$34/10000,0))</f>
        <v>0</v>
      </c>
      <c r="BR107" s="531">
        <f ca="1">IF(Assumptions!$E$1=0,0,IF('Monthly Cash Flow'!BR$13='Monthly Cash Flow'!$F106,Assumptions!$F$35,0))+IF(AND(Assumptions!$F$61=1, BR13&gt;Assumptions!$F$66), 0, IF(BR13&lt;=Assumptions!$L$17, (BR137/12)*Assumptions!$F$34/10000,0))</f>
        <v>0</v>
      </c>
      <c r="BS107" s="1595">
        <f>Assumptions!F68</f>
        <v>446.25</v>
      </c>
      <c r="BT107" s="531">
        <f>IF(Assumptions!$E$1=0,0,IF('Monthly Cash Flow'!BT$13='Monthly Cash Flow'!$F106,Assumptions!$F$35,0))+IF(AND(Assumptions!$F$61=1, BT13&gt;Assumptions!$F$66), 0, IF(BT13&lt;=Assumptions!$L$17, (BT137/12)*Assumptions!$F$34/10000,0))</f>
        <v>0</v>
      </c>
      <c r="BU107" s="531">
        <f>IF(Assumptions!$E$1=0,0,IF('Monthly Cash Flow'!BU$13='Monthly Cash Flow'!$F106,Assumptions!$F$35,0))+IF(AND(Assumptions!$F$61=1, BU13&gt;Assumptions!$F$66), 0, IF(BU13&lt;=Assumptions!$L$17, (BU137/12)*Assumptions!$F$34/10000,0))</f>
        <v>0</v>
      </c>
      <c r="BV107" s="531">
        <f>IF(Assumptions!$E$1=0,0,IF('Monthly Cash Flow'!BV$13='Monthly Cash Flow'!$F106,Assumptions!$F$35,0))+IF(AND(Assumptions!$F$61=1, BV13&gt;Assumptions!$F$66), 0, IF(BV13&lt;=Assumptions!$L$17, (BV137/12)*Assumptions!$F$34/10000,0))</f>
        <v>0</v>
      </c>
      <c r="BW107" s="531">
        <f>IF(Assumptions!$E$1=0,0,IF('Monthly Cash Flow'!BW$13='Monthly Cash Flow'!$F106,Assumptions!$F$35,0))+IF(AND(Assumptions!$F$61=1, BW13&gt;Assumptions!$F$66), 0, IF(BW13&lt;=Assumptions!$L$17, (BW137/12)*Assumptions!$F$34/10000,0))</f>
        <v>0</v>
      </c>
      <c r="BX107" s="531">
        <f>IF(Assumptions!$E$1=0,0,IF('Monthly Cash Flow'!BX$13='Monthly Cash Flow'!$F106,Assumptions!$F$35,0))+IF(AND(Assumptions!$F$61=1, BX13&gt;Assumptions!$F$66), 0, IF(BX13&lt;=Assumptions!$L$17, (BX137/12)*Assumptions!$F$34/10000,0))</f>
        <v>0</v>
      </c>
      <c r="BY107" s="531">
        <f>IF(Assumptions!$E$1=0,0,IF('Monthly Cash Flow'!BY$13='Monthly Cash Flow'!$F106,Assumptions!$F$35,0))+IF(AND(Assumptions!$F$61=1, BY13&gt;Assumptions!$F$66), 0, IF(BY13&lt;=Assumptions!$L$17, (BY137/12)*Assumptions!$F$34/10000,0))</f>
        <v>0</v>
      </c>
      <c r="BZ107" s="531">
        <f>IF(Assumptions!$E$1=0,0,IF('Monthly Cash Flow'!BZ$13='Monthly Cash Flow'!$F106,Assumptions!$F$35,0))+IF(AND(Assumptions!$F$61=1, BZ13&gt;Assumptions!$F$66), 0, IF(BZ13&lt;=Assumptions!$L$17, (BZ137/12)*Assumptions!$F$34/10000,0))</f>
        <v>0</v>
      </c>
      <c r="CA107" s="531">
        <f>IF(Assumptions!$E$1=0,0,IF('Monthly Cash Flow'!CA$13='Monthly Cash Flow'!$F106,Assumptions!$F$35,0))+IF(AND(Assumptions!$F$61=1, CA13&gt;Assumptions!$F$66), 0, IF(CA13&lt;=Assumptions!$L$17, (CA137/12)*Assumptions!$F$34/10000,0))</f>
        <v>0</v>
      </c>
      <c r="CB107" s="531">
        <f>IF(Assumptions!$E$1=0,0,IF('Monthly Cash Flow'!CB$13='Monthly Cash Flow'!$F106,Assumptions!$F$35,0))+IF(AND(Assumptions!$F$61=1, CB13&gt;Assumptions!$F$66), 0, IF(CB13&lt;=Assumptions!$L$17, (CB137/12)*Assumptions!$F$34/10000,0))</f>
        <v>0</v>
      </c>
      <c r="CC107" s="531">
        <f>IF(Assumptions!$E$1=0,0,IF('Monthly Cash Flow'!CC$13='Monthly Cash Flow'!$F106,Assumptions!$F$35,0))+IF(AND(Assumptions!$F$61=1, CC13&gt;Assumptions!$F$66), 0, IF(CC13&lt;=Assumptions!$L$17, (CC137/12)*Assumptions!$F$34/10000,0))</f>
        <v>0</v>
      </c>
      <c r="CD107" s="531">
        <f>IF(Assumptions!$E$1=0,0,IF('Monthly Cash Flow'!CD$13='Monthly Cash Flow'!$F106,Assumptions!$F$35,0))+IF(AND(Assumptions!$F$61=1, CD13&gt;Assumptions!$F$66), 0, IF(CD13&lt;=Assumptions!$L$17, (CD137/12)*Assumptions!$F$34/10000,0))</f>
        <v>0</v>
      </c>
      <c r="CE107" s="531">
        <f>IF(Assumptions!$E$1=0,0,IF('Monthly Cash Flow'!CE$13='Monthly Cash Flow'!$F106,Assumptions!$F$35,0))+IF(AND(Assumptions!$F$61=1, CE13&gt;Assumptions!$F$66), 0, IF(CE13&lt;=Assumptions!$L$17, (CE137/12)*Assumptions!$F$34/10000,0))</f>
        <v>0</v>
      </c>
      <c r="CF107" s="531">
        <f>IF(Assumptions!$E$1=0,0,IF('Monthly Cash Flow'!CF$13='Monthly Cash Flow'!$F106,Assumptions!$F$35,0))+IF(AND(Assumptions!$F$61=1, CF13&gt;Assumptions!$F$66), 0, IF(CF13&lt;=Assumptions!$L$17, (CF137/12)*Assumptions!$F$34/10000,0))</f>
        <v>0</v>
      </c>
      <c r="CG107" s="531">
        <f>IF(Assumptions!$E$1=0,0,IF('Monthly Cash Flow'!CG$13='Monthly Cash Flow'!$F106,Assumptions!$F$35,0))+IF(AND(Assumptions!$F$61=1, CG13&gt;Assumptions!$F$66), 0, IF(CG13&lt;=Assumptions!$L$17, (CG137/12)*Assumptions!$F$34/10000,0))</f>
        <v>0</v>
      </c>
      <c r="CH107" s="531">
        <f>IF(Assumptions!$E$1=0,0,IF('Monthly Cash Flow'!CH$13='Monthly Cash Flow'!$F106,Assumptions!$F$35,0))+IF(AND(Assumptions!$F$61=1, CH13&gt;Assumptions!$F$66), 0, IF(CH13&lt;=Assumptions!$L$17, (CH137/12)*Assumptions!$F$34/10000,0))</f>
        <v>0</v>
      </c>
      <c r="CI107" s="531">
        <f>IF(Assumptions!$E$1=0,0,IF('Monthly Cash Flow'!CI$13='Monthly Cash Flow'!$F106,Assumptions!$F$35,0))+IF(AND(Assumptions!$F$61=1, CI13&gt;Assumptions!$F$66), 0, IF(CI13&lt;=Assumptions!$L$17, (CI137/12)*Assumptions!$F$34/10000,0))</f>
        <v>0</v>
      </c>
      <c r="CJ107" s="531">
        <f>IF(Assumptions!$E$1=0,0,IF('Monthly Cash Flow'!CJ$13='Monthly Cash Flow'!$F106,Assumptions!$F$35,0))+IF(AND(Assumptions!$F$61=1, CJ13&gt;Assumptions!$F$66), 0, IF(CJ13&lt;=Assumptions!$L$17, (CJ137/12)*Assumptions!$F$34/10000,0))</f>
        <v>0</v>
      </c>
      <c r="CK107" s="531">
        <f>IF(Assumptions!$E$1=0,0,IF('Monthly Cash Flow'!CK$13='Monthly Cash Flow'!$F106,Assumptions!$F$35,0))+IF(AND(Assumptions!$F$61=1, CK13&gt;Assumptions!$F$66), 0, IF(CK13&lt;=Assumptions!$L$17, (CK137/12)*Assumptions!$F$34/10000,0))</f>
        <v>0</v>
      </c>
      <c r="CL107" s="531">
        <f>IF(Assumptions!$E$1=0,0,IF('Monthly Cash Flow'!CL$13='Monthly Cash Flow'!$F106,Assumptions!$F$35,0))+IF(AND(Assumptions!$F$61=1, CL13&gt;Assumptions!$F$66), 0, IF(CL13&lt;=Assumptions!$L$17, (CL137/12)*Assumptions!$F$34/10000,0))</f>
        <v>0</v>
      </c>
      <c r="CM107" s="531">
        <f>IF(Assumptions!$E$1=0,0,IF('Monthly Cash Flow'!CM$13='Monthly Cash Flow'!$F106,Assumptions!$F$35,0))+IF(AND(Assumptions!$F$61=1, CM13&gt;Assumptions!$F$66), 0, IF(CM13&lt;=Assumptions!$L$17, (CM137/12)*Assumptions!$F$34/10000,0))</f>
        <v>0</v>
      </c>
      <c r="CN107" s="531">
        <f>IF(Assumptions!$E$1=0,0,IF('Monthly Cash Flow'!CN$13='Monthly Cash Flow'!$F106,Assumptions!$F$35,0))+IF(AND(Assumptions!$F$61=1, CN13&gt;Assumptions!$F$66), 0, IF(CN13&lt;=Assumptions!$L$17, (CN137/12)*Assumptions!$F$34/10000,0))</f>
        <v>0</v>
      </c>
      <c r="CO107" s="531">
        <f>IF(Assumptions!$E$1=0,0,IF('Monthly Cash Flow'!CO$13='Monthly Cash Flow'!$F106,Assumptions!$F$35,0))+IF(AND(Assumptions!$F$61=1, CO13&gt;Assumptions!$F$66), 0, IF(CO13&lt;=Assumptions!$L$17, (CO137/12)*Assumptions!$F$34/10000,0))</f>
        <v>0</v>
      </c>
      <c r="CP107" s="531">
        <f>IF(Assumptions!$E$1=0,0,IF('Monthly Cash Flow'!CP$13='Monthly Cash Flow'!$F106,Assumptions!$F$35,0))+IF(AND(Assumptions!$F$61=1, CP13&gt;Assumptions!$F$66), 0, IF(CP13&lt;=Assumptions!$L$17, (CP137/12)*Assumptions!$F$34/10000,0))</f>
        <v>0</v>
      </c>
      <c r="CQ107" s="531">
        <f>IF(Assumptions!$E$1=0,0,IF('Monthly Cash Flow'!CQ$13='Monthly Cash Flow'!$F106,Assumptions!$F$35,0))+IF(AND(Assumptions!$F$61=1, CQ13&gt;Assumptions!$F$66), 0, IF(CQ13&lt;=Assumptions!$L$17, (CQ137/12)*Assumptions!$F$34/10000,0))</f>
        <v>0</v>
      </c>
      <c r="CR107" s="531">
        <f>IF(Assumptions!$E$1=0,0,IF('Monthly Cash Flow'!CR$13='Monthly Cash Flow'!$F106,Assumptions!$F$35,0))+IF(AND(Assumptions!$F$61=1, CR13&gt;Assumptions!$F$66), 0, IF(CR13&lt;=Assumptions!$L$17, (CR137/12)*Assumptions!$F$34/10000,0))</f>
        <v>0</v>
      </c>
      <c r="CS107" s="531">
        <f>IF(Assumptions!$E$1=0,0,IF('Monthly Cash Flow'!CS$13='Monthly Cash Flow'!$F106,Assumptions!$F$35,0))+IF(AND(Assumptions!$F$61=1, CS13&gt;Assumptions!$F$66), 0, IF(CS13&lt;=Assumptions!$L$17, (CS137/12)*Assumptions!$F$34/10000,0))</f>
        <v>0</v>
      </c>
      <c r="CT107" s="531">
        <f>IF(Assumptions!$E$1=0,0,IF('Monthly Cash Flow'!CT$13='Monthly Cash Flow'!$F106,Assumptions!$F$35,0))+IF(AND(Assumptions!$F$61=1, CT13&gt;Assumptions!$F$66), 0, IF(CT13&lt;=Assumptions!$L$17, (CT137/12)*Assumptions!$F$34/10000,0))</f>
        <v>0</v>
      </c>
      <c r="CU107" s="531">
        <f>IF(Assumptions!$E$1=0,0,IF('Monthly Cash Flow'!CU$13='Monthly Cash Flow'!$F106,Assumptions!$F$35,0))+IF(AND(Assumptions!$F$61=1, CU13&gt;Assumptions!$F$66), 0, IF(CU13&lt;=Assumptions!$L$17, (CU137/12)*Assumptions!$F$34/10000,0))</f>
        <v>0</v>
      </c>
      <c r="CV107" s="531">
        <f>IF(Assumptions!$E$1=0,0,IF('Monthly Cash Flow'!CV$13='Monthly Cash Flow'!$F106,Assumptions!$F$35,0))+IF(AND(Assumptions!$F$61=1, CV13&gt;Assumptions!$F$66), 0, IF(CV13&lt;=Assumptions!$L$17, (CV137/12)*Assumptions!$F$34/10000,0))</f>
        <v>0</v>
      </c>
      <c r="CW107" s="531">
        <f>IF(Assumptions!$E$1=0,0,IF('Monthly Cash Flow'!CW$13='Monthly Cash Flow'!$F106,Assumptions!$F$35,0))+IF(AND(Assumptions!$F$61=1, CW13&gt;Assumptions!$F$66), 0, IF(CW13&lt;=Assumptions!$L$17, (CW137/12)*Assumptions!$F$34/10000,0))</f>
        <v>0</v>
      </c>
      <c r="CX107" s="531">
        <f>IF(Assumptions!$E$1=0,0,IF('Monthly Cash Flow'!CX$13='Monthly Cash Flow'!$F106,Assumptions!$F$35,0))+IF(AND(Assumptions!$F$61=1, CX13&gt;Assumptions!$F$66), 0, IF(CX13&lt;=Assumptions!$L$17, (CX137/12)*Assumptions!$F$34/10000,0))</f>
        <v>0</v>
      </c>
      <c r="CY107" s="531">
        <f>IF(Assumptions!$E$1=0,0,IF('Monthly Cash Flow'!CY$13='Monthly Cash Flow'!$F106,Assumptions!$F$35,0))+IF(AND(Assumptions!$F$61=1, CY13&gt;Assumptions!$F$66), 0, IF(CY13&lt;=Assumptions!$L$17, (CY137/12)*Assumptions!$F$34/10000,0))</f>
        <v>0</v>
      </c>
      <c r="CZ107" s="531">
        <f>IF(Assumptions!$E$1=0,0,IF('Monthly Cash Flow'!CZ$13='Monthly Cash Flow'!$F106,Assumptions!$F$35,0))+IF(AND(Assumptions!$F$61=1, CZ13&gt;Assumptions!$F$66), 0, IF(CZ13&lt;=Assumptions!$L$17, (CZ137/12)*Assumptions!$F$34/10000,0))</f>
        <v>0</v>
      </c>
      <c r="DA107" s="531">
        <f>IF(Assumptions!$E$1=0,0,IF('Monthly Cash Flow'!DA$13='Monthly Cash Flow'!$F106,Assumptions!$F$35,0))+IF(AND(Assumptions!$F$61=1, DA13&gt;Assumptions!$F$66), 0, IF(DA13&lt;=Assumptions!$L$17, (DA137/12)*Assumptions!$F$34/10000,0))</f>
        <v>0</v>
      </c>
      <c r="DB107" s="531">
        <f>IF(Assumptions!$E$1=0,0,IF('Monthly Cash Flow'!DB$13='Monthly Cash Flow'!$F106,Assumptions!$F$35,0))+IF(AND(Assumptions!$F$61=1, DB13&gt;Assumptions!$F$66), 0, IF(DB13&lt;=Assumptions!$L$17, (DB137/12)*Assumptions!$F$34/10000,0))</f>
        <v>0</v>
      </c>
      <c r="DC107" s="531">
        <f>IF(Assumptions!$E$1=0,0,IF('Monthly Cash Flow'!DC$13='Monthly Cash Flow'!$F106,Assumptions!$F$35,0))+IF(AND(Assumptions!$F$61=1, DC13&gt;Assumptions!$F$66), 0, IF(DC13&lt;=Assumptions!$L$17, (DC137/12)*Assumptions!$F$34/10000,0))</f>
        <v>0</v>
      </c>
      <c r="DD107" s="531">
        <f>IF(Assumptions!$E$1=0,0,IF('Monthly Cash Flow'!DD$13='Monthly Cash Flow'!$F106,Assumptions!$F$35,0))+IF(AND(Assumptions!$F$61=1, DD13&gt;Assumptions!$F$66), 0, IF(DD13&lt;=Assumptions!$L$17, (DD137/12)*Assumptions!$F$34/10000,0))</f>
        <v>0</v>
      </c>
      <c r="DE107" s="531">
        <f>IF(Assumptions!$E$1=0,0,IF('Monthly Cash Flow'!DE$13='Monthly Cash Flow'!$F106,Assumptions!$F$35,0))+IF(AND(Assumptions!$F$61=1, DE13&gt;Assumptions!$F$66), 0, IF(DE13&lt;=Assumptions!$L$17, (DE137/12)*Assumptions!$F$34/10000,0))</f>
        <v>0</v>
      </c>
      <c r="DF107" s="531">
        <f>IF(Assumptions!$E$1=0,0,IF('Monthly Cash Flow'!DF$13='Monthly Cash Flow'!$F106,Assumptions!$F$35,0))+IF(AND(Assumptions!$F$61=1, DF13&gt;Assumptions!$F$66), 0, IF(DF13&lt;=Assumptions!$L$17, (DF137/12)*Assumptions!$F$34/10000,0))</f>
        <v>0</v>
      </c>
      <c r="DG107" s="531">
        <f>IF(Assumptions!$E$1=0,0,IF('Monthly Cash Flow'!DG$13='Monthly Cash Flow'!$F106,Assumptions!$F$35,0))+IF(AND(Assumptions!$F$61=1, DG13&gt;Assumptions!$F$66), 0, IF(DG13&lt;=Assumptions!$L$17, (DG137/12)*Assumptions!$F$34/10000,0))</f>
        <v>0</v>
      </c>
      <c r="DH107" s="531">
        <f>IF(Assumptions!$E$1=0,0,IF('Monthly Cash Flow'!DH$13='Monthly Cash Flow'!$F106,Assumptions!$F$35,0))+IF(AND(Assumptions!$F$61=1, DH13&gt;Assumptions!$F$66), 0, IF(DH13&lt;=Assumptions!$L$17, (DH137/12)*Assumptions!$F$34/10000,0))</f>
        <v>0</v>
      </c>
      <c r="DI107" s="531">
        <f>IF(Assumptions!$E$1=0,0,IF('Monthly Cash Flow'!DI$13='Monthly Cash Flow'!$F106,Assumptions!$F$35,0))+IF(AND(Assumptions!$F$61=1, DI13&gt;Assumptions!$F$66), 0, IF(DI13&lt;=Assumptions!$L$17, (DI137/12)*Assumptions!$F$34/10000,0))</f>
        <v>0</v>
      </c>
      <c r="DJ107" s="531">
        <f>IF(Assumptions!$E$1=0,0,IF('Monthly Cash Flow'!DJ$13='Monthly Cash Flow'!$F106,Assumptions!$F$35,0))+IF(AND(Assumptions!$F$61=1, DJ13&gt;Assumptions!$F$66), 0, IF(DJ13&lt;=Assumptions!$L$17, (DJ137/12)*Assumptions!$F$34/10000,0))</f>
        <v>0</v>
      </c>
      <c r="DK107" s="531">
        <f>IF(Assumptions!$E$1=0,0,IF('Monthly Cash Flow'!DK$13='Monthly Cash Flow'!$F106,Assumptions!$F$35,0))+IF(AND(Assumptions!$F$61=1, DK13&gt;Assumptions!$F$66), 0, IF(DK13&lt;=Assumptions!$L$17, (DK137/12)*Assumptions!$F$34/10000,0))</f>
        <v>0</v>
      </c>
      <c r="DL107" s="531">
        <f>IF(Assumptions!$E$1=0,0,IF('Monthly Cash Flow'!DL$13='Monthly Cash Flow'!$F106,Assumptions!$F$35,0))+IF(AND(Assumptions!$F$61=1, DL13&gt;Assumptions!$F$66), 0, IF(DL13&lt;=Assumptions!$L$17, (DL137/12)*Assumptions!$F$34/10000,0))</f>
        <v>0</v>
      </c>
      <c r="DM107" s="531">
        <f>IF(Assumptions!$E$1=0,0,IF('Monthly Cash Flow'!DM$13='Monthly Cash Flow'!$F106,Assumptions!$F$35,0))+IF(AND(Assumptions!$F$61=1, DM13&gt;Assumptions!$F$66), 0, IF(DM13&lt;=Assumptions!$L$17, (DM137/12)*Assumptions!$F$34/10000,0))</f>
        <v>0</v>
      </c>
      <c r="DN107" s="531">
        <f>IF(Assumptions!$E$1=0,0,IF('Monthly Cash Flow'!DN$13='Monthly Cash Flow'!$F106,Assumptions!$F$35,0))+IF(AND(Assumptions!$F$61=1, DN13&gt;Assumptions!$F$66), 0, IF(DN13&lt;=Assumptions!$L$17, (DN137/12)*Assumptions!$F$34/10000,0))</f>
        <v>0</v>
      </c>
      <c r="DO107" s="531">
        <f>IF(Assumptions!$E$1=0,0,IF('Monthly Cash Flow'!DO$13='Monthly Cash Flow'!$F106,Assumptions!$F$35,0))+IF(AND(Assumptions!$F$61=1, DO13&gt;Assumptions!$F$66), 0, IF(DO13&lt;=Assumptions!$L$17, (DO137/12)*Assumptions!$F$34/10000,0))</f>
        <v>0</v>
      </c>
      <c r="DP107" s="531">
        <f>IF(Assumptions!$E$1=0,0,IF('Monthly Cash Flow'!DP$13='Monthly Cash Flow'!$F106,Assumptions!$F$35,0))+IF(AND(Assumptions!$F$61=1, DP13&gt;Assumptions!$F$66), 0, IF(DP13&lt;=Assumptions!$L$17, (DP137/12)*Assumptions!$F$34/10000,0))</f>
        <v>0</v>
      </c>
      <c r="DQ107" s="531">
        <f>IF(Assumptions!$E$1=0,0,IF('Monthly Cash Flow'!DQ$13='Monthly Cash Flow'!$F106,Assumptions!$F$35,0))+IF(AND(Assumptions!$F$61=1, DQ13&gt;Assumptions!$F$66), 0, IF(DQ13&lt;=Assumptions!$L$17, (DQ137/12)*Assumptions!$F$34/10000,0))</f>
        <v>0</v>
      </c>
      <c r="DR107" s="531">
        <f>IF(Assumptions!$E$1=0,0,IF('Monthly Cash Flow'!DR$13='Monthly Cash Flow'!$F106,Assumptions!$F$35,0))+IF(AND(Assumptions!$F$61=1, DR13&gt;Assumptions!$F$66), 0, IF(DR13&lt;=Assumptions!$L$17, (DR137/12)*Assumptions!$F$34/10000,0))</f>
        <v>0</v>
      </c>
      <c r="DS107" s="531">
        <f>IF(Assumptions!$E$1=0,0,IF('Monthly Cash Flow'!DS$13='Monthly Cash Flow'!$F106,Assumptions!$F$35,0))+IF(AND(Assumptions!$F$61=1, DS13&gt;Assumptions!$F$66), 0, IF(DS13&lt;=Assumptions!$L$17, (DS137/12)*Assumptions!$F$34/10000,0))</f>
        <v>0</v>
      </c>
      <c r="DT107" s="531">
        <f>IF(Assumptions!$E$1=0,0,IF('Monthly Cash Flow'!DT$13='Monthly Cash Flow'!$F106,Assumptions!$F$35,0))+IF(AND(Assumptions!$F$61=1, DT13&gt;Assumptions!$F$66), 0, IF(DT13&lt;=Assumptions!$L$17, (DT137/12)*Assumptions!$F$34/10000,0))</f>
        <v>0</v>
      </c>
      <c r="DU107" s="531">
        <f>IF(Assumptions!$E$1=0,0,IF('Monthly Cash Flow'!DU$13='Monthly Cash Flow'!$F106,Assumptions!$F$35,0))+IF(AND(Assumptions!$F$61=1, DU13&gt;Assumptions!$F$66), 0, IF(DU13&lt;=Assumptions!$L$17, (DU137/12)*Assumptions!$F$34/10000,0))</f>
        <v>0</v>
      </c>
      <c r="DV107" s="531">
        <f>IF(Assumptions!$E$1=0,0,IF('Monthly Cash Flow'!DV$13='Monthly Cash Flow'!$F106,Assumptions!$F$35,0))+IF(AND(Assumptions!$F$61=1, DV13&gt;Assumptions!$F$66), 0, IF(DV13&lt;=Assumptions!$L$17, (DV137/12)*Assumptions!$F$34/10000,0))</f>
        <v>0</v>
      </c>
      <c r="DW107" s="531">
        <f>IF(Assumptions!$E$1=0,0,IF('Monthly Cash Flow'!DW$13='Monthly Cash Flow'!$F106,Assumptions!$F$35,0))+IF(AND(Assumptions!$F$61=1, DW13&gt;Assumptions!$F$66), 0, IF(DW13&lt;=Assumptions!$L$17, (DW137/12)*Assumptions!$F$34/10000,0))</f>
        <v>0</v>
      </c>
      <c r="DX107" s="531">
        <f>IF(Assumptions!$E$1=0,0,IF('Monthly Cash Flow'!DX$13='Monthly Cash Flow'!$F106,Assumptions!$F$35,0))+IF(AND(Assumptions!$F$61=1, DX13&gt;Assumptions!$F$66), 0, IF(DX13&lt;=Assumptions!$L$17, (DX137/12)*Assumptions!$F$34/10000,0))</f>
        <v>0</v>
      </c>
      <c r="DY107" s="531">
        <f>IF(Assumptions!$E$1=0,0,IF('Monthly Cash Flow'!DY$13='Monthly Cash Flow'!$F106,Assumptions!$F$35,0))+IF(AND(Assumptions!$F$61=1, DY13&gt;Assumptions!$F$66), 0, IF(DY13&lt;=Assumptions!$L$17, (DY137/12)*Assumptions!$F$34/10000,0))</f>
        <v>0</v>
      </c>
      <c r="DZ107" s="531">
        <f>IF(Assumptions!$E$1=0,0,IF('Monthly Cash Flow'!DZ$13='Monthly Cash Flow'!$F106,Assumptions!$F$35,0))+IF(AND(Assumptions!$F$61=1, DZ13&gt;Assumptions!$F$66), 0, IF(DZ13&lt;=Assumptions!$L$17, (DZ137/12)*Assumptions!$F$34/10000,0))</f>
        <v>0</v>
      </c>
      <c r="EA107" s="531">
        <f>IF(Assumptions!$E$1=0,0,IF('Monthly Cash Flow'!EA$13='Monthly Cash Flow'!$F106,Assumptions!$F$35,0))+IF(AND(Assumptions!$F$61=1, EA13&gt;Assumptions!$F$66), 0, IF(EA13&lt;=Assumptions!$L$17, (EA137/12)*Assumptions!$F$34/10000,0))</f>
        <v>0</v>
      </c>
      <c r="EB107" s="531">
        <f>IF(Assumptions!$E$1=0,0,IF('Monthly Cash Flow'!EB$13='Monthly Cash Flow'!$F106,Assumptions!$F$35,0))+IF(AND(Assumptions!$F$61=1, EB13&gt;Assumptions!$F$66), 0, IF(EB13&lt;=Assumptions!$L$17, (EB137/12)*Assumptions!$F$34/10000,0))</f>
        <v>0</v>
      </c>
      <c r="EC107" s="531">
        <f>IF(Assumptions!$E$1=0,0,IF('Monthly Cash Flow'!EC$13='Monthly Cash Flow'!$F106,Assumptions!$F$35,0))+IF(AND(Assumptions!$F$61=1, EC13&gt;Assumptions!$F$66), 0, IF(EC13&lt;=Assumptions!$L$17, (EC137/12)*Assumptions!$F$34/10000,0))</f>
        <v>0</v>
      </c>
      <c r="ED107" s="531">
        <f>IF(Assumptions!$E$1=0,0,IF('Monthly Cash Flow'!ED$13='Monthly Cash Flow'!$F106,Assumptions!$F$35,0))+IF(AND(Assumptions!$F$61=1, ED13&gt;Assumptions!$F$66), 0, IF(ED13&lt;=Assumptions!$L$17, (ED137/12)*Assumptions!$F$34/10000,0))</f>
        <v>0</v>
      </c>
      <c r="EE107" s="531">
        <f>IF(Assumptions!$E$1=0,0,IF('Monthly Cash Flow'!EE$13='Monthly Cash Flow'!$F106,Assumptions!$F$35,0))+IF(AND(Assumptions!$F$61=1, EE13&gt;Assumptions!$F$66), 0, IF(EE13&lt;=Assumptions!$L$17, (EE137/12)*Assumptions!$F$34/10000,0))</f>
        <v>0</v>
      </c>
      <c r="EF107" s="531">
        <f>IF(Assumptions!$E$1=0,0,IF('Monthly Cash Flow'!EF$13='Monthly Cash Flow'!$F106,Assumptions!$F$35,0))+IF(AND(Assumptions!$F$61=1, EF13&gt;Assumptions!$F$66), 0, IF(EF13&lt;=Assumptions!$L$17, (EF137/12)*Assumptions!$F$34/10000,0))</f>
        <v>0</v>
      </c>
      <c r="EG107" s="531">
        <f>IF(Assumptions!$E$1=0,0,IF('Monthly Cash Flow'!EG$13='Monthly Cash Flow'!$F106,Assumptions!$F$35,0))+IF(AND(Assumptions!$F$61=1, EG13&gt;Assumptions!$F$66), 0, IF(EG13&lt;=Assumptions!$L$17, (EG137/12)*Assumptions!$F$34/10000,0))</f>
        <v>0</v>
      </c>
      <c r="EH107" s="531">
        <f>IF(Assumptions!$E$1=0,0,IF('Monthly Cash Flow'!EH$13='Monthly Cash Flow'!$F106,Assumptions!$F$35,0))+IF(AND(Assumptions!$F$61=1, EH13&gt;Assumptions!$F$66), 0, IF(EH13&lt;=Assumptions!$L$17, (EH137/12)*Assumptions!$F$34/10000,0))</f>
        <v>0</v>
      </c>
      <c r="EI107" s="531">
        <f>IF(Assumptions!$E$1=0,0,IF('Monthly Cash Flow'!EI$13='Monthly Cash Flow'!$F106,Assumptions!$F$35,0))+IF(AND(Assumptions!$F$61=1, EI13&gt;Assumptions!$F$66), 0, IF(EI13&lt;=Assumptions!$L$17, (EI137/12)*Assumptions!$F$34/10000,0))</f>
        <v>0</v>
      </c>
      <c r="EJ107" s="531">
        <f>IF(Assumptions!$E$1=0,0,IF('Monthly Cash Flow'!EJ$13='Monthly Cash Flow'!$F106,Assumptions!$F$35,0))+IF(AND(Assumptions!$F$61=1, EJ13&gt;Assumptions!$F$66), 0, IF(EJ13&lt;=Assumptions!$L$17, (EJ137/12)*Assumptions!$F$34/10000,0))</f>
        <v>0</v>
      </c>
      <c r="EK107" s="531">
        <f>IF(Assumptions!$E$1=0,0,IF('Monthly Cash Flow'!EK$13='Monthly Cash Flow'!$F106,Assumptions!$F$35,0))+IF(AND(Assumptions!$F$61=1, EK13&gt;Assumptions!$F$66), 0, IF(EK13&lt;=Assumptions!$L$17, (EK137/12)*Assumptions!$F$34/10000,0))</f>
        <v>0</v>
      </c>
      <c r="EL107" s="531">
        <f>IF(Assumptions!$E$1=0,0,IF('Monthly Cash Flow'!EL$13='Monthly Cash Flow'!$F106,Assumptions!$F$35,0))+IF(AND(Assumptions!$F$61=1, EL13&gt;Assumptions!$F$66), 0, IF(EL13&lt;=Assumptions!$L$17, (EL137/12)*Assumptions!$F$34/10000,0))</f>
        <v>0</v>
      </c>
      <c r="EM107" s="531">
        <f>IF(Assumptions!$E$1=0,0,IF('Monthly Cash Flow'!EM$13='Monthly Cash Flow'!$F106,Assumptions!$F$35,0))+IF(AND(Assumptions!$F$61=1, EM13&gt;Assumptions!$F$66), 0, IF(EM13&lt;=Assumptions!$L$17, (EM137/12)*Assumptions!$F$34/10000,0))</f>
        <v>0</v>
      </c>
      <c r="EN107" s="531">
        <f>IF(Assumptions!$E$1=0,0,IF('Monthly Cash Flow'!EN$13='Monthly Cash Flow'!$F106,Assumptions!$F$35,0))+IF(AND(Assumptions!$F$61=1, EN13&gt;Assumptions!$F$66), 0, IF(EN13&lt;=Assumptions!$L$17, (EN137/12)*Assumptions!$F$34/10000,0))</f>
        <v>0</v>
      </c>
      <c r="EO107" s="531">
        <f>IF(Assumptions!$E$1=0,0,IF('Monthly Cash Flow'!EO$13='Monthly Cash Flow'!$F106,Assumptions!$F$35,0))+IF(AND(Assumptions!$F$61=1, EO13&gt;Assumptions!$F$66), 0, IF(EO13&lt;=Assumptions!$L$17, (EO137/12)*Assumptions!$F$34/10000,0))</f>
        <v>0</v>
      </c>
      <c r="EP107" s="531">
        <f>IF(Assumptions!$E$1=0,0,IF('Monthly Cash Flow'!EP$13='Monthly Cash Flow'!$F106,Assumptions!$F$35,0))+IF(AND(Assumptions!$F$61=1, EP13&gt;Assumptions!$F$66), 0, IF(EP13&lt;=Assumptions!$L$17, (EP137/12)*Assumptions!$F$34/10000,0))</f>
        <v>0</v>
      </c>
      <c r="EQ107" s="531">
        <f>IF(Assumptions!$E$1=0,0,IF('Monthly Cash Flow'!EQ$13='Monthly Cash Flow'!$F106,Assumptions!$F$35,0))+IF(AND(Assumptions!$F$61=1, EQ13&gt;Assumptions!$F$66), 0, IF(EQ13&lt;=Assumptions!$L$17, (EQ137/12)*Assumptions!$F$34/10000,0))</f>
        <v>0</v>
      </c>
      <c r="ER107" s="531">
        <f>IF(Assumptions!$E$1=0,0,IF('Monthly Cash Flow'!ER$13='Monthly Cash Flow'!$F106,Assumptions!$F$35,0))+IF(AND(Assumptions!$F$61=1, ER13&gt;Assumptions!$F$66), 0, IF(ER13&lt;=Assumptions!$L$17, (ER137/12)*Assumptions!$F$34/10000,0))</f>
        <v>0</v>
      </c>
      <c r="ES107" s="531">
        <f>IF(Assumptions!$E$1=0,0,IF('Monthly Cash Flow'!ES$13='Monthly Cash Flow'!$F106,Assumptions!$F$35,0))+IF(AND(Assumptions!$F$61=1, ES13&gt;Assumptions!$F$66), 0, IF(ES13&lt;=Assumptions!$L$17, (ES137/12)*Assumptions!$F$34/10000,0))</f>
        <v>0</v>
      </c>
      <c r="ET107" s="531">
        <f>IF(Assumptions!$E$1=0,0,IF('Monthly Cash Flow'!ET$13='Monthly Cash Flow'!$F106,Assumptions!$F$35,0))+IF(AND(Assumptions!$F$61=1, ET13&gt;Assumptions!$F$66), 0, IF(ET13&lt;=Assumptions!$L$17, (ET137/12)*Assumptions!$F$34/10000,0))</f>
        <v>0</v>
      </c>
      <c r="EU107" s="531">
        <f>IF(Assumptions!$E$1=0,0,IF('Monthly Cash Flow'!EU$13='Monthly Cash Flow'!$F106,Assumptions!$F$35,0))+IF(AND(Assumptions!$F$61=1, EU13&gt;Assumptions!$F$66), 0, IF(EU13&lt;=Assumptions!$L$17, (EU137/12)*Assumptions!$F$34/10000,0))</f>
        <v>0</v>
      </c>
      <c r="EV107" s="531">
        <f>IF(Assumptions!$E$1=0,0,IF('Monthly Cash Flow'!EV$13='Monthly Cash Flow'!$F106,Assumptions!$F$35,0))+IF(AND(Assumptions!$F$61=1, EV13&gt;Assumptions!$F$66), 0, IF(EV13&lt;=Assumptions!$L$17, (EV137/12)*Assumptions!$F$34/10000,0))</f>
        <v>0</v>
      </c>
      <c r="EW107" s="531">
        <f>IF(Assumptions!$E$1=0,0,IF('Monthly Cash Flow'!EW$13='Monthly Cash Flow'!$F106,Assumptions!$F$35,0))+IF(AND(Assumptions!$F$61=1, EW13&gt;Assumptions!$F$66), 0, IF(EW13&lt;=Assumptions!$L$17, (EW137/12)*Assumptions!$F$34/10000,0))</f>
        <v>0</v>
      </c>
      <c r="EX107" s="531">
        <f>IF(Assumptions!$E$1=0,0,IF('Monthly Cash Flow'!EX$13='Monthly Cash Flow'!$F106,Assumptions!$F$35,0))+IF(AND(Assumptions!$F$61=1, EX13&gt;Assumptions!$F$66), 0, IF(EX13&lt;=Assumptions!$L$17, (EX137/12)*Assumptions!$F$34/10000,0))</f>
        <v>0</v>
      </c>
      <c r="EY107" s="531">
        <f>IF(Assumptions!$E$1=0,0,IF('Monthly Cash Flow'!EY$13='Monthly Cash Flow'!$F106,Assumptions!$F$35,0))+IF(AND(Assumptions!$F$61=1, EY13&gt;Assumptions!$F$66), 0, IF(EY13&lt;=Assumptions!$L$17, (EY137/12)*Assumptions!$F$34/10000,0))</f>
        <v>0</v>
      </c>
      <c r="EZ107" s="531">
        <f>IF(Assumptions!$E$1=0,0,IF('Monthly Cash Flow'!EZ$13='Monthly Cash Flow'!$F106,Assumptions!$F$35,0))+IF(AND(Assumptions!$F$61=1, EZ13&gt;Assumptions!$F$66), 0, IF(EZ13&lt;=Assumptions!$L$17, (EZ137/12)*Assumptions!$F$34/10000,0))</f>
        <v>0</v>
      </c>
      <c r="FA107" s="531">
        <f>IF(Assumptions!$E$1=0,0,IF('Monthly Cash Flow'!FA$13='Monthly Cash Flow'!$F106,Assumptions!$F$35,0))+IF(AND(Assumptions!$F$61=1, FA13&gt;Assumptions!$F$66), 0, IF(FA13&lt;=Assumptions!$L$17, (FA137/12)*Assumptions!$F$34/10000,0))</f>
        <v>0</v>
      </c>
      <c r="FB107" s="531">
        <f>IF(Assumptions!$E$1=0,0,IF('Monthly Cash Flow'!FB$13='Monthly Cash Flow'!$F106,Assumptions!$F$35,0))+IF(AND(Assumptions!$F$61=1, FB13&gt;Assumptions!$F$66), 0, IF(FB13&lt;=Assumptions!$L$17, (FB137/12)*Assumptions!$F$34/10000,0))</f>
        <v>0</v>
      </c>
      <c r="FC107" s="531">
        <f>IF(Assumptions!$E$1=0,0,IF('Monthly Cash Flow'!FC$13='Monthly Cash Flow'!$F106,Assumptions!$F$35,0))+IF(AND(Assumptions!$F$61=1, FC13&gt;Assumptions!$F$66), 0, IF(FC13&lt;=Assumptions!$L$17, (FC137/12)*Assumptions!$F$34/10000,0))</f>
        <v>0</v>
      </c>
      <c r="FD107" s="531">
        <f>IF(Assumptions!$E$1=0,0,IF('Monthly Cash Flow'!FD$13='Monthly Cash Flow'!$F106,Assumptions!$F$35,0))+IF(AND(Assumptions!$F$61=1, FD13&gt;Assumptions!$F$66), 0, IF(FD13&lt;=Assumptions!$L$17, (FD137/12)*Assumptions!$F$34/10000,0))</f>
        <v>0</v>
      </c>
      <c r="FE107" s="531">
        <f>IF(Assumptions!$E$1=0,0,IF('Monthly Cash Flow'!FE$13='Monthly Cash Flow'!$F106,Assumptions!$F$35,0))+IF(AND(Assumptions!$F$61=1, FE13&gt;Assumptions!$F$66), 0, IF(FE13&lt;=Assumptions!$L$17, (FE137/12)*Assumptions!$F$34/10000,0))</f>
        <v>0</v>
      </c>
      <c r="FF107" s="531">
        <f>IF(Assumptions!$E$1=0,0,IF('Monthly Cash Flow'!FF$13='Monthly Cash Flow'!$F106,Assumptions!$F$35,0))+IF(AND(Assumptions!$F$61=1, FF13&gt;Assumptions!$F$66), 0, IF(FF13&lt;=Assumptions!$L$17, (FF137/12)*Assumptions!$F$34/10000,0))</f>
        <v>0</v>
      </c>
      <c r="FG107" s="531">
        <f>IF(Assumptions!$E$1=0,0,IF('Monthly Cash Flow'!FG$13='Monthly Cash Flow'!$F106,Assumptions!$F$35,0))+IF(AND(Assumptions!$F$61=1, FG13&gt;Assumptions!$F$66), 0, IF(FG13&lt;=Assumptions!$L$17, (FG137/12)*Assumptions!$F$34/10000,0))</f>
        <v>0</v>
      </c>
      <c r="FH107" s="531">
        <f>IF(Assumptions!$E$1=0,0,IF('Monthly Cash Flow'!FH$13='Monthly Cash Flow'!$F106,Assumptions!$F$35,0))+IF(AND(Assumptions!$F$61=1, FH13&gt;Assumptions!$F$66), 0, IF(FH13&lt;=Assumptions!$L$17, (FH137/12)*Assumptions!$F$34/10000,0))</f>
        <v>0</v>
      </c>
      <c r="FI107" s="531">
        <f>IF(Assumptions!$E$1=0,0,IF('Monthly Cash Flow'!FI$13='Monthly Cash Flow'!$F106,Assumptions!$F$35,0))+IF(AND(Assumptions!$F$61=1, FI13&gt;Assumptions!$F$66), 0, IF(FI13&lt;=Assumptions!$L$17, (FI137/12)*Assumptions!$F$34/10000,0))</f>
        <v>0</v>
      </c>
      <c r="FJ107" s="531">
        <f>IF(Assumptions!$E$1=0,0,IF('Monthly Cash Flow'!FJ$13='Monthly Cash Flow'!$F106,Assumptions!$F$35,0))+IF(AND(Assumptions!$F$61=1, FJ13&gt;Assumptions!$F$66), 0, IF(FJ13&lt;=Assumptions!$L$17, (FJ137/12)*Assumptions!$F$34/10000,0))</f>
        <v>0</v>
      </c>
      <c r="FK107" s="531">
        <f>IF(Assumptions!$E$1=0,0,IF('Monthly Cash Flow'!FK$13='Monthly Cash Flow'!$F106,Assumptions!$F$35,0))+IF(AND(Assumptions!$F$61=1, FK13&gt;Assumptions!$F$66), 0, IF(FK13&lt;=Assumptions!$L$17, (FK137/12)*Assumptions!$F$34/10000,0))</f>
        <v>0</v>
      </c>
      <c r="FL107" s="531">
        <f>IF(Assumptions!$E$1=0,0,IF('Monthly Cash Flow'!FL$13='Monthly Cash Flow'!$F106,Assumptions!$F$35,0))+IF(AND(Assumptions!$F$61=1, FL13&gt;Assumptions!$F$66), 0, IF(FL13&lt;=Assumptions!$L$17, (FL137/12)*Assumptions!$F$34/10000,0))</f>
        <v>0</v>
      </c>
      <c r="FM107" s="531">
        <f>IF(Assumptions!$E$1=0,0,IF('Monthly Cash Flow'!FM$13='Monthly Cash Flow'!$F106,Assumptions!$F$35,0))+IF(AND(Assumptions!$F$61=1, FM13&gt;Assumptions!$F$66), 0, IF(FM13&lt;=Assumptions!$L$17, (FM137/12)*Assumptions!$F$34/10000,0))</f>
        <v>0</v>
      </c>
      <c r="FN107" s="531">
        <f>IF(Assumptions!$E$1=0,0,IF('Monthly Cash Flow'!FN$13='Monthly Cash Flow'!$F106,Assumptions!$F$35,0))+IF(AND(Assumptions!$F$61=1, FN13&gt;Assumptions!$F$66), 0, IF(FN13&lt;=Assumptions!$L$17, (FN137/12)*Assumptions!$F$34/10000,0))</f>
        <v>0</v>
      </c>
      <c r="FO107" s="531">
        <f>IF(Assumptions!$E$1=0,0,IF('Monthly Cash Flow'!FO$13='Monthly Cash Flow'!$F106,Assumptions!$F$35,0))+IF(AND(Assumptions!$F$61=1, FO13&gt;Assumptions!$F$66), 0, IF(FO13&lt;=Assumptions!$L$17, (FO137/12)*Assumptions!$F$34/10000,0))</f>
        <v>0</v>
      </c>
      <c r="FP107" s="531">
        <f>IF(Assumptions!$E$1=0,0,IF('Monthly Cash Flow'!FP$13='Monthly Cash Flow'!$F106,Assumptions!$F$35,0))+IF(AND(Assumptions!$F$61=1, FP13&gt;Assumptions!$F$66), 0, IF(FP13&lt;=Assumptions!$L$17, (FP137/12)*Assumptions!$F$34/10000,0))</f>
        <v>0</v>
      </c>
      <c r="FQ107" s="531">
        <f>IF(Assumptions!$E$1=0,0,IF('Monthly Cash Flow'!FQ$13='Monthly Cash Flow'!$F106,Assumptions!$F$35,0))+IF(AND(Assumptions!$F$61=1, FQ13&gt;Assumptions!$F$66), 0, IF(FQ13&lt;=Assumptions!$L$17, (FQ137/12)*Assumptions!$F$34/10000,0))</f>
        <v>0</v>
      </c>
      <c r="FR107" s="531">
        <f>IF(Assumptions!$E$1=0,0,IF('Monthly Cash Flow'!FR$13='Monthly Cash Flow'!$F106,Assumptions!$F$35,0))+IF(AND(Assumptions!$F$61=1, FR13&gt;Assumptions!$F$66), 0, IF(FR13&lt;=Assumptions!$L$17, (FR137/12)*Assumptions!$F$34/10000,0))</f>
        <v>0</v>
      </c>
      <c r="FS107" s="531">
        <f>IF(Assumptions!$E$1=0,0,IF('Monthly Cash Flow'!FS$13='Monthly Cash Flow'!$F106,Assumptions!$F$35,0))+IF(AND(Assumptions!$F$61=1, FS13&gt;Assumptions!$F$66), 0, IF(FS13&lt;=Assumptions!$L$17, (FS137/12)*Assumptions!$F$34/10000,0))</f>
        <v>0</v>
      </c>
      <c r="FT107" s="531">
        <f>IF(Assumptions!$E$1=0,0,IF('Monthly Cash Flow'!FT$13='Monthly Cash Flow'!$F106,Assumptions!$F$35,0))+IF(AND(Assumptions!$F$61=1, FT13&gt;Assumptions!$F$66), 0, IF(FT13&lt;=Assumptions!$L$17, (FT137/12)*Assumptions!$F$34/10000,0))</f>
        <v>0</v>
      </c>
      <c r="FU107" s="531">
        <f>IF(Assumptions!$E$1=0,0,IF('Monthly Cash Flow'!FU$13='Monthly Cash Flow'!$F106,Assumptions!$F$35,0))+IF(AND(Assumptions!$F$61=1, FU13&gt;Assumptions!$F$66), 0, IF(FU13&lt;=Assumptions!$L$17, (FU137/12)*Assumptions!$F$34/10000,0))</f>
        <v>0</v>
      </c>
      <c r="FV107" s="531">
        <f>IF(Assumptions!$E$1=0,0,IF('Monthly Cash Flow'!FV$13='Monthly Cash Flow'!$F106,Assumptions!$F$35,0))+IF(AND(Assumptions!$F$61=1, FV13&gt;Assumptions!$F$66), 0, IF(FV13&lt;=Assumptions!$L$17, (FV137/12)*Assumptions!$F$34/10000,0))</f>
        <v>0</v>
      </c>
      <c r="FW107" s="531">
        <f>IF(Assumptions!$E$1=0,0,IF('Monthly Cash Flow'!FW$13='Monthly Cash Flow'!$F106,Assumptions!$F$35,0))+IF(AND(Assumptions!$F$61=1, FW13&gt;Assumptions!$F$66), 0, IF(FW13&lt;=Assumptions!$L$17, (FW137/12)*Assumptions!$F$34/10000,0))</f>
        <v>0</v>
      </c>
      <c r="FX107" s="531">
        <f>IF(Assumptions!$E$1=0,0,IF('Monthly Cash Flow'!FX$13='Monthly Cash Flow'!$F106,Assumptions!$F$35,0))+IF(AND(Assumptions!$F$61=1, FX13&gt;Assumptions!$F$66), 0, IF(FX13&lt;=Assumptions!$L$17, (FX137/12)*Assumptions!$F$34/10000,0))</f>
        <v>0</v>
      </c>
      <c r="FY107" s="531">
        <f>IF(Assumptions!$E$1=0,0,IF('Monthly Cash Flow'!FY$13='Monthly Cash Flow'!$F106,Assumptions!$F$35,0))+IF(AND(Assumptions!$F$61=1, FY13&gt;Assumptions!$F$66), 0, IF(FY13&lt;=Assumptions!$L$17, (FY137/12)*Assumptions!$F$34/10000,0))</f>
        <v>0</v>
      </c>
      <c r="FZ107" s="531">
        <f>IF(Assumptions!$E$1=0,0,IF('Monthly Cash Flow'!FZ$13='Monthly Cash Flow'!$F106,Assumptions!$F$35,0))+IF(AND(Assumptions!$F$61=1, FZ13&gt;Assumptions!$F$66), 0, IF(FZ13&lt;=Assumptions!$L$17, (FZ137/12)*Assumptions!$F$34/10000,0))</f>
        <v>0</v>
      </c>
      <c r="GA107" s="531">
        <f>IF(Assumptions!$E$1=0,0,IF('Monthly Cash Flow'!GA$13='Monthly Cash Flow'!$F106,Assumptions!$F$35,0))+IF(AND(Assumptions!$F$61=1, GA13&gt;Assumptions!$F$66), 0, IF(GA13&lt;=Assumptions!$L$17, (GA137/12)*Assumptions!$F$34/10000,0))</f>
        <v>0</v>
      </c>
      <c r="GB107" s="531">
        <f>IF(Assumptions!$E$1=0,0,IF('Monthly Cash Flow'!GB$13='Monthly Cash Flow'!$F106,Assumptions!$F$35,0))+IF(AND(Assumptions!$F$61=1, GB13&gt;Assumptions!$F$66), 0, IF(GB13&lt;=Assumptions!$L$17, (GB137/12)*Assumptions!$F$34/10000,0))</f>
        <v>0</v>
      </c>
      <c r="GC107" s="531">
        <f>IF(Assumptions!$E$1=0,0,IF('Monthly Cash Flow'!GC$13='Monthly Cash Flow'!$F106,Assumptions!$F$35,0))+IF(AND(Assumptions!$F$61=1, GC13&gt;Assumptions!$F$66), 0, IF(GC13&lt;=Assumptions!$L$17, (GC137/12)*Assumptions!$F$34/10000,0))</f>
        <v>0</v>
      </c>
      <c r="GD107" s="531"/>
      <c r="GE107" s="531"/>
      <c r="GF107" s="531"/>
      <c r="GG107" s="531"/>
      <c r="GH107" s="531"/>
      <c r="GI107" s="531"/>
      <c r="GJ107" s="531"/>
      <c r="GK107" s="531"/>
      <c r="GL107" s="531"/>
      <c r="GM107" s="531"/>
      <c r="GN107" s="531"/>
      <c r="GO107" s="531"/>
      <c r="GP107" s="531">
        <f>IF(Assumptions!$E$1=0,0,IF('Monthly Cash Flow'!GP$13='Monthly Cash Flow'!$F106,Assumptions!$F$35,0))+IF(AND(Assumptions!$F$61=1, GP13&gt;Assumptions!$F$66), 0, IF(GP13&lt;=Assumptions!$L$17, (GP137/12)*Assumptions!$F$34/10000,0))</f>
        <v>0</v>
      </c>
      <c r="GQ107" s="531">
        <f>IF(Assumptions!$E$1=0,0,IF('Monthly Cash Flow'!GQ$13='Monthly Cash Flow'!$F106,Assumptions!$F$35,0))+IF(AND(Assumptions!$F$61=1, GQ13&gt;Assumptions!$F$66), 0, IF(GQ13&lt;=Assumptions!$L$17, (GQ137/12)*Assumptions!$F$34/10000,0))</f>
        <v>0</v>
      </c>
      <c r="GR107" s="531">
        <f>IF(Assumptions!$E$1=0,0,IF('Monthly Cash Flow'!GR$13='Monthly Cash Flow'!$F106,Assumptions!$F$35,0))+IF(AND(Assumptions!$F$61=1, GR13&gt;Assumptions!$F$66), 0, IF(GR13&lt;=Assumptions!$L$17, (GR137/12)*Assumptions!$F$34/10000,0))</f>
        <v>0</v>
      </c>
      <c r="GS107" s="531">
        <f>IF(Assumptions!$E$1=0,0,IF('Monthly Cash Flow'!GS$13='Monthly Cash Flow'!$F106,Assumptions!$F$35,0))+IF(AND(Assumptions!$F$61=1, GS13&gt;Assumptions!$F$66), 0, IF(GS13&lt;=Assumptions!$L$17, (GS137/12)*Assumptions!$F$34/10000,0))</f>
        <v>0</v>
      </c>
      <c r="GT107" s="531">
        <f>IF(Assumptions!$E$1=0,0,IF('Monthly Cash Flow'!GT$13='Monthly Cash Flow'!$F106,Assumptions!$F$35,0))+IF(AND(Assumptions!$F$61=1, GT13&gt;Assumptions!$F$66), 0, IF(GT13&lt;=Assumptions!$L$17, (GT137/12)*Assumptions!$F$34/10000,0))</f>
        <v>0</v>
      </c>
      <c r="GU107" s="531"/>
      <c r="GV107" s="531"/>
      <c r="GW107" s="531"/>
      <c r="GX107" s="531"/>
      <c r="GY107" s="531"/>
      <c r="GZ107" s="531"/>
      <c r="HA107" s="531"/>
      <c r="HB107" s="531"/>
      <c r="HC107" s="531"/>
      <c r="HD107" s="531"/>
      <c r="HE107" s="531"/>
      <c r="HF107" s="1" t="s">
        <v>212</v>
      </c>
      <c r="HH107" s="9" t="str">
        <f t="shared" si="766"/>
        <v>Loan Fees</v>
      </c>
      <c r="HI107" s="26"/>
      <c r="HJ107" s="26"/>
      <c r="HK107" s="26"/>
      <c r="HL107" s="132">
        <f t="shared" ca="1" si="773"/>
        <v>1016.25</v>
      </c>
      <c r="HM107" s="26"/>
      <c r="HN107" s="133">
        <f t="shared" si="774"/>
        <v>570</v>
      </c>
      <c r="HO107" s="26">
        <f t="shared" si="774"/>
        <v>0</v>
      </c>
      <c r="HP107" s="26">
        <f t="shared" si="774"/>
        <v>0</v>
      </c>
      <c r="HQ107" s="26">
        <f t="shared" si="774"/>
        <v>0</v>
      </c>
      <c r="HR107" s="26">
        <f t="shared" si="774"/>
        <v>0</v>
      </c>
      <c r="HS107" s="26">
        <f t="shared" ca="1" si="774"/>
        <v>446.25</v>
      </c>
      <c r="HT107" s="26">
        <f t="shared" si="774"/>
        <v>0</v>
      </c>
      <c r="HU107" s="26">
        <f t="shared" si="774"/>
        <v>0</v>
      </c>
      <c r="HV107" s="26">
        <f t="shared" si="774"/>
        <v>0</v>
      </c>
      <c r="HW107"/>
    </row>
    <row r="108" spans="2:231" ht="15" outlineLevel="1">
      <c r="B108" s="9" t="s">
        <v>714</v>
      </c>
      <c r="C108" s="9"/>
      <c r="D108" s="9"/>
      <c r="E108" s="9"/>
      <c r="F108" s="186">
        <f>IF(Assumptions!F61=1,Assumptions!F66,+Assumptions!L17)</f>
        <v>60</v>
      </c>
      <c r="G108" s="9"/>
      <c r="H108" s="9"/>
      <c r="I108" s="132">
        <f>SUMIF($K$13:$GT$13,"&lt;="&amp;Assumptions!$L$17,'Monthly Cash Flow'!K108:GT108)</f>
        <v>108.97897</v>
      </c>
      <c r="J108" s="26"/>
      <c r="K108" s="133">
        <f>IF(Assumptions!$E$1=0,0,IF('Monthly Cash Flow'!K$13='Monthly Cash Flow'!$F108,Assumptions!$F$36,0))</f>
        <v>0</v>
      </c>
      <c r="L108" s="531">
        <f>IF(Assumptions!$E$1=0,0,IF('Monthly Cash Flow'!L$13='Monthly Cash Flow'!$F108,Assumptions!$F$36,0))</f>
        <v>0</v>
      </c>
      <c r="M108" s="531">
        <f>IF(Assumptions!$E$1=0,0,IF('Monthly Cash Flow'!M$13='Monthly Cash Flow'!$F108,Assumptions!$F$36,0))</f>
        <v>0</v>
      </c>
      <c r="N108" s="531">
        <f>IF(Assumptions!$E$1=0,0,IF('Monthly Cash Flow'!N$13='Monthly Cash Flow'!$F108,Assumptions!$F$36,0))</f>
        <v>0</v>
      </c>
      <c r="O108" s="531">
        <f>IF(Assumptions!$E$1=0,0,IF('Monthly Cash Flow'!O$13='Monthly Cash Flow'!$F108,Assumptions!$F$36,0))</f>
        <v>0</v>
      </c>
      <c r="P108" s="531">
        <f>IF(Assumptions!$E$1=0,0,IF('Monthly Cash Flow'!P$13='Monthly Cash Flow'!$F108,Assumptions!$F$36,0))</f>
        <v>0</v>
      </c>
      <c r="Q108" s="531">
        <f>IF(Assumptions!$E$1=0,0,IF('Monthly Cash Flow'!Q$13='Monthly Cash Flow'!$F108,Assumptions!$F$36,0))</f>
        <v>0</v>
      </c>
      <c r="R108" s="531">
        <f>IF(Assumptions!$E$1=0,0,IF('Monthly Cash Flow'!R$13='Monthly Cash Flow'!$F108,Assumptions!$F$36,0))</f>
        <v>0</v>
      </c>
      <c r="S108" s="531">
        <f>IF(Assumptions!$E$1=0,0,IF('Monthly Cash Flow'!S$13='Monthly Cash Flow'!$F108,Assumptions!$F$36,0))</f>
        <v>0</v>
      </c>
      <c r="T108" s="531">
        <f>IF(Assumptions!$E$1=0,0,IF('Monthly Cash Flow'!T$13='Monthly Cash Flow'!$F108,Assumptions!$F$36,0))</f>
        <v>0</v>
      </c>
      <c r="U108" s="531">
        <f>IF(Assumptions!$E$1=0,0,IF('Monthly Cash Flow'!U$13='Monthly Cash Flow'!$F108,Assumptions!$F$36,0))</f>
        <v>0</v>
      </c>
      <c r="V108" s="531">
        <f>IF(Assumptions!$E$1=0,0,IF('Monthly Cash Flow'!V$13='Monthly Cash Flow'!$F108,Assumptions!$F$36,0))</f>
        <v>0</v>
      </c>
      <c r="W108" s="531">
        <f>IF(Assumptions!$E$1=0,0,IF('Monthly Cash Flow'!W$13='Monthly Cash Flow'!$F108,Assumptions!$F$36,0))</f>
        <v>0</v>
      </c>
      <c r="X108" s="531">
        <f>IF(Assumptions!$E$1=0,0,IF('Monthly Cash Flow'!X$13='Monthly Cash Flow'!$F108,Assumptions!$F$36,0))</f>
        <v>0</v>
      </c>
      <c r="Y108" s="531">
        <f>IF(Assumptions!$E$1=0,0,IF('Monthly Cash Flow'!Y$13='Monthly Cash Flow'!$F108,Assumptions!$F$36,0))</f>
        <v>0</v>
      </c>
      <c r="Z108" s="531">
        <f>IF(Assumptions!$E$1=0,0,IF('Monthly Cash Flow'!Z$13='Monthly Cash Flow'!$F108,Assumptions!$F$36,0))</f>
        <v>0</v>
      </c>
      <c r="AA108" s="531">
        <f>IF(Assumptions!$E$1=0,0,IF('Monthly Cash Flow'!AA$13='Monthly Cash Flow'!$F108,Assumptions!$F$36,0))</f>
        <v>0</v>
      </c>
      <c r="AB108" s="531">
        <f>IF(Assumptions!$E$1=0,0,IF('Monthly Cash Flow'!AB$13='Monthly Cash Flow'!$F108,Assumptions!$F$36,0))</f>
        <v>0</v>
      </c>
      <c r="AC108" s="531">
        <f>IF(Assumptions!$E$1=0,0,IF('Monthly Cash Flow'!AC$13='Monthly Cash Flow'!$F108,Assumptions!$F$36,0))</f>
        <v>0</v>
      </c>
      <c r="AD108" s="531">
        <f>IF(Assumptions!$E$1=0,0,IF('Monthly Cash Flow'!AD$13='Monthly Cash Flow'!$F108,Assumptions!$F$36,0))</f>
        <v>0</v>
      </c>
      <c r="AE108" s="531">
        <f>IF(Assumptions!$E$1=0,0,IF('Monthly Cash Flow'!AE$13='Monthly Cash Flow'!$F108,Assumptions!$F$36,0))</f>
        <v>0</v>
      </c>
      <c r="AF108" s="531">
        <f>IF(Assumptions!$E$1=0,0,IF('Monthly Cash Flow'!AF$13='Monthly Cash Flow'!$F108,Assumptions!$F$36,0))</f>
        <v>0</v>
      </c>
      <c r="AG108" s="531">
        <f>IF(Assumptions!$E$1=0,0,IF('Monthly Cash Flow'!AG$13='Monthly Cash Flow'!$F108,Assumptions!$F$36,0))</f>
        <v>0</v>
      </c>
      <c r="AH108" s="531">
        <f>IF(Assumptions!$E$1=0,0,IF('Monthly Cash Flow'!AH$13='Monthly Cash Flow'!$F108,Assumptions!$F$36,0))</f>
        <v>0</v>
      </c>
      <c r="AI108" s="531">
        <f>IF(Assumptions!$E$1=0,0,IF('Monthly Cash Flow'!AI$13='Monthly Cash Flow'!$F108,Assumptions!$F$36,0))</f>
        <v>0</v>
      </c>
      <c r="AJ108" s="531">
        <f>IF(Assumptions!$E$1=0,0,IF('Monthly Cash Flow'!AJ$13='Monthly Cash Flow'!$F108,Assumptions!$F$36,0))</f>
        <v>0</v>
      </c>
      <c r="AK108" s="531">
        <f>IF(Assumptions!$E$1=0,0,IF('Monthly Cash Flow'!AK$13='Monthly Cash Flow'!$F108,Assumptions!$F$36,0))</f>
        <v>0</v>
      </c>
      <c r="AL108" s="531">
        <f>IF(Assumptions!$E$1=0,0,IF('Monthly Cash Flow'!AL$13='Monthly Cash Flow'!$F108,Assumptions!$F$36,0))</f>
        <v>0</v>
      </c>
      <c r="AM108" s="531">
        <f>IF(Assumptions!$E$1=0,0,IF('Monthly Cash Flow'!AM$13='Monthly Cash Flow'!$F108,Assumptions!$F$36,0))</f>
        <v>0</v>
      </c>
      <c r="AN108" s="531">
        <f>IF(Assumptions!$E$1=0,0,IF('Monthly Cash Flow'!AN$13='Monthly Cash Flow'!$F108,Assumptions!$F$36,0))</f>
        <v>0</v>
      </c>
      <c r="AO108" s="531">
        <f>IF(Assumptions!$E$1=0,0,IF('Monthly Cash Flow'!AO$13='Monthly Cash Flow'!$F108,Assumptions!$F$36,0))</f>
        <v>0</v>
      </c>
      <c r="AP108" s="531">
        <f>IF(Assumptions!$E$1=0,0,IF('Monthly Cash Flow'!AP$13='Monthly Cash Flow'!$F108,Assumptions!$F$36,0))</f>
        <v>0</v>
      </c>
      <c r="AQ108" s="531">
        <f>IF(Assumptions!$E$1=0,0,IF('Monthly Cash Flow'!AQ$13='Monthly Cash Flow'!$F108,Assumptions!$F$36,0))</f>
        <v>0</v>
      </c>
      <c r="AR108" s="531">
        <f>IF(Assumptions!$E$1=0,0,IF('Monthly Cash Flow'!AR$13='Monthly Cash Flow'!$F108,Assumptions!$F$36,0))</f>
        <v>0</v>
      </c>
      <c r="AS108" s="531">
        <f>IF(Assumptions!$E$1=0,0,IF('Monthly Cash Flow'!AS$13='Monthly Cash Flow'!$F108,Assumptions!$F$36,0))</f>
        <v>0</v>
      </c>
      <c r="AT108" s="531">
        <f>IF(Assumptions!$E$1=0,0,IF('Monthly Cash Flow'!AT$13='Monthly Cash Flow'!$F108,Assumptions!$F$36,0))</f>
        <v>0</v>
      </c>
      <c r="AU108" s="531">
        <f>IF(Assumptions!$E$1=0,0,IF('Monthly Cash Flow'!AU$13='Monthly Cash Flow'!$F108,Assumptions!$F$36,0))</f>
        <v>0</v>
      </c>
      <c r="AV108" s="531">
        <f>IF(Assumptions!$E$1=0,0,IF('Monthly Cash Flow'!AV$13='Monthly Cash Flow'!$F108,Assumptions!$F$36,0))</f>
        <v>0</v>
      </c>
      <c r="AW108" s="531">
        <f>IF(Assumptions!$E$1=0,0,IF('Monthly Cash Flow'!AW$13='Monthly Cash Flow'!$F108,Assumptions!$F$36,0))</f>
        <v>0</v>
      </c>
      <c r="AX108" s="531">
        <f>IF(Assumptions!$E$1=0,0,IF('Monthly Cash Flow'!AX$13='Monthly Cash Flow'!$F108,Assumptions!$F$36,0))</f>
        <v>0</v>
      </c>
      <c r="AY108" s="531">
        <f>IF(Assumptions!$E$1=0,0,IF('Monthly Cash Flow'!AY$13='Monthly Cash Flow'!$F108,Assumptions!$F$36,0))</f>
        <v>0</v>
      </c>
      <c r="AZ108" s="531">
        <f>IF(Assumptions!$E$1=0,0,IF('Monthly Cash Flow'!AZ$13='Monthly Cash Flow'!$F108,Assumptions!$F$36,0))</f>
        <v>0</v>
      </c>
      <c r="BA108" s="531">
        <f>IF(Assumptions!$E$1=0,0,IF('Monthly Cash Flow'!BA$13='Monthly Cash Flow'!$F108,Assumptions!$F$36,0))</f>
        <v>0</v>
      </c>
      <c r="BB108" s="531">
        <f>IF(Assumptions!$E$1=0,0,IF('Monthly Cash Flow'!BB$13='Monthly Cash Flow'!$F108,Assumptions!$F$36,0))</f>
        <v>0</v>
      </c>
      <c r="BC108" s="531">
        <f>IF(Assumptions!$E$1=0,0,IF('Monthly Cash Flow'!BC$13='Monthly Cash Flow'!$F108,Assumptions!$F$36,0))</f>
        <v>0</v>
      </c>
      <c r="BD108" s="531">
        <f>IF(Assumptions!$E$1=0,0,IF('Monthly Cash Flow'!BD$13='Monthly Cash Flow'!$F108,Assumptions!$F$36,0))</f>
        <v>0</v>
      </c>
      <c r="BE108" s="531">
        <f>IF(Assumptions!$E$1=0,0,IF('Monthly Cash Flow'!BE$13='Monthly Cash Flow'!$F108,Assumptions!$F$36,0))</f>
        <v>0</v>
      </c>
      <c r="BF108" s="531">
        <f>IF(Assumptions!$E$1=0,0,IF('Monthly Cash Flow'!BF$13='Monthly Cash Flow'!$F108,Assumptions!$F$36,0))</f>
        <v>0</v>
      </c>
      <c r="BG108" s="531">
        <f>IF(Assumptions!$E$1=0,0,IF('Monthly Cash Flow'!BG$13='Monthly Cash Flow'!$F108,Assumptions!$F$36,0))</f>
        <v>0</v>
      </c>
      <c r="BH108" s="531">
        <f>IF(Assumptions!$E$1=0,0,IF('Monthly Cash Flow'!BH$13='Monthly Cash Flow'!$F108,Assumptions!$F$36,0))</f>
        <v>0</v>
      </c>
      <c r="BI108" s="531">
        <f>IF(Assumptions!$E$1=0,0,IF('Monthly Cash Flow'!BI$13='Monthly Cash Flow'!$F108,Assumptions!$F$36,0))</f>
        <v>0</v>
      </c>
      <c r="BJ108" s="531">
        <f>IF(Assumptions!$E$1=0,0,IF('Monthly Cash Flow'!BJ$13='Monthly Cash Flow'!$F108,Assumptions!$F$36,0))</f>
        <v>0</v>
      </c>
      <c r="BK108" s="531">
        <f>IF(Assumptions!$E$1=0,0,IF('Monthly Cash Flow'!BK$13='Monthly Cash Flow'!$F108,Assumptions!$F$36,0))</f>
        <v>0</v>
      </c>
      <c r="BL108" s="531">
        <f>IF(Assumptions!$E$1=0,0,IF('Monthly Cash Flow'!BL$13='Monthly Cash Flow'!$F108,Assumptions!$F$36,0))</f>
        <v>0</v>
      </c>
      <c r="BM108" s="531">
        <f>IF(Assumptions!$E$1=0,0,IF('Monthly Cash Flow'!BM$13='Monthly Cash Flow'!$F108,Assumptions!$F$36,0))</f>
        <v>0</v>
      </c>
      <c r="BN108" s="531">
        <f>IF(Assumptions!$E$1=0,0,IF('Monthly Cash Flow'!BN$13='Monthly Cash Flow'!$F108,Assumptions!$F$36,0))</f>
        <v>0</v>
      </c>
      <c r="BO108" s="531">
        <f>IF(Assumptions!$E$1=0,0,IF('Monthly Cash Flow'!BO$13='Monthly Cash Flow'!$F108,Assumptions!$F$36,0))</f>
        <v>0</v>
      </c>
      <c r="BP108" s="531">
        <f>IF(Assumptions!$E$1=0,0,IF('Monthly Cash Flow'!BP$13='Monthly Cash Flow'!$F108,Assumptions!$F$36,0))</f>
        <v>0</v>
      </c>
      <c r="BQ108" s="531">
        <f>IF(Assumptions!$E$1=0,0,IF('Monthly Cash Flow'!BQ$13='Monthly Cash Flow'!$F108,Assumptions!$F$36,0))</f>
        <v>0</v>
      </c>
      <c r="BR108" s="531">
        <f>IF(Assumptions!$E$1=0,0,IF('Monthly Cash Flow'!BR$13='Monthly Cash Flow'!$F108,Assumptions!$F$36,0))</f>
        <v>0</v>
      </c>
      <c r="BS108" s="531">
        <f>IF(Assumptions!$E$1=0,0,IF('Monthly Cash Flow'!BS$13='Monthly Cash Flow'!$F108,Assumptions!$F$36,0))</f>
        <v>108.97897</v>
      </c>
      <c r="BT108" s="531">
        <f>IF(Assumptions!$E$1=0,0,IF('Monthly Cash Flow'!BT$13='Monthly Cash Flow'!$F108,Assumptions!$F$36,0))</f>
        <v>0</v>
      </c>
      <c r="BU108" s="531">
        <f>IF(Assumptions!$E$1=0,0,IF('Monthly Cash Flow'!BU$13='Monthly Cash Flow'!$F108,Assumptions!$F$36,0))</f>
        <v>0</v>
      </c>
      <c r="BV108" s="531">
        <f>IF(Assumptions!$E$1=0,0,IF('Monthly Cash Flow'!BV$13='Monthly Cash Flow'!$F108,Assumptions!$F$36,0))</f>
        <v>0</v>
      </c>
      <c r="BW108" s="531">
        <f>IF(Assumptions!$E$1=0,0,IF('Monthly Cash Flow'!BW$13='Monthly Cash Flow'!$F108,Assumptions!$F$36,0))</f>
        <v>0</v>
      </c>
      <c r="BX108" s="531">
        <f>IF(Assumptions!$E$1=0,0,IF('Monthly Cash Flow'!BX$13='Monthly Cash Flow'!$F108,Assumptions!$F$36,0))</f>
        <v>0</v>
      </c>
      <c r="BY108" s="531">
        <f>IF(Assumptions!$E$1=0,0,IF('Monthly Cash Flow'!BY$13='Monthly Cash Flow'!$F108,Assumptions!$F$36,0))</f>
        <v>0</v>
      </c>
      <c r="BZ108" s="531">
        <f>IF(Assumptions!$E$1=0,0,IF('Monthly Cash Flow'!BZ$13='Monthly Cash Flow'!$F108,Assumptions!$F$36,0))</f>
        <v>0</v>
      </c>
      <c r="CA108" s="531">
        <f>IF(Assumptions!$E$1=0,0,IF('Monthly Cash Flow'!CA$13='Monthly Cash Flow'!$F108,Assumptions!$F$36,0))</f>
        <v>0</v>
      </c>
      <c r="CB108" s="531">
        <f>IF(Assumptions!$E$1=0,0,IF('Monthly Cash Flow'!CB$13='Monthly Cash Flow'!$F108,Assumptions!$F$36,0))</f>
        <v>0</v>
      </c>
      <c r="CC108" s="531">
        <f>IF(Assumptions!$E$1=0,0,IF('Monthly Cash Flow'!CC$13='Monthly Cash Flow'!$F108,Assumptions!$F$36,0))</f>
        <v>0</v>
      </c>
      <c r="CD108" s="531">
        <f>IF(Assumptions!$E$1=0,0,IF('Monthly Cash Flow'!CD$13='Monthly Cash Flow'!$F108,Assumptions!$F$36,0))</f>
        <v>0</v>
      </c>
      <c r="CE108" s="531">
        <f>IF(Assumptions!$E$1=0,0,IF('Monthly Cash Flow'!CE$13='Monthly Cash Flow'!$F108,Assumptions!$F$36,0))</f>
        <v>0</v>
      </c>
      <c r="CF108" s="531">
        <f>IF(Assumptions!$E$1=0,0,IF('Monthly Cash Flow'!CF$13='Monthly Cash Flow'!$F108,Assumptions!$F$36,0))</f>
        <v>0</v>
      </c>
      <c r="CG108" s="531">
        <f>IF(Assumptions!$E$1=0,0,IF('Monthly Cash Flow'!CG$13='Monthly Cash Flow'!$F108,Assumptions!$F$36,0))</f>
        <v>0</v>
      </c>
      <c r="CH108" s="531">
        <f>IF(Assumptions!$E$1=0,0,IF('Monthly Cash Flow'!CH$13='Monthly Cash Flow'!$F108,Assumptions!$F$36,0))</f>
        <v>0</v>
      </c>
      <c r="CI108" s="531">
        <f>IF(Assumptions!$E$1=0,0,IF('Monthly Cash Flow'!CI$13='Monthly Cash Flow'!$F108,Assumptions!$F$36,0))</f>
        <v>0</v>
      </c>
      <c r="CJ108" s="531">
        <f>IF(Assumptions!$E$1=0,0,IF('Monthly Cash Flow'!CJ$13='Monthly Cash Flow'!$F108,Assumptions!$F$36,0))</f>
        <v>0</v>
      </c>
      <c r="CK108" s="531">
        <f>IF(Assumptions!$E$1=0,0,IF('Monthly Cash Flow'!CK$13='Monthly Cash Flow'!$F108,Assumptions!$F$36,0))</f>
        <v>0</v>
      </c>
      <c r="CL108" s="531">
        <f>IF(Assumptions!$E$1=0,0,IF('Monthly Cash Flow'!CL$13='Monthly Cash Flow'!$F108,Assumptions!$F$36,0))</f>
        <v>0</v>
      </c>
      <c r="CM108" s="531">
        <f>IF(Assumptions!$E$1=0,0,IF('Monthly Cash Flow'!CM$13='Monthly Cash Flow'!$F108,Assumptions!$F$36,0))</f>
        <v>0</v>
      </c>
      <c r="CN108" s="531">
        <f>IF(Assumptions!$E$1=0,0,IF('Monthly Cash Flow'!CN$13='Monthly Cash Flow'!$F108,Assumptions!$F$36,0))</f>
        <v>0</v>
      </c>
      <c r="CO108" s="531">
        <f>IF(Assumptions!$E$1=0,0,IF('Monthly Cash Flow'!CO$13='Monthly Cash Flow'!$F108,Assumptions!$F$36,0))</f>
        <v>0</v>
      </c>
      <c r="CP108" s="531">
        <f>IF(Assumptions!$E$1=0,0,IF('Monthly Cash Flow'!CP$13='Monthly Cash Flow'!$F108,Assumptions!$F$36,0))</f>
        <v>0</v>
      </c>
      <c r="CQ108" s="531">
        <f>IF(Assumptions!$E$1=0,0,IF('Monthly Cash Flow'!CQ$13='Monthly Cash Flow'!$F108,Assumptions!$F$36,0))</f>
        <v>0</v>
      </c>
      <c r="CR108" s="531">
        <f>IF(Assumptions!$E$1=0,0,IF('Monthly Cash Flow'!CR$13='Monthly Cash Flow'!$F108,Assumptions!$F$36,0))</f>
        <v>0</v>
      </c>
      <c r="CS108" s="531">
        <f>IF(Assumptions!$E$1=0,0,IF('Monthly Cash Flow'!CS$13='Monthly Cash Flow'!$F108,Assumptions!$F$36,0))</f>
        <v>0</v>
      </c>
      <c r="CT108" s="531">
        <f>IF(Assumptions!$E$1=0,0,IF('Monthly Cash Flow'!CT$13='Monthly Cash Flow'!$F108,Assumptions!$F$36,0))</f>
        <v>0</v>
      </c>
      <c r="CU108" s="531">
        <f>IF(Assumptions!$E$1=0,0,IF('Monthly Cash Flow'!CU$13='Monthly Cash Flow'!$F108,Assumptions!$F$36,0))</f>
        <v>0</v>
      </c>
      <c r="CV108" s="531">
        <f>IF(Assumptions!$E$1=0,0,IF('Monthly Cash Flow'!CV$13='Monthly Cash Flow'!$F108,Assumptions!$F$36,0))</f>
        <v>0</v>
      </c>
      <c r="CW108" s="531">
        <f>IF(Assumptions!$E$1=0,0,IF('Monthly Cash Flow'!CW$13='Monthly Cash Flow'!$F108,Assumptions!$F$36,0))</f>
        <v>0</v>
      </c>
      <c r="CX108" s="531">
        <f>IF(Assumptions!$E$1=0,0,IF('Monthly Cash Flow'!CX$13='Monthly Cash Flow'!$F108,Assumptions!$F$36,0))</f>
        <v>0</v>
      </c>
      <c r="CY108" s="531">
        <f>IF(Assumptions!$E$1=0,0,IF('Monthly Cash Flow'!CY$13='Monthly Cash Flow'!$F108,Assumptions!$F$36,0))</f>
        <v>0</v>
      </c>
      <c r="CZ108" s="531">
        <f>IF(Assumptions!$E$1=0,0,IF('Monthly Cash Flow'!CZ$13='Monthly Cash Flow'!$F108,Assumptions!$F$36,0))</f>
        <v>0</v>
      </c>
      <c r="DA108" s="531">
        <f>IF(Assumptions!$E$1=0,0,IF('Monthly Cash Flow'!DA$13='Monthly Cash Flow'!$F108,Assumptions!$F$36,0))</f>
        <v>0</v>
      </c>
      <c r="DB108" s="531">
        <f>IF(Assumptions!$E$1=0,0,IF('Monthly Cash Flow'!DB$13='Monthly Cash Flow'!$F108,Assumptions!$F$36,0))</f>
        <v>0</v>
      </c>
      <c r="DC108" s="531">
        <f>IF(Assumptions!$E$1=0,0,IF('Monthly Cash Flow'!DC$13='Monthly Cash Flow'!$F108,Assumptions!$F$36,0))</f>
        <v>0</v>
      </c>
      <c r="DD108" s="531">
        <f>IF(Assumptions!$E$1=0,0,IF('Monthly Cash Flow'!DD$13='Monthly Cash Flow'!$F108,Assumptions!$F$36,0))</f>
        <v>0</v>
      </c>
      <c r="DE108" s="531">
        <f>IF(Assumptions!$E$1=0,0,IF('Monthly Cash Flow'!DE$13='Monthly Cash Flow'!$F108,Assumptions!$F$36,0))</f>
        <v>0</v>
      </c>
      <c r="DF108" s="531">
        <f>IF(Assumptions!$E$1=0,0,IF('Monthly Cash Flow'!DF$13='Monthly Cash Flow'!$F108,Assumptions!$F$36,0))</f>
        <v>0</v>
      </c>
      <c r="DG108" s="531">
        <f>IF(Assumptions!$E$1=0,0,IF('Monthly Cash Flow'!DG$13='Monthly Cash Flow'!$F108,Assumptions!$F$36,0))</f>
        <v>0</v>
      </c>
      <c r="DH108" s="531">
        <f>IF(Assumptions!$E$1=0,0,IF('Monthly Cash Flow'!DH$13='Monthly Cash Flow'!$F108,Assumptions!$F$36,0))</f>
        <v>0</v>
      </c>
      <c r="DI108" s="531">
        <f>IF(Assumptions!$E$1=0,0,IF('Monthly Cash Flow'!DI$13='Monthly Cash Flow'!$F108,Assumptions!$F$36,0))</f>
        <v>0</v>
      </c>
      <c r="DJ108" s="531">
        <f>IF(Assumptions!$E$1=0,0,IF('Monthly Cash Flow'!DJ$13='Monthly Cash Flow'!$F108,Assumptions!$F$36,0))</f>
        <v>0</v>
      </c>
      <c r="DK108" s="531">
        <f>IF(Assumptions!$E$1=0,0,IF('Monthly Cash Flow'!DK$13='Monthly Cash Flow'!$F108,Assumptions!$F$36,0))</f>
        <v>0</v>
      </c>
      <c r="DL108" s="531">
        <f>IF(Assumptions!$E$1=0,0,IF('Monthly Cash Flow'!DL$13='Monthly Cash Flow'!$F108,Assumptions!$F$36,0))</f>
        <v>0</v>
      </c>
      <c r="DM108" s="531">
        <f>IF(Assumptions!$E$1=0,0,IF('Monthly Cash Flow'!DM$13='Monthly Cash Flow'!$F108,Assumptions!$F$36,0))</f>
        <v>0</v>
      </c>
      <c r="DN108" s="531">
        <f>IF(Assumptions!$E$1=0,0,IF('Monthly Cash Flow'!DN$13='Monthly Cash Flow'!$F108,Assumptions!$F$36,0))</f>
        <v>0</v>
      </c>
      <c r="DO108" s="531">
        <f>IF(Assumptions!$E$1=0,0,IF('Monthly Cash Flow'!DO$13='Monthly Cash Flow'!$F108,Assumptions!$F$36,0))</f>
        <v>0</v>
      </c>
      <c r="DP108" s="531">
        <f>IF(Assumptions!$E$1=0,0,IF('Monthly Cash Flow'!DP$13='Monthly Cash Flow'!$F108,Assumptions!$F$36,0))</f>
        <v>0</v>
      </c>
      <c r="DQ108" s="531">
        <f>IF(Assumptions!$E$1=0,0,IF('Monthly Cash Flow'!DQ$13='Monthly Cash Flow'!$F108,Assumptions!$F$36,0))</f>
        <v>0</v>
      </c>
      <c r="DR108" s="531">
        <f>IF(Assumptions!$E$1=0,0,IF('Monthly Cash Flow'!DR$13='Monthly Cash Flow'!$F108,Assumptions!$F$36,0))</f>
        <v>0</v>
      </c>
      <c r="DS108" s="531">
        <f>IF(Assumptions!$E$1=0,0,IF('Monthly Cash Flow'!DS$13='Monthly Cash Flow'!$F108,Assumptions!$F$36,0))</f>
        <v>0</v>
      </c>
      <c r="DT108" s="531">
        <f>IF(Assumptions!$E$1=0,0,IF('Monthly Cash Flow'!DT$13='Monthly Cash Flow'!$F108,Assumptions!$F$36,0))</f>
        <v>0</v>
      </c>
      <c r="DU108" s="531">
        <f>IF(Assumptions!$E$1=0,0,IF('Monthly Cash Flow'!DU$13='Monthly Cash Flow'!$F108,Assumptions!$F$36,0))</f>
        <v>0</v>
      </c>
      <c r="DV108" s="531">
        <f>IF(Assumptions!$E$1=0,0,IF('Monthly Cash Flow'!DV$13='Monthly Cash Flow'!$F108,Assumptions!$F$36,0))</f>
        <v>0</v>
      </c>
      <c r="DW108" s="531">
        <f>IF(Assumptions!$E$1=0,0,IF('Monthly Cash Flow'!DW$13='Monthly Cash Flow'!$F108,Assumptions!$F$36,0))</f>
        <v>0</v>
      </c>
      <c r="DX108" s="531">
        <f>IF(Assumptions!$E$1=0,0,IF('Monthly Cash Flow'!DX$13='Monthly Cash Flow'!$F108,Assumptions!$F$36,0))</f>
        <v>0</v>
      </c>
      <c r="DY108" s="531">
        <f>IF(Assumptions!$E$1=0,0,IF('Monthly Cash Flow'!DY$13='Monthly Cash Flow'!$F108,Assumptions!$F$36,0))</f>
        <v>0</v>
      </c>
      <c r="DZ108" s="531">
        <f>IF(Assumptions!$E$1=0,0,IF('Monthly Cash Flow'!DZ$13='Monthly Cash Flow'!$F108,Assumptions!$F$36,0))</f>
        <v>0</v>
      </c>
      <c r="EA108" s="531">
        <f>IF(Assumptions!$E$1=0,0,IF('Monthly Cash Flow'!EA$13='Monthly Cash Flow'!$F108,Assumptions!$F$36,0))</f>
        <v>0</v>
      </c>
      <c r="EB108" s="531">
        <f>IF(Assumptions!$E$1=0,0,IF('Monthly Cash Flow'!EB$13='Monthly Cash Flow'!$F108,Assumptions!$F$36,0))</f>
        <v>0</v>
      </c>
      <c r="EC108" s="531">
        <f>IF(Assumptions!$E$1=0,0,IF('Monthly Cash Flow'!EC$13='Monthly Cash Flow'!$F108,Assumptions!$F$36,0))</f>
        <v>0</v>
      </c>
      <c r="ED108" s="531">
        <f>IF(Assumptions!$E$1=0,0,IF('Monthly Cash Flow'!ED$13='Monthly Cash Flow'!$F108,Assumptions!$F$36,0))</f>
        <v>0</v>
      </c>
      <c r="EE108" s="531">
        <f>IF(Assumptions!$E$1=0,0,IF('Monthly Cash Flow'!EE$13='Monthly Cash Flow'!$F108,Assumptions!$F$36,0))</f>
        <v>0</v>
      </c>
      <c r="EF108" s="531">
        <f>IF(Assumptions!$E$1=0,0,IF('Monthly Cash Flow'!EF$13='Monthly Cash Flow'!$F108,Assumptions!$F$36,0))</f>
        <v>0</v>
      </c>
      <c r="EG108" s="531">
        <f>IF(Assumptions!$E$1=0,0,IF('Monthly Cash Flow'!EG$13='Monthly Cash Flow'!$F108,Assumptions!$F$36,0))</f>
        <v>0</v>
      </c>
      <c r="EH108" s="531">
        <f>IF(Assumptions!$E$1=0,0,IF('Monthly Cash Flow'!EH$13='Monthly Cash Flow'!$F108,Assumptions!$F$36,0))</f>
        <v>0</v>
      </c>
      <c r="EI108" s="531">
        <f>IF(Assumptions!$E$1=0,0,IF('Monthly Cash Flow'!EI$13='Monthly Cash Flow'!$F108,Assumptions!$F$36,0))</f>
        <v>0</v>
      </c>
      <c r="EJ108" s="531">
        <f>IF(Assumptions!$E$1=0,0,IF('Monthly Cash Flow'!EJ$13='Monthly Cash Flow'!$F108,Assumptions!$F$36,0))</f>
        <v>0</v>
      </c>
      <c r="EK108" s="531">
        <f>IF(Assumptions!$E$1=0,0,IF('Monthly Cash Flow'!EK$13='Monthly Cash Flow'!$F108,Assumptions!$F$36,0))</f>
        <v>0</v>
      </c>
      <c r="EL108" s="531">
        <f>IF(Assumptions!$E$1=0,0,IF('Monthly Cash Flow'!EL$13='Monthly Cash Flow'!$F108,Assumptions!$F$36,0))</f>
        <v>0</v>
      </c>
      <c r="EM108" s="531">
        <f>IF(Assumptions!$E$1=0,0,IF('Monthly Cash Flow'!EM$13='Monthly Cash Flow'!$F108,Assumptions!$F$36,0))</f>
        <v>0</v>
      </c>
      <c r="EN108" s="531">
        <f>IF(Assumptions!$E$1=0,0,IF('Monthly Cash Flow'!EN$13='Monthly Cash Flow'!$F108,Assumptions!$F$36,0))</f>
        <v>0</v>
      </c>
      <c r="EO108" s="531">
        <f>IF(Assumptions!$E$1=0,0,IF('Monthly Cash Flow'!EO$13='Monthly Cash Flow'!$F108,Assumptions!$F$36,0))</f>
        <v>0</v>
      </c>
      <c r="EP108" s="531">
        <f>IF(Assumptions!$E$1=0,0,IF('Monthly Cash Flow'!EP$13='Monthly Cash Flow'!$F108,Assumptions!$F$36,0))</f>
        <v>0</v>
      </c>
      <c r="EQ108" s="531">
        <f>IF(Assumptions!$E$1=0,0,IF('Monthly Cash Flow'!EQ$13='Monthly Cash Flow'!$F108,Assumptions!$F$36,0))</f>
        <v>0</v>
      </c>
      <c r="ER108" s="531">
        <f>IF(Assumptions!$E$1=0,0,IF('Monthly Cash Flow'!ER$13='Monthly Cash Flow'!$F108,Assumptions!$F$36,0))</f>
        <v>0</v>
      </c>
      <c r="ES108" s="531">
        <f>IF(Assumptions!$E$1=0,0,IF('Monthly Cash Flow'!ES$13='Monthly Cash Flow'!$F108,Assumptions!$F$36,0))</f>
        <v>0</v>
      </c>
      <c r="ET108" s="531">
        <f>IF(Assumptions!$E$1=0,0,IF('Monthly Cash Flow'!ET$13='Monthly Cash Flow'!$F108,Assumptions!$F$36,0))</f>
        <v>0</v>
      </c>
      <c r="EU108" s="531">
        <f>IF(Assumptions!$E$1=0,0,IF('Monthly Cash Flow'!EU$13='Monthly Cash Flow'!$F108,Assumptions!$F$36,0))</f>
        <v>0</v>
      </c>
      <c r="EV108" s="531">
        <f>IF(Assumptions!$E$1=0,0,IF('Monthly Cash Flow'!EV$13='Monthly Cash Flow'!$F108,Assumptions!$F$36,0))</f>
        <v>0</v>
      </c>
      <c r="EW108" s="531">
        <f>IF(Assumptions!$E$1=0,0,IF('Monthly Cash Flow'!EW$13='Monthly Cash Flow'!$F108,Assumptions!$F$36,0))</f>
        <v>0</v>
      </c>
      <c r="EX108" s="531">
        <f>IF(Assumptions!$E$1=0,0,IF('Monthly Cash Flow'!EX$13='Monthly Cash Flow'!$F108,Assumptions!$F$36,0))</f>
        <v>0</v>
      </c>
      <c r="EY108" s="531">
        <f>IF(Assumptions!$E$1=0,0,IF('Monthly Cash Flow'!EY$13='Monthly Cash Flow'!$F108,Assumptions!$F$36,0))</f>
        <v>0</v>
      </c>
      <c r="EZ108" s="531">
        <f>IF(Assumptions!$E$1=0,0,IF('Monthly Cash Flow'!EZ$13='Monthly Cash Flow'!$F108,Assumptions!$F$36,0))</f>
        <v>0</v>
      </c>
      <c r="FA108" s="531">
        <f>IF(Assumptions!$E$1=0,0,IF('Monthly Cash Flow'!FA$13='Monthly Cash Flow'!$F108,Assumptions!$F$36,0))</f>
        <v>0</v>
      </c>
      <c r="FB108" s="531">
        <f>IF(Assumptions!$E$1=0,0,IF('Monthly Cash Flow'!FB$13='Monthly Cash Flow'!$F108,Assumptions!$F$36,0))</f>
        <v>0</v>
      </c>
      <c r="FC108" s="531">
        <f>IF(Assumptions!$E$1=0,0,IF('Monthly Cash Flow'!FC$13='Monthly Cash Flow'!$F108,Assumptions!$F$36,0))</f>
        <v>0</v>
      </c>
      <c r="FD108" s="531">
        <f>IF(Assumptions!$E$1=0,0,IF('Monthly Cash Flow'!FD$13='Monthly Cash Flow'!$F108,Assumptions!$F$36,0))</f>
        <v>0</v>
      </c>
      <c r="FE108" s="531">
        <f>IF(Assumptions!$E$1=0,0,IF('Monthly Cash Flow'!FE$13='Monthly Cash Flow'!$F108,Assumptions!$F$36,0))</f>
        <v>0</v>
      </c>
      <c r="FF108" s="531">
        <f>IF(Assumptions!$E$1=0,0,IF('Monthly Cash Flow'!FF$13='Monthly Cash Flow'!$F108,Assumptions!$F$36,0))</f>
        <v>0</v>
      </c>
      <c r="FG108" s="531">
        <f>IF(Assumptions!$E$1=0,0,IF('Monthly Cash Flow'!FG$13='Monthly Cash Flow'!$F108,Assumptions!$F$36,0))</f>
        <v>0</v>
      </c>
      <c r="FH108" s="531">
        <f>IF(Assumptions!$E$1=0,0,IF('Monthly Cash Flow'!FH$13='Monthly Cash Flow'!$F108,Assumptions!$F$36,0))</f>
        <v>0</v>
      </c>
      <c r="FI108" s="531">
        <f>IF(Assumptions!$E$1=0,0,IF('Monthly Cash Flow'!FI$13='Monthly Cash Flow'!$F108,Assumptions!$F$36,0))</f>
        <v>0</v>
      </c>
      <c r="FJ108" s="531">
        <f>IF(Assumptions!$E$1=0,0,IF('Monthly Cash Flow'!FJ$13='Monthly Cash Flow'!$F108,Assumptions!$F$36,0))</f>
        <v>0</v>
      </c>
      <c r="FK108" s="531">
        <f>IF(Assumptions!$E$1=0,0,IF('Monthly Cash Flow'!FK$13='Monthly Cash Flow'!$F108,Assumptions!$F$36,0))</f>
        <v>0</v>
      </c>
      <c r="FL108" s="531">
        <f>IF(Assumptions!$E$1=0,0,IF('Monthly Cash Flow'!FL$13='Monthly Cash Flow'!$F108,Assumptions!$F$36,0))</f>
        <v>0</v>
      </c>
      <c r="FM108" s="531">
        <f>IF(Assumptions!$E$1=0,0,IF('Monthly Cash Flow'!FM$13='Monthly Cash Flow'!$F108,Assumptions!$F$36,0))</f>
        <v>0</v>
      </c>
      <c r="FN108" s="531">
        <f>IF(Assumptions!$E$1=0,0,IF('Monthly Cash Flow'!FN$13='Monthly Cash Flow'!$F108,Assumptions!$F$36,0))</f>
        <v>0</v>
      </c>
      <c r="FO108" s="531">
        <f>IF(Assumptions!$E$1=0,0,IF('Monthly Cash Flow'!FO$13='Monthly Cash Flow'!$F108,Assumptions!$F$36,0))</f>
        <v>0</v>
      </c>
      <c r="FP108" s="531">
        <f>IF(Assumptions!$E$1=0,0,IF('Monthly Cash Flow'!FP$13='Monthly Cash Flow'!$F108,Assumptions!$F$36,0))</f>
        <v>0</v>
      </c>
      <c r="FQ108" s="531">
        <f>IF(Assumptions!$E$1=0,0,IF('Monthly Cash Flow'!FQ$13='Monthly Cash Flow'!$F108,Assumptions!$F$36,0))</f>
        <v>0</v>
      </c>
      <c r="FR108" s="531">
        <f>IF(Assumptions!$E$1=0,0,IF('Monthly Cash Flow'!FR$13='Monthly Cash Flow'!$F108,Assumptions!$F$36,0))</f>
        <v>0</v>
      </c>
      <c r="FS108" s="531">
        <f>IF(Assumptions!$E$1=0,0,IF('Monthly Cash Flow'!FS$13='Monthly Cash Flow'!$F108,Assumptions!$F$36,0))</f>
        <v>0</v>
      </c>
      <c r="FT108" s="531">
        <f>IF(Assumptions!$E$1=0,0,IF('Monthly Cash Flow'!FT$13='Monthly Cash Flow'!$F108,Assumptions!$F$36,0))</f>
        <v>0</v>
      </c>
      <c r="FU108" s="531">
        <f>IF(Assumptions!$E$1=0,0,IF('Monthly Cash Flow'!FU$13='Monthly Cash Flow'!$F108,Assumptions!$F$36,0))</f>
        <v>0</v>
      </c>
      <c r="FV108" s="531">
        <f>IF(Assumptions!$E$1=0,0,IF('Monthly Cash Flow'!FV$13='Monthly Cash Flow'!$F108,Assumptions!$F$36,0))</f>
        <v>0</v>
      </c>
      <c r="FW108" s="531">
        <f>IF(Assumptions!$E$1=0,0,IF('Monthly Cash Flow'!FW$13='Monthly Cash Flow'!$F108,Assumptions!$F$36,0))</f>
        <v>0</v>
      </c>
      <c r="FX108" s="531">
        <f>IF(Assumptions!$E$1=0,0,IF('Monthly Cash Flow'!FX$13='Monthly Cash Flow'!$F108,Assumptions!$F$36,0))</f>
        <v>0</v>
      </c>
      <c r="FY108" s="531">
        <f>IF(Assumptions!$E$1=0,0,IF('Monthly Cash Flow'!FY$13='Monthly Cash Flow'!$F108,Assumptions!$F$36,0))</f>
        <v>0</v>
      </c>
      <c r="FZ108" s="531">
        <f>IF(Assumptions!$E$1=0,0,IF('Monthly Cash Flow'!FZ$13='Monthly Cash Flow'!$F108,Assumptions!$F$36,0))</f>
        <v>0</v>
      </c>
      <c r="GA108" s="531">
        <f>IF(Assumptions!$E$1=0,0,IF('Monthly Cash Flow'!GA$13='Monthly Cash Flow'!$F108,Assumptions!$F$36,0))</f>
        <v>0</v>
      </c>
      <c r="GB108" s="531">
        <f>IF(Assumptions!$E$1=0,0,IF('Monthly Cash Flow'!GB$13='Monthly Cash Flow'!$F108,Assumptions!$F$36,0))</f>
        <v>0</v>
      </c>
      <c r="GC108" s="531">
        <f>IF(Assumptions!$E$1=0,0,IF('Monthly Cash Flow'!GC$13='Monthly Cash Flow'!$F108,Assumptions!$F$36,0))</f>
        <v>0</v>
      </c>
      <c r="GD108" s="531"/>
      <c r="GE108" s="531"/>
      <c r="GF108" s="531"/>
      <c r="GG108" s="531"/>
      <c r="GH108" s="531"/>
      <c r="GI108" s="531"/>
      <c r="GJ108" s="531"/>
      <c r="GK108" s="531"/>
      <c r="GL108" s="531"/>
      <c r="GM108" s="531"/>
      <c r="GN108" s="531"/>
      <c r="GO108" s="531"/>
      <c r="GP108" s="531">
        <f>IF(Assumptions!$E$1=0,0,IF('Monthly Cash Flow'!GP$13='Monthly Cash Flow'!$F108,Assumptions!$F$36,0))</f>
        <v>0</v>
      </c>
      <c r="GQ108" s="531">
        <f>IF(Assumptions!$E$1=0,0,IF('Monthly Cash Flow'!GQ$13='Monthly Cash Flow'!$F108,Assumptions!$F$36,0))</f>
        <v>0</v>
      </c>
      <c r="GR108" s="531">
        <f>IF(Assumptions!$E$1=0,0,IF('Monthly Cash Flow'!GR$13='Monthly Cash Flow'!$F108,Assumptions!$F$36,0))</f>
        <v>0</v>
      </c>
      <c r="GS108" s="531">
        <f>IF(Assumptions!$E$1=0,0,IF('Monthly Cash Flow'!GS$13='Monthly Cash Flow'!$F108,Assumptions!$F$36,0))</f>
        <v>0</v>
      </c>
      <c r="GT108" s="531">
        <f>IF(Assumptions!$E$1=0,0,IF('Monthly Cash Flow'!GT$13='Monthly Cash Flow'!$F108,Assumptions!$F$36,0))</f>
        <v>0</v>
      </c>
      <c r="GU108" s="531"/>
      <c r="GV108" s="531"/>
      <c r="GW108" s="531"/>
      <c r="GX108" s="531"/>
      <c r="GY108" s="531"/>
      <c r="GZ108" s="531"/>
      <c r="HA108" s="531"/>
      <c r="HB108" s="531"/>
      <c r="HC108" s="531"/>
      <c r="HD108" s="531"/>
      <c r="HE108" s="531"/>
      <c r="HF108" s="1" t="s">
        <v>212</v>
      </c>
      <c r="HH108" s="9" t="str">
        <f t="shared" si="766"/>
        <v>Exit Fee</v>
      </c>
      <c r="HI108" s="26"/>
      <c r="HJ108" s="26"/>
      <c r="HK108" s="26"/>
      <c r="HL108" s="132">
        <f t="shared" ref="HL108" si="775">SUM(HN108:HV108)</f>
        <v>108.97897</v>
      </c>
      <c r="HM108" s="26"/>
      <c r="HN108" s="133">
        <f t="shared" si="774"/>
        <v>0</v>
      </c>
      <c r="HO108" s="26">
        <f t="shared" si="774"/>
        <v>0</v>
      </c>
      <c r="HP108" s="26">
        <f t="shared" si="774"/>
        <v>0</v>
      </c>
      <c r="HQ108" s="26">
        <f t="shared" si="774"/>
        <v>0</v>
      </c>
      <c r="HR108" s="26">
        <f t="shared" si="774"/>
        <v>0</v>
      </c>
      <c r="HS108" s="26">
        <f t="shared" si="774"/>
        <v>108.97897</v>
      </c>
      <c r="HT108" s="26">
        <f t="shared" si="774"/>
        <v>0</v>
      </c>
      <c r="HU108" s="26">
        <f t="shared" si="774"/>
        <v>0</v>
      </c>
      <c r="HV108" s="26">
        <f t="shared" si="774"/>
        <v>0</v>
      </c>
      <c r="HW108"/>
    </row>
    <row r="109" spans="2:231" ht="15" outlineLevel="1">
      <c r="B109" s="9" t="s">
        <v>52</v>
      </c>
      <c r="C109" s="9"/>
      <c r="D109" s="9"/>
      <c r="E109" s="9"/>
      <c r="F109" s="9"/>
      <c r="G109" s="9"/>
      <c r="H109" s="9"/>
      <c r="I109" s="132">
        <f>SUMIF($K$13:$GT$13,"&lt;="&amp;Assumptions!$L$17,'Monthly Cash Flow'!K109:GT109)</f>
        <v>364.88266999999996</v>
      </c>
      <c r="J109" s="26"/>
      <c r="K109" s="133">
        <f>IF(Assumptions!$E$1=0,0,IF(K$13=$F106,Assumptions!$F$37,0))</f>
        <v>0</v>
      </c>
      <c r="L109" s="531">
        <f>IF(Assumptions!$E$1=0,0,IF('Monthly Cash Flow'!L$13='Monthly Cash Flow'!$F106,Assumptions!$F$37,0))</f>
        <v>0</v>
      </c>
      <c r="M109" s="531">
        <f>IF(Assumptions!$E$1=0,0,IF('Monthly Cash Flow'!M$13='Monthly Cash Flow'!$F106,Assumptions!$F$37,0))</f>
        <v>0</v>
      </c>
      <c r="N109" s="531">
        <f>IF(Assumptions!$E$1=0,0,IF('Monthly Cash Flow'!N$13='Monthly Cash Flow'!$F106,Assumptions!$F$37,0))</f>
        <v>0</v>
      </c>
      <c r="O109" s="531">
        <f>IF(Assumptions!$E$1=0,0,IF('Monthly Cash Flow'!O$13='Monthly Cash Flow'!$F106,Assumptions!$F$37,0))</f>
        <v>0</v>
      </c>
      <c r="P109" s="531">
        <f>IF(Assumptions!$E$1=0,0,IF('Monthly Cash Flow'!P$13='Monthly Cash Flow'!$F106,Assumptions!$F$37,0))</f>
        <v>0</v>
      </c>
      <c r="Q109" s="531">
        <f>IF(Assumptions!$E$1=0,0,IF('Monthly Cash Flow'!Q$13='Monthly Cash Flow'!$F106,Assumptions!$F$37,0))</f>
        <v>0</v>
      </c>
      <c r="R109" s="531">
        <f>IF(Assumptions!$E$1=0,0,IF('Monthly Cash Flow'!R$13='Monthly Cash Flow'!$F106,Assumptions!$F$37,0))</f>
        <v>0</v>
      </c>
      <c r="S109" s="531">
        <f>IF(Assumptions!$E$1=0,0,IF('Monthly Cash Flow'!S$13='Monthly Cash Flow'!$F106,Assumptions!$F$37,0))</f>
        <v>0</v>
      </c>
      <c r="T109" s="531">
        <f>IF(Assumptions!$E$1=0,0,IF('Monthly Cash Flow'!T$13='Monthly Cash Flow'!$F106,Assumptions!$F$37,0))</f>
        <v>0</v>
      </c>
      <c r="U109" s="531">
        <f>IF(Assumptions!$E$1=0,0,IF('Monthly Cash Flow'!U$13='Monthly Cash Flow'!$F106,Assumptions!$F$37,0))</f>
        <v>0</v>
      </c>
      <c r="V109" s="531">
        <f>IF(Assumptions!$E$1=0,0,IF('Monthly Cash Flow'!V$13='Monthly Cash Flow'!$F106,Assumptions!$F$37,0))</f>
        <v>0</v>
      </c>
      <c r="W109" s="531">
        <f>IF(Assumptions!$E$1=0,0,IF('Monthly Cash Flow'!W$13='Monthly Cash Flow'!$F106,Assumptions!$F$37,0))</f>
        <v>0</v>
      </c>
      <c r="X109" s="531">
        <f>IF(Assumptions!$E$1=0,0,IF('Monthly Cash Flow'!X$13='Monthly Cash Flow'!$F106,Assumptions!$F$37,0))</f>
        <v>0</v>
      </c>
      <c r="Y109" s="531">
        <f>IF(Assumptions!$E$1=0,0,IF('Monthly Cash Flow'!Y$13='Monthly Cash Flow'!$F106,Assumptions!$F$37,0))</f>
        <v>0</v>
      </c>
      <c r="Z109" s="531">
        <f>IF(Assumptions!$E$1=0,0,IF('Monthly Cash Flow'!Z$13='Monthly Cash Flow'!$F106,Assumptions!$F$37,0))</f>
        <v>0</v>
      </c>
      <c r="AA109" s="531">
        <f>IF(Assumptions!$E$1=0,0,IF('Monthly Cash Flow'!AA$13='Monthly Cash Flow'!$F106,Assumptions!$F$37,0))</f>
        <v>0</v>
      </c>
      <c r="AB109" s="531">
        <f>IF(Assumptions!$E$1=0,0,IF('Monthly Cash Flow'!AB$13='Monthly Cash Flow'!$F106,Assumptions!$F$37,0))</f>
        <v>0</v>
      </c>
      <c r="AC109" s="531">
        <f>IF(Assumptions!$E$1=0,0,IF('Monthly Cash Flow'!AC$13='Monthly Cash Flow'!$F106,Assumptions!$F$37,0))</f>
        <v>0</v>
      </c>
      <c r="AD109" s="531">
        <f>IF(Assumptions!$E$1=0,0,IF('Monthly Cash Flow'!AD$13='Monthly Cash Flow'!$F106,Assumptions!$F$37,0))</f>
        <v>0</v>
      </c>
      <c r="AE109" s="531">
        <f>IF(Assumptions!$E$1=0,0,IF('Monthly Cash Flow'!AE$13='Monthly Cash Flow'!$F106,Assumptions!$F$37,0))</f>
        <v>0</v>
      </c>
      <c r="AF109" s="531">
        <f>IF(Assumptions!$E$1=0,0,IF('Monthly Cash Flow'!AF$13='Monthly Cash Flow'!$F106,Assumptions!$F$37,0))</f>
        <v>0</v>
      </c>
      <c r="AG109" s="531">
        <f>IF(Assumptions!$E$1=0,0,IF('Monthly Cash Flow'!AG$13='Monthly Cash Flow'!$F106,Assumptions!$F$37,0))</f>
        <v>0</v>
      </c>
      <c r="AH109" s="531">
        <f>IF(Assumptions!$E$1=0,0,IF('Monthly Cash Flow'!AH$13='Monthly Cash Flow'!$F106,Assumptions!$F$37,0))</f>
        <v>0</v>
      </c>
      <c r="AI109" s="531">
        <f>IF(Assumptions!$E$1=0,0,IF('Monthly Cash Flow'!AI$13='Monthly Cash Flow'!$F106,Assumptions!$F$37,0))</f>
        <v>0</v>
      </c>
      <c r="AJ109" s="531">
        <f>IF(Assumptions!$E$1=0,0,IF('Monthly Cash Flow'!AJ$13='Monthly Cash Flow'!$F106,Assumptions!$F$37,0))</f>
        <v>0</v>
      </c>
      <c r="AK109" s="531">
        <f>IF(Assumptions!$E$1=0,0,IF('Monthly Cash Flow'!AK$13='Monthly Cash Flow'!$F106,Assumptions!$F$37,0))</f>
        <v>0</v>
      </c>
      <c r="AL109" s="531">
        <f>IF(Assumptions!$E$1=0,0,IF('Monthly Cash Flow'!AL$13='Monthly Cash Flow'!$F106,Assumptions!$F$37,0))</f>
        <v>0</v>
      </c>
      <c r="AM109" s="531">
        <f>IF(Assumptions!$E$1=0,0,IF('Monthly Cash Flow'!AM$13='Monthly Cash Flow'!$F106,Assumptions!$F$37,0))</f>
        <v>0</v>
      </c>
      <c r="AN109" s="531">
        <f>IF(Assumptions!$E$1=0,0,IF('Monthly Cash Flow'!AN$13='Monthly Cash Flow'!$F106,Assumptions!$F$37,0))</f>
        <v>0</v>
      </c>
      <c r="AO109" s="531">
        <f>IF(Assumptions!$E$1=0,0,IF('Monthly Cash Flow'!AO$13='Monthly Cash Flow'!$F106,Assumptions!$F$37,0))</f>
        <v>0</v>
      </c>
      <c r="AP109" s="531">
        <f>IF(Assumptions!$E$1=0,0,IF('Monthly Cash Flow'!AP$13='Monthly Cash Flow'!$F106,Assumptions!$F$37,0))</f>
        <v>0</v>
      </c>
      <c r="AQ109" s="531">
        <f>IF(Assumptions!$E$1=0,0,IF('Monthly Cash Flow'!AQ$13='Monthly Cash Flow'!$F106,Assumptions!$F$37,0))</f>
        <v>0</v>
      </c>
      <c r="AR109" s="531">
        <f>IF(Assumptions!$E$1=0,0,IF('Monthly Cash Flow'!AR$13='Monthly Cash Flow'!$F106,Assumptions!$F$37,0))</f>
        <v>0</v>
      </c>
      <c r="AS109" s="531">
        <f>IF(Assumptions!$E$1=0,0,IF('Monthly Cash Flow'!AS$13='Monthly Cash Flow'!$F106,Assumptions!$F$37,0))</f>
        <v>0</v>
      </c>
      <c r="AT109" s="531">
        <f>IF(Assumptions!$E$1=0,0,IF('Monthly Cash Flow'!AT$13='Monthly Cash Flow'!$F106,Assumptions!$F$37,0))</f>
        <v>0</v>
      </c>
      <c r="AU109" s="531">
        <f>IF(Assumptions!$E$1=0,0,IF('Monthly Cash Flow'!AU$13='Monthly Cash Flow'!$F106,Assumptions!$F$37,0))</f>
        <v>0</v>
      </c>
      <c r="AV109" s="531">
        <f>IF(Assumptions!$E$1=0,0,IF('Monthly Cash Flow'!AV$13='Monthly Cash Flow'!$F106,Assumptions!$F$37,0))</f>
        <v>0</v>
      </c>
      <c r="AW109" s="531">
        <f>IF(Assumptions!$E$1=0,0,IF('Monthly Cash Flow'!AW$13='Monthly Cash Flow'!$F106,Assumptions!$F$37,0))</f>
        <v>0</v>
      </c>
      <c r="AX109" s="531">
        <f>IF(Assumptions!$E$1=0,0,IF('Monthly Cash Flow'!AX$13='Monthly Cash Flow'!$F106,Assumptions!$F$37,0))</f>
        <v>0</v>
      </c>
      <c r="AY109" s="531">
        <f>IF(Assumptions!$E$1=0,0,IF('Monthly Cash Flow'!AY$13='Monthly Cash Flow'!$F106,Assumptions!$F$37,0))</f>
        <v>0</v>
      </c>
      <c r="AZ109" s="531">
        <f>IF(Assumptions!$E$1=0,0,IF('Monthly Cash Flow'!AZ$13='Monthly Cash Flow'!$F106,Assumptions!$F$37,0))</f>
        <v>0</v>
      </c>
      <c r="BA109" s="531">
        <f>IF(Assumptions!$E$1=0,0,IF('Monthly Cash Flow'!BA$13='Monthly Cash Flow'!$F106,Assumptions!$F$37,0))</f>
        <v>0</v>
      </c>
      <c r="BB109" s="531">
        <f>IF(Assumptions!$E$1=0,0,IF('Monthly Cash Flow'!BB$13='Monthly Cash Flow'!$F106,Assumptions!$F$37,0))</f>
        <v>0</v>
      </c>
      <c r="BC109" s="531">
        <f>IF(Assumptions!$E$1=0,0,IF('Monthly Cash Flow'!BC$13='Monthly Cash Flow'!$F106,Assumptions!$F$37,0))</f>
        <v>0</v>
      </c>
      <c r="BD109" s="531">
        <f>IF(Assumptions!$E$1=0,0,IF('Monthly Cash Flow'!BD$13='Monthly Cash Flow'!$F106,Assumptions!$F$37,0))</f>
        <v>0</v>
      </c>
      <c r="BE109" s="531">
        <f>IF(Assumptions!$E$1=0,0,IF('Monthly Cash Flow'!BE$13='Monthly Cash Flow'!$F106,Assumptions!$F$37,0))</f>
        <v>0</v>
      </c>
      <c r="BF109" s="531">
        <f>IF(Assumptions!$E$1=0,0,IF('Monthly Cash Flow'!BF$13='Monthly Cash Flow'!$F106,Assumptions!$F$37,0))</f>
        <v>0</v>
      </c>
      <c r="BG109" s="531">
        <f>IF(Assumptions!$E$1=0,0,IF('Monthly Cash Flow'!BG$13='Monthly Cash Flow'!$F106,Assumptions!$F$37,0))</f>
        <v>0</v>
      </c>
      <c r="BH109" s="531">
        <f>IF(Assumptions!$E$1=0,0,IF('Monthly Cash Flow'!BH$13='Monthly Cash Flow'!$F106,Assumptions!$F$37,0))</f>
        <v>0</v>
      </c>
      <c r="BI109" s="531">
        <f>IF(Assumptions!$E$1=0,0,IF('Monthly Cash Flow'!BI$13='Monthly Cash Flow'!$F106,Assumptions!$F$37,0))</f>
        <v>0</v>
      </c>
      <c r="BJ109" s="531">
        <f>IF(Assumptions!$E$1=0,0,IF('Monthly Cash Flow'!BJ$13='Monthly Cash Flow'!$F106,Assumptions!$F$37,0))</f>
        <v>0</v>
      </c>
      <c r="BK109" s="531">
        <f>IF(Assumptions!$E$1=0,0,IF('Monthly Cash Flow'!BK$13='Monthly Cash Flow'!$F106,Assumptions!$F$37,0))</f>
        <v>0</v>
      </c>
      <c r="BL109" s="531">
        <f>IF(Assumptions!$E$1=0,0,IF('Monthly Cash Flow'!BL$13='Monthly Cash Flow'!$F106,Assumptions!$F$37,0))</f>
        <v>0</v>
      </c>
      <c r="BM109" s="531">
        <f>IF(Assumptions!$E$1=0,0,IF('Monthly Cash Flow'!BM$13='Monthly Cash Flow'!$F106,Assumptions!$F$37,0))</f>
        <v>0</v>
      </c>
      <c r="BN109" s="531">
        <f>IF(Assumptions!$E$1=0,0,IF('Monthly Cash Flow'!BN$13='Monthly Cash Flow'!$F106,Assumptions!$F$37,0))</f>
        <v>0</v>
      </c>
      <c r="BO109" s="531">
        <f>IF(Assumptions!$E$1=0,0,IF('Monthly Cash Flow'!BO$13='Monthly Cash Flow'!$F106,Assumptions!$F$37,0))</f>
        <v>0</v>
      </c>
      <c r="BP109" s="531">
        <f>IF(Assumptions!$E$1=0,0,IF('Monthly Cash Flow'!BP$13='Monthly Cash Flow'!$F106,Assumptions!$F$37,0))</f>
        <v>0</v>
      </c>
      <c r="BQ109" s="531">
        <f>IF(Assumptions!$E$1=0,0,IF('Monthly Cash Flow'!BQ$13='Monthly Cash Flow'!$F106,Assumptions!$F$37,0))</f>
        <v>0</v>
      </c>
      <c r="BR109" s="531">
        <f>IF(Assumptions!$E$1=0,0,IF('Monthly Cash Flow'!BR$13='Monthly Cash Flow'!$F106,Assumptions!$F$37,0))</f>
        <v>0</v>
      </c>
      <c r="BS109" s="1595">
        <f>Assumptions!F70</f>
        <v>364.88266999999996</v>
      </c>
      <c r="BT109" s="531">
        <f>IF(Assumptions!$E$1=0,0,IF('Monthly Cash Flow'!BT$13='Monthly Cash Flow'!$F106,Assumptions!$F$37,0))</f>
        <v>0</v>
      </c>
      <c r="BU109" s="531">
        <f>IF(Assumptions!$E$1=0,0,IF('Monthly Cash Flow'!BU$13='Monthly Cash Flow'!$F106,Assumptions!$F$37,0))</f>
        <v>0</v>
      </c>
      <c r="BV109" s="531">
        <f>IF(Assumptions!$E$1=0,0,IF('Monthly Cash Flow'!BV$13='Monthly Cash Flow'!$F106,Assumptions!$F$37,0))</f>
        <v>0</v>
      </c>
      <c r="BW109" s="531">
        <f>IF(Assumptions!$E$1=0,0,IF('Monthly Cash Flow'!BW$13='Monthly Cash Flow'!$F106,Assumptions!$F$37,0))</f>
        <v>0</v>
      </c>
      <c r="BX109" s="531">
        <f>IF(Assumptions!$E$1=0,0,IF('Monthly Cash Flow'!BX$13='Monthly Cash Flow'!$F106,Assumptions!$F$37,0))</f>
        <v>0</v>
      </c>
      <c r="BY109" s="531">
        <f>IF(Assumptions!$E$1=0,0,IF('Monthly Cash Flow'!BY$13='Monthly Cash Flow'!$F106,Assumptions!$F$37,0))</f>
        <v>0</v>
      </c>
      <c r="BZ109" s="531">
        <f>IF(Assumptions!$E$1=0,0,IF('Monthly Cash Flow'!BZ$13='Monthly Cash Flow'!$F106,Assumptions!$F$37,0))</f>
        <v>0</v>
      </c>
      <c r="CA109" s="531">
        <f>IF(Assumptions!$E$1=0,0,IF('Monthly Cash Flow'!CA$13='Monthly Cash Flow'!$F106,Assumptions!$F$37,0))</f>
        <v>0</v>
      </c>
      <c r="CB109" s="531">
        <f>IF(Assumptions!$E$1=0,0,IF('Monthly Cash Flow'!CB$13='Monthly Cash Flow'!$F106,Assumptions!$F$37,0))</f>
        <v>0</v>
      </c>
      <c r="CC109" s="531">
        <f>IF(Assumptions!$E$1=0,0,IF('Monthly Cash Flow'!CC$13='Monthly Cash Flow'!$F106,Assumptions!$F$37,0))</f>
        <v>0</v>
      </c>
      <c r="CD109" s="531">
        <f>IF(Assumptions!$E$1=0,0,IF('Monthly Cash Flow'!CD$13='Monthly Cash Flow'!$F106,Assumptions!$F$37,0))</f>
        <v>0</v>
      </c>
      <c r="CE109" s="531">
        <f>IF(Assumptions!$E$1=0,0,IF('Monthly Cash Flow'!CE$13='Monthly Cash Flow'!$F106,Assumptions!$F$37,0))</f>
        <v>0</v>
      </c>
      <c r="CF109" s="531">
        <f>IF(Assumptions!$E$1=0,0,IF('Monthly Cash Flow'!CF$13='Monthly Cash Flow'!$F106,Assumptions!$F$37,0))</f>
        <v>0</v>
      </c>
      <c r="CG109" s="531">
        <f>IF(Assumptions!$E$1=0,0,IF('Monthly Cash Flow'!CG$13='Monthly Cash Flow'!$F106,Assumptions!$F$37,0))</f>
        <v>0</v>
      </c>
      <c r="CH109" s="531">
        <f>IF(Assumptions!$E$1=0,0,IF('Monthly Cash Flow'!CH$13='Monthly Cash Flow'!$F106,Assumptions!$F$37,0))</f>
        <v>0</v>
      </c>
      <c r="CI109" s="531">
        <f>IF(Assumptions!$E$1=0,0,IF('Monthly Cash Flow'!CI$13='Monthly Cash Flow'!$F106,Assumptions!$F$37,0))</f>
        <v>0</v>
      </c>
      <c r="CJ109" s="531">
        <f>IF(Assumptions!$E$1=0,0,IF('Monthly Cash Flow'!CJ$13='Monthly Cash Flow'!$F106,Assumptions!$F$37,0))</f>
        <v>0</v>
      </c>
      <c r="CK109" s="531">
        <f>IF(Assumptions!$E$1=0,0,IF('Monthly Cash Flow'!CK$13='Monthly Cash Flow'!$F106,Assumptions!$F$37,0))</f>
        <v>0</v>
      </c>
      <c r="CL109" s="531">
        <f>IF(Assumptions!$E$1=0,0,IF('Monthly Cash Flow'!CL$13='Monthly Cash Flow'!$F106,Assumptions!$F$37,0))</f>
        <v>0</v>
      </c>
      <c r="CM109" s="531">
        <f>IF(Assumptions!$E$1=0,0,IF('Monthly Cash Flow'!CM$13='Monthly Cash Flow'!$F106,Assumptions!$F$37,0))</f>
        <v>0</v>
      </c>
      <c r="CN109" s="531">
        <f>IF(Assumptions!$E$1=0,0,IF('Monthly Cash Flow'!CN$13='Monthly Cash Flow'!$F106,Assumptions!$F$37,0))</f>
        <v>0</v>
      </c>
      <c r="CO109" s="531">
        <f>IF(Assumptions!$E$1=0,0,IF('Monthly Cash Flow'!CO$13='Monthly Cash Flow'!$F106,Assumptions!$F$37,0))</f>
        <v>0</v>
      </c>
      <c r="CP109" s="531">
        <f>IF(Assumptions!$E$1=0,0,IF('Monthly Cash Flow'!CP$13='Monthly Cash Flow'!$F106,Assumptions!$F$37,0))</f>
        <v>0</v>
      </c>
      <c r="CQ109" s="531">
        <f>IF(Assumptions!$E$1=0,0,IF('Monthly Cash Flow'!CQ$13='Monthly Cash Flow'!$F106,Assumptions!$F$37,0))</f>
        <v>0</v>
      </c>
      <c r="CR109" s="531">
        <f>IF(Assumptions!$E$1=0,0,IF('Monthly Cash Flow'!CR$13='Monthly Cash Flow'!$F106,Assumptions!$F$37,0))</f>
        <v>0</v>
      </c>
      <c r="CS109" s="531">
        <f>IF(Assumptions!$E$1=0,0,IF('Monthly Cash Flow'!CS$13='Monthly Cash Flow'!$F106,Assumptions!$F$37,0))</f>
        <v>0</v>
      </c>
      <c r="CT109" s="531">
        <f>IF(Assumptions!$E$1=0,0,IF('Monthly Cash Flow'!CT$13='Monthly Cash Flow'!$F106,Assumptions!$F$37,0))</f>
        <v>0</v>
      </c>
      <c r="CU109" s="531">
        <f>IF(Assumptions!$E$1=0,0,IF('Monthly Cash Flow'!CU$13='Monthly Cash Flow'!$F106,Assumptions!$F$37,0))</f>
        <v>0</v>
      </c>
      <c r="CV109" s="531">
        <f>IF(Assumptions!$E$1=0,0,IF('Monthly Cash Flow'!CV$13='Monthly Cash Flow'!$F106,Assumptions!$F$37,0))</f>
        <v>0</v>
      </c>
      <c r="CW109" s="531">
        <f>IF(Assumptions!$E$1=0,0,IF('Monthly Cash Flow'!CW$13='Monthly Cash Flow'!$F106,Assumptions!$F$37,0))</f>
        <v>0</v>
      </c>
      <c r="CX109" s="531">
        <f>IF(Assumptions!$E$1=0,0,IF('Monthly Cash Flow'!CX$13='Monthly Cash Flow'!$F106,Assumptions!$F$37,0))</f>
        <v>0</v>
      </c>
      <c r="CY109" s="531">
        <f>IF(Assumptions!$E$1=0,0,IF('Monthly Cash Flow'!CY$13='Monthly Cash Flow'!$F106,Assumptions!$F$37,0))</f>
        <v>0</v>
      </c>
      <c r="CZ109" s="531">
        <f>IF(Assumptions!$E$1=0,0,IF('Monthly Cash Flow'!CZ$13='Monthly Cash Flow'!$F106,Assumptions!$F$37,0))</f>
        <v>0</v>
      </c>
      <c r="DA109" s="531">
        <f>IF(Assumptions!$E$1=0,0,IF('Monthly Cash Flow'!DA$13='Monthly Cash Flow'!$F106,Assumptions!$F$37,0))</f>
        <v>0</v>
      </c>
      <c r="DB109" s="531">
        <f>IF(Assumptions!$E$1=0,0,IF('Monthly Cash Flow'!DB$13='Monthly Cash Flow'!$F106,Assumptions!$F$37,0))</f>
        <v>0</v>
      </c>
      <c r="DC109" s="531">
        <f>IF(Assumptions!$E$1=0,0,IF('Monthly Cash Flow'!DC$13='Monthly Cash Flow'!$F106,Assumptions!$F$37,0))</f>
        <v>0</v>
      </c>
      <c r="DD109" s="531">
        <f>IF(Assumptions!$E$1=0,0,IF('Monthly Cash Flow'!DD$13='Monthly Cash Flow'!$F106,Assumptions!$F$37,0))</f>
        <v>0</v>
      </c>
      <c r="DE109" s="531">
        <f>IF(Assumptions!$E$1=0,0,IF('Monthly Cash Flow'!DE$13='Monthly Cash Flow'!$F106,Assumptions!$F$37,0))</f>
        <v>0</v>
      </c>
      <c r="DF109" s="531">
        <f>IF(Assumptions!$E$1=0,0,IF('Monthly Cash Flow'!DF$13='Monthly Cash Flow'!$F106,Assumptions!$F$37,0))</f>
        <v>0</v>
      </c>
      <c r="DG109" s="531">
        <f>IF(Assumptions!$E$1=0,0,IF('Monthly Cash Flow'!DG$13='Monthly Cash Flow'!$F106,Assumptions!$F$37,0))</f>
        <v>0</v>
      </c>
      <c r="DH109" s="531">
        <f>IF(Assumptions!$E$1=0,0,IF('Monthly Cash Flow'!DH$13='Monthly Cash Flow'!$F106,Assumptions!$F$37,0))</f>
        <v>0</v>
      </c>
      <c r="DI109" s="531">
        <f>IF(Assumptions!$E$1=0,0,IF('Monthly Cash Flow'!DI$13='Monthly Cash Flow'!$F106,Assumptions!$F$37,0))</f>
        <v>0</v>
      </c>
      <c r="DJ109" s="531">
        <f>IF(Assumptions!$E$1=0,0,IF('Monthly Cash Flow'!DJ$13='Monthly Cash Flow'!$F106,Assumptions!$F$37,0))</f>
        <v>0</v>
      </c>
      <c r="DK109" s="531">
        <f>IF(Assumptions!$E$1=0,0,IF('Monthly Cash Flow'!DK$13='Monthly Cash Flow'!$F106,Assumptions!$F$37,0))</f>
        <v>0</v>
      </c>
      <c r="DL109" s="531">
        <f>IF(Assumptions!$E$1=0,0,IF('Monthly Cash Flow'!DL$13='Monthly Cash Flow'!$F106,Assumptions!$F$37,0))</f>
        <v>0</v>
      </c>
      <c r="DM109" s="531">
        <f>IF(Assumptions!$E$1=0,0,IF('Monthly Cash Flow'!DM$13='Monthly Cash Flow'!$F106,Assumptions!$F$37,0))</f>
        <v>0</v>
      </c>
      <c r="DN109" s="531">
        <f>IF(Assumptions!$E$1=0,0,IF('Monthly Cash Flow'!DN$13='Monthly Cash Flow'!$F106,Assumptions!$F$37,0))</f>
        <v>0</v>
      </c>
      <c r="DO109" s="531">
        <f>IF(Assumptions!$E$1=0,0,IF('Monthly Cash Flow'!DO$13='Monthly Cash Flow'!$F106,Assumptions!$F$37,0))</f>
        <v>0</v>
      </c>
      <c r="DP109" s="531">
        <f>IF(Assumptions!$E$1=0,0,IF('Monthly Cash Flow'!DP$13='Monthly Cash Flow'!$F106,Assumptions!$F$37,0))</f>
        <v>0</v>
      </c>
      <c r="DQ109" s="531">
        <f>IF(Assumptions!$E$1=0,0,IF('Monthly Cash Flow'!DQ$13='Monthly Cash Flow'!$F106,Assumptions!$F$37,0))</f>
        <v>0</v>
      </c>
      <c r="DR109" s="531">
        <f>IF(Assumptions!$E$1=0,0,IF('Monthly Cash Flow'!DR$13='Monthly Cash Flow'!$F106,Assumptions!$F$37,0))</f>
        <v>0</v>
      </c>
      <c r="DS109" s="531">
        <f>IF(Assumptions!$E$1=0,0,IF('Monthly Cash Flow'!DS$13='Monthly Cash Flow'!$F106,Assumptions!$F$37,0))</f>
        <v>0</v>
      </c>
      <c r="DT109" s="531">
        <f>IF(Assumptions!$E$1=0,0,IF('Monthly Cash Flow'!DT$13='Monthly Cash Flow'!$F106,Assumptions!$F$37,0))</f>
        <v>0</v>
      </c>
      <c r="DU109" s="531">
        <f>IF(Assumptions!$E$1=0,0,IF('Monthly Cash Flow'!DU$13='Monthly Cash Flow'!$F106,Assumptions!$F$37,0))</f>
        <v>0</v>
      </c>
      <c r="DV109" s="531">
        <f>IF(Assumptions!$E$1=0,0,IF('Monthly Cash Flow'!DV$13='Monthly Cash Flow'!$F106,Assumptions!$F$37,0))</f>
        <v>0</v>
      </c>
      <c r="DW109" s="531">
        <f>IF(Assumptions!$E$1=0,0,IF('Monthly Cash Flow'!DW$13='Monthly Cash Flow'!$F106,Assumptions!$F$37,0))</f>
        <v>0</v>
      </c>
      <c r="DX109" s="531">
        <f>IF(Assumptions!$E$1=0,0,IF('Monthly Cash Flow'!DX$13='Monthly Cash Flow'!$F106,Assumptions!$F$37,0))</f>
        <v>0</v>
      </c>
      <c r="DY109" s="531">
        <f>IF(Assumptions!$E$1=0,0,IF('Monthly Cash Flow'!DY$13='Monthly Cash Flow'!$F106,Assumptions!$F$37,0))</f>
        <v>0</v>
      </c>
      <c r="DZ109" s="531">
        <f>IF(Assumptions!$E$1=0,0,IF('Monthly Cash Flow'!DZ$13='Monthly Cash Flow'!$F106,Assumptions!$F$37,0))</f>
        <v>0</v>
      </c>
      <c r="EA109" s="531">
        <f>IF(Assumptions!$E$1=0,0,IF('Monthly Cash Flow'!EA$13='Monthly Cash Flow'!$F106,Assumptions!$F$37,0))</f>
        <v>0</v>
      </c>
      <c r="EB109" s="531">
        <f>IF(Assumptions!$E$1=0,0,IF('Monthly Cash Flow'!EB$13='Monthly Cash Flow'!$F106,Assumptions!$F$37,0))</f>
        <v>0</v>
      </c>
      <c r="EC109" s="531">
        <f>IF(Assumptions!$E$1=0,0,IF('Monthly Cash Flow'!EC$13='Monthly Cash Flow'!$F106,Assumptions!$F$37,0))</f>
        <v>0</v>
      </c>
      <c r="ED109" s="531">
        <f>IF(Assumptions!$E$1=0,0,IF('Monthly Cash Flow'!ED$13='Monthly Cash Flow'!$F106,Assumptions!$F$37,0))</f>
        <v>0</v>
      </c>
      <c r="EE109" s="531">
        <f>IF(Assumptions!$E$1=0,0,IF('Monthly Cash Flow'!EE$13='Monthly Cash Flow'!$F106,Assumptions!$F$37,0))</f>
        <v>0</v>
      </c>
      <c r="EF109" s="531">
        <f>IF(Assumptions!$E$1=0,0,IF('Monthly Cash Flow'!EF$13='Monthly Cash Flow'!$F106,Assumptions!$F$37,0))</f>
        <v>0</v>
      </c>
      <c r="EG109" s="531">
        <f>IF(Assumptions!$E$1=0,0,IF('Monthly Cash Flow'!EG$13='Monthly Cash Flow'!$F106,Assumptions!$F$37,0))</f>
        <v>0</v>
      </c>
      <c r="EH109" s="531">
        <f>IF(Assumptions!$E$1=0,0,IF('Monthly Cash Flow'!EH$13='Monthly Cash Flow'!$F106,Assumptions!$F$37,0))</f>
        <v>0</v>
      </c>
      <c r="EI109" s="531">
        <f>IF(Assumptions!$E$1=0,0,IF('Monthly Cash Flow'!EI$13='Monthly Cash Flow'!$F106,Assumptions!$F$37,0))</f>
        <v>0</v>
      </c>
      <c r="EJ109" s="531">
        <f>IF(Assumptions!$E$1=0,0,IF('Monthly Cash Flow'!EJ$13='Monthly Cash Flow'!$F106,Assumptions!$F$37,0))</f>
        <v>0</v>
      </c>
      <c r="EK109" s="531">
        <f>IF(Assumptions!$E$1=0,0,IF('Monthly Cash Flow'!EK$13='Monthly Cash Flow'!$F106,Assumptions!$F$37,0))</f>
        <v>0</v>
      </c>
      <c r="EL109" s="531">
        <f>IF(Assumptions!$E$1=0,0,IF('Monthly Cash Flow'!EL$13='Monthly Cash Flow'!$F106,Assumptions!$F$37,0))</f>
        <v>0</v>
      </c>
      <c r="EM109" s="531">
        <f>IF(Assumptions!$E$1=0,0,IF('Monthly Cash Flow'!EM$13='Monthly Cash Flow'!$F106,Assumptions!$F$37,0))</f>
        <v>0</v>
      </c>
      <c r="EN109" s="531">
        <f>IF(Assumptions!$E$1=0,0,IF('Monthly Cash Flow'!EN$13='Monthly Cash Flow'!$F106,Assumptions!$F$37,0))</f>
        <v>0</v>
      </c>
      <c r="EO109" s="531">
        <f>IF(Assumptions!$E$1=0,0,IF('Monthly Cash Flow'!EO$13='Monthly Cash Flow'!$F106,Assumptions!$F$37,0))</f>
        <v>0</v>
      </c>
      <c r="EP109" s="531">
        <f>IF(Assumptions!$E$1=0,0,IF('Monthly Cash Flow'!EP$13='Monthly Cash Flow'!$F106,Assumptions!$F$37,0))</f>
        <v>0</v>
      </c>
      <c r="EQ109" s="531">
        <f>IF(Assumptions!$E$1=0,0,IF('Monthly Cash Flow'!EQ$13='Monthly Cash Flow'!$F106,Assumptions!$F$37,0))</f>
        <v>0</v>
      </c>
      <c r="ER109" s="531">
        <f>IF(Assumptions!$E$1=0,0,IF('Monthly Cash Flow'!ER$13='Monthly Cash Flow'!$F106,Assumptions!$F$37,0))</f>
        <v>0</v>
      </c>
      <c r="ES109" s="531">
        <f>IF(Assumptions!$E$1=0,0,IF('Monthly Cash Flow'!ES$13='Monthly Cash Flow'!$F106,Assumptions!$F$37,0))</f>
        <v>0</v>
      </c>
      <c r="ET109" s="531">
        <f>IF(Assumptions!$E$1=0,0,IF('Monthly Cash Flow'!ET$13='Monthly Cash Flow'!$F106,Assumptions!$F$37,0))</f>
        <v>0</v>
      </c>
      <c r="EU109" s="531">
        <f>IF(Assumptions!$E$1=0,0,IF('Monthly Cash Flow'!EU$13='Monthly Cash Flow'!$F106,Assumptions!$F$37,0))</f>
        <v>0</v>
      </c>
      <c r="EV109" s="531">
        <f>IF(Assumptions!$E$1=0,0,IF('Monthly Cash Flow'!EV$13='Monthly Cash Flow'!$F106,Assumptions!$F$37,0))</f>
        <v>0</v>
      </c>
      <c r="EW109" s="531">
        <f>IF(Assumptions!$E$1=0,0,IF('Monthly Cash Flow'!EW$13='Monthly Cash Flow'!$F106,Assumptions!$F$37,0))</f>
        <v>0</v>
      </c>
      <c r="EX109" s="531">
        <f>IF(Assumptions!$E$1=0,0,IF('Monthly Cash Flow'!EX$13='Monthly Cash Flow'!$F106,Assumptions!$F$37,0))</f>
        <v>0</v>
      </c>
      <c r="EY109" s="531">
        <f>IF(Assumptions!$E$1=0,0,IF('Monthly Cash Flow'!EY$13='Monthly Cash Flow'!$F106,Assumptions!$F$37,0))</f>
        <v>0</v>
      </c>
      <c r="EZ109" s="531">
        <f>IF(Assumptions!$E$1=0,0,IF('Monthly Cash Flow'!EZ$13='Monthly Cash Flow'!$F106,Assumptions!$F$37,0))</f>
        <v>0</v>
      </c>
      <c r="FA109" s="531">
        <f>IF(Assumptions!$E$1=0,0,IF('Monthly Cash Flow'!FA$13='Monthly Cash Flow'!$F106,Assumptions!$F$37,0))</f>
        <v>0</v>
      </c>
      <c r="FB109" s="531">
        <f>IF(Assumptions!$E$1=0,0,IF('Monthly Cash Flow'!FB$13='Monthly Cash Flow'!$F106,Assumptions!$F$37,0))</f>
        <v>0</v>
      </c>
      <c r="FC109" s="531">
        <f>IF(Assumptions!$E$1=0,0,IF('Monthly Cash Flow'!FC$13='Monthly Cash Flow'!$F106,Assumptions!$F$37,0))</f>
        <v>0</v>
      </c>
      <c r="FD109" s="531">
        <f>IF(Assumptions!$E$1=0,0,IF('Monthly Cash Flow'!FD$13='Monthly Cash Flow'!$F106,Assumptions!$F$37,0))</f>
        <v>0</v>
      </c>
      <c r="FE109" s="531">
        <f>IF(Assumptions!$E$1=0,0,IF('Monthly Cash Flow'!FE$13='Monthly Cash Flow'!$F106,Assumptions!$F$37,0))</f>
        <v>0</v>
      </c>
      <c r="FF109" s="531">
        <f>IF(Assumptions!$E$1=0,0,IF('Monthly Cash Flow'!FF$13='Monthly Cash Flow'!$F106,Assumptions!$F$37,0))</f>
        <v>0</v>
      </c>
      <c r="FG109" s="531">
        <f>IF(Assumptions!$E$1=0,0,IF('Monthly Cash Flow'!FG$13='Monthly Cash Flow'!$F106,Assumptions!$F$37,0))</f>
        <v>0</v>
      </c>
      <c r="FH109" s="531">
        <f>IF(Assumptions!$E$1=0,0,IF('Monthly Cash Flow'!FH$13='Monthly Cash Flow'!$F106,Assumptions!$F$37,0))</f>
        <v>0</v>
      </c>
      <c r="FI109" s="531">
        <f>IF(Assumptions!$E$1=0,0,IF('Monthly Cash Flow'!FI$13='Monthly Cash Flow'!$F106,Assumptions!$F$37,0))</f>
        <v>0</v>
      </c>
      <c r="FJ109" s="531">
        <f>IF(Assumptions!$E$1=0,0,IF('Monthly Cash Flow'!FJ$13='Monthly Cash Flow'!$F106,Assumptions!$F$37,0))</f>
        <v>0</v>
      </c>
      <c r="FK109" s="531">
        <f>IF(Assumptions!$E$1=0,0,IF('Monthly Cash Flow'!FK$13='Monthly Cash Flow'!$F106,Assumptions!$F$37,0))</f>
        <v>0</v>
      </c>
      <c r="FL109" s="531">
        <f>IF(Assumptions!$E$1=0,0,IF('Monthly Cash Flow'!FL$13='Monthly Cash Flow'!$F106,Assumptions!$F$37,0))</f>
        <v>0</v>
      </c>
      <c r="FM109" s="531">
        <f>IF(Assumptions!$E$1=0,0,IF('Monthly Cash Flow'!FM$13='Monthly Cash Flow'!$F106,Assumptions!$F$37,0))</f>
        <v>0</v>
      </c>
      <c r="FN109" s="531">
        <f>IF(Assumptions!$E$1=0,0,IF('Monthly Cash Flow'!FN$13='Monthly Cash Flow'!$F106,Assumptions!$F$37,0))</f>
        <v>0</v>
      </c>
      <c r="FO109" s="531">
        <f>IF(Assumptions!$E$1=0,0,IF('Monthly Cash Flow'!FO$13='Monthly Cash Flow'!$F106,Assumptions!$F$37,0))</f>
        <v>0</v>
      </c>
      <c r="FP109" s="531">
        <f>IF(Assumptions!$E$1=0,0,IF('Monthly Cash Flow'!FP$13='Monthly Cash Flow'!$F106,Assumptions!$F$37,0))</f>
        <v>0</v>
      </c>
      <c r="FQ109" s="531">
        <f>IF(Assumptions!$E$1=0,0,IF('Monthly Cash Flow'!FQ$13='Monthly Cash Flow'!$F106,Assumptions!$F$37,0))</f>
        <v>0</v>
      </c>
      <c r="FR109" s="531">
        <f>IF(Assumptions!$E$1=0,0,IF('Monthly Cash Flow'!FR$13='Monthly Cash Flow'!$F106,Assumptions!$F$37,0))</f>
        <v>0</v>
      </c>
      <c r="FS109" s="531">
        <f>IF(Assumptions!$E$1=0,0,IF('Monthly Cash Flow'!FS$13='Monthly Cash Flow'!$F106,Assumptions!$F$37,0))</f>
        <v>0</v>
      </c>
      <c r="FT109" s="531">
        <f>IF(Assumptions!$E$1=0,0,IF('Monthly Cash Flow'!FT$13='Monthly Cash Flow'!$F106,Assumptions!$F$37,0))</f>
        <v>0</v>
      </c>
      <c r="FU109" s="531">
        <f>IF(Assumptions!$E$1=0,0,IF('Monthly Cash Flow'!FU$13='Monthly Cash Flow'!$F106,Assumptions!$F$37,0))</f>
        <v>0</v>
      </c>
      <c r="FV109" s="531">
        <f>IF(Assumptions!$E$1=0,0,IF('Monthly Cash Flow'!FV$13='Monthly Cash Flow'!$F106,Assumptions!$F$37,0))</f>
        <v>0</v>
      </c>
      <c r="FW109" s="531">
        <f>IF(Assumptions!$E$1=0,0,IF('Monthly Cash Flow'!FW$13='Monthly Cash Flow'!$F106,Assumptions!$F$37,0))</f>
        <v>0</v>
      </c>
      <c r="FX109" s="531">
        <f>IF(Assumptions!$E$1=0,0,IF('Monthly Cash Flow'!FX$13='Monthly Cash Flow'!$F106,Assumptions!$F$37,0))</f>
        <v>0</v>
      </c>
      <c r="FY109" s="531">
        <f>IF(Assumptions!$E$1=0,0,IF('Monthly Cash Flow'!FY$13='Monthly Cash Flow'!$F106,Assumptions!$F$37,0))</f>
        <v>0</v>
      </c>
      <c r="FZ109" s="531">
        <f>IF(Assumptions!$E$1=0,0,IF('Monthly Cash Flow'!FZ$13='Monthly Cash Flow'!$F106,Assumptions!$F$37,0))</f>
        <v>0</v>
      </c>
      <c r="GA109" s="531">
        <f>IF(Assumptions!$E$1=0,0,IF('Monthly Cash Flow'!GA$13='Monthly Cash Flow'!$F106,Assumptions!$F$37,0))</f>
        <v>0</v>
      </c>
      <c r="GB109" s="531">
        <f>IF(Assumptions!$E$1=0,0,IF('Monthly Cash Flow'!GB$13='Monthly Cash Flow'!$F106,Assumptions!$F$37,0))</f>
        <v>0</v>
      </c>
      <c r="GC109" s="531">
        <f>IF(Assumptions!$E$1=0,0,IF('Monthly Cash Flow'!GC$13='Monthly Cash Flow'!$F106,Assumptions!$F$37,0))</f>
        <v>0</v>
      </c>
      <c r="GD109" s="531"/>
      <c r="GE109" s="531"/>
      <c r="GF109" s="531"/>
      <c r="GG109" s="531"/>
      <c r="GH109" s="531"/>
      <c r="GI109" s="531"/>
      <c r="GJ109" s="531"/>
      <c r="GK109" s="531"/>
      <c r="GL109" s="531"/>
      <c r="GM109" s="531"/>
      <c r="GN109" s="531"/>
      <c r="GO109" s="531"/>
      <c r="GP109" s="531">
        <f>IF(Assumptions!$E$1=0,0,IF('Monthly Cash Flow'!GP$13='Monthly Cash Flow'!$F106,Assumptions!$F$37,0))</f>
        <v>0</v>
      </c>
      <c r="GQ109" s="531">
        <f>IF(Assumptions!$E$1=0,0,IF('Monthly Cash Flow'!GQ$13='Monthly Cash Flow'!$F106,Assumptions!$F$37,0))</f>
        <v>0</v>
      </c>
      <c r="GR109" s="531">
        <f>IF(Assumptions!$E$1=0,0,IF('Monthly Cash Flow'!GR$13='Monthly Cash Flow'!$F106,Assumptions!$F$37,0))</f>
        <v>0</v>
      </c>
      <c r="GS109" s="531">
        <f>IF(Assumptions!$E$1=0,0,IF('Monthly Cash Flow'!GS$13='Monthly Cash Flow'!$F106,Assumptions!$F$37,0))</f>
        <v>0</v>
      </c>
      <c r="GT109" s="531">
        <f>IF(Assumptions!$E$1=0,0,IF('Monthly Cash Flow'!GT$13='Monthly Cash Flow'!$F106,Assumptions!$F$37,0))</f>
        <v>0</v>
      </c>
      <c r="GU109" s="531"/>
      <c r="GV109" s="531"/>
      <c r="GW109" s="531"/>
      <c r="GX109" s="531"/>
      <c r="GY109" s="531"/>
      <c r="GZ109" s="531"/>
      <c r="HA109" s="531"/>
      <c r="HB109" s="531"/>
      <c r="HC109" s="531"/>
      <c r="HD109" s="531"/>
      <c r="HE109" s="531"/>
      <c r="HF109" s="1" t="s">
        <v>212</v>
      </c>
      <c r="HH109" s="9" t="str">
        <f t="shared" si="766"/>
        <v>Loan Closing Costs</v>
      </c>
      <c r="HI109" s="26"/>
      <c r="HJ109" s="26"/>
      <c r="HK109" s="26"/>
      <c r="HL109" s="132">
        <f t="shared" si="773"/>
        <v>364.88266999999996</v>
      </c>
      <c r="HM109" s="26"/>
      <c r="HN109" s="133">
        <f t="shared" si="774"/>
        <v>0</v>
      </c>
      <c r="HO109" s="26">
        <f t="shared" si="774"/>
        <v>0</v>
      </c>
      <c r="HP109" s="26">
        <f t="shared" si="774"/>
        <v>0</v>
      </c>
      <c r="HQ109" s="26">
        <f t="shared" si="774"/>
        <v>0</v>
      </c>
      <c r="HR109" s="26">
        <f t="shared" si="774"/>
        <v>0</v>
      </c>
      <c r="HS109" s="26">
        <f t="shared" si="774"/>
        <v>364.88266999999996</v>
      </c>
      <c r="HT109" s="26">
        <f t="shared" si="774"/>
        <v>0</v>
      </c>
      <c r="HU109" s="26">
        <f t="shared" si="774"/>
        <v>0</v>
      </c>
      <c r="HV109" s="26">
        <f t="shared" si="774"/>
        <v>0</v>
      </c>
      <c r="HW109"/>
    </row>
    <row r="110" spans="2:231" ht="15" outlineLevel="1">
      <c r="B110" s="9" t="s">
        <v>116</v>
      </c>
      <c r="C110" s="9"/>
      <c r="D110" s="9"/>
      <c r="E110" s="186">
        <f>Assumptions!C38</f>
        <v>48</v>
      </c>
      <c r="F110" s="186">
        <f>Assumptions!D38</f>
        <v>999</v>
      </c>
      <c r="G110" s="382">
        <f>Assumptions!F38</f>
        <v>108.97897</v>
      </c>
      <c r="H110" s="1" t="s">
        <v>117</v>
      </c>
      <c r="I110" s="132">
        <f>SUMIF($K$13:$GT$13,"&lt;="&amp;Assumptions!$L$17,'Monthly Cash Flow'!K110:GT110)</f>
        <v>108.97897</v>
      </c>
      <c r="J110" s="26"/>
      <c r="K110" s="133">
        <f>IF(OR(K$13=$E$110,K$13=$F$110),$G$110,0)</f>
        <v>0</v>
      </c>
      <c r="L110" s="531">
        <f>IF(AND(L13&gt;$G$159, $G$158=1), 0, IF(L13&gt;Assumptions!$L$17, 0, IF(OR(L$13=$E$110,L$13=$F$110),$G$110,0)))</f>
        <v>0</v>
      </c>
      <c r="M110" s="531">
        <f>IF(AND(M13&gt;$G$159, $G$158=1), 0, IF(M13&gt;Assumptions!$L$17, 0, IF(OR(M$13=$E$110,M$13=$F$110),$G$110,0)))</f>
        <v>0</v>
      </c>
      <c r="N110" s="531">
        <f>IF(AND(N13&gt;$G$159, $G$158=1), 0, IF(N13&gt;Assumptions!$L$17, 0, IF(OR(N$13=$E$110,N$13=$F$110),$G$110,0)))</f>
        <v>0</v>
      </c>
      <c r="O110" s="531">
        <f>IF(AND(O13&gt;$G$159, $G$158=1), 0, IF(O13&gt;Assumptions!$L$17, 0, IF(OR(O$13=$E$110,O$13=$F$110),$G$110,0)))</f>
        <v>0</v>
      </c>
      <c r="P110" s="531">
        <f>IF(AND(P13&gt;$G$159, $G$158=1), 0, IF(P13&gt;Assumptions!$L$17, 0, IF(OR(P$13=$E$110,P$13=$F$110),$G$110,0)))</f>
        <v>0</v>
      </c>
      <c r="Q110" s="531">
        <f>IF(AND(Q13&gt;$G$159, $G$158=1), 0, IF(Q13&gt;Assumptions!$L$17, 0, IF(OR(Q$13=$E$110,Q$13=$F$110),$G$110,0)))</f>
        <v>0</v>
      </c>
      <c r="R110" s="531">
        <f>IF(AND(R13&gt;$G$159, $G$158=1), 0, IF(R13&gt;Assumptions!$L$17, 0, IF(OR(R$13=$E$110,R$13=$F$110),$G$110,0)))</f>
        <v>0</v>
      </c>
      <c r="S110" s="531">
        <f>IF(AND(S13&gt;$G$159, $G$158=1), 0, IF(S13&gt;Assumptions!$L$17, 0, IF(OR(S$13=$E$110,S$13=$F$110),$G$110,0)))</f>
        <v>0</v>
      </c>
      <c r="T110" s="531">
        <f>IF(AND(T13&gt;$G$159, $G$158=1), 0, IF(T13&gt;Assumptions!$L$17, 0, IF(OR(T$13=$E$110,T$13=$F$110),$G$110,0)))</f>
        <v>0</v>
      </c>
      <c r="U110" s="531">
        <f>IF(AND(U13&gt;$G$159, $G$158=1), 0, IF(U13&gt;Assumptions!$L$17, 0, IF(OR(U$13=$E$110,U$13=$F$110),$G$110,0)))</f>
        <v>0</v>
      </c>
      <c r="V110" s="531">
        <f>IF(AND(V13&gt;$G$159, $G$158=1), 0, IF(V13&gt;Assumptions!$L$17, 0, IF(OR(V$13=$E$110,V$13=$F$110),$G$110,0)))</f>
        <v>0</v>
      </c>
      <c r="W110" s="531">
        <f>IF(AND(W13&gt;$G$159, $G$158=1), 0, IF(W13&gt;Assumptions!$L$17, 0, IF(OR(W$13=$E$110,W$13=$F$110),$G$110,0)))</f>
        <v>0</v>
      </c>
      <c r="X110" s="531">
        <f>IF(AND(X13&gt;$G$159, $G$158=1), 0, IF(X13&gt;Assumptions!$L$17, 0, IF(OR(X$13=$E$110,X$13=$F$110),$G$110,0)))</f>
        <v>0</v>
      </c>
      <c r="Y110" s="531">
        <f>IF(AND(Y13&gt;$G$159, $G$158=1), 0, IF(Y13&gt;Assumptions!$L$17, 0, IF(OR(Y$13=$E$110,Y$13=$F$110),$G$110,0)))</f>
        <v>0</v>
      </c>
      <c r="Z110" s="531">
        <f>IF(AND(Z13&gt;$G$159, $G$158=1), 0, IF(Z13&gt;Assumptions!$L$17, 0, IF(OR(Z$13=$E$110,Z$13=$F$110),$G$110,0)))</f>
        <v>0</v>
      </c>
      <c r="AA110" s="531">
        <f>IF(AND(AA13&gt;$G$159, $G$158=1), 0, IF(AA13&gt;Assumptions!$L$17, 0, IF(OR(AA$13=$E$110,AA$13=$F$110),$G$110,0)))</f>
        <v>0</v>
      </c>
      <c r="AB110" s="531">
        <f>IF(AND(AB13&gt;$G$159, $G$158=1), 0, IF(AB13&gt;Assumptions!$L$17, 0, IF(OR(AB$13=$E$110,AB$13=$F$110),$G$110,0)))</f>
        <v>0</v>
      </c>
      <c r="AC110" s="531">
        <f>IF(AND(AC13&gt;$G$159, $G$158=1), 0, IF(AC13&gt;Assumptions!$L$17, 0, IF(OR(AC$13=$E$110,AC$13=$F$110),$G$110,0)))</f>
        <v>0</v>
      </c>
      <c r="AD110" s="531">
        <f>IF(AND(AD13&gt;$G$159, $G$158=1), 0, IF(AD13&gt;Assumptions!$L$17, 0, IF(OR(AD$13=$E$110,AD$13=$F$110),$G$110,0)))</f>
        <v>0</v>
      </c>
      <c r="AE110" s="531">
        <f>IF(AND(AE13&gt;$G$159, $G$158=1), 0, IF(AE13&gt;Assumptions!$L$17, 0, IF(OR(AE$13=$E$110,AE$13=$F$110),$G$110,0)))</f>
        <v>0</v>
      </c>
      <c r="AF110" s="531">
        <f>IF(AND(AF13&gt;$G$159, $G$158=1), 0, IF(AF13&gt;Assumptions!$L$17, 0, IF(OR(AF$13=$E$110,AF$13=$F$110),$G$110,0)))</f>
        <v>0</v>
      </c>
      <c r="AG110" s="531">
        <f>IF(AND(AG13&gt;$G$159, $G$158=1), 0, IF(AG13&gt;Assumptions!$L$17, 0, IF(OR(AG$13=$E$110,AG$13=$F$110),$G$110,0)))</f>
        <v>0</v>
      </c>
      <c r="AH110" s="531">
        <f>IF(AND(AH13&gt;$G$159, $G$158=1), 0, IF(AH13&gt;Assumptions!$L$17, 0, IF(OR(AH$13=$E$110,AH$13=$F$110),$G$110,0)))</f>
        <v>0</v>
      </c>
      <c r="AI110" s="531">
        <f>IF(AND(AI13&gt;$G$159, $G$158=1), 0, IF(AI13&gt;Assumptions!$L$17, 0, IF(OR(AI$13=$E$110,AI$13=$F$110),$G$110,0)))</f>
        <v>0</v>
      </c>
      <c r="AJ110" s="531">
        <f>IF(AND(AJ13&gt;$G$159, $G$158=1), 0, IF(AJ13&gt;Assumptions!$L$17, 0, IF(OR(AJ$13=$E$110,AJ$13=$F$110),$G$110,0)))</f>
        <v>0</v>
      </c>
      <c r="AK110" s="531">
        <f>IF(AND(AK13&gt;$G$159, $G$158=1), 0, IF(AK13&gt;Assumptions!$L$17, 0, IF(OR(AK$13=$E$110,AK$13=$F$110),$G$110,0)))</f>
        <v>0</v>
      </c>
      <c r="AL110" s="531">
        <f>IF(AND(AL13&gt;$G$159, $G$158=1), 0, IF(AL13&gt;Assumptions!$L$17, 0, IF(OR(AL$13=$E$110,AL$13=$F$110),$G$110,0)))</f>
        <v>0</v>
      </c>
      <c r="AM110" s="531">
        <f>IF(AND(AM13&gt;$G$159, $G$158=1), 0, IF(AM13&gt;Assumptions!$L$17, 0, IF(OR(AM$13=$E$110,AM$13=$F$110),$G$110,0)))</f>
        <v>0</v>
      </c>
      <c r="AN110" s="531">
        <f>IF(AND(AN13&gt;$G$159, $G$158=1), 0, IF(AN13&gt;Assumptions!$L$17, 0, IF(OR(AN$13=$E$110,AN$13=$F$110),$G$110,0)))</f>
        <v>0</v>
      </c>
      <c r="AO110" s="531">
        <f>IF(AND(AO13&gt;$G$159, $G$158=1), 0, IF(AO13&gt;Assumptions!$L$17, 0, IF(OR(AO$13=$E$110,AO$13=$F$110),$G$110,0)))</f>
        <v>0</v>
      </c>
      <c r="AP110" s="531">
        <f>IF(AND(AP13&gt;$G$159, $G$158=1), 0, IF(AP13&gt;Assumptions!$L$17, 0, IF(OR(AP$13=$E$110,AP$13=$F$110),$G$110,0)))</f>
        <v>0</v>
      </c>
      <c r="AQ110" s="531">
        <f>IF(AND(AQ13&gt;$G$159, $G$158=1), 0, IF(AQ13&gt;Assumptions!$L$17, 0, IF(OR(AQ$13=$E$110,AQ$13=$F$110),$G$110,0)))</f>
        <v>0</v>
      </c>
      <c r="AR110" s="531">
        <f>IF(AND(AR13&gt;$G$159, $G$158=1), 0, IF(AR13&gt;Assumptions!$L$17, 0, IF(OR(AR$13=$E$110,AR$13=$F$110),$G$110,0)))</f>
        <v>0</v>
      </c>
      <c r="AS110" s="531">
        <f>IF(AND(AS13&gt;$G$159, $G$158=1), 0, IF(AS13&gt;Assumptions!$L$17, 0, IF(OR(AS$13=$E$110,AS$13=$F$110),$G$110,0)))</f>
        <v>0</v>
      </c>
      <c r="AT110" s="531">
        <f>IF(AND(AT13&gt;$G$159, $G$158=1), 0, IF(AT13&gt;Assumptions!$L$17, 0, IF(OR(AT$13=$E$110,AT$13=$F$110),$G$110,0)))</f>
        <v>0</v>
      </c>
      <c r="AU110" s="531">
        <f>IF(AND(AU13&gt;$G$159, $G$158=1), 0, IF(AU13&gt;Assumptions!$L$17, 0, IF(OR(AU$13=$E$110,AU$13=$F$110),$G$110,0)))</f>
        <v>0</v>
      </c>
      <c r="AV110" s="531">
        <f>IF(AND(AV13&gt;$G$159, $G$158=1), 0, IF(AV13&gt;Assumptions!$L$17, 0, IF(OR(AV$13=$E$110,AV$13=$F$110),$G$110,0)))</f>
        <v>0</v>
      </c>
      <c r="AW110" s="531">
        <f>IF(AND(AW13&gt;$G$159, $G$158=1), 0, IF(AW13&gt;Assumptions!$L$17, 0, IF(OR(AW$13=$E$110,AW$13=$F$110),$G$110,0)))</f>
        <v>0</v>
      </c>
      <c r="AX110" s="531">
        <f>IF(AND(AX13&gt;$G$159, $G$158=1), 0, IF(AX13&gt;Assumptions!$L$17, 0, IF(OR(AX$13=$E$110,AX$13=$F$110),$G$110,0)))</f>
        <v>0</v>
      </c>
      <c r="AY110" s="531">
        <f>IF(AND(AY13&gt;$G$159, $G$158=1), 0, IF(AY13&gt;Assumptions!$L$17, 0, IF(OR(AY$13=$E$110,AY$13=$F$110),$G$110,0)))</f>
        <v>0</v>
      </c>
      <c r="AZ110" s="531">
        <f>IF(AND(AZ13&gt;$G$159, $G$158=1), 0, IF(AZ13&gt;Assumptions!$L$17, 0, IF(OR(AZ$13=$E$110,AZ$13=$F$110),$G$110,0)))</f>
        <v>0</v>
      </c>
      <c r="BA110" s="531">
        <f>IF(AND(BA13&gt;$G$159, $G$158=1), 0, IF(BA13&gt;Assumptions!$L$17, 0, IF(OR(BA$13=$E$110,BA$13=$F$110),$G$110,0)))</f>
        <v>0</v>
      </c>
      <c r="BB110" s="531">
        <f>IF(AND(BB13&gt;$G$159, $G$158=1), 0, IF(BB13&gt;Assumptions!$L$17, 0, IF(OR(BB$13=$E$110,BB$13=$F$110),$G$110,0)))</f>
        <v>0</v>
      </c>
      <c r="BC110" s="531">
        <f>IF(AND(BC13&gt;$G$159, $G$158=1), 0, IF(BC13&gt;Assumptions!$L$17, 0, IF(OR(BC$13=$E$110,BC$13=$F$110),$G$110,0)))</f>
        <v>0</v>
      </c>
      <c r="BD110" s="531">
        <f>IF(AND(BD13&gt;$G$159, $G$158=1), 0, IF(BD13&gt;Assumptions!$L$17, 0, IF(OR(BD$13=$E$110,BD$13=$F$110),$G$110,0)))</f>
        <v>0</v>
      </c>
      <c r="BE110" s="531">
        <f>IF(AND(BE13&gt;$G$159, $G$158=1), 0, IF(BE13&gt;Assumptions!$L$17, 0, IF(OR(BE$13=$E$110,BE$13=$F$110),$G$110,0)))</f>
        <v>0</v>
      </c>
      <c r="BF110" s="531">
        <f>IF(AND(BF13&gt;$G$159, $G$158=1), 0, IF(BF13&gt;Assumptions!$L$17, 0, IF(OR(BF$13=$E$110,BF$13=$F$110),$G$110,0)))</f>
        <v>0</v>
      </c>
      <c r="BG110" s="531">
        <f>IF(AND(BG13&gt;$G$159, $G$158=1), 0, IF(BG13&gt;Assumptions!$L$17, 0, IF(OR(BG$13=$E$110,BG$13=$F$110),$G$110,0)))</f>
        <v>108.97897</v>
      </c>
      <c r="BH110" s="531">
        <f>IF(AND(BH13&gt;$G$159, $G$158=1), 0, IF(BH13&gt;Assumptions!$L$17, 0, IF(OR(BH$13=$E$110,BH$13=$F$110),$G$110,0)))</f>
        <v>0</v>
      </c>
      <c r="BI110" s="531">
        <f>IF(AND(BI13&gt;$G$159, $G$158=1), 0, IF(BI13&gt;Assumptions!$L$17, 0, IF(OR(BI$13=$E$110,BI$13=$F$110),$G$110,0)))</f>
        <v>0</v>
      </c>
      <c r="BJ110" s="531">
        <f>IF(AND(BJ13&gt;$G$159, $G$158=1), 0, IF(BJ13&gt;Assumptions!$L$17, 0, IF(OR(BJ$13=$E$110,BJ$13=$F$110),$G$110,0)))</f>
        <v>0</v>
      </c>
      <c r="BK110" s="531">
        <f>IF(AND(BK13&gt;$G$159, $G$158=1), 0, IF(BK13&gt;Assumptions!$L$17, 0, IF(OR(BK$13=$E$110,BK$13=$F$110),$G$110,0)))</f>
        <v>0</v>
      </c>
      <c r="BL110" s="531">
        <f>IF(AND(BL13&gt;$G$159, $G$158=1), 0, IF(BL13&gt;Assumptions!$L$17, 0, IF(OR(BL$13=$E$110,BL$13=$F$110),$G$110,0)))</f>
        <v>0</v>
      </c>
      <c r="BM110" s="531">
        <f>IF(AND(BM13&gt;$G$159, $G$158=1), 0, IF(BM13&gt;Assumptions!$L$17, 0, IF(OR(BM$13=$E$110,BM$13=$F$110),$G$110,0)))</f>
        <v>0</v>
      </c>
      <c r="BN110" s="531">
        <f>IF(AND(BN13&gt;$G$159, $G$158=1), 0, IF(BN13&gt;Assumptions!$L$17, 0, IF(OR(BN$13=$E$110,BN$13=$F$110),$G$110,0)))</f>
        <v>0</v>
      </c>
      <c r="BO110" s="531">
        <f>IF(AND(BO13&gt;$G$159, $G$158=1), 0, IF(BO13&gt;Assumptions!$L$17, 0, IF(OR(BO$13=$E$110,BO$13=$F$110),$G$110,0)))</f>
        <v>0</v>
      </c>
      <c r="BP110" s="531">
        <f>IF(AND(BP13&gt;$G$159, $G$158=1), 0, IF(BP13&gt;Assumptions!$L$17, 0, IF(OR(BP$13=$E$110,BP$13=$F$110),$G$110,0)))</f>
        <v>0</v>
      </c>
      <c r="BQ110" s="531">
        <f>IF(AND(BQ13&gt;$G$159, $G$158=1), 0, IF(BQ13&gt;Assumptions!$L$17, 0, IF(OR(BQ$13=$E$110,BQ$13=$F$110),$G$110,0)))</f>
        <v>0</v>
      </c>
      <c r="BR110" s="531">
        <f>IF(AND(BR13&gt;$G$159, $G$158=1), 0, IF(BR13&gt;Assumptions!$L$17, 0, IF(OR(BR$13=$E$110,BR$13=$F$110),$G$110,0)))</f>
        <v>0</v>
      </c>
      <c r="BS110" s="531">
        <f>IF(AND(BS13&gt;$G$159, $G$158=1), 0, IF(BS13&gt;Assumptions!$L$17, 0, IF(OR(BS$13=$E$110,BS$13=$F$110),$G$110,0)))</f>
        <v>0</v>
      </c>
      <c r="BT110" s="531">
        <f>IF(AND(BT13&gt;$G$159, $G$158=1), 0, IF(BT13&gt;Assumptions!$L$17, 0, IF(OR(BT$13=$E$110,BT$13=$F$110),$G$110,0)))</f>
        <v>0</v>
      </c>
      <c r="BU110" s="531">
        <f>IF(AND(BU13&gt;$G$159, $G$158=1), 0, IF(BU13&gt;Assumptions!$L$17, 0, IF(OR(BU$13=$E$110,BU$13=$F$110),$G$110,0)))</f>
        <v>0</v>
      </c>
      <c r="BV110" s="531">
        <f>IF(AND(BV13&gt;$G$159, $G$158=1), 0, IF(BV13&gt;Assumptions!$L$17, 0, IF(OR(BV$13=$E$110,BV$13=$F$110),$G$110,0)))</f>
        <v>0</v>
      </c>
      <c r="BW110" s="531">
        <f>IF(AND(BW13&gt;$G$159, $G$158=1), 0, IF(BW13&gt;Assumptions!$L$17, 0, IF(OR(BW$13=$E$110,BW$13=$F$110),$G$110,0)))</f>
        <v>0</v>
      </c>
      <c r="BX110" s="531">
        <f>IF(AND(BX13&gt;$G$159, $G$158=1), 0, IF(BX13&gt;Assumptions!$L$17, 0, IF(OR(BX$13=$E$110,BX$13=$F$110),$G$110,0)))</f>
        <v>0</v>
      </c>
      <c r="BY110" s="531">
        <f>IF(AND(BY13&gt;$G$159, $G$158=1), 0, IF(BY13&gt;Assumptions!$L$17, 0, IF(OR(BY$13=$E$110,BY$13=$F$110),$G$110,0)))</f>
        <v>0</v>
      </c>
      <c r="BZ110" s="531">
        <f>IF(AND(BZ13&gt;$G$159, $G$158=1), 0, IF(BZ13&gt;Assumptions!$L$17, 0, IF(OR(BZ$13=$E$110,BZ$13=$F$110),$G$110,0)))</f>
        <v>0</v>
      </c>
      <c r="CA110" s="531">
        <f>IF(AND(CA13&gt;$G$159, $G$158=1), 0, IF(CA13&gt;Assumptions!$L$17, 0, IF(OR(CA$13=$E$110,CA$13=$F$110),$G$110,0)))</f>
        <v>0</v>
      </c>
      <c r="CB110" s="531">
        <f>IF(AND(CB13&gt;$G$159, $G$158=1), 0, IF(CB13&gt;Assumptions!$L$17, 0, IF(OR(CB$13=$E$110,CB$13=$F$110),$G$110,0)))</f>
        <v>0</v>
      </c>
      <c r="CC110" s="531">
        <f>IF(AND(CC13&gt;$G$159, $G$158=1), 0, IF(CC13&gt;Assumptions!$L$17, 0, IF(OR(CC$13=$E$110,CC$13=$F$110),$G$110,0)))</f>
        <v>0</v>
      </c>
      <c r="CD110" s="531">
        <f>IF(AND(CD13&gt;$G$159, $G$158=1), 0, IF(CD13&gt;Assumptions!$L$17, 0, IF(OR(CD$13=$E$110,CD$13=$F$110),$G$110,0)))</f>
        <v>0</v>
      </c>
      <c r="CE110" s="531">
        <f>IF(AND(CE13&gt;$G$159, $G$158=1), 0, IF(CE13&gt;Assumptions!$L$17, 0, IF(OR(CE$13=$E$110,CE$13=$F$110),$G$110,0)))</f>
        <v>0</v>
      </c>
      <c r="CF110" s="531">
        <f>IF(AND(CF13&gt;$G$159, $G$158=1), 0, IF(CF13&gt;Assumptions!$L$17, 0, IF(OR(CF$13=$E$110,CF$13=$F$110),$G$110,0)))</f>
        <v>0</v>
      </c>
      <c r="CG110" s="531">
        <f>IF(AND(CG13&gt;$G$159, $G$158=1), 0, IF(CG13&gt;Assumptions!$L$17, 0, IF(OR(CG$13=$E$110,CG$13=$F$110),$G$110,0)))</f>
        <v>0</v>
      </c>
      <c r="CH110" s="531">
        <f>IF(AND(CH13&gt;$G$159, $G$158=1), 0, IF(CH13&gt;Assumptions!$L$17, 0, IF(OR(CH$13=$E$110,CH$13=$F$110),$G$110,0)))</f>
        <v>0</v>
      </c>
      <c r="CI110" s="531">
        <f>IF(AND(CI13&gt;$G$159, $G$158=1), 0, IF(CI13&gt;Assumptions!$L$17, 0, IF(OR(CI$13=$E$110,CI$13=$F$110),$G$110,0)))</f>
        <v>0</v>
      </c>
      <c r="CJ110" s="531">
        <f>IF(AND(CJ13&gt;$G$159, $G$158=1), 0, IF(CJ13&gt;Assumptions!$L$17, 0, IF(OR(CJ$13=$E$110,CJ$13=$F$110),$G$110,0)))</f>
        <v>0</v>
      </c>
      <c r="CK110" s="531">
        <f>IF(AND(CK13&gt;$G$159, $G$158=1), 0, IF(CK13&gt;Assumptions!$L$17, 0, IF(OR(CK$13=$E$110,CK$13=$F$110),$G$110,0)))</f>
        <v>0</v>
      </c>
      <c r="CL110" s="531">
        <f>IF(AND(CL13&gt;$G$159, $G$158=1), 0, IF(CL13&gt;Assumptions!$L$17, 0, IF(OR(CL$13=$E$110,CL$13=$F$110),$G$110,0)))</f>
        <v>0</v>
      </c>
      <c r="CM110" s="531">
        <f>IF(AND(CM13&gt;$G$159, $G$158=1), 0, IF(CM13&gt;Assumptions!$L$17, 0, IF(OR(CM$13=$E$110,CM$13=$F$110),$G$110,0)))</f>
        <v>0</v>
      </c>
      <c r="CN110" s="531">
        <f>IF(AND(CN13&gt;$G$159, $G$158=1), 0, IF(CN13&gt;Assumptions!$L$17, 0, IF(OR(CN$13=$E$110,CN$13=$F$110),$G$110,0)))</f>
        <v>0</v>
      </c>
      <c r="CO110" s="531">
        <f>IF(AND(CO13&gt;$G$159, $G$158=1), 0, IF(CO13&gt;Assumptions!$L$17, 0, IF(OR(CO$13=$E$110,CO$13=$F$110),$G$110,0)))</f>
        <v>0</v>
      </c>
      <c r="CP110" s="531">
        <f>IF(AND(CP13&gt;$G$159, $G$158=1), 0, IF(CP13&gt;Assumptions!$L$17, 0, IF(OR(CP$13=$E$110,CP$13=$F$110),$G$110,0)))</f>
        <v>0</v>
      </c>
      <c r="CQ110" s="531">
        <f>IF(AND(CQ13&gt;$G$159, $G$158=1), 0, IF(CQ13&gt;Assumptions!$L$17, 0, IF(OR(CQ$13=$E$110,CQ$13=$F$110),$G$110,0)))</f>
        <v>0</v>
      </c>
      <c r="CR110" s="531">
        <f>IF(AND(CR13&gt;$G$159, $G$158=1), 0, IF(CR13&gt;Assumptions!$L$17, 0, IF(OR(CR$13=$E$110,CR$13=$F$110),$G$110,0)))</f>
        <v>0</v>
      </c>
      <c r="CS110" s="531">
        <f>IF(AND(CS13&gt;$G$159, $G$158=1), 0, IF(CS13&gt;Assumptions!$L$17, 0, IF(OR(CS$13=$E$110,CS$13=$F$110),$G$110,0)))</f>
        <v>0</v>
      </c>
      <c r="CT110" s="531">
        <f>IF(AND(CT13&gt;$G$159, $G$158=1), 0, IF(CT13&gt;Assumptions!$L$17, 0, IF(OR(CT$13=$E$110,CT$13=$F$110),$G$110,0)))</f>
        <v>0</v>
      </c>
      <c r="CU110" s="531">
        <f>IF(AND(CU13&gt;$G$159, $G$158=1), 0, IF(CU13&gt;Assumptions!$L$17, 0, IF(OR(CU$13=$E$110,CU$13=$F$110),$G$110,0)))</f>
        <v>0</v>
      </c>
      <c r="CV110" s="531">
        <f>IF(AND(CV13&gt;$G$159, $G$158=1), 0, IF(CV13&gt;Assumptions!$L$17, 0, IF(OR(CV$13=$E$110,CV$13=$F$110),$G$110,0)))</f>
        <v>0</v>
      </c>
      <c r="CW110" s="531">
        <f>IF(AND(CW13&gt;$G$159, $G$158=1), 0, IF(CW13&gt;Assumptions!$L$17, 0, IF(OR(CW$13=$E$110,CW$13=$F$110),$G$110,0)))</f>
        <v>0</v>
      </c>
      <c r="CX110" s="531">
        <f>IF(AND(CX13&gt;$G$159, $G$158=1), 0, IF(CX13&gt;Assumptions!$L$17, 0, IF(OR(CX$13=$E$110,CX$13=$F$110),$G$110,0)))</f>
        <v>0</v>
      </c>
      <c r="CY110" s="531">
        <f>IF(AND(CY13&gt;$G$159, $G$158=1), 0, IF(CY13&gt;Assumptions!$L$17, 0, IF(OR(CY$13=$E$110,CY$13=$F$110),$G$110,0)))</f>
        <v>0</v>
      </c>
      <c r="CZ110" s="531">
        <f>IF(AND(CZ13&gt;$G$159, $G$158=1), 0, IF(CZ13&gt;Assumptions!$L$17, 0, IF(OR(CZ$13=$E$110,CZ$13=$F$110),$G$110,0)))</f>
        <v>0</v>
      </c>
      <c r="DA110" s="531">
        <f>IF(AND(DA13&gt;$G$159, $G$158=1), 0, IF(DA13&gt;Assumptions!$L$17, 0, IF(OR(DA$13=$E$110,DA$13=$F$110),$G$110,0)))</f>
        <v>0</v>
      </c>
      <c r="DB110" s="531">
        <f>IF(AND(DB13&gt;$G$159, $G$158=1), 0, IF(DB13&gt;Assumptions!$L$17, 0, IF(OR(DB$13=$E$110,DB$13=$F$110),$G$110,0)))</f>
        <v>0</v>
      </c>
      <c r="DC110" s="531">
        <f>IF(AND(DC13&gt;$G$159, $G$158=1), 0, IF(DC13&gt;Assumptions!$L$17, 0, IF(OR(DC$13=$E$110,DC$13=$F$110),$G$110,0)))</f>
        <v>0</v>
      </c>
      <c r="DD110" s="531">
        <f>IF(AND(DD13&gt;$G$159, $G$158=1), 0, IF(DD13&gt;Assumptions!$L$17, 0, IF(OR(DD$13=$E$110,DD$13=$F$110),$G$110,0)))</f>
        <v>0</v>
      </c>
      <c r="DE110" s="531">
        <f>IF(AND(DE13&gt;$G$159, $G$158=1), 0, IF(DE13&gt;Assumptions!$L$17, 0, IF(OR(DE$13=$E$110,DE$13=$F$110),$G$110,0)))</f>
        <v>0</v>
      </c>
      <c r="DF110" s="531">
        <f>IF(AND(DF13&gt;$G$159, $G$158=1), 0, IF(DF13&gt;Assumptions!$L$17, 0, IF(OR(DF$13=$E$110,DF$13=$F$110),$G$110,0)))</f>
        <v>0</v>
      </c>
      <c r="DG110" s="531">
        <f>IF(AND(DG13&gt;$G$159, $G$158=1), 0, IF(DG13&gt;Assumptions!$L$17, 0, IF(OR(DG$13=$E$110,DG$13=$F$110),$G$110,0)))</f>
        <v>0</v>
      </c>
      <c r="DH110" s="531">
        <f>IF(AND(DH13&gt;$G$159, $G$158=1), 0, IF(DH13&gt;Assumptions!$L$17, 0, IF(OR(DH$13=$E$110,DH$13=$F$110),$G$110,0)))</f>
        <v>0</v>
      </c>
      <c r="DI110" s="531">
        <f>IF(AND(DI13&gt;$G$159, $G$158=1), 0, IF(DI13&gt;Assumptions!$L$17, 0, IF(OR(DI$13=$E$110,DI$13=$F$110),$G$110,0)))</f>
        <v>0</v>
      </c>
      <c r="DJ110" s="531">
        <f>IF(AND(DJ13&gt;$G$159, $G$158=1), 0, IF(DJ13&gt;Assumptions!$L$17, 0, IF(OR(DJ$13=$E$110,DJ$13=$F$110),$G$110,0)))</f>
        <v>0</v>
      </c>
      <c r="DK110" s="531">
        <f>IF(AND(DK13&gt;$G$159, $G$158=1), 0, IF(DK13&gt;Assumptions!$L$17, 0, IF(OR(DK$13=$E$110,DK$13=$F$110),$G$110,0)))</f>
        <v>0</v>
      </c>
      <c r="DL110" s="531">
        <f>IF(AND(DL13&gt;$G$159, $G$158=1), 0, IF(DL13&gt;Assumptions!$L$17, 0, IF(OR(DL$13=$E$110,DL$13=$F$110),$G$110,0)))</f>
        <v>0</v>
      </c>
      <c r="DM110" s="531">
        <f>IF(AND(DM13&gt;$G$159, $G$158=1), 0, IF(DM13&gt;Assumptions!$L$17, 0, IF(OR(DM$13=$E$110,DM$13=$F$110),$G$110,0)))</f>
        <v>0</v>
      </c>
      <c r="DN110" s="531">
        <f>IF(AND(DN13&gt;$G$159, $G$158=1), 0, IF(DN13&gt;Assumptions!$L$17, 0, IF(OR(DN$13=$E$110,DN$13=$F$110),$G$110,0)))</f>
        <v>0</v>
      </c>
      <c r="DO110" s="531">
        <f>IF(AND(DO13&gt;$G$159, $G$158=1), 0, IF(DO13&gt;Assumptions!$L$17, 0, IF(OR(DO$13=$E$110,DO$13=$F$110),$G$110,0)))</f>
        <v>0</v>
      </c>
      <c r="DP110" s="531">
        <f>IF(AND(DP13&gt;$G$159, $G$158=1), 0, IF(DP13&gt;Assumptions!$L$17, 0, IF(OR(DP$13=$E$110,DP$13=$F$110),$G$110,0)))</f>
        <v>0</v>
      </c>
      <c r="DQ110" s="531">
        <f>IF(AND(DQ13&gt;$G$159, $G$158=1), 0, IF(DQ13&gt;Assumptions!$L$17, 0, IF(OR(DQ$13=$E$110,DQ$13=$F$110),$G$110,0)))</f>
        <v>0</v>
      </c>
      <c r="DR110" s="531">
        <f>IF(AND(DR13&gt;$G$159, $G$158=1), 0, IF(DR13&gt;Assumptions!$L$17, 0, IF(OR(DR$13=$E$110,DR$13=$F$110),$G$110,0)))</f>
        <v>0</v>
      </c>
      <c r="DS110" s="531">
        <f>IF(AND(DS13&gt;$G$159, $G$158=1), 0, IF(DS13&gt;Assumptions!$L$17, 0, IF(OR(DS$13=$E$110,DS$13=$F$110),$G$110,0)))</f>
        <v>0</v>
      </c>
      <c r="DT110" s="531">
        <f>IF(AND(DT13&gt;$G$159, $G$158=1), 0, IF(DT13&gt;Assumptions!$L$17, 0, IF(OR(DT$13=$E$110,DT$13=$F$110),$G$110,0)))</f>
        <v>0</v>
      </c>
      <c r="DU110" s="531">
        <f>IF(AND(DU13&gt;$G$159, $G$158=1), 0, IF(DU13&gt;Assumptions!$L$17, 0, IF(OR(DU$13=$E$110,DU$13=$F$110),$G$110,0)))</f>
        <v>0</v>
      </c>
      <c r="DV110" s="531">
        <f>IF(AND(DV13&gt;$G$159, $G$158=1), 0, IF(DV13&gt;Assumptions!$L$17, 0, IF(OR(DV$13=$E$110,DV$13=$F$110),$G$110,0)))</f>
        <v>0</v>
      </c>
      <c r="DW110" s="531">
        <f>IF(AND(DW13&gt;$G$159, $G$158=1), 0, IF(DW13&gt;Assumptions!$L$17, 0, IF(OR(DW$13=$E$110,DW$13=$F$110),$G$110,0)))</f>
        <v>0</v>
      </c>
      <c r="DX110" s="531">
        <f>IF(AND(DX13&gt;$G$159, $G$158=1), 0, IF(DX13&gt;Assumptions!$L$17, 0, IF(OR(DX$13=$E$110,DX$13=$F$110),$G$110,0)))</f>
        <v>0</v>
      </c>
      <c r="DY110" s="531">
        <f>IF(AND(DY13&gt;$G$159, $G$158=1), 0, IF(DY13&gt;Assumptions!$L$17, 0, IF(OR(DY$13=$E$110,DY$13=$F$110),$G$110,0)))</f>
        <v>0</v>
      </c>
      <c r="DZ110" s="531">
        <f>IF(AND(DZ13&gt;$G$159, $G$158=1), 0, IF(DZ13&gt;Assumptions!$L$17, 0, IF(OR(DZ$13=$E$110,DZ$13=$F$110),$G$110,0)))</f>
        <v>0</v>
      </c>
      <c r="EA110" s="531">
        <f>IF(AND(EA13&gt;$G$159, $G$158=1), 0, IF(EA13&gt;Assumptions!$L$17, 0, IF(OR(EA$13=$E$110,EA$13=$F$110),$G$110,0)))</f>
        <v>0</v>
      </c>
      <c r="EB110" s="531">
        <f>IF(AND(EB13&gt;$G$159, $G$158=1), 0, IF(EB13&gt;Assumptions!$L$17, 0, IF(OR(EB$13=$E$110,EB$13=$F$110),$G$110,0)))</f>
        <v>0</v>
      </c>
      <c r="EC110" s="531">
        <f>IF(AND(EC13&gt;$G$159, $G$158=1), 0, IF(EC13&gt;Assumptions!$L$17, 0, IF(OR(EC$13=$E$110,EC$13=$F$110),$G$110,0)))</f>
        <v>0</v>
      </c>
      <c r="ED110" s="531">
        <f>IF(AND(ED13&gt;$G$159, $G$158=1), 0, IF(ED13&gt;Assumptions!$L$17, 0, IF(OR(ED$13=$E$110,ED$13=$F$110),$G$110,0)))</f>
        <v>0</v>
      </c>
      <c r="EE110" s="531">
        <f>IF(AND(EE13&gt;$G$159, $G$158=1), 0, IF(EE13&gt;Assumptions!$L$17, 0, IF(OR(EE$13=$E$110,EE$13=$F$110),$G$110,0)))</f>
        <v>0</v>
      </c>
      <c r="EF110" s="531">
        <f>IF(AND(EF13&gt;$G$159, $G$158=1), 0, IF(EF13&gt;Assumptions!$L$17, 0, IF(OR(EF$13=$E$110,EF$13=$F$110),$G$110,0)))</f>
        <v>0</v>
      </c>
      <c r="EG110" s="531">
        <f>IF(AND(EG13&gt;$G$159, $G$158=1), 0, IF(EG13&gt;Assumptions!$L$17, 0, IF(OR(EG$13=$E$110,EG$13=$F$110),$G$110,0)))</f>
        <v>0</v>
      </c>
      <c r="EH110" s="531">
        <f>IF(AND(EH13&gt;$G$159, $G$158=1), 0, IF(EH13&gt;Assumptions!$L$17, 0, IF(OR(EH$13=$E$110,EH$13=$F$110),$G$110,0)))</f>
        <v>0</v>
      </c>
      <c r="EI110" s="531">
        <f>IF(AND(EI13&gt;$G$159, $G$158=1), 0, IF(EI13&gt;Assumptions!$L$17, 0, IF(OR(EI$13=$E$110,EI$13=$F$110),$G$110,0)))</f>
        <v>0</v>
      </c>
      <c r="EJ110" s="531">
        <f>IF(AND(EJ13&gt;$G$159, $G$158=1), 0, IF(EJ13&gt;Assumptions!$L$17, 0, IF(OR(EJ$13=$E$110,EJ$13=$F$110),$G$110,0)))</f>
        <v>0</v>
      </c>
      <c r="EK110" s="531">
        <f>IF(AND(EK13&gt;$G$159, $G$158=1), 0, IF(EK13&gt;Assumptions!$L$17, 0, IF(OR(EK$13=$E$110,EK$13=$F$110),$G$110,0)))</f>
        <v>0</v>
      </c>
      <c r="EL110" s="531">
        <f>IF(AND(EL13&gt;$G$159, $G$158=1), 0, IF(EL13&gt;Assumptions!$L$17, 0, IF(OR(EL$13=$E$110,EL$13=$F$110),$G$110,0)))</f>
        <v>0</v>
      </c>
      <c r="EM110" s="531">
        <f>IF(AND(EM13&gt;$G$159, $G$158=1), 0, IF(EM13&gt;Assumptions!$L$17, 0, IF(OR(EM$13=$E$110,EM$13=$F$110),$G$110,0)))</f>
        <v>0</v>
      </c>
      <c r="EN110" s="531">
        <f>IF(AND(EN13&gt;$G$159, $G$158=1), 0, IF(EN13&gt;Assumptions!$L$17, 0, IF(OR(EN$13=$E$110,EN$13=$F$110),$G$110,0)))</f>
        <v>0</v>
      </c>
      <c r="EO110" s="531">
        <f>IF(AND(EO13&gt;$G$159, $G$158=1), 0, IF(EO13&gt;Assumptions!$L$17, 0, IF(OR(EO$13=$E$110,EO$13=$F$110),$G$110,0)))</f>
        <v>0</v>
      </c>
      <c r="EP110" s="531">
        <f>IF(AND(EP13&gt;$G$159, $G$158=1), 0, IF(EP13&gt;Assumptions!$L$17, 0, IF(OR(EP$13=$E$110,EP$13=$F$110),$G$110,0)))</f>
        <v>0</v>
      </c>
      <c r="EQ110" s="531">
        <f>IF(AND(EQ13&gt;$G$159, $G$158=1), 0, IF(EQ13&gt;Assumptions!$L$17, 0, IF(OR(EQ$13=$E$110,EQ$13=$F$110),$G$110,0)))</f>
        <v>0</v>
      </c>
      <c r="ER110" s="531">
        <f>IF(AND(ER13&gt;$G$159, $G$158=1), 0, IF(ER13&gt;Assumptions!$L$17, 0, IF(OR(ER$13=$E$110,ER$13=$F$110),$G$110,0)))</f>
        <v>0</v>
      </c>
      <c r="ES110" s="531">
        <f>IF(AND(ES13&gt;$G$159, $G$158=1), 0, IF(ES13&gt;Assumptions!$L$17, 0, IF(OR(ES$13=$E$110,ES$13=$F$110),$G$110,0)))</f>
        <v>0</v>
      </c>
      <c r="ET110" s="531">
        <f>IF(AND(ET13&gt;$G$159, $G$158=1), 0, IF(ET13&gt;Assumptions!$L$17, 0, IF(OR(ET$13=$E$110,ET$13=$F$110),$G$110,0)))</f>
        <v>0</v>
      </c>
      <c r="EU110" s="531">
        <f>IF(AND(EU13&gt;$G$159, $G$158=1), 0, IF(EU13&gt;Assumptions!$L$17, 0, IF(OR(EU$13=$E$110,EU$13=$F$110),$G$110,0)))</f>
        <v>0</v>
      </c>
      <c r="EV110" s="531">
        <f>IF(AND(EV13&gt;$G$159, $G$158=1), 0, IF(EV13&gt;Assumptions!$L$17, 0, IF(OR(EV$13=$E$110,EV$13=$F$110),$G$110,0)))</f>
        <v>0</v>
      </c>
      <c r="EW110" s="531">
        <f>IF(AND(EW13&gt;$G$159, $G$158=1), 0, IF(EW13&gt;Assumptions!$L$17, 0, IF(OR(EW$13=$E$110,EW$13=$F$110),$G$110,0)))</f>
        <v>0</v>
      </c>
      <c r="EX110" s="531">
        <f>IF(AND(EX13&gt;$G$159, $G$158=1), 0, IF(EX13&gt;Assumptions!$L$17, 0, IF(OR(EX$13=$E$110,EX$13=$F$110),$G$110,0)))</f>
        <v>0</v>
      </c>
      <c r="EY110" s="531">
        <f>IF(AND(EY13&gt;$G$159, $G$158=1), 0, IF(EY13&gt;Assumptions!$L$17, 0, IF(OR(EY$13=$E$110,EY$13=$F$110),$G$110,0)))</f>
        <v>0</v>
      </c>
      <c r="EZ110" s="531">
        <f>IF(AND(EZ13&gt;$G$159, $G$158=1), 0, IF(EZ13&gt;Assumptions!$L$17, 0, IF(OR(EZ$13=$E$110,EZ$13=$F$110),$G$110,0)))</f>
        <v>0</v>
      </c>
      <c r="FA110" s="531">
        <f>IF(AND(FA13&gt;$G$159, $G$158=1), 0, IF(FA13&gt;Assumptions!$L$17, 0, IF(OR(FA$13=$E$110,FA$13=$F$110),$G$110,0)))</f>
        <v>0</v>
      </c>
      <c r="FB110" s="531">
        <f>IF(AND(FB13&gt;$G$159, $G$158=1), 0, IF(FB13&gt;Assumptions!$L$17, 0, IF(OR(FB$13=$E$110,FB$13=$F$110),$G$110,0)))</f>
        <v>0</v>
      </c>
      <c r="FC110" s="531">
        <f>IF(AND(FC13&gt;$G$159, $G$158=1), 0, IF(FC13&gt;Assumptions!$L$17, 0, IF(OR(FC$13=$E$110,FC$13=$F$110),$G$110,0)))</f>
        <v>0</v>
      </c>
      <c r="FD110" s="531">
        <f>IF(AND(FD13&gt;$G$159, $G$158=1), 0, IF(FD13&gt;Assumptions!$L$17, 0, IF(OR(FD$13=$E$110,FD$13=$F$110),$G$110,0)))</f>
        <v>0</v>
      </c>
      <c r="FE110" s="531">
        <f>IF(AND(FE13&gt;$G$159, $G$158=1), 0, IF(FE13&gt;Assumptions!$L$17, 0, IF(OR(FE$13=$E$110,FE$13=$F$110),$G$110,0)))</f>
        <v>0</v>
      </c>
      <c r="FF110" s="531">
        <f>IF(AND(FF13&gt;$G$159, $G$158=1), 0, IF(FF13&gt;Assumptions!$L$17, 0, IF(OR(FF$13=$E$110,FF$13=$F$110),$G$110,0)))</f>
        <v>0</v>
      </c>
      <c r="FG110" s="531">
        <f>IF(AND(FG13&gt;$G$159, $G$158=1), 0, IF(FG13&gt;Assumptions!$L$17, 0, IF(OR(FG$13=$E$110,FG$13=$F$110),$G$110,0)))</f>
        <v>0</v>
      </c>
      <c r="FH110" s="531">
        <f>IF(AND(FH13&gt;$G$159, $G$158=1), 0, IF(FH13&gt;Assumptions!$L$17, 0, IF(OR(FH$13=$E$110,FH$13=$F$110),$G$110,0)))</f>
        <v>0</v>
      </c>
      <c r="FI110" s="531">
        <f>IF(AND(FI13&gt;$G$159, $G$158=1), 0, IF(FI13&gt;Assumptions!$L$17, 0, IF(OR(FI$13=$E$110,FI$13=$F$110),$G$110,0)))</f>
        <v>0</v>
      </c>
      <c r="FJ110" s="531">
        <f>IF(AND(FJ13&gt;$G$159, $G$158=1), 0, IF(FJ13&gt;Assumptions!$L$17, 0, IF(OR(FJ$13=$E$110,FJ$13=$F$110),$G$110,0)))</f>
        <v>0</v>
      </c>
      <c r="FK110" s="531">
        <f>IF(AND(FK13&gt;$G$159, $G$158=1), 0, IF(FK13&gt;Assumptions!$L$17, 0, IF(OR(FK$13=$E$110,FK$13=$F$110),$G$110,0)))</f>
        <v>0</v>
      </c>
      <c r="FL110" s="531">
        <f>IF(AND(FL13&gt;$G$159, $G$158=1), 0, IF(FL13&gt;Assumptions!$L$17, 0, IF(OR(FL$13=$E$110,FL$13=$F$110),$G$110,0)))</f>
        <v>0</v>
      </c>
      <c r="FM110" s="531">
        <f>IF(AND(FM13&gt;$G$159, $G$158=1), 0, IF(FM13&gt;Assumptions!$L$17, 0, IF(OR(FM$13=$E$110,FM$13=$F$110),$G$110,0)))</f>
        <v>0</v>
      </c>
      <c r="FN110" s="531">
        <f>IF(AND(FN13&gt;$G$159, $G$158=1), 0, IF(FN13&gt;Assumptions!$L$17, 0, IF(OR(FN$13=$E$110,FN$13=$F$110),$G$110,0)))</f>
        <v>0</v>
      </c>
      <c r="FO110" s="531">
        <f>IF(AND(FO13&gt;$G$159, $G$158=1), 0, IF(FO13&gt;Assumptions!$L$17, 0, IF(OR(FO$13=$E$110,FO$13=$F$110),$G$110,0)))</f>
        <v>0</v>
      </c>
      <c r="FP110" s="531">
        <f>IF(AND(FP13&gt;$G$159, $G$158=1), 0, IF(FP13&gt;Assumptions!$L$17, 0, IF(OR(FP$13=$E$110,FP$13=$F$110),$G$110,0)))</f>
        <v>0</v>
      </c>
      <c r="FQ110" s="531">
        <f>IF(AND(FQ13&gt;$G$159, $G$158=1), 0, IF(FQ13&gt;Assumptions!$L$17, 0, IF(OR(FQ$13=$E$110,FQ$13=$F$110),$G$110,0)))</f>
        <v>0</v>
      </c>
      <c r="FR110" s="531">
        <f>IF(AND(FR13&gt;$G$159, $G$158=1), 0, IF(FR13&gt;Assumptions!$L$17, 0, IF(OR(FR$13=$E$110,FR$13=$F$110),$G$110,0)))</f>
        <v>0</v>
      </c>
      <c r="FS110" s="531">
        <f>IF(AND(FS13&gt;$G$159, $G$158=1), 0, IF(FS13&gt;Assumptions!$L$17, 0, IF(OR(FS$13=$E$110,FS$13=$F$110),$G$110,0)))</f>
        <v>0</v>
      </c>
      <c r="FT110" s="531">
        <f>IF(AND(FT13&gt;$G$159, $G$158=1), 0, IF(FT13&gt;Assumptions!$L$17, 0, IF(OR(FT$13=$E$110,FT$13=$F$110),$G$110,0)))</f>
        <v>0</v>
      </c>
      <c r="FU110" s="531">
        <f>IF(AND(FU13&gt;$G$159, $G$158=1), 0, IF(FU13&gt;Assumptions!$L$17, 0, IF(OR(FU$13=$E$110,FU$13=$F$110),$G$110,0)))</f>
        <v>0</v>
      </c>
      <c r="FV110" s="531">
        <f>IF(AND(FV13&gt;$G$159, $G$158=1), 0, IF(FV13&gt;Assumptions!$L$17, 0, IF(OR(FV$13=$E$110,FV$13=$F$110),$G$110,0)))</f>
        <v>0</v>
      </c>
      <c r="FW110" s="531">
        <f>IF(AND(FW13&gt;$G$159, $G$158=1), 0, IF(FW13&gt;Assumptions!$L$17, 0, IF(OR(FW$13=$E$110,FW$13=$F$110),$G$110,0)))</f>
        <v>0</v>
      </c>
      <c r="FX110" s="531">
        <f>IF(AND(FX13&gt;$G$159, $G$158=1), 0, IF(FX13&gt;Assumptions!$L$17, 0, IF(OR(FX$13=$E$110,FX$13=$F$110),$G$110,0)))</f>
        <v>0</v>
      </c>
      <c r="FY110" s="531">
        <f>IF(AND(FY13&gt;$G$159, $G$158=1), 0, IF(FY13&gt;Assumptions!$L$17, 0, IF(OR(FY$13=$E$110,FY$13=$F$110),$G$110,0)))</f>
        <v>0</v>
      </c>
      <c r="FZ110" s="531">
        <f>IF(AND(FZ13&gt;$G$159, $G$158=1), 0, IF(FZ13&gt;Assumptions!$L$17, 0, IF(OR(FZ$13=$E$110,FZ$13=$F$110),$G$110,0)))</f>
        <v>0</v>
      </c>
      <c r="GA110" s="531">
        <f>IF(AND(GA13&gt;$G$159, $G$158=1), 0, IF(GA13&gt;Assumptions!$L$17, 0, IF(OR(GA$13=$E$110,GA$13=$F$110),$G$110,0)))</f>
        <v>0</v>
      </c>
      <c r="GB110" s="531">
        <f>IF(AND(GB13&gt;$G$159, $G$158=1), 0, IF(GB13&gt;Assumptions!$L$17, 0, IF(OR(GB$13=$E$110,GB$13=$F$110),$G$110,0)))</f>
        <v>0</v>
      </c>
      <c r="GC110" s="531">
        <f>IF(AND(GC13&gt;$G$159, $G$158=1), 0, IF(GC13&gt;Assumptions!$L$17, 0, IF(OR(GC$13=$E$110,GC$13=$F$110),$G$110,0)))</f>
        <v>0</v>
      </c>
      <c r="GD110" s="531"/>
      <c r="GE110" s="531"/>
      <c r="GF110" s="531"/>
      <c r="GG110" s="531"/>
      <c r="GH110" s="531"/>
      <c r="GI110" s="531"/>
      <c r="GJ110" s="531"/>
      <c r="GK110" s="531"/>
      <c r="GL110" s="531"/>
      <c r="GM110" s="531"/>
      <c r="GN110" s="531"/>
      <c r="GO110" s="531"/>
      <c r="GP110" s="531">
        <f>IF(AND(GP13&gt;$G$159, $G$158=1), 0, IF(GP13&gt;Assumptions!$L$17, 0, IF(OR(GP$13=$E$110,GP$13=$F$110),$G$110,0)))</f>
        <v>0</v>
      </c>
      <c r="GQ110" s="531">
        <f>IF(AND(GQ13&gt;$G$159, $G$158=1), 0, IF(GQ13&gt;Assumptions!$L$17, 0, IF(OR(GQ$13=$E$110,GQ$13=$F$110),$G$110,0)))</f>
        <v>0</v>
      </c>
      <c r="GR110" s="531">
        <f>IF(AND(GR13&gt;$G$159, $G$158=1), 0, IF(GR13&gt;Assumptions!$L$17, 0, IF(OR(GR$13=$E$110,GR$13=$F$110),$G$110,0)))</f>
        <v>0</v>
      </c>
      <c r="GS110" s="531">
        <f>IF(AND(GS13&gt;$G$159, $G$158=1), 0, IF(GS13&gt;Assumptions!$L$17, 0, IF(OR(GS$13=$E$110,GS$13=$F$110),$G$110,0)))</f>
        <v>0</v>
      </c>
      <c r="GT110" s="531">
        <f>IF(AND(GT13&gt;$G$159, $G$158=1), 0, IF(GT13&gt;Assumptions!$L$17, 0, IF(OR(GT$13=$E$110,GT$13=$F$110),$G$110,0)))</f>
        <v>0</v>
      </c>
      <c r="GU110" s="531"/>
      <c r="GV110" s="531"/>
      <c r="GW110" s="531"/>
      <c r="GX110" s="531"/>
      <c r="GY110" s="531"/>
      <c r="GZ110" s="531"/>
      <c r="HA110" s="531"/>
      <c r="HB110" s="531"/>
      <c r="HC110" s="531"/>
      <c r="HD110" s="531"/>
      <c r="HE110" s="531"/>
      <c r="HF110" s="1" t="s">
        <v>212</v>
      </c>
      <c r="HH110" s="9" t="str">
        <f t="shared" si="766"/>
        <v>Loan Extension Fee(s)</v>
      </c>
      <c r="HI110" s="26"/>
      <c r="HJ110" s="26"/>
      <c r="HK110" s="26"/>
      <c r="HL110" s="132">
        <f t="shared" si="773"/>
        <v>108.97897</v>
      </c>
      <c r="HM110" s="26"/>
      <c r="HN110" s="133">
        <f t="shared" si="774"/>
        <v>0</v>
      </c>
      <c r="HO110" s="26">
        <f t="shared" si="774"/>
        <v>0</v>
      </c>
      <c r="HP110" s="26">
        <f t="shared" si="774"/>
        <v>0</v>
      </c>
      <c r="HQ110" s="26">
        <f t="shared" si="774"/>
        <v>0</v>
      </c>
      <c r="HR110" s="26">
        <f t="shared" si="774"/>
        <v>108.97897</v>
      </c>
      <c r="HS110" s="26">
        <f t="shared" si="774"/>
        <v>0</v>
      </c>
      <c r="HT110" s="26">
        <f t="shared" si="774"/>
        <v>0</v>
      </c>
      <c r="HU110" s="26">
        <f t="shared" si="774"/>
        <v>0</v>
      </c>
      <c r="HV110" s="26">
        <f t="shared" si="774"/>
        <v>0</v>
      </c>
      <c r="HW110"/>
    </row>
    <row r="111" spans="2:231" ht="15" outlineLevel="1">
      <c r="B111" s="9" t="s">
        <v>25</v>
      </c>
      <c r="C111" s="9"/>
      <c r="D111" s="9"/>
      <c r="E111" s="9"/>
      <c r="F111" s="9"/>
      <c r="G111" s="9"/>
      <c r="H111" s="9"/>
      <c r="I111" s="132">
        <f ca="1">SUMIF($K$13:$GT$13,"&lt;="&amp;Assumptions!$L$17,'Monthly Cash Flow'!K111:GT111)</f>
        <v>499.20616000000007</v>
      </c>
      <c r="J111" s="26"/>
      <c r="K111" s="133">
        <f t="shared" ref="K111:AP111" si="776">K88</f>
        <v>0</v>
      </c>
      <c r="L111" s="531">
        <f t="shared" si="776"/>
        <v>0</v>
      </c>
      <c r="M111" s="531">
        <f t="shared" si="776"/>
        <v>0</v>
      </c>
      <c r="N111" s="531">
        <f t="shared" si="776"/>
        <v>0</v>
      </c>
      <c r="O111" s="531">
        <f t="shared" si="776"/>
        <v>0</v>
      </c>
      <c r="P111" s="531">
        <f t="shared" si="776"/>
        <v>0</v>
      </c>
      <c r="Q111" s="531">
        <f t="shared" si="776"/>
        <v>0</v>
      </c>
      <c r="R111" s="531">
        <f t="shared" si="776"/>
        <v>0</v>
      </c>
      <c r="S111" s="531">
        <f t="shared" si="776"/>
        <v>0</v>
      </c>
      <c r="T111" s="531">
        <f t="shared" si="776"/>
        <v>0</v>
      </c>
      <c r="U111" s="531">
        <f t="shared" si="776"/>
        <v>0</v>
      </c>
      <c r="V111" s="531">
        <f t="shared" si="776"/>
        <v>0</v>
      </c>
      <c r="W111" s="531">
        <f t="shared" si="776"/>
        <v>129.80023</v>
      </c>
      <c r="X111" s="531">
        <f t="shared" si="776"/>
        <v>0</v>
      </c>
      <c r="Y111" s="531">
        <f t="shared" si="776"/>
        <v>5.0317100000000039</v>
      </c>
      <c r="Z111" s="531">
        <f t="shared" si="776"/>
        <v>0</v>
      </c>
      <c r="AA111" s="531">
        <f t="shared" si="776"/>
        <v>0</v>
      </c>
      <c r="AB111" s="531">
        <f t="shared" si="776"/>
        <v>0</v>
      </c>
      <c r="AC111" s="531">
        <f t="shared" si="776"/>
        <v>0</v>
      </c>
      <c r="AD111" s="531">
        <f t="shared" si="776"/>
        <v>0</v>
      </c>
      <c r="AE111" s="531">
        <f t="shared" si="776"/>
        <v>0</v>
      </c>
      <c r="AF111" s="531">
        <f t="shared" si="776"/>
        <v>0</v>
      </c>
      <c r="AG111" s="531">
        <f t="shared" si="776"/>
        <v>0</v>
      </c>
      <c r="AH111" s="531">
        <f t="shared" si="776"/>
        <v>0</v>
      </c>
      <c r="AI111" s="531">
        <f t="shared" si="776"/>
        <v>0</v>
      </c>
      <c r="AJ111" s="531">
        <f t="shared" si="776"/>
        <v>0</v>
      </c>
      <c r="AK111" s="531">
        <f t="shared" si="776"/>
        <v>0</v>
      </c>
      <c r="AL111" s="531">
        <f t="shared" si="776"/>
        <v>0</v>
      </c>
      <c r="AM111" s="531">
        <f t="shared" si="776"/>
        <v>0</v>
      </c>
      <c r="AN111" s="531">
        <f t="shared" si="776"/>
        <v>0</v>
      </c>
      <c r="AO111" s="531">
        <f t="shared" si="776"/>
        <v>0</v>
      </c>
      <c r="AP111" s="531">
        <f t="shared" si="776"/>
        <v>0</v>
      </c>
      <c r="AQ111" s="531">
        <f t="shared" ref="AQ111:BV111" si="777">AQ88</f>
        <v>0</v>
      </c>
      <c r="AR111" s="531">
        <f t="shared" si="777"/>
        <v>0</v>
      </c>
      <c r="AS111" s="531">
        <f t="shared" si="777"/>
        <v>0</v>
      </c>
      <c r="AT111" s="531">
        <f t="shared" si="777"/>
        <v>0</v>
      </c>
      <c r="AU111" s="531">
        <f t="shared" si="777"/>
        <v>0</v>
      </c>
      <c r="AV111" s="531">
        <f t="shared" si="777"/>
        <v>0</v>
      </c>
      <c r="AW111" s="531">
        <f t="shared" si="777"/>
        <v>0</v>
      </c>
      <c r="AX111" s="531">
        <f t="shared" si="777"/>
        <v>0</v>
      </c>
      <c r="AY111" s="531">
        <f t="shared" si="777"/>
        <v>0</v>
      </c>
      <c r="AZ111" s="531">
        <f t="shared" si="777"/>
        <v>0</v>
      </c>
      <c r="BA111" s="531">
        <f t="shared" si="777"/>
        <v>0</v>
      </c>
      <c r="BB111" s="531">
        <f t="shared" si="777"/>
        <v>0</v>
      </c>
      <c r="BC111" s="531">
        <f t="shared" si="777"/>
        <v>0</v>
      </c>
      <c r="BD111" s="531">
        <f t="shared" si="777"/>
        <v>0</v>
      </c>
      <c r="BE111" s="531">
        <f t="shared" si="777"/>
        <v>0</v>
      </c>
      <c r="BF111" s="531">
        <f t="shared" si="777"/>
        <v>0</v>
      </c>
      <c r="BG111" s="531">
        <f t="shared" si="777"/>
        <v>0</v>
      </c>
      <c r="BH111" s="531">
        <f t="shared" si="777"/>
        <v>0</v>
      </c>
      <c r="BI111" s="531">
        <f t="shared" si="777"/>
        <v>0</v>
      </c>
      <c r="BJ111" s="531">
        <f t="shared" si="777"/>
        <v>364.37422000000004</v>
      </c>
      <c r="BK111" s="531">
        <f t="shared" si="777"/>
        <v>0</v>
      </c>
      <c r="BL111" s="531">
        <f t="shared" ca="1" si="777"/>
        <v>0</v>
      </c>
      <c r="BM111" s="531">
        <f t="shared" ca="1" si="777"/>
        <v>0</v>
      </c>
      <c r="BN111" s="531">
        <f t="shared" ca="1" si="777"/>
        <v>0</v>
      </c>
      <c r="BO111" s="531">
        <f t="shared" ca="1" si="777"/>
        <v>0</v>
      </c>
      <c r="BP111" s="531">
        <f t="shared" ca="1" si="777"/>
        <v>0</v>
      </c>
      <c r="BQ111" s="531">
        <f t="shared" ca="1" si="777"/>
        <v>0</v>
      </c>
      <c r="BR111" s="531">
        <f t="shared" ca="1" si="777"/>
        <v>0</v>
      </c>
      <c r="BS111" s="531">
        <f t="shared" ca="1" si="777"/>
        <v>0</v>
      </c>
      <c r="BT111" s="531">
        <f t="shared" ca="1" si="777"/>
        <v>0</v>
      </c>
      <c r="BU111" s="531">
        <f t="shared" ca="1" si="777"/>
        <v>0</v>
      </c>
      <c r="BV111" s="531">
        <f t="shared" ca="1" si="777"/>
        <v>0</v>
      </c>
      <c r="BW111" s="531">
        <f t="shared" ref="BW111:DB111" ca="1" si="778">BW88</f>
        <v>0</v>
      </c>
      <c r="BX111" s="531">
        <f t="shared" ca="1" si="778"/>
        <v>0</v>
      </c>
      <c r="BY111" s="531">
        <f t="shared" ca="1" si="778"/>
        <v>0</v>
      </c>
      <c r="BZ111" s="531">
        <f t="shared" ca="1" si="778"/>
        <v>0</v>
      </c>
      <c r="CA111" s="531">
        <f t="shared" ca="1" si="778"/>
        <v>0</v>
      </c>
      <c r="CB111" s="531">
        <f t="shared" ca="1" si="778"/>
        <v>0</v>
      </c>
      <c r="CC111" s="531">
        <f t="shared" ca="1" si="778"/>
        <v>0</v>
      </c>
      <c r="CD111" s="531">
        <f t="shared" ca="1" si="778"/>
        <v>0</v>
      </c>
      <c r="CE111" s="531">
        <f t="shared" ca="1" si="778"/>
        <v>0</v>
      </c>
      <c r="CF111" s="531">
        <f t="shared" ca="1" si="778"/>
        <v>0</v>
      </c>
      <c r="CG111" s="531">
        <f t="shared" ca="1" si="778"/>
        <v>0</v>
      </c>
      <c r="CH111" s="531">
        <f t="shared" ca="1" si="778"/>
        <v>0</v>
      </c>
      <c r="CI111" s="531">
        <f t="shared" ca="1" si="778"/>
        <v>0</v>
      </c>
      <c r="CJ111" s="531">
        <f t="shared" ca="1" si="778"/>
        <v>0</v>
      </c>
      <c r="CK111" s="531">
        <f t="shared" ca="1" si="778"/>
        <v>0</v>
      </c>
      <c r="CL111" s="531">
        <f t="shared" ca="1" si="778"/>
        <v>0</v>
      </c>
      <c r="CM111" s="531">
        <f t="shared" ca="1" si="778"/>
        <v>0</v>
      </c>
      <c r="CN111" s="531">
        <f t="shared" ca="1" si="778"/>
        <v>0</v>
      </c>
      <c r="CO111" s="531">
        <f t="shared" ca="1" si="778"/>
        <v>0</v>
      </c>
      <c r="CP111" s="531">
        <f t="shared" ca="1" si="778"/>
        <v>0</v>
      </c>
      <c r="CQ111" s="531">
        <f t="shared" ca="1" si="778"/>
        <v>0</v>
      </c>
      <c r="CR111" s="531">
        <f t="shared" ca="1" si="778"/>
        <v>0</v>
      </c>
      <c r="CS111" s="531">
        <f t="shared" ca="1" si="778"/>
        <v>0</v>
      </c>
      <c r="CT111" s="531">
        <f t="shared" ca="1" si="778"/>
        <v>0</v>
      </c>
      <c r="CU111" s="531">
        <f t="shared" ca="1" si="778"/>
        <v>0</v>
      </c>
      <c r="CV111" s="531">
        <f t="shared" ca="1" si="778"/>
        <v>0</v>
      </c>
      <c r="CW111" s="531">
        <f t="shared" ca="1" si="778"/>
        <v>0</v>
      </c>
      <c r="CX111" s="531">
        <f t="shared" ca="1" si="778"/>
        <v>0</v>
      </c>
      <c r="CY111" s="531">
        <f t="shared" ca="1" si="778"/>
        <v>0</v>
      </c>
      <c r="CZ111" s="531">
        <f t="shared" ca="1" si="778"/>
        <v>0</v>
      </c>
      <c r="DA111" s="531">
        <f t="shared" ca="1" si="778"/>
        <v>0</v>
      </c>
      <c r="DB111" s="531">
        <f t="shared" ca="1" si="778"/>
        <v>0</v>
      </c>
      <c r="DC111" s="531">
        <f t="shared" ref="DC111:EH111" ca="1" si="779">DC88</f>
        <v>0</v>
      </c>
      <c r="DD111" s="531">
        <f t="shared" ca="1" si="779"/>
        <v>0</v>
      </c>
      <c r="DE111" s="531">
        <f t="shared" ca="1" si="779"/>
        <v>0</v>
      </c>
      <c r="DF111" s="531">
        <f t="shared" ca="1" si="779"/>
        <v>0</v>
      </c>
      <c r="DG111" s="531">
        <f t="shared" ca="1" si="779"/>
        <v>0</v>
      </c>
      <c r="DH111" s="531">
        <f t="shared" ca="1" si="779"/>
        <v>0</v>
      </c>
      <c r="DI111" s="531">
        <f t="shared" ca="1" si="779"/>
        <v>0</v>
      </c>
      <c r="DJ111" s="531">
        <f t="shared" si="779"/>
        <v>0</v>
      </c>
      <c r="DK111" s="531">
        <f t="shared" si="779"/>
        <v>0</v>
      </c>
      <c r="DL111" s="531">
        <f t="shared" si="779"/>
        <v>0</v>
      </c>
      <c r="DM111" s="531">
        <f t="shared" si="779"/>
        <v>0</v>
      </c>
      <c r="DN111" s="531">
        <f t="shared" si="779"/>
        <v>0</v>
      </c>
      <c r="DO111" s="531">
        <f t="shared" si="779"/>
        <v>0</v>
      </c>
      <c r="DP111" s="531">
        <f t="shared" si="779"/>
        <v>0</v>
      </c>
      <c r="DQ111" s="531">
        <f t="shared" si="779"/>
        <v>0</v>
      </c>
      <c r="DR111" s="531">
        <f t="shared" si="779"/>
        <v>0</v>
      </c>
      <c r="DS111" s="531">
        <f t="shared" si="779"/>
        <v>0</v>
      </c>
      <c r="DT111" s="531">
        <f t="shared" si="779"/>
        <v>0</v>
      </c>
      <c r="DU111" s="531">
        <f t="shared" si="779"/>
        <v>0</v>
      </c>
      <c r="DV111" s="531">
        <f t="shared" si="779"/>
        <v>0</v>
      </c>
      <c r="DW111" s="531">
        <f t="shared" si="779"/>
        <v>0</v>
      </c>
      <c r="DX111" s="531">
        <f t="shared" si="779"/>
        <v>0</v>
      </c>
      <c r="DY111" s="531">
        <f t="shared" si="779"/>
        <v>0</v>
      </c>
      <c r="DZ111" s="531">
        <f t="shared" si="779"/>
        <v>0</v>
      </c>
      <c r="EA111" s="531">
        <f t="shared" si="779"/>
        <v>0</v>
      </c>
      <c r="EB111" s="531">
        <f t="shared" si="779"/>
        <v>0</v>
      </c>
      <c r="EC111" s="531">
        <f t="shared" si="779"/>
        <v>0</v>
      </c>
      <c r="ED111" s="531">
        <f t="shared" si="779"/>
        <v>0</v>
      </c>
      <c r="EE111" s="531">
        <f t="shared" si="779"/>
        <v>0</v>
      </c>
      <c r="EF111" s="531">
        <f t="shared" si="779"/>
        <v>0</v>
      </c>
      <c r="EG111" s="531">
        <f t="shared" si="779"/>
        <v>0</v>
      </c>
      <c r="EH111" s="531">
        <f t="shared" si="779"/>
        <v>0</v>
      </c>
      <c r="EI111" s="531">
        <f t="shared" ref="EI111:FN111" si="780">EI88</f>
        <v>0</v>
      </c>
      <c r="EJ111" s="531">
        <f t="shared" si="780"/>
        <v>0</v>
      </c>
      <c r="EK111" s="531">
        <f t="shared" si="780"/>
        <v>0</v>
      </c>
      <c r="EL111" s="531">
        <f t="shared" si="780"/>
        <v>0</v>
      </c>
      <c r="EM111" s="531">
        <f t="shared" si="780"/>
        <v>0</v>
      </c>
      <c r="EN111" s="531">
        <f t="shared" si="780"/>
        <v>0</v>
      </c>
      <c r="EO111" s="531">
        <f t="shared" si="780"/>
        <v>0</v>
      </c>
      <c r="EP111" s="531">
        <f t="shared" si="780"/>
        <v>0</v>
      </c>
      <c r="EQ111" s="531">
        <f t="shared" si="780"/>
        <v>0</v>
      </c>
      <c r="ER111" s="531">
        <f t="shared" si="780"/>
        <v>0</v>
      </c>
      <c r="ES111" s="531">
        <f t="shared" si="780"/>
        <v>0</v>
      </c>
      <c r="ET111" s="531">
        <f t="shared" si="780"/>
        <v>0</v>
      </c>
      <c r="EU111" s="531">
        <f t="shared" si="780"/>
        <v>0</v>
      </c>
      <c r="EV111" s="531">
        <f t="shared" si="780"/>
        <v>0</v>
      </c>
      <c r="EW111" s="531">
        <f t="shared" si="780"/>
        <v>0</v>
      </c>
      <c r="EX111" s="531">
        <f t="shared" si="780"/>
        <v>0</v>
      </c>
      <c r="EY111" s="531">
        <f t="shared" si="780"/>
        <v>0</v>
      </c>
      <c r="EZ111" s="531">
        <f t="shared" si="780"/>
        <v>0</v>
      </c>
      <c r="FA111" s="531">
        <f t="shared" si="780"/>
        <v>0</v>
      </c>
      <c r="FB111" s="531">
        <f t="shared" si="780"/>
        <v>0</v>
      </c>
      <c r="FC111" s="531">
        <f t="shared" si="780"/>
        <v>0</v>
      </c>
      <c r="FD111" s="531">
        <f t="shared" si="780"/>
        <v>0</v>
      </c>
      <c r="FE111" s="531">
        <f t="shared" si="780"/>
        <v>0</v>
      </c>
      <c r="FF111" s="531">
        <f t="shared" si="780"/>
        <v>0</v>
      </c>
      <c r="FG111" s="531">
        <f t="shared" si="780"/>
        <v>0</v>
      </c>
      <c r="FH111" s="531">
        <f t="shared" si="780"/>
        <v>0</v>
      </c>
      <c r="FI111" s="531">
        <f t="shared" si="780"/>
        <v>0</v>
      </c>
      <c r="FJ111" s="531">
        <f t="shared" si="780"/>
        <v>0</v>
      </c>
      <c r="FK111" s="531">
        <f t="shared" si="780"/>
        <v>0</v>
      </c>
      <c r="FL111" s="531">
        <f t="shared" si="780"/>
        <v>0</v>
      </c>
      <c r="FM111" s="531">
        <f t="shared" si="780"/>
        <v>0</v>
      </c>
      <c r="FN111" s="531">
        <f t="shared" si="780"/>
        <v>0</v>
      </c>
      <c r="FO111" s="531">
        <f t="shared" ref="FO111:GC111" si="781">FO88</f>
        <v>0</v>
      </c>
      <c r="FP111" s="531">
        <f t="shared" si="781"/>
        <v>0</v>
      </c>
      <c r="FQ111" s="531">
        <f t="shared" si="781"/>
        <v>0</v>
      </c>
      <c r="FR111" s="531">
        <f t="shared" si="781"/>
        <v>0</v>
      </c>
      <c r="FS111" s="531">
        <f t="shared" si="781"/>
        <v>0</v>
      </c>
      <c r="FT111" s="531">
        <f t="shared" si="781"/>
        <v>0</v>
      </c>
      <c r="FU111" s="531">
        <f t="shared" si="781"/>
        <v>0</v>
      </c>
      <c r="FV111" s="531">
        <f t="shared" si="781"/>
        <v>0</v>
      </c>
      <c r="FW111" s="531">
        <f t="shared" si="781"/>
        <v>0</v>
      </c>
      <c r="FX111" s="531">
        <f t="shared" si="781"/>
        <v>0</v>
      </c>
      <c r="FY111" s="531">
        <f t="shared" si="781"/>
        <v>0</v>
      </c>
      <c r="FZ111" s="531">
        <f t="shared" si="781"/>
        <v>0</v>
      </c>
      <c r="GA111" s="531">
        <f t="shared" si="781"/>
        <v>0</v>
      </c>
      <c r="GB111" s="531">
        <f t="shared" si="781"/>
        <v>0</v>
      </c>
      <c r="GC111" s="531">
        <f t="shared" si="781"/>
        <v>0</v>
      </c>
      <c r="GD111" s="531"/>
      <c r="GE111" s="531"/>
      <c r="GF111" s="531"/>
      <c r="GG111" s="531"/>
      <c r="GH111" s="531"/>
      <c r="GI111" s="531"/>
      <c r="GJ111" s="531"/>
      <c r="GK111" s="531"/>
      <c r="GL111" s="531"/>
      <c r="GM111" s="531"/>
      <c r="GN111" s="531"/>
      <c r="GO111" s="531"/>
      <c r="GP111" s="531">
        <f>GP88</f>
        <v>0</v>
      </c>
      <c r="GQ111" s="531">
        <f>GQ88</f>
        <v>0</v>
      </c>
      <c r="GR111" s="531">
        <f>GR88</f>
        <v>0</v>
      </c>
      <c r="GS111" s="531">
        <f>GS88</f>
        <v>0</v>
      </c>
      <c r="GT111" s="531">
        <f>GT88</f>
        <v>0</v>
      </c>
      <c r="GU111" s="531"/>
      <c r="GV111" s="531"/>
      <c r="GW111" s="531"/>
      <c r="GX111" s="531"/>
      <c r="GY111" s="531"/>
      <c r="GZ111" s="531"/>
      <c r="HA111" s="531"/>
      <c r="HB111" s="531"/>
      <c r="HC111" s="531"/>
      <c r="HD111" s="531"/>
      <c r="HE111" s="531"/>
      <c r="HF111" s="1" t="s">
        <v>212</v>
      </c>
      <c r="HH111" s="9" t="str">
        <f t="shared" si="766"/>
        <v>Operating Losses</v>
      </c>
      <c r="HI111" s="26"/>
      <c r="HJ111" s="26"/>
      <c r="HK111" s="26"/>
      <c r="HL111" s="132">
        <f t="shared" ca="1" si="773"/>
        <v>499.20616000000007</v>
      </c>
      <c r="HM111" s="26"/>
      <c r="HN111" s="133">
        <f t="shared" si="774"/>
        <v>0</v>
      </c>
      <c r="HO111" s="26">
        <f t="shared" si="774"/>
        <v>129.80023</v>
      </c>
      <c r="HP111" s="26">
        <f t="shared" si="774"/>
        <v>5.0317100000000039</v>
      </c>
      <c r="HQ111" s="26">
        <f t="shared" si="774"/>
        <v>0</v>
      </c>
      <c r="HR111" s="26">
        <f t="shared" si="774"/>
        <v>0</v>
      </c>
      <c r="HS111" s="26">
        <f t="shared" ca="1" si="774"/>
        <v>364.37422000000004</v>
      </c>
      <c r="HT111" s="26">
        <f t="shared" ca="1" si="774"/>
        <v>0</v>
      </c>
      <c r="HU111" s="26">
        <f t="shared" ca="1" si="774"/>
        <v>0</v>
      </c>
      <c r="HV111" s="26">
        <f t="shared" ca="1" si="774"/>
        <v>0</v>
      </c>
      <c r="HW111"/>
    </row>
    <row r="112" spans="2:231" ht="15" outlineLevel="1">
      <c r="B112" s="43" t="s">
        <v>1016</v>
      </c>
      <c r="C112" s="43"/>
      <c r="D112" s="43"/>
      <c r="E112" s="43"/>
      <c r="F112" s="43"/>
      <c r="G112" s="43"/>
      <c r="H112" s="43"/>
      <c r="I112" s="119">
        <f ca="1">SUMIF($K$13:$GT$13,"&lt;="&amp;Assumptions!$L$17,'Monthly Cash Flow'!K112:GT112)</f>
        <v>1715.5169299999993</v>
      </c>
      <c r="J112" s="120"/>
      <c r="K112" s="140">
        <f t="shared" ref="K112" si="782">K150</f>
        <v>0</v>
      </c>
      <c r="L112" s="526">
        <f>+L150</f>
        <v>0</v>
      </c>
      <c r="M112" s="526">
        <f t="shared" ref="M112:BX112" si="783">+M150</f>
        <v>0</v>
      </c>
      <c r="N112" s="526">
        <f t="shared" si="783"/>
        <v>0</v>
      </c>
      <c r="O112" s="526">
        <f t="shared" si="783"/>
        <v>0</v>
      </c>
      <c r="P112" s="526">
        <f t="shared" si="783"/>
        <v>0</v>
      </c>
      <c r="Q112" s="526">
        <f t="shared" si="783"/>
        <v>0</v>
      </c>
      <c r="R112" s="526">
        <f t="shared" si="783"/>
        <v>0</v>
      </c>
      <c r="S112" s="526">
        <f t="shared" si="783"/>
        <v>0</v>
      </c>
      <c r="T112" s="526">
        <f t="shared" si="783"/>
        <v>0</v>
      </c>
      <c r="U112" s="526">
        <f t="shared" si="783"/>
        <v>0</v>
      </c>
      <c r="V112" s="526">
        <f t="shared" si="783"/>
        <v>0</v>
      </c>
      <c r="W112" s="526">
        <f t="shared" si="783"/>
        <v>102.52549</v>
      </c>
      <c r="X112" s="526">
        <f t="shared" si="783"/>
        <v>27.841539999999981</v>
      </c>
      <c r="Y112" s="526">
        <f t="shared" si="783"/>
        <v>110.21392</v>
      </c>
      <c r="Z112" s="526">
        <f t="shared" si="783"/>
        <v>32.848719999999958</v>
      </c>
      <c r="AA112" s="526">
        <f t="shared" si="783"/>
        <v>0</v>
      </c>
      <c r="AB112" s="526">
        <f t="shared" si="783"/>
        <v>49.037240000000011</v>
      </c>
      <c r="AC112" s="526">
        <f t="shared" si="783"/>
        <v>86.348610000000008</v>
      </c>
      <c r="AD112" s="526">
        <f t="shared" si="783"/>
        <v>6.6120400000000075</v>
      </c>
      <c r="AE112" s="526">
        <f t="shared" si="783"/>
        <v>11.428169999999994</v>
      </c>
      <c r="AF112" s="526">
        <f t="shared" si="783"/>
        <v>33.447289999999953</v>
      </c>
      <c r="AG112" s="526">
        <f t="shared" si="783"/>
        <v>41.16231999999998</v>
      </c>
      <c r="AH112" s="526">
        <f t="shared" si="783"/>
        <v>20.904310000000009</v>
      </c>
      <c r="AI112" s="526">
        <f t="shared" si="783"/>
        <v>36.47363</v>
      </c>
      <c r="AJ112" s="526">
        <f t="shared" si="783"/>
        <v>64.111910000000009</v>
      </c>
      <c r="AK112" s="526">
        <f t="shared" si="783"/>
        <v>79.341940000000051</v>
      </c>
      <c r="AL112" s="526">
        <f t="shared" si="783"/>
        <v>47.330859999999959</v>
      </c>
      <c r="AM112" s="526">
        <f t="shared" si="783"/>
        <v>9.9833600000000047</v>
      </c>
      <c r="AN112" s="526">
        <f t="shared" si="783"/>
        <v>61.094149999999956</v>
      </c>
      <c r="AO112" s="526">
        <f t="shared" si="783"/>
        <v>80.118420000000029</v>
      </c>
      <c r="AP112" s="526">
        <f t="shared" si="783"/>
        <v>16.85333</v>
      </c>
      <c r="AQ112" s="526">
        <f t="shared" si="783"/>
        <v>0.20902000000003795</v>
      </c>
      <c r="AR112" s="526">
        <f t="shared" si="783"/>
        <v>40.118069999999989</v>
      </c>
      <c r="AS112" s="526">
        <f t="shared" si="783"/>
        <v>6.1919700000000262</v>
      </c>
      <c r="AT112" s="526">
        <f t="shared" si="783"/>
        <v>28.269380000000012</v>
      </c>
      <c r="AU112" s="526">
        <f t="shared" si="783"/>
        <v>5.794399999999996</v>
      </c>
      <c r="AV112" s="526">
        <f t="shared" si="783"/>
        <v>5.5704599999999971</v>
      </c>
      <c r="AW112" s="526">
        <f t="shared" si="783"/>
        <v>12.552480000000003</v>
      </c>
      <c r="AX112" s="526">
        <f t="shared" si="783"/>
        <v>18.052980000000019</v>
      </c>
      <c r="AY112" s="526">
        <f t="shared" si="783"/>
        <v>21.07729999999998</v>
      </c>
      <c r="AZ112" s="526">
        <f t="shared" si="783"/>
        <v>78.298169999999999</v>
      </c>
      <c r="BA112" s="526">
        <f t="shared" si="783"/>
        <v>0</v>
      </c>
      <c r="BB112" s="526">
        <f t="shared" si="783"/>
        <v>19.323029999999989</v>
      </c>
      <c r="BC112" s="526">
        <f t="shared" si="783"/>
        <v>17.114520000000027</v>
      </c>
      <c r="BD112" s="526">
        <f t="shared" si="783"/>
        <v>19.470479999999981</v>
      </c>
      <c r="BE112" s="526">
        <f t="shared" si="783"/>
        <v>0</v>
      </c>
      <c r="BF112" s="526">
        <f t="shared" si="783"/>
        <v>0</v>
      </c>
      <c r="BG112" s="526">
        <f t="shared" si="783"/>
        <v>0</v>
      </c>
      <c r="BH112" s="526">
        <f t="shared" si="783"/>
        <v>0</v>
      </c>
      <c r="BI112" s="526">
        <f t="shared" si="783"/>
        <v>0</v>
      </c>
      <c r="BJ112" s="526">
        <f t="shared" si="783"/>
        <v>104.43817999999999</v>
      </c>
      <c r="BK112" s="526">
        <f t="shared" si="783"/>
        <v>0</v>
      </c>
      <c r="BL112" s="526">
        <f t="shared" ca="1" si="783"/>
        <v>0</v>
      </c>
      <c r="BM112" s="526">
        <f t="shared" ca="1" si="783"/>
        <v>98.088319999999939</v>
      </c>
      <c r="BN112" s="526">
        <f t="shared" ca="1" si="783"/>
        <v>2.2469199999999603</v>
      </c>
      <c r="BO112" s="526">
        <f t="shared" ca="1" si="783"/>
        <v>0</v>
      </c>
      <c r="BP112" s="526">
        <f t="shared" ca="1" si="783"/>
        <v>88.698799999999991</v>
      </c>
      <c r="BQ112" s="526">
        <f t="shared" ca="1" si="783"/>
        <v>0</v>
      </c>
      <c r="BR112" s="526">
        <f t="shared" ca="1" si="783"/>
        <v>48.497689999999992</v>
      </c>
      <c r="BS112" s="526">
        <f t="shared" ca="1" si="783"/>
        <v>0</v>
      </c>
      <c r="BT112" s="526">
        <f t="shared" ca="1" si="783"/>
        <v>40.044030000000006</v>
      </c>
      <c r="BU112" s="526">
        <f t="shared" ca="1" si="783"/>
        <v>30.121659999999963</v>
      </c>
      <c r="BV112" s="526">
        <f t="shared" ca="1" si="783"/>
        <v>0</v>
      </c>
      <c r="BW112" s="526">
        <f t="shared" ca="1" si="783"/>
        <v>0</v>
      </c>
      <c r="BX112" s="526">
        <f t="shared" ca="1" si="783"/>
        <v>5.4213900000000592</v>
      </c>
      <c r="BY112" s="526">
        <f t="shared" ref="BY112:EJ112" ca="1" si="784">+BY150</f>
        <v>0</v>
      </c>
      <c r="BZ112" s="526">
        <f t="shared" ca="1" si="784"/>
        <v>0</v>
      </c>
      <c r="CA112" s="526">
        <f t="shared" ca="1" si="784"/>
        <v>75.128219999999999</v>
      </c>
      <c r="CB112" s="526">
        <f t="shared" ca="1" si="784"/>
        <v>0</v>
      </c>
      <c r="CC112" s="526">
        <f t="shared" ca="1" si="784"/>
        <v>0</v>
      </c>
      <c r="CD112" s="526">
        <f t="shared" ca="1" si="784"/>
        <v>12.867059999999981</v>
      </c>
      <c r="CE112" s="526">
        <f t="shared" ca="1" si="784"/>
        <v>8.3577399999999642</v>
      </c>
      <c r="CF112" s="526">
        <f t="shared" ca="1" si="784"/>
        <v>0</v>
      </c>
      <c r="CG112" s="526">
        <f t="shared" ca="1" si="784"/>
        <v>11.887410000000045</v>
      </c>
      <c r="CH112" s="526">
        <f t="shared" ca="1" si="784"/>
        <v>0</v>
      </c>
      <c r="CI112" s="526">
        <f t="shared" ca="1" si="784"/>
        <v>0</v>
      </c>
      <c r="CJ112" s="526">
        <f t="shared" ca="1" si="784"/>
        <v>0</v>
      </c>
      <c r="CK112" s="526">
        <f t="shared" ca="1" si="784"/>
        <v>0</v>
      </c>
      <c r="CL112" s="526">
        <f t="shared" ca="1" si="784"/>
        <v>0</v>
      </c>
      <c r="CM112" s="526">
        <f t="shared" ca="1" si="784"/>
        <v>0</v>
      </c>
      <c r="CN112" s="526">
        <f t="shared" ca="1" si="784"/>
        <v>0</v>
      </c>
      <c r="CO112" s="526">
        <f t="shared" ca="1" si="784"/>
        <v>0</v>
      </c>
      <c r="CP112" s="526">
        <f t="shared" ca="1" si="784"/>
        <v>0</v>
      </c>
      <c r="CQ112" s="526">
        <f t="shared" ca="1" si="784"/>
        <v>0</v>
      </c>
      <c r="CR112" s="526">
        <f t="shared" ca="1" si="784"/>
        <v>0</v>
      </c>
      <c r="CS112" s="526">
        <f t="shared" ca="1" si="784"/>
        <v>0</v>
      </c>
      <c r="CT112" s="526">
        <f t="shared" ca="1" si="784"/>
        <v>0</v>
      </c>
      <c r="CU112" s="526">
        <f t="shared" ca="1" si="784"/>
        <v>0</v>
      </c>
      <c r="CV112" s="526">
        <f t="shared" ca="1" si="784"/>
        <v>0</v>
      </c>
      <c r="CW112" s="526">
        <f t="shared" ca="1" si="784"/>
        <v>0</v>
      </c>
      <c r="CX112" s="526">
        <f t="shared" ca="1" si="784"/>
        <v>0</v>
      </c>
      <c r="CY112" s="526">
        <f t="shared" ca="1" si="784"/>
        <v>0</v>
      </c>
      <c r="CZ112" s="526">
        <f t="shared" ca="1" si="784"/>
        <v>0</v>
      </c>
      <c r="DA112" s="526">
        <f t="shared" ca="1" si="784"/>
        <v>0</v>
      </c>
      <c r="DB112" s="526">
        <f t="shared" ca="1" si="784"/>
        <v>0</v>
      </c>
      <c r="DC112" s="526">
        <f t="shared" ca="1" si="784"/>
        <v>0</v>
      </c>
      <c r="DD112" s="526">
        <f t="shared" ca="1" si="784"/>
        <v>0</v>
      </c>
      <c r="DE112" s="526">
        <f t="shared" ca="1" si="784"/>
        <v>0</v>
      </c>
      <c r="DF112" s="526">
        <f t="shared" ca="1" si="784"/>
        <v>0</v>
      </c>
      <c r="DG112" s="526">
        <f t="shared" ca="1" si="784"/>
        <v>0</v>
      </c>
      <c r="DH112" s="526">
        <f t="shared" ca="1" si="784"/>
        <v>0</v>
      </c>
      <c r="DI112" s="526">
        <f t="shared" ca="1" si="784"/>
        <v>0</v>
      </c>
      <c r="DJ112" s="526">
        <f t="shared" si="784"/>
        <v>0</v>
      </c>
      <c r="DK112" s="526">
        <f t="shared" si="784"/>
        <v>0</v>
      </c>
      <c r="DL112" s="526">
        <f t="shared" si="784"/>
        <v>0</v>
      </c>
      <c r="DM112" s="526">
        <f t="shared" si="784"/>
        <v>0</v>
      </c>
      <c r="DN112" s="526">
        <f t="shared" si="784"/>
        <v>0</v>
      </c>
      <c r="DO112" s="526">
        <f t="shared" si="784"/>
        <v>0</v>
      </c>
      <c r="DP112" s="526">
        <f t="shared" si="784"/>
        <v>0</v>
      </c>
      <c r="DQ112" s="526">
        <f t="shared" si="784"/>
        <v>0</v>
      </c>
      <c r="DR112" s="526">
        <f t="shared" si="784"/>
        <v>0</v>
      </c>
      <c r="DS112" s="526">
        <f t="shared" si="784"/>
        <v>0</v>
      </c>
      <c r="DT112" s="526">
        <f t="shared" si="784"/>
        <v>0</v>
      </c>
      <c r="DU112" s="526">
        <f t="shared" si="784"/>
        <v>0</v>
      </c>
      <c r="DV112" s="526">
        <f t="shared" si="784"/>
        <v>0</v>
      </c>
      <c r="DW112" s="526">
        <f t="shared" si="784"/>
        <v>0</v>
      </c>
      <c r="DX112" s="526">
        <f t="shared" si="784"/>
        <v>0</v>
      </c>
      <c r="DY112" s="526">
        <f t="shared" si="784"/>
        <v>0</v>
      </c>
      <c r="DZ112" s="526">
        <f t="shared" si="784"/>
        <v>0</v>
      </c>
      <c r="EA112" s="526">
        <f t="shared" si="784"/>
        <v>0</v>
      </c>
      <c r="EB112" s="526">
        <f t="shared" si="784"/>
        <v>0</v>
      </c>
      <c r="EC112" s="526">
        <f t="shared" si="784"/>
        <v>0</v>
      </c>
      <c r="ED112" s="526">
        <f t="shared" si="784"/>
        <v>0</v>
      </c>
      <c r="EE112" s="526">
        <f t="shared" si="784"/>
        <v>0</v>
      </c>
      <c r="EF112" s="526">
        <f t="shared" si="784"/>
        <v>0</v>
      </c>
      <c r="EG112" s="526">
        <f t="shared" si="784"/>
        <v>0</v>
      </c>
      <c r="EH112" s="526">
        <f t="shared" si="784"/>
        <v>0</v>
      </c>
      <c r="EI112" s="526">
        <f t="shared" si="784"/>
        <v>0</v>
      </c>
      <c r="EJ112" s="526">
        <f t="shared" si="784"/>
        <v>0</v>
      </c>
      <c r="EK112" s="526">
        <f t="shared" ref="EK112:EL112" si="785">+EK150</f>
        <v>0</v>
      </c>
      <c r="EL112" s="526">
        <f t="shared" si="785"/>
        <v>0</v>
      </c>
      <c r="EM112" s="526">
        <f t="shared" ref="EM112:FD112" si="786">+EM150</f>
        <v>0</v>
      </c>
      <c r="EN112" s="526">
        <f t="shared" si="786"/>
        <v>0</v>
      </c>
      <c r="EO112" s="526">
        <f t="shared" si="786"/>
        <v>0</v>
      </c>
      <c r="EP112" s="526">
        <f t="shared" si="786"/>
        <v>0</v>
      </c>
      <c r="EQ112" s="526">
        <f t="shared" si="786"/>
        <v>0</v>
      </c>
      <c r="ER112" s="526">
        <f t="shared" si="786"/>
        <v>0</v>
      </c>
      <c r="ES112" s="526">
        <f t="shared" si="786"/>
        <v>0</v>
      </c>
      <c r="ET112" s="526">
        <f t="shared" si="786"/>
        <v>0</v>
      </c>
      <c r="EU112" s="526">
        <f t="shared" si="786"/>
        <v>0</v>
      </c>
      <c r="EV112" s="526">
        <f t="shared" si="786"/>
        <v>0</v>
      </c>
      <c r="EW112" s="526">
        <f t="shared" si="786"/>
        <v>0</v>
      </c>
      <c r="EX112" s="526">
        <f t="shared" si="786"/>
        <v>0</v>
      </c>
      <c r="EY112" s="526">
        <f t="shared" si="786"/>
        <v>0</v>
      </c>
      <c r="EZ112" s="526">
        <f t="shared" si="786"/>
        <v>0</v>
      </c>
      <c r="FA112" s="526">
        <f t="shared" si="786"/>
        <v>0</v>
      </c>
      <c r="FB112" s="526">
        <f t="shared" si="786"/>
        <v>0</v>
      </c>
      <c r="FC112" s="526">
        <f t="shared" si="786"/>
        <v>0</v>
      </c>
      <c r="FD112" s="526">
        <f t="shared" si="786"/>
        <v>0</v>
      </c>
      <c r="FE112" s="526">
        <f t="shared" ref="FE112:FI112" si="787">+FE150</f>
        <v>0</v>
      </c>
      <c r="FF112" s="526">
        <f t="shared" si="787"/>
        <v>0</v>
      </c>
      <c r="FG112" s="526">
        <f t="shared" si="787"/>
        <v>0</v>
      </c>
      <c r="FH112" s="526">
        <f t="shared" si="787"/>
        <v>0</v>
      </c>
      <c r="FI112" s="526">
        <f t="shared" si="787"/>
        <v>0</v>
      </c>
      <c r="FJ112" s="526">
        <f t="shared" ref="FJ112:GT112" si="788">+FJ150</f>
        <v>0</v>
      </c>
      <c r="FK112" s="526">
        <f t="shared" si="788"/>
        <v>0</v>
      </c>
      <c r="FL112" s="526">
        <f t="shared" si="788"/>
        <v>0</v>
      </c>
      <c r="FM112" s="526">
        <f t="shared" si="788"/>
        <v>0</v>
      </c>
      <c r="FN112" s="526">
        <f t="shared" si="788"/>
        <v>0</v>
      </c>
      <c r="FO112" s="526">
        <f t="shared" si="788"/>
        <v>0</v>
      </c>
      <c r="FP112" s="526">
        <f t="shared" si="788"/>
        <v>0</v>
      </c>
      <c r="FQ112" s="526">
        <f t="shared" si="788"/>
        <v>0</v>
      </c>
      <c r="FR112" s="526">
        <f t="shared" si="788"/>
        <v>0</v>
      </c>
      <c r="FS112" s="526">
        <f t="shared" si="788"/>
        <v>0</v>
      </c>
      <c r="FT112" s="526">
        <f t="shared" si="788"/>
        <v>0</v>
      </c>
      <c r="FU112" s="526">
        <f t="shared" si="788"/>
        <v>0</v>
      </c>
      <c r="FV112" s="526">
        <f t="shared" si="788"/>
        <v>0</v>
      </c>
      <c r="FW112" s="526">
        <f t="shared" si="788"/>
        <v>0</v>
      </c>
      <c r="FX112" s="526">
        <f t="shared" si="788"/>
        <v>0</v>
      </c>
      <c r="FY112" s="526">
        <f t="shared" si="788"/>
        <v>0</v>
      </c>
      <c r="FZ112" s="526">
        <f t="shared" si="788"/>
        <v>0</v>
      </c>
      <c r="GA112" s="526">
        <f t="shared" si="788"/>
        <v>0</v>
      </c>
      <c r="GB112" s="526">
        <f t="shared" si="788"/>
        <v>0</v>
      </c>
      <c r="GC112" s="526">
        <f t="shared" si="788"/>
        <v>0</v>
      </c>
      <c r="GD112" s="526"/>
      <c r="GE112" s="526"/>
      <c r="GF112" s="526"/>
      <c r="GG112" s="526"/>
      <c r="GH112" s="526"/>
      <c r="GI112" s="526"/>
      <c r="GJ112" s="526"/>
      <c r="GK112" s="526"/>
      <c r="GL112" s="526"/>
      <c r="GM112" s="526"/>
      <c r="GN112" s="526"/>
      <c r="GO112" s="526"/>
      <c r="GP112" s="526">
        <f t="shared" si="788"/>
        <v>0</v>
      </c>
      <c r="GQ112" s="526">
        <f t="shared" si="788"/>
        <v>0</v>
      </c>
      <c r="GR112" s="526">
        <f t="shared" si="788"/>
        <v>0</v>
      </c>
      <c r="GS112" s="526">
        <f t="shared" si="788"/>
        <v>0</v>
      </c>
      <c r="GT112" s="526">
        <f t="shared" si="788"/>
        <v>0</v>
      </c>
      <c r="GU112" s="531"/>
      <c r="GV112" s="531"/>
      <c r="GW112" s="531"/>
      <c r="GX112" s="531"/>
      <c r="GY112" s="531"/>
      <c r="GZ112" s="531"/>
      <c r="HA112" s="531"/>
      <c r="HB112" s="531"/>
      <c r="HC112" s="531"/>
      <c r="HD112" s="531"/>
      <c r="HE112" s="531"/>
      <c r="HF112" s="1" t="s">
        <v>212</v>
      </c>
      <c r="HH112" s="43" t="str">
        <f t="shared" si="766"/>
        <v>Interest Reserve</v>
      </c>
      <c r="HI112" s="120"/>
      <c r="HJ112" s="120"/>
      <c r="HK112" s="120"/>
      <c r="HL112" s="119">
        <f t="shared" ca="1" si="773"/>
        <v>1715.5169299999998</v>
      </c>
      <c r="HM112" s="120"/>
      <c r="HN112" s="140">
        <f t="shared" si="774"/>
        <v>0</v>
      </c>
      <c r="HO112" s="120">
        <f t="shared" si="774"/>
        <v>102.52549</v>
      </c>
      <c r="HP112" s="120">
        <f t="shared" si="774"/>
        <v>456.31778999999995</v>
      </c>
      <c r="HQ112" s="120">
        <f t="shared" si="774"/>
        <v>439.41681000000005</v>
      </c>
      <c r="HR112" s="120">
        <f t="shared" si="774"/>
        <v>191.45941999999999</v>
      </c>
      <c r="HS112" s="120">
        <f t="shared" ca="1" si="774"/>
        <v>341.96990999999986</v>
      </c>
      <c r="HT112" s="120">
        <f t="shared" ca="1" si="774"/>
        <v>171.94009999999997</v>
      </c>
      <c r="HU112" s="120">
        <f t="shared" ca="1" si="774"/>
        <v>11.887410000000045</v>
      </c>
      <c r="HV112" s="120">
        <f t="shared" ca="1" si="774"/>
        <v>0</v>
      </c>
      <c r="HW112"/>
    </row>
    <row r="113" spans="2:231" ht="15" outlineLevel="1">
      <c r="B113" s="33" t="s">
        <v>118</v>
      </c>
      <c r="C113" s="33"/>
      <c r="D113" s="33"/>
      <c r="E113" s="33"/>
      <c r="F113" s="33"/>
      <c r="G113" s="33"/>
      <c r="H113" s="33"/>
      <c r="I113" s="123">
        <f ca="1">SUMIF($K$13:$GT$13,"&lt;="&amp;Assumptions!$L$17,'Monthly Cash Flow'!K113:GT113)</f>
        <v>40850.385204450424</v>
      </c>
      <c r="J113" s="34"/>
      <c r="K113" s="124">
        <f t="shared" ref="K113:BV113" si="789">SUBTOTAL(9,K106:K112)</f>
        <v>30776</v>
      </c>
      <c r="L113" s="527">
        <f t="shared" ca="1" si="789"/>
        <v>0</v>
      </c>
      <c r="M113" s="527">
        <f t="shared" ca="1" si="789"/>
        <v>0</v>
      </c>
      <c r="N113" s="527">
        <f t="shared" ca="1" si="789"/>
        <v>0</v>
      </c>
      <c r="O113" s="527">
        <f t="shared" ca="1" si="789"/>
        <v>0</v>
      </c>
      <c r="P113" s="527">
        <f t="shared" ca="1" si="789"/>
        <v>0</v>
      </c>
      <c r="Q113" s="527">
        <f t="shared" ca="1" si="789"/>
        <v>0</v>
      </c>
      <c r="R113" s="527">
        <f t="shared" ca="1" si="789"/>
        <v>0</v>
      </c>
      <c r="S113" s="527">
        <f t="shared" ca="1" si="789"/>
        <v>0</v>
      </c>
      <c r="T113" s="527">
        <f t="shared" ca="1" si="789"/>
        <v>0</v>
      </c>
      <c r="U113" s="527">
        <f t="shared" ca="1" si="789"/>
        <v>184.97674000000001</v>
      </c>
      <c r="V113" s="527">
        <f t="shared" ca="1" si="789"/>
        <v>0</v>
      </c>
      <c r="W113" s="527">
        <f t="shared" ca="1" si="789"/>
        <v>341.09431000000001</v>
      </c>
      <c r="X113" s="527">
        <f t="shared" ca="1" si="789"/>
        <v>31.443679999999979</v>
      </c>
      <c r="Y113" s="527">
        <f t="shared" ca="1" si="789"/>
        <v>115.24563000000001</v>
      </c>
      <c r="Z113" s="527">
        <f t="shared" ca="1" si="789"/>
        <v>495.04049999999995</v>
      </c>
      <c r="AA113" s="527">
        <f t="shared" ca="1" si="789"/>
        <v>0</v>
      </c>
      <c r="AB113" s="527">
        <f t="shared" ca="1" si="789"/>
        <v>507.36370999999997</v>
      </c>
      <c r="AC113" s="527">
        <f t="shared" ca="1" si="789"/>
        <v>86.348610000000008</v>
      </c>
      <c r="AD113" s="527">
        <f t="shared" ca="1" si="789"/>
        <v>6.6120400000000101</v>
      </c>
      <c r="AE113" s="527">
        <f t="shared" ca="1" si="789"/>
        <v>498.96721000000002</v>
      </c>
      <c r="AF113" s="527">
        <f t="shared" ca="1" si="789"/>
        <v>241.41379084542825</v>
      </c>
      <c r="AG113" s="527">
        <f t="shared" ca="1" si="789"/>
        <v>309.42327999999998</v>
      </c>
      <c r="AH113" s="527">
        <f t="shared" ca="1" si="789"/>
        <v>20.904310000000009</v>
      </c>
      <c r="AI113" s="527">
        <f t="shared" ca="1" si="789"/>
        <v>118.96451</v>
      </c>
      <c r="AJ113" s="527">
        <f t="shared" ca="1" si="789"/>
        <v>64.111910000000009</v>
      </c>
      <c r="AK113" s="527">
        <f t="shared" ca="1" si="789"/>
        <v>79.341940000000051</v>
      </c>
      <c r="AL113" s="527">
        <f t="shared" ca="1" si="789"/>
        <v>266.60473999999999</v>
      </c>
      <c r="AM113" s="527">
        <f t="shared" ca="1" si="789"/>
        <v>9.9833600000000047</v>
      </c>
      <c r="AN113" s="527">
        <f t="shared" ca="1" si="789"/>
        <v>93.205799999999954</v>
      </c>
      <c r="AO113" s="527">
        <f t="shared" ca="1" si="789"/>
        <v>80.118420000000029</v>
      </c>
      <c r="AP113" s="527">
        <f t="shared" ca="1" si="789"/>
        <v>175.60986402388377</v>
      </c>
      <c r="AQ113" s="527">
        <f t="shared" ca="1" si="789"/>
        <v>42.135170000000038</v>
      </c>
      <c r="AR113" s="527">
        <f t="shared" ca="1" si="789"/>
        <v>40.118069999999989</v>
      </c>
      <c r="AS113" s="527">
        <f t="shared" ca="1" si="789"/>
        <v>6.1919700000000262</v>
      </c>
      <c r="AT113" s="527">
        <f t="shared" ca="1" si="789"/>
        <v>28.269380000000012</v>
      </c>
      <c r="AU113" s="527">
        <f t="shared" ca="1" si="789"/>
        <v>5.794399999999996</v>
      </c>
      <c r="AV113" s="527">
        <f ca="1">SUBTOTAL(9,AV106:AV112)</f>
        <v>5.5704599999999971</v>
      </c>
      <c r="AW113" s="527">
        <f t="shared" ca="1" si="789"/>
        <v>269.57747999999998</v>
      </c>
      <c r="AX113" s="527">
        <f t="shared" ca="1" si="789"/>
        <v>18.052980000000019</v>
      </c>
      <c r="AY113" s="527">
        <f t="shared" ca="1" si="789"/>
        <v>17.57729999999998</v>
      </c>
      <c r="AZ113" s="527">
        <f t="shared" ca="1" si="789"/>
        <v>207.12462958111405</v>
      </c>
      <c r="BA113" s="527">
        <f t="shared" ca="1" si="789"/>
        <v>149.43100000000001</v>
      </c>
      <c r="BB113" s="527">
        <f t="shared" ca="1" si="789"/>
        <v>19.323029999999989</v>
      </c>
      <c r="BC113" s="527">
        <f t="shared" ca="1" si="789"/>
        <v>159.21452000000005</v>
      </c>
      <c r="BD113" s="527">
        <f t="shared" ca="1" si="789"/>
        <v>42.728479999999976</v>
      </c>
      <c r="BE113" s="527">
        <f t="shared" ca="1" si="789"/>
        <v>0</v>
      </c>
      <c r="BF113" s="527">
        <f t="shared" ca="1" si="789"/>
        <v>0</v>
      </c>
      <c r="BG113" s="527">
        <f t="shared" ca="1" si="789"/>
        <v>108.97897</v>
      </c>
      <c r="BH113" s="527">
        <f t="shared" ca="1" si="789"/>
        <v>0</v>
      </c>
      <c r="BI113" s="527">
        <f t="shared" ca="1" si="789"/>
        <v>0</v>
      </c>
      <c r="BJ113" s="527">
        <f t="shared" ca="1" si="789"/>
        <v>468.81240000000003</v>
      </c>
      <c r="BK113" s="527">
        <f t="shared" ca="1" si="789"/>
        <v>0</v>
      </c>
      <c r="BL113" s="527">
        <f t="shared" ca="1" si="789"/>
        <v>0</v>
      </c>
      <c r="BM113" s="527">
        <f t="shared" ca="1" si="789"/>
        <v>98.088319999999939</v>
      </c>
      <c r="BN113" s="527">
        <f t="shared" ca="1" si="789"/>
        <v>2.2469199999999603</v>
      </c>
      <c r="BO113" s="527">
        <f t="shared" ca="1" si="789"/>
        <v>0</v>
      </c>
      <c r="BP113" s="527">
        <f t="shared" ca="1" si="789"/>
        <v>88.698799999999991</v>
      </c>
      <c r="BQ113" s="527">
        <f t="shared" ca="1" si="789"/>
        <v>0</v>
      </c>
      <c r="BR113" s="527">
        <f t="shared" ca="1" si="789"/>
        <v>114.42169</v>
      </c>
      <c r="BS113" s="527">
        <f t="shared" ca="1" si="789"/>
        <v>920.11163999999997</v>
      </c>
      <c r="BT113" s="527">
        <f t="shared" ca="1" si="789"/>
        <v>40.044030000000006</v>
      </c>
      <c r="BU113" s="527">
        <f t="shared" ca="1" si="789"/>
        <v>30.121659999999963</v>
      </c>
      <c r="BV113" s="527">
        <f t="shared" ca="1" si="789"/>
        <v>0</v>
      </c>
      <c r="BW113" s="527">
        <f t="shared" ref="BW113:CE113" ca="1" si="790">SUBTOTAL(9,BW106:BW112)</f>
        <v>9.3451900000000006</v>
      </c>
      <c r="BX113" s="527">
        <f t="shared" ca="1" si="790"/>
        <v>32.635670000000061</v>
      </c>
      <c r="BY113" s="527">
        <f t="shared" ca="1" si="790"/>
        <v>87.333829999999992</v>
      </c>
      <c r="BZ113" s="527">
        <f t="shared" ca="1" si="790"/>
        <v>0</v>
      </c>
      <c r="CA113" s="527">
        <f t="shared" ca="1" si="790"/>
        <v>174.54322000000002</v>
      </c>
      <c r="CB113" s="527">
        <f t="shared" ca="1" si="790"/>
        <v>5</v>
      </c>
      <c r="CC113" s="527">
        <f t="shared" ca="1" si="790"/>
        <v>0</v>
      </c>
      <c r="CD113" s="527">
        <f t="shared" ca="1" si="790"/>
        <v>292.52105999999998</v>
      </c>
      <c r="CE113" s="527">
        <f t="shared" ca="1" si="790"/>
        <v>8.3577399999999642</v>
      </c>
      <c r="CF113" s="527">
        <f t="shared" ref="CF113:EL113" ca="1" si="791">SUBTOTAL(9,CF106:CF112)</f>
        <v>66.949960000000004</v>
      </c>
      <c r="CG113" s="527">
        <f t="shared" ca="1" si="791"/>
        <v>11.887410000000045</v>
      </c>
      <c r="CH113" s="527">
        <f t="shared" ca="1" si="791"/>
        <v>22.286470000000001</v>
      </c>
      <c r="CI113" s="527">
        <f t="shared" ca="1" si="791"/>
        <v>0</v>
      </c>
      <c r="CJ113" s="527">
        <f t="shared" ca="1" si="791"/>
        <v>0</v>
      </c>
      <c r="CK113" s="527">
        <f t="shared" ca="1" si="791"/>
        <v>0</v>
      </c>
      <c r="CL113" s="527">
        <f t="shared" ca="1" si="791"/>
        <v>0</v>
      </c>
      <c r="CM113" s="527">
        <f t="shared" ca="1" si="791"/>
        <v>68.313492063492063</v>
      </c>
      <c r="CN113" s="527">
        <f t="shared" ca="1" si="791"/>
        <v>68.313492063492063</v>
      </c>
      <c r="CO113" s="527">
        <f t="shared" ca="1" si="791"/>
        <v>68.313492063492077</v>
      </c>
      <c r="CP113" s="527">
        <f t="shared" ca="1" si="791"/>
        <v>161.22249206349207</v>
      </c>
      <c r="CQ113" s="527">
        <f t="shared" ca="1" si="791"/>
        <v>62.063492063492063</v>
      </c>
      <c r="CR113" s="527">
        <f t="shared" ca="1" si="791"/>
        <v>62.06349206349207</v>
      </c>
      <c r="CS113" s="527">
        <f t="shared" ca="1" si="791"/>
        <v>235.66549206349205</v>
      </c>
      <c r="CT113" s="527">
        <f t="shared" ca="1" si="791"/>
        <v>296.70377777777776</v>
      </c>
      <c r="CU113" s="527">
        <f t="shared" ca="1" si="791"/>
        <v>27.777777777777771</v>
      </c>
      <c r="CV113" s="527">
        <f t="shared" ca="1" si="791"/>
        <v>0</v>
      </c>
      <c r="CW113" s="527">
        <f t="shared" ca="1" si="791"/>
        <v>0</v>
      </c>
      <c r="CX113" s="527">
        <f t="shared" ca="1" si="791"/>
        <v>0</v>
      </c>
      <c r="CY113" s="527">
        <f t="shared" ca="1" si="791"/>
        <v>175.119</v>
      </c>
      <c r="CZ113" s="527">
        <f t="shared" ca="1" si="791"/>
        <v>0</v>
      </c>
      <c r="DA113" s="527">
        <f t="shared" ca="1" si="791"/>
        <v>154.11699999999999</v>
      </c>
      <c r="DB113" s="527">
        <f t="shared" ca="1" si="791"/>
        <v>1181.643</v>
      </c>
      <c r="DC113" s="527">
        <f t="shared" ca="1" si="791"/>
        <v>192.80099999999999</v>
      </c>
      <c r="DD113" s="527">
        <f t="shared" ca="1" si="791"/>
        <v>0</v>
      </c>
      <c r="DE113" s="527">
        <f t="shared" ca="1" si="791"/>
        <v>0</v>
      </c>
      <c r="DF113" s="527">
        <f t="shared" ca="1" si="791"/>
        <v>0</v>
      </c>
      <c r="DG113" s="527">
        <f t="shared" ca="1" si="791"/>
        <v>0</v>
      </c>
      <c r="DH113" s="527">
        <f t="shared" ca="1" si="791"/>
        <v>0</v>
      </c>
      <c r="DI113" s="527">
        <f t="shared" ca="1" si="791"/>
        <v>0</v>
      </c>
      <c r="DJ113" s="527">
        <f t="shared" si="791"/>
        <v>0</v>
      </c>
      <c r="DK113" s="527">
        <f t="shared" si="791"/>
        <v>0</v>
      </c>
      <c r="DL113" s="527">
        <f t="shared" si="791"/>
        <v>0</v>
      </c>
      <c r="DM113" s="527">
        <f t="shared" si="791"/>
        <v>0</v>
      </c>
      <c r="DN113" s="527">
        <f t="shared" si="791"/>
        <v>0</v>
      </c>
      <c r="DO113" s="527">
        <f t="shared" si="791"/>
        <v>0</v>
      </c>
      <c r="DP113" s="527">
        <f t="shared" si="791"/>
        <v>0</v>
      </c>
      <c r="DQ113" s="527">
        <f t="shared" si="791"/>
        <v>0</v>
      </c>
      <c r="DR113" s="527">
        <f t="shared" si="791"/>
        <v>0</v>
      </c>
      <c r="DS113" s="527">
        <f t="shared" si="791"/>
        <v>0</v>
      </c>
      <c r="DT113" s="527">
        <f t="shared" si="791"/>
        <v>0</v>
      </c>
      <c r="DU113" s="527">
        <f t="shared" si="791"/>
        <v>0</v>
      </c>
      <c r="DV113" s="527">
        <f t="shared" si="791"/>
        <v>0</v>
      </c>
      <c r="DW113" s="527">
        <f t="shared" si="791"/>
        <v>0</v>
      </c>
      <c r="DX113" s="527">
        <f t="shared" si="791"/>
        <v>0</v>
      </c>
      <c r="DY113" s="527">
        <f t="shared" si="791"/>
        <v>0</v>
      </c>
      <c r="DZ113" s="527">
        <f t="shared" si="791"/>
        <v>0</v>
      </c>
      <c r="EA113" s="527">
        <f t="shared" si="791"/>
        <v>0</v>
      </c>
      <c r="EB113" s="527">
        <f t="shared" si="791"/>
        <v>0</v>
      </c>
      <c r="EC113" s="527">
        <f t="shared" si="791"/>
        <v>0</v>
      </c>
      <c r="ED113" s="527">
        <f t="shared" si="791"/>
        <v>0</v>
      </c>
      <c r="EE113" s="527">
        <f t="shared" si="791"/>
        <v>0</v>
      </c>
      <c r="EF113" s="527">
        <f t="shared" si="791"/>
        <v>0</v>
      </c>
      <c r="EG113" s="527">
        <f t="shared" si="791"/>
        <v>0</v>
      </c>
      <c r="EH113" s="527">
        <f t="shared" si="791"/>
        <v>0</v>
      </c>
      <c r="EI113" s="527">
        <f t="shared" si="791"/>
        <v>0</v>
      </c>
      <c r="EJ113" s="527">
        <f t="shared" si="791"/>
        <v>0</v>
      </c>
      <c r="EK113" s="527">
        <f t="shared" si="791"/>
        <v>0</v>
      </c>
      <c r="EL113" s="527">
        <f t="shared" si="791"/>
        <v>0</v>
      </c>
      <c r="EM113" s="527">
        <f t="shared" ref="EM113:FD113" si="792">SUBTOTAL(9,EM106:EM112)</f>
        <v>0</v>
      </c>
      <c r="EN113" s="527">
        <f t="shared" si="792"/>
        <v>0</v>
      </c>
      <c r="EO113" s="527">
        <f t="shared" si="792"/>
        <v>0</v>
      </c>
      <c r="EP113" s="527">
        <f t="shared" si="792"/>
        <v>0</v>
      </c>
      <c r="EQ113" s="527">
        <f t="shared" si="792"/>
        <v>0</v>
      </c>
      <c r="ER113" s="527">
        <f t="shared" si="792"/>
        <v>0</v>
      </c>
      <c r="ES113" s="527">
        <f t="shared" si="792"/>
        <v>0</v>
      </c>
      <c r="ET113" s="527">
        <f t="shared" si="792"/>
        <v>0</v>
      </c>
      <c r="EU113" s="527">
        <f t="shared" si="792"/>
        <v>0</v>
      </c>
      <c r="EV113" s="527">
        <f t="shared" si="792"/>
        <v>0</v>
      </c>
      <c r="EW113" s="527">
        <f t="shared" si="792"/>
        <v>0</v>
      </c>
      <c r="EX113" s="527">
        <f t="shared" si="792"/>
        <v>0</v>
      </c>
      <c r="EY113" s="527">
        <f t="shared" si="792"/>
        <v>0</v>
      </c>
      <c r="EZ113" s="527">
        <f t="shared" si="792"/>
        <v>0</v>
      </c>
      <c r="FA113" s="527">
        <f t="shared" si="792"/>
        <v>0</v>
      </c>
      <c r="FB113" s="527">
        <f t="shared" si="792"/>
        <v>0</v>
      </c>
      <c r="FC113" s="527">
        <f t="shared" si="792"/>
        <v>0</v>
      </c>
      <c r="FD113" s="527">
        <f t="shared" si="792"/>
        <v>0</v>
      </c>
      <c r="FE113" s="527">
        <f t="shared" ref="FE113:FI113" si="793">SUBTOTAL(9,FE106:FE112)</f>
        <v>0</v>
      </c>
      <c r="FF113" s="527">
        <f t="shared" si="793"/>
        <v>0</v>
      </c>
      <c r="FG113" s="527">
        <f t="shared" si="793"/>
        <v>0</v>
      </c>
      <c r="FH113" s="527">
        <f t="shared" si="793"/>
        <v>0</v>
      </c>
      <c r="FI113" s="527">
        <f t="shared" si="793"/>
        <v>0</v>
      </c>
      <c r="FJ113" s="527">
        <f t="shared" ref="FJ113:GT113" si="794">SUBTOTAL(9,FJ106:FJ112)</f>
        <v>0</v>
      </c>
      <c r="FK113" s="527">
        <f t="shared" si="794"/>
        <v>0</v>
      </c>
      <c r="FL113" s="527">
        <f t="shared" si="794"/>
        <v>0</v>
      </c>
      <c r="FM113" s="527">
        <f t="shared" si="794"/>
        <v>0</v>
      </c>
      <c r="FN113" s="527">
        <f t="shared" si="794"/>
        <v>0</v>
      </c>
      <c r="FO113" s="527">
        <f t="shared" si="794"/>
        <v>0</v>
      </c>
      <c r="FP113" s="527">
        <f t="shared" si="794"/>
        <v>0</v>
      </c>
      <c r="FQ113" s="527">
        <f t="shared" si="794"/>
        <v>0</v>
      </c>
      <c r="FR113" s="527">
        <f t="shared" si="794"/>
        <v>0</v>
      </c>
      <c r="FS113" s="527">
        <f t="shared" si="794"/>
        <v>0</v>
      </c>
      <c r="FT113" s="527">
        <f t="shared" si="794"/>
        <v>0</v>
      </c>
      <c r="FU113" s="527">
        <f t="shared" si="794"/>
        <v>0</v>
      </c>
      <c r="FV113" s="527">
        <f t="shared" si="794"/>
        <v>0</v>
      </c>
      <c r="FW113" s="527">
        <f t="shared" si="794"/>
        <v>0</v>
      </c>
      <c r="FX113" s="527">
        <f t="shared" si="794"/>
        <v>0</v>
      </c>
      <c r="FY113" s="527">
        <f t="shared" si="794"/>
        <v>0</v>
      </c>
      <c r="FZ113" s="527">
        <f t="shared" si="794"/>
        <v>0</v>
      </c>
      <c r="GA113" s="527">
        <f t="shared" si="794"/>
        <v>0</v>
      </c>
      <c r="GB113" s="527">
        <f t="shared" si="794"/>
        <v>0</v>
      </c>
      <c r="GC113" s="527">
        <f t="shared" si="794"/>
        <v>0</v>
      </c>
      <c r="GD113" s="527"/>
      <c r="GE113" s="527"/>
      <c r="GF113" s="527"/>
      <c r="GG113" s="527"/>
      <c r="GH113" s="527"/>
      <c r="GI113" s="527"/>
      <c r="GJ113" s="527"/>
      <c r="GK113" s="527"/>
      <c r="GL113" s="527"/>
      <c r="GM113" s="527"/>
      <c r="GN113" s="527"/>
      <c r="GO113" s="527"/>
      <c r="GP113" s="527">
        <f t="shared" si="794"/>
        <v>0</v>
      </c>
      <c r="GQ113" s="527">
        <f t="shared" si="794"/>
        <v>0</v>
      </c>
      <c r="GR113" s="527">
        <f t="shared" si="794"/>
        <v>0</v>
      </c>
      <c r="GS113" s="527">
        <f t="shared" si="794"/>
        <v>0</v>
      </c>
      <c r="GT113" s="527">
        <f t="shared" si="794"/>
        <v>0</v>
      </c>
      <c r="GU113" s="527"/>
      <c r="GV113" s="527"/>
      <c r="GW113" s="527"/>
      <c r="GX113" s="527"/>
      <c r="GY113" s="527"/>
      <c r="GZ113" s="527"/>
      <c r="HA113" s="527"/>
      <c r="HB113" s="527"/>
      <c r="HC113" s="527"/>
      <c r="HD113" s="527"/>
      <c r="HE113" s="527"/>
      <c r="HF113" s="1" t="s">
        <v>212</v>
      </c>
      <c r="HH113" s="33" t="str">
        <f t="shared" si="766"/>
        <v>Total Acquisition Leveraged Costs</v>
      </c>
      <c r="HI113" s="34"/>
      <c r="HJ113" s="34"/>
      <c r="HK113" s="34"/>
      <c r="HL113" s="123">
        <f t="shared" ca="1" si="773"/>
        <v>40850.385204450424</v>
      </c>
      <c r="HM113" s="34"/>
      <c r="HN113" s="124">
        <f t="shared" si="774"/>
        <v>30776</v>
      </c>
      <c r="HO113" s="34">
        <f t="shared" ca="1" si="774"/>
        <v>526.07105000000001</v>
      </c>
      <c r="HP113" s="34">
        <f t="shared" ca="1" si="774"/>
        <v>2431.7272708454279</v>
      </c>
      <c r="HQ113" s="34">
        <f t="shared" ca="1" si="774"/>
        <v>891.48502402388385</v>
      </c>
      <c r="HR113" s="34">
        <f t="shared" ca="1" si="774"/>
        <v>997.57884958111401</v>
      </c>
      <c r="HS113" s="34">
        <f t="shared" ca="1" si="774"/>
        <v>1692.37977</v>
      </c>
      <c r="HT113" s="34">
        <f t="shared" ca="1" si="774"/>
        <v>679.90239999999994</v>
      </c>
      <c r="HU113" s="34">
        <f t="shared" ca="1" si="774"/>
        <v>529.35030031746032</v>
      </c>
      <c r="HV113" s="34">
        <f t="shared" ca="1" si="774"/>
        <v>2325.8905396825398</v>
      </c>
      <c r="HW113"/>
    </row>
    <row r="114" spans="2:231" ht="15" outlineLevel="1">
      <c r="I114" s="453"/>
      <c r="L114" s="524"/>
      <c r="M114" s="524"/>
      <c r="N114" s="524"/>
      <c r="O114" s="524"/>
      <c r="P114" s="524"/>
      <c r="Q114" s="524"/>
      <c r="R114" s="524"/>
      <c r="S114" s="524"/>
      <c r="T114" s="524"/>
      <c r="U114" s="524"/>
      <c r="V114" s="524"/>
      <c r="W114" s="524"/>
      <c r="X114" s="524"/>
      <c r="Y114" s="524"/>
      <c r="Z114" s="524"/>
      <c r="AA114" s="524"/>
      <c r="AB114" s="524"/>
      <c r="AC114" s="524"/>
      <c r="AD114" s="524"/>
      <c r="AE114" s="524"/>
      <c r="AF114" s="524"/>
      <c r="AG114" s="524"/>
      <c r="AH114" s="524"/>
      <c r="AI114" s="524"/>
      <c r="AJ114" s="524"/>
      <c r="AK114" s="524"/>
      <c r="AL114" s="524"/>
      <c r="AM114" s="524"/>
      <c r="AN114" s="524"/>
      <c r="AO114" s="524"/>
      <c r="AP114" s="524"/>
      <c r="AQ114" s="524"/>
      <c r="AR114" s="524"/>
      <c r="AS114" s="524"/>
      <c r="AT114" s="524"/>
      <c r="AU114" s="524"/>
      <c r="AV114" s="524"/>
      <c r="AW114" s="524"/>
      <c r="AX114" s="524"/>
      <c r="AY114" s="524"/>
      <c r="AZ114" s="524"/>
      <c r="BA114" s="524"/>
      <c r="BB114" s="524"/>
      <c r="BC114" s="524"/>
      <c r="BD114" s="524"/>
      <c r="BE114" s="524"/>
      <c r="BF114" s="524"/>
      <c r="BG114" s="524"/>
      <c r="BH114" s="524"/>
      <c r="BI114" s="524"/>
      <c r="BJ114" s="524"/>
      <c r="BK114" s="524"/>
      <c r="BL114" s="524"/>
      <c r="BM114" s="524"/>
      <c r="BN114" s="524"/>
      <c r="BO114" s="524"/>
      <c r="BP114" s="524"/>
      <c r="BQ114" s="524"/>
      <c r="BR114" s="524"/>
      <c r="BS114" s="524"/>
      <c r="BT114" s="524"/>
      <c r="BU114" s="524"/>
      <c r="BV114" s="524"/>
      <c r="BW114" s="524"/>
      <c r="BX114" s="524"/>
      <c r="BY114" s="524"/>
      <c r="BZ114" s="524"/>
      <c r="CA114" s="524"/>
      <c r="CB114" s="524"/>
      <c r="CC114" s="524"/>
      <c r="CD114" s="524"/>
      <c r="CE114" s="524"/>
      <c r="CF114" s="524"/>
      <c r="CG114" s="524"/>
      <c r="CH114" s="524"/>
      <c r="CI114" s="524"/>
      <c r="CJ114" s="524"/>
      <c r="CK114" s="524"/>
      <c r="CL114" s="524"/>
      <c r="CM114" s="524"/>
      <c r="CN114" s="524"/>
      <c r="CO114" s="524"/>
      <c r="CP114" s="524"/>
      <c r="CQ114" s="524"/>
      <c r="CR114" s="524"/>
      <c r="CS114" s="524"/>
      <c r="CT114" s="524"/>
      <c r="CU114" s="524"/>
      <c r="CV114" s="524"/>
      <c r="CW114" s="524"/>
      <c r="CX114" s="524"/>
      <c r="CY114" s="524"/>
      <c r="CZ114" s="524"/>
      <c r="DA114" s="524"/>
      <c r="DB114" s="524"/>
      <c r="DC114" s="524"/>
      <c r="DD114" s="524"/>
      <c r="DE114" s="524"/>
      <c r="DF114" s="524"/>
      <c r="DG114" s="524"/>
      <c r="DH114" s="524"/>
      <c r="DI114" s="524"/>
      <c r="DJ114" s="524"/>
      <c r="DK114" s="524"/>
      <c r="DL114" s="524"/>
      <c r="DM114" s="524"/>
      <c r="DN114" s="524"/>
      <c r="DO114" s="524"/>
      <c r="DP114" s="524"/>
      <c r="DQ114" s="524"/>
      <c r="DR114" s="524"/>
      <c r="DS114" s="524"/>
      <c r="DT114" s="524"/>
      <c r="DU114" s="524"/>
      <c r="DV114" s="524"/>
      <c r="DW114" s="524"/>
      <c r="DX114" s="524"/>
      <c r="DY114" s="524"/>
      <c r="DZ114" s="524"/>
      <c r="EA114" s="524"/>
      <c r="EB114" s="524"/>
      <c r="EC114" s="524"/>
      <c r="ED114" s="524"/>
      <c r="EE114" s="524"/>
      <c r="EF114" s="524"/>
      <c r="EG114" s="524"/>
      <c r="EH114" s="524"/>
      <c r="EI114" s="524"/>
      <c r="EJ114" s="524"/>
      <c r="EK114" s="524"/>
      <c r="EL114" s="524"/>
      <c r="EM114" s="524"/>
      <c r="EN114" s="524"/>
      <c r="EO114" s="524"/>
      <c r="EP114" s="524"/>
      <c r="EQ114" s="524"/>
      <c r="ER114" s="524"/>
      <c r="ES114" s="524"/>
      <c r="ET114" s="524"/>
      <c r="EU114" s="524"/>
      <c r="EV114" s="524"/>
      <c r="EW114" s="524"/>
      <c r="EX114" s="524"/>
      <c r="EY114" s="524"/>
      <c r="EZ114" s="524"/>
      <c r="FA114" s="524"/>
      <c r="FB114" s="524"/>
      <c r="FC114" s="524"/>
      <c r="FD114" s="524"/>
      <c r="FE114" s="524"/>
      <c r="FF114" s="524"/>
      <c r="FG114" s="524"/>
      <c r="FH114" s="524"/>
      <c r="FI114" s="524"/>
      <c r="FJ114" s="524"/>
      <c r="FK114" s="524"/>
      <c r="FL114" s="524"/>
      <c r="FM114" s="524"/>
      <c r="FN114" s="524"/>
      <c r="FO114" s="524"/>
      <c r="FP114" s="524"/>
      <c r="FQ114" s="524"/>
      <c r="FR114" s="524"/>
      <c r="FS114" s="524"/>
      <c r="FT114" s="524"/>
      <c r="FU114" s="524"/>
      <c r="FV114" s="524"/>
      <c r="FW114" s="524"/>
      <c r="FX114" s="524"/>
      <c r="FY114" s="524"/>
      <c r="FZ114" s="524"/>
      <c r="GA114" s="524"/>
      <c r="GB114" s="524"/>
      <c r="GC114" s="524"/>
      <c r="GD114" s="524"/>
      <c r="GE114" s="524"/>
      <c r="GF114" s="524"/>
      <c r="GG114" s="524"/>
      <c r="GH114" s="524"/>
      <c r="GI114" s="524"/>
      <c r="GJ114" s="524"/>
      <c r="GK114" s="524"/>
      <c r="GL114" s="524"/>
      <c r="GM114" s="524"/>
      <c r="GN114" s="524"/>
      <c r="GO114" s="524"/>
      <c r="GP114" s="524"/>
      <c r="GQ114" s="524"/>
      <c r="GR114" s="524"/>
      <c r="GS114" s="524"/>
      <c r="GT114" s="524"/>
      <c r="GU114" s="524"/>
      <c r="GV114" s="524"/>
      <c r="GW114" s="524"/>
      <c r="GX114" s="524"/>
      <c r="GY114" s="524"/>
      <c r="GZ114" s="524"/>
      <c r="HA114" s="524"/>
      <c r="HB114" s="524"/>
      <c r="HC114" s="524"/>
      <c r="HD114" s="524"/>
      <c r="HE114" s="524"/>
      <c r="HF114" s="1" t="s">
        <v>212</v>
      </c>
      <c r="HL114" s="97"/>
      <c r="HN114" s="133"/>
      <c r="HO114" s="26"/>
      <c r="HP114" s="26"/>
      <c r="HQ114" s="26"/>
      <c r="HR114" s="26"/>
      <c r="HS114" s="26"/>
      <c r="HT114" s="26"/>
      <c r="HU114" s="26"/>
      <c r="HV114" s="26"/>
      <c r="HW114"/>
    </row>
    <row r="115" spans="2:231" ht="15" outlineLevel="1">
      <c r="B115" s="1" t="s">
        <v>119</v>
      </c>
      <c r="I115" s="132">
        <f ca="1">SUMIF($K$13:$GT$13,"&lt;="&amp;Assumptions!$L$17,'Monthly Cash Flow'!K115:GT115)</f>
        <v>-499.23713363814215</v>
      </c>
      <c r="J115" s="26"/>
      <c r="K115" s="133">
        <f t="shared" ref="K115:BV115" si="795">K103</f>
        <v>0</v>
      </c>
      <c r="L115" s="531">
        <f t="shared" ca="1" si="795"/>
        <v>-41.229470000000006</v>
      </c>
      <c r="M115" s="531">
        <f t="shared" ca="1" si="795"/>
        <v>-67.647770000000008</v>
      </c>
      <c r="N115" s="531">
        <f t="shared" ca="1" si="795"/>
        <v>-31.592039999999997</v>
      </c>
      <c r="O115" s="531">
        <f t="shared" ca="1" si="795"/>
        <v>-73.803759999999983</v>
      </c>
      <c r="P115" s="531">
        <f t="shared" ca="1" si="795"/>
        <v>-24.374559999999988</v>
      </c>
      <c r="Q115" s="531">
        <f t="shared" ca="1" si="795"/>
        <v>-44.026059999999987</v>
      </c>
      <c r="R115" s="531">
        <f t="shared" ca="1" si="795"/>
        <v>-31.574699999999993</v>
      </c>
      <c r="S115" s="531">
        <f t="shared" ca="1" si="795"/>
        <v>41.945560000000029</v>
      </c>
      <c r="T115" s="531">
        <f t="shared" ca="1" si="795"/>
        <v>-34.480219999999974</v>
      </c>
      <c r="U115" s="531">
        <f t="shared" ca="1" si="795"/>
        <v>54.283529999999999</v>
      </c>
      <c r="V115" s="531">
        <f t="shared" ca="1" si="795"/>
        <v>133.06851999999998</v>
      </c>
      <c r="W115" s="531">
        <f t="shared" ca="1" si="795"/>
        <v>-102.52549</v>
      </c>
      <c r="X115" s="531">
        <f t="shared" ca="1" si="795"/>
        <v>-27.841539999999981</v>
      </c>
      <c r="Y115" s="531">
        <f t="shared" ca="1" si="795"/>
        <v>-110.21392</v>
      </c>
      <c r="Z115" s="531">
        <f t="shared" ca="1" si="795"/>
        <v>-32.848719999999958</v>
      </c>
      <c r="AA115" s="531">
        <f t="shared" ca="1" si="795"/>
        <v>5.3203300000000269</v>
      </c>
      <c r="AB115" s="531">
        <f t="shared" ca="1" si="795"/>
        <v>-49.037240000000011</v>
      </c>
      <c r="AC115" s="531">
        <f t="shared" ca="1" si="795"/>
        <v>-86.348610000000008</v>
      </c>
      <c r="AD115" s="531">
        <f t="shared" ca="1" si="795"/>
        <v>-6.6120400000000075</v>
      </c>
      <c r="AE115" s="531">
        <f t="shared" ca="1" si="795"/>
        <v>-11.428169999999994</v>
      </c>
      <c r="AF115" s="531">
        <f t="shared" ca="1" si="795"/>
        <v>-33.447289999999953</v>
      </c>
      <c r="AG115" s="531">
        <f t="shared" ca="1" si="795"/>
        <v>-41.16231999999998</v>
      </c>
      <c r="AH115" s="531">
        <f t="shared" ca="1" si="795"/>
        <v>-20.904310000000009</v>
      </c>
      <c r="AI115" s="531">
        <f t="shared" ca="1" si="795"/>
        <v>-36.47363</v>
      </c>
      <c r="AJ115" s="531">
        <f t="shared" ca="1" si="795"/>
        <v>-64.111910000000009</v>
      </c>
      <c r="AK115" s="531">
        <f t="shared" ca="1" si="795"/>
        <v>-79.341940000000051</v>
      </c>
      <c r="AL115" s="531">
        <f t="shared" ca="1" si="795"/>
        <v>-47.330859999999959</v>
      </c>
      <c r="AM115" s="531">
        <f t="shared" ca="1" si="795"/>
        <v>-9.9833600000000047</v>
      </c>
      <c r="AN115" s="531">
        <f t="shared" ca="1" si="795"/>
        <v>-61.094149999999956</v>
      </c>
      <c r="AO115" s="531">
        <f t="shared" ca="1" si="795"/>
        <v>-80.118420000000029</v>
      </c>
      <c r="AP115" s="531">
        <f t="shared" ca="1" si="795"/>
        <v>-16.85333</v>
      </c>
      <c r="AQ115" s="531">
        <f t="shared" ca="1" si="795"/>
        <v>-0.20902000000003795</v>
      </c>
      <c r="AR115" s="531">
        <f ca="1">AR103</f>
        <v>-40.118069999999989</v>
      </c>
      <c r="AS115" s="531">
        <f t="shared" ca="1" si="795"/>
        <v>-6.1919700000000262</v>
      </c>
      <c r="AT115" s="531">
        <f t="shared" ca="1" si="795"/>
        <v>-28.269380000000012</v>
      </c>
      <c r="AU115" s="531">
        <f ca="1">AU103</f>
        <v>-5.794399999999996</v>
      </c>
      <c r="AV115" s="531">
        <f t="shared" ca="1" si="795"/>
        <v>-5.5704599999999971</v>
      </c>
      <c r="AW115" s="531">
        <f t="shared" ca="1" si="795"/>
        <v>-12.552480000000003</v>
      </c>
      <c r="AX115" s="531">
        <f t="shared" ca="1" si="795"/>
        <v>-18.052980000000019</v>
      </c>
      <c r="AY115" s="531">
        <f t="shared" ca="1" si="795"/>
        <v>-21.07729999999998</v>
      </c>
      <c r="AZ115" s="531">
        <f t="shared" ca="1" si="795"/>
        <v>-78.298169999999999</v>
      </c>
      <c r="BA115" s="531">
        <f t="shared" ca="1" si="795"/>
        <v>0.23894999999996003</v>
      </c>
      <c r="BB115" s="531">
        <f ca="1">BB103</f>
        <v>-19.323029999999989</v>
      </c>
      <c r="BC115" s="531">
        <f t="shared" ca="1" si="795"/>
        <v>-17.114520000000027</v>
      </c>
      <c r="BD115" s="531">
        <f t="shared" ca="1" si="795"/>
        <v>-19.470479999999981</v>
      </c>
      <c r="BE115" s="531">
        <f t="shared" ca="1" si="795"/>
        <v>34.22075000000001</v>
      </c>
      <c r="BF115" s="531">
        <f t="shared" ca="1" si="795"/>
        <v>40.749869999999959</v>
      </c>
      <c r="BG115" s="531">
        <f t="shared" ca="1" si="795"/>
        <v>33.527079999999984</v>
      </c>
      <c r="BH115" s="531">
        <f t="shared" ca="1" si="795"/>
        <v>23.668309999999977</v>
      </c>
      <c r="BI115" s="531">
        <f t="shared" ca="1" si="795"/>
        <v>6.5428799999999825</v>
      </c>
      <c r="BJ115" s="531">
        <f t="shared" ca="1" si="795"/>
        <v>-104.43817999999999</v>
      </c>
      <c r="BK115" s="531">
        <f t="shared" ca="1" si="795"/>
        <v>39.225409999999997</v>
      </c>
      <c r="BL115" s="531">
        <f t="shared" ca="1" si="795"/>
        <v>7.5832400000000035</v>
      </c>
      <c r="BM115" s="531">
        <f t="shared" ca="1" si="795"/>
        <v>-98.088319999999939</v>
      </c>
      <c r="BN115" s="531">
        <f t="shared" ca="1" si="795"/>
        <v>-2.2469199999999603</v>
      </c>
      <c r="BO115" s="531">
        <f t="shared" ca="1" si="795"/>
        <v>9.7761899999999997</v>
      </c>
      <c r="BP115" s="531">
        <f t="shared" ca="1" si="795"/>
        <v>-88.698799999999991</v>
      </c>
      <c r="BQ115" s="531">
        <f t="shared" ca="1" si="795"/>
        <v>7.8888199999999813</v>
      </c>
      <c r="BR115" s="531">
        <f t="shared" ca="1" si="795"/>
        <v>-48.497689999999992</v>
      </c>
      <c r="BS115" s="531">
        <f t="shared" ca="1" si="795"/>
        <v>80.644499999999994</v>
      </c>
      <c r="BT115" s="531">
        <f t="shared" ca="1" si="795"/>
        <v>-40.044030000000006</v>
      </c>
      <c r="BU115" s="531">
        <f t="shared" ca="1" si="795"/>
        <v>-30.121659999999963</v>
      </c>
      <c r="BV115" s="531">
        <f t="shared" ca="1" si="795"/>
        <v>8.5182099999999821</v>
      </c>
      <c r="BW115" s="531">
        <f t="shared" ref="BW115:CE115" ca="1" si="796">BW103</f>
        <v>76.141459999999967</v>
      </c>
      <c r="BX115" s="531">
        <f t="shared" ca="1" si="796"/>
        <v>-5.4213900000000592</v>
      </c>
      <c r="BY115" s="531">
        <f t="shared" ca="1" si="796"/>
        <v>27.669080000000022</v>
      </c>
      <c r="BZ115" s="531">
        <f t="shared" ca="1" si="796"/>
        <v>82.17413999999998</v>
      </c>
      <c r="CA115" s="531">
        <f t="shared" ca="1" si="796"/>
        <v>-75.128219999999999</v>
      </c>
      <c r="CB115" s="531">
        <f t="shared" ca="1" si="796"/>
        <v>25.984249999999989</v>
      </c>
      <c r="CC115" s="531">
        <f t="shared" ca="1" si="796"/>
        <v>34.439579999999978</v>
      </c>
      <c r="CD115" s="531">
        <f t="shared" ca="1" si="796"/>
        <v>-12.867059999999981</v>
      </c>
      <c r="CE115" s="531">
        <f t="shared" ca="1" si="796"/>
        <v>-8.3577399999999642</v>
      </c>
      <c r="CF115" s="531">
        <f t="shared" ref="CF115:EL115" ca="1" si="797">CF103</f>
        <v>25.573719999999952</v>
      </c>
      <c r="CG115" s="531">
        <f t="shared" ca="1" si="797"/>
        <v>-11.887410000000045</v>
      </c>
      <c r="CH115" s="531">
        <f t="shared" ca="1" si="797"/>
        <v>14.746900000000011</v>
      </c>
      <c r="CI115" s="531">
        <f t="shared" ca="1" si="797"/>
        <v>14.28969799064015</v>
      </c>
      <c r="CJ115" s="531">
        <f t="shared" ca="1" si="797"/>
        <v>23.79786026666666</v>
      </c>
      <c r="CK115" s="531">
        <f t="shared" ca="1" si="797"/>
        <v>19.756822275555564</v>
      </c>
      <c r="CL115" s="531">
        <f t="shared" ca="1" si="797"/>
        <v>20.152822275555522</v>
      </c>
      <c r="CM115" s="531">
        <f t="shared" ca="1" si="797"/>
        <v>32.27593624888884</v>
      </c>
      <c r="CN115" s="531">
        <f t="shared" ca="1" si="797"/>
        <v>20.256339030405655</v>
      </c>
      <c r="CO115" s="531">
        <f t="shared" ca="1" si="797"/>
        <v>23.945183017989407</v>
      </c>
      <c r="CP115" s="531">
        <f t="shared" ca="1" si="797"/>
        <v>31.8543725401058</v>
      </c>
      <c r="CQ115" s="531">
        <f t="shared" ca="1" si="797"/>
        <v>36.090991102645475</v>
      </c>
      <c r="CR115" s="531">
        <f t="shared" ca="1" si="797"/>
        <v>-8.2667096604673986</v>
      </c>
      <c r="CS115" s="531">
        <f t="shared" ca="1" si="797"/>
        <v>-26.374192023783081</v>
      </c>
      <c r="CT115" s="531">
        <f t="shared" ca="1" si="797"/>
        <v>22.436769442592578</v>
      </c>
      <c r="CU115" s="531">
        <f t="shared" ca="1" si="797"/>
        <v>12.17643268450621</v>
      </c>
      <c r="CV115" s="531">
        <f t="shared" ca="1" si="797"/>
        <v>24.334799849999996</v>
      </c>
      <c r="CW115" s="531">
        <f t="shared" ca="1" si="797"/>
        <v>19.446426511666658</v>
      </c>
      <c r="CX115" s="531">
        <f t="shared" ca="1" si="797"/>
        <v>-9.5015734883333494</v>
      </c>
      <c r="CY115" s="531">
        <f t="shared" ca="1" si="797"/>
        <v>27.320173188333371</v>
      </c>
      <c r="CZ115" s="531">
        <f t="shared" ca="1" si="797"/>
        <v>-8.9514706716666694</v>
      </c>
      <c r="DA115" s="531">
        <f t="shared" ca="1" si="797"/>
        <v>20.571899350000052</v>
      </c>
      <c r="DB115" s="531">
        <f t="shared" ca="1" si="797"/>
        <v>33.169461556111145</v>
      </c>
      <c r="DC115" s="531">
        <f t="shared" ca="1" si="797"/>
        <v>62.8837126833333</v>
      </c>
      <c r="DD115" s="531">
        <f t="shared" ca="1" si="797"/>
        <v>56.456198956111081</v>
      </c>
      <c r="DE115" s="531">
        <f t="shared" ca="1" si="797"/>
        <v>57.000198956111092</v>
      </c>
      <c r="DF115" s="531">
        <f t="shared" ca="1" si="797"/>
        <v>63.119773183333308</v>
      </c>
      <c r="DG115" s="531">
        <f t="shared" ca="1" si="797"/>
        <v>58.421198956111112</v>
      </c>
      <c r="DH115" s="531">
        <f t="shared" ca="1" si="797"/>
        <v>64.534773183333385</v>
      </c>
      <c r="DI115" s="531">
        <f t="shared" ca="1" si="797"/>
        <v>59.879198956111139</v>
      </c>
      <c r="DJ115" s="531">
        <f t="shared" ca="1" si="797"/>
        <v>0</v>
      </c>
      <c r="DK115" s="531">
        <f t="shared" ca="1" si="797"/>
        <v>0</v>
      </c>
      <c r="DL115" s="531">
        <f t="shared" ca="1" si="797"/>
        <v>0</v>
      </c>
      <c r="DM115" s="531">
        <f t="shared" ca="1" si="797"/>
        <v>0</v>
      </c>
      <c r="DN115" s="531">
        <f t="shared" ca="1" si="797"/>
        <v>0</v>
      </c>
      <c r="DO115" s="531">
        <f t="shared" ca="1" si="797"/>
        <v>0</v>
      </c>
      <c r="DP115" s="531">
        <f t="shared" ca="1" si="797"/>
        <v>0</v>
      </c>
      <c r="DQ115" s="531">
        <f t="shared" ca="1" si="797"/>
        <v>0</v>
      </c>
      <c r="DR115" s="531">
        <f t="shared" ca="1" si="797"/>
        <v>0</v>
      </c>
      <c r="DS115" s="531">
        <f t="shared" ca="1" si="797"/>
        <v>0</v>
      </c>
      <c r="DT115" s="531">
        <f t="shared" ca="1" si="797"/>
        <v>0</v>
      </c>
      <c r="DU115" s="531">
        <f t="shared" ca="1" si="797"/>
        <v>0</v>
      </c>
      <c r="DV115" s="531">
        <f t="shared" ca="1" si="797"/>
        <v>0</v>
      </c>
      <c r="DW115" s="531">
        <f t="shared" ca="1" si="797"/>
        <v>0</v>
      </c>
      <c r="DX115" s="531">
        <f t="shared" ca="1" si="797"/>
        <v>0</v>
      </c>
      <c r="DY115" s="531">
        <f t="shared" ca="1" si="797"/>
        <v>0</v>
      </c>
      <c r="DZ115" s="531">
        <f t="shared" ca="1" si="797"/>
        <v>0</v>
      </c>
      <c r="EA115" s="531">
        <f t="shared" ca="1" si="797"/>
        <v>0</v>
      </c>
      <c r="EB115" s="531">
        <f t="shared" ca="1" si="797"/>
        <v>0</v>
      </c>
      <c r="EC115" s="531">
        <f t="shared" ca="1" si="797"/>
        <v>0</v>
      </c>
      <c r="ED115" s="531">
        <f t="shared" ca="1" si="797"/>
        <v>0</v>
      </c>
      <c r="EE115" s="531">
        <f t="shared" ca="1" si="797"/>
        <v>0</v>
      </c>
      <c r="EF115" s="531">
        <f t="shared" ca="1" si="797"/>
        <v>0</v>
      </c>
      <c r="EG115" s="531">
        <f t="shared" ca="1" si="797"/>
        <v>0</v>
      </c>
      <c r="EH115" s="531">
        <f t="shared" ca="1" si="797"/>
        <v>0</v>
      </c>
      <c r="EI115" s="531">
        <f t="shared" ca="1" si="797"/>
        <v>0</v>
      </c>
      <c r="EJ115" s="531">
        <f t="shared" ca="1" si="797"/>
        <v>0</v>
      </c>
      <c r="EK115" s="531">
        <f t="shared" ca="1" si="797"/>
        <v>0</v>
      </c>
      <c r="EL115" s="531">
        <f t="shared" ca="1" si="797"/>
        <v>0</v>
      </c>
      <c r="EM115" s="531">
        <f t="shared" ref="EM115:FD115" ca="1" si="798">EM103</f>
        <v>0</v>
      </c>
      <c r="EN115" s="531">
        <f t="shared" ca="1" si="798"/>
        <v>0</v>
      </c>
      <c r="EO115" s="531">
        <f t="shared" ca="1" si="798"/>
        <v>0</v>
      </c>
      <c r="EP115" s="531">
        <f t="shared" ca="1" si="798"/>
        <v>0</v>
      </c>
      <c r="EQ115" s="531">
        <f t="shared" ca="1" si="798"/>
        <v>0</v>
      </c>
      <c r="ER115" s="531">
        <f t="shared" ca="1" si="798"/>
        <v>0</v>
      </c>
      <c r="ES115" s="531">
        <f t="shared" ca="1" si="798"/>
        <v>0</v>
      </c>
      <c r="ET115" s="531">
        <f t="shared" ca="1" si="798"/>
        <v>0</v>
      </c>
      <c r="EU115" s="531">
        <f t="shared" ca="1" si="798"/>
        <v>0</v>
      </c>
      <c r="EV115" s="531">
        <f t="shared" ca="1" si="798"/>
        <v>0</v>
      </c>
      <c r="EW115" s="531">
        <f t="shared" ca="1" si="798"/>
        <v>0</v>
      </c>
      <c r="EX115" s="531">
        <f t="shared" ca="1" si="798"/>
        <v>0</v>
      </c>
      <c r="EY115" s="531">
        <f t="shared" ca="1" si="798"/>
        <v>0</v>
      </c>
      <c r="EZ115" s="531">
        <f t="shared" ca="1" si="798"/>
        <v>0</v>
      </c>
      <c r="FA115" s="531">
        <f t="shared" ca="1" si="798"/>
        <v>0</v>
      </c>
      <c r="FB115" s="531">
        <f t="shared" ca="1" si="798"/>
        <v>0</v>
      </c>
      <c r="FC115" s="531">
        <f t="shared" ca="1" si="798"/>
        <v>0</v>
      </c>
      <c r="FD115" s="531">
        <f t="shared" ca="1" si="798"/>
        <v>0</v>
      </c>
      <c r="FE115" s="531">
        <f t="shared" ref="FE115:FI115" ca="1" si="799">FE103</f>
        <v>0</v>
      </c>
      <c r="FF115" s="531">
        <f t="shared" ca="1" si="799"/>
        <v>0</v>
      </c>
      <c r="FG115" s="531">
        <f t="shared" ca="1" si="799"/>
        <v>0</v>
      </c>
      <c r="FH115" s="531">
        <f t="shared" ca="1" si="799"/>
        <v>0</v>
      </c>
      <c r="FI115" s="531">
        <f t="shared" ca="1" si="799"/>
        <v>0</v>
      </c>
      <c r="FJ115" s="531">
        <f t="shared" ref="FJ115:GT115" ca="1" si="800">FJ103</f>
        <v>0</v>
      </c>
      <c r="FK115" s="531">
        <f t="shared" ca="1" si="800"/>
        <v>0</v>
      </c>
      <c r="FL115" s="531">
        <f t="shared" ca="1" si="800"/>
        <v>0</v>
      </c>
      <c r="FM115" s="531">
        <f t="shared" ca="1" si="800"/>
        <v>0</v>
      </c>
      <c r="FN115" s="531">
        <f t="shared" ca="1" si="800"/>
        <v>0</v>
      </c>
      <c r="FO115" s="531">
        <f t="shared" ca="1" si="800"/>
        <v>0</v>
      </c>
      <c r="FP115" s="531">
        <f t="shared" ca="1" si="800"/>
        <v>0</v>
      </c>
      <c r="FQ115" s="531">
        <f t="shared" ca="1" si="800"/>
        <v>0</v>
      </c>
      <c r="FR115" s="531">
        <f t="shared" ca="1" si="800"/>
        <v>0</v>
      </c>
      <c r="FS115" s="531">
        <f t="shared" ca="1" si="800"/>
        <v>0</v>
      </c>
      <c r="FT115" s="531">
        <f t="shared" ca="1" si="800"/>
        <v>0</v>
      </c>
      <c r="FU115" s="531">
        <f t="shared" ca="1" si="800"/>
        <v>0</v>
      </c>
      <c r="FV115" s="531">
        <f t="shared" ca="1" si="800"/>
        <v>0</v>
      </c>
      <c r="FW115" s="531">
        <f t="shared" ca="1" si="800"/>
        <v>0</v>
      </c>
      <c r="FX115" s="531">
        <f t="shared" ca="1" si="800"/>
        <v>0</v>
      </c>
      <c r="FY115" s="531">
        <f t="shared" ca="1" si="800"/>
        <v>0</v>
      </c>
      <c r="FZ115" s="531">
        <f t="shared" ca="1" si="800"/>
        <v>0</v>
      </c>
      <c r="GA115" s="531">
        <f t="shared" ca="1" si="800"/>
        <v>0</v>
      </c>
      <c r="GB115" s="531">
        <f t="shared" ca="1" si="800"/>
        <v>0</v>
      </c>
      <c r="GC115" s="531">
        <f t="shared" ca="1" si="800"/>
        <v>0</v>
      </c>
      <c r="GD115" s="531"/>
      <c r="GE115" s="531"/>
      <c r="GF115" s="531"/>
      <c r="GG115" s="531"/>
      <c r="GH115" s="531"/>
      <c r="GI115" s="531"/>
      <c r="GJ115" s="531"/>
      <c r="GK115" s="531"/>
      <c r="GL115" s="531"/>
      <c r="GM115" s="531"/>
      <c r="GN115" s="531"/>
      <c r="GO115" s="531"/>
      <c r="GP115" s="531">
        <f t="shared" ca="1" si="800"/>
        <v>0</v>
      </c>
      <c r="GQ115" s="531">
        <f t="shared" ca="1" si="800"/>
        <v>0</v>
      </c>
      <c r="GR115" s="531">
        <f t="shared" ca="1" si="800"/>
        <v>0</v>
      </c>
      <c r="GS115" s="531">
        <f t="shared" ca="1" si="800"/>
        <v>0</v>
      </c>
      <c r="GT115" s="531">
        <f t="shared" ca="1" si="800"/>
        <v>0</v>
      </c>
      <c r="GU115" s="531"/>
      <c r="GV115" s="531"/>
      <c r="GW115" s="531"/>
      <c r="GX115" s="531"/>
      <c r="GY115" s="531"/>
      <c r="GZ115" s="531"/>
      <c r="HA115" s="531"/>
      <c r="HB115" s="531"/>
      <c r="HC115" s="531"/>
      <c r="HD115" s="531"/>
      <c r="HE115" s="531"/>
      <c r="HF115" s="1" t="s">
        <v>212</v>
      </c>
      <c r="HH115" s="1" t="str">
        <f>B115</f>
        <v>Cash Flow Available as a Source</v>
      </c>
      <c r="HI115" s="26"/>
      <c r="HJ115" s="26"/>
      <c r="HK115" s="26"/>
      <c r="HL115" s="132">
        <f t="shared" ref="HL115:HL116" ca="1" si="801">SUM(HN115:HV115)</f>
        <v>-858.64847582925461</v>
      </c>
      <c r="HM115" s="26"/>
      <c r="HN115" s="133">
        <f t="shared" ref="HN115:HV116" si="802">SUMIF($K$14:$GT$14,HN$14,$K115:$GT115)</f>
        <v>0</v>
      </c>
      <c r="HO115" s="26">
        <f t="shared" ca="1" si="802"/>
        <v>-221.95645999999994</v>
      </c>
      <c r="HP115" s="26">
        <f t="shared" ca="1" si="802"/>
        <v>-450.99745999999993</v>
      </c>
      <c r="HQ115" s="26">
        <f t="shared" ca="1" si="802"/>
        <v>-439.41681000000005</v>
      </c>
      <c r="HR115" s="26">
        <f t="shared" ca="1" si="802"/>
        <v>-82.722770000000082</v>
      </c>
      <c r="HS115" s="26">
        <f t="shared" ca="1" si="802"/>
        <v>-166.64055999999994</v>
      </c>
      <c r="HT115" s="26">
        <f t="shared" ca="1" si="802"/>
        <v>82.986619999999945</v>
      </c>
      <c r="HU115" s="26">
        <f t="shared" ca="1" si="802"/>
        <v>250.85323474845296</v>
      </c>
      <c r="HV115" s="26">
        <f t="shared" ca="1" si="802"/>
        <v>169.24572942229281</v>
      </c>
      <c r="HW115"/>
    </row>
    <row r="116" spans="2:231" ht="15" outlineLevel="1">
      <c r="B116" s="1" t="s">
        <v>120</v>
      </c>
      <c r="I116" s="132">
        <f ca="1">SUMIF($K$13:$GT$13,"&lt;="&amp;Assumptions!$L$17,'Monthly Cash Flow'!K116:GT116)</f>
        <v>114.41052999999994</v>
      </c>
      <c r="J116" s="26"/>
      <c r="K116" s="133">
        <f t="shared" ref="K116" si="803">-MIN(K113,K115)</f>
        <v>0</v>
      </c>
      <c r="L116" s="531">
        <f ca="1">+MIN(MAX(0,IF(L13=Assumptions!$L$17, L196, L103)), L113-L142)</f>
        <v>0</v>
      </c>
      <c r="M116" s="531">
        <f ca="1">+MIN(MAX(0,IF(M13=Assumptions!$L$17, M196, M103)), M113-M142)</f>
        <v>0</v>
      </c>
      <c r="N116" s="531">
        <f ca="1">+MIN(MAX(0,IF(N13=Assumptions!$L$17, N196, N103)), N113-N142)</f>
        <v>0</v>
      </c>
      <c r="O116" s="531">
        <f ca="1">+MIN(MAX(0,IF(O13=Assumptions!$L$17, O196, O103)), O113-O142)</f>
        <v>0</v>
      </c>
      <c r="P116" s="531">
        <f ca="1">+MIN(MAX(0,IF(P13=Assumptions!$L$17, P196, P103)), P113-P142)</f>
        <v>0</v>
      </c>
      <c r="Q116" s="531">
        <f ca="1">+MIN(MAX(0,IF(Q13=Assumptions!$L$17, Q196, Q103)), Q113-Q142)</f>
        <v>0</v>
      </c>
      <c r="R116" s="531">
        <f ca="1">+MIN(MAX(0,IF(R13=Assumptions!$L$17, R196, R103)), R113-R142)</f>
        <v>0</v>
      </c>
      <c r="S116" s="531">
        <f ca="1">+MIN(MAX(0,IF(S13=Assumptions!$L$17, S196, S103)), S113-S142)</f>
        <v>0</v>
      </c>
      <c r="T116" s="531">
        <f ca="1">+MIN(MAX(0,IF(T13=Assumptions!$L$17, T196, T103)), T113-T142)</f>
        <v>0</v>
      </c>
      <c r="U116" s="531">
        <f ca="1">+MIN(MAX(0,IF(U13=Assumptions!$L$17, U196, U103)), U113-U142)</f>
        <v>0</v>
      </c>
      <c r="V116" s="531">
        <f ca="1">+MIN(MAX(0,IF(V13=Assumptions!$L$17, V196, V103)), V113-V142)</f>
        <v>0</v>
      </c>
      <c r="W116" s="531">
        <f ca="1">+MIN(MAX(0,IF(W13=Assumptions!$L$17, W196, W103)), W113-W142)</f>
        <v>0</v>
      </c>
      <c r="X116" s="531">
        <f ca="1">+MIN(MAX(0,IF(X13=Assumptions!$L$17, X196, X103)), X113-X142)</f>
        <v>0</v>
      </c>
      <c r="Y116" s="531">
        <f ca="1">+MIN(MAX(0,IF(Y13=Assumptions!$L$17, Y196, Y103)), Y113-Y142)</f>
        <v>0</v>
      </c>
      <c r="Z116" s="531">
        <f ca="1">+MIN(MAX(0,IF(Z13=Assumptions!$L$17, Z196, Z103)), Z113-Z142)</f>
        <v>0</v>
      </c>
      <c r="AA116" s="531">
        <f ca="1">+MIN(MAX(0,IF(AA13=Assumptions!$L$17, AA196, AA103)), AA113-AA142)</f>
        <v>0</v>
      </c>
      <c r="AB116" s="531">
        <f ca="1">+MIN(MAX(0,IF(AB13=Assumptions!$L$17, AB196, AB103)), AB113-AB142)</f>
        <v>0</v>
      </c>
      <c r="AC116" s="531">
        <f ca="1">+MIN(MAX(0,IF(AC13=Assumptions!$L$17, AC196, AC103)), AC113-AC142)</f>
        <v>0</v>
      </c>
      <c r="AD116" s="531">
        <f ca="1">+MIN(MAX(0,IF(AD13=Assumptions!$L$17, AD196, AD103)), AD113-AD142)</f>
        <v>0</v>
      </c>
      <c r="AE116" s="531">
        <f ca="1">+MIN(MAX(0,IF(AE13=Assumptions!$L$17, AE196, AE103)), AE113-AE142)</f>
        <v>0</v>
      </c>
      <c r="AF116" s="531">
        <f ca="1">+MIN(MAX(0,IF(AF13=Assumptions!$L$17, AF196, AF103)), AF113-AF142)</f>
        <v>0</v>
      </c>
      <c r="AG116" s="531">
        <f ca="1">+MIN(MAX(0,IF(AG13=Assumptions!$L$17, AG196, AG103)), AG113-AG142)</f>
        <v>0</v>
      </c>
      <c r="AH116" s="531">
        <f ca="1">+MIN(MAX(0,IF(AH13=Assumptions!$L$17, AH196, AH103)), AH113-AH142)</f>
        <v>0</v>
      </c>
      <c r="AI116" s="531">
        <f ca="1">+MIN(MAX(0,IF(AI13=Assumptions!$L$17, AI196, AI103)), AI113-AI142)</f>
        <v>0</v>
      </c>
      <c r="AJ116" s="531">
        <f ca="1">+MIN(MAX(0,IF(AJ13=Assumptions!$L$17, AJ196, AJ103)), AJ113-AJ142)</f>
        <v>0</v>
      </c>
      <c r="AK116" s="531">
        <f ca="1">+MIN(MAX(0,IF(AK13=Assumptions!$L$17, AK196, AK103)), AK113-AK142)</f>
        <v>0</v>
      </c>
      <c r="AL116" s="531">
        <f ca="1">+MIN(MAX(0,IF(AL13=Assumptions!$L$17, AL196, AL103)), AL113-AL142)</f>
        <v>0</v>
      </c>
      <c r="AM116" s="531">
        <f ca="1">+MIN(MAX(0,IF(AM13=Assumptions!$L$17, AM196, AM103)), AM113-AM142)</f>
        <v>0</v>
      </c>
      <c r="AN116" s="531">
        <f ca="1">+MIN(MAX(0,IF(AN13=Assumptions!$L$17, AN196, AN103)), AN113-AN142)</f>
        <v>0</v>
      </c>
      <c r="AO116" s="531">
        <f ca="1">+MIN(MAX(0,IF(AO13=Assumptions!$L$17, AO196, AO103)), AO113-AO142)</f>
        <v>0</v>
      </c>
      <c r="AP116" s="531">
        <f ca="1">+MIN(MAX(0,IF(AP13=Assumptions!$L$17, AP196, AP103)), AP113-AP142)</f>
        <v>0</v>
      </c>
      <c r="AQ116" s="531">
        <f ca="1">+MIN(MAX(0,IF(AQ13=Assumptions!$L$17, AQ196, AQ103)), AQ113-AQ142)</f>
        <v>0</v>
      </c>
      <c r="AR116" s="531">
        <f ca="1">+MIN(MAX(0,IF(AR13=Assumptions!$L$17, AR196, AR103)), AR113-AR142)</f>
        <v>0</v>
      </c>
      <c r="AS116" s="531">
        <f ca="1">+MIN(MAX(0,IF(AS13=Assumptions!$L$17, AS196, AS103)), AS113-AS142)</f>
        <v>0</v>
      </c>
      <c r="AT116" s="531">
        <f ca="1">+MIN(MAX(0,IF(AT13=Assumptions!$L$17, AT196, AT103)), AT113-AT142)</f>
        <v>0</v>
      </c>
      <c r="AU116" s="531">
        <f ca="1">+MIN(MAX(0,IF(AU13=Assumptions!$L$17, AU196, AU103)), AU113-AU142)</f>
        <v>0</v>
      </c>
      <c r="AV116" s="531">
        <f ca="1">+MIN(MAX(0,IF(AV13=Assumptions!$L$17, AV196, AV103)), AV113-AV142)</f>
        <v>0</v>
      </c>
      <c r="AW116" s="531">
        <f ca="1">+MIN(MAX(0,IF(AW13=Assumptions!$L$17, AW196, AW103)), AW113-AW142)</f>
        <v>0</v>
      </c>
      <c r="AX116" s="531">
        <f ca="1">+MIN(MAX(0,IF(AX13=Assumptions!$L$17, AX196, AX103)), AX113-AX142)</f>
        <v>0</v>
      </c>
      <c r="AY116" s="531">
        <f ca="1">+MIN(MAX(0,IF(AY13=Assumptions!$L$17, AY196, AY103)), AY113-AY142)</f>
        <v>0</v>
      </c>
      <c r="AZ116" s="531">
        <f ca="1">+MIN(MAX(0,IF(AZ13=Assumptions!$L$17, AZ196, AZ103)), AZ113-AZ142)</f>
        <v>0</v>
      </c>
      <c r="BA116" s="531">
        <f ca="1">+MIN(MAX(0,IF(BA13=Assumptions!$L$17, BA196, BA103)), BA113-BA142)</f>
        <v>0.23894999999996003</v>
      </c>
      <c r="BB116" s="531">
        <f ca="1">+MIN(MAX(0,IF(BB13=Assumptions!$L$17, BB196, BB103)), BB113-BB142)</f>
        <v>0</v>
      </c>
      <c r="BC116" s="531">
        <f ca="1">+MIN(MAX(0,IF(BC13=Assumptions!$L$17, BC196, BC103)), BC113-BC142)</f>
        <v>0</v>
      </c>
      <c r="BD116" s="531">
        <f ca="1">+MIN(MAX(0,IF(BD13=Assumptions!$L$17, BD196, BD103)), BD113-BD142)</f>
        <v>0</v>
      </c>
      <c r="BE116" s="531">
        <f ca="1">+MIN(MAX(0,IF(BE13=Assumptions!$L$17, BE196, BE103)), BE113-BE142)</f>
        <v>0</v>
      </c>
      <c r="BF116" s="531">
        <f ca="1">+MIN(MAX(0,IF(BF13=Assumptions!$L$17, BF196, BF103)), BF113-BF142)</f>
        <v>0</v>
      </c>
      <c r="BG116" s="531">
        <f ca="1">+MIN(MAX(0,IF(BG13=Assumptions!$L$17, BG196, BG103)), BG113-BG142)</f>
        <v>33.527079999999984</v>
      </c>
      <c r="BH116" s="531">
        <f ca="1">+MIN(MAX(0,IF(BH13=Assumptions!$L$17, BH196, BH103)), BH113-BH142)</f>
        <v>0</v>
      </c>
      <c r="BI116" s="531">
        <f ca="1">+MIN(MAX(0,IF(BI13=Assumptions!$L$17, BI196, BI103)), BI113-BI142)</f>
        <v>0</v>
      </c>
      <c r="BJ116" s="531">
        <f ca="1">+MIN(MAX(0,IF(BJ13=Assumptions!$L$17, BJ196, BJ103)), BJ113-BJ142)</f>
        <v>0</v>
      </c>
      <c r="BK116" s="531">
        <f ca="1">+MIN(MAX(0,IF(BK13=Assumptions!$L$17, BK196, BK103)), BK113-BK142)</f>
        <v>0</v>
      </c>
      <c r="BL116" s="531">
        <f ca="1">+MIN(MAX(0,IF(BL13=Assumptions!$L$17, BL196, BL103)), BL113-BL142)</f>
        <v>0</v>
      </c>
      <c r="BM116" s="531">
        <f ca="1">+MIN(MAX(0,IF(BM13=Assumptions!$L$17, BM196, BM103)), BM113-BM142)</f>
        <v>0</v>
      </c>
      <c r="BN116" s="531">
        <f ca="1">+MIN(MAX(0,IF(BN13=Assumptions!$L$17, BN196, BN103)), BN113-BN142)</f>
        <v>0</v>
      </c>
      <c r="BO116" s="531">
        <f ca="1">+MIN(MAX(0,IF(BO13=Assumptions!$L$17, BO196, BO103)), BO113-BO142)</f>
        <v>0</v>
      </c>
      <c r="BP116" s="531">
        <f ca="1">+MIN(MAX(0,IF(BP13=Assumptions!$L$17, BP196, BP103)), BP113-BP142)</f>
        <v>0</v>
      </c>
      <c r="BQ116" s="531">
        <f ca="1">+MIN(MAX(0,IF(BQ13=Assumptions!$L$17, BQ196, BQ103)), BQ113-BQ142)</f>
        <v>0</v>
      </c>
      <c r="BR116" s="531">
        <f ca="1">+MIN(MAX(0,IF(BR13=Assumptions!$L$17, BR196, BR103)), BR113-BR142)</f>
        <v>0</v>
      </c>
      <c r="BS116" s="531">
        <f ca="1">+MIN(MAX(0,IF(BS13=Assumptions!$L$17, BS196, BS103)), BS113-BS142)</f>
        <v>80.644499999999994</v>
      </c>
      <c r="BT116" s="531">
        <f ca="1">+MIN(MAX(0,IF(BT13=Assumptions!$L$17, BT196, BT103)), BT113-BT164)</f>
        <v>0</v>
      </c>
      <c r="BU116" s="531">
        <f ca="1">+MIN(MAX(0,IF(BU13=Assumptions!$L$17, BU196, BU103)), BU113-BU164)</f>
        <v>0</v>
      </c>
      <c r="BV116" s="531">
        <f ca="1">+MIN(MAX(0,IF(BV13=Assumptions!$L$17, BV196, BV103)), BV113-BV164)</f>
        <v>0</v>
      </c>
      <c r="BW116" s="531">
        <f ca="1">+MIN(MAX(0,IF(BW13=Assumptions!$L$17, BW196, BW103)), BW113-BW164)</f>
        <v>0</v>
      </c>
      <c r="BX116" s="531">
        <f ca="1">+MIN(MAX(0,IF(BX13=Assumptions!$L$17, BX196, BX103)), BX113-BX164)</f>
        <v>0</v>
      </c>
      <c r="BY116" s="531">
        <f ca="1">+MIN(MAX(0,IF(BY13=Assumptions!$L$17, BY196, BY103)), BY113-BY164)</f>
        <v>0</v>
      </c>
      <c r="BZ116" s="531">
        <f ca="1">+MIN(MAX(0,IF(BZ13=Assumptions!$L$17, BZ196, BZ103)), BZ113-BZ164)</f>
        <v>0</v>
      </c>
      <c r="CA116" s="531">
        <f ca="1">+MIN(MAX(0,IF(CA13=Assumptions!$L$17, CA196, CA103)), CA113-CA164)</f>
        <v>0</v>
      </c>
      <c r="CB116" s="531">
        <f ca="1">+MIN(MAX(0,IF(CB13=Assumptions!$L$17, CB196, CB103)), CB113-CB164)</f>
        <v>0</v>
      </c>
      <c r="CC116" s="531">
        <f ca="1">+MIN(MAX(0,IF(CC13=Assumptions!$L$17, CC196, CC103)), CC113-CC164)</f>
        <v>0</v>
      </c>
      <c r="CD116" s="531">
        <f ca="1">+MIN(MAX(0,IF(CD13=Assumptions!$L$17, CD196, CD103)), CD113-CD164)</f>
        <v>0</v>
      </c>
      <c r="CE116" s="531">
        <f ca="1">+MIN(MAX(0,IF(CE13=Assumptions!$L$17, CE196, CE103)), CE113-CE164)</f>
        <v>0</v>
      </c>
      <c r="CF116" s="531">
        <f ca="1">+MIN(MAX(0,IF(CF13=Assumptions!$L$17, CF196, CF103)), CF113-CF164)</f>
        <v>0</v>
      </c>
      <c r="CG116" s="531">
        <f ca="1">+MIN(MAX(0,IF(CG13=Assumptions!$L$17, CG196, CG103)), CG113-CG164)</f>
        <v>0</v>
      </c>
      <c r="CH116" s="531">
        <f ca="1">+MIN(MAX(0,IF(CH13=Assumptions!$L$17, CH196, CH103)), CH113-CH164)</f>
        <v>0</v>
      </c>
      <c r="CI116" s="531">
        <f ca="1">+MIN(MAX(0,IF(CI13=Assumptions!$L$17, CI196, CI103)), CI113-CI164)</f>
        <v>0</v>
      </c>
      <c r="CJ116" s="531">
        <f ca="1">+MIN(MAX(0,IF(CJ13=Assumptions!$L$17, CJ196, CJ103)), CJ113-CJ164)</f>
        <v>0</v>
      </c>
      <c r="CK116" s="531">
        <f ca="1">+MIN(MAX(0,IF(CK13=Assumptions!$L$17, CK196, CK103)), CK113-CK164)</f>
        <v>0</v>
      </c>
      <c r="CL116" s="531">
        <f ca="1">+MIN(MAX(0,IF(CL13=Assumptions!$L$17, CL196, CL103)), CL113-CL164)</f>
        <v>0</v>
      </c>
      <c r="CM116" s="531">
        <f ca="1">+MIN(MAX(0,IF(CM13=Assumptions!$L$17, CM196, CM103)), CM113-CM164)</f>
        <v>0</v>
      </c>
      <c r="CN116" s="531">
        <f ca="1">+MIN(MAX(0,IF(CN13=Assumptions!$L$17, CN196, CN103)), CN113-CN164)</f>
        <v>0</v>
      </c>
      <c r="CO116" s="531">
        <f ca="1">+MIN(MAX(0,IF(CO13=Assumptions!$L$17, CO196, CO103)), CO113-CO164)</f>
        <v>0</v>
      </c>
      <c r="CP116" s="531">
        <f ca="1">+MIN(MAX(0,IF(CP13=Assumptions!$L$17, CP196, CP103)), CP113-CP164)</f>
        <v>0</v>
      </c>
      <c r="CQ116" s="531">
        <f ca="1">+MIN(MAX(0,IF(CQ13=Assumptions!$L$17, CQ196, CQ103)), CQ113-CQ164)</f>
        <v>0</v>
      </c>
      <c r="CR116" s="531">
        <f ca="1">+MIN(MAX(0,IF(CR13=Assumptions!$L$17, CR196, CR103)), CR113-CR164)</f>
        <v>0</v>
      </c>
      <c r="CS116" s="531">
        <f ca="1">+MIN(MAX(0,IF(CS13=Assumptions!$L$17, CS196, CS103)), CS113-CS164)</f>
        <v>0</v>
      </c>
      <c r="CT116" s="531">
        <f ca="1">+MIN(MAX(0,IF(CT13=Assumptions!$L$17, CT196, CT103)), CT113-CT164)</f>
        <v>0</v>
      </c>
      <c r="CU116" s="531">
        <f ca="1">+MIN(MAX(0,IF(CU13=Assumptions!$L$17, CU196, CU103)), CU113-CU164)</f>
        <v>0</v>
      </c>
      <c r="CV116" s="531">
        <f ca="1">+MIN(MAX(0,IF(CV13=Assumptions!$L$17, CV196, CV103)), CV113-CV164)</f>
        <v>0</v>
      </c>
      <c r="CW116" s="531">
        <f ca="1">+MIN(MAX(0,IF(CW13=Assumptions!$L$17, CW196, CW103)), CW113-CW164)</f>
        <v>0</v>
      </c>
      <c r="CX116" s="531">
        <f ca="1">+MIN(MAX(0,IF(CX13=Assumptions!$L$17, CX196, CX103)), CX113-CX164)</f>
        <v>0</v>
      </c>
      <c r="CY116" s="531">
        <f ca="1">+MIN(MAX(0,IF(CY13=Assumptions!$L$17, CY196, CY103)), CY113-CY164)</f>
        <v>0</v>
      </c>
      <c r="CZ116" s="531">
        <f ca="1">+MIN(MAX(0,IF(CZ13=Assumptions!$L$17, CZ196, CZ103)), CZ113-CZ164)</f>
        <v>0</v>
      </c>
      <c r="DA116" s="531">
        <f ca="1">+MIN(MAX(0,IF(DA13=Assumptions!$L$17, DA196, DA103)), DA113-DA164)</f>
        <v>0</v>
      </c>
      <c r="DB116" s="531">
        <f ca="1">+MIN(MAX(0,IF(DB13=Assumptions!$L$17, DB196, DB103)), DB113-DB164)</f>
        <v>0</v>
      </c>
      <c r="DC116" s="531">
        <f ca="1">+MIN(MAX(0,IF(DC13=Assumptions!$L$17, DC196, DC103)), DC113-DC164)</f>
        <v>0</v>
      </c>
      <c r="DD116" s="531">
        <f ca="1">+MIN(MAX(0,IF(DD13=Assumptions!$L$17, DD196, DD103)), DD113-DD164)</f>
        <v>0</v>
      </c>
      <c r="DE116" s="531">
        <f ca="1">+MIN(MAX(0,IF(DE13=Assumptions!$L$17, DE196, DE103)), DE113-DE164)</f>
        <v>0</v>
      </c>
      <c r="DF116" s="531">
        <f ca="1">+MIN(MAX(0,IF(DF13=Assumptions!$L$17, DF196, DF103)), DF113-DF164)</f>
        <v>0</v>
      </c>
      <c r="DG116" s="531">
        <f ca="1">+MIN(MAX(0,IF(DG13=Assumptions!$L$17, DG196, DG103)), DG113-DG164)</f>
        <v>0</v>
      </c>
      <c r="DH116" s="531">
        <f ca="1">+MIN(MAX(0,IF(DH13=Assumptions!$L$17, DH196, DH103)), DH113-DH164)</f>
        <v>0</v>
      </c>
      <c r="DI116" s="531">
        <f ca="1">+MIN(MAX(0,IF(DI13=Assumptions!$L$17, DI196, DI103)), DI113-DI164)</f>
        <v>0</v>
      </c>
      <c r="DJ116" s="531">
        <f ca="1">+MIN(MAX(0,IF(DJ13=Assumptions!$L$17, DJ196, DJ103)), DJ113-DJ164)</f>
        <v>0</v>
      </c>
      <c r="DK116" s="531">
        <f ca="1">+MIN(MAX(0,IF(DK13=Assumptions!$L$17, DK196, DK103)), DK113-DK164)</f>
        <v>0</v>
      </c>
      <c r="DL116" s="531">
        <f ca="1">+MIN(MAX(0,IF(DL13=Assumptions!$L$17, DL196, DL103)), DL113-DL164)</f>
        <v>0</v>
      </c>
      <c r="DM116" s="531">
        <f ca="1">+MIN(MAX(0,IF(DM13=Assumptions!$L$17, DM196, DM103)), DM113-DM164)</f>
        <v>0</v>
      </c>
      <c r="DN116" s="531">
        <f ca="1">+MIN(MAX(0,IF(DN13=Assumptions!$L$17, DN196, DN103)), DN113-DN164)</f>
        <v>0</v>
      </c>
      <c r="DO116" s="531">
        <f ca="1">+MIN(MAX(0,IF(DO13=Assumptions!$L$17, DO196, DO103)), DO113-DO164)</f>
        <v>0</v>
      </c>
      <c r="DP116" s="531">
        <f ca="1">+MIN(MAX(0,IF(DP13=Assumptions!$L$17, DP196, DP103)), DP113-DP164)</f>
        <v>0</v>
      </c>
      <c r="DQ116" s="531">
        <f ca="1">+MIN(MAX(0,IF(DQ13=Assumptions!$L$17, DQ196, DQ103)), DQ113-DQ164)</f>
        <v>0</v>
      </c>
      <c r="DR116" s="531">
        <f ca="1">+MIN(MAX(0,IF(DR13=Assumptions!$L$17, DR196, DR103)), DR113-DR164)</f>
        <v>0</v>
      </c>
      <c r="DS116" s="531">
        <f ca="1">+MIN(MAX(0,IF(DS13=Assumptions!$L$17, DS196, DS103)), DS113-DS164)</f>
        <v>0</v>
      </c>
      <c r="DT116" s="531">
        <f ca="1">+MIN(MAX(0,IF(DT13=Assumptions!$L$17, DT196, DT103)), DT113-DT164)</f>
        <v>0</v>
      </c>
      <c r="DU116" s="531">
        <f ca="1">+MIN(MAX(0,IF(DU13=Assumptions!$L$17, DU196, DU103)), DU113-DU164)</f>
        <v>0</v>
      </c>
      <c r="DV116" s="531">
        <f ca="1">+MIN(MAX(0,IF(DV13=Assumptions!$L$17, DV196, DV103)), DV113-DV164)</f>
        <v>0</v>
      </c>
      <c r="DW116" s="531">
        <f ca="1">+MIN(MAX(0,IF(DW13=Assumptions!$L$17, DW196, DW103)), DW113-DW164)</f>
        <v>0</v>
      </c>
      <c r="DX116" s="531">
        <f ca="1">+MIN(MAX(0,IF(DX13=Assumptions!$L$17, DX196, DX103)), DX113-DX164)</f>
        <v>0</v>
      </c>
      <c r="DY116" s="531">
        <f ca="1">+MIN(MAX(0,IF(DY13=Assumptions!$L$17, DY196, DY103)), DY113-DY164)</f>
        <v>0</v>
      </c>
      <c r="DZ116" s="531">
        <f ca="1">+MIN(MAX(0,IF(DZ13=Assumptions!$L$17, DZ196, DZ103)), DZ113-DZ164)</f>
        <v>0</v>
      </c>
      <c r="EA116" s="531">
        <f ca="1">+MIN(MAX(0,IF(EA13=Assumptions!$L$17, EA196, EA103)), EA113-EA164)</f>
        <v>0</v>
      </c>
      <c r="EB116" s="531">
        <f ca="1">+MIN(MAX(0,IF(EB13=Assumptions!$L$17, EB196, EB103)), EB113-EB164)</f>
        <v>0</v>
      </c>
      <c r="EC116" s="531">
        <f ca="1">+MIN(MAX(0,IF(EC13=Assumptions!$L$17, EC196, EC103)), EC113-EC164)</f>
        <v>0</v>
      </c>
      <c r="ED116" s="531">
        <f ca="1">+MIN(MAX(0,IF(ED13=Assumptions!$L$17, ED196, ED103)), ED113-ED164)</f>
        <v>0</v>
      </c>
      <c r="EE116" s="531">
        <f ca="1">+MIN(MAX(0,IF(EE13=Assumptions!$L$17, EE196, EE103)), EE113-EE164)</f>
        <v>0</v>
      </c>
      <c r="EF116" s="531">
        <f ca="1">+MIN(MAX(0,IF(EF13=Assumptions!$L$17, EF196, EF103)), EF113-EF164)</f>
        <v>0</v>
      </c>
      <c r="EG116" s="531">
        <f ca="1">+MIN(MAX(0,IF(EG13=Assumptions!$L$17, EG196, EG103)), EG113-EG164)</f>
        <v>0</v>
      </c>
      <c r="EH116" s="531">
        <f ca="1">+MIN(MAX(0,IF(EH13=Assumptions!$L$17, EH196, EH103)), EH113-EH164)</f>
        <v>0</v>
      </c>
      <c r="EI116" s="531">
        <f ca="1">+MIN(MAX(0,IF(EI13=Assumptions!$L$17, EI196, EI103)), EI113-EI164)</f>
        <v>0</v>
      </c>
      <c r="EJ116" s="531">
        <f ca="1">+MIN(MAX(0,IF(EJ13=Assumptions!$L$17, EJ196, EJ103)), EJ113-EJ164)</f>
        <v>0</v>
      </c>
      <c r="EK116" s="531">
        <f ca="1">+MIN(MAX(0,IF(EK13=Assumptions!$L$17, EK196, EK103)), EK113-EK164)</f>
        <v>0</v>
      </c>
      <c r="EL116" s="531">
        <f ca="1">+MIN(MAX(0,IF(EL13=Assumptions!$L$17, EL196, EL103)), EL113-EL164)</f>
        <v>0</v>
      </c>
      <c r="EM116" s="531">
        <f ca="1">+MIN(MAX(0,IF(EM13=Assumptions!$L$17, EM196, EM103)), EM113-EM164)</f>
        <v>0</v>
      </c>
      <c r="EN116" s="531">
        <f ca="1">+MIN(MAX(0,IF(EN13=Assumptions!$L$17, EN196, EN103)), EN113-EN164)</f>
        <v>0</v>
      </c>
      <c r="EO116" s="531">
        <f ca="1">+MIN(MAX(0,IF(EO13=Assumptions!$L$17, EO196, EO103)), EO113-EO164)</f>
        <v>0</v>
      </c>
      <c r="EP116" s="531">
        <f ca="1">+MIN(MAX(0,IF(EP13=Assumptions!$L$17, EP196, EP103)), EP113-EP164)</f>
        <v>0</v>
      </c>
      <c r="EQ116" s="531">
        <f ca="1">+MIN(MAX(0,IF(EQ13=Assumptions!$L$17, EQ196, EQ103)), EQ113-EQ164)</f>
        <v>0</v>
      </c>
      <c r="ER116" s="531">
        <f ca="1">+MIN(MAX(0,IF(ER13=Assumptions!$L$17, ER196, ER103)), ER113-ER164)</f>
        <v>0</v>
      </c>
      <c r="ES116" s="531">
        <f ca="1">+MIN(MAX(0,IF(ES13=Assumptions!$L$17, ES196, ES103)), ES113-ES164)</f>
        <v>0</v>
      </c>
      <c r="ET116" s="531">
        <f ca="1">+MIN(MAX(0,IF(ET13=Assumptions!$L$17, ET196, ET103)), ET113-ET164)</f>
        <v>0</v>
      </c>
      <c r="EU116" s="531">
        <f ca="1">+MIN(MAX(0,IF(EU13=Assumptions!$L$17, EU196, EU103)), EU113-EU164)</f>
        <v>0</v>
      </c>
      <c r="EV116" s="531">
        <f ca="1">+MIN(MAX(0,IF(EV13=Assumptions!$L$17, EV196, EV103)), EV113-EV164)</f>
        <v>0</v>
      </c>
      <c r="EW116" s="531">
        <f ca="1">+MIN(MAX(0,IF(EW13=Assumptions!$L$17, EW196, EW103)), EW113-EW164)</f>
        <v>0</v>
      </c>
      <c r="EX116" s="531">
        <f ca="1">+MIN(MAX(0,IF(EX13=Assumptions!$L$17, EX196, EX103)), EX113-EX164)</f>
        <v>0</v>
      </c>
      <c r="EY116" s="531">
        <f ca="1">+MIN(MAX(0,IF(EY13=Assumptions!$L$17, EY196, EY103)), EY113-EY164)</f>
        <v>0</v>
      </c>
      <c r="EZ116" s="531">
        <f ca="1">+MIN(MAX(0,IF(EZ13=Assumptions!$L$17, EZ196, EZ103)), EZ113-EZ164)</f>
        <v>0</v>
      </c>
      <c r="FA116" s="531">
        <f ca="1">+MIN(MAX(0,IF(FA13=Assumptions!$L$17, FA196, FA103)), FA113-FA164)</f>
        <v>0</v>
      </c>
      <c r="FB116" s="531">
        <f ca="1">+MIN(MAX(0,IF(FB13=Assumptions!$L$17, FB196, FB103)), FB113-FB164)</f>
        <v>0</v>
      </c>
      <c r="FC116" s="531">
        <f ca="1">+MIN(MAX(0,IF(FC13=Assumptions!$L$17, FC196, FC103)), FC113-FC164)</f>
        <v>0</v>
      </c>
      <c r="FD116" s="531">
        <f ca="1">+MIN(MAX(0,IF(FD13=Assumptions!$L$17, FD196, FD103)), FD113-FD164)</f>
        <v>0</v>
      </c>
      <c r="FE116" s="531">
        <f ca="1">+MIN(MAX(0,IF(FE13=Assumptions!$L$17, FE196, FE103)), FE113-FE164)</f>
        <v>0</v>
      </c>
      <c r="FF116" s="531">
        <f ca="1">+MIN(MAX(0,IF(FF13=Assumptions!$L$17, FF196, FF103)), FF113-FF164)</f>
        <v>0</v>
      </c>
      <c r="FG116" s="531">
        <f ca="1">+MIN(MAX(0,IF(FG13=Assumptions!$L$17, FG196, FG103)), FG113-FG164)</f>
        <v>0</v>
      </c>
      <c r="FH116" s="531">
        <f ca="1">+MIN(MAX(0,IF(FH13=Assumptions!$L$17, FH196, FH103)), FH113-FH164)</f>
        <v>0</v>
      </c>
      <c r="FI116" s="531">
        <f ca="1">+MIN(MAX(0,IF(FI13=Assumptions!$L$17, FI196, FI103)), FI113-FI164)</f>
        <v>0</v>
      </c>
      <c r="FJ116" s="531">
        <f ca="1">+MIN(MAX(0,IF(FJ13=Assumptions!$L$17, FJ196, FJ103)), FJ113-FJ164)</f>
        <v>0</v>
      </c>
      <c r="FK116" s="531">
        <f ca="1">+MIN(MAX(0,IF(FK13=Assumptions!$L$17, FK196, FK103)), FK113-FK164)</f>
        <v>0</v>
      </c>
      <c r="FL116" s="531">
        <f ca="1">+MIN(MAX(0,IF(FL13=Assumptions!$L$17, FL196, FL103)), FL113-FL164)</f>
        <v>0</v>
      </c>
      <c r="FM116" s="531">
        <f ca="1">+MIN(MAX(0,IF(FM13=Assumptions!$L$17, FM196, FM103)), FM113-FM164)</f>
        <v>0</v>
      </c>
      <c r="FN116" s="531">
        <f ca="1">+MIN(MAX(0,IF(FN13=Assumptions!$L$17, FN196, FN103)), FN113-FN164)</f>
        <v>0</v>
      </c>
      <c r="FO116" s="531">
        <f ca="1">+MIN(MAX(0,IF(FO13=Assumptions!$L$17, FO196, FO103)), FO113-FO164)</f>
        <v>0</v>
      </c>
      <c r="FP116" s="531">
        <f ca="1">+MIN(MAX(0,IF(FP13=Assumptions!$L$17, FP196, FP103)), FP113-FP164)</f>
        <v>0</v>
      </c>
      <c r="FQ116" s="531">
        <f ca="1">+MIN(MAX(0,IF(FQ13=Assumptions!$L$17, FQ196, FQ103)), FQ113-FQ164)</f>
        <v>0</v>
      </c>
      <c r="FR116" s="531">
        <f ca="1">+MIN(MAX(0,IF(FR13=Assumptions!$L$17, FR196, FR103)), FR113-FR164)</f>
        <v>0</v>
      </c>
      <c r="FS116" s="531">
        <f ca="1">+MIN(MAX(0,IF(FS13=Assumptions!$L$17, FS196, FS103)), FS113-FS164)</f>
        <v>0</v>
      </c>
      <c r="FT116" s="531">
        <f ca="1">+MIN(MAX(0,IF(FT13=Assumptions!$L$17, FT196, FT103)), FT113-FT164)</f>
        <v>0</v>
      </c>
      <c r="FU116" s="531">
        <f ca="1">+MIN(MAX(0,IF(FU13=Assumptions!$L$17, FU196, FU103)), FU113-FU164)</f>
        <v>0</v>
      </c>
      <c r="FV116" s="531">
        <f ca="1">+MIN(MAX(0,IF(FV13=Assumptions!$L$17, FV196, FV103)), FV113-FV164)</f>
        <v>0</v>
      </c>
      <c r="FW116" s="531">
        <f ca="1">+MIN(MAX(0,IF(FW13=Assumptions!$L$17, FW196, FW103)), FW113-FW164)</f>
        <v>0</v>
      </c>
      <c r="FX116" s="531">
        <f ca="1">+MIN(MAX(0,IF(FX13=Assumptions!$L$17, FX196, FX103)), FX113-FX164)</f>
        <v>0</v>
      </c>
      <c r="FY116" s="531">
        <f ca="1">+MIN(MAX(0,IF(FY13=Assumptions!$L$17, FY196, FY103)), FY113-FY164)</f>
        <v>0</v>
      </c>
      <c r="FZ116" s="531">
        <f ca="1">+MIN(MAX(0,IF(FZ13=Assumptions!$L$17, FZ196, FZ103)), FZ113-FZ164)</f>
        <v>0</v>
      </c>
      <c r="GA116" s="531">
        <f ca="1">+MIN(MAX(0,IF(GA13=Assumptions!$L$17, GA196, GA103)), GA113-GA164)</f>
        <v>0</v>
      </c>
      <c r="GB116" s="531">
        <f ca="1">+MIN(MAX(0,IF(GB13=Assumptions!$L$17, GB196, GB103)), GB113-GB164)</f>
        <v>0</v>
      </c>
      <c r="GC116" s="531">
        <f ca="1">+MIN(MAX(0,IF(GC13=Assumptions!$L$17, GC196, GC103)), GC113-GC164)</f>
        <v>0</v>
      </c>
      <c r="GD116" s="531">
        <f>+MIN(MAX(0,IF(GD13=Assumptions!$L$17, GD196, GD103)), GD113-GD164)</f>
        <v>0</v>
      </c>
      <c r="GE116" s="531">
        <f>+MIN(MAX(0,IF(GE13=Assumptions!$L$17, GE196, GE103)), GE113-GE164)</f>
        <v>0</v>
      </c>
      <c r="GF116" s="531">
        <f>+MIN(MAX(0,IF(GF13=Assumptions!$L$17, GF196, GF103)), GF113-GF164)</f>
        <v>0</v>
      </c>
      <c r="GG116" s="531">
        <f>+MIN(MAX(0,IF(GG13=Assumptions!$L$17, GG196, GG103)), GG113-GG164)</f>
        <v>0</v>
      </c>
      <c r="GH116" s="531">
        <f>+MIN(MAX(0,IF(GH13=Assumptions!$L$17, GH196, GH103)), GH113-GH164)</f>
        <v>0</v>
      </c>
      <c r="GI116" s="531">
        <f>+MIN(MAX(0,IF(GI13=Assumptions!$L$17, GI196, GI103)), GI113-GI164)</f>
        <v>0</v>
      </c>
      <c r="GJ116" s="531">
        <f>+MIN(MAX(0,IF(GJ13=Assumptions!$L$17, GJ196, GJ103)), GJ113-GJ164)</f>
        <v>0</v>
      </c>
      <c r="GK116" s="531">
        <f>+MIN(MAX(0,IF(GK13=Assumptions!$L$17, GK196, GK103)), GK113-GK164)</f>
        <v>0</v>
      </c>
      <c r="GL116" s="531">
        <f>+MIN(MAX(0,IF(GL13=Assumptions!$L$17, GL196, GL103)), GL113-GL164)</f>
        <v>0</v>
      </c>
      <c r="GM116" s="531">
        <f>+MIN(MAX(0,IF(GM13=Assumptions!$L$17, GM196, GM103)), GM113-GM164)</f>
        <v>0</v>
      </c>
      <c r="GN116" s="531">
        <f>+MIN(MAX(0,IF(GN13=Assumptions!$L$17, GN196, GN103)), GN113-GN164)</f>
        <v>0</v>
      </c>
      <c r="GO116" s="531">
        <f>+MIN(MAX(0,IF(GO13=Assumptions!$L$17, GO196, GO103)), GO113-GO164)</f>
        <v>0</v>
      </c>
      <c r="GP116" s="531">
        <f ca="1">+MIN(MAX(0,IF(GP13=Assumptions!$L$17, GP196, GP103)), GP113-GP164)</f>
        <v>0</v>
      </c>
      <c r="GQ116" s="531">
        <f ca="1">+MIN(MAX(0,IF(GQ13=Assumptions!$L$17, GQ196, GQ103)), GQ113-GQ164)</f>
        <v>0</v>
      </c>
      <c r="GR116" s="531">
        <f ca="1">+MIN(MAX(0,IF(GR13=Assumptions!$L$17, GR196, GR103)), GR113-GR164)</f>
        <v>0</v>
      </c>
      <c r="GS116" s="531">
        <f ca="1">+MIN(MAX(0,IF(GS13=Assumptions!$L$17, GS196, GS103)), GS113-GS164)</f>
        <v>0</v>
      </c>
      <c r="GT116" s="531">
        <f ca="1">+MIN(MAX(0,IF(GT13=Assumptions!$L$17, GT196, GT103)), GT113-GT164)</f>
        <v>0</v>
      </c>
      <c r="GU116" s="531">
        <f>+MIN(MAX(0,IF(GU13=Assumptions!$L$17, GU196, GU103)), GU113-GU164)</f>
        <v>0</v>
      </c>
      <c r="GV116" s="531">
        <f>+MIN(MAX(0,IF(GV13=Assumptions!$L$17, GV196, GV103)), GV113-GV164)</f>
        <v>0</v>
      </c>
      <c r="GW116" s="531">
        <f>+MIN(MAX(0,IF(GW13=Assumptions!$L$17, GW196, GW103)), GW113-GW164)</f>
        <v>0</v>
      </c>
      <c r="GX116" s="531">
        <f>+MIN(MAX(0,IF(GX13=Assumptions!$L$17, GX196, GX103)), GX113-GX164)</f>
        <v>0</v>
      </c>
      <c r="GY116" s="531">
        <f>+MIN(MAX(0,IF(GY13=Assumptions!$L$17, GY196, GY103)), GY113-GY164)</f>
        <v>0</v>
      </c>
      <c r="GZ116" s="531">
        <f>+MIN(MAX(0,IF(GZ13=Assumptions!$L$17, GZ196, GZ103)), GZ113-GZ164)</f>
        <v>0</v>
      </c>
      <c r="HA116" s="531">
        <f>+MIN(MAX(0,IF(HA13=Assumptions!$L$17, HA196, HA103)), HA113-HA164)</f>
        <v>0</v>
      </c>
      <c r="HB116" s="531"/>
      <c r="HC116" s="531"/>
      <c r="HD116" s="531"/>
      <c r="HE116" s="531"/>
      <c r="HF116" s="1" t="s">
        <v>212</v>
      </c>
      <c r="HH116" s="1" t="str">
        <f>B116</f>
        <v>Cash Flow Used as a Source</v>
      </c>
      <c r="HI116" s="26"/>
      <c r="HJ116" s="26"/>
      <c r="HK116" s="26"/>
      <c r="HL116" s="132">
        <f t="shared" ca="1" si="801"/>
        <v>114.41052999999994</v>
      </c>
      <c r="HM116" s="26"/>
      <c r="HN116" s="133">
        <f t="shared" si="802"/>
        <v>0</v>
      </c>
      <c r="HO116" s="26">
        <f t="shared" ca="1" si="802"/>
        <v>0</v>
      </c>
      <c r="HP116" s="26">
        <f t="shared" ca="1" si="802"/>
        <v>0</v>
      </c>
      <c r="HQ116" s="26">
        <f t="shared" ca="1" si="802"/>
        <v>0</v>
      </c>
      <c r="HR116" s="26">
        <f t="shared" ca="1" si="802"/>
        <v>33.766029999999944</v>
      </c>
      <c r="HS116" s="26">
        <f t="shared" ca="1" si="802"/>
        <v>80.644499999999994</v>
      </c>
      <c r="HT116" s="26">
        <f t="shared" ca="1" si="802"/>
        <v>0</v>
      </c>
      <c r="HU116" s="26">
        <f t="shared" ca="1" si="802"/>
        <v>0</v>
      </c>
      <c r="HV116" s="26">
        <f t="shared" ca="1" si="802"/>
        <v>0</v>
      </c>
      <c r="HW116"/>
    </row>
    <row r="117" spans="2:231" ht="15" outlineLevel="1">
      <c r="I117" s="97"/>
      <c r="L117" s="524"/>
      <c r="M117" s="524"/>
      <c r="N117" s="524"/>
      <c r="O117" s="524"/>
      <c r="P117" s="524"/>
      <c r="Q117" s="524"/>
      <c r="R117" s="524"/>
      <c r="S117" s="524"/>
      <c r="T117" s="524"/>
      <c r="U117" s="524"/>
      <c r="V117" s="524"/>
      <c r="W117" s="524"/>
      <c r="X117" s="524"/>
      <c r="Y117" s="524"/>
      <c r="Z117" s="524"/>
      <c r="AA117" s="524"/>
      <c r="AB117" s="524"/>
      <c r="AC117" s="524"/>
      <c r="AD117" s="524"/>
      <c r="AE117" s="524"/>
      <c r="AF117" s="524"/>
      <c r="AG117" s="524"/>
      <c r="AH117" s="524"/>
      <c r="AI117" s="524"/>
      <c r="AJ117" s="524"/>
      <c r="AK117" s="524"/>
      <c r="AL117" s="524"/>
      <c r="AM117" s="524"/>
      <c r="AN117" s="524"/>
      <c r="AO117" s="524"/>
      <c r="AP117" s="524"/>
      <c r="AQ117" s="524"/>
      <c r="AR117" s="524"/>
      <c r="AS117" s="524"/>
      <c r="AT117" s="524"/>
      <c r="AU117" s="524"/>
      <c r="AV117" s="524"/>
      <c r="AW117" s="524"/>
      <c r="AX117" s="524"/>
      <c r="AY117" s="524"/>
      <c r="AZ117" s="524"/>
      <c r="BA117" s="524"/>
      <c r="BB117" s="524"/>
      <c r="BC117" s="524"/>
      <c r="BD117" s="524"/>
      <c r="BE117" s="524"/>
      <c r="BF117" s="524"/>
      <c r="BG117" s="524"/>
      <c r="BH117" s="524"/>
      <c r="BI117" s="524"/>
      <c r="BJ117" s="524"/>
      <c r="BK117" s="524"/>
      <c r="BL117" s="524"/>
      <c r="BM117" s="524"/>
      <c r="BN117" s="524"/>
      <c r="BO117" s="524"/>
      <c r="BP117" s="524"/>
      <c r="BQ117" s="524"/>
      <c r="BR117" s="524"/>
      <c r="BS117" s="524"/>
      <c r="BT117" s="524"/>
      <c r="BU117" s="524"/>
      <c r="BV117" s="524"/>
      <c r="BW117" s="524"/>
      <c r="BX117" s="524"/>
      <c r="BY117" s="524"/>
      <c r="BZ117" s="524"/>
      <c r="CA117" s="524"/>
      <c r="CB117" s="524"/>
      <c r="CC117" s="524"/>
      <c r="CD117" s="524"/>
      <c r="CE117" s="524"/>
      <c r="CF117" s="524"/>
      <c r="CG117" s="524"/>
      <c r="CH117" s="524"/>
      <c r="CI117" s="524"/>
      <c r="CJ117" s="524"/>
      <c r="CK117" s="524"/>
      <c r="CL117" s="524"/>
      <c r="CM117" s="524"/>
      <c r="CN117" s="524"/>
      <c r="CO117" s="524"/>
      <c r="CP117" s="524"/>
      <c r="CQ117" s="524"/>
      <c r="CR117" s="524"/>
      <c r="CS117" s="524"/>
      <c r="CT117" s="524"/>
      <c r="CU117" s="524"/>
      <c r="CV117" s="524"/>
      <c r="CW117" s="524"/>
      <c r="CX117" s="524"/>
      <c r="CY117" s="524"/>
      <c r="CZ117" s="524"/>
      <c r="DA117" s="524"/>
      <c r="DB117" s="524"/>
      <c r="DC117" s="524"/>
      <c r="DD117" s="524"/>
      <c r="DE117" s="524"/>
      <c r="DF117" s="524"/>
      <c r="DG117" s="524"/>
      <c r="DH117" s="524"/>
      <c r="DI117" s="524"/>
      <c r="DJ117" s="524"/>
      <c r="DK117" s="524"/>
      <c r="DL117" s="524"/>
      <c r="DM117" s="524"/>
      <c r="DN117" s="524"/>
      <c r="DO117" s="524"/>
      <c r="DP117" s="524"/>
      <c r="DQ117" s="524"/>
      <c r="DR117" s="524"/>
      <c r="DS117" s="524"/>
      <c r="DT117" s="524"/>
      <c r="DU117" s="524"/>
      <c r="DV117" s="524"/>
      <c r="DW117" s="524"/>
      <c r="DX117" s="524"/>
      <c r="DY117" s="524"/>
      <c r="DZ117" s="524"/>
      <c r="EA117" s="524"/>
      <c r="EB117" s="524"/>
      <c r="EC117" s="524"/>
      <c r="ED117" s="524"/>
      <c r="EE117" s="524"/>
      <c r="EF117" s="524"/>
      <c r="EG117" s="524"/>
      <c r="EH117" s="524"/>
      <c r="EI117" s="524"/>
      <c r="EJ117" s="524"/>
      <c r="EK117" s="524"/>
      <c r="EL117" s="524"/>
      <c r="EM117" s="524"/>
      <c r="EN117" s="524"/>
      <c r="EO117" s="524"/>
      <c r="EP117" s="524"/>
      <c r="EQ117" s="524"/>
      <c r="ER117" s="524"/>
      <c r="ES117" s="524"/>
      <c r="ET117" s="524"/>
      <c r="EU117" s="524"/>
      <c r="EV117" s="524"/>
      <c r="EW117" s="524"/>
      <c r="EX117" s="524"/>
      <c r="EY117" s="524"/>
      <c r="EZ117" s="524"/>
      <c r="FA117" s="524"/>
      <c r="FB117" s="524"/>
      <c r="FC117" s="524"/>
      <c r="FD117" s="524"/>
      <c r="FE117" s="524"/>
      <c r="FF117" s="524"/>
      <c r="FG117" s="524"/>
      <c r="FH117" s="524"/>
      <c r="FI117" s="524"/>
      <c r="FJ117" s="524"/>
      <c r="FK117" s="524"/>
      <c r="FL117" s="524"/>
      <c r="FM117" s="524"/>
      <c r="FN117" s="524"/>
      <c r="FO117" s="524"/>
      <c r="FP117" s="524"/>
      <c r="FQ117" s="524"/>
      <c r="FR117" s="524"/>
      <c r="FS117" s="524"/>
      <c r="FT117" s="524"/>
      <c r="FU117" s="524"/>
      <c r="FV117" s="524"/>
      <c r="FW117" s="524"/>
      <c r="FX117" s="524"/>
      <c r="FY117" s="524"/>
      <c r="FZ117" s="524"/>
      <c r="GA117" s="524"/>
      <c r="GB117" s="524"/>
      <c r="GC117" s="524"/>
      <c r="GD117" s="524"/>
      <c r="GE117" s="524"/>
      <c r="GF117" s="524"/>
      <c r="GG117" s="524"/>
      <c r="GH117" s="524"/>
      <c r="GI117" s="524"/>
      <c r="GJ117" s="524"/>
      <c r="GK117" s="524"/>
      <c r="GL117" s="524"/>
      <c r="GM117" s="524"/>
      <c r="GN117" s="524"/>
      <c r="GO117" s="524"/>
      <c r="GP117" s="524"/>
      <c r="GQ117" s="524"/>
      <c r="GR117" s="524"/>
      <c r="GS117" s="524"/>
      <c r="GT117" s="524"/>
      <c r="GU117" s="524"/>
      <c r="GV117" s="524"/>
      <c r="GW117" s="524"/>
      <c r="GX117" s="524"/>
      <c r="GY117" s="524"/>
      <c r="GZ117" s="524"/>
      <c r="HA117" s="524"/>
      <c r="HB117" s="524"/>
      <c r="HC117" s="524"/>
      <c r="HD117" s="524"/>
      <c r="HE117" s="524"/>
      <c r="HF117" s="1" t="s">
        <v>212</v>
      </c>
      <c r="HL117" s="97"/>
      <c r="HN117" s="133"/>
      <c r="HO117" s="26"/>
      <c r="HP117" s="26"/>
      <c r="HQ117" s="26"/>
      <c r="HR117" s="26"/>
      <c r="HS117" s="26"/>
      <c r="HT117" s="26"/>
      <c r="HU117" s="26"/>
      <c r="HV117" s="26"/>
      <c r="HW117"/>
    </row>
    <row r="118" spans="2:231" ht="15" outlineLevel="1">
      <c r="B118" s="162" t="s">
        <v>75</v>
      </c>
      <c r="C118" s="73"/>
      <c r="D118" s="73"/>
      <c r="E118" s="73"/>
      <c r="F118" s="73"/>
      <c r="G118" s="73"/>
      <c r="H118" s="73"/>
      <c r="I118" s="146">
        <f ca="1">SUMIF($K$13:$GT$13,"&lt;="&amp;Assumptions!$L$17,'Monthly Cash Flow'!K118:GT118)</f>
        <v>40735.974674450415</v>
      </c>
      <c r="J118" s="147"/>
      <c r="K118" s="163">
        <f t="shared" ref="K118" si="804">K113+K116</f>
        <v>30776</v>
      </c>
      <c r="L118" s="532">
        <f t="shared" ref="L118:AU118" ca="1" si="805">L113-L116</f>
        <v>0</v>
      </c>
      <c r="M118" s="532">
        <f t="shared" ca="1" si="805"/>
        <v>0</v>
      </c>
      <c r="N118" s="532">
        <f t="shared" ca="1" si="805"/>
        <v>0</v>
      </c>
      <c r="O118" s="532">
        <f t="shared" ca="1" si="805"/>
        <v>0</v>
      </c>
      <c r="P118" s="532">
        <f t="shared" ca="1" si="805"/>
        <v>0</v>
      </c>
      <c r="Q118" s="532">
        <f t="shared" ca="1" si="805"/>
        <v>0</v>
      </c>
      <c r="R118" s="532">
        <f t="shared" ca="1" si="805"/>
        <v>0</v>
      </c>
      <c r="S118" s="532">
        <f t="shared" ca="1" si="805"/>
        <v>0</v>
      </c>
      <c r="T118" s="532">
        <f t="shared" ca="1" si="805"/>
        <v>0</v>
      </c>
      <c r="U118" s="532">
        <f t="shared" ca="1" si="805"/>
        <v>184.97674000000001</v>
      </c>
      <c r="V118" s="532">
        <f t="shared" ca="1" si="805"/>
        <v>0</v>
      </c>
      <c r="W118" s="532">
        <f t="shared" ca="1" si="805"/>
        <v>341.09431000000001</v>
      </c>
      <c r="X118" s="532">
        <f t="shared" ca="1" si="805"/>
        <v>31.443679999999979</v>
      </c>
      <c r="Y118" s="532">
        <f t="shared" ca="1" si="805"/>
        <v>115.24563000000001</v>
      </c>
      <c r="Z118" s="532">
        <f t="shared" ca="1" si="805"/>
        <v>495.04049999999995</v>
      </c>
      <c r="AA118" s="532">
        <f t="shared" ca="1" si="805"/>
        <v>0</v>
      </c>
      <c r="AB118" s="532">
        <f t="shared" ca="1" si="805"/>
        <v>507.36370999999997</v>
      </c>
      <c r="AC118" s="532">
        <f t="shared" ca="1" si="805"/>
        <v>86.348610000000008</v>
      </c>
      <c r="AD118" s="532">
        <f t="shared" ca="1" si="805"/>
        <v>6.6120400000000101</v>
      </c>
      <c r="AE118" s="532">
        <f t="shared" ca="1" si="805"/>
        <v>498.96721000000002</v>
      </c>
      <c r="AF118" s="532">
        <f t="shared" ca="1" si="805"/>
        <v>241.41379084542825</v>
      </c>
      <c r="AG118" s="532">
        <f t="shared" ca="1" si="805"/>
        <v>309.42327999999998</v>
      </c>
      <c r="AH118" s="532">
        <f t="shared" ca="1" si="805"/>
        <v>20.904310000000009</v>
      </c>
      <c r="AI118" s="532">
        <f t="shared" ca="1" si="805"/>
        <v>118.96451</v>
      </c>
      <c r="AJ118" s="532">
        <f t="shared" ca="1" si="805"/>
        <v>64.111910000000009</v>
      </c>
      <c r="AK118" s="532">
        <f t="shared" ca="1" si="805"/>
        <v>79.341940000000051</v>
      </c>
      <c r="AL118" s="532">
        <f t="shared" ca="1" si="805"/>
        <v>266.60473999999999</v>
      </c>
      <c r="AM118" s="532">
        <f t="shared" ca="1" si="805"/>
        <v>9.9833600000000047</v>
      </c>
      <c r="AN118" s="532">
        <f t="shared" ca="1" si="805"/>
        <v>93.205799999999954</v>
      </c>
      <c r="AO118" s="532">
        <f t="shared" ca="1" si="805"/>
        <v>80.118420000000029</v>
      </c>
      <c r="AP118" s="532">
        <f t="shared" ca="1" si="805"/>
        <v>175.60986402388377</v>
      </c>
      <c r="AQ118" s="532">
        <f t="shared" ca="1" si="805"/>
        <v>42.135170000000038</v>
      </c>
      <c r="AR118" s="532">
        <f t="shared" ca="1" si="805"/>
        <v>40.118069999999989</v>
      </c>
      <c r="AS118" s="532">
        <f t="shared" ca="1" si="805"/>
        <v>6.1919700000000262</v>
      </c>
      <c r="AT118" s="532">
        <f t="shared" ca="1" si="805"/>
        <v>28.269380000000012</v>
      </c>
      <c r="AU118" s="532">
        <f t="shared" ca="1" si="805"/>
        <v>5.794399999999996</v>
      </c>
      <c r="AV118" s="532">
        <f ca="1">AV113-AV116</f>
        <v>5.5704599999999971</v>
      </c>
      <c r="AW118" s="532">
        <f t="shared" ref="AW118:DH118" ca="1" si="806">AW113-AW116</f>
        <v>269.57747999999998</v>
      </c>
      <c r="AX118" s="532">
        <f t="shared" ca="1" si="806"/>
        <v>18.052980000000019</v>
      </c>
      <c r="AY118" s="532">
        <f t="shared" ca="1" si="806"/>
        <v>17.57729999999998</v>
      </c>
      <c r="AZ118" s="532">
        <f t="shared" ca="1" si="806"/>
        <v>207.12462958111405</v>
      </c>
      <c r="BA118" s="532">
        <f t="shared" ca="1" si="806"/>
        <v>149.19205000000005</v>
      </c>
      <c r="BB118" s="532">
        <f t="shared" ca="1" si="806"/>
        <v>19.323029999999989</v>
      </c>
      <c r="BC118" s="532">
        <f t="shared" ca="1" si="806"/>
        <v>159.21452000000005</v>
      </c>
      <c r="BD118" s="532">
        <f t="shared" ca="1" si="806"/>
        <v>42.728479999999976</v>
      </c>
      <c r="BE118" s="532">
        <f t="shared" ca="1" si="806"/>
        <v>0</v>
      </c>
      <c r="BF118" s="532">
        <f t="shared" ca="1" si="806"/>
        <v>0</v>
      </c>
      <c r="BG118" s="532">
        <f t="shared" ca="1" si="806"/>
        <v>75.45189000000002</v>
      </c>
      <c r="BH118" s="532">
        <f t="shared" ca="1" si="806"/>
        <v>0</v>
      </c>
      <c r="BI118" s="532">
        <f t="shared" ca="1" si="806"/>
        <v>0</v>
      </c>
      <c r="BJ118" s="532">
        <f t="shared" ca="1" si="806"/>
        <v>468.81240000000003</v>
      </c>
      <c r="BK118" s="532">
        <f t="shared" ca="1" si="806"/>
        <v>0</v>
      </c>
      <c r="BL118" s="532">
        <f t="shared" ca="1" si="806"/>
        <v>0</v>
      </c>
      <c r="BM118" s="532">
        <f t="shared" ca="1" si="806"/>
        <v>98.088319999999939</v>
      </c>
      <c r="BN118" s="532">
        <f t="shared" ca="1" si="806"/>
        <v>2.2469199999999603</v>
      </c>
      <c r="BO118" s="532">
        <f t="shared" ca="1" si="806"/>
        <v>0</v>
      </c>
      <c r="BP118" s="532">
        <f t="shared" ca="1" si="806"/>
        <v>88.698799999999991</v>
      </c>
      <c r="BQ118" s="532">
        <f t="shared" ca="1" si="806"/>
        <v>0</v>
      </c>
      <c r="BR118" s="532">
        <f t="shared" ca="1" si="806"/>
        <v>114.42169</v>
      </c>
      <c r="BS118" s="532">
        <f t="shared" ca="1" si="806"/>
        <v>839.46713999999997</v>
      </c>
      <c r="BT118" s="532">
        <f t="shared" ca="1" si="806"/>
        <v>40.044030000000006</v>
      </c>
      <c r="BU118" s="532">
        <f t="shared" ca="1" si="806"/>
        <v>30.121659999999963</v>
      </c>
      <c r="BV118" s="532">
        <f t="shared" ca="1" si="806"/>
        <v>0</v>
      </c>
      <c r="BW118" s="532">
        <f t="shared" ca="1" si="806"/>
        <v>9.3451900000000006</v>
      </c>
      <c r="BX118" s="532">
        <f t="shared" ca="1" si="806"/>
        <v>32.635670000000061</v>
      </c>
      <c r="BY118" s="532">
        <f t="shared" ca="1" si="806"/>
        <v>87.333829999999992</v>
      </c>
      <c r="BZ118" s="532">
        <f t="shared" ca="1" si="806"/>
        <v>0</v>
      </c>
      <c r="CA118" s="532">
        <f t="shared" ca="1" si="806"/>
        <v>174.54322000000002</v>
      </c>
      <c r="CB118" s="532">
        <f t="shared" ca="1" si="806"/>
        <v>5</v>
      </c>
      <c r="CC118" s="532">
        <f t="shared" ca="1" si="806"/>
        <v>0</v>
      </c>
      <c r="CD118" s="532">
        <f t="shared" ca="1" si="806"/>
        <v>292.52105999999998</v>
      </c>
      <c r="CE118" s="532">
        <f t="shared" ca="1" si="806"/>
        <v>8.3577399999999642</v>
      </c>
      <c r="CF118" s="532">
        <f t="shared" ca="1" si="806"/>
        <v>66.949960000000004</v>
      </c>
      <c r="CG118" s="532">
        <f t="shared" ca="1" si="806"/>
        <v>11.887410000000045</v>
      </c>
      <c r="CH118" s="532">
        <f t="shared" ca="1" si="806"/>
        <v>22.286470000000001</v>
      </c>
      <c r="CI118" s="532">
        <f t="shared" ca="1" si="806"/>
        <v>0</v>
      </c>
      <c r="CJ118" s="532">
        <f t="shared" ca="1" si="806"/>
        <v>0</v>
      </c>
      <c r="CK118" s="532">
        <f t="shared" ca="1" si="806"/>
        <v>0</v>
      </c>
      <c r="CL118" s="532">
        <f t="shared" ca="1" si="806"/>
        <v>0</v>
      </c>
      <c r="CM118" s="532">
        <f t="shared" ca="1" si="806"/>
        <v>68.313492063492063</v>
      </c>
      <c r="CN118" s="532">
        <f t="shared" ca="1" si="806"/>
        <v>68.313492063492063</v>
      </c>
      <c r="CO118" s="532">
        <f t="shared" ca="1" si="806"/>
        <v>68.313492063492077</v>
      </c>
      <c r="CP118" s="532">
        <f t="shared" ca="1" si="806"/>
        <v>161.22249206349207</v>
      </c>
      <c r="CQ118" s="532">
        <f t="shared" ca="1" si="806"/>
        <v>62.063492063492063</v>
      </c>
      <c r="CR118" s="532">
        <f t="shared" ca="1" si="806"/>
        <v>62.06349206349207</v>
      </c>
      <c r="CS118" s="532">
        <f t="shared" ca="1" si="806"/>
        <v>235.66549206349205</v>
      </c>
      <c r="CT118" s="532">
        <f t="shared" ca="1" si="806"/>
        <v>296.70377777777776</v>
      </c>
      <c r="CU118" s="532">
        <f t="shared" ca="1" si="806"/>
        <v>27.777777777777771</v>
      </c>
      <c r="CV118" s="532">
        <f t="shared" ca="1" si="806"/>
        <v>0</v>
      </c>
      <c r="CW118" s="532">
        <f t="shared" ca="1" si="806"/>
        <v>0</v>
      </c>
      <c r="CX118" s="532">
        <f t="shared" ca="1" si="806"/>
        <v>0</v>
      </c>
      <c r="CY118" s="532">
        <f t="shared" ca="1" si="806"/>
        <v>175.119</v>
      </c>
      <c r="CZ118" s="532">
        <f t="shared" ca="1" si="806"/>
        <v>0</v>
      </c>
      <c r="DA118" s="532">
        <f t="shared" ca="1" si="806"/>
        <v>154.11699999999999</v>
      </c>
      <c r="DB118" s="532">
        <f t="shared" ca="1" si="806"/>
        <v>1181.643</v>
      </c>
      <c r="DC118" s="532">
        <f t="shared" ca="1" si="806"/>
        <v>192.80099999999999</v>
      </c>
      <c r="DD118" s="532">
        <f t="shared" ca="1" si="806"/>
        <v>0</v>
      </c>
      <c r="DE118" s="532">
        <f t="shared" ca="1" si="806"/>
        <v>0</v>
      </c>
      <c r="DF118" s="532">
        <f t="shared" ca="1" si="806"/>
        <v>0</v>
      </c>
      <c r="DG118" s="532">
        <f t="shared" ca="1" si="806"/>
        <v>0</v>
      </c>
      <c r="DH118" s="532">
        <f t="shared" ca="1" si="806"/>
        <v>0</v>
      </c>
      <c r="DI118" s="532">
        <f t="shared" ref="DI118:EL118" ca="1" si="807">DI113-DI116</f>
        <v>0</v>
      </c>
      <c r="DJ118" s="532">
        <f t="shared" ca="1" si="807"/>
        <v>0</v>
      </c>
      <c r="DK118" s="532">
        <f t="shared" ca="1" si="807"/>
        <v>0</v>
      </c>
      <c r="DL118" s="532">
        <f t="shared" ca="1" si="807"/>
        <v>0</v>
      </c>
      <c r="DM118" s="532">
        <f t="shared" ca="1" si="807"/>
        <v>0</v>
      </c>
      <c r="DN118" s="532">
        <f t="shared" ca="1" si="807"/>
        <v>0</v>
      </c>
      <c r="DO118" s="532">
        <f t="shared" ca="1" si="807"/>
        <v>0</v>
      </c>
      <c r="DP118" s="532">
        <f t="shared" ca="1" si="807"/>
        <v>0</v>
      </c>
      <c r="DQ118" s="532">
        <f t="shared" ca="1" si="807"/>
        <v>0</v>
      </c>
      <c r="DR118" s="532">
        <f t="shared" ca="1" si="807"/>
        <v>0</v>
      </c>
      <c r="DS118" s="532">
        <f t="shared" ca="1" si="807"/>
        <v>0</v>
      </c>
      <c r="DT118" s="532">
        <f t="shared" ca="1" si="807"/>
        <v>0</v>
      </c>
      <c r="DU118" s="532">
        <f t="shared" ca="1" si="807"/>
        <v>0</v>
      </c>
      <c r="DV118" s="532">
        <f t="shared" ca="1" si="807"/>
        <v>0</v>
      </c>
      <c r="DW118" s="532">
        <f t="shared" ca="1" si="807"/>
        <v>0</v>
      </c>
      <c r="DX118" s="532">
        <f t="shared" ca="1" si="807"/>
        <v>0</v>
      </c>
      <c r="DY118" s="532">
        <f t="shared" ca="1" si="807"/>
        <v>0</v>
      </c>
      <c r="DZ118" s="532">
        <f t="shared" ca="1" si="807"/>
        <v>0</v>
      </c>
      <c r="EA118" s="532">
        <f t="shared" ca="1" si="807"/>
        <v>0</v>
      </c>
      <c r="EB118" s="532">
        <f t="shared" ca="1" si="807"/>
        <v>0</v>
      </c>
      <c r="EC118" s="532">
        <f t="shared" ca="1" si="807"/>
        <v>0</v>
      </c>
      <c r="ED118" s="532">
        <f t="shared" ca="1" si="807"/>
        <v>0</v>
      </c>
      <c r="EE118" s="532">
        <f t="shared" ca="1" si="807"/>
        <v>0</v>
      </c>
      <c r="EF118" s="532">
        <f t="shared" ca="1" si="807"/>
        <v>0</v>
      </c>
      <c r="EG118" s="532">
        <f t="shared" ca="1" si="807"/>
        <v>0</v>
      </c>
      <c r="EH118" s="532">
        <f t="shared" ca="1" si="807"/>
        <v>0</v>
      </c>
      <c r="EI118" s="532">
        <f t="shared" ca="1" si="807"/>
        <v>0</v>
      </c>
      <c r="EJ118" s="532">
        <f t="shared" ca="1" si="807"/>
        <v>0</v>
      </c>
      <c r="EK118" s="532">
        <f t="shared" ca="1" si="807"/>
        <v>0</v>
      </c>
      <c r="EL118" s="532">
        <f t="shared" ca="1" si="807"/>
        <v>0</v>
      </c>
      <c r="EM118" s="532">
        <f t="shared" ref="EM118:FD118" ca="1" si="808">EM113-EM116</f>
        <v>0</v>
      </c>
      <c r="EN118" s="532">
        <f t="shared" ca="1" si="808"/>
        <v>0</v>
      </c>
      <c r="EO118" s="532">
        <f t="shared" ca="1" si="808"/>
        <v>0</v>
      </c>
      <c r="EP118" s="532">
        <f t="shared" ca="1" si="808"/>
        <v>0</v>
      </c>
      <c r="EQ118" s="532">
        <f t="shared" ca="1" si="808"/>
        <v>0</v>
      </c>
      <c r="ER118" s="532">
        <f t="shared" ca="1" si="808"/>
        <v>0</v>
      </c>
      <c r="ES118" s="532">
        <f t="shared" ca="1" si="808"/>
        <v>0</v>
      </c>
      <c r="ET118" s="532">
        <f t="shared" ca="1" si="808"/>
        <v>0</v>
      </c>
      <c r="EU118" s="532">
        <f t="shared" ca="1" si="808"/>
        <v>0</v>
      </c>
      <c r="EV118" s="532">
        <f t="shared" ca="1" si="808"/>
        <v>0</v>
      </c>
      <c r="EW118" s="532">
        <f t="shared" ca="1" si="808"/>
        <v>0</v>
      </c>
      <c r="EX118" s="532">
        <f t="shared" ca="1" si="808"/>
        <v>0</v>
      </c>
      <c r="EY118" s="532">
        <f t="shared" ca="1" si="808"/>
        <v>0</v>
      </c>
      <c r="EZ118" s="532">
        <f t="shared" ca="1" si="808"/>
        <v>0</v>
      </c>
      <c r="FA118" s="532">
        <f t="shared" ca="1" si="808"/>
        <v>0</v>
      </c>
      <c r="FB118" s="532">
        <f t="shared" ca="1" si="808"/>
        <v>0</v>
      </c>
      <c r="FC118" s="532">
        <f t="shared" ca="1" si="808"/>
        <v>0</v>
      </c>
      <c r="FD118" s="532">
        <f t="shared" ca="1" si="808"/>
        <v>0</v>
      </c>
      <c r="FE118" s="532">
        <f t="shared" ref="FE118:FI118" ca="1" si="809">FE113-FE116</f>
        <v>0</v>
      </c>
      <c r="FF118" s="532">
        <f t="shared" ca="1" si="809"/>
        <v>0</v>
      </c>
      <c r="FG118" s="532">
        <f t="shared" ca="1" si="809"/>
        <v>0</v>
      </c>
      <c r="FH118" s="532">
        <f t="shared" ca="1" si="809"/>
        <v>0</v>
      </c>
      <c r="FI118" s="532">
        <f t="shared" ca="1" si="809"/>
        <v>0</v>
      </c>
      <c r="FJ118" s="532">
        <f t="shared" ref="FJ118:GT118" ca="1" si="810">FJ113-FJ116</f>
        <v>0</v>
      </c>
      <c r="FK118" s="532">
        <f t="shared" ca="1" si="810"/>
        <v>0</v>
      </c>
      <c r="FL118" s="532">
        <f t="shared" ca="1" si="810"/>
        <v>0</v>
      </c>
      <c r="FM118" s="532">
        <f t="shared" ca="1" si="810"/>
        <v>0</v>
      </c>
      <c r="FN118" s="532">
        <f t="shared" ca="1" si="810"/>
        <v>0</v>
      </c>
      <c r="FO118" s="532">
        <f t="shared" ca="1" si="810"/>
        <v>0</v>
      </c>
      <c r="FP118" s="532">
        <f t="shared" ca="1" si="810"/>
        <v>0</v>
      </c>
      <c r="FQ118" s="532">
        <f t="shared" ca="1" si="810"/>
        <v>0</v>
      </c>
      <c r="FR118" s="532">
        <f t="shared" ca="1" si="810"/>
        <v>0</v>
      </c>
      <c r="FS118" s="532">
        <f t="shared" ca="1" si="810"/>
        <v>0</v>
      </c>
      <c r="FT118" s="532">
        <f t="shared" ca="1" si="810"/>
        <v>0</v>
      </c>
      <c r="FU118" s="532">
        <f t="shared" ca="1" si="810"/>
        <v>0</v>
      </c>
      <c r="FV118" s="532">
        <f t="shared" ca="1" si="810"/>
        <v>0</v>
      </c>
      <c r="FW118" s="532">
        <f t="shared" ca="1" si="810"/>
        <v>0</v>
      </c>
      <c r="FX118" s="532">
        <f t="shared" ca="1" si="810"/>
        <v>0</v>
      </c>
      <c r="FY118" s="532">
        <f t="shared" ca="1" si="810"/>
        <v>0</v>
      </c>
      <c r="FZ118" s="532">
        <f t="shared" ca="1" si="810"/>
        <v>0</v>
      </c>
      <c r="GA118" s="532">
        <f t="shared" ca="1" si="810"/>
        <v>0</v>
      </c>
      <c r="GB118" s="532">
        <f t="shared" ca="1" si="810"/>
        <v>0</v>
      </c>
      <c r="GC118" s="532">
        <f t="shared" ca="1" si="810"/>
        <v>0</v>
      </c>
      <c r="GD118" s="1384"/>
      <c r="GE118" s="1384"/>
      <c r="GF118" s="1384"/>
      <c r="GG118" s="1384"/>
      <c r="GH118" s="1384"/>
      <c r="GI118" s="1384"/>
      <c r="GJ118" s="1384"/>
      <c r="GK118" s="1384"/>
      <c r="GL118" s="1384"/>
      <c r="GM118" s="1384"/>
      <c r="GN118" s="1384"/>
      <c r="GO118" s="1384"/>
      <c r="GP118" s="532">
        <f t="shared" ca="1" si="810"/>
        <v>0</v>
      </c>
      <c r="GQ118" s="532">
        <f t="shared" ca="1" si="810"/>
        <v>0</v>
      </c>
      <c r="GR118" s="532">
        <f t="shared" ca="1" si="810"/>
        <v>0</v>
      </c>
      <c r="GS118" s="532">
        <f t="shared" ca="1" si="810"/>
        <v>0</v>
      </c>
      <c r="GT118" s="532">
        <f t="shared" ca="1" si="810"/>
        <v>0</v>
      </c>
      <c r="GU118" s="527"/>
      <c r="GV118" s="527"/>
      <c r="GW118" s="527"/>
      <c r="GX118" s="527"/>
      <c r="GY118" s="527"/>
      <c r="GZ118" s="527"/>
      <c r="HA118" s="527"/>
      <c r="HB118" s="527"/>
      <c r="HC118" s="527"/>
      <c r="HD118" s="527"/>
      <c r="HE118" s="527"/>
      <c r="HF118" s="1" t="s">
        <v>212</v>
      </c>
      <c r="HH118" s="162" t="str">
        <f>B118</f>
        <v>Variable Contribution</v>
      </c>
      <c r="HI118" s="147"/>
      <c r="HJ118" s="147"/>
      <c r="HK118" s="147"/>
      <c r="HL118" s="146">
        <f ca="1">SUM(HN118:HV118)</f>
        <v>40735.974674450423</v>
      </c>
      <c r="HM118" s="147"/>
      <c r="HN118" s="163">
        <f t="shared" ref="HN118:HV118" si="811">SUMIF($K$14:$GT$14,HN$14,$K118:$GT118)</f>
        <v>30776</v>
      </c>
      <c r="HO118" s="147">
        <f t="shared" ca="1" si="811"/>
        <v>526.07105000000001</v>
      </c>
      <c r="HP118" s="147">
        <f t="shared" ca="1" si="811"/>
        <v>2431.7272708454279</v>
      </c>
      <c r="HQ118" s="147">
        <f t="shared" ca="1" si="811"/>
        <v>891.48502402388385</v>
      </c>
      <c r="HR118" s="147">
        <f t="shared" ca="1" si="811"/>
        <v>963.81281958111413</v>
      </c>
      <c r="HS118" s="147">
        <f t="shared" ca="1" si="811"/>
        <v>1611.7352699999999</v>
      </c>
      <c r="HT118" s="147">
        <f t="shared" ca="1" si="811"/>
        <v>679.90239999999994</v>
      </c>
      <c r="HU118" s="147">
        <f t="shared" ca="1" si="811"/>
        <v>529.35030031746032</v>
      </c>
      <c r="HV118" s="147">
        <f t="shared" ca="1" si="811"/>
        <v>2325.8905396825398</v>
      </c>
      <c r="HW118"/>
    </row>
    <row r="119" spans="2:231" ht="16" outlineLevel="1" thickBot="1">
      <c r="I119" s="187"/>
      <c r="J119" s="188"/>
      <c r="K119" s="189"/>
      <c r="L119" s="533"/>
      <c r="M119" s="533"/>
      <c r="N119" s="533"/>
      <c r="O119" s="533"/>
      <c r="P119" s="533"/>
      <c r="Q119" s="533"/>
      <c r="R119" s="533"/>
      <c r="S119" s="533"/>
      <c r="T119" s="533"/>
      <c r="U119" s="533"/>
      <c r="V119" s="533"/>
      <c r="W119" s="533"/>
      <c r="X119" s="533"/>
      <c r="Y119" s="533"/>
      <c r="Z119" s="533"/>
      <c r="AA119" s="533"/>
      <c r="AB119" s="533"/>
      <c r="AC119" s="533"/>
      <c r="AD119" s="533"/>
      <c r="AE119" s="533"/>
      <c r="AF119" s="533"/>
      <c r="AG119" s="533"/>
      <c r="AH119" s="533"/>
      <c r="AI119" s="533"/>
      <c r="AJ119" s="533"/>
      <c r="AK119" s="533"/>
      <c r="AL119" s="533"/>
      <c r="AM119" s="533"/>
      <c r="AN119" s="533"/>
      <c r="AO119" s="533"/>
      <c r="AP119" s="533"/>
      <c r="AQ119" s="533"/>
      <c r="AR119" s="533"/>
      <c r="AS119" s="533"/>
      <c r="AT119" s="533"/>
      <c r="AU119" s="533"/>
      <c r="AV119" s="533"/>
      <c r="AW119" s="533"/>
      <c r="AX119" s="533"/>
      <c r="AY119" s="533"/>
      <c r="AZ119" s="533"/>
      <c r="BA119" s="533"/>
      <c r="BB119" s="533"/>
      <c r="BC119" s="533"/>
      <c r="BD119" s="533"/>
      <c r="BE119" s="533"/>
      <c r="BF119" s="533"/>
      <c r="BG119" s="533"/>
      <c r="BH119" s="533"/>
      <c r="BI119" s="533"/>
      <c r="BJ119" s="533"/>
      <c r="BK119" s="533"/>
      <c r="BL119" s="533"/>
      <c r="BM119" s="533"/>
      <c r="BN119" s="533"/>
      <c r="BO119" s="533"/>
      <c r="BP119" s="533"/>
      <c r="BQ119" s="533"/>
      <c r="BR119" s="533"/>
      <c r="BS119" s="533"/>
      <c r="BT119" s="533"/>
      <c r="BU119" s="533"/>
      <c r="BV119" s="533"/>
      <c r="BW119" s="533"/>
      <c r="BX119" s="533"/>
      <c r="BY119" s="533"/>
      <c r="BZ119" s="533"/>
      <c r="CA119" s="533"/>
      <c r="CB119" s="533"/>
      <c r="CC119" s="533"/>
      <c r="CD119" s="533"/>
      <c r="CE119" s="533"/>
      <c r="CF119" s="533"/>
      <c r="CG119" s="533"/>
      <c r="CH119" s="533"/>
      <c r="CI119" s="533"/>
      <c r="CJ119" s="533"/>
      <c r="CK119" s="533"/>
      <c r="CL119" s="533"/>
      <c r="CM119" s="533"/>
      <c r="CN119" s="533"/>
      <c r="CO119" s="533"/>
      <c r="CP119" s="533"/>
      <c r="CQ119" s="533"/>
      <c r="CR119" s="533"/>
      <c r="CS119" s="533"/>
      <c r="CT119" s="533"/>
      <c r="CU119" s="533"/>
      <c r="CV119" s="533"/>
      <c r="CW119" s="533"/>
      <c r="CX119" s="533"/>
      <c r="CY119" s="533"/>
      <c r="CZ119" s="533"/>
      <c r="DA119" s="533"/>
      <c r="DB119" s="533"/>
      <c r="DC119" s="533"/>
      <c r="DD119" s="533"/>
      <c r="DE119" s="533"/>
      <c r="DF119" s="533"/>
      <c r="DG119" s="533"/>
      <c r="DH119" s="533"/>
      <c r="DI119" s="533"/>
      <c r="DJ119" s="533"/>
      <c r="DK119" s="533"/>
      <c r="DL119" s="533"/>
      <c r="DM119" s="533"/>
      <c r="DN119" s="533"/>
      <c r="DO119" s="533"/>
      <c r="DP119" s="533"/>
      <c r="DQ119" s="533"/>
      <c r="DR119" s="533"/>
      <c r="DS119" s="533"/>
      <c r="DT119" s="533"/>
      <c r="DU119" s="533"/>
      <c r="DV119" s="533"/>
      <c r="DW119" s="533"/>
      <c r="DX119" s="533"/>
      <c r="DY119" s="533"/>
      <c r="DZ119" s="533"/>
      <c r="EA119" s="533"/>
      <c r="EB119" s="533"/>
      <c r="EC119" s="533"/>
      <c r="ED119" s="533"/>
      <c r="EE119" s="533"/>
      <c r="EF119" s="533"/>
      <c r="EG119" s="533"/>
      <c r="EH119" s="533"/>
      <c r="EI119" s="533"/>
      <c r="EJ119" s="533"/>
      <c r="EK119" s="533"/>
      <c r="EL119" s="533"/>
      <c r="EM119" s="533"/>
      <c r="EN119" s="533"/>
      <c r="EO119" s="533"/>
      <c r="EP119" s="533"/>
      <c r="EQ119" s="533"/>
      <c r="ER119" s="533"/>
      <c r="ES119" s="533"/>
      <c r="ET119" s="533"/>
      <c r="EU119" s="533"/>
      <c r="EV119" s="533"/>
      <c r="EW119" s="533"/>
      <c r="EX119" s="533"/>
      <c r="EY119" s="533"/>
      <c r="EZ119" s="533"/>
      <c r="FA119" s="533"/>
      <c r="FB119" s="533"/>
      <c r="FC119" s="533"/>
      <c r="FD119" s="533"/>
      <c r="FE119" s="533"/>
      <c r="FF119" s="533"/>
      <c r="FG119" s="533"/>
      <c r="FH119" s="533"/>
      <c r="FI119" s="533"/>
      <c r="FJ119" s="533"/>
      <c r="FK119" s="533"/>
      <c r="FL119" s="533"/>
      <c r="FM119" s="533"/>
      <c r="FN119" s="533"/>
      <c r="FO119" s="533"/>
      <c r="FP119" s="533"/>
      <c r="FQ119" s="533"/>
      <c r="FR119" s="533"/>
      <c r="FS119" s="533"/>
      <c r="FT119" s="533"/>
      <c r="FU119" s="533"/>
      <c r="FV119" s="533"/>
      <c r="FW119" s="533"/>
      <c r="FX119" s="533"/>
      <c r="FY119" s="533"/>
      <c r="FZ119" s="533"/>
      <c r="GA119" s="533"/>
      <c r="GB119" s="533"/>
      <c r="GC119" s="533"/>
      <c r="GD119" s="533"/>
      <c r="GE119" s="533"/>
      <c r="GF119" s="533"/>
      <c r="GG119" s="533"/>
      <c r="GH119" s="533"/>
      <c r="GI119" s="533"/>
      <c r="GJ119" s="533"/>
      <c r="GK119" s="533"/>
      <c r="GL119" s="533"/>
      <c r="GM119" s="533"/>
      <c r="GN119" s="533"/>
      <c r="GO119" s="533"/>
      <c r="GP119" s="533"/>
      <c r="GQ119" s="533"/>
      <c r="GR119" s="533"/>
      <c r="GS119" s="533"/>
      <c r="GT119" s="533"/>
      <c r="GU119" s="533"/>
      <c r="GV119" s="533"/>
      <c r="GW119" s="533"/>
      <c r="GX119" s="533"/>
      <c r="GY119" s="533"/>
      <c r="GZ119" s="533"/>
      <c r="HA119" s="533"/>
      <c r="HB119" s="533"/>
      <c r="HC119" s="533"/>
      <c r="HD119" s="533"/>
      <c r="HE119" s="533"/>
      <c r="HF119" s="1" t="s">
        <v>212</v>
      </c>
      <c r="HI119" s="188"/>
      <c r="HJ119" s="188"/>
      <c r="HK119" s="188"/>
      <c r="HL119" s="187"/>
      <c r="HM119" s="188"/>
      <c r="HN119" s="189"/>
      <c r="HO119" s="188"/>
      <c r="HP119" s="188"/>
      <c r="HQ119" s="188"/>
      <c r="HR119" s="188"/>
      <c r="HS119" s="188"/>
      <c r="HT119" s="188"/>
      <c r="HU119" s="188"/>
      <c r="HV119" s="188"/>
      <c r="HW119"/>
    </row>
    <row r="120" spans="2:231" ht="16" outlineLevel="1" thickBot="1">
      <c r="B120" s="16" t="s">
        <v>90</v>
      </c>
      <c r="G120" s="384">
        <f>Assumptions!F53</f>
        <v>0</v>
      </c>
      <c r="I120" s="187"/>
      <c r="J120" s="188"/>
      <c r="K120" s="189"/>
      <c r="L120" s="533"/>
      <c r="M120" s="533"/>
      <c r="N120" s="533"/>
      <c r="O120" s="533"/>
      <c r="P120" s="533"/>
      <c r="Q120" s="533"/>
      <c r="R120" s="533"/>
      <c r="S120" s="533"/>
      <c r="T120" s="533"/>
      <c r="U120" s="533"/>
      <c r="V120" s="533"/>
      <c r="W120" s="533"/>
      <c r="X120" s="533"/>
      <c r="Y120" s="533"/>
      <c r="Z120" s="533"/>
      <c r="AA120" s="533"/>
      <c r="AB120" s="533"/>
      <c r="AC120" s="533"/>
      <c r="AD120" s="533"/>
      <c r="AE120" s="533"/>
      <c r="AF120" s="533"/>
      <c r="AG120" s="533"/>
      <c r="AH120" s="533"/>
      <c r="AI120" s="533"/>
      <c r="AJ120" s="533"/>
      <c r="AK120" s="533"/>
      <c r="AL120" s="533"/>
      <c r="AM120" s="533"/>
      <c r="AN120" s="533"/>
      <c r="AO120" s="533"/>
      <c r="AP120" s="533"/>
      <c r="AQ120" s="533"/>
      <c r="AR120" s="533"/>
      <c r="AS120" s="533"/>
      <c r="AT120" s="533"/>
      <c r="AU120" s="533"/>
      <c r="AV120" s="533"/>
      <c r="AW120" s="533"/>
      <c r="AX120" s="533"/>
      <c r="AY120" s="533"/>
      <c r="AZ120" s="533"/>
      <c r="BA120" s="533"/>
      <c r="BB120" s="533"/>
      <c r="BC120" s="533"/>
      <c r="BD120" s="533"/>
      <c r="BE120" s="533"/>
      <c r="BF120" s="533"/>
      <c r="BG120" s="533"/>
      <c r="BH120" s="533"/>
      <c r="BI120" s="533"/>
      <c r="BJ120" s="533"/>
      <c r="BK120" s="533"/>
      <c r="BL120" s="533"/>
      <c r="BM120" s="533"/>
      <c r="BN120" s="533"/>
      <c r="BO120" s="533"/>
      <c r="BP120" s="533"/>
      <c r="BQ120" s="533"/>
      <c r="BR120" s="533"/>
      <c r="BS120" s="533"/>
      <c r="BT120" s="533"/>
      <c r="BU120" s="533"/>
      <c r="BV120" s="533"/>
      <c r="BW120" s="533"/>
      <c r="BX120" s="533"/>
      <c r="BY120" s="533"/>
      <c r="BZ120" s="533"/>
      <c r="CA120" s="533"/>
      <c r="CB120" s="533"/>
      <c r="CC120" s="533"/>
      <c r="CD120" s="533"/>
      <c r="CE120" s="533"/>
      <c r="CF120" s="533"/>
      <c r="CG120" s="533"/>
      <c r="CH120" s="533"/>
      <c r="CI120" s="533"/>
      <c r="CJ120" s="533"/>
      <c r="CK120" s="533"/>
      <c r="CL120" s="533"/>
      <c r="CM120" s="533"/>
      <c r="CN120" s="533"/>
      <c r="CO120" s="533"/>
      <c r="CP120" s="533"/>
      <c r="CQ120" s="533"/>
      <c r="CR120" s="533"/>
      <c r="CS120" s="533"/>
      <c r="CT120" s="533"/>
      <c r="CU120" s="533"/>
      <c r="CV120" s="533"/>
      <c r="CW120" s="533"/>
      <c r="CX120" s="533"/>
      <c r="CY120" s="533"/>
      <c r="CZ120" s="533"/>
      <c r="DA120" s="533"/>
      <c r="DB120" s="533"/>
      <c r="DC120" s="533"/>
      <c r="DD120" s="533"/>
      <c r="DE120" s="533"/>
      <c r="DF120" s="533"/>
      <c r="DG120" s="533"/>
      <c r="DH120" s="533"/>
      <c r="DI120" s="533"/>
      <c r="DJ120" s="533"/>
      <c r="DK120" s="533"/>
      <c r="DL120" s="533"/>
      <c r="DM120" s="533"/>
      <c r="DN120" s="533"/>
      <c r="DO120" s="533"/>
      <c r="DP120" s="533"/>
      <c r="DQ120" s="533"/>
      <c r="DR120" s="533"/>
      <c r="DS120" s="533"/>
      <c r="DT120" s="533"/>
      <c r="DU120" s="533"/>
      <c r="DV120" s="533"/>
      <c r="DW120" s="533"/>
      <c r="DX120" s="533"/>
      <c r="DY120" s="533"/>
      <c r="DZ120" s="533"/>
      <c r="EA120" s="533"/>
      <c r="EB120" s="533"/>
      <c r="EC120" s="533"/>
      <c r="ED120" s="533"/>
      <c r="EE120" s="533"/>
      <c r="EF120" s="533"/>
      <c r="EG120" s="533"/>
      <c r="EH120" s="533"/>
      <c r="EI120" s="533"/>
      <c r="EJ120" s="533"/>
      <c r="EK120" s="533"/>
      <c r="EL120" s="533"/>
      <c r="EM120" s="533"/>
      <c r="EN120" s="533"/>
      <c r="EO120" s="533"/>
      <c r="EP120" s="533"/>
      <c r="EQ120" s="533"/>
      <c r="ER120" s="533"/>
      <c r="ES120" s="533"/>
      <c r="ET120" s="533"/>
      <c r="EU120" s="533"/>
      <c r="EV120" s="533"/>
      <c r="EW120" s="533"/>
      <c r="EX120" s="533"/>
      <c r="EY120" s="533"/>
      <c r="EZ120" s="533"/>
      <c r="FA120" s="533"/>
      <c r="FB120" s="533"/>
      <c r="FC120" s="533"/>
      <c r="FD120" s="533"/>
      <c r="FE120" s="533"/>
      <c r="FF120" s="533"/>
      <c r="FG120" s="533"/>
      <c r="FH120" s="533"/>
      <c r="FI120" s="533"/>
      <c r="FJ120" s="533"/>
      <c r="FK120" s="533"/>
      <c r="FL120" s="533"/>
      <c r="FM120" s="533"/>
      <c r="FN120" s="533"/>
      <c r="FO120" s="533"/>
      <c r="FP120" s="533"/>
      <c r="FQ120" s="533"/>
      <c r="FR120" s="533"/>
      <c r="FS120" s="533"/>
      <c r="FT120" s="533"/>
      <c r="FU120" s="533"/>
      <c r="FV120" s="533"/>
      <c r="FW120" s="533"/>
      <c r="FX120" s="533"/>
      <c r="FY120" s="533"/>
      <c r="FZ120" s="533"/>
      <c r="GA120" s="533"/>
      <c r="GB120" s="533"/>
      <c r="GC120" s="533"/>
      <c r="GD120" s="533"/>
      <c r="GE120" s="533"/>
      <c r="GF120" s="533"/>
      <c r="GG120" s="533"/>
      <c r="GH120" s="533"/>
      <c r="GI120" s="533"/>
      <c r="GJ120" s="533"/>
      <c r="GK120" s="533"/>
      <c r="GL120" s="533"/>
      <c r="GM120" s="533"/>
      <c r="GN120" s="533"/>
      <c r="GO120" s="533"/>
      <c r="GP120" s="533"/>
      <c r="GQ120" s="533"/>
      <c r="GR120" s="533"/>
      <c r="GS120" s="533"/>
      <c r="GT120" s="533"/>
      <c r="GU120" s="533"/>
      <c r="GV120" s="533"/>
      <c r="GW120" s="533"/>
      <c r="GX120" s="533"/>
      <c r="GY120" s="533"/>
      <c r="GZ120" s="533"/>
      <c r="HA120" s="533"/>
      <c r="HB120" s="533"/>
      <c r="HC120" s="533"/>
      <c r="HD120" s="533"/>
      <c r="HE120" s="533"/>
      <c r="HF120" s="1" t="s">
        <v>212</v>
      </c>
      <c r="HH120" s="16" t="str">
        <f>B120</f>
        <v>Equity</v>
      </c>
      <c r="HI120" s="188"/>
      <c r="HJ120" s="188"/>
      <c r="HK120" s="188"/>
      <c r="HL120" s="187"/>
      <c r="HM120" s="188"/>
      <c r="HN120" s="189"/>
      <c r="HO120" s="188"/>
      <c r="HP120" s="188"/>
      <c r="HQ120" s="188"/>
      <c r="HR120" s="188"/>
      <c r="HS120" s="188"/>
      <c r="HT120" s="188"/>
      <c r="HU120" s="188"/>
      <c r="HV120" s="188"/>
      <c r="HW120"/>
    </row>
    <row r="121" spans="2:231" ht="15" outlineLevel="1">
      <c r="B121" s="1" t="s">
        <v>101</v>
      </c>
      <c r="G121" s="950">
        <f>Assumptions!F30</f>
        <v>16705.366934450423</v>
      </c>
      <c r="I121" s="125"/>
      <c r="J121" s="188"/>
      <c r="K121" s="131">
        <f t="shared" ref="K121" si="812">J129</f>
        <v>0</v>
      </c>
      <c r="L121" s="530">
        <f>+K129</f>
        <v>13708</v>
      </c>
      <c r="M121" s="530">
        <f t="shared" ref="M121:BX121" si="813">+L129</f>
        <v>13708</v>
      </c>
      <c r="N121" s="530">
        <f t="shared" si="813"/>
        <v>13708</v>
      </c>
      <c r="O121" s="530">
        <f t="shared" si="813"/>
        <v>13708</v>
      </c>
      <c r="P121" s="530">
        <f t="shared" si="813"/>
        <v>13708</v>
      </c>
      <c r="Q121" s="530">
        <f t="shared" si="813"/>
        <v>13858.825000000001</v>
      </c>
      <c r="R121" s="530">
        <f t="shared" si="813"/>
        <v>13858.825000000001</v>
      </c>
      <c r="S121" s="530">
        <f t="shared" si="813"/>
        <v>13858.825000000001</v>
      </c>
      <c r="T121" s="530">
        <f t="shared" si="813"/>
        <v>13858.825000000001</v>
      </c>
      <c r="U121" s="530">
        <f t="shared" si="813"/>
        <v>13858.825000000001</v>
      </c>
      <c r="V121" s="530">
        <f t="shared" si="813"/>
        <v>13858.825000000001</v>
      </c>
      <c r="W121" s="530">
        <f t="shared" si="813"/>
        <v>13858.825000000001</v>
      </c>
      <c r="X121" s="530">
        <f t="shared" si="813"/>
        <v>13858.825000000001</v>
      </c>
      <c r="Y121" s="530">
        <f t="shared" si="813"/>
        <v>13938</v>
      </c>
      <c r="Z121" s="530">
        <f t="shared" si="813"/>
        <v>13938</v>
      </c>
      <c r="AA121" s="530">
        <f t="shared" si="813"/>
        <v>13938</v>
      </c>
      <c r="AB121" s="530">
        <f t="shared" si="813"/>
        <v>13938</v>
      </c>
      <c r="AC121" s="530">
        <f t="shared" si="813"/>
        <v>13938</v>
      </c>
      <c r="AD121" s="530">
        <f t="shared" si="813"/>
        <v>13938</v>
      </c>
      <c r="AE121" s="530">
        <f t="shared" si="813"/>
        <v>13938</v>
      </c>
      <c r="AF121" s="530">
        <f t="shared" si="813"/>
        <v>13938</v>
      </c>
      <c r="AG121" s="530">
        <f t="shared" si="813"/>
        <v>13938</v>
      </c>
      <c r="AH121" s="530">
        <f t="shared" si="813"/>
        <v>14248</v>
      </c>
      <c r="AI121" s="530">
        <f t="shared" si="813"/>
        <v>14248</v>
      </c>
      <c r="AJ121" s="530">
        <f t="shared" si="813"/>
        <v>14248</v>
      </c>
      <c r="AK121" s="530">
        <f t="shared" si="813"/>
        <v>14248</v>
      </c>
      <c r="AL121" s="530">
        <f t="shared" si="813"/>
        <v>14248</v>
      </c>
      <c r="AM121" s="530">
        <f t="shared" si="813"/>
        <v>14248</v>
      </c>
      <c r="AN121" s="530">
        <f t="shared" si="813"/>
        <v>14248</v>
      </c>
      <c r="AO121" s="530">
        <f t="shared" si="813"/>
        <v>14248</v>
      </c>
      <c r="AP121" s="530">
        <f t="shared" si="813"/>
        <v>14248</v>
      </c>
      <c r="AQ121" s="530">
        <f t="shared" si="813"/>
        <v>14248</v>
      </c>
      <c r="AR121" s="530">
        <f t="shared" si="813"/>
        <v>14248</v>
      </c>
      <c r="AS121" s="530">
        <f t="shared" si="813"/>
        <v>14248</v>
      </c>
      <c r="AT121" s="530">
        <f t="shared" si="813"/>
        <v>14248</v>
      </c>
      <c r="AU121" s="530">
        <f t="shared" si="813"/>
        <v>14248</v>
      </c>
      <c r="AV121" s="530">
        <f t="shared" si="813"/>
        <v>14248</v>
      </c>
      <c r="AW121" s="530">
        <f t="shared" si="813"/>
        <v>14248</v>
      </c>
      <c r="AX121" s="530">
        <f t="shared" si="813"/>
        <v>14248</v>
      </c>
      <c r="AY121" s="530">
        <f t="shared" si="813"/>
        <v>14248</v>
      </c>
      <c r="AZ121" s="530">
        <f t="shared" si="813"/>
        <v>14248</v>
      </c>
      <c r="BA121" s="530">
        <f t="shared" si="813"/>
        <v>14248</v>
      </c>
      <c r="BB121" s="530">
        <f t="shared" si="813"/>
        <v>14389.08</v>
      </c>
      <c r="BC121" s="530">
        <f t="shared" si="813"/>
        <v>14389.08</v>
      </c>
      <c r="BD121" s="530">
        <f t="shared" si="813"/>
        <v>14637.28</v>
      </c>
      <c r="BE121" s="530">
        <f t="shared" si="813"/>
        <v>14957.28</v>
      </c>
      <c r="BF121" s="530">
        <f t="shared" si="813"/>
        <v>14957.28</v>
      </c>
      <c r="BG121" s="530">
        <f t="shared" si="813"/>
        <v>14957.28</v>
      </c>
      <c r="BH121" s="530">
        <f t="shared" si="813"/>
        <v>15574.28</v>
      </c>
      <c r="BI121" s="530">
        <f t="shared" si="813"/>
        <v>15574.28</v>
      </c>
      <c r="BJ121" s="530">
        <f t="shared" si="813"/>
        <v>15574.28</v>
      </c>
      <c r="BK121" s="530">
        <f t="shared" si="813"/>
        <v>15574.28</v>
      </c>
      <c r="BL121" s="530">
        <f t="shared" si="813"/>
        <v>15574.28</v>
      </c>
      <c r="BM121" s="530">
        <f t="shared" si="813"/>
        <v>15574.28</v>
      </c>
      <c r="BN121" s="530">
        <f t="shared" si="813"/>
        <v>15574.28</v>
      </c>
      <c r="BO121" s="530">
        <f t="shared" si="813"/>
        <v>15793.732</v>
      </c>
      <c r="BP121" s="530">
        <f t="shared" si="813"/>
        <v>15793.732</v>
      </c>
      <c r="BQ121" s="530">
        <f t="shared" si="813"/>
        <v>15793.732</v>
      </c>
      <c r="BR121" s="530">
        <f t="shared" si="813"/>
        <v>15793.732</v>
      </c>
      <c r="BS121" s="530">
        <f t="shared" si="813"/>
        <v>15882.232</v>
      </c>
      <c r="BT121" s="530">
        <f t="shared" si="813"/>
        <v>15882.232</v>
      </c>
      <c r="BU121" s="530">
        <f t="shared" si="813"/>
        <v>15882.232</v>
      </c>
      <c r="BV121" s="530">
        <f t="shared" si="813"/>
        <v>15882.232</v>
      </c>
      <c r="BW121" s="530">
        <f t="shared" si="813"/>
        <v>15882.232</v>
      </c>
      <c r="BX121" s="530">
        <f t="shared" si="813"/>
        <v>15882.232</v>
      </c>
      <c r="BY121" s="530">
        <f t="shared" ref="BY121:EJ121" si="814">+BX129</f>
        <v>15882.232</v>
      </c>
      <c r="BZ121" s="530">
        <f t="shared" si="814"/>
        <v>15882.232</v>
      </c>
      <c r="CA121" s="530">
        <f t="shared" si="814"/>
        <v>15882.232</v>
      </c>
      <c r="CB121" s="530">
        <f t="shared" si="814"/>
        <v>15882.232</v>
      </c>
      <c r="CC121" s="530">
        <f t="shared" si="814"/>
        <v>15882.232</v>
      </c>
      <c r="CD121" s="530">
        <f t="shared" si="814"/>
        <v>15882.232</v>
      </c>
      <c r="CE121" s="530">
        <f t="shared" si="814"/>
        <v>15882.232</v>
      </c>
      <c r="CF121" s="530">
        <f t="shared" si="814"/>
        <v>15882.232</v>
      </c>
      <c r="CG121" s="530">
        <f t="shared" si="814"/>
        <v>15882.232</v>
      </c>
      <c r="CH121" s="530">
        <f t="shared" si="814"/>
        <v>15882.232</v>
      </c>
      <c r="CI121" s="530">
        <f t="shared" si="814"/>
        <v>15882.232</v>
      </c>
      <c r="CJ121" s="530">
        <f t="shared" si="814"/>
        <v>15882.232</v>
      </c>
      <c r="CK121" s="530">
        <f t="shared" si="814"/>
        <v>15882.232</v>
      </c>
      <c r="CL121" s="530">
        <f t="shared" si="814"/>
        <v>15882.232</v>
      </c>
      <c r="CM121" s="530">
        <f t="shared" si="814"/>
        <v>15882.232</v>
      </c>
      <c r="CN121" s="530">
        <f t="shared" si="814"/>
        <v>15882.232</v>
      </c>
      <c r="CO121" s="530">
        <f t="shared" si="814"/>
        <v>15882.232</v>
      </c>
      <c r="CP121" s="530">
        <f t="shared" si="814"/>
        <v>15882.232</v>
      </c>
      <c r="CQ121" s="530">
        <f t="shared" si="814"/>
        <v>15882.232</v>
      </c>
      <c r="CR121" s="530">
        <f t="shared" si="814"/>
        <v>15882.232</v>
      </c>
      <c r="CS121" s="530">
        <f t="shared" si="814"/>
        <v>15882.232</v>
      </c>
      <c r="CT121" s="530">
        <f t="shared" si="814"/>
        <v>15882.232</v>
      </c>
      <c r="CU121" s="530">
        <f t="shared" si="814"/>
        <v>15882.232</v>
      </c>
      <c r="CV121" s="530">
        <f t="shared" si="814"/>
        <v>15882.232</v>
      </c>
      <c r="CW121" s="530">
        <f t="shared" si="814"/>
        <v>15882.232</v>
      </c>
      <c r="CX121" s="530">
        <f t="shared" si="814"/>
        <v>15882.232</v>
      </c>
      <c r="CY121" s="530">
        <f t="shared" si="814"/>
        <v>15882.232</v>
      </c>
      <c r="CZ121" s="530">
        <f t="shared" si="814"/>
        <v>15882.232</v>
      </c>
      <c r="DA121" s="530">
        <f t="shared" si="814"/>
        <v>15882.232</v>
      </c>
      <c r="DB121" s="530">
        <f t="shared" si="814"/>
        <v>15882.232</v>
      </c>
      <c r="DC121" s="530">
        <f t="shared" si="814"/>
        <v>15882.232</v>
      </c>
      <c r="DD121" s="530">
        <f t="shared" si="814"/>
        <v>15882.232</v>
      </c>
      <c r="DE121" s="530">
        <f t="shared" si="814"/>
        <v>15882.232</v>
      </c>
      <c r="DF121" s="530">
        <f t="shared" si="814"/>
        <v>15882.232</v>
      </c>
      <c r="DG121" s="530">
        <f t="shared" si="814"/>
        <v>15882.232</v>
      </c>
      <c r="DH121" s="530">
        <f t="shared" si="814"/>
        <v>15882.232</v>
      </c>
      <c r="DI121" s="530">
        <f t="shared" si="814"/>
        <v>15882.232</v>
      </c>
      <c r="DJ121" s="530">
        <f t="shared" si="814"/>
        <v>15882.232</v>
      </c>
      <c r="DK121" s="530">
        <f t="shared" si="814"/>
        <v>15882.232</v>
      </c>
      <c r="DL121" s="530">
        <f t="shared" si="814"/>
        <v>15882.232</v>
      </c>
      <c r="DM121" s="530">
        <f t="shared" si="814"/>
        <v>15882.232</v>
      </c>
      <c r="DN121" s="530">
        <f t="shared" si="814"/>
        <v>15882.232</v>
      </c>
      <c r="DO121" s="530">
        <f t="shared" si="814"/>
        <v>15882.232</v>
      </c>
      <c r="DP121" s="530">
        <f t="shared" si="814"/>
        <v>15882.232</v>
      </c>
      <c r="DQ121" s="530">
        <f t="shared" si="814"/>
        <v>15882.232</v>
      </c>
      <c r="DR121" s="530">
        <f t="shared" si="814"/>
        <v>15882.232</v>
      </c>
      <c r="DS121" s="530">
        <f t="shared" si="814"/>
        <v>15882.232</v>
      </c>
      <c r="DT121" s="530">
        <f t="shared" si="814"/>
        <v>15882.232</v>
      </c>
      <c r="DU121" s="530">
        <f t="shared" si="814"/>
        <v>15882.232</v>
      </c>
      <c r="DV121" s="530">
        <f t="shared" si="814"/>
        <v>15882.232</v>
      </c>
      <c r="DW121" s="530">
        <f t="shared" si="814"/>
        <v>15882.232</v>
      </c>
      <c r="DX121" s="530">
        <f t="shared" si="814"/>
        <v>15882.232</v>
      </c>
      <c r="DY121" s="530">
        <f t="shared" si="814"/>
        <v>15882.232</v>
      </c>
      <c r="DZ121" s="530">
        <f t="shared" si="814"/>
        <v>15882.232</v>
      </c>
      <c r="EA121" s="530">
        <f t="shared" si="814"/>
        <v>15882.232</v>
      </c>
      <c r="EB121" s="530">
        <f t="shared" si="814"/>
        <v>15882.232</v>
      </c>
      <c r="EC121" s="530">
        <f t="shared" si="814"/>
        <v>15882.232</v>
      </c>
      <c r="ED121" s="530">
        <f t="shared" si="814"/>
        <v>15882.232</v>
      </c>
      <c r="EE121" s="530">
        <f t="shared" si="814"/>
        <v>15882.232</v>
      </c>
      <c r="EF121" s="530">
        <f t="shared" si="814"/>
        <v>15882.232</v>
      </c>
      <c r="EG121" s="530">
        <f t="shared" si="814"/>
        <v>15882.232</v>
      </c>
      <c r="EH121" s="530">
        <f t="shared" si="814"/>
        <v>15882.232</v>
      </c>
      <c r="EI121" s="530">
        <f t="shared" si="814"/>
        <v>15882.232</v>
      </c>
      <c r="EJ121" s="530">
        <f t="shared" si="814"/>
        <v>15882.232</v>
      </c>
      <c r="EK121" s="530">
        <f t="shared" ref="EK121:EL121" si="815">+EJ129</f>
        <v>15882.232</v>
      </c>
      <c r="EL121" s="530">
        <f t="shared" si="815"/>
        <v>15882.232</v>
      </c>
      <c r="EM121" s="530">
        <f t="shared" ref="EM121" si="816">+EL129</f>
        <v>15882.232</v>
      </c>
      <c r="EN121" s="530">
        <f t="shared" ref="EN121" si="817">+EM129</f>
        <v>15882.232</v>
      </c>
      <c r="EO121" s="530">
        <f t="shared" ref="EO121" si="818">+EN129</f>
        <v>15882.232</v>
      </c>
      <c r="EP121" s="530">
        <f t="shared" ref="EP121" si="819">+EO129</f>
        <v>15882.232</v>
      </c>
      <c r="EQ121" s="530">
        <f t="shared" ref="EQ121" si="820">+EP129</f>
        <v>15882.232</v>
      </c>
      <c r="ER121" s="530">
        <f t="shared" ref="ER121" si="821">+EQ129</f>
        <v>15882.232</v>
      </c>
      <c r="ES121" s="530">
        <f t="shared" ref="ES121" si="822">+ER129</f>
        <v>15882.232</v>
      </c>
      <c r="ET121" s="530">
        <f t="shared" ref="ET121" si="823">+ES129</f>
        <v>15882.232</v>
      </c>
      <c r="EU121" s="530">
        <f t="shared" ref="EU121" si="824">+ET129</f>
        <v>15882.232</v>
      </c>
      <c r="EV121" s="530">
        <f t="shared" ref="EV121" si="825">+EU129</f>
        <v>15882.232</v>
      </c>
      <c r="EW121" s="530">
        <f t="shared" ref="EW121" si="826">+EV129</f>
        <v>15882.232</v>
      </c>
      <c r="EX121" s="530">
        <f t="shared" ref="EX121" si="827">+EW129</f>
        <v>15882.232</v>
      </c>
      <c r="EY121" s="530">
        <f t="shared" ref="EY121" si="828">+EX129</f>
        <v>15882.232</v>
      </c>
      <c r="EZ121" s="530">
        <f t="shared" ref="EZ121" si="829">+EY129</f>
        <v>15882.232</v>
      </c>
      <c r="FA121" s="530">
        <f t="shared" ref="FA121" si="830">+EZ129</f>
        <v>15882.232</v>
      </c>
      <c r="FB121" s="530">
        <f t="shared" ref="FB121" si="831">+FA129</f>
        <v>15882.232</v>
      </c>
      <c r="FC121" s="530">
        <f t="shared" ref="FC121" si="832">+FB129</f>
        <v>15882.232</v>
      </c>
      <c r="FD121" s="530">
        <f t="shared" ref="FD121" si="833">+FC129</f>
        <v>15882.232</v>
      </c>
      <c r="FE121" s="530">
        <f t="shared" ref="FE121" si="834">+FD129</f>
        <v>15882.232</v>
      </c>
      <c r="FF121" s="530">
        <f t="shared" ref="FF121" si="835">+FE129</f>
        <v>15882.232</v>
      </c>
      <c r="FG121" s="530">
        <f t="shared" ref="FG121" si="836">+FF129</f>
        <v>15882.232</v>
      </c>
      <c r="FH121" s="530">
        <f t="shared" ref="FH121" si="837">+FG129</f>
        <v>15882.232</v>
      </c>
      <c r="FI121" s="530">
        <f t="shared" ref="FI121" si="838">+FH129</f>
        <v>15882.232</v>
      </c>
      <c r="FJ121" s="530">
        <f t="shared" ref="FJ121" si="839">+FI129</f>
        <v>15882.232</v>
      </c>
      <c r="FK121" s="530">
        <f t="shared" ref="FK121" si="840">+FJ129</f>
        <v>15882.232</v>
      </c>
      <c r="FL121" s="530">
        <f t="shared" ref="FL121" si="841">+FK129</f>
        <v>15882.232</v>
      </c>
      <c r="FM121" s="530">
        <f t="shared" ref="FM121" si="842">+FL129</f>
        <v>15882.232</v>
      </c>
      <c r="FN121" s="530">
        <f t="shared" ref="FN121" si="843">+FM129</f>
        <v>15882.232</v>
      </c>
      <c r="FO121" s="530">
        <f t="shared" ref="FO121" si="844">+FN129</f>
        <v>15882.232</v>
      </c>
      <c r="FP121" s="530">
        <f t="shared" ref="FP121" si="845">+FO129</f>
        <v>15882.232</v>
      </c>
      <c r="FQ121" s="530">
        <f t="shared" ref="FQ121" si="846">+FP129</f>
        <v>15882.232</v>
      </c>
      <c r="FR121" s="530">
        <f t="shared" ref="FR121" si="847">+FQ129</f>
        <v>15882.232</v>
      </c>
      <c r="FS121" s="530">
        <f t="shared" ref="FS121" si="848">+FR129</f>
        <v>15882.232</v>
      </c>
      <c r="FT121" s="530">
        <f t="shared" ref="FT121" si="849">+FS129</f>
        <v>15882.232</v>
      </c>
      <c r="FU121" s="530">
        <f t="shared" ref="FU121" si="850">+FT129</f>
        <v>15882.232</v>
      </c>
      <c r="FV121" s="530">
        <f t="shared" ref="FV121" si="851">+FU129</f>
        <v>15882.232</v>
      </c>
      <c r="FW121" s="530">
        <f t="shared" ref="FW121" si="852">+FV129</f>
        <v>15882.232</v>
      </c>
      <c r="FX121" s="530">
        <f t="shared" ref="FX121" si="853">+FW129</f>
        <v>15882.232</v>
      </c>
      <c r="FY121" s="530">
        <f t="shared" ref="FY121" si="854">+FX129</f>
        <v>15882.232</v>
      </c>
      <c r="FZ121" s="530">
        <f t="shared" ref="FZ121" si="855">+FY129</f>
        <v>15882.232</v>
      </c>
      <c r="GA121" s="530">
        <f t="shared" ref="GA121" si="856">+FZ129</f>
        <v>15882.232</v>
      </c>
      <c r="GB121" s="530">
        <f t="shared" ref="GB121" si="857">+GA129</f>
        <v>15882.232</v>
      </c>
      <c r="GC121" s="530">
        <f t="shared" ref="GC121" si="858">+GB129</f>
        <v>15882.232</v>
      </c>
      <c r="GD121" s="530"/>
      <c r="GE121" s="530"/>
      <c r="GF121" s="530"/>
      <c r="GG121" s="530"/>
      <c r="GH121" s="530"/>
      <c r="GI121" s="530"/>
      <c r="GJ121" s="530"/>
      <c r="GK121" s="530"/>
      <c r="GL121" s="530"/>
      <c r="GM121" s="530"/>
      <c r="GN121" s="530"/>
      <c r="GO121" s="530"/>
      <c r="GP121" s="530">
        <f t="shared" ref="GP121" si="859">+GC129</f>
        <v>15882.232</v>
      </c>
      <c r="GQ121" s="530">
        <f t="shared" ref="GQ121" si="860">+GP129</f>
        <v>15882.232</v>
      </c>
      <c r="GR121" s="530">
        <f t="shared" ref="GR121" si="861">+GQ129</f>
        <v>15882.232</v>
      </c>
      <c r="GS121" s="530">
        <f t="shared" ref="GS121" si="862">+GR129</f>
        <v>15882.232</v>
      </c>
      <c r="GT121" s="530">
        <f t="shared" ref="GT121" si="863">+GS129</f>
        <v>15882.232</v>
      </c>
      <c r="GU121" s="530"/>
      <c r="GV121" s="530"/>
      <c r="GW121" s="530"/>
      <c r="GX121" s="530"/>
      <c r="GY121" s="530"/>
      <c r="GZ121" s="530"/>
      <c r="HA121" s="530"/>
      <c r="HB121" s="530"/>
      <c r="HC121" s="530"/>
      <c r="HD121" s="530"/>
      <c r="HE121" s="530"/>
      <c r="HF121" s="1" t="s">
        <v>212</v>
      </c>
      <c r="HH121" s="1" t="str">
        <f>B121</f>
        <v>Beginning Balance</v>
      </c>
      <c r="HI121" s="128"/>
      <c r="HJ121" s="128"/>
      <c r="HK121" s="128"/>
      <c r="HL121" s="125"/>
      <c r="HM121" s="188"/>
      <c r="HN121" s="131">
        <f>SUMIF($K$14:$GT$14,HN$14,$K121:$GT121)</f>
        <v>0</v>
      </c>
      <c r="HO121" s="18">
        <f>+HN129</f>
        <v>13708</v>
      </c>
      <c r="HP121" s="18">
        <f t="shared" ref="HP121:HV121" si="864">+HO129</f>
        <v>13708</v>
      </c>
      <c r="HQ121" s="18">
        <f t="shared" si="864"/>
        <v>13708</v>
      </c>
      <c r="HR121" s="18">
        <f t="shared" si="864"/>
        <v>13708</v>
      </c>
      <c r="HS121" s="18">
        <f t="shared" si="864"/>
        <v>13708</v>
      </c>
      <c r="HT121" s="18">
        <f t="shared" si="864"/>
        <v>13708</v>
      </c>
      <c r="HU121" s="18">
        <f t="shared" si="864"/>
        <v>13708</v>
      </c>
      <c r="HV121" s="18">
        <f t="shared" si="864"/>
        <v>13708</v>
      </c>
      <c r="HW121"/>
    </row>
    <row r="122" spans="2:231" ht="15" outlineLevel="1">
      <c r="B122" s="9" t="s">
        <v>121</v>
      </c>
      <c r="I122" s="132">
        <f>SUMIF($K$13:$GT$13,"&lt;="&amp;Assumptions!$L$17,'Monthly Cash Flow'!K122:GT122)</f>
        <v>30776</v>
      </c>
      <c r="J122" s="26"/>
      <c r="K122" s="133">
        <f>K118</f>
        <v>30776</v>
      </c>
      <c r="L122" s="1107">
        <v>0</v>
      </c>
      <c r="M122" s="1107">
        <v>0</v>
      </c>
      <c r="N122" s="1107">
        <v>0</v>
      </c>
      <c r="O122" s="1107">
        <v>0</v>
      </c>
      <c r="P122" s="1107">
        <v>0</v>
      </c>
      <c r="Q122" s="1107">
        <v>0</v>
      </c>
      <c r="R122" s="1107">
        <v>0</v>
      </c>
      <c r="S122" s="1107">
        <v>0</v>
      </c>
      <c r="T122" s="1107">
        <v>0</v>
      </c>
      <c r="U122" s="1107">
        <v>0</v>
      </c>
      <c r="V122" s="1107">
        <v>0</v>
      </c>
      <c r="W122" s="1107">
        <v>0</v>
      </c>
      <c r="X122" s="1107">
        <v>0</v>
      </c>
      <c r="Y122" s="1107">
        <v>0</v>
      </c>
      <c r="Z122" s="1107">
        <v>0</v>
      </c>
      <c r="AA122" s="1107">
        <v>0</v>
      </c>
      <c r="AB122" s="1107">
        <v>0</v>
      </c>
      <c r="AC122" s="1107">
        <v>0</v>
      </c>
      <c r="AD122" s="1107">
        <v>0</v>
      </c>
      <c r="AE122" s="1107">
        <v>0</v>
      </c>
      <c r="AF122" s="1107">
        <v>0</v>
      </c>
      <c r="AG122" s="1107">
        <v>0</v>
      </c>
      <c r="AH122" s="1107">
        <v>0</v>
      </c>
      <c r="AI122" s="1107">
        <v>0</v>
      </c>
      <c r="AJ122" s="1107">
        <v>0</v>
      </c>
      <c r="AK122" s="1107">
        <v>0</v>
      </c>
      <c r="AL122" s="1107">
        <v>0</v>
      </c>
      <c r="AM122" s="1107">
        <v>0</v>
      </c>
      <c r="AN122" s="1107">
        <v>0</v>
      </c>
      <c r="AO122" s="1107">
        <v>0</v>
      </c>
      <c r="AP122" s="1107">
        <v>0</v>
      </c>
      <c r="AQ122" s="1107">
        <v>0</v>
      </c>
      <c r="AR122" s="1107">
        <v>0</v>
      </c>
      <c r="AS122" s="1107">
        <v>0</v>
      </c>
      <c r="AT122" s="1107">
        <v>0</v>
      </c>
      <c r="AU122" s="1107">
        <v>0</v>
      </c>
      <c r="AV122" s="1107">
        <v>0</v>
      </c>
      <c r="AW122" s="1107">
        <v>0</v>
      </c>
      <c r="AX122" s="1107">
        <v>0</v>
      </c>
      <c r="AY122" s="1107">
        <v>0</v>
      </c>
      <c r="AZ122" s="1107">
        <v>0</v>
      </c>
      <c r="BA122" s="1107">
        <v>0</v>
      </c>
      <c r="BB122" s="1107">
        <v>0</v>
      </c>
      <c r="BC122" s="1107">
        <v>0</v>
      </c>
      <c r="BD122" s="1107">
        <v>0</v>
      </c>
      <c r="BE122" s="1107">
        <v>0</v>
      </c>
      <c r="BF122" s="1107">
        <v>0</v>
      </c>
      <c r="BG122" s="1107">
        <v>0</v>
      </c>
      <c r="BH122" s="1107">
        <v>0</v>
      </c>
      <c r="BI122" s="1107">
        <v>0</v>
      </c>
      <c r="BJ122" s="1107">
        <v>0</v>
      </c>
      <c r="BK122" s="1107">
        <v>0</v>
      </c>
      <c r="BL122" s="1107">
        <v>0</v>
      </c>
      <c r="BM122" s="1107">
        <v>0</v>
      </c>
      <c r="BN122" s="1107">
        <v>0</v>
      </c>
      <c r="BO122" s="1107">
        <v>0</v>
      </c>
      <c r="BP122" s="1107">
        <v>0</v>
      </c>
      <c r="BQ122" s="1107">
        <v>0</v>
      </c>
      <c r="BR122" s="1107">
        <v>0</v>
      </c>
      <c r="BS122" s="1107">
        <v>0</v>
      </c>
      <c r="BT122" s="1107">
        <v>0</v>
      </c>
      <c r="BU122" s="1107">
        <v>0</v>
      </c>
      <c r="BV122" s="1107">
        <v>0</v>
      </c>
      <c r="BW122" s="1107">
        <v>0</v>
      </c>
      <c r="BX122" s="1107">
        <v>0</v>
      </c>
      <c r="BY122" s="1107">
        <v>0</v>
      </c>
      <c r="BZ122" s="1107">
        <v>0</v>
      </c>
      <c r="CA122" s="1107">
        <v>0</v>
      </c>
      <c r="CB122" s="1107">
        <v>0</v>
      </c>
      <c r="CC122" s="1107">
        <v>0</v>
      </c>
      <c r="CD122" s="1107">
        <v>0</v>
      </c>
      <c r="CE122" s="1107">
        <v>0</v>
      </c>
      <c r="CF122" s="1107">
        <v>0</v>
      </c>
      <c r="CG122" s="1107">
        <v>0</v>
      </c>
      <c r="CH122" s="1107">
        <v>0</v>
      </c>
      <c r="CI122" s="1107">
        <v>0</v>
      </c>
      <c r="CJ122" s="1107">
        <v>0</v>
      </c>
      <c r="CK122" s="1107">
        <v>0</v>
      </c>
      <c r="CL122" s="1107">
        <v>0</v>
      </c>
      <c r="CM122" s="1107">
        <v>0</v>
      </c>
      <c r="CN122" s="1107">
        <v>0</v>
      </c>
      <c r="CO122" s="1107">
        <v>0</v>
      </c>
      <c r="CP122" s="1107">
        <v>0</v>
      </c>
      <c r="CQ122" s="1107">
        <v>0</v>
      </c>
      <c r="CR122" s="1107">
        <v>0</v>
      </c>
      <c r="CS122" s="1107">
        <v>0</v>
      </c>
      <c r="CT122" s="1107">
        <v>0</v>
      </c>
      <c r="CU122" s="1107">
        <v>0</v>
      </c>
      <c r="CV122" s="1107">
        <v>0</v>
      </c>
      <c r="CW122" s="1107">
        <v>0</v>
      </c>
      <c r="CX122" s="1107">
        <v>0</v>
      </c>
      <c r="CY122" s="1107">
        <v>0</v>
      </c>
      <c r="CZ122" s="1107">
        <v>0</v>
      </c>
      <c r="DA122" s="1107">
        <v>0</v>
      </c>
      <c r="DB122" s="1107">
        <v>0</v>
      </c>
      <c r="DC122" s="1107">
        <v>0</v>
      </c>
      <c r="DD122" s="1107">
        <v>0</v>
      </c>
      <c r="DE122" s="1107">
        <v>0</v>
      </c>
      <c r="DF122" s="1107">
        <v>0</v>
      </c>
      <c r="DG122" s="1107">
        <v>0</v>
      </c>
      <c r="DH122" s="1107">
        <v>0</v>
      </c>
      <c r="DI122" s="1107">
        <v>0</v>
      </c>
      <c r="DJ122" s="1107">
        <v>0</v>
      </c>
      <c r="DK122" s="1107">
        <v>0</v>
      </c>
      <c r="DL122" s="1107">
        <v>0</v>
      </c>
      <c r="DM122" s="1107">
        <v>0</v>
      </c>
      <c r="DN122" s="1107">
        <v>0</v>
      </c>
      <c r="DO122" s="1107">
        <v>0</v>
      </c>
      <c r="DP122" s="1107">
        <v>0</v>
      </c>
      <c r="DQ122" s="1107">
        <v>0</v>
      </c>
      <c r="DR122" s="1107">
        <v>0</v>
      </c>
      <c r="DS122" s="1107">
        <v>0</v>
      </c>
      <c r="DT122" s="1107">
        <v>0</v>
      </c>
      <c r="DU122" s="1107">
        <v>0</v>
      </c>
      <c r="DV122" s="1107">
        <v>0</v>
      </c>
      <c r="DW122" s="1107">
        <v>0</v>
      </c>
      <c r="DX122" s="1107">
        <v>0</v>
      </c>
      <c r="DY122" s="1107">
        <v>0</v>
      </c>
      <c r="DZ122" s="1107">
        <v>0</v>
      </c>
      <c r="EA122" s="1107">
        <v>0</v>
      </c>
      <c r="EB122" s="1107">
        <v>0</v>
      </c>
      <c r="EC122" s="1107">
        <v>0</v>
      </c>
      <c r="ED122" s="1107">
        <v>0</v>
      </c>
      <c r="EE122" s="1107">
        <v>0</v>
      </c>
      <c r="EF122" s="1107">
        <v>0</v>
      </c>
      <c r="EG122" s="1107">
        <v>0</v>
      </c>
      <c r="EH122" s="1107">
        <v>0</v>
      </c>
      <c r="EI122" s="1107">
        <v>0</v>
      </c>
      <c r="EJ122" s="1107">
        <v>0</v>
      </c>
      <c r="EK122" s="1107">
        <v>0</v>
      </c>
      <c r="EL122" s="1107">
        <v>0</v>
      </c>
      <c r="EM122" s="1107">
        <v>0</v>
      </c>
      <c r="EN122" s="1107">
        <v>0</v>
      </c>
      <c r="EO122" s="1107">
        <v>0</v>
      </c>
      <c r="EP122" s="1107">
        <v>0</v>
      </c>
      <c r="EQ122" s="1107">
        <v>0</v>
      </c>
      <c r="ER122" s="1107">
        <v>0</v>
      </c>
      <c r="ES122" s="1107">
        <v>0</v>
      </c>
      <c r="ET122" s="1107">
        <v>0</v>
      </c>
      <c r="EU122" s="1107">
        <v>0</v>
      </c>
      <c r="EV122" s="1107">
        <v>0</v>
      </c>
      <c r="EW122" s="1107">
        <v>0</v>
      </c>
      <c r="EX122" s="1107">
        <v>0</v>
      </c>
      <c r="EY122" s="1107">
        <v>0</v>
      </c>
      <c r="EZ122" s="1107">
        <v>0</v>
      </c>
      <c r="FA122" s="1107">
        <v>0</v>
      </c>
      <c r="FB122" s="1107">
        <v>0</v>
      </c>
      <c r="FC122" s="1107">
        <v>0</v>
      </c>
      <c r="FD122" s="1107">
        <v>0</v>
      </c>
      <c r="FE122" s="1107">
        <v>0</v>
      </c>
      <c r="FF122" s="1107">
        <v>0</v>
      </c>
      <c r="FG122" s="1107">
        <v>0</v>
      </c>
      <c r="FH122" s="1107">
        <v>0</v>
      </c>
      <c r="FI122" s="1107">
        <v>0</v>
      </c>
      <c r="FJ122" s="1107">
        <v>0</v>
      </c>
      <c r="FK122" s="1107">
        <v>0</v>
      </c>
      <c r="FL122" s="1107">
        <v>0</v>
      </c>
      <c r="FM122" s="1107">
        <v>0</v>
      </c>
      <c r="FN122" s="1107">
        <v>0</v>
      </c>
      <c r="FO122" s="1107">
        <v>0</v>
      </c>
      <c r="FP122" s="1107">
        <v>0</v>
      </c>
      <c r="FQ122" s="1107">
        <v>0</v>
      </c>
      <c r="FR122" s="1107">
        <v>0</v>
      </c>
      <c r="FS122" s="1107">
        <v>0</v>
      </c>
      <c r="FT122" s="1107">
        <v>0</v>
      </c>
      <c r="FU122" s="1107">
        <v>0</v>
      </c>
      <c r="FV122" s="1107">
        <v>0</v>
      </c>
      <c r="FW122" s="1107">
        <v>0</v>
      </c>
      <c r="FX122" s="1107">
        <v>0</v>
      </c>
      <c r="FY122" s="1107">
        <v>0</v>
      </c>
      <c r="FZ122" s="1107">
        <v>0</v>
      </c>
      <c r="GA122" s="1107">
        <v>0</v>
      </c>
      <c r="GB122" s="1107">
        <v>0</v>
      </c>
      <c r="GC122" s="1107">
        <v>0</v>
      </c>
      <c r="GD122" s="1107">
        <v>0</v>
      </c>
      <c r="GE122" s="1107">
        <v>0</v>
      </c>
      <c r="GF122" s="1107">
        <v>0</v>
      </c>
      <c r="GG122" s="1107">
        <v>0</v>
      </c>
      <c r="GH122" s="1107">
        <v>0</v>
      </c>
      <c r="GI122" s="1107">
        <v>0</v>
      </c>
      <c r="GJ122" s="1107">
        <v>0</v>
      </c>
      <c r="GK122" s="1107">
        <v>0</v>
      </c>
      <c r="GL122" s="1107">
        <v>0</v>
      </c>
      <c r="GM122" s="1107">
        <v>0</v>
      </c>
      <c r="GN122" s="1107">
        <v>0</v>
      </c>
      <c r="GO122" s="1107">
        <v>0</v>
      </c>
      <c r="GP122" s="1107">
        <v>0</v>
      </c>
      <c r="GQ122" s="1107">
        <v>0</v>
      </c>
      <c r="GR122" s="1107">
        <v>0</v>
      </c>
      <c r="GS122" s="1107">
        <v>0</v>
      </c>
      <c r="GT122" s="1107">
        <v>0</v>
      </c>
      <c r="GU122" s="1107">
        <v>0</v>
      </c>
      <c r="GV122" s="1107">
        <v>0</v>
      </c>
      <c r="GW122" s="1107">
        <v>0</v>
      </c>
      <c r="GX122" s="1107">
        <v>0</v>
      </c>
      <c r="GY122" s="1107">
        <v>0</v>
      </c>
      <c r="GZ122" s="1107">
        <v>0</v>
      </c>
      <c r="HA122" s="1107">
        <v>0</v>
      </c>
      <c r="HB122" s="1107">
        <v>0</v>
      </c>
      <c r="HC122" s="1107">
        <v>0</v>
      </c>
      <c r="HD122" s="1107">
        <v>0</v>
      </c>
      <c r="HE122" s="1107">
        <v>0</v>
      </c>
      <c r="HF122" s="1" t="s">
        <v>212</v>
      </c>
      <c r="HH122" s="9" t="str">
        <f>B122</f>
        <v>Required Funding</v>
      </c>
      <c r="HI122" s="26"/>
      <c r="HJ122" s="26"/>
      <c r="HK122" s="26"/>
      <c r="HL122" s="132">
        <f t="shared" ref="HL122:HL123" si="865">SUM(HN122:HV122)</f>
        <v>30776</v>
      </c>
      <c r="HM122" s="26"/>
      <c r="HN122" s="133">
        <f>SUMIF($K$14:$GT$14,HN$14,$K122:$GT122)</f>
        <v>30776</v>
      </c>
      <c r="HO122" s="26">
        <f t="shared" ref="HO122:HV123" si="866">SUMIF($K$14:$GT$14,HO$14,$K122:$GT122)</f>
        <v>0</v>
      </c>
      <c r="HP122" s="26">
        <f t="shared" si="866"/>
        <v>0</v>
      </c>
      <c r="HQ122" s="26">
        <f t="shared" si="866"/>
        <v>0</v>
      </c>
      <c r="HR122" s="26">
        <f t="shared" si="866"/>
        <v>0</v>
      </c>
      <c r="HS122" s="26">
        <f t="shared" si="866"/>
        <v>0</v>
      </c>
      <c r="HT122" s="26">
        <f t="shared" si="866"/>
        <v>0</v>
      </c>
      <c r="HU122" s="26">
        <f t="shared" si="866"/>
        <v>0</v>
      </c>
      <c r="HV122" s="26">
        <f t="shared" si="866"/>
        <v>0</v>
      </c>
      <c r="HW122"/>
    </row>
    <row r="123" spans="2:231" ht="15" outlineLevel="1">
      <c r="B123" s="9" t="s">
        <v>122</v>
      </c>
      <c r="G123" s="942"/>
      <c r="H123" s="499"/>
      <c r="I123" s="26">
        <f>SUMIF($K$13:$GT$13,"&lt;="&amp;Assumptions!$L$17,'Monthly Cash Flow'!K123:GT123)</f>
        <v>13708</v>
      </c>
      <c r="J123" s="26"/>
      <c r="K123" s="133">
        <f>K118-K142-K180</f>
        <v>13708</v>
      </c>
      <c r="L123" s="1107">
        <v>0</v>
      </c>
      <c r="M123" s="1107">
        <v>0</v>
      </c>
      <c r="N123" s="1107">
        <v>0</v>
      </c>
      <c r="O123" s="1107">
        <v>0</v>
      </c>
      <c r="P123" s="1107">
        <v>0</v>
      </c>
      <c r="Q123" s="1107">
        <v>0</v>
      </c>
      <c r="R123" s="1107">
        <v>0</v>
      </c>
      <c r="S123" s="1107">
        <v>0</v>
      </c>
      <c r="T123" s="1107">
        <v>0</v>
      </c>
      <c r="U123" s="1107">
        <v>0</v>
      </c>
      <c r="V123" s="1107">
        <v>0</v>
      </c>
      <c r="W123" s="1107">
        <v>0</v>
      </c>
      <c r="X123" s="1107">
        <v>0</v>
      </c>
      <c r="Y123" s="1107">
        <v>0</v>
      </c>
      <c r="Z123" s="1107">
        <v>0</v>
      </c>
      <c r="AA123" s="1107">
        <v>0</v>
      </c>
      <c r="AB123" s="1107">
        <v>0</v>
      </c>
      <c r="AC123" s="1107">
        <v>0</v>
      </c>
      <c r="AD123" s="1107">
        <v>0</v>
      </c>
      <c r="AE123" s="1107">
        <v>0</v>
      </c>
      <c r="AF123" s="1107">
        <v>0</v>
      </c>
      <c r="AG123" s="1107">
        <v>0</v>
      </c>
      <c r="AH123" s="1107">
        <v>0</v>
      </c>
      <c r="AI123" s="1107">
        <v>0</v>
      </c>
      <c r="AJ123" s="1107">
        <v>0</v>
      </c>
      <c r="AK123" s="1107">
        <v>0</v>
      </c>
      <c r="AL123" s="1107">
        <v>0</v>
      </c>
      <c r="AM123" s="1107">
        <v>0</v>
      </c>
      <c r="AN123" s="1107">
        <v>0</v>
      </c>
      <c r="AO123" s="1107">
        <v>0</v>
      </c>
      <c r="AP123" s="1107">
        <v>0</v>
      </c>
      <c r="AQ123" s="1107">
        <v>0</v>
      </c>
      <c r="AR123" s="1107">
        <v>0</v>
      </c>
      <c r="AS123" s="1107">
        <v>0</v>
      </c>
      <c r="AT123" s="1107">
        <v>0</v>
      </c>
      <c r="AU123" s="1107">
        <v>0</v>
      </c>
      <c r="AV123" s="1107">
        <v>0</v>
      </c>
      <c r="AW123" s="1107">
        <v>0</v>
      </c>
      <c r="AX123" s="1107">
        <v>0</v>
      </c>
      <c r="AY123" s="1107">
        <v>0</v>
      </c>
      <c r="AZ123" s="1107">
        <v>0</v>
      </c>
      <c r="BA123" s="1107">
        <v>0</v>
      </c>
      <c r="BB123" s="1107">
        <v>0</v>
      </c>
      <c r="BC123" s="1107">
        <v>0</v>
      </c>
      <c r="BD123" s="1107">
        <v>0</v>
      </c>
      <c r="BE123" s="1107">
        <v>0</v>
      </c>
      <c r="BF123" s="1107">
        <v>0</v>
      </c>
      <c r="BG123" s="1107">
        <v>0</v>
      </c>
      <c r="BH123" s="1107">
        <v>0</v>
      </c>
      <c r="BI123" s="1107">
        <v>0</v>
      </c>
      <c r="BJ123" s="1107">
        <v>0</v>
      </c>
      <c r="BK123" s="1107">
        <v>0</v>
      </c>
      <c r="BL123" s="1107">
        <v>0</v>
      </c>
      <c r="BM123" s="1107">
        <v>0</v>
      </c>
      <c r="BN123" s="1107">
        <v>0</v>
      </c>
      <c r="BO123" s="1107">
        <v>0</v>
      </c>
      <c r="BP123" s="1107">
        <v>0</v>
      </c>
      <c r="BQ123" s="1107">
        <v>0</v>
      </c>
      <c r="BR123" s="1107">
        <v>0</v>
      </c>
      <c r="BS123" s="1107">
        <v>0</v>
      </c>
      <c r="BT123" s="1107">
        <v>0</v>
      </c>
      <c r="BU123" s="1107">
        <v>0</v>
      </c>
      <c r="BV123" s="1107">
        <v>0</v>
      </c>
      <c r="BW123" s="1107">
        <v>0</v>
      </c>
      <c r="BX123" s="1107">
        <v>0</v>
      </c>
      <c r="BY123" s="1107">
        <v>0</v>
      </c>
      <c r="BZ123" s="1107">
        <v>0</v>
      </c>
      <c r="CA123" s="1107">
        <v>0</v>
      </c>
      <c r="CB123" s="1107">
        <v>0</v>
      </c>
      <c r="CC123" s="1107">
        <v>0</v>
      </c>
      <c r="CD123" s="1107">
        <v>0</v>
      </c>
      <c r="CE123" s="1107">
        <v>0</v>
      </c>
      <c r="CF123" s="1107">
        <v>0</v>
      </c>
      <c r="CG123" s="1107">
        <v>0</v>
      </c>
      <c r="CH123" s="1107">
        <v>0</v>
      </c>
      <c r="CI123" s="1107">
        <v>0</v>
      </c>
      <c r="CJ123" s="1107">
        <v>0</v>
      </c>
      <c r="CK123" s="1107">
        <v>0</v>
      </c>
      <c r="CL123" s="1107">
        <v>0</v>
      </c>
      <c r="CM123" s="1107">
        <v>0</v>
      </c>
      <c r="CN123" s="1107">
        <v>0</v>
      </c>
      <c r="CO123" s="1107">
        <v>0</v>
      </c>
      <c r="CP123" s="1107">
        <v>0</v>
      </c>
      <c r="CQ123" s="1107">
        <v>0</v>
      </c>
      <c r="CR123" s="1107">
        <v>0</v>
      </c>
      <c r="CS123" s="1107">
        <v>0</v>
      </c>
      <c r="CT123" s="1107">
        <v>0</v>
      </c>
      <c r="CU123" s="1107">
        <v>0</v>
      </c>
      <c r="CV123" s="1107">
        <v>0</v>
      </c>
      <c r="CW123" s="1107">
        <v>0</v>
      </c>
      <c r="CX123" s="1107">
        <v>0</v>
      </c>
      <c r="CY123" s="1107">
        <v>0</v>
      </c>
      <c r="CZ123" s="1107">
        <v>0</v>
      </c>
      <c r="DA123" s="1107">
        <v>0</v>
      </c>
      <c r="DB123" s="1107">
        <v>0</v>
      </c>
      <c r="DC123" s="1107">
        <v>0</v>
      </c>
      <c r="DD123" s="1107">
        <v>0</v>
      </c>
      <c r="DE123" s="1107">
        <v>0</v>
      </c>
      <c r="DF123" s="1107">
        <v>0</v>
      </c>
      <c r="DG123" s="1107">
        <v>0</v>
      </c>
      <c r="DH123" s="1107">
        <v>0</v>
      </c>
      <c r="DI123" s="1107">
        <v>0</v>
      </c>
      <c r="DJ123" s="1107">
        <v>0</v>
      </c>
      <c r="DK123" s="1107">
        <v>0</v>
      </c>
      <c r="DL123" s="1107">
        <v>0</v>
      </c>
      <c r="DM123" s="1107">
        <v>0</v>
      </c>
      <c r="DN123" s="1107">
        <v>0</v>
      </c>
      <c r="DO123" s="1107">
        <v>0</v>
      </c>
      <c r="DP123" s="1107">
        <v>0</v>
      </c>
      <c r="DQ123" s="1107">
        <v>0</v>
      </c>
      <c r="DR123" s="1107">
        <v>0</v>
      </c>
      <c r="DS123" s="1107">
        <v>0</v>
      </c>
      <c r="DT123" s="1107">
        <v>0</v>
      </c>
      <c r="DU123" s="1107">
        <v>0</v>
      </c>
      <c r="DV123" s="1107">
        <v>0</v>
      </c>
      <c r="DW123" s="1107">
        <v>0</v>
      </c>
      <c r="DX123" s="1107">
        <v>0</v>
      </c>
      <c r="DY123" s="1107">
        <v>0</v>
      </c>
      <c r="DZ123" s="1107">
        <v>0</v>
      </c>
      <c r="EA123" s="1107">
        <v>0</v>
      </c>
      <c r="EB123" s="1107">
        <v>0</v>
      </c>
      <c r="EC123" s="1107">
        <v>0</v>
      </c>
      <c r="ED123" s="1107">
        <v>0</v>
      </c>
      <c r="EE123" s="1107">
        <v>0</v>
      </c>
      <c r="EF123" s="1107">
        <v>0</v>
      </c>
      <c r="EG123" s="1107">
        <v>0</v>
      </c>
      <c r="EH123" s="1107">
        <v>0</v>
      </c>
      <c r="EI123" s="1107">
        <v>0</v>
      </c>
      <c r="EJ123" s="1107">
        <v>0</v>
      </c>
      <c r="EK123" s="1107">
        <v>0</v>
      </c>
      <c r="EL123" s="1107">
        <v>0</v>
      </c>
      <c r="EM123" s="1107">
        <v>0</v>
      </c>
      <c r="EN123" s="1107">
        <v>0</v>
      </c>
      <c r="EO123" s="1107">
        <v>0</v>
      </c>
      <c r="EP123" s="1107">
        <v>0</v>
      </c>
      <c r="EQ123" s="1107">
        <v>0</v>
      </c>
      <c r="ER123" s="1107">
        <v>0</v>
      </c>
      <c r="ES123" s="1107">
        <v>0</v>
      </c>
      <c r="ET123" s="1107">
        <v>0</v>
      </c>
      <c r="EU123" s="1107">
        <v>0</v>
      </c>
      <c r="EV123" s="1107">
        <v>0</v>
      </c>
      <c r="EW123" s="1107">
        <v>0</v>
      </c>
      <c r="EX123" s="1107">
        <v>0</v>
      </c>
      <c r="EY123" s="1107">
        <v>0</v>
      </c>
      <c r="EZ123" s="1107">
        <v>0</v>
      </c>
      <c r="FA123" s="1107">
        <v>0</v>
      </c>
      <c r="FB123" s="1107">
        <v>0</v>
      </c>
      <c r="FC123" s="1107">
        <v>0</v>
      </c>
      <c r="FD123" s="1107">
        <v>0</v>
      </c>
      <c r="FE123" s="1107">
        <v>0</v>
      </c>
      <c r="FF123" s="1107">
        <v>0</v>
      </c>
      <c r="FG123" s="1107">
        <v>0</v>
      </c>
      <c r="FH123" s="1107">
        <v>0</v>
      </c>
      <c r="FI123" s="1107">
        <v>0</v>
      </c>
      <c r="FJ123" s="1107">
        <v>0</v>
      </c>
      <c r="FK123" s="1107">
        <v>0</v>
      </c>
      <c r="FL123" s="1107">
        <v>0</v>
      </c>
      <c r="FM123" s="1107">
        <v>0</v>
      </c>
      <c r="FN123" s="1107">
        <v>0</v>
      </c>
      <c r="FO123" s="1107">
        <v>0</v>
      </c>
      <c r="FP123" s="1107">
        <v>0</v>
      </c>
      <c r="FQ123" s="1107">
        <v>0</v>
      </c>
      <c r="FR123" s="1107">
        <v>0</v>
      </c>
      <c r="FS123" s="1107">
        <v>0</v>
      </c>
      <c r="FT123" s="1107">
        <v>0</v>
      </c>
      <c r="FU123" s="1107">
        <v>0</v>
      </c>
      <c r="FV123" s="1107">
        <v>0</v>
      </c>
      <c r="FW123" s="1107">
        <v>0</v>
      </c>
      <c r="FX123" s="1107">
        <v>0</v>
      </c>
      <c r="FY123" s="1107">
        <v>0</v>
      </c>
      <c r="FZ123" s="1107">
        <v>0</v>
      </c>
      <c r="GA123" s="1107">
        <v>0</v>
      </c>
      <c r="GB123" s="1107">
        <v>0</v>
      </c>
      <c r="GC123" s="1107">
        <v>0</v>
      </c>
      <c r="GD123" s="1107">
        <v>0</v>
      </c>
      <c r="GE123" s="1107">
        <v>0</v>
      </c>
      <c r="GF123" s="1107">
        <v>0</v>
      </c>
      <c r="GG123" s="1107">
        <v>0</v>
      </c>
      <c r="GH123" s="1107">
        <v>0</v>
      </c>
      <c r="GI123" s="1107">
        <v>0</v>
      </c>
      <c r="GJ123" s="1107">
        <v>0</v>
      </c>
      <c r="GK123" s="1107">
        <v>0</v>
      </c>
      <c r="GL123" s="1107">
        <v>0</v>
      </c>
      <c r="GM123" s="1107">
        <v>0</v>
      </c>
      <c r="GN123" s="1107">
        <v>0</v>
      </c>
      <c r="GO123" s="1107">
        <v>0</v>
      </c>
      <c r="GP123" s="1107">
        <v>0</v>
      </c>
      <c r="GQ123" s="1107">
        <v>0</v>
      </c>
      <c r="GR123" s="1107">
        <v>0</v>
      </c>
      <c r="GS123" s="1107">
        <v>0</v>
      </c>
      <c r="GT123" s="1107">
        <v>0</v>
      </c>
      <c r="GU123" s="1107">
        <v>0</v>
      </c>
      <c r="GV123" s="1107">
        <v>0</v>
      </c>
      <c r="GW123" s="1107">
        <v>0</v>
      </c>
      <c r="GX123" s="1107">
        <v>0</v>
      </c>
      <c r="GY123" s="1107">
        <v>0</v>
      </c>
      <c r="GZ123" s="1107">
        <v>0</v>
      </c>
      <c r="HA123" s="1107">
        <v>0</v>
      </c>
      <c r="HB123" s="1107">
        <v>0</v>
      </c>
      <c r="HC123" s="1107">
        <v>0</v>
      </c>
      <c r="HD123" s="1107">
        <v>0</v>
      </c>
      <c r="HE123" s="1107">
        <v>0</v>
      </c>
      <c r="HF123" s="1" t="s">
        <v>212</v>
      </c>
      <c r="HH123" s="43" t="str">
        <f>B123</f>
        <v>Equity Draws</v>
      </c>
      <c r="HI123" s="120"/>
      <c r="HJ123" s="120"/>
      <c r="HK123" s="120"/>
      <c r="HL123" s="119">
        <f t="shared" si="865"/>
        <v>13708</v>
      </c>
      <c r="HM123" s="120"/>
      <c r="HN123" s="140">
        <f>SUMIF($K$14:$GT$14,HN$14,$K123:$GT123)</f>
        <v>13708</v>
      </c>
      <c r="HO123" s="120">
        <f t="shared" si="866"/>
        <v>0</v>
      </c>
      <c r="HP123" s="120">
        <f t="shared" si="866"/>
        <v>0</v>
      </c>
      <c r="HQ123" s="120">
        <f t="shared" si="866"/>
        <v>0</v>
      </c>
      <c r="HR123" s="120">
        <f t="shared" si="866"/>
        <v>0</v>
      </c>
      <c r="HS123" s="120">
        <f t="shared" si="866"/>
        <v>0</v>
      </c>
      <c r="HT123" s="120">
        <f t="shared" si="866"/>
        <v>0</v>
      </c>
      <c r="HU123" s="120">
        <f t="shared" si="866"/>
        <v>0</v>
      </c>
      <c r="HV123" s="120">
        <f t="shared" si="866"/>
        <v>0</v>
      </c>
      <c r="HW123"/>
    </row>
    <row r="124" spans="2:231" ht="15" outlineLevel="1">
      <c r="B124" s="1533" t="s">
        <v>1007</v>
      </c>
      <c r="C124" s="1409"/>
      <c r="D124" s="1409"/>
      <c r="E124" s="1409"/>
      <c r="F124" s="1409"/>
      <c r="G124" s="1534"/>
      <c r="H124" s="1535"/>
      <c r="I124" s="1536">
        <f>SUMIF($K$13:$GT$13,"&lt;="&amp;Assumptions!$L$17,'Monthly Cash Flow'!K124:GT124)</f>
        <v>2174.232</v>
      </c>
      <c r="J124" s="26"/>
      <c r="K124" s="947">
        <v>0</v>
      </c>
      <c r="L124" s="589"/>
      <c r="M124" s="589"/>
      <c r="N124" s="589"/>
      <c r="O124" s="589"/>
      <c r="P124" s="1109">
        <f>'Chapman Capital Call Log'!$E$7/1000</f>
        <v>150.82499999999999</v>
      </c>
      <c r="Q124" s="589"/>
      <c r="R124" s="589"/>
      <c r="S124" s="589"/>
      <c r="T124" s="589"/>
      <c r="U124" s="589"/>
      <c r="V124" s="589"/>
      <c r="W124" s="589"/>
      <c r="X124" s="1109">
        <f>'Chapman Capital Call Log'!$E$8/1000</f>
        <v>79.174999999999997</v>
      </c>
      <c r="Y124" s="589"/>
      <c r="Z124" s="589"/>
      <c r="AA124" s="589"/>
      <c r="AB124" s="589"/>
      <c r="AC124" s="589"/>
      <c r="AD124" s="589"/>
      <c r="AE124" s="589"/>
      <c r="AF124" s="589"/>
      <c r="AG124" s="1109">
        <f>'Chapman Capital Call Log'!$E$9/1000</f>
        <v>310</v>
      </c>
      <c r="AH124" s="589"/>
      <c r="AI124" s="589"/>
      <c r="AJ124" s="589"/>
      <c r="AK124" s="589"/>
      <c r="AL124" s="589"/>
      <c r="AM124" s="589"/>
      <c r="AN124" s="589"/>
      <c r="AO124" s="589"/>
      <c r="AP124" s="589"/>
      <c r="AQ124" s="589"/>
      <c r="AR124" s="589"/>
      <c r="AS124" s="589"/>
      <c r="AT124" s="589"/>
      <c r="AU124" s="589"/>
      <c r="AV124" s="589"/>
      <c r="AW124" s="589"/>
      <c r="AX124" s="589"/>
      <c r="AY124" s="589"/>
      <c r="AZ124" s="589"/>
      <c r="BA124" s="1109">
        <f>'Chapman Capital Call Log'!$E$10/1000</f>
        <v>141.08000000000001</v>
      </c>
      <c r="BB124" s="589"/>
      <c r="BC124" s="1109">
        <f>'Chapman Capital Call Log'!$E$11/1000</f>
        <v>248.2</v>
      </c>
      <c r="BD124" s="1109">
        <f>('Chapman Capital Call Log'!$E$12+'Chapman Capital Call Log'!$E$13)/1000</f>
        <v>320</v>
      </c>
      <c r="BE124" s="589"/>
      <c r="BF124" s="589"/>
      <c r="BG124" s="1109">
        <f>'Chapman Capital Call Log'!$E$14/1000</f>
        <v>617</v>
      </c>
      <c r="BH124" s="589"/>
      <c r="BI124" s="589"/>
      <c r="BJ124" s="589"/>
      <c r="BK124" s="589"/>
      <c r="BL124" s="589"/>
      <c r="BM124" s="589"/>
      <c r="BN124" s="589">
        <f>219452/1000</f>
        <v>219.452</v>
      </c>
      <c r="BO124" s="589"/>
      <c r="BP124" s="589"/>
      <c r="BQ124" s="589"/>
      <c r="BR124" s="589">
        <f>88500/1000</f>
        <v>88.5</v>
      </c>
      <c r="BS124" s="589"/>
      <c r="BT124" s="589"/>
      <c r="BU124" s="589"/>
      <c r="BV124" s="589"/>
      <c r="BW124" s="589"/>
      <c r="BX124" s="589"/>
      <c r="BY124" s="589"/>
      <c r="BZ124" s="589"/>
      <c r="CA124" s="589"/>
      <c r="CB124" s="589"/>
      <c r="CC124" s="589"/>
      <c r="CD124" s="589"/>
      <c r="CE124" s="589"/>
      <c r="CF124" s="589"/>
      <c r="CG124" s="589"/>
      <c r="CH124" s="589"/>
      <c r="CI124" s="589"/>
      <c r="CJ124" s="589"/>
      <c r="CK124" s="589"/>
      <c r="CL124" s="589"/>
      <c r="CM124" s="589"/>
      <c r="CN124" s="589"/>
      <c r="CO124" s="589"/>
      <c r="CP124" s="589"/>
      <c r="CQ124" s="589"/>
      <c r="CR124" s="589"/>
      <c r="CS124" s="589"/>
      <c r="CT124" s="589"/>
      <c r="CU124" s="589"/>
      <c r="CV124" s="589"/>
      <c r="CW124" s="589"/>
      <c r="CX124" s="589"/>
      <c r="CY124" s="589"/>
      <c r="CZ124" s="589"/>
      <c r="DA124" s="589"/>
      <c r="DB124" s="589"/>
      <c r="DC124" s="589"/>
      <c r="DD124" s="589"/>
      <c r="DE124" s="589"/>
      <c r="DF124" s="589"/>
      <c r="DG124" s="589"/>
      <c r="DH124" s="589"/>
      <c r="DI124" s="589"/>
      <c r="DJ124" s="589"/>
      <c r="DK124" s="589"/>
      <c r="DL124" s="589"/>
      <c r="DM124" s="589"/>
      <c r="DN124" s="589"/>
      <c r="DO124" s="589"/>
      <c r="DP124" s="589"/>
      <c r="DQ124" s="589"/>
      <c r="DR124" s="589"/>
      <c r="DS124" s="589"/>
      <c r="DT124" s="589"/>
      <c r="DU124" s="589"/>
      <c r="DV124" s="589"/>
      <c r="DW124" s="589"/>
      <c r="DX124" s="589"/>
      <c r="DY124" s="589"/>
      <c r="DZ124" s="589"/>
      <c r="EA124" s="589"/>
      <c r="EB124" s="589"/>
      <c r="EC124" s="589"/>
      <c r="ED124" s="589"/>
      <c r="EE124" s="589"/>
      <c r="EF124" s="589"/>
      <c r="EG124" s="589"/>
      <c r="EH124" s="589"/>
      <c r="EI124" s="589"/>
      <c r="EJ124" s="589"/>
      <c r="EK124" s="589"/>
      <c r="EL124" s="589"/>
      <c r="EM124" s="589"/>
      <c r="EN124" s="589"/>
      <c r="EO124" s="589"/>
      <c r="EP124" s="589"/>
      <c r="EQ124" s="589"/>
      <c r="ER124" s="589"/>
      <c r="ES124" s="589"/>
      <c r="ET124" s="589"/>
      <c r="EU124" s="589"/>
      <c r="EV124" s="589"/>
      <c r="EW124" s="589"/>
      <c r="EX124" s="589"/>
      <c r="EY124" s="589"/>
      <c r="EZ124" s="589"/>
      <c r="FA124" s="589"/>
      <c r="FB124" s="589"/>
      <c r="FC124" s="589"/>
      <c r="FD124" s="589"/>
      <c r="FE124" s="589"/>
      <c r="FF124" s="589"/>
      <c r="FG124" s="589"/>
      <c r="FH124" s="589"/>
      <c r="FI124" s="589"/>
      <c r="FJ124" s="589"/>
      <c r="FK124" s="589"/>
      <c r="FL124" s="589"/>
      <c r="FM124" s="589"/>
      <c r="FN124" s="589"/>
      <c r="FO124" s="589"/>
      <c r="FP124" s="589"/>
      <c r="FQ124" s="589"/>
      <c r="FR124" s="589"/>
      <c r="FS124" s="589"/>
      <c r="FT124" s="589"/>
      <c r="FU124" s="589"/>
      <c r="FV124" s="589"/>
      <c r="FW124" s="589"/>
      <c r="FX124" s="589"/>
      <c r="FY124" s="589"/>
      <c r="FZ124" s="589"/>
      <c r="GA124" s="589"/>
      <c r="GB124" s="589"/>
      <c r="GC124" s="589"/>
      <c r="GD124" s="589"/>
      <c r="GE124" s="589"/>
      <c r="GF124" s="589"/>
      <c r="GG124" s="589"/>
      <c r="GH124" s="589"/>
      <c r="GI124" s="589"/>
      <c r="GJ124" s="589"/>
      <c r="GK124" s="589"/>
      <c r="GL124" s="589"/>
      <c r="GM124" s="589"/>
      <c r="GN124" s="589"/>
      <c r="GO124" s="589"/>
      <c r="GP124" s="589"/>
      <c r="GQ124" s="589"/>
      <c r="GR124" s="589"/>
      <c r="GS124" s="589"/>
      <c r="GT124" s="589"/>
      <c r="GU124" s="589"/>
      <c r="GV124" s="589"/>
      <c r="GW124" s="589"/>
      <c r="GX124" s="589"/>
      <c r="GY124" s="589"/>
      <c r="GZ124" s="589"/>
      <c r="HA124" s="589"/>
      <c r="HB124" s="589"/>
      <c r="HC124" s="589"/>
      <c r="HD124" s="589"/>
      <c r="HE124" s="589"/>
      <c r="HF124" s="1" t="s">
        <v>212</v>
      </c>
      <c r="HH124" s="43"/>
      <c r="HI124" s="26"/>
      <c r="HJ124" s="26"/>
      <c r="HK124" s="26"/>
      <c r="HL124" s="132"/>
      <c r="HM124" s="26"/>
      <c r="HN124" s="133"/>
      <c r="HO124" s="26"/>
      <c r="HP124" s="26"/>
      <c r="HQ124" s="26"/>
      <c r="HR124" s="26"/>
      <c r="HS124" s="26"/>
      <c r="HT124" s="26"/>
      <c r="HU124" s="26"/>
      <c r="HV124" s="26"/>
      <c r="HW124"/>
    </row>
    <row r="125" spans="2:231" ht="15" outlineLevel="1">
      <c r="B125" s="9"/>
      <c r="G125" s="942"/>
      <c r="H125" s="499"/>
      <c r="I125" s="132"/>
      <c r="J125" s="26"/>
      <c r="K125" s="133"/>
      <c r="L125" s="531"/>
      <c r="M125" s="531"/>
      <c r="N125" s="531"/>
      <c r="O125" s="531"/>
      <c r="P125" s="531"/>
      <c r="Q125" s="531"/>
      <c r="R125" s="531"/>
      <c r="S125" s="531"/>
      <c r="T125" s="531"/>
      <c r="U125" s="531"/>
      <c r="V125" s="531"/>
      <c r="W125" s="531"/>
      <c r="X125" s="531"/>
      <c r="Y125" s="531"/>
      <c r="Z125" s="531"/>
      <c r="AA125" s="531"/>
      <c r="AB125" s="531"/>
      <c r="AC125" s="531"/>
      <c r="AD125" s="531"/>
      <c r="AE125" s="531"/>
      <c r="AF125" s="531"/>
      <c r="AG125" s="531"/>
      <c r="AH125" s="531"/>
      <c r="AI125" s="531"/>
      <c r="AJ125" s="531"/>
      <c r="AK125" s="531"/>
      <c r="AL125" s="531"/>
      <c r="AM125" s="531"/>
      <c r="AN125" s="531"/>
      <c r="AO125" s="531"/>
      <c r="AP125" s="531"/>
      <c r="AQ125" s="531"/>
      <c r="AR125" s="531"/>
      <c r="AS125" s="531"/>
      <c r="AT125" s="531"/>
      <c r="AU125" s="531"/>
      <c r="AV125" s="531"/>
      <c r="AW125" s="531"/>
      <c r="AX125" s="531"/>
      <c r="AY125" s="531"/>
      <c r="AZ125" s="531"/>
      <c r="BA125" s="531"/>
      <c r="BB125" s="531"/>
      <c r="BC125" s="531"/>
      <c r="BD125" s="531"/>
      <c r="BE125" s="531"/>
      <c r="BF125" s="531"/>
      <c r="BG125" s="531"/>
      <c r="BH125" s="531"/>
      <c r="BI125" s="531"/>
      <c r="BJ125" s="531"/>
      <c r="BK125" s="531"/>
      <c r="BL125" s="531"/>
      <c r="BM125" s="531"/>
      <c r="BN125" s="531"/>
      <c r="BO125" s="531"/>
      <c r="BP125" s="531"/>
      <c r="BQ125" s="531"/>
      <c r="BR125" s="531"/>
      <c r="BS125" s="531"/>
      <c r="BT125" s="531"/>
      <c r="BU125" s="531"/>
      <c r="BV125" s="531"/>
      <c r="BW125" s="531"/>
      <c r="BX125" s="531"/>
      <c r="BY125" s="531"/>
      <c r="BZ125" s="531"/>
      <c r="CA125" s="531"/>
      <c r="CB125" s="531"/>
      <c r="CC125" s="531"/>
      <c r="CD125" s="531"/>
      <c r="CE125" s="531"/>
      <c r="CF125" s="531"/>
      <c r="CG125" s="531"/>
      <c r="CH125" s="531"/>
      <c r="CI125" s="531"/>
      <c r="CJ125" s="531"/>
      <c r="CK125" s="531"/>
      <c r="CL125" s="531"/>
      <c r="CM125" s="531"/>
      <c r="CN125" s="531"/>
      <c r="CO125" s="531"/>
      <c r="CP125" s="531"/>
      <c r="CQ125" s="531"/>
      <c r="CR125" s="531"/>
      <c r="CS125" s="531"/>
      <c r="CT125" s="531"/>
      <c r="CU125" s="531"/>
      <c r="CV125" s="531"/>
      <c r="CW125" s="531"/>
      <c r="CX125" s="531"/>
      <c r="CY125" s="531"/>
      <c r="CZ125" s="531"/>
      <c r="DA125" s="531"/>
      <c r="DB125" s="531"/>
      <c r="DC125" s="531"/>
      <c r="DD125" s="531"/>
      <c r="DE125" s="531"/>
      <c r="DF125" s="531"/>
      <c r="DG125" s="531"/>
      <c r="DH125" s="531"/>
      <c r="DI125" s="531"/>
      <c r="DJ125" s="531"/>
      <c r="DK125" s="531"/>
      <c r="DL125" s="531"/>
      <c r="DM125" s="531"/>
      <c r="DN125" s="531"/>
      <c r="DO125" s="531"/>
      <c r="DP125" s="531"/>
      <c r="DQ125" s="531"/>
      <c r="DR125" s="531"/>
      <c r="DS125" s="531"/>
      <c r="DT125" s="531"/>
      <c r="DU125" s="531"/>
      <c r="DV125" s="531"/>
      <c r="DW125" s="531"/>
      <c r="DX125" s="531"/>
      <c r="DY125" s="531"/>
      <c r="DZ125" s="531"/>
      <c r="EA125" s="531"/>
      <c r="EB125" s="531"/>
      <c r="EC125" s="531"/>
      <c r="ED125" s="531"/>
      <c r="EE125" s="531"/>
      <c r="EF125" s="531"/>
      <c r="EG125" s="531"/>
      <c r="EH125" s="531"/>
      <c r="EI125" s="531"/>
      <c r="EJ125" s="531"/>
      <c r="EK125" s="531"/>
      <c r="EL125" s="531"/>
      <c r="EM125" s="531"/>
      <c r="EN125" s="531"/>
      <c r="EO125" s="531"/>
      <c r="EP125" s="531"/>
      <c r="EQ125" s="531"/>
      <c r="ER125" s="531"/>
      <c r="ES125" s="531"/>
      <c r="ET125" s="531"/>
      <c r="EU125" s="531"/>
      <c r="EV125" s="531"/>
      <c r="EW125" s="531"/>
      <c r="EX125" s="531"/>
      <c r="EY125" s="531"/>
      <c r="EZ125" s="531"/>
      <c r="FA125" s="531"/>
      <c r="FB125" s="531"/>
      <c r="FC125" s="531"/>
      <c r="FD125" s="531"/>
      <c r="FE125" s="531"/>
      <c r="FF125" s="531"/>
      <c r="FG125" s="531"/>
      <c r="FH125" s="531"/>
      <c r="FI125" s="531"/>
      <c r="FJ125" s="531"/>
      <c r="FK125" s="531"/>
      <c r="FL125" s="531"/>
      <c r="FM125" s="531"/>
      <c r="FN125" s="531"/>
      <c r="FO125" s="531"/>
      <c r="FP125" s="531"/>
      <c r="FQ125" s="531"/>
      <c r="FR125" s="531"/>
      <c r="FS125" s="531"/>
      <c r="FT125" s="531"/>
      <c r="FU125" s="531"/>
      <c r="FV125" s="531"/>
      <c r="FW125" s="531"/>
      <c r="FX125" s="531"/>
      <c r="FY125" s="531"/>
      <c r="FZ125" s="531"/>
      <c r="GA125" s="531"/>
      <c r="GB125" s="531"/>
      <c r="GC125" s="531"/>
      <c r="GD125" s="531"/>
      <c r="GE125" s="531"/>
      <c r="GF125" s="531"/>
      <c r="GG125" s="531"/>
      <c r="GH125" s="531"/>
      <c r="GI125" s="531"/>
      <c r="GJ125" s="531"/>
      <c r="GK125" s="531"/>
      <c r="GL125" s="531"/>
      <c r="GM125" s="531"/>
      <c r="GN125" s="531"/>
      <c r="GO125" s="531"/>
      <c r="GP125" s="531"/>
      <c r="GQ125" s="531"/>
      <c r="GR125" s="531"/>
      <c r="GS125" s="531"/>
      <c r="GT125" s="531"/>
      <c r="GU125" s="531"/>
      <c r="GV125" s="531"/>
      <c r="GW125" s="531"/>
      <c r="GX125" s="531"/>
      <c r="GY125" s="531"/>
      <c r="GZ125" s="531"/>
      <c r="HA125" s="531"/>
      <c r="HB125" s="531"/>
      <c r="HC125" s="531"/>
      <c r="HD125" s="531"/>
      <c r="HE125" s="531"/>
      <c r="HF125" s="1" t="s">
        <v>212</v>
      </c>
      <c r="HH125" s="43"/>
      <c r="HI125" s="26"/>
      <c r="HJ125" s="26"/>
      <c r="HK125" s="26"/>
      <c r="HL125" s="132"/>
      <c r="HM125" s="26"/>
      <c r="HN125" s="133"/>
      <c r="HO125" s="26"/>
      <c r="HP125" s="26"/>
      <c r="HQ125" s="26"/>
      <c r="HR125" s="26"/>
      <c r="HS125" s="26"/>
      <c r="HT125" s="26"/>
      <c r="HU125" s="26"/>
      <c r="HV125" s="26"/>
      <c r="HW125"/>
    </row>
    <row r="126" spans="2:231" ht="15" outlineLevel="2">
      <c r="B126" s="941" t="s">
        <v>1008</v>
      </c>
      <c r="C126" s="943"/>
      <c r="D126" s="943"/>
      <c r="E126" s="943"/>
      <c r="F126" s="943"/>
      <c r="G126" s="944"/>
      <c r="H126" s="945"/>
      <c r="I126" s="946"/>
      <c r="J126" s="26"/>
      <c r="K126" s="133"/>
      <c r="L126" s="539">
        <v>0</v>
      </c>
      <c r="M126" s="539">
        <f t="shared" ref="M126:BX126" ca="1" si="867">L128</f>
        <v>0</v>
      </c>
      <c r="N126" s="539">
        <f t="shared" ca="1" si="867"/>
        <v>0</v>
      </c>
      <c r="O126" s="539">
        <f t="shared" ca="1" si="867"/>
        <v>0</v>
      </c>
      <c r="P126" s="539">
        <f t="shared" ca="1" si="867"/>
        <v>0</v>
      </c>
      <c r="Q126" s="539">
        <f t="shared" ca="1" si="867"/>
        <v>0</v>
      </c>
      <c r="R126" s="539">
        <f t="shared" ca="1" si="867"/>
        <v>0</v>
      </c>
      <c r="S126" s="539">
        <f t="shared" ca="1" si="867"/>
        <v>0</v>
      </c>
      <c r="T126" s="539">
        <f t="shared" ca="1" si="867"/>
        <v>41.945560000000029</v>
      </c>
      <c r="U126" s="539">
        <f t="shared" ca="1" si="867"/>
        <v>41.945560000000029</v>
      </c>
      <c r="V126" s="539">
        <f t="shared" ca="1" si="867"/>
        <v>96.229090000000028</v>
      </c>
      <c r="W126" s="539">
        <f t="shared" ca="1" si="867"/>
        <v>229.29761000000002</v>
      </c>
      <c r="X126" s="539">
        <f t="shared" ca="1" si="867"/>
        <v>229.29761000000002</v>
      </c>
      <c r="Y126" s="539">
        <f t="shared" ca="1" si="867"/>
        <v>229.29761000000002</v>
      </c>
      <c r="Z126" s="539">
        <f t="shared" ca="1" si="867"/>
        <v>229.29761000000002</v>
      </c>
      <c r="AA126" s="539">
        <f t="shared" ca="1" si="867"/>
        <v>229.29761000000002</v>
      </c>
      <c r="AB126" s="539">
        <f t="shared" ca="1" si="867"/>
        <v>234.61794000000003</v>
      </c>
      <c r="AC126" s="539">
        <f t="shared" ca="1" si="867"/>
        <v>234.61794000000003</v>
      </c>
      <c r="AD126" s="539">
        <f t="shared" ca="1" si="867"/>
        <v>234.61794000000003</v>
      </c>
      <c r="AE126" s="539">
        <f t="shared" ca="1" si="867"/>
        <v>234.61794000000003</v>
      </c>
      <c r="AF126" s="539">
        <f t="shared" ca="1" si="867"/>
        <v>234.61794000000003</v>
      </c>
      <c r="AG126" s="539">
        <f t="shared" ca="1" si="867"/>
        <v>234.61794000000003</v>
      </c>
      <c r="AH126" s="539">
        <f t="shared" ca="1" si="867"/>
        <v>234.61794000000003</v>
      </c>
      <c r="AI126" s="539">
        <f t="shared" ca="1" si="867"/>
        <v>234.61794000000003</v>
      </c>
      <c r="AJ126" s="539">
        <f t="shared" ca="1" si="867"/>
        <v>234.61794000000003</v>
      </c>
      <c r="AK126" s="539">
        <f t="shared" ca="1" si="867"/>
        <v>234.61794000000003</v>
      </c>
      <c r="AL126" s="539">
        <f t="shared" ca="1" si="867"/>
        <v>234.61794000000003</v>
      </c>
      <c r="AM126" s="539">
        <f t="shared" ca="1" si="867"/>
        <v>234.61794000000003</v>
      </c>
      <c r="AN126" s="539">
        <f t="shared" ca="1" si="867"/>
        <v>234.61794000000003</v>
      </c>
      <c r="AO126" s="539">
        <f t="shared" ca="1" si="867"/>
        <v>234.61794000000003</v>
      </c>
      <c r="AP126" s="539">
        <f t="shared" ca="1" si="867"/>
        <v>234.61794000000003</v>
      </c>
      <c r="AQ126" s="539">
        <f t="shared" ca="1" si="867"/>
        <v>234.61794000000003</v>
      </c>
      <c r="AR126" s="539">
        <f t="shared" ca="1" si="867"/>
        <v>234.61794000000003</v>
      </c>
      <c r="AS126" s="539">
        <f t="shared" ca="1" si="867"/>
        <v>234.61794000000003</v>
      </c>
      <c r="AT126" s="539">
        <f t="shared" ca="1" si="867"/>
        <v>234.61794000000003</v>
      </c>
      <c r="AU126" s="539">
        <f t="shared" ca="1" si="867"/>
        <v>234.61794000000003</v>
      </c>
      <c r="AV126" s="539">
        <f t="shared" ca="1" si="867"/>
        <v>234.61794000000003</v>
      </c>
      <c r="AW126" s="539">
        <f t="shared" ca="1" si="867"/>
        <v>234.61794000000003</v>
      </c>
      <c r="AX126" s="539">
        <f t="shared" ca="1" si="867"/>
        <v>234.61794000000003</v>
      </c>
      <c r="AY126" s="539">
        <f t="shared" ca="1" si="867"/>
        <v>234.61794000000003</v>
      </c>
      <c r="AZ126" s="539">
        <f t="shared" ca="1" si="867"/>
        <v>234.61794000000003</v>
      </c>
      <c r="BA126" s="539">
        <f t="shared" ca="1" si="867"/>
        <v>234.61794000000003</v>
      </c>
      <c r="BB126" s="539">
        <f t="shared" ca="1" si="867"/>
        <v>234.61794000000003</v>
      </c>
      <c r="BC126" s="539">
        <f t="shared" ca="1" si="867"/>
        <v>234.61794000000003</v>
      </c>
      <c r="BD126" s="539">
        <f t="shared" ca="1" si="867"/>
        <v>234.61794000000003</v>
      </c>
      <c r="BE126" s="539">
        <f t="shared" ca="1" si="867"/>
        <v>234.61794000000003</v>
      </c>
      <c r="BF126" s="539">
        <f t="shared" ca="1" si="867"/>
        <v>234.61794000000003</v>
      </c>
      <c r="BG126" s="539">
        <f t="shared" ca="1" si="867"/>
        <v>234.61794000000003</v>
      </c>
      <c r="BH126" s="539">
        <f t="shared" ca="1" si="867"/>
        <v>234.61794000000003</v>
      </c>
      <c r="BI126" s="539">
        <f t="shared" ca="1" si="867"/>
        <v>234.61794000000003</v>
      </c>
      <c r="BJ126" s="539">
        <f t="shared" ca="1" si="867"/>
        <v>234.61794000000003</v>
      </c>
      <c r="BK126" s="539">
        <f t="shared" ca="1" si="867"/>
        <v>234.61794000000003</v>
      </c>
      <c r="BL126" s="539">
        <f t="shared" ca="1" si="867"/>
        <v>234.61794000000003</v>
      </c>
      <c r="BM126" s="539">
        <f t="shared" ca="1" si="867"/>
        <v>234.61794000000003</v>
      </c>
      <c r="BN126" s="539">
        <f t="shared" ca="1" si="867"/>
        <v>234.61794000000003</v>
      </c>
      <c r="BO126" s="539">
        <f t="shared" ca="1" si="867"/>
        <v>234.61794000000003</v>
      </c>
      <c r="BP126" s="539">
        <f t="shared" ca="1" si="867"/>
        <v>234.61794000000003</v>
      </c>
      <c r="BQ126" s="539">
        <f t="shared" ca="1" si="867"/>
        <v>234.61794000000003</v>
      </c>
      <c r="BR126" s="539">
        <f t="shared" ca="1" si="867"/>
        <v>234.61794000000003</v>
      </c>
      <c r="BS126" s="539">
        <f t="shared" ca="1" si="867"/>
        <v>234.61794000000003</v>
      </c>
      <c r="BT126" s="539">
        <f t="shared" ca="1" si="867"/>
        <v>234.61794000000003</v>
      </c>
      <c r="BU126" s="539">
        <f t="shared" ca="1" si="867"/>
        <v>234.61794000000003</v>
      </c>
      <c r="BV126" s="539">
        <f t="shared" ca="1" si="867"/>
        <v>234.61794000000003</v>
      </c>
      <c r="BW126" s="539">
        <f t="shared" ca="1" si="867"/>
        <v>234.61794000000003</v>
      </c>
      <c r="BX126" s="539">
        <f t="shared" ca="1" si="867"/>
        <v>234.61794000000003</v>
      </c>
      <c r="BY126" s="539">
        <f t="shared" ref="BY126:EJ126" ca="1" si="868">BX128</f>
        <v>234.61794000000003</v>
      </c>
      <c r="BZ126" s="539">
        <f t="shared" ca="1" si="868"/>
        <v>234.61794000000003</v>
      </c>
      <c r="CA126" s="539">
        <f t="shared" ca="1" si="868"/>
        <v>234.61794000000003</v>
      </c>
      <c r="CB126" s="539">
        <f t="shared" ca="1" si="868"/>
        <v>234.61794000000003</v>
      </c>
      <c r="CC126" s="539">
        <f t="shared" ca="1" si="868"/>
        <v>234.61794000000003</v>
      </c>
      <c r="CD126" s="539">
        <f t="shared" ca="1" si="868"/>
        <v>234.61794000000003</v>
      </c>
      <c r="CE126" s="539">
        <f t="shared" ca="1" si="868"/>
        <v>234.61794000000003</v>
      </c>
      <c r="CF126" s="539">
        <f t="shared" ca="1" si="868"/>
        <v>234.61794000000003</v>
      </c>
      <c r="CG126" s="539">
        <f t="shared" ca="1" si="868"/>
        <v>234.61794000000003</v>
      </c>
      <c r="CH126" s="539">
        <f t="shared" ca="1" si="868"/>
        <v>234.61794000000003</v>
      </c>
      <c r="CI126" s="539">
        <f t="shared" ca="1" si="868"/>
        <v>234.61794000000003</v>
      </c>
      <c r="CJ126" s="539">
        <f t="shared" ca="1" si="868"/>
        <v>234.61794000000003</v>
      </c>
      <c r="CK126" s="539">
        <f t="shared" ca="1" si="868"/>
        <v>234.61794000000003</v>
      </c>
      <c r="CL126" s="539">
        <f t="shared" ca="1" si="868"/>
        <v>234.61794000000003</v>
      </c>
      <c r="CM126" s="539">
        <f t="shared" ca="1" si="868"/>
        <v>234.61794000000003</v>
      </c>
      <c r="CN126" s="539">
        <f t="shared" ca="1" si="868"/>
        <v>234.61794000000003</v>
      </c>
      <c r="CO126" s="539">
        <f t="shared" ca="1" si="868"/>
        <v>234.61794000000003</v>
      </c>
      <c r="CP126" s="539">
        <f t="shared" ca="1" si="868"/>
        <v>234.61794000000003</v>
      </c>
      <c r="CQ126" s="539">
        <f t="shared" ca="1" si="868"/>
        <v>234.61794000000003</v>
      </c>
      <c r="CR126" s="539">
        <f t="shared" ca="1" si="868"/>
        <v>234.61794000000003</v>
      </c>
      <c r="CS126" s="539">
        <f t="shared" ca="1" si="868"/>
        <v>234.61794000000003</v>
      </c>
      <c r="CT126" s="539">
        <f t="shared" ca="1" si="868"/>
        <v>234.61794000000003</v>
      </c>
      <c r="CU126" s="539">
        <f t="shared" ca="1" si="868"/>
        <v>234.61794000000003</v>
      </c>
      <c r="CV126" s="539">
        <f t="shared" ca="1" si="868"/>
        <v>234.61794000000003</v>
      </c>
      <c r="CW126" s="539">
        <f t="shared" ca="1" si="868"/>
        <v>234.61794000000003</v>
      </c>
      <c r="CX126" s="539">
        <f t="shared" ca="1" si="868"/>
        <v>234.61794000000003</v>
      </c>
      <c r="CY126" s="539">
        <f t="shared" ca="1" si="868"/>
        <v>234.61794000000003</v>
      </c>
      <c r="CZ126" s="539">
        <f t="shared" ca="1" si="868"/>
        <v>234.61794000000003</v>
      </c>
      <c r="DA126" s="539">
        <f t="shared" ca="1" si="868"/>
        <v>234.61794000000003</v>
      </c>
      <c r="DB126" s="539">
        <f t="shared" ca="1" si="868"/>
        <v>234.61794000000003</v>
      </c>
      <c r="DC126" s="539">
        <f t="shared" ca="1" si="868"/>
        <v>234.61794000000003</v>
      </c>
      <c r="DD126" s="539">
        <f t="shared" ca="1" si="868"/>
        <v>234.61794000000003</v>
      </c>
      <c r="DE126" s="539">
        <f t="shared" ca="1" si="868"/>
        <v>234.61794000000003</v>
      </c>
      <c r="DF126" s="539">
        <f t="shared" ca="1" si="868"/>
        <v>234.61794000000003</v>
      </c>
      <c r="DG126" s="539">
        <f t="shared" ca="1" si="868"/>
        <v>234.61794000000003</v>
      </c>
      <c r="DH126" s="539">
        <f t="shared" ca="1" si="868"/>
        <v>234.61794000000003</v>
      </c>
      <c r="DI126" s="539">
        <f t="shared" ca="1" si="868"/>
        <v>234.61794000000003</v>
      </c>
      <c r="DJ126" s="539">
        <f t="shared" ca="1" si="868"/>
        <v>234.61794000000003</v>
      </c>
      <c r="DK126" s="539">
        <f t="shared" ca="1" si="868"/>
        <v>234.61794000000003</v>
      </c>
      <c r="DL126" s="539">
        <f t="shared" ca="1" si="868"/>
        <v>234.61794000000003</v>
      </c>
      <c r="DM126" s="539">
        <f t="shared" ca="1" si="868"/>
        <v>234.61794000000003</v>
      </c>
      <c r="DN126" s="539">
        <f t="shared" ca="1" si="868"/>
        <v>234.61794000000003</v>
      </c>
      <c r="DO126" s="539">
        <f t="shared" ca="1" si="868"/>
        <v>234.61794000000003</v>
      </c>
      <c r="DP126" s="539">
        <f t="shared" ca="1" si="868"/>
        <v>234.61794000000003</v>
      </c>
      <c r="DQ126" s="539">
        <f t="shared" ca="1" si="868"/>
        <v>234.61794000000003</v>
      </c>
      <c r="DR126" s="539">
        <f t="shared" ca="1" si="868"/>
        <v>234.61794000000003</v>
      </c>
      <c r="DS126" s="539">
        <f t="shared" ca="1" si="868"/>
        <v>234.61794000000003</v>
      </c>
      <c r="DT126" s="539">
        <f t="shared" ca="1" si="868"/>
        <v>234.61794000000003</v>
      </c>
      <c r="DU126" s="539">
        <f t="shared" ca="1" si="868"/>
        <v>234.61794000000003</v>
      </c>
      <c r="DV126" s="539">
        <f t="shared" ca="1" si="868"/>
        <v>234.61794000000003</v>
      </c>
      <c r="DW126" s="539">
        <f t="shared" ca="1" si="868"/>
        <v>234.61794000000003</v>
      </c>
      <c r="DX126" s="539">
        <f t="shared" ca="1" si="868"/>
        <v>234.61794000000003</v>
      </c>
      <c r="DY126" s="539">
        <f t="shared" ca="1" si="868"/>
        <v>234.61794000000003</v>
      </c>
      <c r="DZ126" s="539">
        <f t="shared" ca="1" si="868"/>
        <v>234.61794000000003</v>
      </c>
      <c r="EA126" s="539">
        <f t="shared" ca="1" si="868"/>
        <v>234.61794000000003</v>
      </c>
      <c r="EB126" s="539">
        <f t="shared" ca="1" si="868"/>
        <v>234.61794000000003</v>
      </c>
      <c r="EC126" s="539">
        <f t="shared" ca="1" si="868"/>
        <v>234.61794000000003</v>
      </c>
      <c r="ED126" s="539">
        <f t="shared" ca="1" si="868"/>
        <v>234.61794000000003</v>
      </c>
      <c r="EE126" s="539">
        <f t="shared" ca="1" si="868"/>
        <v>234.61794000000003</v>
      </c>
      <c r="EF126" s="539">
        <f t="shared" ca="1" si="868"/>
        <v>234.61794000000003</v>
      </c>
      <c r="EG126" s="539">
        <f t="shared" ca="1" si="868"/>
        <v>234.61794000000003</v>
      </c>
      <c r="EH126" s="539">
        <f t="shared" ca="1" si="868"/>
        <v>234.61794000000003</v>
      </c>
      <c r="EI126" s="539">
        <f t="shared" ca="1" si="868"/>
        <v>234.61794000000003</v>
      </c>
      <c r="EJ126" s="539">
        <f t="shared" ca="1" si="868"/>
        <v>234.61794000000003</v>
      </c>
      <c r="EK126" s="539">
        <f t="shared" ref="EK126:EL126" ca="1" si="869">EJ128</f>
        <v>234.61794000000003</v>
      </c>
      <c r="EL126" s="539">
        <f t="shared" ca="1" si="869"/>
        <v>234.61794000000003</v>
      </c>
      <c r="EM126" s="539">
        <f t="shared" ref="EM126" ca="1" si="870">EL128</f>
        <v>234.61794000000003</v>
      </c>
      <c r="EN126" s="539">
        <f t="shared" ref="EN126" ca="1" si="871">EM128</f>
        <v>234.61794000000003</v>
      </c>
      <c r="EO126" s="539">
        <f t="shared" ref="EO126" ca="1" si="872">EN128</f>
        <v>234.61794000000003</v>
      </c>
      <c r="EP126" s="539">
        <f t="shared" ref="EP126" ca="1" si="873">EO128</f>
        <v>234.61794000000003</v>
      </c>
      <c r="EQ126" s="539">
        <f t="shared" ref="EQ126" ca="1" si="874">EP128</f>
        <v>234.61794000000003</v>
      </c>
      <c r="ER126" s="539">
        <f t="shared" ref="ER126" ca="1" si="875">EQ128</f>
        <v>234.61794000000003</v>
      </c>
      <c r="ES126" s="539">
        <f t="shared" ref="ES126" ca="1" si="876">ER128</f>
        <v>234.61794000000003</v>
      </c>
      <c r="ET126" s="539">
        <f t="shared" ref="ET126" ca="1" si="877">ES128</f>
        <v>234.61794000000003</v>
      </c>
      <c r="EU126" s="539">
        <f t="shared" ref="EU126" ca="1" si="878">ET128</f>
        <v>234.61794000000003</v>
      </c>
      <c r="EV126" s="539">
        <f t="shared" ref="EV126" ca="1" si="879">EU128</f>
        <v>234.61794000000003</v>
      </c>
      <c r="EW126" s="539">
        <f t="shared" ref="EW126" ca="1" si="880">EV128</f>
        <v>234.61794000000003</v>
      </c>
      <c r="EX126" s="539">
        <f t="shared" ref="EX126" ca="1" si="881">EW128</f>
        <v>234.61794000000003</v>
      </c>
      <c r="EY126" s="539">
        <f t="shared" ref="EY126" ca="1" si="882">EX128</f>
        <v>234.61794000000003</v>
      </c>
      <c r="EZ126" s="539">
        <f t="shared" ref="EZ126" ca="1" si="883">EY128</f>
        <v>234.61794000000003</v>
      </c>
      <c r="FA126" s="539">
        <f t="shared" ref="FA126" ca="1" si="884">EZ128</f>
        <v>234.61794000000003</v>
      </c>
      <c r="FB126" s="539">
        <f t="shared" ref="FB126" ca="1" si="885">FA128</f>
        <v>234.61794000000003</v>
      </c>
      <c r="FC126" s="539">
        <f t="shared" ref="FC126" ca="1" si="886">FB128</f>
        <v>234.61794000000003</v>
      </c>
      <c r="FD126" s="539">
        <f t="shared" ref="FD126" ca="1" si="887">FC128</f>
        <v>234.61794000000003</v>
      </c>
      <c r="FE126" s="539">
        <f t="shared" ref="FE126" ca="1" si="888">FD128</f>
        <v>234.61794000000003</v>
      </c>
      <c r="FF126" s="539">
        <f t="shared" ref="FF126" ca="1" si="889">FE128</f>
        <v>234.61794000000003</v>
      </c>
      <c r="FG126" s="539">
        <f t="shared" ref="FG126" ca="1" si="890">FF128</f>
        <v>234.61794000000003</v>
      </c>
      <c r="FH126" s="539">
        <f t="shared" ref="FH126" ca="1" si="891">FG128</f>
        <v>234.61794000000003</v>
      </c>
      <c r="FI126" s="539">
        <f t="shared" ref="FI126" ca="1" si="892">FH128</f>
        <v>234.61794000000003</v>
      </c>
      <c r="FJ126" s="539">
        <f t="shared" ref="FJ126" ca="1" si="893">FI128</f>
        <v>234.61794000000003</v>
      </c>
      <c r="FK126" s="539">
        <f t="shared" ref="FK126" ca="1" si="894">FJ128</f>
        <v>234.61794000000003</v>
      </c>
      <c r="FL126" s="539">
        <f t="shared" ref="FL126" ca="1" si="895">FK128</f>
        <v>234.61794000000003</v>
      </c>
      <c r="FM126" s="539">
        <f t="shared" ref="FM126" ca="1" si="896">FL128</f>
        <v>234.61794000000003</v>
      </c>
      <c r="FN126" s="539">
        <f t="shared" ref="FN126" ca="1" si="897">FM128</f>
        <v>234.61794000000003</v>
      </c>
      <c r="FO126" s="539">
        <f t="shared" ref="FO126" ca="1" si="898">FN128</f>
        <v>234.61794000000003</v>
      </c>
      <c r="FP126" s="539">
        <f t="shared" ref="FP126" ca="1" si="899">FO128</f>
        <v>234.61794000000003</v>
      </c>
      <c r="FQ126" s="539">
        <f t="shared" ref="FQ126" ca="1" si="900">FP128</f>
        <v>234.61794000000003</v>
      </c>
      <c r="FR126" s="539">
        <f t="shared" ref="FR126" ca="1" si="901">FQ128</f>
        <v>234.61794000000003</v>
      </c>
      <c r="FS126" s="539">
        <f t="shared" ref="FS126" ca="1" si="902">FR128</f>
        <v>234.61794000000003</v>
      </c>
      <c r="FT126" s="539">
        <f t="shared" ref="FT126" ca="1" si="903">FS128</f>
        <v>234.61794000000003</v>
      </c>
      <c r="FU126" s="539">
        <f t="shared" ref="FU126" ca="1" si="904">FT128</f>
        <v>234.61794000000003</v>
      </c>
      <c r="FV126" s="539">
        <f t="shared" ref="FV126" ca="1" si="905">FU128</f>
        <v>234.61794000000003</v>
      </c>
      <c r="FW126" s="539">
        <f t="shared" ref="FW126" ca="1" si="906">FV128</f>
        <v>234.61794000000003</v>
      </c>
      <c r="FX126" s="539">
        <f t="shared" ref="FX126" ca="1" si="907">FW128</f>
        <v>234.61794000000003</v>
      </c>
      <c r="FY126" s="539">
        <f t="shared" ref="FY126" ca="1" si="908">FX128</f>
        <v>234.61794000000003</v>
      </c>
      <c r="FZ126" s="539">
        <f t="shared" ref="FZ126" ca="1" si="909">FY128</f>
        <v>234.61794000000003</v>
      </c>
      <c r="GA126" s="539">
        <f t="shared" ref="GA126" ca="1" si="910">FZ128</f>
        <v>234.61794000000003</v>
      </c>
      <c r="GB126" s="539">
        <f t="shared" ref="GB126" ca="1" si="911">GA128</f>
        <v>234.61794000000003</v>
      </c>
      <c r="GC126" s="539">
        <f t="shared" ref="GC126" ca="1" si="912">GB128</f>
        <v>234.61794000000003</v>
      </c>
      <c r="GD126" s="539"/>
      <c r="GE126" s="539"/>
      <c r="GF126" s="539"/>
      <c r="GG126" s="539"/>
      <c r="GH126" s="539"/>
      <c r="GI126" s="539"/>
      <c r="GJ126" s="539"/>
      <c r="GK126" s="539"/>
      <c r="GL126" s="539"/>
      <c r="GM126" s="539"/>
      <c r="GN126" s="539"/>
      <c r="GO126" s="539"/>
      <c r="GP126" s="539">
        <f t="shared" ref="GP126" ca="1" si="913">GC128</f>
        <v>234.61794000000003</v>
      </c>
      <c r="GQ126" s="539">
        <f t="shared" ref="GQ126" ca="1" si="914">GP128</f>
        <v>234.61794000000003</v>
      </c>
      <c r="GR126" s="539">
        <f t="shared" ref="GR126" ca="1" si="915">GQ128</f>
        <v>234.61794000000003</v>
      </c>
      <c r="GS126" s="539">
        <f t="shared" ref="GS126" ca="1" si="916">GR128</f>
        <v>234.61794000000003</v>
      </c>
      <c r="GT126" s="539">
        <f t="shared" ref="GT126" ca="1" si="917">GS128</f>
        <v>234.61794000000003</v>
      </c>
      <c r="GU126" s="539"/>
      <c r="GV126" s="539"/>
      <c r="GW126" s="539"/>
      <c r="GX126" s="539"/>
      <c r="GY126" s="539"/>
      <c r="GZ126" s="539"/>
      <c r="HA126" s="539"/>
      <c r="HB126" s="539"/>
      <c r="HC126" s="539"/>
      <c r="HD126" s="539"/>
      <c r="HE126" s="539"/>
      <c r="HF126" s="1" t="s">
        <v>212</v>
      </c>
      <c r="HH126" s="43"/>
      <c r="HI126" s="26"/>
      <c r="HJ126" s="26"/>
      <c r="HK126" s="26"/>
      <c r="HL126" s="132"/>
      <c r="HM126" s="26"/>
      <c r="HN126" s="133"/>
      <c r="HO126" s="26"/>
      <c r="HP126" s="26"/>
      <c r="HQ126" s="26"/>
      <c r="HR126" s="26"/>
      <c r="HS126" s="26"/>
      <c r="HT126" s="26"/>
      <c r="HU126" s="26"/>
      <c r="HV126" s="26"/>
      <c r="HW126"/>
    </row>
    <row r="127" spans="2:231" ht="15" outlineLevel="2">
      <c r="B127" s="941" t="s">
        <v>1009</v>
      </c>
      <c r="C127" s="943"/>
      <c r="D127" s="943"/>
      <c r="E127" s="943"/>
      <c r="F127" s="943"/>
      <c r="G127" s="944"/>
      <c r="H127" s="945"/>
      <c r="I127" s="940"/>
      <c r="J127" s="26"/>
      <c r="K127" s="133"/>
      <c r="L127" s="539">
        <f t="shared" ref="L127:AQ127" ca="1" si="918">-SUM(L205:L205)</f>
        <v>0</v>
      </c>
      <c r="M127" s="539">
        <f t="shared" ca="1" si="918"/>
        <v>0</v>
      </c>
      <c r="N127" s="539">
        <f t="shared" ca="1" si="918"/>
        <v>0</v>
      </c>
      <c r="O127" s="539">
        <f t="shared" ca="1" si="918"/>
        <v>0</v>
      </c>
      <c r="P127" s="539">
        <f t="shared" ca="1" si="918"/>
        <v>0</v>
      </c>
      <c r="Q127" s="539">
        <f t="shared" ca="1" si="918"/>
        <v>0</v>
      </c>
      <c r="R127" s="539">
        <f t="shared" ca="1" si="918"/>
        <v>0</v>
      </c>
      <c r="S127" s="539">
        <f t="shared" ca="1" si="918"/>
        <v>41.945560000000029</v>
      </c>
      <c r="T127" s="539">
        <f t="shared" ca="1" si="918"/>
        <v>0</v>
      </c>
      <c r="U127" s="539">
        <f t="shared" ca="1" si="918"/>
        <v>54.283529999999999</v>
      </c>
      <c r="V127" s="539">
        <f t="shared" ca="1" si="918"/>
        <v>133.06851999999998</v>
      </c>
      <c r="W127" s="539">
        <f t="shared" ca="1" si="918"/>
        <v>0</v>
      </c>
      <c r="X127" s="539">
        <f t="shared" ca="1" si="918"/>
        <v>0</v>
      </c>
      <c r="Y127" s="539">
        <f t="shared" ca="1" si="918"/>
        <v>0</v>
      </c>
      <c r="Z127" s="539">
        <f t="shared" ca="1" si="918"/>
        <v>0</v>
      </c>
      <c r="AA127" s="539">
        <f t="shared" ca="1" si="918"/>
        <v>5.3203300000000269</v>
      </c>
      <c r="AB127" s="539">
        <f t="shared" ca="1" si="918"/>
        <v>0</v>
      </c>
      <c r="AC127" s="539">
        <f t="shared" ca="1" si="918"/>
        <v>0</v>
      </c>
      <c r="AD127" s="539">
        <f t="shared" ca="1" si="918"/>
        <v>0</v>
      </c>
      <c r="AE127" s="539">
        <f t="shared" ca="1" si="918"/>
        <v>0</v>
      </c>
      <c r="AF127" s="539">
        <f t="shared" ca="1" si="918"/>
        <v>0</v>
      </c>
      <c r="AG127" s="539">
        <f t="shared" ca="1" si="918"/>
        <v>0</v>
      </c>
      <c r="AH127" s="539">
        <f t="shared" ca="1" si="918"/>
        <v>0</v>
      </c>
      <c r="AI127" s="539">
        <f t="shared" ca="1" si="918"/>
        <v>0</v>
      </c>
      <c r="AJ127" s="539">
        <f t="shared" ca="1" si="918"/>
        <v>0</v>
      </c>
      <c r="AK127" s="539">
        <f t="shared" si="918"/>
        <v>0</v>
      </c>
      <c r="AL127" s="539">
        <f t="shared" si="918"/>
        <v>0</v>
      </c>
      <c r="AM127" s="539">
        <f t="shared" si="918"/>
        <v>0</v>
      </c>
      <c r="AN127" s="539">
        <f t="shared" si="918"/>
        <v>0</v>
      </c>
      <c r="AO127" s="539">
        <f t="shared" si="918"/>
        <v>0</v>
      </c>
      <c r="AP127" s="539">
        <f t="shared" si="918"/>
        <v>0</v>
      </c>
      <c r="AQ127" s="539">
        <f t="shared" si="918"/>
        <v>0</v>
      </c>
      <c r="AR127" s="539">
        <f t="shared" ref="AR127:BW127" si="919">-SUM(AR205:AR205)</f>
        <v>0</v>
      </c>
      <c r="AS127" s="539">
        <f t="shared" si="919"/>
        <v>0</v>
      </c>
      <c r="AT127" s="539">
        <f t="shared" si="919"/>
        <v>0</v>
      </c>
      <c r="AU127" s="539">
        <f t="shared" si="919"/>
        <v>0</v>
      </c>
      <c r="AV127" s="539">
        <f t="shared" si="919"/>
        <v>0</v>
      </c>
      <c r="AW127" s="539">
        <f t="shared" si="919"/>
        <v>0</v>
      </c>
      <c r="AX127" s="539">
        <f t="shared" si="919"/>
        <v>0</v>
      </c>
      <c r="AY127" s="539">
        <f t="shared" si="919"/>
        <v>0</v>
      </c>
      <c r="AZ127" s="539">
        <f t="shared" si="919"/>
        <v>0</v>
      </c>
      <c r="BA127" s="539">
        <f t="shared" si="919"/>
        <v>0</v>
      </c>
      <c r="BB127" s="539">
        <f t="shared" si="919"/>
        <v>0</v>
      </c>
      <c r="BC127" s="539">
        <f t="shared" si="919"/>
        <v>0</v>
      </c>
      <c r="BD127" s="539">
        <f t="shared" si="919"/>
        <v>0</v>
      </c>
      <c r="BE127" s="539">
        <f t="shared" si="919"/>
        <v>0</v>
      </c>
      <c r="BF127" s="539">
        <f t="shared" si="919"/>
        <v>0</v>
      </c>
      <c r="BG127" s="539">
        <f t="shared" si="919"/>
        <v>0</v>
      </c>
      <c r="BH127" s="539">
        <f t="shared" si="919"/>
        <v>0</v>
      </c>
      <c r="BI127" s="539">
        <f t="shared" si="919"/>
        <v>0</v>
      </c>
      <c r="BJ127" s="539">
        <f t="shared" si="919"/>
        <v>0</v>
      </c>
      <c r="BK127" s="539">
        <f t="shared" si="919"/>
        <v>0</v>
      </c>
      <c r="BL127" s="539">
        <f t="shared" si="919"/>
        <v>0</v>
      </c>
      <c r="BM127" s="539">
        <f t="shared" si="919"/>
        <v>0</v>
      </c>
      <c r="BN127" s="539">
        <f t="shared" si="919"/>
        <v>0</v>
      </c>
      <c r="BO127" s="539">
        <f t="shared" si="919"/>
        <v>0</v>
      </c>
      <c r="BP127" s="539">
        <f t="shared" si="919"/>
        <v>0</v>
      </c>
      <c r="BQ127" s="539">
        <f t="shared" si="919"/>
        <v>0</v>
      </c>
      <c r="BR127" s="539">
        <f t="shared" si="919"/>
        <v>0</v>
      </c>
      <c r="BS127" s="539">
        <f t="shared" si="919"/>
        <v>0</v>
      </c>
      <c r="BT127" s="539">
        <f t="shared" si="919"/>
        <v>0</v>
      </c>
      <c r="BU127" s="539">
        <f t="shared" si="919"/>
        <v>0</v>
      </c>
      <c r="BV127" s="539">
        <f t="shared" si="919"/>
        <v>0</v>
      </c>
      <c r="BW127" s="539">
        <f t="shared" si="919"/>
        <v>0</v>
      </c>
      <c r="BX127" s="539">
        <f t="shared" ref="BX127:DC127" si="920">-SUM(BX205:BX205)</f>
        <v>0</v>
      </c>
      <c r="BY127" s="539">
        <f t="shared" si="920"/>
        <v>0</v>
      </c>
      <c r="BZ127" s="539">
        <f t="shared" si="920"/>
        <v>0</v>
      </c>
      <c r="CA127" s="539">
        <f t="shared" si="920"/>
        <v>0</v>
      </c>
      <c r="CB127" s="539">
        <f t="shared" si="920"/>
        <v>0</v>
      </c>
      <c r="CC127" s="539">
        <f t="shared" si="920"/>
        <v>0</v>
      </c>
      <c r="CD127" s="539">
        <f t="shared" si="920"/>
        <v>0</v>
      </c>
      <c r="CE127" s="539">
        <f t="shared" si="920"/>
        <v>0</v>
      </c>
      <c r="CF127" s="539">
        <f t="shared" si="920"/>
        <v>0</v>
      </c>
      <c r="CG127" s="539">
        <f t="shared" si="920"/>
        <v>0</v>
      </c>
      <c r="CH127" s="539">
        <f t="shared" si="920"/>
        <v>0</v>
      </c>
      <c r="CI127" s="539">
        <f t="shared" si="920"/>
        <v>0</v>
      </c>
      <c r="CJ127" s="539">
        <f t="shared" si="920"/>
        <v>0</v>
      </c>
      <c r="CK127" s="539">
        <f t="shared" si="920"/>
        <v>0</v>
      </c>
      <c r="CL127" s="539">
        <f t="shared" si="920"/>
        <v>0</v>
      </c>
      <c r="CM127" s="539">
        <f t="shared" si="920"/>
        <v>0</v>
      </c>
      <c r="CN127" s="539">
        <f t="shared" si="920"/>
        <v>0</v>
      </c>
      <c r="CO127" s="539">
        <f t="shared" si="920"/>
        <v>0</v>
      </c>
      <c r="CP127" s="539">
        <f t="shared" si="920"/>
        <v>0</v>
      </c>
      <c r="CQ127" s="539">
        <f t="shared" si="920"/>
        <v>0</v>
      </c>
      <c r="CR127" s="539">
        <f t="shared" si="920"/>
        <v>0</v>
      </c>
      <c r="CS127" s="539">
        <f t="shared" si="920"/>
        <v>0</v>
      </c>
      <c r="CT127" s="539">
        <f t="shared" si="920"/>
        <v>0</v>
      </c>
      <c r="CU127" s="539">
        <f t="shared" si="920"/>
        <v>0</v>
      </c>
      <c r="CV127" s="539">
        <f t="shared" si="920"/>
        <v>0</v>
      </c>
      <c r="CW127" s="539">
        <f t="shared" si="920"/>
        <v>0</v>
      </c>
      <c r="CX127" s="539">
        <f t="shared" si="920"/>
        <v>0</v>
      </c>
      <c r="CY127" s="539">
        <f t="shared" si="920"/>
        <v>0</v>
      </c>
      <c r="CZ127" s="539">
        <f t="shared" si="920"/>
        <v>0</v>
      </c>
      <c r="DA127" s="539">
        <f t="shared" si="920"/>
        <v>0</v>
      </c>
      <c r="DB127" s="539">
        <f t="shared" si="920"/>
        <v>0</v>
      </c>
      <c r="DC127" s="539">
        <f t="shared" si="920"/>
        <v>0</v>
      </c>
      <c r="DD127" s="539">
        <f t="shared" ref="DD127:EL127" si="921">-SUM(DD205:DD205)</f>
        <v>0</v>
      </c>
      <c r="DE127" s="539">
        <f t="shared" si="921"/>
        <v>0</v>
      </c>
      <c r="DF127" s="539">
        <f t="shared" si="921"/>
        <v>0</v>
      </c>
      <c r="DG127" s="539">
        <f t="shared" si="921"/>
        <v>0</v>
      </c>
      <c r="DH127" s="539">
        <f t="shared" si="921"/>
        <v>0</v>
      </c>
      <c r="DI127" s="539">
        <f t="shared" si="921"/>
        <v>0</v>
      </c>
      <c r="DJ127" s="539">
        <f t="shared" si="921"/>
        <v>0</v>
      </c>
      <c r="DK127" s="539">
        <f t="shared" si="921"/>
        <v>0</v>
      </c>
      <c r="DL127" s="539">
        <f t="shared" si="921"/>
        <v>0</v>
      </c>
      <c r="DM127" s="539">
        <f t="shared" si="921"/>
        <v>0</v>
      </c>
      <c r="DN127" s="539">
        <f t="shared" si="921"/>
        <v>0</v>
      </c>
      <c r="DO127" s="539">
        <f t="shared" si="921"/>
        <v>0</v>
      </c>
      <c r="DP127" s="539">
        <f t="shared" si="921"/>
        <v>0</v>
      </c>
      <c r="DQ127" s="539">
        <f t="shared" si="921"/>
        <v>0</v>
      </c>
      <c r="DR127" s="539">
        <f t="shared" si="921"/>
        <v>0</v>
      </c>
      <c r="DS127" s="539">
        <f t="shared" si="921"/>
        <v>0</v>
      </c>
      <c r="DT127" s="539">
        <f t="shared" si="921"/>
        <v>0</v>
      </c>
      <c r="DU127" s="539">
        <f t="shared" si="921"/>
        <v>0</v>
      </c>
      <c r="DV127" s="539">
        <f t="shared" si="921"/>
        <v>0</v>
      </c>
      <c r="DW127" s="539">
        <f t="shared" si="921"/>
        <v>0</v>
      </c>
      <c r="DX127" s="539">
        <f t="shared" si="921"/>
        <v>0</v>
      </c>
      <c r="DY127" s="539">
        <f t="shared" si="921"/>
        <v>0</v>
      </c>
      <c r="DZ127" s="539">
        <f t="shared" si="921"/>
        <v>0</v>
      </c>
      <c r="EA127" s="539">
        <f t="shared" si="921"/>
        <v>0</v>
      </c>
      <c r="EB127" s="539">
        <f t="shared" si="921"/>
        <v>0</v>
      </c>
      <c r="EC127" s="539">
        <f t="shared" si="921"/>
        <v>0</v>
      </c>
      <c r="ED127" s="539">
        <f t="shared" si="921"/>
        <v>0</v>
      </c>
      <c r="EE127" s="539">
        <f t="shared" si="921"/>
        <v>0</v>
      </c>
      <c r="EF127" s="539">
        <f t="shared" si="921"/>
        <v>0</v>
      </c>
      <c r="EG127" s="539">
        <f t="shared" si="921"/>
        <v>0</v>
      </c>
      <c r="EH127" s="539">
        <f t="shared" si="921"/>
        <v>0</v>
      </c>
      <c r="EI127" s="539">
        <f t="shared" si="921"/>
        <v>0</v>
      </c>
      <c r="EJ127" s="539">
        <f t="shared" si="921"/>
        <v>0</v>
      </c>
      <c r="EK127" s="539">
        <f t="shared" si="921"/>
        <v>0</v>
      </c>
      <c r="EL127" s="539">
        <f t="shared" si="921"/>
        <v>0</v>
      </c>
      <c r="EM127" s="539">
        <f t="shared" ref="EM127:FD127" si="922">-SUM(EM205:EM205)</f>
        <v>0</v>
      </c>
      <c r="EN127" s="539">
        <f t="shared" si="922"/>
        <v>0</v>
      </c>
      <c r="EO127" s="539">
        <f t="shared" si="922"/>
        <v>0</v>
      </c>
      <c r="EP127" s="539">
        <f t="shared" si="922"/>
        <v>0</v>
      </c>
      <c r="EQ127" s="539">
        <f t="shared" si="922"/>
        <v>0</v>
      </c>
      <c r="ER127" s="539">
        <f t="shared" si="922"/>
        <v>0</v>
      </c>
      <c r="ES127" s="539">
        <f t="shared" si="922"/>
        <v>0</v>
      </c>
      <c r="ET127" s="539">
        <f t="shared" si="922"/>
        <v>0</v>
      </c>
      <c r="EU127" s="539">
        <f t="shared" si="922"/>
        <v>0</v>
      </c>
      <c r="EV127" s="539">
        <f t="shared" si="922"/>
        <v>0</v>
      </c>
      <c r="EW127" s="539">
        <f t="shared" si="922"/>
        <v>0</v>
      </c>
      <c r="EX127" s="539">
        <f t="shared" si="922"/>
        <v>0</v>
      </c>
      <c r="EY127" s="539">
        <f t="shared" si="922"/>
        <v>0</v>
      </c>
      <c r="EZ127" s="539">
        <f t="shared" si="922"/>
        <v>0</v>
      </c>
      <c r="FA127" s="539">
        <f t="shared" si="922"/>
        <v>0</v>
      </c>
      <c r="FB127" s="539">
        <f t="shared" si="922"/>
        <v>0</v>
      </c>
      <c r="FC127" s="539">
        <f t="shared" si="922"/>
        <v>0</v>
      </c>
      <c r="FD127" s="539">
        <f t="shared" si="922"/>
        <v>0</v>
      </c>
      <c r="FE127" s="539">
        <f t="shared" ref="FE127:FI127" si="923">-SUM(FE205:FE205)</f>
        <v>0</v>
      </c>
      <c r="FF127" s="539">
        <f t="shared" si="923"/>
        <v>0</v>
      </c>
      <c r="FG127" s="539">
        <f t="shared" si="923"/>
        <v>0</v>
      </c>
      <c r="FH127" s="539">
        <f t="shared" si="923"/>
        <v>0</v>
      </c>
      <c r="FI127" s="539">
        <f t="shared" si="923"/>
        <v>0</v>
      </c>
      <c r="FJ127" s="539">
        <f t="shared" ref="FJ127:GT127" si="924">-SUM(FJ205:FJ205)</f>
        <v>0</v>
      </c>
      <c r="FK127" s="539">
        <f t="shared" si="924"/>
        <v>0</v>
      </c>
      <c r="FL127" s="539">
        <f t="shared" si="924"/>
        <v>0</v>
      </c>
      <c r="FM127" s="539">
        <f t="shared" si="924"/>
        <v>0</v>
      </c>
      <c r="FN127" s="539">
        <f t="shared" si="924"/>
        <v>0</v>
      </c>
      <c r="FO127" s="539">
        <f t="shared" si="924"/>
        <v>0</v>
      </c>
      <c r="FP127" s="539">
        <f t="shared" si="924"/>
        <v>0</v>
      </c>
      <c r="FQ127" s="539">
        <f t="shared" si="924"/>
        <v>0</v>
      </c>
      <c r="FR127" s="539">
        <f t="shared" si="924"/>
        <v>0</v>
      </c>
      <c r="FS127" s="539">
        <f t="shared" si="924"/>
        <v>0</v>
      </c>
      <c r="FT127" s="539">
        <f t="shared" si="924"/>
        <v>0</v>
      </c>
      <c r="FU127" s="539">
        <f t="shared" si="924"/>
        <v>0</v>
      </c>
      <c r="FV127" s="539">
        <f t="shared" si="924"/>
        <v>0</v>
      </c>
      <c r="FW127" s="539">
        <f t="shared" si="924"/>
        <v>0</v>
      </c>
      <c r="FX127" s="539">
        <f t="shared" si="924"/>
        <v>0</v>
      </c>
      <c r="FY127" s="539">
        <f t="shared" si="924"/>
        <v>0</v>
      </c>
      <c r="FZ127" s="539">
        <f t="shared" si="924"/>
        <v>0</v>
      </c>
      <c r="GA127" s="539">
        <f t="shared" si="924"/>
        <v>0</v>
      </c>
      <c r="GB127" s="539">
        <f t="shared" si="924"/>
        <v>0</v>
      </c>
      <c r="GC127" s="539">
        <f t="shared" si="924"/>
        <v>0</v>
      </c>
      <c r="GD127" s="539"/>
      <c r="GE127" s="539"/>
      <c r="GF127" s="539"/>
      <c r="GG127" s="539"/>
      <c r="GH127" s="539"/>
      <c r="GI127" s="539"/>
      <c r="GJ127" s="539"/>
      <c r="GK127" s="539"/>
      <c r="GL127" s="539"/>
      <c r="GM127" s="539"/>
      <c r="GN127" s="539"/>
      <c r="GO127" s="539"/>
      <c r="GP127" s="539">
        <f t="shared" si="924"/>
        <v>0</v>
      </c>
      <c r="GQ127" s="539">
        <f t="shared" si="924"/>
        <v>0</v>
      </c>
      <c r="GR127" s="539">
        <f t="shared" si="924"/>
        <v>0</v>
      </c>
      <c r="GS127" s="539">
        <f t="shared" si="924"/>
        <v>0</v>
      </c>
      <c r="GT127" s="539">
        <f t="shared" si="924"/>
        <v>0</v>
      </c>
      <c r="GU127" s="539"/>
      <c r="GV127" s="539"/>
      <c r="GW127" s="539"/>
      <c r="GX127" s="539"/>
      <c r="GY127" s="539"/>
      <c r="GZ127" s="539"/>
      <c r="HA127" s="539"/>
      <c r="HB127" s="539"/>
      <c r="HC127" s="539"/>
      <c r="HD127" s="539"/>
      <c r="HE127" s="539"/>
      <c r="HF127" s="1" t="s">
        <v>212</v>
      </c>
      <c r="HH127" s="43"/>
      <c r="HI127" s="26"/>
      <c r="HJ127" s="26"/>
      <c r="HK127" s="26"/>
      <c r="HL127" s="132"/>
      <c r="HM127" s="26"/>
      <c r="HN127" s="133"/>
      <c r="HO127" s="26"/>
      <c r="HP127" s="26"/>
      <c r="HQ127" s="26"/>
      <c r="HR127" s="26"/>
      <c r="HS127" s="26"/>
      <c r="HT127" s="26"/>
      <c r="HU127" s="26"/>
      <c r="HV127" s="26"/>
      <c r="HW127"/>
    </row>
    <row r="128" spans="2:231" ht="15" outlineLevel="2">
      <c r="B128" s="941" t="s">
        <v>1010</v>
      </c>
      <c r="C128" s="943"/>
      <c r="D128" s="943"/>
      <c r="E128" s="943"/>
      <c r="F128" s="943"/>
      <c r="G128" s="944"/>
      <c r="H128" s="945"/>
      <c r="I128" s="940"/>
      <c r="J128" s="26"/>
      <c r="K128" s="133"/>
      <c r="L128" s="539">
        <f t="shared" ref="L128:T128" ca="1" si="925">L126+L127</f>
        <v>0</v>
      </c>
      <c r="M128" s="539">
        <f t="shared" ca="1" si="925"/>
        <v>0</v>
      </c>
      <c r="N128" s="539">
        <f t="shared" ca="1" si="925"/>
        <v>0</v>
      </c>
      <c r="O128" s="539">
        <f t="shared" ca="1" si="925"/>
        <v>0</v>
      </c>
      <c r="P128" s="539">
        <f t="shared" ca="1" si="925"/>
        <v>0</v>
      </c>
      <c r="Q128" s="539">
        <f t="shared" ca="1" si="925"/>
        <v>0</v>
      </c>
      <c r="R128" s="539">
        <f t="shared" ca="1" si="925"/>
        <v>0</v>
      </c>
      <c r="S128" s="539">
        <f t="shared" ca="1" si="925"/>
        <v>41.945560000000029</v>
      </c>
      <c r="T128" s="539">
        <f t="shared" ca="1" si="925"/>
        <v>41.945560000000029</v>
      </c>
      <c r="U128" s="539">
        <f t="shared" ref="U128:CF128" ca="1" si="926">U126+U127</f>
        <v>96.229090000000028</v>
      </c>
      <c r="V128" s="539">
        <f t="shared" ca="1" si="926"/>
        <v>229.29761000000002</v>
      </c>
      <c r="W128" s="539">
        <f t="shared" ca="1" si="926"/>
        <v>229.29761000000002</v>
      </c>
      <c r="X128" s="539">
        <f t="shared" ca="1" si="926"/>
        <v>229.29761000000002</v>
      </c>
      <c r="Y128" s="539">
        <f t="shared" ca="1" si="926"/>
        <v>229.29761000000002</v>
      </c>
      <c r="Z128" s="539">
        <f t="shared" ca="1" si="926"/>
        <v>229.29761000000002</v>
      </c>
      <c r="AA128" s="539">
        <f t="shared" ca="1" si="926"/>
        <v>234.61794000000003</v>
      </c>
      <c r="AB128" s="539">
        <f t="shared" ca="1" si="926"/>
        <v>234.61794000000003</v>
      </c>
      <c r="AC128" s="539">
        <f t="shared" ca="1" si="926"/>
        <v>234.61794000000003</v>
      </c>
      <c r="AD128" s="539">
        <f t="shared" ca="1" si="926"/>
        <v>234.61794000000003</v>
      </c>
      <c r="AE128" s="539">
        <f t="shared" ca="1" si="926"/>
        <v>234.61794000000003</v>
      </c>
      <c r="AF128" s="539">
        <f t="shared" ca="1" si="926"/>
        <v>234.61794000000003</v>
      </c>
      <c r="AG128" s="539">
        <f t="shared" ca="1" si="926"/>
        <v>234.61794000000003</v>
      </c>
      <c r="AH128" s="539">
        <f t="shared" ca="1" si="926"/>
        <v>234.61794000000003</v>
      </c>
      <c r="AI128" s="539">
        <f t="shared" ca="1" si="926"/>
        <v>234.61794000000003</v>
      </c>
      <c r="AJ128" s="539">
        <f t="shared" ca="1" si="926"/>
        <v>234.61794000000003</v>
      </c>
      <c r="AK128" s="539">
        <f t="shared" ca="1" si="926"/>
        <v>234.61794000000003</v>
      </c>
      <c r="AL128" s="539">
        <f t="shared" ca="1" si="926"/>
        <v>234.61794000000003</v>
      </c>
      <c r="AM128" s="539">
        <f t="shared" ca="1" si="926"/>
        <v>234.61794000000003</v>
      </c>
      <c r="AN128" s="539">
        <f t="shared" ca="1" si="926"/>
        <v>234.61794000000003</v>
      </c>
      <c r="AO128" s="539">
        <f t="shared" ca="1" si="926"/>
        <v>234.61794000000003</v>
      </c>
      <c r="AP128" s="539">
        <f t="shared" ca="1" si="926"/>
        <v>234.61794000000003</v>
      </c>
      <c r="AQ128" s="539">
        <f t="shared" ca="1" si="926"/>
        <v>234.61794000000003</v>
      </c>
      <c r="AR128" s="539">
        <f t="shared" ca="1" si="926"/>
        <v>234.61794000000003</v>
      </c>
      <c r="AS128" s="539">
        <f t="shared" ca="1" si="926"/>
        <v>234.61794000000003</v>
      </c>
      <c r="AT128" s="539">
        <f t="shared" ca="1" si="926"/>
        <v>234.61794000000003</v>
      </c>
      <c r="AU128" s="539">
        <f t="shared" ca="1" si="926"/>
        <v>234.61794000000003</v>
      </c>
      <c r="AV128" s="539">
        <f t="shared" ca="1" si="926"/>
        <v>234.61794000000003</v>
      </c>
      <c r="AW128" s="539">
        <f t="shared" ca="1" si="926"/>
        <v>234.61794000000003</v>
      </c>
      <c r="AX128" s="539">
        <f t="shared" ca="1" si="926"/>
        <v>234.61794000000003</v>
      </c>
      <c r="AY128" s="539">
        <f t="shared" ca="1" si="926"/>
        <v>234.61794000000003</v>
      </c>
      <c r="AZ128" s="539">
        <f t="shared" ca="1" si="926"/>
        <v>234.61794000000003</v>
      </c>
      <c r="BA128" s="539">
        <f t="shared" ca="1" si="926"/>
        <v>234.61794000000003</v>
      </c>
      <c r="BB128" s="539">
        <f t="shared" ca="1" si="926"/>
        <v>234.61794000000003</v>
      </c>
      <c r="BC128" s="539">
        <f t="shared" ca="1" si="926"/>
        <v>234.61794000000003</v>
      </c>
      <c r="BD128" s="539">
        <f t="shared" ca="1" si="926"/>
        <v>234.61794000000003</v>
      </c>
      <c r="BE128" s="539">
        <f t="shared" ca="1" si="926"/>
        <v>234.61794000000003</v>
      </c>
      <c r="BF128" s="539">
        <f t="shared" ca="1" si="926"/>
        <v>234.61794000000003</v>
      </c>
      <c r="BG128" s="539">
        <f t="shared" ca="1" si="926"/>
        <v>234.61794000000003</v>
      </c>
      <c r="BH128" s="539">
        <f t="shared" ca="1" si="926"/>
        <v>234.61794000000003</v>
      </c>
      <c r="BI128" s="539">
        <f t="shared" ca="1" si="926"/>
        <v>234.61794000000003</v>
      </c>
      <c r="BJ128" s="539">
        <f t="shared" ca="1" si="926"/>
        <v>234.61794000000003</v>
      </c>
      <c r="BK128" s="539">
        <f t="shared" ca="1" si="926"/>
        <v>234.61794000000003</v>
      </c>
      <c r="BL128" s="539">
        <f t="shared" ca="1" si="926"/>
        <v>234.61794000000003</v>
      </c>
      <c r="BM128" s="539">
        <f t="shared" ca="1" si="926"/>
        <v>234.61794000000003</v>
      </c>
      <c r="BN128" s="539">
        <f t="shared" ca="1" si="926"/>
        <v>234.61794000000003</v>
      </c>
      <c r="BO128" s="539">
        <f t="shared" ca="1" si="926"/>
        <v>234.61794000000003</v>
      </c>
      <c r="BP128" s="539">
        <f t="shared" ca="1" si="926"/>
        <v>234.61794000000003</v>
      </c>
      <c r="BQ128" s="539">
        <f t="shared" ca="1" si="926"/>
        <v>234.61794000000003</v>
      </c>
      <c r="BR128" s="539">
        <f t="shared" ca="1" si="926"/>
        <v>234.61794000000003</v>
      </c>
      <c r="BS128" s="539">
        <f t="shared" ca="1" si="926"/>
        <v>234.61794000000003</v>
      </c>
      <c r="BT128" s="539">
        <f t="shared" ca="1" si="926"/>
        <v>234.61794000000003</v>
      </c>
      <c r="BU128" s="539">
        <f t="shared" ca="1" si="926"/>
        <v>234.61794000000003</v>
      </c>
      <c r="BV128" s="539">
        <f t="shared" ca="1" si="926"/>
        <v>234.61794000000003</v>
      </c>
      <c r="BW128" s="539">
        <f t="shared" ca="1" si="926"/>
        <v>234.61794000000003</v>
      </c>
      <c r="BX128" s="539">
        <f t="shared" ca="1" si="926"/>
        <v>234.61794000000003</v>
      </c>
      <c r="BY128" s="539">
        <f t="shared" ca="1" si="926"/>
        <v>234.61794000000003</v>
      </c>
      <c r="BZ128" s="539">
        <f t="shared" ca="1" si="926"/>
        <v>234.61794000000003</v>
      </c>
      <c r="CA128" s="539">
        <f t="shared" ca="1" si="926"/>
        <v>234.61794000000003</v>
      </c>
      <c r="CB128" s="539">
        <f t="shared" ca="1" si="926"/>
        <v>234.61794000000003</v>
      </c>
      <c r="CC128" s="539">
        <f t="shared" ca="1" si="926"/>
        <v>234.61794000000003</v>
      </c>
      <c r="CD128" s="539">
        <f t="shared" ca="1" si="926"/>
        <v>234.61794000000003</v>
      </c>
      <c r="CE128" s="539">
        <f t="shared" ca="1" si="926"/>
        <v>234.61794000000003</v>
      </c>
      <c r="CF128" s="539">
        <f t="shared" ca="1" si="926"/>
        <v>234.61794000000003</v>
      </c>
      <c r="CG128" s="539">
        <f t="shared" ref="CG128:EL128" ca="1" si="927">CG126+CG127</f>
        <v>234.61794000000003</v>
      </c>
      <c r="CH128" s="539">
        <f t="shared" ca="1" si="927"/>
        <v>234.61794000000003</v>
      </c>
      <c r="CI128" s="539">
        <f t="shared" ca="1" si="927"/>
        <v>234.61794000000003</v>
      </c>
      <c r="CJ128" s="539">
        <f t="shared" ca="1" si="927"/>
        <v>234.61794000000003</v>
      </c>
      <c r="CK128" s="539">
        <f t="shared" ca="1" si="927"/>
        <v>234.61794000000003</v>
      </c>
      <c r="CL128" s="539">
        <f t="shared" ca="1" si="927"/>
        <v>234.61794000000003</v>
      </c>
      <c r="CM128" s="539">
        <f t="shared" ca="1" si="927"/>
        <v>234.61794000000003</v>
      </c>
      <c r="CN128" s="539">
        <f t="shared" ca="1" si="927"/>
        <v>234.61794000000003</v>
      </c>
      <c r="CO128" s="539">
        <f t="shared" ca="1" si="927"/>
        <v>234.61794000000003</v>
      </c>
      <c r="CP128" s="539">
        <f t="shared" ca="1" si="927"/>
        <v>234.61794000000003</v>
      </c>
      <c r="CQ128" s="539">
        <f t="shared" ca="1" si="927"/>
        <v>234.61794000000003</v>
      </c>
      <c r="CR128" s="539">
        <f t="shared" ca="1" si="927"/>
        <v>234.61794000000003</v>
      </c>
      <c r="CS128" s="539">
        <f t="shared" ca="1" si="927"/>
        <v>234.61794000000003</v>
      </c>
      <c r="CT128" s="539">
        <f t="shared" ca="1" si="927"/>
        <v>234.61794000000003</v>
      </c>
      <c r="CU128" s="539">
        <f t="shared" ca="1" si="927"/>
        <v>234.61794000000003</v>
      </c>
      <c r="CV128" s="539">
        <f t="shared" ca="1" si="927"/>
        <v>234.61794000000003</v>
      </c>
      <c r="CW128" s="539">
        <f t="shared" ca="1" si="927"/>
        <v>234.61794000000003</v>
      </c>
      <c r="CX128" s="539">
        <f t="shared" ca="1" si="927"/>
        <v>234.61794000000003</v>
      </c>
      <c r="CY128" s="539">
        <f t="shared" ca="1" si="927"/>
        <v>234.61794000000003</v>
      </c>
      <c r="CZ128" s="539">
        <f t="shared" ca="1" si="927"/>
        <v>234.61794000000003</v>
      </c>
      <c r="DA128" s="539">
        <f t="shared" ca="1" si="927"/>
        <v>234.61794000000003</v>
      </c>
      <c r="DB128" s="539">
        <f t="shared" ca="1" si="927"/>
        <v>234.61794000000003</v>
      </c>
      <c r="DC128" s="539">
        <f t="shared" ca="1" si="927"/>
        <v>234.61794000000003</v>
      </c>
      <c r="DD128" s="539">
        <f t="shared" ca="1" si="927"/>
        <v>234.61794000000003</v>
      </c>
      <c r="DE128" s="539">
        <f t="shared" ca="1" si="927"/>
        <v>234.61794000000003</v>
      </c>
      <c r="DF128" s="539">
        <f t="shared" ca="1" si="927"/>
        <v>234.61794000000003</v>
      </c>
      <c r="DG128" s="539">
        <f t="shared" ca="1" si="927"/>
        <v>234.61794000000003</v>
      </c>
      <c r="DH128" s="539">
        <f t="shared" ca="1" si="927"/>
        <v>234.61794000000003</v>
      </c>
      <c r="DI128" s="539">
        <f t="shared" ca="1" si="927"/>
        <v>234.61794000000003</v>
      </c>
      <c r="DJ128" s="539">
        <f t="shared" ca="1" si="927"/>
        <v>234.61794000000003</v>
      </c>
      <c r="DK128" s="539">
        <f t="shared" ca="1" si="927"/>
        <v>234.61794000000003</v>
      </c>
      <c r="DL128" s="539">
        <f t="shared" ca="1" si="927"/>
        <v>234.61794000000003</v>
      </c>
      <c r="DM128" s="539">
        <f t="shared" ca="1" si="927"/>
        <v>234.61794000000003</v>
      </c>
      <c r="DN128" s="539">
        <f t="shared" ca="1" si="927"/>
        <v>234.61794000000003</v>
      </c>
      <c r="DO128" s="539">
        <f t="shared" ca="1" si="927"/>
        <v>234.61794000000003</v>
      </c>
      <c r="DP128" s="539">
        <f t="shared" ca="1" si="927"/>
        <v>234.61794000000003</v>
      </c>
      <c r="DQ128" s="539">
        <f t="shared" ca="1" si="927"/>
        <v>234.61794000000003</v>
      </c>
      <c r="DR128" s="539">
        <f t="shared" ca="1" si="927"/>
        <v>234.61794000000003</v>
      </c>
      <c r="DS128" s="539">
        <f t="shared" ca="1" si="927"/>
        <v>234.61794000000003</v>
      </c>
      <c r="DT128" s="539">
        <f t="shared" ca="1" si="927"/>
        <v>234.61794000000003</v>
      </c>
      <c r="DU128" s="539">
        <f t="shared" ca="1" si="927"/>
        <v>234.61794000000003</v>
      </c>
      <c r="DV128" s="539">
        <f t="shared" ca="1" si="927"/>
        <v>234.61794000000003</v>
      </c>
      <c r="DW128" s="539">
        <f t="shared" ca="1" si="927"/>
        <v>234.61794000000003</v>
      </c>
      <c r="DX128" s="539">
        <f t="shared" ca="1" si="927"/>
        <v>234.61794000000003</v>
      </c>
      <c r="DY128" s="539">
        <f t="shared" ca="1" si="927"/>
        <v>234.61794000000003</v>
      </c>
      <c r="DZ128" s="539">
        <f t="shared" ca="1" si="927"/>
        <v>234.61794000000003</v>
      </c>
      <c r="EA128" s="539">
        <f t="shared" ca="1" si="927"/>
        <v>234.61794000000003</v>
      </c>
      <c r="EB128" s="539">
        <f t="shared" ca="1" si="927"/>
        <v>234.61794000000003</v>
      </c>
      <c r="EC128" s="539">
        <f t="shared" ca="1" si="927"/>
        <v>234.61794000000003</v>
      </c>
      <c r="ED128" s="539">
        <f t="shared" ca="1" si="927"/>
        <v>234.61794000000003</v>
      </c>
      <c r="EE128" s="539">
        <f t="shared" ca="1" si="927"/>
        <v>234.61794000000003</v>
      </c>
      <c r="EF128" s="539">
        <f t="shared" ca="1" si="927"/>
        <v>234.61794000000003</v>
      </c>
      <c r="EG128" s="539">
        <f t="shared" ca="1" si="927"/>
        <v>234.61794000000003</v>
      </c>
      <c r="EH128" s="539">
        <f t="shared" ca="1" si="927"/>
        <v>234.61794000000003</v>
      </c>
      <c r="EI128" s="539">
        <f t="shared" ca="1" si="927"/>
        <v>234.61794000000003</v>
      </c>
      <c r="EJ128" s="539">
        <f t="shared" ca="1" si="927"/>
        <v>234.61794000000003</v>
      </c>
      <c r="EK128" s="539">
        <f t="shared" ca="1" si="927"/>
        <v>234.61794000000003</v>
      </c>
      <c r="EL128" s="539">
        <f t="shared" ca="1" si="927"/>
        <v>234.61794000000003</v>
      </c>
      <c r="EM128" s="539">
        <f t="shared" ref="EM128:FD128" ca="1" si="928">EM126+EM127</f>
        <v>234.61794000000003</v>
      </c>
      <c r="EN128" s="539">
        <f t="shared" ca="1" si="928"/>
        <v>234.61794000000003</v>
      </c>
      <c r="EO128" s="539">
        <f t="shared" ca="1" si="928"/>
        <v>234.61794000000003</v>
      </c>
      <c r="EP128" s="539">
        <f t="shared" ca="1" si="928"/>
        <v>234.61794000000003</v>
      </c>
      <c r="EQ128" s="539">
        <f t="shared" ca="1" si="928"/>
        <v>234.61794000000003</v>
      </c>
      <c r="ER128" s="539">
        <f t="shared" ca="1" si="928"/>
        <v>234.61794000000003</v>
      </c>
      <c r="ES128" s="539">
        <f t="shared" ca="1" si="928"/>
        <v>234.61794000000003</v>
      </c>
      <c r="ET128" s="539">
        <f t="shared" ca="1" si="928"/>
        <v>234.61794000000003</v>
      </c>
      <c r="EU128" s="539">
        <f t="shared" ca="1" si="928"/>
        <v>234.61794000000003</v>
      </c>
      <c r="EV128" s="539">
        <f t="shared" ca="1" si="928"/>
        <v>234.61794000000003</v>
      </c>
      <c r="EW128" s="539">
        <f t="shared" ca="1" si="928"/>
        <v>234.61794000000003</v>
      </c>
      <c r="EX128" s="539">
        <f t="shared" ca="1" si="928"/>
        <v>234.61794000000003</v>
      </c>
      <c r="EY128" s="539">
        <f t="shared" ca="1" si="928"/>
        <v>234.61794000000003</v>
      </c>
      <c r="EZ128" s="539">
        <f t="shared" ca="1" si="928"/>
        <v>234.61794000000003</v>
      </c>
      <c r="FA128" s="539">
        <f t="shared" ca="1" si="928"/>
        <v>234.61794000000003</v>
      </c>
      <c r="FB128" s="539">
        <f t="shared" ca="1" si="928"/>
        <v>234.61794000000003</v>
      </c>
      <c r="FC128" s="539">
        <f t="shared" ca="1" si="928"/>
        <v>234.61794000000003</v>
      </c>
      <c r="FD128" s="539">
        <f t="shared" ca="1" si="928"/>
        <v>234.61794000000003</v>
      </c>
      <c r="FE128" s="539">
        <f t="shared" ref="FE128:FI128" ca="1" si="929">FE126+FE127</f>
        <v>234.61794000000003</v>
      </c>
      <c r="FF128" s="539">
        <f t="shared" ca="1" si="929"/>
        <v>234.61794000000003</v>
      </c>
      <c r="FG128" s="539">
        <f t="shared" ca="1" si="929"/>
        <v>234.61794000000003</v>
      </c>
      <c r="FH128" s="539">
        <f t="shared" ca="1" si="929"/>
        <v>234.61794000000003</v>
      </c>
      <c r="FI128" s="539">
        <f t="shared" ca="1" si="929"/>
        <v>234.61794000000003</v>
      </c>
      <c r="FJ128" s="539">
        <f t="shared" ref="FJ128:GT128" ca="1" si="930">FJ126+FJ127</f>
        <v>234.61794000000003</v>
      </c>
      <c r="FK128" s="539">
        <f t="shared" ca="1" si="930"/>
        <v>234.61794000000003</v>
      </c>
      <c r="FL128" s="539">
        <f t="shared" ca="1" si="930"/>
        <v>234.61794000000003</v>
      </c>
      <c r="FM128" s="539">
        <f t="shared" ca="1" si="930"/>
        <v>234.61794000000003</v>
      </c>
      <c r="FN128" s="539">
        <f t="shared" ca="1" si="930"/>
        <v>234.61794000000003</v>
      </c>
      <c r="FO128" s="539">
        <f t="shared" ca="1" si="930"/>
        <v>234.61794000000003</v>
      </c>
      <c r="FP128" s="539">
        <f t="shared" ca="1" si="930"/>
        <v>234.61794000000003</v>
      </c>
      <c r="FQ128" s="539">
        <f t="shared" ca="1" si="930"/>
        <v>234.61794000000003</v>
      </c>
      <c r="FR128" s="539">
        <f t="shared" ca="1" si="930"/>
        <v>234.61794000000003</v>
      </c>
      <c r="FS128" s="539">
        <f t="shared" ca="1" si="930"/>
        <v>234.61794000000003</v>
      </c>
      <c r="FT128" s="539">
        <f t="shared" ca="1" si="930"/>
        <v>234.61794000000003</v>
      </c>
      <c r="FU128" s="539">
        <f t="shared" ca="1" si="930"/>
        <v>234.61794000000003</v>
      </c>
      <c r="FV128" s="539">
        <f t="shared" ca="1" si="930"/>
        <v>234.61794000000003</v>
      </c>
      <c r="FW128" s="539">
        <f t="shared" ca="1" si="930"/>
        <v>234.61794000000003</v>
      </c>
      <c r="FX128" s="539">
        <f t="shared" ca="1" si="930"/>
        <v>234.61794000000003</v>
      </c>
      <c r="FY128" s="539">
        <f t="shared" ca="1" si="930"/>
        <v>234.61794000000003</v>
      </c>
      <c r="FZ128" s="539">
        <f t="shared" ca="1" si="930"/>
        <v>234.61794000000003</v>
      </c>
      <c r="GA128" s="539">
        <f t="shared" ca="1" si="930"/>
        <v>234.61794000000003</v>
      </c>
      <c r="GB128" s="539">
        <f t="shared" ca="1" si="930"/>
        <v>234.61794000000003</v>
      </c>
      <c r="GC128" s="539">
        <f t="shared" ca="1" si="930"/>
        <v>234.61794000000003</v>
      </c>
      <c r="GD128" s="539"/>
      <c r="GE128" s="539"/>
      <c r="GF128" s="539"/>
      <c r="GG128" s="539"/>
      <c r="GH128" s="539"/>
      <c r="GI128" s="539"/>
      <c r="GJ128" s="539"/>
      <c r="GK128" s="539"/>
      <c r="GL128" s="539"/>
      <c r="GM128" s="539"/>
      <c r="GN128" s="539"/>
      <c r="GO128" s="539"/>
      <c r="GP128" s="539">
        <f t="shared" ca="1" si="930"/>
        <v>234.61794000000003</v>
      </c>
      <c r="GQ128" s="539">
        <f t="shared" ca="1" si="930"/>
        <v>234.61794000000003</v>
      </c>
      <c r="GR128" s="539">
        <f t="shared" ca="1" si="930"/>
        <v>234.61794000000003</v>
      </c>
      <c r="GS128" s="539">
        <f t="shared" ca="1" si="930"/>
        <v>234.61794000000003</v>
      </c>
      <c r="GT128" s="539">
        <f t="shared" ca="1" si="930"/>
        <v>234.61794000000003</v>
      </c>
      <c r="GU128" s="539"/>
      <c r="GV128" s="539"/>
      <c r="GW128" s="539"/>
      <c r="GX128" s="539"/>
      <c r="GY128" s="539"/>
      <c r="GZ128" s="539"/>
      <c r="HA128" s="539"/>
      <c r="HB128" s="539"/>
      <c r="HC128" s="539"/>
      <c r="HD128" s="539"/>
      <c r="HE128" s="539"/>
      <c r="HF128" s="1" t="s">
        <v>212</v>
      </c>
      <c r="HH128" s="43"/>
      <c r="HI128" s="26"/>
      <c r="HJ128" s="26"/>
      <c r="HK128" s="26"/>
      <c r="HL128" s="132"/>
      <c r="HM128" s="26"/>
      <c r="HN128" s="133"/>
      <c r="HO128" s="26"/>
      <c r="HP128" s="26"/>
      <c r="HQ128" s="26"/>
      <c r="HR128" s="26"/>
      <c r="HS128" s="26"/>
      <c r="HT128" s="26"/>
      <c r="HU128" s="26"/>
      <c r="HV128" s="26"/>
      <c r="HW128"/>
    </row>
    <row r="129" spans="1:231" ht="15" outlineLevel="1">
      <c r="B129" s="162" t="s">
        <v>123</v>
      </c>
      <c r="C129" s="73"/>
      <c r="D129" s="73"/>
      <c r="E129" s="73"/>
      <c r="F129" s="73"/>
      <c r="G129" s="73"/>
      <c r="H129" s="73"/>
      <c r="I129" s="948"/>
      <c r="J129" s="949"/>
      <c r="K129" s="163">
        <f>K121+K123+K124</f>
        <v>13708</v>
      </c>
      <c r="L129" s="147">
        <f>L121+L123+L124</f>
        <v>13708</v>
      </c>
      <c r="M129" s="147">
        <f t="shared" ref="M129:BX129" si="931">M121+M123+M124</f>
        <v>13708</v>
      </c>
      <c r="N129" s="147">
        <f t="shared" si="931"/>
        <v>13708</v>
      </c>
      <c r="O129" s="147">
        <f t="shared" si="931"/>
        <v>13708</v>
      </c>
      <c r="P129" s="147">
        <f t="shared" si="931"/>
        <v>13858.825000000001</v>
      </c>
      <c r="Q129" s="147">
        <f t="shared" si="931"/>
        <v>13858.825000000001</v>
      </c>
      <c r="R129" s="147">
        <f t="shared" si="931"/>
        <v>13858.825000000001</v>
      </c>
      <c r="S129" s="147">
        <f t="shared" si="931"/>
        <v>13858.825000000001</v>
      </c>
      <c r="T129" s="147">
        <f t="shared" si="931"/>
        <v>13858.825000000001</v>
      </c>
      <c r="U129" s="147">
        <f t="shared" si="931"/>
        <v>13858.825000000001</v>
      </c>
      <c r="V129" s="147">
        <f t="shared" si="931"/>
        <v>13858.825000000001</v>
      </c>
      <c r="W129" s="147">
        <f>W121+W123+W124</f>
        <v>13858.825000000001</v>
      </c>
      <c r="X129" s="147">
        <f t="shared" si="931"/>
        <v>13938</v>
      </c>
      <c r="Y129" s="147">
        <f t="shared" si="931"/>
        <v>13938</v>
      </c>
      <c r="Z129" s="147">
        <f t="shared" si="931"/>
        <v>13938</v>
      </c>
      <c r="AA129" s="147">
        <f t="shared" si="931"/>
        <v>13938</v>
      </c>
      <c r="AB129" s="147">
        <f t="shared" si="931"/>
        <v>13938</v>
      </c>
      <c r="AC129" s="147">
        <f t="shared" si="931"/>
        <v>13938</v>
      </c>
      <c r="AD129" s="147">
        <f t="shared" si="931"/>
        <v>13938</v>
      </c>
      <c r="AE129" s="147">
        <f t="shared" si="931"/>
        <v>13938</v>
      </c>
      <c r="AF129" s="147">
        <f t="shared" si="931"/>
        <v>13938</v>
      </c>
      <c r="AG129" s="147">
        <f t="shared" si="931"/>
        <v>14248</v>
      </c>
      <c r="AH129" s="147">
        <f t="shared" si="931"/>
        <v>14248</v>
      </c>
      <c r="AI129" s="147">
        <f t="shared" si="931"/>
        <v>14248</v>
      </c>
      <c r="AJ129" s="147">
        <f t="shared" si="931"/>
        <v>14248</v>
      </c>
      <c r="AK129" s="147">
        <f t="shared" si="931"/>
        <v>14248</v>
      </c>
      <c r="AL129" s="147">
        <f t="shared" si="931"/>
        <v>14248</v>
      </c>
      <c r="AM129" s="147">
        <f t="shared" si="931"/>
        <v>14248</v>
      </c>
      <c r="AN129" s="147">
        <f t="shared" si="931"/>
        <v>14248</v>
      </c>
      <c r="AO129" s="147">
        <f t="shared" si="931"/>
        <v>14248</v>
      </c>
      <c r="AP129" s="147">
        <f t="shared" si="931"/>
        <v>14248</v>
      </c>
      <c r="AQ129" s="147">
        <f t="shared" si="931"/>
        <v>14248</v>
      </c>
      <c r="AR129" s="147">
        <f t="shared" si="931"/>
        <v>14248</v>
      </c>
      <c r="AS129" s="147">
        <f t="shared" si="931"/>
        <v>14248</v>
      </c>
      <c r="AT129" s="147">
        <f t="shared" si="931"/>
        <v>14248</v>
      </c>
      <c r="AU129" s="147">
        <f t="shared" si="931"/>
        <v>14248</v>
      </c>
      <c r="AV129" s="147">
        <f t="shared" si="931"/>
        <v>14248</v>
      </c>
      <c r="AW129" s="147">
        <f t="shared" si="931"/>
        <v>14248</v>
      </c>
      <c r="AX129" s="147">
        <f t="shared" si="931"/>
        <v>14248</v>
      </c>
      <c r="AY129" s="147">
        <f t="shared" si="931"/>
        <v>14248</v>
      </c>
      <c r="AZ129" s="147">
        <f t="shared" si="931"/>
        <v>14248</v>
      </c>
      <c r="BA129" s="147">
        <f t="shared" si="931"/>
        <v>14389.08</v>
      </c>
      <c r="BB129" s="147">
        <f t="shared" si="931"/>
        <v>14389.08</v>
      </c>
      <c r="BC129" s="147">
        <f t="shared" si="931"/>
        <v>14637.28</v>
      </c>
      <c r="BD129" s="147">
        <f t="shared" si="931"/>
        <v>14957.28</v>
      </c>
      <c r="BE129" s="147">
        <f t="shared" si="931"/>
        <v>14957.28</v>
      </c>
      <c r="BF129" s="147">
        <f t="shared" si="931"/>
        <v>14957.28</v>
      </c>
      <c r="BG129" s="147">
        <f t="shared" si="931"/>
        <v>15574.28</v>
      </c>
      <c r="BH129" s="147">
        <f t="shared" si="931"/>
        <v>15574.28</v>
      </c>
      <c r="BI129" s="147">
        <f t="shared" si="931"/>
        <v>15574.28</v>
      </c>
      <c r="BJ129" s="147">
        <f t="shared" si="931"/>
        <v>15574.28</v>
      </c>
      <c r="BK129" s="147">
        <f t="shared" si="931"/>
        <v>15574.28</v>
      </c>
      <c r="BL129" s="147">
        <f t="shared" si="931"/>
        <v>15574.28</v>
      </c>
      <c r="BM129" s="147">
        <f t="shared" si="931"/>
        <v>15574.28</v>
      </c>
      <c r="BN129" s="147">
        <f t="shared" si="931"/>
        <v>15793.732</v>
      </c>
      <c r="BO129" s="147">
        <f t="shared" si="931"/>
        <v>15793.732</v>
      </c>
      <c r="BP129" s="147">
        <f t="shared" si="931"/>
        <v>15793.732</v>
      </c>
      <c r="BQ129" s="147">
        <f t="shared" si="931"/>
        <v>15793.732</v>
      </c>
      <c r="BR129" s="147">
        <f t="shared" si="931"/>
        <v>15882.232</v>
      </c>
      <c r="BS129" s="147">
        <f t="shared" si="931"/>
        <v>15882.232</v>
      </c>
      <c r="BT129" s="147">
        <f t="shared" si="931"/>
        <v>15882.232</v>
      </c>
      <c r="BU129" s="147">
        <f t="shared" si="931"/>
        <v>15882.232</v>
      </c>
      <c r="BV129" s="147">
        <f t="shared" si="931"/>
        <v>15882.232</v>
      </c>
      <c r="BW129" s="147">
        <f t="shared" si="931"/>
        <v>15882.232</v>
      </c>
      <c r="BX129" s="147">
        <f t="shared" si="931"/>
        <v>15882.232</v>
      </c>
      <c r="BY129" s="147">
        <f t="shared" ref="BY129:EJ129" si="932">BY121+BY123+BY124</f>
        <v>15882.232</v>
      </c>
      <c r="BZ129" s="147">
        <f t="shared" si="932"/>
        <v>15882.232</v>
      </c>
      <c r="CA129" s="147">
        <f t="shared" si="932"/>
        <v>15882.232</v>
      </c>
      <c r="CB129" s="147">
        <f t="shared" si="932"/>
        <v>15882.232</v>
      </c>
      <c r="CC129" s="147">
        <f t="shared" si="932"/>
        <v>15882.232</v>
      </c>
      <c r="CD129" s="147">
        <f t="shared" si="932"/>
        <v>15882.232</v>
      </c>
      <c r="CE129" s="147">
        <f t="shared" si="932"/>
        <v>15882.232</v>
      </c>
      <c r="CF129" s="147">
        <f t="shared" si="932"/>
        <v>15882.232</v>
      </c>
      <c r="CG129" s="147">
        <f t="shared" si="932"/>
        <v>15882.232</v>
      </c>
      <c r="CH129" s="147">
        <f t="shared" si="932"/>
        <v>15882.232</v>
      </c>
      <c r="CI129" s="147">
        <f t="shared" si="932"/>
        <v>15882.232</v>
      </c>
      <c r="CJ129" s="147">
        <f t="shared" si="932"/>
        <v>15882.232</v>
      </c>
      <c r="CK129" s="147">
        <f t="shared" si="932"/>
        <v>15882.232</v>
      </c>
      <c r="CL129" s="147">
        <f t="shared" si="932"/>
        <v>15882.232</v>
      </c>
      <c r="CM129" s="147">
        <f t="shared" si="932"/>
        <v>15882.232</v>
      </c>
      <c r="CN129" s="147">
        <f t="shared" si="932"/>
        <v>15882.232</v>
      </c>
      <c r="CO129" s="147">
        <f t="shared" si="932"/>
        <v>15882.232</v>
      </c>
      <c r="CP129" s="147">
        <f t="shared" si="932"/>
        <v>15882.232</v>
      </c>
      <c r="CQ129" s="147">
        <f t="shared" si="932"/>
        <v>15882.232</v>
      </c>
      <c r="CR129" s="147">
        <f t="shared" si="932"/>
        <v>15882.232</v>
      </c>
      <c r="CS129" s="147">
        <f t="shared" si="932"/>
        <v>15882.232</v>
      </c>
      <c r="CT129" s="147">
        <f t="shared" si="932"/>
        <v>15882.232</v>
      </c>
      <c r="CU129" s="147">
        <f t="shared" si="932"/>
        <v>15882.232</v>
      </c>
      <c r="CV129" s="147">
        <f t="shared" si="932"/>
        <v>15882.232</v>
      </c>
      <c r="CW129" s="147">
        <f t="shared" si="932"/>
        <v>15882.232</v>
      </c>
      <c r="CX129" s="147">
        <f t="shared" si="932"/>
        <v>15882.232</v>
      </c>
      <c r="CY129" s="147">
        <f t="shared" si="932"/>
        <v>15882.232</v>
      </c>
      <c r="CZ129" s="147">
        <f t="shared" si="932"/>
        <v>15882.232</v>
      </c>
      <c r="DA129" s="147">
        <f t="shared" si="932"/>
        <v>15882.232</v>
      </c>
      <c r="DB129" s="147">
        <f t="shared" si="932"/>
        <v>15882.232</v>
      </c>
      <c r="DC129" s="147">
        <f t="shared" si="932"/>
        <v>15882.232</v>
      </c>
      <c r="DD129" s="147">
        <f t="shared" si="932"/>
        <v>15882.232</v>
      </c>
      <c r="DE129" s="147">
        <f t="shared" si="932"/>
        <v>15882.232</v>
      </c>
      <c r="DF129" s="147">
        <f t="shared" si="932"/>
        <v>15882.232</v>
      </c>
      <c r="DG129" s="147">
        <f t="shared" si="932"/>
        <v>15882.232</v>
      </c>
      <c r="DH129" s="147">
        <f t="shared" si="932"/>
        <v>15882.232</v>
      </c>
      <c r="DI129" s="147">
        <f t="shared" si="932"/>
        <v>15882.232</v>
      </c>
      <c r="DJ129" s="147">
        <f t="shared" si="932"/>
        <v>15882.232</v>
      </c>
      <c r="DK129" s="147">
        <f t="shared" si="932"/>
        <v>15882.232</v>
      </c>
      <c r="DL129" s="147">
        <f t="shared" si="932"/>
        <v>15882.232</v>
      </c>
      <c r="DM129" s="147">
        <f t="shared" si="932"/>
        <v>15882.232</v>
      </c>
      <c r="DN129" s="147">
        <f t="shared" si="932"/>
        <v>15882.232</v>
      </c>
      <c r="DO129" s="147">
        <f t="shared" si="932"/>
        <v>15882.232</v>
      </c>
      <c r="DP129" s="147">
        <f t="shared" si="932"/>
        <v>15882.232</v>
      </c>
      <c r="DQ129" s="147">
        <f t="shared" si="932"/>
        <v>15882.232</v>
      </c>
      <c r="DR129" s="147">
        <f t="shared" si="932"/>
        <v>15882.232</v>
      </c>
      <c r="DS129" s="147">
        <f t="shared" si="932"/>
        <v>15882.232</v>
      </c>
      <c r="DT129" s="147">
        <f t="shared" si="932"/>
        <v>15882.232</v>
      </c>
      <c r="DU129" s="147">
        <f t="shared" si="932"/>
        <v>15882.232</v>
      </c>
      <c r="DV129" s="147">
        <f t="shared" si="932"/>
        <v>15882.232</v>
      </c>
      <c r="DW129" s="147">
        <f t="shared" si="932"/>
        <v>15882.232</v>
      </c>
      <c r="DX129" s="147">
        <f t="shared" si="932"/>
        <v>15882.232</v>
      </c>
      <c r="DY129" s="147">
        <f t="shared" si="932"/>
        <v>15882.232</v>
      </c>
      <c r="DZ129" s="147">
        <f t="shared" si="932"/>
        <v>15882.232</v>
      </c>
      <c r="EA129" s="147">
        <f t="shared" si="932"/>
        <v>15882.232</v>
      </c>
      <c r="EB129" s="147">
        <f t="shared" si="932"/>
        <v>15882.232</v>
      </c>
      <c r="EC129" s="147">
        <f t="shared" si="932"/>
        <v>15882.232</v>
      </c>
      <c r="ED129" s="147">
        <f t="shared" si="932"/>
        <v>15882.232</v>
      </c>
      <c r="EE129" s="147">
        <f t="shared" si="932"/>
        <v>15882.232</v>
      </c>
      <c r="EF129" s="147">
        <f t="shared" si="932"/>
        <v>15882.232</v>
      </c>
      <c r="EG129" s="147">
        <f t="shared" si="932"/>
        <v>15882.232</v>
      </c>
      <c r="EH129" s="147">
        <f t="shared" si="932"/>
        <v>15882.232</v>
      </c>
      <c r="EI129" s="147">
        <f t="shared" si="932"/>
        <v>15882.232</v>
      </c>
      <c r="EJ129" s="147">
        <f t="shared" si="932"/>
        <v>15882.232</v>
      </c>
      <c r="EK129" s="147">
        <f t="shared" ref="EK129:EL129" si="933">EK121+EK123+EK124</f>
        <v>15882.232</v>
      </c>
      <c r="EL129" s="147">
        <f t="shared" si="933"/>
        <v>15882.232</v>
      </c>
      <c r="EM129" s="147">
        <f t="shared" ref="EM129:FD129" si="934">EM121+EM123+EM124</f>
        <v>15882.232</v>
      </c>
      <c r="EN129" s="147">
        <f t="shared" si="934"/>
        <v>15882.232</v>
      </c>
      <c r="EO129" s="147">
        <f t="shared" si="934"/>
        <v>15882.232</v>
      </c>
      <c r="EP129" s="147">
        <f t="shared" si="934"/>
        <v>15882.232</v>
      </c>
      <c r="EQ129" s="147">
        <f t="shared" si="934"/>
        <v>15882.232</v>
      </c>
      <c r="ER129" s="147">
        <f t="shared" si="934"/>
        <v>15882.232</v>
      </c>
      <c r="ES129" s="147">
        <f t="shared" si="934"/>
        <v>15882.232</v>
      </c>
      <c r="ET129" s="147">
        <f t="shared" si="934"/>
        <v>15882.232</v>
      </c>
      <c r="EU129" s="147">
        <f t="shared" si="934"/>
        <v>15882.232</v>
      </c>
      <c r="EV129" s="147">
        <f t="shared" si="934"/>
        <v>15882.232</v>
      </c>
      <c r="EW129" s="147">
        <f t="shared" si="934"/>
        <v>15882.232</v>
      </c>
      <c r="EX129" s="147">
        <f t="shared" si="934"/>
        <v>15882.232</v>
      </c>
      <c r="EY129" s="147">
        <f t="shared" si="934"/>
        <v>15882.232</v>
      </c>
      <c r="EZ129" s="147">
        <f t="shared" si="934"/>
        <v>15882.232</v>
      </c>
      <c r="FA129" s="147">
        <f t="shared" si="934"/>
        <v>15882.232</v>
      </c>
      <c r="FB129" s="147">
        <f t="shared" si="934"/>
        <v>15882.232</v>
      </c>
      <c r="FC129" s="147">
        <f t="shared" si="934"/>
        <v>15882.232</v>
      </c>
      <c r="FD129" s="147">
        <f t="shared" si="934"/>
        <v>15882.232</v>
      </c>
      <c r="FE129" s="147">
        <f t="shared" ref="FE129:FI129" si="935">FE121+FE123+FE124</f>
        <v>15882.232</v>
      </c>
      <c r="FF129" s="147">
        <f t="shared" si="935"/>
        <v>15882.232</v>
      </c>
      <c r="FG129" s="147">
        <f t="shared" si="935"/>
        <v>15882.232</v>
      </c>
      <c r="FH129" s="147">
        <f t="shared" si="935"/>
        <v>15882.232</v>
      </c>
      <c r="FI129" s="147">
        <f t="shared" si="935"/>
        <v>15882.232</v>
      </c>
      <c r="FJ129" s="147">
        <f t="shared" ref="FJ129:GT129" si="936">FJ121+FJ123+FJ124</f>
        <v>15882.232</v>
      </c>
      <c r="FK129" s="147">
        <f t="shared" si="936"/>
        <v>15882.232</v>
      </c>
      <c r="FL129" s="147">
        <f t="shared" si="936"/>
        <v>15882.232</v>
      </c>
      <c r="FM129" s="147">
        <f t="shared" si="936"/>
        <v>15882.232</v>
      </c>
      <c r="FN129" s="147">
        <f t="shared" si="936"/>
        <v>15882.232</v>
      </c>
      <c r="FO129" s="147">
        <f t="shared" si="936"/>
        <v>15882.232</v>
      </c>
      <c r="FP129" s="147">
        <f t="shared" si="936"/>
        <v>15882.232</v>
      </c>
      <c r="FQ129" s="147">
        <f t="shared" si="936"/>
        <v>15882.232</v>
      </c>
      <c r="FR129" s="147">
        <f t="shared" si="936"/>
        <v>15882.232</v>
      </c>
      <c r="FS129" s="147">
        <f t="shared" si="936"/>
        <v>15882.232</v>
      </c>
      <c r="FT129" s="147">
        <f t="shared" si="936"/>
        <v>15882.232</v>
      </c>
      <c r="FU129" s="147">
        <f t="shared" si="936"/>
        <v>15882.232</v>
      </c>
      <c r="FV129" s="147">
        <f t="shared" si="936"/>
        <v>15882.232</v>
      </c>
      <c r="FW129" s="147">
        <f t="shared" si="936"/>
        <v>15882.232</v>
      </c>
      <c r="FX129" s="147">
        <f t="shared" si="936"/>
        <v>15882.232</v>
      </c>
      <c r="FY129" s="147">
        <f t="shared" si="936"/>
        <v>15882.232</v>
      </c>
      <c r="FZ129" s="147">
        <f t="shared" si="936"/>
        <v>15882.232</v>
      </c>
      <c r="GA129" s="147">
        <f t="shared" si="936"/>
        <v>15882.232</v>
      </c>
      <c r="GB129" s="147">
        <f t="shared" si="936"/>
        <v>15882.232</v>
      </c>
      <c r="GC129" s="147">
        <f t="shared" si="936"/>
        <v>15882.232</v>
      </c>
      <c r="GD129" s="1383"/>
      <c r="GE129" s="1383"/>
      <c r="GF129" s="1383"/>
      <c r="GG129" s="1383"/>
      <c r="GH129" s="1383"/>
      <c r="GI129" s="1383"/>
      <c r="GJ129" s="1383"/>
      <c r="GK129" s="1383"/>
      <c r="GL129" s="1383"/>
      <c r="GM129" s="1383"/>
      <c r="GN129" s="1383"/>
      <c r="GO129" s="1383"/>
      <c r="GP129" s="147">
        <f t="shared" si="936"/>
        <v>15882.232</v>
      </c>
      <c r="GQ129" s="147">
        <f t="shared" si="936"/>
        <v>15882.232</v>
      </c>
      <c r="GR129" s="147">
        <f t="shared" si="936"/>
        <v>15882.232</v>
      </c>
      <c r="GS129" s="147">
        <f t="shared" si="936"/>
        <v>15882.232</v>
      </c>
      <c r="GT129" s="147">
        <f t="shared" si="936"/>
        <v>15882.232</v>
      </c>
      <c r="GU129" s="34"/>
      <c r="GV129" s="34"/>
      <c r="GW129" s="34"/>
      <c r="GX129" s="34"/>
      <c r="GY129" s="34"/>
      <c r="GZ129" s="34"/>
      <c r="HA129" s="34"/>
      <c r="HB129" s="34"/>
      <c r="HC129" s="34"/>
      <c r="HD129" s="34"/>
      <c r="HE129" s="34"/>
      <c r="HF129" s="1" t="s">
        <v>212</v>
      </c>
      <c r="HH129" s="162" t="str">
        <f>B129</f>
        <v>Ending Balance</v>
      </c>
      <c r="HI129" s="191"/>
      <c r="HJ129" s="191"/>
      <c r="HK129" s="191"/>
      <c r="HL129" s="190"/>
      <c r="HM129" s="191"/>
      <c r="HN129" s="124">
        <f t="shared" ref="HN129:HV129" si="937">HN121+HN123</f>
        <v>13708</v>
      </c>
      <c r="HO129" s="34">
        <f t="shared" si="937"/>
        <v>13708</v>
      </c>
      <c r="HP129" s="34">
        <f t="shared" si="937"/>
        <v>13708</v>
      </c>
      <c r="HQ129" s="34">
        <f t="shared" si="937"/>
        <v>13708</v>
      </c>
      <c r="HR129" s="34">
        <f t="shared" si="937"/>
        <v>13708</v>
      </c>
      <c r="HS129" s="34">
        <f t="shared" si="937"/>
        <v>13708</v>
      </c>
      <c r="HT129" s="34">
        <f t="shared" si="937"/>
        <v>13708</v>
      </c>
      <c r="HU129" s="34">
        <f t="shared" si="937"/>
        <v>13708</v>
      </c>
      <c r="HV129" s="34">
        <f t="shared" si="937"/>
        <v>13708</v>
      </c>
      <c r="HW129"/>
    </row>
    <row r="130" spans="1:231" ht="15" outlineLevel="1">
      <c r="B130" s="8"/>
      <c r="C130" s="8"/>
      <c r="D130" s="8"/>
      <c r="E130" s="8"/>
      <c r="F130" s="8"/>
      <c r="G130" s="8"/>
      <c r="H130" s="8"/>
      <c r="I130" s="192"/>
      <c r="J130" s="193"/>
      <c r="K130" s="194"/>
      <c r="L130" s="193">
        <f t="shared" ref="L130:S130" ca="1" si="938">+L123+(IF(L208&lt;0, L208, 0))</f>
        <v>0</v>
      </c>
      <c r="M130" s="193">
        <f t="shared" ca="1" si="938"/>
        <v>0</v>
      </c>
      <c r="N130" s="193">
        <f t="shared" ca="1" si="938"/>
        <v>0</v>
      </c>
      <c r="O130" s="193">
        <f t="shared" ca="1" si="938"/>
        <v>0</v>
      </c>
      <c r="P130" s="193">
        <f t="shared" ca="1" si="938"/>
        <v>-277.27544</v>
      </c>
      <c r="Q130" s="193">
        <f t="shared" ca="1" si="938"/>
        <v>0</v>
      </c>
      <c r="R130" s="193">
        <f t="shared" ca="1" si="938"/>
        <v>0</v>
      </c>
      <c r="S130" s="193">
        <f t="shared" ca="1" si="938"/>
        <v>-41.945560000000029</v>
      </c>
      <c r="T130" s="193">
        <f ca="1">+T123+T124+(IF(T208&lt;0, T208, 0))</f>
        <v>0</v>
      </c>
      <c r="U130" s="193">
        <f t="shared" ref="U130:BJ130" ca="1" si="939">+U123+(IF(U208&lt;0, U208, 0))</f>
        <v>-54.283529999999999</v>
      </c>
      <c r="V130" s="193">
        <f t="shared" ca="1" si="939"/>
        <v>-133.06851999999998</v>
      </c>
      <c r="W130" s="193">
        <f t="shared" ca="1" si="939"/>
        <v>0</v>
      </c>
      <c r="X130" s="193">
        <f t="shared" ca="1" si="939"/>
        <v>-130.50846000000001</v>
      </c>
      <c r="Y130" s="193">
        <f t="shared" ca="1" si="939"/>
        <v>0</v>
      </c>
      <c r="Z130" s="193">
        <f t="shared" ca="1" si="939"/>
        <v>0</v>
      </c>
      <c r="AA130" s="193">
        <f t="shared" ca="1" si="939"/>
        <v>-5.3203300000000269</v>
      </c>
      <c r="AB130" s="193">
        <f t="shared" ca="1" si="939"/>
        <v>0</v>
      </c>
      <c r="AC130" s="193">
        <f t="shared" ca="1" si="939"/>
        <v>0</v>
      </c>
      <c r="AD130" s="193">
        <f t="shared" ca="1" si="939"/>
        <v>0</v>
      </c>
      <c r="AE130" s="193">
        <f t="shared" ca="1" si="939"/>
        <v>0</v>
      </c>
      <c r="AF130" s="193">
        <f t="shared" ca="1" si="939"/>
        <v>0</v>
      </c>
      <c r="AG130" s="193">
        <f t="shared" ca="1" si="939"/>
        <v>-578.83768000000009</v>
      </c>
      <c r="AH130" s="193">
        <f t="shared" ca="1" si="939"/>
        <v>0</v>
      </c>
      <c r="AI130" s="193">
        <f t="shared" ca="1" si="939"/>
        <v>0</v>
      </c>
      <c r="AJ130" s="193">
        <f t="shared" ca="1" si="939"/>
        <v>0</v>
      </c>
      <c r="AK130" s="193">
        <f t="shared" ca="1" si="939"/>
        <v>0</v>
      </c>
      <c r="AL130" s="193">
        <f t="shared" ca="1" si="939"/>
        <v>0</v>
      </c>
      <c r="AM130" s="193">
        <f t="shared" ca="1" si="939"/>
        <v>0</v>
      </c>
      <c r="AN130" s="193">
        <f t="shared" ca="1" si="939"/>
        <v>0</v>
      </c>
      <c r="AO130" s="193">
        <f t="shared" ca="1" si="939"/>
        <v>0</v>
      </c>
      <c r="AP130" s="193">
        <f t="shared" ca="1" si="939"/>
        <v>0</v>
      </c>
      <c r="AQ130" s="193">
        <f t="shared" ca="1" si="939"/>
        <v>0</v>
      </c>
      <c r="AR130" s="193">
        <f t="shared" ca="1" si="939"/>
        <v>0</v>
      </c>
      <c r="AS130" s="193">
        <f t="shared" ca="1" si="939"/>
        <v>0</v>
      </c>
      <c r="AT130" s="193">
        <f t="shared" ca="1" si="939"/>
        <v>0</v>
      </c>
      <c r="AU130" s="193">
        <f t="shared" ca="1" si="939"/>
        <v>0</v>
      </c>
      <c r="AV130" s="193">
        <f t="shared" ca="1" si="939"/>
        <v>0</v>
      </c>
      <c r="AW130" s="193">
        <f t="shared" ca="1" si="939"/>
        <v>0</v>
      </c>
      <c r="AX130" s="193">
        <f t="shared" ca="1" si="939"/>
        <v>0</v>
      </c>
      <c r="AY130" s="193">
        <f t="shared" ca="1" si="939"/>
        <v>0</v>
      </c>
      <c r="AZ130" s="193">
        <f t="shared" ca="1" si="939"/>
        <v>0</v>
      </c>
      <c r="BA130" s="193">
        <f t="shared" ca="1" si="939"/>
        <v>-132.96794999999949</v>
      </c>
      <c r="BB130" s="193">
        <f t="shared" ca="1" si="939"/>
        <v>0</v>
      </c>
      <c r="BC130" s="193">
        <f t="shared" ca="1" si="939"/>
        <v>-337.18548000000141</v>
      </c>
      <c r="BD130" s="193">
        <f t="shared" ca="1" si="939"/>
        <v>-597.27151999999842</v>
      </c>
      <c r="BE130" s="193">
        <f t="shared" ca="1" si="939"/>
        <v>0</v>
      </c>
      <c r="BF130" s="193">
        <f t="shared" ca="1" si="939"/>
        <v>0</v>
      </c>
      <c r="BG130" s="193">
        <f t="shared" ca="1" si="939"/>
        <v>-1158.54811</v>
      </c>
      <c r="BH130" s="193">
        <f t="shared" ca="1" si="939"/>
        <v>0</v>
      </c>
      <c r="BI130" s="193">
        <f t="shared" ca="1" si="939"/>
        <v>0</v>
      </c>
      <c r="BJ130" s="193">
        <f t="shared" ca="1" si="939"/>
        <v>0</v>
      </c>
      <c r="BK130" s="193"/>
      <c r="BL130" s="193"/>
      <c r="BM130" s="193"/>
      <c r="BN130" s="193"/>
      <c r="BO130" s="193"/>
      <c r="BP130" s="193"/>
      <c r="BQ130" s="193"/>
      <c r="BR130" s="193"/>
      <c r="BS130" s="193"/>
      <c r="BT130" s="193"/>
      <c r="BU130" s="193"/>
      <c r="BV130" s="193"/>
      <c r="BW130" s="193"/>
      <c r="BX130" s="193"/>
      <c r="BY130" s="193"/>
      <c r="BZ130" s="193"/>
      <c r="CA130" s="193"/>
      <c r="CB130" s="193"/>
      <c r="CC130" s="193"/>
      <c r="CD130" s="193"/>
      <c r="CE130" s="193"/>
      <c r="CF130" s="193"/>
      <c r="CG130" s="193"/>
      <c r="CH130" s="193"/>
      <c r="CI130" s="193"/>
      <c r="CJ130" s="193"/>
      <c r="CK130" s="193"/>
      <c r="CL130" s="193"/>
      <c r="CM130" s="193"/>
      <c r="CN130" s="193"/>
      <c r="CO130" s="193"/>
      <c r="CP130" s="193"/>
      <c r="CQ130" s="193"/>
      <c r="CR130" s="193"/>
      <c r="CS130" s="193"/>
      <c r="CT130" s="193"/>
      <c r="CU130" s="193"/>
      <c r="CV130" s="193"/>
      <c r="CW130" s="193"/>
      <c r="CX130" s="193"/>
      <c r="CY130" s="193"/>
      <c r="CZ130" s="193"/>
      <c r="DA130" s="193"/>
      <c r="DB130" s="193"/>
      <c r="DC130" s="193"/>
      <c r="DD130" s="193"/>
      <c r="DE130" s="193"/>
      <c r="DF130" s="193"/>
      <c r="DG130" s="193"/>
      <c r="DH130" s="193"/>
      <c r="DI130" s="193"/>
      <c r="DJ130" s="193"/>
      <c r="DK130" s="193"/>
      <c r="DL130" s="193"/>
      <c r="DM130" s="193"/>
      <c r="DN130" s="193"/>
      <c r="DO130" s="193"/>
      <c r="DP130" s="193"/>
      <c r="DQ130" s="193"/>
      <c r="DR130" s="193"/>
      <c r="DS130" s="193"/>
      <c r="DT130" s="193"/>
      <c r="DU130" s="193"/>
      <c r="DV130" s="193"/>
      <c r="DW130" s="193"/>
      <c r="DX130" s="193"/>
      <c r="DY130" s="193"/>
      <c r="DZ130" s="193"/>
      <c r="EA130" s="193"/>
      <c r="EB130" s="193"/>
      <c r="EC130" s="193"/>
      <c r="ED130" s="193"/>
      <c r="EE130" s="193"/>
      <c r="EF130" s="193"/>
      <c r="EG130" s="193"/>
      <c r="EH130" s="193"/>
      <c r="EI130" s="193"/>
      <c r="EJ130" s="193"/>
      <c r="EK130" s="193"/>
      <c r="EL130" s="193"/>
      <c r="EM130" s="193"/>
      <c r="EN130" s="193"/>
      <c r="EO130" s="193"/>
      <c r="EP130" s="193"/>
      <c r="EQ130" s="193"/>
      <c r="ER130" s="193"/>
      <c r="ES130" s="193"/>
      <c r="ET130" s="193"/>
      <c r="EU130" s="193"/>
      <c r="EV130" s="193"/>
      <c r="EW130" s="193"/>
      <c r="EX130" s="193"/>
      <c r="EY130" s="193"/>
      <c r="EZ130" s="193"/>
      <c r="FA130" s="193"/>
      <c r="FB130" s="193"/>
      <c r="FC130" s="193"/>
      <c r="FD130" s="193"/>
      <c r="FE130" s="193"/>
      <c r="FF130" s="193"/>
      <c r="FG130" s="193"/>
      <c r="FH130" s="193"/>
      <c r="FI130" s="193"/>
      <c r="FJ130" s="193"/>
      <c r="FK130" s="193"/>
      <c r="FL130" s="193"/>
      <c r="FM130" s="193"/>
      <c r="FN130" s="193"/>
      <c r="FO130" s="193"/>
      <c r="FP130" s="193"/>
      <c r="FQ130" s="193"/>
      <c r="FR130" s="193"/>
      <c r="FS130" s="193"/>
      <c r="FT130" s="193"/>
      <c r="FU130" s="193"/>
      <c r="FV130" s="193"/>
      <c r="FW130" s="193"/>
      <c r="FX130" s="193"/>
      <c r="FY130" s="193"/>
      <c r="FZ130" s="193"/>
      <c r="GA130" s="193"/>
      <c r="GB130" s="193"/>
      <c r="GC130" s="193"/>
      <c r="GD130" s="193"/>
      <c r="GE130" s="193"/>
      <c r="GF130" s="193"/>
      <c r="GG130" s="193"/>
      <c r="GH130" s="193"/>
      <c r="GI130" s="193"/>
      <c r="GJ130" s="193"/>
      <c r="GK130" s="193"/>
      <c r="GL130" s="193"/>
      <c r="GM130" s="193"/>
      <c r="GN130" s="193"/>
      <c r="GO130" s="193"/>
      <c r="GP130" s="193"/>
      <c r="GQ130" s="193"/>
      <c r="GR130" s="193"/>
      <c r="GS130" s="193"/>
      <c r="GT130" s="193"/>
      <c r="GU130" s="188"/>
      <c r="GV130" s="188"/>
      <c r="GW130" s="188"/>
      <c r="GX130" s="188"/>
      <c r="GY130" s="188"/>
      <c r="GZ130" s="188"/>
      <c r="HA130" s="188"/>
      <c r="HB130" s="188"/>
      <c r="HC130" s="188"/>
      <c r="HD130" s="188"/>
      <c r="HE130" s="188"/>
      <c r="HF130" s="1" t="s">
        <v>212</v>
      </c>
      <c r="HH130" s="8"/>
      <c r="HI130" s="193"/>
      <c r="HJ130" s="193"/>
      <c r="HK130" s="193"/>
      <c r="HL130" s="192"/>
      <c r="HM130" s="193"/>
      <c r="HN130" s="194"/>
      <c r="HO130" s="193"/>
      <c r="HP130" s="193"/>
      <c r="HQ130" s="193"/>
      <c r="HR130" s="193"/>
      <c r="HS130" s="193"/>
      <c r="HT130" s="193"/>
      <c r="HU130" s="193"/>
      <c r="HV130" s="193"/>
      <c r="HW130"/>
    </row>
    <row r="131" spans="1:231" ht="15" outlineLevel="1">
      <c r="B131" s="1" t="s">
        <v>124</v>
      </c>
      <c r="I131" s="97"/>
      <c r="K131" s="195">
        <f t="shared" ref="K131:AP131" si="940">K15</f>
        <v>42552</v>
      </c>
      <c r="L131" s="96">
        <f t="shared" si="940"/>
        <v>42582</v>
      </c>
      <c r="M131" s="96">
        <f t="shared" si="940"/>
        <v>42613</v>
      </c>
      <c r="N131" s="96">
        <f t="shared" si="940"/>
        <v>42643</v>
      </c>
      <c r="O131" s="96">
        <f t="shared" si="940"/>
        <v>42674</v>
      </c>
      <c r="P131" s="96">
        <f t="shared" si="940"/>
        <v>42704</v>
      </c>
      <c r="Q131" s="96">
        <f t="shared" si="940"/>
        <v>42735</v>
      </c>
      <c r="R131" s="96">
        <f t="shared" si="940"/>
        <v>42766</v>
      </c>
      <c r="S131" s="96">
        <f t="shared" si="940"/>
        <v>42794</v>
      </c>
      <c r="T131" s="96">
        <f t="shared" si="940"/>
        <v>42825</v>
      </c>
      <c r="U131" s="96">
        <f t="shared" si="940"/>
        <v>42855</v>
      </c>
      <c r="V131" s="96">
        <f t="shared" si="940"/>
        <v>42886</v>
      </c>
      <c r="W131" s="96">
        <f t="shared" si="940"/>
        <v>42916</v>
      </c>
      <c r="X131" s="96">
        <f t="shared" si="940"/>
        <v>42947</v>
      </c>
      <c r="Y131" s="96">
        <f t="shared" si="940"/>
        <v>42978</v>
      </c>
      <c r="Z131" s="96">
        <f t="shared" si="940"/>
        <v>43008</v>
      </c>
      <c r="AA131" s="96">
        <f t="shared" si="940"/>
        <v>43039</v>
      </c>
      <c r="AB131" s="96">
        <f t="shared" si="940"/>
        <v>43069</v>
      </c>
      <c r="AC131" s="96">
        <f t="shared" si="940"/>
        <v>43100</v>
      </c>
      <c r="AD131" s="96">
        <f t="shared" si="940"/>
        <v>43131</v>
      </c>
      <c r="AE131" s="96">
        <f t="shared" si="940"/>
        <v>43159</v>
      </c>
      <c r="AF131" s="96">
        <f t="shared" si="940"/>
        <v>43190</v>
      </c>
      <c r="AG131" s="96">
        <f t="shared" si="940"/>
        <v>43220</v>
      </c>
      <c r="AH131" s="96">
        <f t="shared" si="940"/>
        <v>43251</v>
      </c>
      <c r="AI131" s="96">
        <f t="shared" si="940"/>
        <v>43281</v>
      </c>
      <c r="AJ131" s="96">
        <f t="shared" si="940"/>
        <v>43312</v>
      </c>
      <c r="AK131" s="96">
        <f t="shared" si="940"/>
        <v>43343</v>
      </c>
      <c r="AL131" s="96">
        <f t="shared" si="940"/>
        <v>43373</v>
      </c>
      <c r="AM131" s="96">
        <f t="shared" si="940"/>
        <v>43404</v>
      </c>
      <c r="AN131" s="96">
        <f t="shared" si="940"/>
        <v>43434</v>
      </c>
      <c r="AO131" s="96">
        <f t="shared" si="940"/>
        <v>43465</v>
      </c>
      <c r="AP131" s="96">
        <f t="shared" si="940"/>
        <v>43496</v>
      </c>
      <c r="AQ131" s="96">
        <f t="shared" ref="AQ131:BV131" si="941">AQ15</f>
        <v>43524</v>
      </c>
      <c r="AR131" s="96">
        <f t="shared" si="941"/>
        <v>43555</v>
      </c>
      <c r="AS131" s="96">
        <f t="shared" si="941"/>
        <v>43585</v>
      </c>
      <c r="AT131" s="96">
        <f t="shared" si="941"/>
        <v>43616</v>
      </c>
      <c r="AU131" s="96">
        <f t="shared" si="941"/>
        <v>43646</v>
      </c>
      <c r="AV131" s="96">
        <f t="shared" si="941"/>
        <v>43677</v>
      </c>
      <c r="AW131" s="96">
        <f t="shared" si="941"/>
        <v>43708</v>
      </c>
      <c r="AX131" s="96">
        <f t="shared" si="941"/>
        <v>43738</v>
      </c>
      <c r="AY131" s="96">
        <f t="shared" si="941"/>
        <v>43769</v>
      </c>
      <c r="AZ131" s="96">
        <f t="shared" si="941"/>
        <v>43799</v>
      </c>
      <c r="BA131" s="96">
        <f t="shared" si="941"/>
        <v>43830</v>
      </c>
      <c r="BB131" s="96">
        <f t="shared" si="941"/>
        <v>43861</v>
      </c>
      <c r="BC131" s="96">
        <f t="shared" si="941"/>
        <v>43890</v>
      </c>
      <c r="BD131" s="96">
        <f t="shared" si="941"/>
        <v>43921</v>
      </c>
      <c r="BE131" s="96">
        <f t="shared" si="941"/>
        <v>43951</v>
      </c>
      <c r="BF131" s="96">
        <f t="shared" si="941"/>
        <v>43982</v>
      </c>
      <c r="BG131" s="96">
        <f t="shared" si="941"/>
        <v>44012</v>
      </c>
      <c r="BH131" s="96">
        <f t="shared" si="941"/>
        <v>44043</v>
      </c>
      <c r="BI131" s="96">
        <f t="shared" si="941"/>
        <v>44074</v>
      </c>
      <c r="BJ131" s="96">
        <f t="shared" si="941"/>
        <v>44104</v>
      </c>
      <c r="BK131" s="96">
        <f t="shared" si="941"/>
        <v>44135</v>
      </c>
      <c r="BL131" s="96">
        <f t="shared" si="941"/>
        <v>44165</v>
      </c>
      <c r="BM131" s="96">
        <f t="shared" si="941"/>
        <v>44196</v>
      </c>
      <c r="BN131" s="96">
        <f t="shared" si="941"/>
        <v>44227</v>
      </c>
      <c r="BO131" s="96">
        <f t="shared" si="941"/>
        <v>44255</v>
      </c>
      <c r="BP131" s="96">
        <f t="shared" si="941"/>
        <v>44286</v>
      </c>
      <c r="BQ131" s="96">
        <f t="shared" si="941"/>
        <v>44316</v>
      </c>
      <c r="BR131" s="96">
        <f t="shared" si="941"/>
        <v>44347</v>
      </c>
      <c r="BS131" s="96">
        <f t="shared" si="941"/>
        <v>44377</v>
      </c>
      <c r="BT131" s="96">
        <f t="shared" si="941"/>
        <v>44408</v>
      </c>
      <c r="BU131" s="96">
        <f t="shared" si="941"/>
        <v>44439</v>
      </c>
      <c r="BV131" s="96">
        <f t="shared" si="941"/>
        <v>44469</v>
      </c>
      <c r="BW131" s="96">
        <f t="shared" ref="BW131:DB131" si="942">BW15</f>
        <v>44500</v>
      </c>
      <c r="BX131" s="96">
        <f t="shared" si="942"/>
        <v>44530</v>
      </c>
      <c r="BY131" s="96">
        <f t="shared" si="942"/>
        <v>44561</v>
      </c>
      <c r="BZ131" s="96">
        <f t="shared" si="942"/>
        <v>44592</v>
      </c>
      <c r="CA131" s="96">
        <f t="shared" si="942"/>
        <v>44620</v>
      </c>
      <c r="CB131" s="96">
        <f t="shared" si="942"/>
        <v>44651</v>
      </c>
      <c r="CC131" s="96">
        <f t="shared" si="942"/>
        <v>44681</v>
      </c>
      <c r="CD131" s="96">
        <f t="shared" si="942"/>
        <v>44712</v>
      </c>
      <c r="CE131" s="96">
        <f t="shared" si="942"/>
        <v>44742</v>
      </c>
      <c r="CF131" s="96">
        <f t="shared" si="942"/>
        <v>44773</v>
      </c>
      <c r="CG131" s="96">
        <f t="shared" si="942"/>
        <v>44804</v>
      </c>
      <c r="CH131" s="96">
        <f t="shared" si="942"/>
        <v>44834</v>
      </c>
      <c r="CI131" s="96">
        <f t="shared" si="942"/>
        <v>44865</v>
      </c>
      <c r="CJ131" s="96">
        <f t="shared" si="942"/>
        <v>44895</v>
      </c>
      <c r="CK131" s="96">
        <f t="shared" si="942"/>
        <v>44926</v>
      </c>
      <c r="CL131" s="96">
        <f t="shared" si="942"/>
        <v>44957</v>
      </c>
      <c r="CM131" s="96">
        <f t="shared" si="942"/>
        <v>44985</v>
      </c>
      <c r="CN131" s="96">
        <f t="shared" si="942"/>
        <v>45016</v>
      </c>
      <c r="CO131" s="96">
        <f t="shared" si="942"/>
        <v>45046</v>
      </c>
      <c r="CP131" s="96">
        <f t="shared" si="942"/>
        <v>45077</v>
      </c>
      <c r="CQ131" s="96">
        <f t="shared" si="942"/>
        <v>45107</v>
      </c>
      <c r="CR131" s="96">
        <f t="shared" si="942"/>
        <v>45138</v>
      </c>
      <c r="CS131" s="96">
        <f t="shared" si="942"/>
        <v>45169</v>
      </c>
      <c r="CT131" s="96">
        <f t="shared" si="942"/>
        <v>45199</v>
      </c>
      <c r="CU131" s="96">
        <f t="shared" si="942"/>
        <v>45230</v>
      </c>
      <c r="CV131" s="96">
        <f t="shared" si="942"/>
        <v>45260</v>
      </c>
      <c r="CW131" s="96">
        <f t="shared" si="942"/>
        <v>45291</v>
      </c>
      <c r="CX131" s="96">
        <f t="shared" si="942"/>
        <v>45322</v>
      </c>
      <c r="CY131" s="96">
        <f t="shared" si="942"/>
        <v>45351</v>
      </c>
      <c r="CZ131" s="96">
        <f t="shared" si="942"/>
        <v>45382</v>
      </c>
      <c r="DA131" s="96">
        <f t="shared" si="942"/>
        <v>45412</v>
      </c>
      <c r="DB131" s="96">
        <f t="shared" si="942"/>
        <v>45443</v>
      </c>
      <c r="DC131" s="96">
        <f t="shared" ref="DC131:EH131" si="943">DC15</f>
        <v>45473</v>
      </c>
      <c r="DD131" s="96">
        <f t="shared" si="943"/>
        <v>45504</v>
      </c>
      <c r="DE131" s="96">
        <f t="shared" si="943"/>
        <v>45535</v>
      </c>
      <c r="DF131" s="96">
        <f t="shared" si="943"/>
        <v>45565</v>
      </c>
      <c r="DG131" s="96">
        <f t="shared" si="943"/>
        <v>45596</v>
      </c>
      <c r="DH131" s="96">
        <f t="shared" si="943"/>
        <v>45626</v>
      </c>
      <c r="DI131" s="96">
        <f t="shared" si="943"/>
        <v>45657</v>
      </c>
      <c r="DJ131" s="96">
        <f t="shared" si="943"/>
        <v>45688</v>
      </c>
      <c r="DK131" s="96">
        <f t="shared" si="943"/>
        <v>45716</v>
      </c>
      <c r="DL131" s="96">
        <f t="shared" si="943"/>
        <v>45747</v>
      </c>
      <c r="DM131" s="96">
        <f t="shared" si="943"/>
        <v>45777</v>
      </c>
      <c r="DN131" s="96">
        <f t="shared" si="943"/>
        <v>45808</v>
      </c>
      <c r="DO131" s="96">
        <f t="shared" si="943"/>
        <v>45838</v>
      </c>
      <c r="DP131" s="96">
        <f t="shared" si="943"/>
        <v>45869</v>
      </c>
      <c r="DQ131" s="96">
        <f t="shared" si="943"/>
        <v>45900</v>
      </c>
      <c r="DR131" s="96">
        <f t="shared" si="943"/>
        <v>45930</v>
      </c>
      <c r="DS131" s="96">
        <f t="shared" si="943"/>
        <v>45961</v>
      </c>
      <c r="DT131" s="96">
        <f t="shared" si="943"/>
        <v>45991</v>
      </c>
      <c r="DU131" s="96">
        <f t="shared" si="943"/>
        <v>46022</v>
      </c>
      <c r="DV131" s="96">
        <f t="shared" si="943"/>
        <v>46053</v>
      </c>
      <c r="DW131" s="96">
        <f t="shared" si="943"/>
        <v>46081</v>
      </c>
      <c r="DX131" s="96">
        <f t="shared" si="943"/>
        <v>46112</v>
      </c>
      <c r="DY131" s="96">
        <f t="shared" si="943"/>
        <v>46142</v>
      </c>
      <c r="DZ131" s="96">
        <f t="shared" si="943"/>
        <v>46173</v>
      </c>
      <c r="EA131" s="96">
        <f t="shared" si="943"/>
        <v>46203</v>
      </c>
      <c r="EB131" s="96">
        <f t="shared" si="943"/>
        <v>46234</v>
      </c>
      <c r="EC131" s="96">
        <f t="shared" si="943"/>
        <v>46265</v>
      </c>
      <c r="ED131" s="96">
        <f t="shared" si="943"/>
        <v>46295</v>
      </c>
      <c r="EE131" s="96">
        <f t="shared" si="943"/>
        <v>46326</v>
      </c>
      <c r="EF131" s="96">
        <f t="shared" si="943"/>
        <v>46356</v>
      </c>
      <c r="EG131" s="96">
        <f t="shared" si="943"/>
        <v>46387</v>
      </c>
      <c r="EH131" s="96">
        <f t="shared" si="943"/>
        <v>46418</v>
      </c>
      <c r="EI131" s="96">
        <f t="shared" ref="EI131:FN131" si="944">EI15</f>
        <v>46446</v>
      </c>
      <c r="EJ131" s="96">
        <f t="shared" si="944"/>
        <v>46477</v>
      </c>
      <c r="EK131" s="96">
        <f t="shared" si="944"/>
        <v>46507</v>
      </c>
      <c r="EL131" s="96">
        <f t="shared" si="944"/>
        <v>46538</v>
      </c>
      <c r="EM131" s="96">
        <f t="shared" si="944"/>
        <v>46568</v>
      </c>
      <c r="EN131" s="96">
        <f t="shared" si="944"/>
        <v>46599</v>
      </c>
      <c r="EO131" s="96">
        <f t="shared" si="944"/>
        <v>46630</v>
      </c>
      <c r="EP131" s="96">
        <f t="shared" si="944"/>
        <v>46660</v>
      </c>
      <c r="EQ131" s="96">
        <f t="shared" si="944"/>
        <v>46691</v>
      </c>
      <c r="ER131" s="96">
        <f t="shared" si="944"/>
        <v>46721</v>
      </c>
      <c r="ES131" s="96">
        <f t="shared" si="944"/>
        <v>46752</v>
      </c>
      <c r="ET131" s="96">
        <f t="shared" si="944"/>
        <v>46783</v>
      </c>
      <c r="EU131" s="96">
        <f t="shared" si="944"/>
        <v>46812</v>
      </c>
      <c r="EV131" s="96">
        <f t="shared" si="944"/>
        <v>46843</v>
      </c>
      <c r="EW131" s="96">
        <f t="shared" si="944"/>
        <v>46873</v>
      </c>
      <c r="EX131" s="96">
        <f t="shared" si="944"/>
        <v>46904</v>
      </c>
      <c r="EY131" s="96">
        <f t="shared" si="944"/>
        <v>46934</v>
      </c>
      <c r="EZ131" s="96">
        <f t="shared" si="944"/>
        <v>46965</v>
      </c>
      <c r="FA131" s="96">
        <f t="shared" si="944"/>
        <v>46996</v>
      </c>
      <c r="FB131" s="96">
        <f t="shared" si="944"/>
        <v>47026</v>
      </c>
      <c r="FC131" s="96">
        <f t="shared" si="944"/>
        <v>47057</v>
      </c>
      <c r="FD131" s="96">
        <f t="shared" si="944"/>
        <v>47087</v>
      </c>
      <c r="FE131" s="96">
        <f t="shared" si="944"/>
        <v>47118</v>
      </c>
      <c r="FF131" s="96">
        <f t="shared" si="944"/>
        <v>47149</v>
      </c>
      <c r="FG131" s="96">
        <f t="shared" si="944"/>
        <v>47177</v>
      </c>
      <c r="FH131" s="96">
        <f t="shared" si="944"/>
        <v>47208</v>
      </c>
      <c r="FI131" s="96">
        <f t="shared" si="944"/>
        <v>47238</v>
      </c>
      <c r="FJ131" s="96">
        <f t="shared" si="944"/>
        <v>47269</v>
      </c>
      <c r="FK131" s="96">
        <f t="shared" si="944"/>
        <v>47299</v>
      </c>
      <c r="FL131" s="96">
        <f t="shared" si="944"/>
        <v>47330</v>
      </c>
      <c r="FM131" s="96">
        <f t="shared" si="944"/>
        <v>47361</v>
      </c>
      <c r="FN131" s="96">
        <f t="shared" si="944"/>
        <v>47391</v>
      </c>
      <c r="FO131" s="96">
        <f t="shared" ref="FO131:GC131" si="945">FO15</f>
        <v>47422</v>
      </c>
      <c r="FP131" s="96">
        <f t="shared" si="945"/>
        <v>47452</v>
      </c>
      <c r="FQ131" s="96">
        <f t="shared" si="945"/>
        <v>47483</v>
      </c>
      <c r="FR131" s="96">
        <f t="shared" si="945"/>
        <v>47514</v>
      </c>
      <c r="FS131" s="96">
        <f t="shared" si="945"/>
        <v>47542</v>
      </c>
      <c r="FT131" s="96">
        <f t="shared" si="945"/>
        <v>47573</v>
      </c>
      <c r="FU131" s="96">
        <f t="shared" si="945"/>
        <v>47603</v>
      </c>
      <c r="FV131" s="96">
        <f t="shared" si="945"/>
        <v>47634</v>
      </c>
      <c r="FW131" s="96">
        <f t="shared" si="945"/>
        <v>47664</v>
      </c>
      <c r="FX131" s="96">
        <f t="shared" si="945"/>
        <v>47695</v>
      </c>
      <c r="FY131" s="96">
        <f t="shared" si="945"/>
        <v>47726</v>
      </c>
      <c r="FZ131" s="96">
        <f t="shared" si="945"/>
        <v>47756</v>
      </c>
      <c r="GA131" s="96">
        <f t="shared" si="945"/>
        <v>47787</v>
      </c>
      <c r="GB131" s="96">
        <f t="shared" si="945"/>
        <v>47817</v>
      </c>
      <c r="GC131" s="96">
        <f t="shared" si="945"/>
        <v>47848</v>
      </c>
      <c r="GD131" s="96"/>
      <c r="GE131" s="96"/>
      <c r="GF131" s="96"/>
      <c r="GG131" s="96"/>
      <c r="GH131" s="96"/>
      <c r="GI131" s="96"/>
      <c r="GJ131" s="96"/>
      <c r="GK131" s="96"/>
      <c r="GL131" s="96"/>
      <c r="GM131" s="96"/>
      <c r="GN131" s="96"/>
      <c r="GO131" s="96"/>
      <c r="GP131" s="96">
        <f>GP15</f>
        <v>48244</v>
      </c>
      <c r="GQ131" s="96">
        <f>GQ15</f>
        <v>48273</v>
      </c>
      <c r="GR131" s="96">
        <f>GR15</f>
        <v>48304</v>
      </c>
      <c r="GS131" s="96">
        <f>GS15</f>
        <v>48334</v>
      </c>
      <c r="GT131" s="96">
        <f>GT15</f>
        <v>48365</v>
      </c>
      <c r="GU131" s="96"/>
      <c r="GV131" s="96"/>
      <c r="GW131" s="96"/>
      <c r="GX131" s="96"/>
      <c r="GY131" s="96"/>
      <c r="GZ131" s="96"/>
      <c r="HA131" s="96"/>
      <c r="HB131" s="96"/>
      <c r="HC131" s="96"/>
      <c r="HD131" s="96"/>
      <c r="HE131" s="96"/>
      <c r="HF131" s="1" t="s">
        <v>212</v>
      </c>
      <c r="HL131" s="97"/>
      <c r="HN131" s="195"/>
      <c r="HO131" s="96"/>
      <c r="HP131" s="96"/>
      <c r="HQ131" s="96"/>
      <c r="HR131" s="96"/>
      <c r="HS131" s="96"/>
      <c r="HT131" s="96"/>
      <c r="HU131" s="96"/>
      <c r="HV131" s="96"/>
      <c r="HW131"/>
    </row>
    <row r="132" spans="1:231" ht="15" outlineLevel="1">
      <c r="B132" s="9" t="s">
        <v>92</v>
      </c>
      <c r="I132" s="97"/>
      <c r="K132" s="100">
        <f>K7</f>
        <v>0</v>
      </c>
      <c r="L132" s="196">
        <f>MAX(L7, Assumptions!$D$33)</f>
        <v>5.0000000000000001E-3</v>
      </c>
      <c r="M132" s="196">
        <f>MAX(M7, Assumptions!$D$33)</f>
        <v>5.0000000000000001E-3</v>
      </c>
      <c r="N132" s="196">
        <f>MAX(N7, Assumptions!$D$33)</f>
        <v>5.0000000000000001E-3</v>
      </c>
      <c r="O132" s="196">
        <f>MAX(O7, Assumptions!$D$33)</f>
        <v>5.0000000000000001E-3</v>
      </c>
      <c r="P132" s="196">
        <f>MAX(P7, Assumptions!$D$33)</f>
        <v>5.0000000000000001E-3</v>
      </c>
      <c r="Q132" s="196">
        <f>MAX(Q7, Assumptions!$D$33)</f>
        <v>5.0000000000000001E-3</v>
      </c>
      <c r="R132" s="196">
        <f>MAX(R7, Assumptions!$D$33)</f>
        <v>5.0000000000000001E-3</v>
      </c>
      <c r="S132" s="196">
        <f>MAX(S7, Assumptions!$D$33)</f>
        <v>5.0000000000000001E-3</v>
      </c>
      <c r="T132" s="196">
        <f>MAX(T7, Assumptions!$D$33)</f>
        <v>5.0000000000000001E-3</v>
      </c>
      <c r="U132" s="196">
        <f>MAX(U7, Assumptions!$D$33)</f>
        <v>5.0000000000000001E-3</v>
      </c>
      <c r="V132" s="196">
        <f>MAX(V7, Assumptions!$D$33)</f>
        <v>5.0000000000000001E-3</v>
      </c>
      <c r="W132" s="196">
        <f>MAX(W7, Assumptions!$D$33)</f>
        <v>5.0000000000000001E-3</v>
      </c>
      <c r="X132" s="196">
        <f>MAX(X7, Assumptions!$D$33)</f>
        <v>5.0000000000000001E-3</v>
      </c>
      <c r="Y132" s="196">
        <f>MAX(Y7, Assumptions!$D$33)</f>
        <v>5.0000000000000001E-3</v>
      </c>
      <c r="Z132" s="196">
        <f>MAX(Z7, Assumptions!$D$33)</f>
        <v>5.0000000000000001E-3</v>
      </c>
      <c r="AA132" s="196">
        <f>MAX(AA7, Assumptions!$D$33)</f>
        <v>5.0000000000000001E-3</v>
      </c>
      <c r="AB132" s="196">
        <f>MAX(AB7, Assumptions!$D$33)</f>
        <v>5.0000000000000001E-3</v>
      </c>
      <c r="AC132" s="196">
        <f>MAX(AC7, Assumptions!$D$33)</f>
        <v>5.0000000000000001E-3</v>
      </c>
      <c r="AD132" s="196">
        <f>MAX(AD7, Assumptions!$D$33)</f>
        <v>5.0000000000000001E-3</v>
      </c>
      <c r="AE132" s="196">
        <f>MAX(AE7, Assumptions!$D$33)</f>
        <v>5.0000000000000001E-3</v>
      </c>
      <c r="AF132" s="196">
        <f>MAX(AF7, Assumptions!$D$33)</f>
        <v>5.0000000000000001E-3</v>
      </c>
      <c r="AG132" s="196">
        <f>MAX(AG7, Assumptions!$D$33)</f>
        <v>1.93459371509354E-2</v>
      </c>
      <c r="AH132" s="196">
        <f>MAX(AH7, Assumptions!$D$33)</f>
        <v>2.02779018683127E-2</v>
      </c>
      <c r="AI132" s="196">
        <f>MAX(AI7, Assumptions!$D$33)</f>
        <v>2.0878799999999999E-2</v>
      </c>
      <c r="AJ132" s="196">
        <f>MAX(AJ7, Assumptions!$D$33)</f>
        <v>2.0964679095913302E-2</v>
      </c>
      <c r="AK132" s="196">
        <f>MAX(AK7, Assumptions!$D$33)</f>
        <v>2.1362736865347998E-2</v>
      </c>
      <c r="AL132" s="196">
        <f>MAX(AL7, Assumptions!$D$33)</f>
        <v>2.2173289783933299E-2</v>
      </c>
      <c r="AM132" s="196">
        <f>MAX(AM7, Assumptions!$D$33)</f>
        <v>2.3061997608283001E-2</v>
      </c>
      <c r="AN132" s="196">
        <f>MAX(AN7, Assumptions!$D$33)</f>
        <v>2.3797887774857199E-2</v>
      </c>
      <c r="AO132" s="196">
        <f>MAX(AO7, Assumptions!$D$33)</f>
        <v>2.4381140155075299E-2</v>
      </c>
      <c r="AP132" s="196">
        <f>MAX(AP7, Assumptions!$D$33)</f>
        <v>2.49276744061948E-2</v>
      </c>
      <c r="AQ132" s="196">
        <f>MAX(AQ7, Assumptions!$D$33)</f>
        <v>2.5399075799926299E-2</v>
      </c>
      <c r="AR132" s="196">
        <f>MAX(AR7, Assumptions!$D$33)</f>
        <v>2.58906754648245E-2</v>
      </c>
      <c r="AS132" s="196">
        <f>MAX(AS7, Assumptions!$D$33)</f>
        <v>2.6352311637041301E-2</v>
      </c>
      <c r="AT132" s="196">
        <f>MAX(AT7, Assumptions!$D$33)</f>
        <v>2.4416500000000001E-2</v>
      </c>
      <c r="AU132" s="196">
        <f>MAX(AU7, Assumptions!$D$33)</f>
        <v>2.4323299999999999E-2</v>
      </c>
      <c r="AV132" s="196">
        <f>MAX(AV7, Assumptions!$D$33)</f>
        <v>2.4096900000000001E-2</v>
      </c>
      <c r="AW132" s="196">
        <f>MAX(AW7, Assumptions!$D$33)</f>
        <v>2.1452499999999999E-2</v>
      </c>
      <c r="AX132" s="196">
        <f>MAX(AX7, Assumptions!$D$33)</f>
        <v>2.0299999999999999E-2</v>
      </c>
      <c r="AY132" s="196">
        <f>MAX(AY7, Assumptions!$D$33)</f>
        <v>1.8200000000000001E-2</v>
      </c>
      <c r="AZ132" s="196">
        <f>MAX(AZ7, Assumptions!$D$33)</f>
        <v>1.7000000000000001E-2</v>
      </c>
      <c r="BA132" s="196">
        <f>MAX(BA7, Assumptions!$D$33)</f>
        <v>1.7399999999999999E-2</v>
      </c>
      <c r="BB132" s="196">
        <f>MAX(BB7, Assumptions!$D$33)</f>
        <v>1.7131500000000001E-2</v>
      </c>
      <c r="BC132" s="196">
        <f>MAX(BC7, Assumptions!$D$33)</f>
        <v>1.6607299999999998E-2</v>
      </c>
      <c r="BD132" s="196">
        <f>MAX(BD7, Assumptions!$D$33)</f>
        <v>1.50869E-2</v>
      </c>
      <c r="BE132" s="196">
        <f>MAX(BE7, Assumptions!$D$33)</f>
        <v>8.0453E-3</v>
      </c>
      <c r="BF132" s="196">
        <f>MAX(BF7, Assumptions!$D$33)</f>
        <v>5.0000000000000001E-3</v>
      </c>
      <c r="BG132" s="196">
        <f>MAX(BG7, Assumptions!$D$33)</f>
        <v>5.0000000000000001E-3</v>
      </c>
      <c r="BH132" s="196">
        <f>MAX(BH7, Assumptions!$D$33)</f>
        <v>5.0000000000000001E-3</v>
      </c>
      <c r="BI132" s="196">
        <f>MAX(BI7, Assumptions!$D$33)</f>
        <v>5.0000000000000001E-3</v>
      </c>
      <c r="BJ132" s="196">
        <f>MAX(BJ7, Assumptions!$D$33)</f>
        <v>5.0000000000000001E-3</v>
      </c>
      <c r="BK132" s="196">
        <f>MAX(BK7, Assumptions!$D$33)</f>
        <v>5.0000000000000001E-3</v>
      </c>
      <c r="BL132" s="196">
        <f>MAX(BL7, Assumptions!$D$33)</f>
        <v>5.0000000000000001E-3</v>
      </c>
      <c r="BM132" s="196">
        <f>MAX(BM7, Assumptions!$D$33)</f>
        <v>5.0000000000000001E-3</v>
      </c>
      <c r="BN132" s="196">
        <f>MAX(BN7, Assumptions!$D$33)</f>
        <v>5.0000000000000001E-3</v>
      </c>
      <c r="BO132" s="196">
        <f>MAX(BO7, Assumptions!$D$33)</f>
        <v>5.0000000000000001E-3</v>
      </c>
      <c r="BP132" s="196">
        <f>MAX(BP7, Assumptions!$D$33)</f>
        <v>5.0000000000000001E-3</v>
      </c>
      <c r="BQ132" s="196">
        <f>MAX(BQ7, Assumptions!$D$33)</f>
        <v>5.0000000000000001E-3</v>
      </c>
      <c r="BR132" s="196">
        <f>MAX(BR7, Assumptions!$D$33)</f>
        <v>5.0000000000000001E-3</v>
      </c>
      <c r="BS132" s="196">
        <f>MAX(BS7, Assumptions!$D$33)</f>
        <v>5.0000000000000001E-3</v>
      </c>
      <c r="BT132" s="196">
        <f>MAX(BT7, Assumptions!$D$33)</f>
        <v>5.0000000000000001E-3</v>
      </c>
      <c r="BU132" s="196">
        <f>MAX(BU7, Assumptions!$D$33)</f>
        <v>5.0000000000000001E-3</v>
      </c>
      <c r="BV132" s="196">
        <f>MAX(BV7, Assumptions!$D$33)</f>
        <v>5.0000000000000001E-3</v>
      </c>
      <c r="BW132" s="196">
        <f>MAX(BW7, Assumptions!$D$33)</f>
        <v>5.0000000000000001E-3</v>
      </c>
      <c r="BX132" s="196">
        <f>MAX(BX7, Assumptions!$D$33)</f>
        <v>5.0000000000000001E-3</v>
      </c>
      <c r="BY132" s="196">
        <f>MAX(BY7, Assumptions!$D$33)</f>
        <v>5.0000000000000001E-3</v>
      </c>
      <c r="BZ132" s="196">
        <f>MAX(BZ7, Assumptions!$D$33)</f>
        <v>5.0000000000000001E-3</v>
      </c>
      <c r="CA132" s="196">
        <f>MAX(CA7, Assumptions!$D$33)</f>
        <v>5.0000000000000001E-3</v>
      </c>
      <c r="CB132" s="196">
        <f>MAX(CB7, Assumptions!$D$33)</f>
        <v>5.0000000000000001E-3</v>
      </c>
      <c r="CC132" s="196">
        <f>MAX(CC7, Assumptions!$D$33)</f>
        <v>5.0000000000000001E-3</v>
      </c>
      <c r="CD132" s="196">
        <f>MAX(CD7, Assumptions!$D$33)</f>
        <v>5.0000000000000001E-3</v>
      </c>
      <c r="CE132" s="196">
        <f>MAX(CE7, Assumptions!$D$33)</f>
        <v>5.0000000000000001E-3</v>
      </c>
      <c r="CF132" s="196">
        <f>MAX(CF7, Assumptions!$D$33)</f>
        <v>5.0000000000000001E-3</v>
      </c>
      <c r="CG132" s="196">
        <f>MAX(CG7, Assumptions!$D$33)</f>
        <v>5.0000000000000001E-3</v>
      </c>
      <c r="CH132" s="196">
        <f>MAX(CH7, Assumptions!$D$33)</f>
        <v>5.0000000000000001E-3</v>
      </c>
      <c r="CI132" s="196">
        <f>MAX(CI7, Assumptions!$D$33)</f>
        <v>5.0000000000000001E-3</v>
      </c>
      <c r="CJ132" s="196">
        <f>MAX(CJ7, Assumptions!$D$33)</f>
        <v>3.90987E-2</v>
      </c>
      <c r="CK132" s="196">
        <f>MAX(CK7, Assumptions!$D$33)</f>
        <v>4.44781E-2</v>
      </c>
      <c r="CL132" s="196">
        <f>MAX(CL7, Assumptions!$D$33)</f>
        <v>4.8152599999999997E-2</v>
      </c>
      <c r="CM132" s="196">
        <f>MAX(CM7, Assumptions!$D$33)</f>
        <v>5.02318E-2</v>
      </c>
      <c r="CN132" s="196">
        <f>MAX(CN7, Assumptions!$D$33)</f>
        <v>5.0998799999999997E-2</v>
      </c>
      <c r="CO132" s="196">
        <f>MAX(CO7, Assumptions!$D$33)</f>
        <v>5.1074399999999999E-2</v>
      </c>
      <c r="CP132" s="196">
        <f>MAX(CP7, Assumptions!$D$33)</f>
        <v>5.08242E-2</v>
      </c>
      <c r="CQ132" s="196">
        <f>MAX(CQ7, Assumptions!$D$33)</f>
        <v>5.02967E-2</v>
      </c>
      <c r="CR132" s="196">
        <f>MAX(CR7, Assumptions!$D$33)</f>
        <v>4.9586600000000002E-2</v>
      </c>
      <c r="CS132" s="196">
        <f>MAX(CS7, Assumptions!$D$33)</f>
        <v>5.0000000000000001E-3</v>
      </c>
      <c r="CT132" s="196">
        <f>MAX(CT7, Assumptions!$D$33)</f>
        <v>5.0000000000000001E-3</v>
      </c>
      <c r="CU132" s="196">
        <f>MAX(CU7, Assumptions!$D$33)</f>
        <v>4.7155799999999998E-2</v>
      </c>
      <c r="CV132" s="196">
        <f>MAX(CV7, Assumptions!$D$33)</f>
        <v>4.6134599999999998E-2</v>
      </c>
      <c r="CW132" s="196">
        <f>MAX(CW7, Assumptions!$D$33)</f>
        <v>4.50652E-2</v>
      </c>
      <c r="CX132" s="196">
        <f>MAX(CX7, Assumptions!$D$33)</f>
        <v>4.4078199999999998E-2</v>
      </c>
      <c r="CY132" s="196">
        <f>MAX(CY7, Assumptions!$D$33)</f>
        <v>4.2911199999999997E-2</v>
      </c>
      <c r="CZ132" s="196">
        <f>MAX(CZ7, Assumptions!$D$33)</f>
        <v>4.1686899999999999E-2</v>
      </c>
      <c r="DA132" s="196">
        <f>MAX(DA7, Assumptions!$D$33)</f>
        <v>4.05943E-2</v>
      </c>
      <c r="DB132" s="196">
        <f>MAX(DB7, Assumptions!$D$33)</f>
        <v>3.9406200000000002E-2</v>
      </c>
      <c r="DC132" s="196">
        <f>MAX(DC7, Assumptions!$D$33)</f>
        <v>3.83253E-2</v>
      </c>
      <c r="DD132" s="196">
        <f>MAX(DD7, Assumptions!$D$33)</f>
        <v>3.7435400000000001E-2</v>
      </c>
      <c r="DE132" s="196">
        <f>MAX(DE7, Assumptions!$D$33)</f>
        <v>3.6636299999999997E-2</v>
      </c>
      <c r="DF132" s="196">
        <f>MAX(DF7, Assumptions!$D$33)</f>
        <v>3.6059899999999999E-2</v>
      </c>
      <c r="DG132" s="196">
        <f>MAX(DG7, Assumptions!$D$33)</f>
        <v>3.5537199999999998E-2</v>
      </c>
      <c r="DH132" s="196">
        <f>MAX(DH7, Assumptions!$D$33)</f>
        <v>3.5163899999999998E-2</v>
      </c>
      <c r="DI132" s="196">
        <f>MAX(DI7, Assumptions!$D$33)</f>
        <v>3.4929399999999999E-2</v>
      </c>
      <c r="DJ132" s="196">
        <f>MAX(DJ7, Assumptions!$D$33)</f>
        <v>3.4659599999999999E-2</v>
      </c>
      <c r="DK132" s="196">
        <f>MAX(DK7, Assumptions!$D$33)</f>
        <v>3.4436300000000003E-2</v>
      </c>
      <c r="DL132" s="196">
        <f>MAX(DL7, Assumptions!$D$33)</f>
        <v>3.4244200000000002E-2</v>
      </c>
      <c r="DM132" s="196">
        <f>MAX(DM7, Assumptions!$D$33)</f>
        <v>3.40349E-2</v>
      </c>
      <c r="DN132" s="196">
        <f>MAX(DN7, Assumptions!$D$33)</f>
        <v>3.3835299999999999E-2</v>
      </c>
      <c r="DO132" s="196">
        <f>MAX(DO7, Assumptions!$D$33)</f>
        <v>3.3660700000000002E-2</v>
      </c>
      <c r="DP132" s="196">
        <f>MAX(DP7, Assumptions!$D$33)</f>
        <v>3.3436599999999997E-2</v>
      </c>
      <c r="DQ132" s="196">
        <f>MAX(DQ7, Assumptions!$D$33)</f>
        <v>3.3233100000000002E-2</v>
      </c>
      <c r="DR132" s="196">
        <f>MAX(DR7, Assumptions!$D$33)</f>
        <v>3.3073999999999999E-2</v>
      </c>
      <c r="DS132" s="196">
        <f>MAX(DS7, Assumptions!$D$33)</f>
        <v>3.2877499999999997E-2</v>
      </c>
      <c r="DT132" s="196">
        <f>MAX(DT7, Assumptions!$D$33)</f>
        <v>3.2710000000000003E-2</v>
      </c>
      <c r="DU132" s="196">
        <f>MAX(DU7, Assumptions!$D$33)</f>
        <v>3.25854E-2</v>
      </c>
      <c r="DV132" s="196">
        <f>MAX(DV7, Assumptions!$D$33)</f>
        <v>3.24447E-2</v>
      </c>
      <c r="DW132" s="196">
        <f>MAX(DW7, Assumptions!$D$33)</f>
        <v>3.2349000000000003E-2</v>
      </c>
      <c r="DX132" s="196">
        <f>MAX(DX7, Assumptions!$D$33)</f>
        <v>3.2280299999999998E-2</v>
      </c>
      <c r="DY132" s="196">
        <f>MAX(DY7, Assumptions!$D$33)</f>
        <v>3.2198200000000003E-2</v>
      </c>
      <c r="DZ132" s="196">
        <f>MAX(DZ7, Assumptions!$D$33)</f>
        <v>3.2153300000000003E-2</v>
      </c>
      <c r="EA132" s="196">
        <f>MAX(EA7, Assumptions!$D$33)</f>
        <v>3.2140799999999997E-2</v>
      </c>
      <c r="EB132" s="196">
        <f>MAX(EB7, Assumptions!$D$33)</f>
        <v>3.2116800000000001E-2</v>
      </c>
      <c r="EC132" s="196">
        <f>MAX(EC7, Assumptions!$D$33)</f>
        <v>3.2124899999999998E-2</v>
      </c>
      <c r="ED132" s="196">
        <f>MAX(ED7, Assumptions!$D$33)</f>
        <v>3.2156799999999999E-2</v>
      </c>
      <c r="EE132" s="196">
        <f>MAX(EE7, Assumptions!$D$33)</f>
        <v>3.2176099999999999E-2</v>
      </c>
      <c r="EF132" s="196">
        <f>MAX(EF7, Assumptions!$D$33)</f>
        <v>3.22162E-2</v>
      </c>
      <c r="EG132" s="196">
        <f>MAX(EG7, Assumptions!$D$33)</f>
        <v>3.2280999999999997E-2</v>
      </c>
      <c r="EH132" s="196">
        <f>MAX(EH7, Assumptions!$D$33)</f>
        <v>3.2321700000000002E-2</v>
      </c>
      <c r="EI132" s="196">
        <f>MAX(EI7, Assumptions!$D$33)</f>
        <v>3.2369599999999998E-2</v>
      </c>
      <c r="EJ132" s="196">
        <f>MAX(EJ7, Assumptions!$D$33)</f>
        <v>3.2431799999999997E-2</v>
      </c>
      <c r="EK132" s="196">
        <f>MAX(EK7, Assumptions!$D$33)</f>
        <v>3.2464E-2</v>
      </c>
      <c r="EL132" s="196">
        <f>MAX(EL7, Assumptions!$D$33)</f>
        <v>3.2507300000000003E-2</v>
      </c>
      <c r="EM132" s="196">
        <f>MAX(EM7, Assumptions!$D$33)</f>
        <v>5.0000000000000001E-3</v>
      </c>
      <c r="EN132" s="196">
        <f>MAX(EN7, Assumptions!$D$33)</f>
        <v>5.0000000000000001E-3</v>
      </c>
      <c r="EO132" s="196">
        <f>MAX(EO7, Assumptions!$D$33)</f>
        <v>5.0000000000000001E-3</v>
      </c>
      <c r="EP132" s="196">
        <f>MAX(EP7, Assumptions!$D$33)</f>
        <v>5.0000000000000001E-3</v>
      </c>
      <c r="EQ132" s="196">
        <f>MAX(EQ7, Assumptions!$D$33)</f>
        <v>5.0000000000000001E-3</v>
      </c>
      <c r="ER132" s="196">
        <f>MAX(ER7, Assumptions!$D$33)</f>
        <v>5.0000000000000001E-3</v>
      </c>
      <c r="ES132" s="196">
        <f>MAX(ES7, Assumptions!$D$33)</f>
        <v>5.0000000000000001E-3</v>
      </c>
      <c r="ET132" s="196">
        <f>MAX(ET7, Assumptions!$D$33)</f>
        <v>5.0000000000000001E-3</v>
      </c>
      <c r="EU132" s="196">
        <f>MAX(EU7, Assumptions!$D$33)</f>
        <v>5.0000000000000001E-3</v>
      </c>
      <c r="EV132" s="196">
        <f>MAX(EV7, Assumptions!$D$33)</f>
        <v>5.0000000000000001E-3</v>
      </c>
      <c r="EW132" s="196">
        <f>MAX(EW7, Assumptions!$D$33)</f>
        <v>5.0000000000000001E-3</v>
      </c>
      <c r="EX132" s="196">
        <f>MAX(EX7, Assumptions!$D$33)</f>
        <v>5.0000000000000001E-3</v>
      </c>
      <c r="EY132" s="196">
        <f>MAX(EY7, Assumptions!$D$33)</f>
        <v>5.0000000000000001E-3</v>
      </c>
      <c r="EZ132" s="196">
        <f>MAX(EZ7, Assumptions!$D$33)</f>
        <v>5.0000000000000001E-3</v>
      </c>
      <c r="FA132" s="196">
        <f>MAX(FA7, Assumptions!$D$33)</f>
        <v>5.0000000000000001E-3</v>
      </c>
      <c r="FB132" s="196">
        <f>MAX(FB7, Assumptions!$D$33)</f>
        <v>5.0000000000000001E-3</v>
      </c>
      <c r="FC132" s="196">
        <f>MAX(FC7, Assumptions!$D$33)</f>
        <v>5.0000000000000001E-3</v>
      </c>
      <c r="FD132" s="196">
        <f>MAX(FD7, Assumptions!$D$33)</f>
        <v>5.0000000000000001E-3</v>
      </c>
      <c r="FE132" s="196">
        <f>MAX(FE7, Assumptions!$D$33)</f>
        <v>5.0000000000000001E-3</v>
      </c>
      <c r="FF132" s="196">
        <f>MAX(FF7, Assumptions!$D$33)</f>
        <v>5.0000000000000001E-3</v>
      </c>
      <c r="FG132" s="196">
        <f>MAX(FG7, Assumptions!$D$33)</f>
        <v>5.0000000000000001E-3</v>
      </c>
      <c r="FH132" s="196">
        <f>MAX(FH7, Assumptions!$D$33)</f>
        <v>5.0000000000000001E-3</v>
      </c>
      <c r="FI132" s="196">
        <f>MAX(FI7, Assumptions!$D$33)</f>
        <v>5.0000000000000001E-3</v>
      </c>
      <c r="FJ132" s="196">
        <f>MAX(FJ7, Assumptions!$D$33)</f>
        <v>5.0000000000000001E-3</v>
      </c>
      <c r="FK132" s="196">
        <f>MAX(FK7, Assumptions!$D$33)</f>
        <v>5.0000000000000001E-3</v>
      </c>
      <c r="FL132" s="196">
        <f>MAX(FL7, Assumptions!$D$33)</f>
        <v>5.0000000000000001E-3</v>
      </c>
      <c r="FM132" s="196">
        <f>MAX(FM7, Assumptions!$D$33)</f>
        <v>5.0000000000000001E-3</v>
      </c>
      <c r="FN132" s="196">
        <f>MAX(FN7, Assumptions!$D$33)</f>
        <v>5.0000000000000001E-3</v>
      </c>
      <c r="FO132" s="196">
        <f>MAX(FO7, Assumptions!$D$33)</f>
        <v>5.0000000000000001E-3</v>
      </c>
      <c r="FP132" s="196">
        <f>MAX(FP7, Assumptions!$D$33)</f>
        <v>5.0000000000000001E-3</v>
      </c>
      <c r="FQ132" s="196">
        <f>MAX(FQ7, Assumptions!$D$33)</f>
        <v>5.0000000000000001E-3</v>
      </c>
      <c r="FR132" s="196">
        <f>MAX(FR7, Assumptions!$D$33)</f>
        <v>5.0000000000000001E-3</v>
      </c>
      <c r="FS132" s="196">
        <f>MAX(FS7, Assumptions!$D$33)</f>
        <v>5.0000000000000001E-3</v>
      </c>
      <c r="FT132" s="196">
        <f>MAX(FT7, Assumptions!$D$33)</f>
        <v>5.0000000000000001E-3</v>
      </c>
      <c r="FU132" s="196">
        <f>MAX(FU7, Assumptions!$D$33)</f>
        <v>5.0000000000000001E-3</v>
      </c>
      <c r="FV132" s="196">
        <f>MAX(FV7, Assumptions!$D$33)</f>
        <v>5.0000000000000001E-3</v>
      </c>
      <c r="FW132" s="196">
        <f>MAX(FW7, Assumptions!$D$33)</f>
        <v>5.0000000000000001E-3</v>
      </c>
      <c r="FX132" s="196">
        <f>MAX(FX7, Assumptions!$D$33)</f>
        <v>5.0000000000000001E-3</v>
      </c>
      <c r="FY132" s="196">
        <f>MAX(FY7, Assumptions!$D$33)</f>
        <v>5.0000000000000001E-3</v>
      </c>
      <c r="FZ132" s="196">
        <f>MAX(FZ7, Assumptions!$D$33)</f>
        <v>5.0000000000000001E-3</v>
      </c>
      <c r="GA132" s="196">
        <f>MAX(GA7, Assumptions!$D$33)</f>
        <v>5.0000000000000001E-3</v>
      </c>
      <c r="GB132" s="196">
        <f>MAX(GB7, Assumptions!$D$33)</f>
        <v>5.0000000000000001E-3</v>
      </c>
      <c r="GC132" s="196">
        <f>MAX(GC7, Assumptions!$D$33)</f>
        <v>5.0000000000000001E-3</v>
      </c>
      <c r="GD132" s="196"/>
      <c r="GE132" s="196"/>
      <c r="GF132" s="196"/>
      <c r="GG132" s="196"/>
      <c r="GH132" s="196"/>
      <c r="GI132" s="196"/>
      <c r="GJ132" s="196"/>
      <c r="GK132" s="196"/>
      <c r="GL132" s="196"/>
      <c r="GM132" s="196"/>
      <c r="GN132" s="196"/>
      <c r="GO132" s="196"/>
      <c r="GP132" s="196">
        <f>MAX(GP7, Assumptions!$D$33)</f>
        <v>5.0000000000000001E-3</v>
      </c>
      <c r="GQ132" s="196">
        <f>MAX(GQ7, Assumptions!$D$33)</f>
        <v>5.0000000000000001E-3</v>
      </c>
      <c r="GR132" s="196">
        <f>MAX(GR7, Assumptions!$D$33)</f>
        <v>5.0000000000000001E-3</v>
      </c>
      <c r="GS132" s="196">
        <f>MAX(GS7, Assumptions!$D$33)</f>
        <v>3.2507300000000003E-2</v>
      </c>
      <c r="GT132" s="196">
        <f>MAX(GT7, Assumptions!$D$33)</f>
        <v>5.0000000000000001E-3</v>
      </c>
      <c r="GU132" s="196"/>
      <c r="GV132" s="196"/>
      <c r="GW132" s="196"/>
      <c r="GX132" s="196"/>
      <c r="GY132" s="196"/>
      <c r="GZ132" s="196"/>
      <c r="HA132" s="196"/>
      <c r="HB132" s="196"/>
      <c r="HC132" s="196"/>
      <c r="HD132" s="196"/>
      <c r="HE132" s="196"/>
      <c r="HF132" s="1" t="s">
        <v>212</v>
      </c>
      <c r="HH132" s="9"/>
      <c r="HL132" s="97"/>
      <c r="HN132" s="100"/>
      <c r="HO132" s="196"/>
      <c r="HP132" s="196"/>
      <c r="HQ132" s="196"/>
      <c r="HR132" s="196"/>
      <c r="HS132" s="196"/>
      <c r="HT132" s="196"/>
      <c r="HU132" s="196"/>
      <c r="HV132" s="196"/>
      <c r="HW132"/>
    </row>
    <row r="133" spans="1:231" ht="15" outlineLevel="1">
      <c r="B133" s="43" t="s">
        <v>125</v>
      </c>
      <c r="C133" s="84"/>
      <c r="D133" s="84"/>
      <c r="E133" s="84"/>
      <c r="F133" s="84"/>
      <c r="G133" s="84"/>
      <c r="H133" s="84"/>
      <c r="I133" s="164"/>
      <c r="J133" s="84"/>
      <c r="K133" s="197">
        <f>Assumptions!$D$31/10000</f>
        <v>5.2499999999999998E-2</v>
      </c>
      <c r="L133" s="198">
        <f>Assumptions!$D$31/10000</f>
        <v>5.2499999999999998E-2</v>
      </c>
      <c r="M133" s="198">
        <f>Assumptions!$D$31/10000</f>
        <v>5.2499999999999998E-2</v>
      </c>
      <c r="N133" s="198">
        <f>Assumptions!$D$31/10000</f>
        <v>5.2499999999999998E-2</v>
      </c>
      <c r="O133" s="198">
        <f>Assumptions!$D$31/10000</f>
        <v>5.2499999999999998E-2</v>
      </c>
      <c r="P133" s="198">
        <f>Assumptions!$D$31/10000</f>
        <v>5.2499999999999998E-2</v>
      </c>
      <c r="Q133" s="198">
        <f>Assumptions!$D$31/10000</f>
        <v>5.2499999999999998E-2</v>
      </c>
      <c r="R133" s="198">
        <f>Assumptions!$D$31/10000</f>
        <v>5.2499999999999998E-2</v>
      </c>
      <c r="S133" s="198">
        <f>Assumptions!$D$31/10000</f>
        <v>5.2499999999999998E-2</v>
      </c>
      <c r="T133" s="198">
        <f>Assumptions!$D$31/10000</f>
        <v>5.2499999999999998E-2</v>
      </c>
      <c r="U133" s="198">
        <f>Assumptions!$D$31/10000</f>
        <v>5.2499999999999998E-2</v>
      </c>
      <c r="V133" s="198">
        <f>Assumptions!$D$31/10000</f>
        <v>5.2499999999999998E-2</v>
      </c>
      <c r="W133" s="198">
        <f>Assumptions!$D$31/10000</f>
        <v>5.2499999999999998E-2</v>
      </c>
      <c r="X133" s="198">
        <f>Assumptions!$D$31/10000</f>
        <v>5.2499999999999998E-2</v>
      </c>
      <c r="Y133" s="198">
        <f>Assumptions!$D$31/10000</f>
        <v>5.2499999999999998E-2</v>
      </c>
      <c r="Z133" s="198">
        <f>Assumptions!$D$31/10000</f>
        <v>5.2499999999999998E-2</v>
      </c>
      <c r="AA133" s="198">
        <f>Assumptions!$D$31/10000</f>
        <v>5.2499999999999998E-2</v>
      </c>
      <c r="AB133" s="198">
        <f>Assumptions!$D$31/10000</f>
        <v>5.2499999999999998E-2</v>
      </c>
      <c r="AC133" s="198">
        <f>Assumptions!$D$31/10000</f>
        <v>5.2499999999999998E-2</v>
      </c>
      <c r="AD133" s="198">
        <f>Assumptions!$D$31/10000</f>
        <v>5.2499999999999998E-2</v>
      </c>
      <c r="AE133" s="198">
        <f>Assumptions!$D$31/10000</f>
        <v>5.2499999999999998E-2</v>
      </c>
      <c r="AF133" s="198">
        <f>Assumptions!$D$31/10000</f>
        <v>5.2499999999999998E-2</v>
      </c>
      <c r="AG133" s="198">
        <f>Assumptions!$D$31/10000</f>
        <v>5.2499999999999998E-2</v>
      </c>
      <c r="AH133" s="198">
        <f>Assumptions!$D$31/10000</f>
        <v>5.2499999999999998E-2</v>
      </c>
      <c r="AI133" s="198">
        <f>Assumptions!$D$31/10000</f>
        <v>5.2499999999999998E-2</v>
      </c>
      <c r="AJ133" s="198">
        <f>Assumptions!$D$31/10000</f>
        <v>5.2499999999999998E-2</v>
      </c>
      <c r="AK133" s="198">
        <f>Assumptions!$D$31/10000</f>
        <v>5.2499999999999998E-2</v>
      </c>
      <c r="AL133" s="198">
        <f>Assumptions!$D$31/10000</f>
        <v>5.2499999999999998E-2</v>
      </c>
      <c r="AM133" s="198">
        <f>Assumptions!$D$31/10000</f>
        <v>5.2499999999999998E-2</v>
      </c>
      <c r="AN133" s="198">
        <f>Assumptions!$D$31/10000</f>
        <v>5.2499999999999998E-2</v>
      </c>
      <c r="AO133" s="198">
        <f>Assumptions!$D$31/10000</f>
        <v>5.2499999999999998E-2</v>
      </c>
      <c r="AP133" s="198">
        <f>Assumptions!$D$31/10000</f>
        <v>5.2499999999999998E-2</v>
      </c>
      <c r="AQ133" s="198">
        <f>Assumptions!$D$31/10000</f>
        <v>5.2499999999999998E-2</v>
      </c>
      <c r="AR133" s="198">
        <f>Assumptions!$D$31/10000</f>
        <v>5.2499999999999998E-2</v>
      </c>
      <c r="AS133" s="198">
        <f>Assumptions!$D$31/10000</f>
        <v>5.2499999999999998E-2</v>
      </c>
      <c r="AT133" s="198">
        <f>Assumptions!$D$31/10000</f>
        <v>5.2499999999999998E-2</v>
      </c>
      <c r="AU133" s="198">
        <f>Assumptions!$D$31/10000</f>
        <v>5.2499999999999998E-2</v>
      </c>
      <c r="AV133" s="198">
        <f>Assumptions!$D$31/10000</f>
        <v>5.2499999999999998E-2</v>
      </c>
      <c r="AW133" s="198">
        <f>Assumptions!$D$31/10000</f>
        <v>5.2499999999999998E-2</v>
      </c>
      <c r="AX133" s="198">
        <f>Assumptions!$D$31/10000</f>
        <v>5.2499999999999998E-2</v>
      </c>
      <c r="AY133" s="198">
        <f>Assumptions!$D$31/10000</f>
        <v>5.2499999999999998E-2</v>
      </c>
      <c r="AZ133" s="198">
        <f>Assumptions!$D$31/10000</f>
        <v>5.2499999999999998E-2</v>
      </c>
      <c r="BA133" s="198">
        <f>Assumptions!$D$31/10000</f>
        <v>5.2499999999999998E-2</v>
      </c>
      <c r="BB133" s="198">
        <f>Assumptions!$D$31/10000</f>
        <v>5.2499999999999998E-2</v>
      </c>
      <c r="BC133" s="198">
        <f>Assumptions!$D$31/10000</f>
        <v>5.2499999999999998E-2</v>
      </c>
      <c r="BD133" s="198">
        <f>Assumptions!$D$31/10000</f>
        <v>5.2499999999999998E-2</v>
      </c>
      <c r="BE133" s="198">
        <f>Assumptions!$D$31/10000</f>
        <v>5.2499999999999998E-2</v>
      </c>
      <c r="BF133" s="198">
        <f>Assumptions!$D$31/10000</f>
        <v>5.2499999999999998E-2</v>
      </c>
      <c r="BG133" s="198">
        <f>Assumptions!$D$31/10000</f>
        <v>5.2499999999999998E-2</v>
      </c>
      <c r="BH133" s="198">
        <f>Assumptions!$D$31/10000</f>
        <v>5.2499999999999998E-2</v>
      </c>
      <c r="BI133" s="198">
        <f>Assumptions!$D$31/10000</f>
        <v>5.2499999999999998E-2</v>
      </c>
      <c r="BJ133" s="198">
        <f>Assumptions!$D$31/10000</f>
        <v>5.2499999999999998E-2</v>
      </c>
      <c r="BK133" s="198">
        <f>Assumptions!$D$31/10000</f>
        <v>5.2499999999999998E-2</v>
      </c>
      <c r="BL133" s="198">
        <f>Assumptions!$D$31/10000</f>
        <v>5.2499999999999998E-2</v>
      </c>
      <c r="BM133" s="198">
        <f>Assumptions!$D$31/10000</f>
        <v>5.2499999999999998E-2</v>
      </c>
      <c r="BN133" s="198">
        <f>Assumptions!$D$31/10000</f>
        <v>5.2499999999999998E-2</v>
      </c>
      <c r="BO133" s="198">
        <f>Assumptions!$D$31/10000</f>
        <v>5.2499999999999998E-2</v>
      </c>
      <c r="BP133" s="198">
        <f>Assumptions!$D$31/10000</f>
        <v>5.2499999999999998E-2</v>
      </c>
      <c r="BQ133" s="198">
        <f>Assumptions!$D$31/10000</f>
        <v>5.2499999999999998E-2</v>
      </c>
      <c r="BR133" s="198">
        <f>Assumptions!$D$31/10000</f>
        <v>5.2499999999999998E-2</v>
      </c>
      <c r="BS133" s="198">
        <f>Assumptions!$D$31/10000</f>
        <v>5.2499999999999998E-2</v>
      </c>
      <c r="BT133" s="198">
        <f>Assumptions!$D$31/10000</f>
        <v>5.2499999999999998E-2</v>
      </c>
      <c r="BU133" s="198">
        <f>Assumptions!$D$31/10000</f>
        <v>5.2499999999999998E-2</v>
      </c>
      <c r="BV133" s="198">
        <f>Assumptions!$D$31/10000</f>
        <v>5.2499999999999998E-2</v>
      </c>
      <c r="BW133" s="198">
        <f>Assumptions!$D$31/10000</f>
        <v>5.2499999999999998E-2</v>
      </c>
      <c r="BX133" s="198">
        <f>Assumptions!$D$31/10000</f>
        <v>5.2499999999999998E-2</v>
      </c>
      <c r="BY133" s="198">
        <f>Assumptions!$D$31/10000</f>
        <v>5.2499999999999998E-2</v>
      </c>
      <c r="BZ133" s="198">
        <f>Assumptions!$D$31/10000</f>
        <v>5.2499999999999998E-2</v>
      </c>
      <c r="CA133" s="198">
        <f>Assumptions!$D$31/10000</f>
        <v>5.2499999999999998E-2</v>
      </c>
      <c r="CB133" s="198">
        <f>Assumptions!$D$31/10000</f>
        <v>5.2499999999999998E-2</v>
      </c>
      <c r="CC133" s="198">
        <f>Assumptions!$D$31/10000</f>
        <v>5.2499999999999998E-2</v>
      </c>
      <c r="CD133" s="198">
        <f>Assumptions!$D$31/10000</f>
        <v>5.2499999999999998E-2</v>
      </c>
      <c r="CE133" s="198">
        <f>Assumptions!$D$31/10000</f>
        <v>5.2499999999999998E-2</v>
      </c>
      <c r="CF133" s="198">
        <f>Assumptions!$D$31/10000</f>
        <v>5.2499999999999998E-2</v>
      </c>
      <c r="CG133" s="198">
        <f>Assumptions!$D$31/10000</f>
        <v>5.2499999999999998E-2</v>
      </c>
      <c r="CH133" s="198">
        <f>Assumptions!$D$31/10000</f>
        <v>5.2499999999999998E-2</v>
      </c>
      <c r="CI133" s="198">
        <f>Assumptions!$D$31/10000</f>
        <v>5.2499999999999998E-2</v>
      </c>
      <c r="CJ133" s="198">
        <f>Assumptions!$D$31/10000</f>
        <v>5.2499999999999998E-2</v>
      </c>
      <c r="CK133" s="198">
        <f>Assumptions!$D$31/10000</f>
        <v>5.2499999999999998E-2</v>
      </c>
      <c r="CL133" s="198">
        <f>Assumptions!$D$31/10000</f>
        <v>5.2499999999999998E-2</v>
      </c>
      <c r="CM133" s="198">
        <f>Assumptions!$D$31/10000</f>
        <v>5.2499999999999998E-2</v>
      </c>
      <c r="CN133" s="198">
        <f>Assumptions!$D$31/10000</f>
        <v>5.2499999999999998E-2</v>
      </c>
      <c r="CO133" s="198">
        <f>Assumptions!$D$31/10000</f>
        <v>5.2499999999999998E-2</v>
      </c>
      <c r="CP133" s="198">
        <f>Assumptions!$D$31/10000</f>
        <v>5.2499999999999998E-2</v>
      </c>
      <c r="CQ133" s="198">
        <f>Assumptions!$D$31/10000</f>
        <v>5.2499999999999998E-2</v>
      </c>
      <c r="CR133" s="198">
        <f>Assumptions!$D$31/10000</f>
        <v>5.2499999999999998E-2</v>
      </c>
      <c r="CS133" s="198">
        <f>Assumptions!$D$31/10000</f>
        <v>5.2499999999999998E-2</v>
      </c>
      <c r="CT133" s="198">
        <f>Assumptions!$D$31/10000</f>
        <v>5.2499999999999998E-2</v>
      </c>
      <c r="CU133" s="198">
        <f>Assumptions!$D$31/10000</f>
        <v>5.2499999999999998E-2</v>
      </c>
      <c r="CV133" s="198">
        <f>Assumptions!$D$31/10000</f>
        <v>5.2499999999999998E-2</v>
      </c>
      <c r="CW133" s="198">
        <f>Assumptions!$D$31/10000</f>
        <v>5.2499999999999998E-2</v>
      </c>
      <c r="CX133" s="198">
        <f>Assumptions!$D$31/10000</f>
        <v>5.2499999999999998E-2</v>
      </c>
      <c r="CY133" s="198">
        <f>Assumptions!$D$31/10000</f>
        <v>5.2499999999999998E-2</v>
      </c>
      <c r="CZ133" s="198">
        <f>Assumptions!$D$31/10000</f>
        <v>5.2499999999999998E-2</v>
      </c>
      <c r="DA133" s="198">
        <f>Assumptions!$D$31/10000</f>
        <v>5.2499999999999998E-2</v>
      </c>
      <c r="DB133" s="198">
        <f>Assumptions!$D$31/10000</f>
        <v>5.2499999999999998E-2</v>
      </c>
      <c r="DC133" s="198">
        <f>Assumptions!$D$31/10000</f>
        <v>5.2499999999999998E-2</v>
      </c>
      <c r="DD133" s="198">
        <f>Assumptions!$D$31/10000</f>
        <v>5.2499999999999998E-2</v>
      </c>
      <c r="DE133" s="198">
        <f>Assumptions!$D$31/10000</f>
        <v>5.2499999999999998E-2</v>
      </c>
      <c r="DF133" s="198">
        <f>Assumptions!$D$31/10000</f>
        <v>5.2499999999999998E-2</v>
      </c>
      <c r="DG133" s="198">
        <f>Assumptions!$D$31/10000</f>
        <v>5.2499999999999998E-2</v>
      </c>
      <c r="DH133" s="198">
        <f>Assumptions!$D$31/10000</f>
        <v>5.2499999999999998E-2</v>
      </c>
      <c r="DI133" s="198">
        <f>Assumptions!$D$31/10000</f>
        <v>5.2499999999999998E-2</v>
      </c>
      <c r="DJ133" s="198">
        <f>Assumptions!$D$31/10000</f>
        <v>5.2499999999999998E-2</v>
      </c>
      <c r="DK133" s="198">
        <f>Assumptions!$D$31/10000</f>
        <v>5.2499999999999998E-2</v>
      </c>
      <c r="DL133" s="198">
        <f>Assumptions!$D$31/10000</f>
        <v>5.2499999999999998E-2</v>
      </c>
      <c r="DM133" s="198">
        <f>Assumptions!$D$31/10000</f>
        <v>5.2499999999999998E-2</v>
      </c>
      <c r="DN133" s="198">
        <f>Assumptions!$D$31/10000</f>
        <v>5.2499999999999998E-2</v>
      </c>
      <c r="DO133" s="198">
        <f>Assumptions!$D$31/10000</f>
        <v>5.2499999999999998E-2</v>
      </c>
      <c r="DP133" s="198">
        <f>Assumptions!$D$31/10000</f>
        <v>5.2499999999999998E-2</v>
      </c>
      <c r="DQ133" s="198">
        <f>Assumptions!$D$31/10000</f>
        <v>5.2499999999999998E-2</v>
      </c>
      <c r="DR133" s="198">
        <f>Assumptions!$D$31/10000</f>
        <v>5.2499999999999998E-2</v>
      </c>
      <c r="DS133" s="198">
        <f>Assumptions!$D$31/10000</f>
        <v>5.2499999999999998E-2</v>
      </c>
      <c r="DT133" s="198">
        <f>Assumptions!$D$31/10000</f>
        <v>5.2499999999999998E-2</v>
      </c>
      <c r="DU133" s="198">
        <f>Assumptions!$D$31/10000</f>
        <v>5.2499999999999998E-2</v>
      </c>
      <c r="DV133" s="198">
        <f>Assumptions!$D$31/10000</f>
        <v>5.2499999999999998E-2</v>
      </c>
      <c r="DW133" s="198">
        <f>Assumptions!$D$31/10000</f>
        <v>5.2499999999999998E-2</v>
      </c>
      <c r="DX133" s="198">
        <f>Assumptions!$D$31/10000</f>
        <v>5.2499999999999998E-2</v>
      </c>
      <c r="DY133" s="198">
        <f>Assumptions!$D$31/10000</f>
        <v>5.2499999999999998E-2</v>
      </c>
      <c r="DZ133" s="198">
        <f>Assumptions!$D$31/10000</f>
        <v>5.2499999999999998E-2</v>
      </c>
      <c r="EA133" s="198">
        <f>Assumptions!$D$31/10000</f>
        <v>5.2499999999999998E-2</v>
      </c>
      <c r="EB133" s="198">
        <f>Assumptions!$D$31/10000</f>
        <v>5.2499999999999998E-2</v>
      </c>
      <c r="EC133" s="198">
        <f>Assumptions!$D$31/10000</f>
        <v>5.2499999999999998E-2</v>
      </c>
      <c r="ED133" s="198">
        <f>Assumptions!$D$31/10000</f>
        <v>5.2499999999999998E-2</v>
      </c>
      <c r="EE133" s="198">
        <f>Assumptions!$D$31/10000</f>
        <v>5.2499999999999998E-2</v>
      </c>
      <c r="EF133" s="198">
        <f>Assumptions!$D$31/10000</f>
        <v>5.2499999999999998E-2</v>
      </c>
      <c r="EG133" s="198">
        <f>Assumptions!$D$31/10000</f>
        <v>5.2499999999999998E-2</v>
      </c>
      <c r="EH133" s="198">
        <f>Assumptions!$D$31/10000</f>
        <v>5.2499999999999998E-2</v>
      </c>
      <c r="EI133" s="198">
        <f>Assumptions!$D$31/10000</f>
        <v>5.2499999999999998E-2</v>
      </c>
      <c r="EJ133" s="198">
        <f>Assumptions!$D$31/10000</f>
        <v>5.2499999999999998E-2</v>
      </c>
      <c r="EK133" s="198">
        <f>Assumptions!$D$31/10000</f>
        <v>5.2499999999999998E-2</v>
      </c>
      <c r="EL133" s="198">
        <f>Assumptions!$D$31/10000</f>
        <v>5.2499999999999998E-2</v>
      </c>
      <c r="EM133" s="198">
        <f>Assumptions!$D$31/10000</f>
        <v>5.2499999999999998E-2</v>
      </c>
      <c r="EN133" s="198">
        <f>Assumptions!$D$31/10000</f>
        <v>5.2499999999999998E-2</v>
      </c>
      <c r="EO133" s="198">
        <f>Assumptions!$D$31/10000</f>
        <v>5.2499999999999998E-2</v>
      </c>
      <c r="EP133" s="198">
        <f>Assumptions!$D$31/10000</f>
        <v>5.2499999999999998E-2</v>
      </c>
      <c r="EQ133" s="198">
        <f>Assumptions!$D$31/10000</f>
        <v>5.2499999999999998E-2</v>
      </c>
      <c r="ER133" s="198">
        <f>Assumptions!$D$31/10000</f>
        <v>5.2499999999999998E-2</v>
      </c>
      <c r="ES133" s="198">
        <f>Assumptions!$D$31/10000</f>
        <v>5.2499999999999998E-2</v>
      </c>
      <c r="ET133" s="198">
        <f>Assumptions!$D$31/10000</f>
        <v>5.2499999999999998E-2</v>
      </c>
      <c r="EU133" s="198">
        <f>Assumptions!$D$31/10000</f>
        <v>5.2499999999999998E-2</v>
      </c>
      <c r="EV133" s="198">
        <f>Assumptions!$D$31/10000</f>
        <v>5.2499999999999998E-2</v>
      </c>
      <c r="EW133" s="198">
        <f>Assumptions!$D$31/10000</f>
        <v>5.2499999999999998E-2</v>
      </c>
      <c r="EX133" s="198">
        <f>Assumptions!$D$31/10000</f>
        <v>5.2499999999999998E-2</v>
      </c>
      <c r="EY133" s="198">
        <f>Assumptions!$D$31/10000</f>
        <v>5.2499999999999998E-2</v>
      </c>
      <c r="EZ133" s="198">
        <f>Assumptions!$D$31/10000</f>
        <v>5.2499999999999998E-2</v>
      </c>
      <c r="FA133" s="198">
        <f>Assumptions!$D$31/10000</f>
        <v>5.2499999999999998E-2</v>
      </c>
      <c r="FB133" s="198">
        <f>Assumptions!$D$31/10000</f>
        <v>5.2499999999999998E-2</v>
      </c>
      <c r="FC133" s="198">
        <f>Assumptions!$D$31/10000</f>
        <v>5.2499999999999998E-2</v>
      </c>
      <c r="FD133" s="198">
        <f>Assumptions!$D$31/10000</f>
        <v>5.2499999999999998E-2</v>
      </c>
      <c r="FE133" s="198">
        <f>Assumptions!$D$31/10000</f>
        <v>5.2499999999999998E-2</v>
      </c>
      <c r="FF133" s="198">
        <f>Assumptions!$D$31/10000</f>
        <v>5.2499999999999998E-2</v>
      </c>
      <c r="FG133" s="198">
        <f>Assumptions!$D$31/10000</f>
        <v>5.2499999999999998E-2</v>
      </c>
      <c r="FH133" s="198">
        <f>Assumptions!$D$31/10000</f>
        <v>5.2499999999999998E-2</v>
      </c>
      <c r="FI133" s="198">
        <f>Assumptions!$D$31/10000</f>
        <v>5.2499999999999998E-2</v>
      </c>
      <c r="FJ133" s="198">
        <f>Assumptions!$D$31/10000</f>
        <v>5.2499999999999998E-2</v>
      </c>
      <c r="FK133" s="198">
        <f>Assumptions!$D$31/10000</f>
        <v>5.2499999999999998E-2</v>
      </c>
      <c r="FL133" s="198">
        <f>Assumptions!$D$31/10000</f>
        <v>5.2499999999999998E-2</v>
      </c>
      <c r="FM133" s="198">
        <f>Assumptions!$D$31/10000</f>
        <v>5.2499999999999998E-2</v>
      </c>
      <c r="FN133" s="198">
        <f>Assumptions!$D$31/10000</f>
        <v>5.2499999999999998E-2</v>
      </c>
      <c r="FO133" s="198">
        <f>Assumptions!$D$31/10000</f>
        <v>5.2499999999999998E-2</v>
      </c>
      <c r="FP133" s="198">
        <f>Assumptions!$D$31/10000</f>
        <v>5.2499999999999998E-2</v>
      </c>
      <c r="FQ133" s="198">
        <f>Assumptions!$D$31/10000</f>
        <v>5.2499999999999998E-2</v>
      </c>
      <c r="FR133" s="198">
        <f>Assumptions!$D$31/10000</f>
        <v>5.2499999999999998E-2</v>
      </c>
      <c r="FS133" s="198">
        <f>Assumptions!$D$31/10000</f>
        <v>5.2499999999999998E-2</v>
      </c>
      <c r="FT133" s="198">
        <f>Assumptions!$D$31/10000</f>
        <v>5.2499999999999998E-2</v>
      </c>
      <c r="FU133" s="198">
        <f>Assumptions!$D$31/10000</f>
        <v>5.2499999999999998E-2</v>
      </c>
      <c r="FV133" s="198">
        <f>Assumptions!$D$31/10000</f>
        <v>5.2499999999999998E-2</v>
      </c>
      <c r="FW133" s="198">
        <f>Assumptions!$D$31/10000</f>
        <v>5.2499999999999998E-2</v>
      </c>
      <c r="FX133" s="198">
        <f>Assumptions!$D$31/10000</f>
        <v>5.2499999999999998E-2</v>
      </c>
      <c r="FY133" s="198">
        <f>Assumptions!$D$31/10000</f>
        <v>5.2499999999999998E-2</v>
      </c>
      <c r="FZ133" s="198">
        <f>Assumptions!$D$31/10000</f>
        <v>5.2499999999999998E-2</v>
      </c>
      <c r="GA133" s="198">
        <f>Assumptions!$D$31/10000</f>
        <v>5.2499999999999998E-2</v>
      </c>
      <c r="GB133" s="198">
        <f>Assumptions!$D$31/10000</f>
        <v>5.2499999999999998E-2</v>
      </c>
      <c r="GC133" s="198">
        <f>Assumptions!$D$31/10000</f>
        <v>5.2499999999999998E-2</v>
      </c>
      <c r="GD133" s="198"/>
      <c r="GE133" s="198"/>
      <c r="GF133" s="198"/>
      <c r="GG133" s="198"/>
      <c r="GH133" s="198"/>
      <c r="GI133" s="198"/>
      <c r="GJ133" s="198"/>
      <c r="GK133" s="198"/>
      <c r="GL133" s="198"/>
      <c r="GM133" s="198"/>
      <c r="GN133" s="198"/>
      <c r="GO133" s="198"/>
      <c r="GP133" s="198">
        <f>Assumptions!$D$31/10000</f>
        <v>5.2499999999999998E-2</v>
      </c>
      <c r="GQ133" s="198">
        <f>Assumptions!$D$31/10000</f>
        <v>5.2499999999999998E-2</v>
      </c>
      <c r="GR133" s="198">
        <f>Assumptions!$D$31/10000</f>
        <v>5.2499999999999998E-2</v>
      </c>
      <c r="GS133" s="198">
        <f>Assumptions!$D$31/10000</f>
        <v>5.2499999999999998E-2</v>
      </c>
      <c r="GT133" s="198">
        <f>Assumptions!$D$31/10000</f>
        <v>5.2499999999999998E-2</v>
      </c>
      <c r="GU133" s="196"/>
      <c r="GV133" s="196"/>
      <c r="GW133" s="196"/>
      <c r="GX133" s="196"/>
      <c r="GY133" s="196"/>
      <c r="GZ133" s="196"/>
      <c r="HA133" s="196"/>
      <c r="HB133" s="196"/>
      <c r="HC133" s="196"/>
      <c r="HD133" s="196"/>
      <c r="HE133" s="196"/>
      <c r="HF133" s="1" t="s">
        <v>212</v>
      </c>
      <c r="HH133" s="9"/>
      <c r="HL133" s="97"/>
      <c r="HN133" s="100"/>
      <c r="HO133" s="196"/>
      <c r="HP133" s="196"/>
      <c r="HQ133" s="196"/>
      <c r="HR133" s="196"/>
      <c r="HS133" s="196"/>
      <c r="HT133" s="196"/>
      <c r="HU133" s="196"/>
      <c r="HV133" s="196"/>
      <c r="HW133"/>
    </row>
    <row r="134" spans="1:231" ht="15" outlineLevel="1">
      <c r="B134" s="33" t="s">
        <v>126</v>
      </c>
      <c r="F134" s="199" t="str">
        <f>Assumptions!C32</f>
        <v>Fixed Rate</v>
      </c>
      <c r="G134" s="200">
        <f>Assumptions!D32</f>
        <v>0.09</v>
      </c>
      <c r="I134" s="97"/>
      <c r="K134" s="201">
        <f t="shared" ref="K134:AP134" si="946">IF($G$146=0,$G$134,K132+K133)</f>
        <v>5.2499999999999998E-2</v>
      </c>
      <c r="L134" s="523">
        <f t="shared" si="946"/>
        <v>5.7499999999999996E-2</v>
      </c>
      <c r="M134" s="196">
        <f t="shared" si="946"/>
        <v>5.7499999999999996E-2</v>
      </c>
      <c r="N134" s="196">
        <f t="shared" si="946"/>
        <v>5.7499999999999996E-2</v>
      </c>
      <c r="O134" s="196">
        <f t="shared" si="946"/>
        <v>5.7499999999999996E-2</v>
      </c>
      <c r="P134" s="196">
        <f t="shared" si="946"/>
        <v>5.7499999999999996E-2</v>
      </c>
      <c r="Q134" s="196">
        <f t="shared" si="946"/>
        <v>5.7499999999999996E-2</v>
      </c>
      <c r="R134" s="196">
        <f t="shared" si="946"/>
        <v>5.7499999999999996E-2</v>
      </c>
      <c r="S134" s="196">
        <f t="shared" si="946"/>
        <v>5.7499999999999996E-2</v>
      </c>
      <c r="T134" s="196">
        <f t="shared" si="946"/>
        <v>5.7499999999999996E-2</v>
      </c>
      <c r="U134" s="196">
        <f t="shared" si="946"/>
        <v>5.7499999999999996E-2</v>
      </c>
      <c r="V134" s="196">
        <f t="shared" si="946"/>
        <v>5.7499999999999996E-2</v>
      </c>
      <c r="W134" s="196">
        <f t="shared" si="946"/>
        <v>5.7499999999999996E-2</v>
      </c>
      <c r="X134" s="196">
        <f t="shared" si="946"/>
        <v>5.7499999999999996E-2</v>
      </c>
      <c r="Y134" s="196">
        <f t="shared" si="946"/>
        <v>5.7499999999999996E-2</v>
      </c>
      <c r="Z134" s="196">
        <f t="shared" si="946"/>
        <v>5.7499999999999996E-2</v>
      </c>
      <c r="AA134" s="196">
        <f t="shared" si="946"/>
        <v>5.7499999999999996E-2</v>
      </c>
      <c r="AB134" s="196">
        <f t="shared" si="946"/>
        <v>5.7499999999999996E-2</v>
      </c>
      <c r="AC134" s="196">
        <f t="shared" si="946"/>
        <v>5.7499999999999996E-2</v>
      </c>
      <c r="AD134" s="196">
        <f t="shared" si="946"/>
        <v>5.7499999999999996E-2</v>
      </c>
      <c r="AE134" s="196">
        <f t="shared" si="946"/>
        <v>5.7499999999999996E-2</v>
      </c>
      <c r="AF134" s="196">
        <f t="shared" si="946"/>
        <v>5.7499999999999996E-2</v>
      </c>
      <c r="AG134" s="196">
        <f t="shared" si="946"/>
        <v>7.1845937150935402E-2</v>
      </c>
      <c r="AH134" s="196">
        <f t="shared" si="946"/>
        <v>7.2777901868312705E-2</v>
      </c>
      <c r="AI134" s="196">
        <f t="shared" si="946"/>
        <v>7.3378799999999994E-2</v>
      </c>
      <c r="AJ134" s="196">
        <f t="shared" si="946"/>
        <v>7.3464679095913296E-2</v>
      </c>
      <c r="AK134" s="196">
        <f t="shared" si="946"/>
        <v>7.3862736865348E-2</v>
      </c>
      <c r="AL134" s="196">
        <f t="shared" si="946"/>
        <v>7.4673289783933297E-2</v>
      </c>
      <c r="AM134" s="196">
        <f t="shared" si="946"/>
        <v>7.5561997608282999E-2</v>
      </c>
      <c r="AN134" s="196">
        <f t="shared" si="946"/>
        <v>7.6297887774857201E-2</v>
      </c>
      <c r="AO134" s="196">
        <f t="shared" si="946"/>
        <v>7.68811401550753E-2</v>
      </c>
      <c r="AP134" s="196">
        <f t="shared" si="946"/>
        <v>7.7427674406194802E-2</v>
      </c>
      <c r="AQ134" s="196">
        <f t="shared" ref="AQ134:BV134" si="947">IF($G$146=0,$G$134,AQ132+AQ133)</f>
        <v>7.7899075799926304E-2</v>
      </c>
      <c r="AR134" s="196">
        <f t="shared" si="947"/>
        <v>7.8390675464824505E-2</v>
      </c>
      <c r="AS134" s="196">
        <f t="shared" si="947"/>
        <v>7.8852311637041303E-2</v>
      </c>
      <c r="AT134" s="196">
        <f t="shared" si="947"/>
        <v>7.6916499999999999E-2</v>
      </c>
      <c r="AU134" s="196">
        <f t="shared" si="947"/>
        <v>7.6823299999999997E-2</v>
      </c>
      <c r="AV134" s="196">
        <f t="shared" si="947"/>
        <v>7.6596899999999996E-2</v>
      </c>
      <c r="AW134" s="196">
        <f t="shared" si="947"/>
        <v>7.3952500000000004E-2</v>
      </c>
      <c r="AX134" s="196">
        <f t="shared" si="947"/>
        <v>7.2800000000000004E-2</v>
      </c>
      <c r="AY134" s="196">
        <f t="shared" si="947"/>
        <v>7.0699999999999999E-2</v>
      </c>
      <c r="AZ134" s="196">
        <f t="shared" si="947"/>
        <v>6.9500000000000006E-2</v>
      </c>
      <c r="BA134" s="196">
        <f t="shared" si="947"/>
        <v>6.989999999999999E-2</v>
      </c>
      <c r="BB134" s="196">
        <f t="shared" si="947"/>
        <v>6.9631499999999999E-2</v>
      </c>
      <c r="BC134" s="196">
        <f t="shared" si="947"/>
        <v>6.9107299999999997E-2</v>
      </c>
      <c r="BD134" s="196">
        <f t="shared" si="947"/>
        <v>6.7586900000000005E-2</v>
      </c>
      <c r="BE134" s="196">
        <f t="shared" si="947"/>
        <v>6.0545299999999996E-2</v>
      </c>
      <c r="BF134" s="196">
        <f t="shared" si="947"/>
        <v>5.7499999999999996E-2</v>
      </c>
      <c r="BG134" s="196">
        <f t="shared" si="947"/>
        <v>5.7499999999999996E-2</v>
      </c>
      <c r="BH134" s="196">
        <f t="shared" si="947"/>
        <v>5.7499999999999996E-2</v>
      </c>
      <c r="BI134" s="196">
        <f t="shared" si="947"/>
        <v>5.7499999999999996E-2</v>
      </c>
      <c r="BJ134" s="196">
        <f t="shared" si="947"/>
        <v>5.7499999999999996E-2</v>
      </c>
      <c r="BK134" s="196">
        <f t="shared" si="947"/>
        <v>5.7499999999999996E-2</v>
      </c>
      <c r="BL134" s="196">
        <f t="shared" si="947"/>
        <v>5.7499999999999996E-2</v>
      </c>
      <c r="BM134" s="196">
        <f t="shared" si="947"/>
        <v>5.7499999999999996E-2</v>
      </c>
      <c r="BN134" s="196">
        <f t="shared" si="947"/>
        <v>5.7499999999999996E-2</v>
      </c>
      <c r="BO134" s="196">
        <f t="shared" si="947"/>
        <v>5.7499999999999996E-2</v>
      </c>
      <c r="BP134" s="196">
        <f t="shared" si="947"/>
        <v>5.7499999999999996E-2</v>
      </c>
      <c r="BQ134" s="196">
        <f t="shared" si="947"/>
        <v>5.7499999999999996E-2</v>
      </c>
      <c r="BR134" s="196">
        <f t="shared" si="947"/>
        <v>5.7499999999999996E-2</v>
      </c>
      <c r="BS134" s="196">
        <f t="shared" si="947"/>
        <v>5.7499999999999996E-2</v>
      </c>
      <c r="BT134" s="196">
        <f t="shared" si="947"/>
        <v>5.7499999999999996E-2</v>
      </c>
      <c r="BU134" s="196">
        <f t="shared" si="947"/>
        <v>5.7499999999999996E-2</v>
      </c>
      <c r="BV134" s="196">
        <f t="shared" si="947"/>
        <v>5.7499999999999996E-2</v>
      </c>
      <c r="BW134" s="196">
        <f t="shared" ref="BW134:DB134" si="948">IF($G$146=0,$G$134,BW132+BW133)</f>
        <v>5.7499999999999996E-2</v>
      </c>
      <c r="BX134" s="196">
        <f t="shared" si="948"/>
        <v>5.7499999999999996E-2</v>
      </c>
      <c r="BY134" s="196">
        <f t="shared" si="948"/>
        <v>5.7499999999999996E-2</v>
      </c>
      <c r="BZ134" s="196">
        <f t="shared" si="948"/>
        <v>5.7499999999999996E-2</v>
      </c>
      <c r="CA134" s="196">
        <f t="shared" si="948"/>
        <v>5.7499999999999996E-2</v>
      </c>
      <c r="CB134" s="196">
        <f t="shared" si="948"/>
        <v>5.7499999999999996E-2</v>
      </c>
      <c r="CC134" s="196">
        <f t="shared" si="948"/>
        <v>5.7499999999999996E-2</v>
      </c>
      <c r="CD134" s="196">
        <f t="shared" si="948"/>
        <v>5.7499999999999996E-2</v>
      </c>
      <c r="CE134" s="196">
        <f t="shared" si="948"/>
        <v>5.7499999999999996E-2</v>
      </c>
      <c r="CF134" s="196">
        <f t="shared" si="948"/>
        <v>5.7499999999999996E-2</v>
      </c>
      <c r="CG134" s="196">
        <f t="shared" si="948"/>
        <v>5.7499999999999996E-2</v>
      </c>
      <c r="CH134" s="196">
        <f t="shared" si="948"/>
        <v>5.7499999999999996E-2</v>
      </c>
      <c r="CI134" s="196">
        <f t="shared" si="948"/>
        <v>5.7499999999999996E-2</v>
      </c>
      <c r="CJ134" s="196">
        <f t="shared" si="948"/>
        <v>9.1598700000000005E-2</v>
      </c>
      <c r="CK134" s="196">
        <f t="shared" si="948"/>
        <v>9.6978099999999998E-2</v>
      </c>
      <c r="CL134" s="196">
        <f t="shared" si="948"/>
        <v>0.10065259999999999</v>
      </c>
      <c r="CM134" s="196">
        <f t="shared" si="948"/>
        <v>0.1027318</v>
      </c>
      <c r="CN134" s="196">
        <f t="shared" si="948"/>
        <v>0.1034988</v>
      </c>
      <c r="CO134" s="196">
        <f t="shared" si="948"/>
        <v>0.1035744</v>
      </c>
      <c r="CP134" s="196">
        <f t="shared" si="948"/>
        <v>0.1033242</v>
      </c>
      <c r="CQ134" s="196">
        <f t="shared" si="948"/>
        <v>0.10279669999999999</v>
      </c>
      <c r="CR134" s="196">
        <f t="shared" si="948"/>
        <v>0.1020866</v>
      </c>
      <c r="CS134" s="196">
        <f t="shared" si="948"/>
        <v>5.7499999999999996E-2</v>
      </c>
      <c r="CT134" s="196">
        <f t="shared" si="948"/>
        <v>5.7499999999999996E-2</v>
      </c>
      <c r="CU134" s="196">
        <f t="shared" si="948"/>
        <v>9.9655799999999989E-2</v>
      </c>
      <c r="CV134" s="196">
        <f t="shared" si="948"/>
        <v>9.8634599999999989E-2</v>
      </c>
      <c r="CW134" s="196">
        <f t="shared" si="948"/>
        <v>9.7565199999999991E-2</v>
      </c>
      <c r="CX134" s="196">
        <f t="shared" si="948"/>
        <v>9.6578200000000003E-2</v>
      </c>
      <c r="CY134" s="196">
        <f t="shared" si="948"/>
        <v>9.5411200000000002E-2</v>
      </c>
      <c r="CZ134" s="196">
        <f t="shared" si="948"/>
        <v>9.418689999999999E-2</v>
      </c>
      <c r="DA134" s="196">
        <f t="shared" si="948"/>
        <v>9.3094299999999991E-2</v>
      </c>
      <c r="DB134" s="196">
        <f t="shared" si="948"/>
        <v>9.1906199999999993E-2</v>
      </c>
      <c r="DC134" s="196">
        <f t="shared" ref="DC134:EH134" si="949">IF($G$146=0,$G$134,DC132+DC133)</f>
        <v>9.0825299999999998E-2</v>
      </c>
      <c r="DD134" s="196">
        <f t="shared" si="949"/>
        <v>8.9935399999999999E-2</v>
      </c>
      <c r="DE134" s="196">
        <f t="shared" si="949"/>
        <v>8.9136300000000002E-2</v>
      </c>
      <c r="DF134" s="196">
        <f t="shared" si="949"/>
        <v>8.8559899999999997E-2</v>
      </c>
      <c r="DG134" s="196">
        <f t="shared" si="949"/>
        <v>8.8037199999999996E-2</v>
      </c>
      <c r="DH134" s="196">
        <f t="shared" si="949"/>
        <v>8.7663899999999989E-2</v>
      </c>
      <c r="DI134" s="196">
        <f t="shared" si="949"/>
        <v>8.742939999999999E-2</v>
      </c>
      <c r="DJ134" s="196">
        <f t="shared" si="949"/>
        <v>8.7159600000000004E-2</v>
      </c>
      <c r="DK134" s="196">
        <f t="shared" si="949"/>
        <v>8.6936299999999994E-2</v>
      </c>
      <c r="DL134" s="196">
        <f t="shared" si="949"/>
        <v>8.6744199999999994E-2</v>
      </c>
      <c r="DM134" s="196">
        <f t="shared" si="949"/>
        <v>8.6534899999999998E-2</v>
      </c>
      <c r="DN134" s="196">
        <f t="shared" si="949"/>
        <v>8.6335300000000004E-2</v>
      </c>
      <c r="DO134" s="196">
        <f t="shared" si="949"/>
        <v>8.6160700000000007E-2</v>
      </c>
      <c r="DP134" s="196">
        <f t="shared" si="949"/>
        <v>8.5936600000000002E-2</v>
      </c>
      <c r="DQ134" s="196">
        <f t="shared" si="949"/>
        <v>8.5733100000000007E-2</v>
      </c>
      <c r="DR134" s="196">
        <f t="shared" si="949"/>
        <v>8.5573999999999997E-2</v>
      </c>
      <c r="DS134" s="196">
        <f t="shared" si="949"/>
        <v>8.5377499999999995E-2</v>
      </c>
      <c r="DT134" s="196">
        <f t="shared" si="949"/>
        <v>8.5210000000000008E-2</v>
      </c>
      <c r="DU134" s="196">
        <f t="shared" si="949"/>
        <v>8.5085400000000005E-2</v>
      </c>
      <c r="DV134" s="196">
        <f t="shared" si="949"/>
        <v>8.4944699999999998E-2</v>
      </c>
      <c r="DW134" s="196">
        <f t="shared" si="949"/>
        <v>8.4849000000000008E-2</v>
      </c>
      <c r="DX134" s="196">
        <f t="shared" si="949"/>
        <v>8.4780300000000003E-2</v>
      </c>
      <c r="DY134" s="196">
        <f t="shared" si="949"/>
        <v>8.4698200000000001E-2</v>
      </c>
      <c r="DZ134" s="196">
        <f t="shared" si="949"/>
        <v>8.4653300000000001E-2</v>
      </c>
      <c r="EA134" s="196">
        <f t="shared" si="949"/>
        <v>8.4640799999999988E-2</v>
      </c>
      <c r="EB134" s="196">
        <f t="shared" si="949"/>
        <v>8.4616799999999992E-2</v>
      </c>
      <c r="EC134" s="196">
        <f t="shared" si="949"/>
        <v>8.4624900000000003E-2</v>
      </c>
      <c r="ED134" s="196">
        <f t="shared" si="949"/>
        <v>8.4656800000000004E-2</v>
      </c>
      <c r="EE134" s="196">
        <f t="shared" si="949"/>
        <v>8.4676100000000004E-2</v>
      </c>
      <c r="EF134" s="196">
        <f t="shared" si="949"/>
        <v>8.4716199999999992E-2</v>
      </c>
      <c r="EG134" s="196">
        <f t="shared" si="949"/>
        <v>8.4780999999999995E-2</v>
      </c>
      <c r="EH134" s="196">
        <f t="shared" si="949"/>
        <v>8.48217E-2</v>
      </c>
      <c r="EI134" s="196">
        <f t="shared" ref="EI134:EL134" si="950">IF($G$146=0,$G$134,EI132+EI133)</f>
        <v>8.4869599999999989E-2</v>
      </c>
      <c r="EJ134" s="196">
        <f t="shared" si="950"/>
        <v>8.4931800000000002E-2</v>
      </c>
      <c r="EK134" s="196">
        <f t="shared" si="950"/>
        <v>8.4963999999999998E-2</v>
      </c>
      <c r="EL134" s="196">
        <f t="shared" si="950"/>
        <v>8.5007300000000008E-2</v>
      </c>
      <c r="EM134" s="196">
        <f t="shared" ref="EM134:FD134" si="951">IF($G$146=0,$G$134,EM132+EM133)</f>
        <v>5.7499999999999996E-2</v>
      </c>
      <c r="EN134" s="196">
        <f t="shared" si="951"/>
        <v>5.7499999999999996E-2</v>
      </c>
      <c r="EO134" s="196">
        <f t="shared" si="951"/>
        <v>5.7499999999999996E-2</v>
      </c>
      <c r="EP134" s="196">
        <f t="shared" si="951"/>
        <v>5.7499999999999996E-2</v>
      </c>
      <c r="EQ134" s="196">
        <f t="shared" si="951"/>
        <v>5.7499999999999996E-2</v>
      </c>
      <c r="ER134" s="196">
        <f t="shared" si="951"/>
        <v>5.7499999999999996E-2</v>
      </c>
      <c r="ES134" s="196">
        <f t="shared" si="951"/>
        <v>5.7499999999999996E-2</v>
      </c>
      <c r="ET134" s="196">
        <f t="shared" si="951"/>
        <v>5.7499999999999996E-2</v>
      </c>
      <c r="EU134" s="196">
        <f t="shared" si="951"/>
        <v>5.7499999999999996E-2</v>
      </c>
      <c r="EV134" s="196">
        <f t="shared" si="951"/>
        <v>5.7499999999999996E-2</v>
      </c>
      <c r="EW134" s="196">
        <f t="shared" si="951"/>
        <v>5.7499999999999996E-2</v>
      </c>
      <c r="EX134" s="196">
        <f t="shared" si="951"/>
        <v>5.7499999999999996E-2</v>
      </c>
      <c r="EY134" s="196">
        <f t="shared" si="951"/>
        <v>5.7499999999999996E-2</v>
      </c>
      <c r="EZ134" s="196">
        <f t="shared" si="951"/>
        <v>5.7499999999999996E-2</v>
      </c>
      <c r="FA134" s="196">
        <f t="shared" si="951"/>
        <v>5.7499999999999996E-2</v>
      </c>
      <c r="FB134" s="196">
        <f t="shared" si="951"/>
        <v>5.7499999999999996E-2</v>
      </c>
      <c r="FC134" s="196">
        <f t="shared" si="951"/>
        <v>5.7499999999999996E-2</v>
      </c>
      <c r="FD134" s="196">
        <f t="shared" si="951"/>
        <v>5.7499999999999996E-2</v>
      </c>
      <c r="FE134" s="196">
        <f t="shared" ref="FE134:FI134" si="952">IF($G$146=0,$G$134,FE132+FE133)</f>
        <v>5.7499999999999996E-2</v>
      </c>
      <c r="FF134" s="196">
        <f t="shared" si="952"/>
        <v>5.7499999999999996E-2</v>
      </c>
      <c r="FG134" s="196">
        <f t="shared" si="952"/>
        <v>5.7499999999999996E-2</v>
      </c>
      <c r="FH134" s="196">
        <f t="shared" si="952"/>
        <v>5.7499999999999996E-2</v>
      </c>
      <c r="FI134" s="196">
        <f t="shared" si="952"/>
        <v>5.7499999999999996E-2</v>
      </c>
      <c r="FJ134" s="196">
        <f t="shared" ref="FJ134:GT134" si="953">IF($G$146=0,$G$134,FJ132+FJ133)</f>
        <v>5.7499999999999996E-2</v>
      </c>
      <c r="FK134" s="196">
        <f t="shared" si="953"/>
        <v>5.7499999999999996E-2</v>
      </c>
      <c r="FL134" s="196">
        <f t="shared" si="953"/>
        <v>5.7499999999999996E-2</v>
      </c>
      <c r="FM134" s="196">
        <f t="shared" si="953"/>
        <v>5.7499999999999996E-2</v>
      </c>
      <c r="FN134" s="196">
        <f t="shared" si="953"/>
        <v>5.7499999999999996E-2</v>
      </c>
      <c r="FO134" s="196">
        <f t="shared" si="953"/>
        <v>5.7499999999999996E-2</v>
      </c>
      <c r="FP134" s="196">
        <f t="shared" si="953"/>
        <v>5.7499999999999996E-2</v>
      </c>
      <c r="FQ134" s="196">
        <f t="shared" si="953"/>
        <v>5.7499999999999996E-2</v>
      </c>
      <c r="FR134" s="196">
        <f t="shared" si="953"/>
        <v>5.7499999999999996E-2</v>
      </c>
      <c r="FS134" s="196">
        <f t="shared" si="953"/>
        <v>5.7499999999999996E-2</v>
      </c>
      <c r="FT134" s="196">
        <f t="shared" si="953"/>
        <v>5.7499999999999996E-2</v>
      </c>
      <c r="FU134" s="196">
        <f t="shared" si="953"/>
        <v>5.7499999999999996E-2</v>
      </c>
      <c r="FV134" s="196">
        <f t="shared" si="953"/>
        <v>5.7499999999999996E-2</v>
      </c>
      <c r="FW134" s="196">
        <f t="shared" si="953"/>
        <v>5.7499999999999996E-2</v>
      </c>
      <c r="FX134" s="196">
        <f t="shared" si="953"/>
        <v>5.7499999999999996E-2</v>
      </c>
      <c r="FY134" s="196">
        <f t="shared" si="953"/>
        <v>5.7499999999999996E-2</v>
      </c>
      <c r="FZ134" s="196">
        <f t="shared" si="953"/>
        <v>5.7499999999999996E-2</v>
      </c>
      <c r="GA134" s="196">
        <f t="shared" si="953"/>
        <v>5.7499999999999996E-2</v>
      </c>
      <c r="GB134" s="196">
        <f t="shared" si="953"/>
        <v>5.7499999999999996E-2</v>
      </c>
      <c r="GC134" s="196">
        <f t="shared" si="953"/>
        <v>5.7499999999999996E-2</v>
      </c>
      <c r="GD134" s="196"/>
      <c r="GE134" s="196"/>
      <c r="GF134" s="196"/>
      <c r="GG134" s="196"/>
      <c r="GH134" s="196"/>
      <c r="GI134" s="196"/>
      <c r="GJ134" s="196"/>
      <c r="GK134" s="196"/>
      <c r="GL134" s="196"/>
      <c r="GM134" s="196"/>
      <c r="GN134" s="196"/>
      <c r="GO134" s="196"/>
      <c r="GP134" s="196">
        <f t="shared" si="953"/>
        <v>5.7499999999999996E-2</v>
      </c>
      <c r="GQ134" s="196">
        <f t="shared" si="953"/>
        <v>5.7499999999999996E-2</v>
      </c>
      <c r="GR134" s="196">
        <f t="shared" si="953"/>
        <v>5.7499999999999996E-2</v>
      </c>
      <c r="GS134" s="196">
        <f t="shared" si="953"/>
        <v>8.5007300000000008E-2</v>
      </c>
      <c r="GT134" s="196">
        <f t="shared" si="953"/>
        <v>5.7499999999999996E-2</v>
      </c>
      <c r="GU134" s="196"/>
      <c r="GV134" s="196"/>
      <c r="GW134" s="196"/>
      <c r="GX134" s="196"/>
      <c r="GY134" s="196"/>
      <c r="GZ134" s="196"/>
      <c r="HA134" s="196"/>
      <c r="HB134" s="196"/>
      <c r="HC134" s="196"/>
      <c r="HD134" s="196"/>
      <c r="HE134" s="196"/>
      <c r="HF134" s="1" t="s">
        <v>212</v>
      </c>
      <c r="HH134" s="33"/>
      <c r="HL134" s="97"/>
      <c r="HN134" s="201"/>
      <c r="HO134" s="196"/>
      <c r="HP134" s="196"/>
      <c r="HQ134" s="196"/>
      <c r="HR134" s="196"/>
      <c r="HS134" s="196"/>
      <c r="HT134" s="196"/>
      <c r="HU134" s="196"/>
      <c r="HV134" s="196"/>
      <c r="HW134"/>
    </row>
    <row r="135" spans="1:231" ht="15" outlineLevel="1">
      <c r="I135" s="97"/>
      <c r="L135" s="524"/>
      <c r="HF135" s="1" t="s">
        <v>212</v>
      </c>
      <c r="HL135" s="97"/>
      <c r="HN135" s="102"/>
      <c r="HW135"/>
    </row>
    <row r="136" spans="1:231" ht="15" outlineLevel="1">
      <c r="B136" s="16" t="s">
        <v>127</v>
      </c>
      <c r="I136" s="97"/>
      <c r="L136" s="524"/>
      <c r="HF136" s="1" t="s">
        <v>212</v>
      </c>
      <c r="HH136" s="16" t="str">
        <f t="shared" ref="HH136:HH142" si="954">B136</f>
        <v>Acquisition Debt</v>
      </c>
      <c r="HL136" s="97"/>
      <c r="HN136" s="102"/>
      <c r="HW136"/>
    </row>
    <row r="137" spans="1:231" ht="15" outlineLevel="1">
      <c r="B137" s="430" t="s">
        <v>101</v>
      </c>
      <c r="C137" s="430"/>
      <c r="D137" s="430"/>
      <c r="E137" s="430"/>
      <c r="F137" s="430"/>
      <c r="G137" s="430"/>
      <c r="H137" s="430"/>
      <c r="I137" s="494"/>
      <c r="J137" s="495"/>
      <c r="K137" s="496">
        <f>J152</f>
        <v>0</v>
      </c>
      <c r="L137" s="525">
        <f>K152</f>
        <v>19541</v>
      </c>
      <c r="M137" s="525">
        <f t="shared" ref="M137:BX137" si="955">L152</f>
        <v>19541</v>
      </c>
      <c r="N137" s="525">
        <f t="shared" si="955"/>
        <v>19541</v>
      </c>
      <c r="O137" s="525">
        <f t="shared" si="955"/>
        <v>19541</v>
      </c>
      <c r="P137" s="525">
        <f t="shared" si="955"/>
        <v>19541</v>
      </c>
      <c r="Q137" s="525">
        <f t="shared" si="955"/>
        <v>19541</v>
      </c>
      <c r="R137" s="525">
        <f t="shared" si="955"/>
        <v>19541</v>
      </c>
      <c r="S137" s="525">
        <f t="shared" si="955"/>
        <v>19541</v>
      </c>
      <c r="T137" s="525">
        <f t="shared" si="955"/>
        <v>19541</v>
      </c>
      <c r="U137" s="525">
        <f t="shared" si="955"/>
        <v>19541</v>
      </c>
      <c r="V137" s="525">
        <f t="shared" si="955"/>
        <v>19725.976739999998</v>
      </c>
      <c r="W137" s="525">
        <f t="shared" si="955"/>
        <v>19725.976739999998</v>
      </c>
      <c r="X137" s="525">
        <f t="shared" si="955"/>
        <v>19834.745329999998</v>
      </c>
      <c r="Y137" s="525">
        <f t="shared" si="955"/>
        <v>19838.347469999997</v>
      </c>
      <c r="Z137" s="525">
        <f t="shared" si="955"/>
        <v>19838.347469999997</v>
      </c>
      <c r="AA137" s="525">
        <f t="shared" si="955"/>
        <v>20300.539249999998</v>
      </c>
      <c r="AB137" s="525">
        <f t="shared" si="955"/>
        <v>20300.539249999998</v>
      </c>
      <c r="AC137" s="525">
        <f t="shared" si="955"/>
        <v>20758.865719999998</v>
      </c>
      <c r="AD137" s="525">
        <f t="shared" si="955"/>
        <v>20758.865719999998</v>
      </c>
      <c r="AE137" s="525">
        <f t="shared" si="955"/>
        <v>20758.865719999998</v>
      </c>
      <c r="AF137" s="525">
        <f t="shared" si="955"/>
        <v>21246.404759999998</v>
      </c>
      <c r="AG137" s="525">
        <f t="shared" si="955"/>
        <v>21454.371260845426</v>
      </c>
      <c r="AH137" s="525">
        <f t="shared" si="955"/>
        <v>21722.632220845426</v>
      </c>
      <c r="AI137" s="525">
        <f t="shared" si="955"/>
        <v>21722.632220845426</v>
      </c>
      <c r="AJ137" s="525">
        <f t="shared" si="955"/>
        <v>21795.794000000002</v>
      </c>
      <c r="AK137" s="525">
        <f t="shared" si="955"/>
        <v>21795.794000000002</v>
      </c>
      <c r="AL137" s="525">
        <f t="shared" si="955"/>
        <v>21795.794000000002</v>
      </c>
      <c r="AM137" s="525">
        <f t="shared" si="955"/>
        <v>21795.794000000002</v>
      </c>
      <c r="AN137" s="525">
        <f t="shared" si="955"/>
        <v>21795.794000000002</v>
      </c>
      <c r="AO137" s="525">
        <f t="shared" si="955"/>
        <v>21795.793999999998</v>
      </c>
      <c r="AP137" s="525">
        <f t="shared" si="955"/>
        <v>21795.794000000002</v>
      </c>
      <c r="AQ137" s="525">
        <f t="shared" si="955"/>
        <v>21795.794000000002</v>
      </c>
      <c r="AR137" s="525">
        <f t="shared" si="955"/>
        <v>21795.793999999998</v>
      </c>
      <c r="AS137" s="525">
        <f t="shared" si="955"/>
        <v>21795.794000000002</v>
      </c>
      <c r="AT137" s="525">
        <f t="shared" si="955"/>
        <v>21795.794000000002</v>
      </c>
      <c r="AU137" s="525">
        <f t="shared" si="955"/>
        <v>21795.794000000002</v>
      </c>
      <c r="AV137" s="525">
        <f t="shared" si="955"/>
        <v>21795.794000000002</v>
      </c>
      <c r="AW137" s="525">
        <f t="shared" si="955"/>
        <v>21795.794000000002</v>
      </c>
      <c r="AX137" s="525">
        <f t="shared" si="955"/>
        <v>21795.794000000002</v>
      </c>
      <c r="AY137" s="525">
        <f t="shared" si="955"/>
        <v>21795.794000000002</v>
      </c>
      <c r="AZ137" s="525">
        <f t="shared" si="955"/>
        <v>21792.294000000002</v>
      </c>
      <c r="BA137" s="525">
        <f t="shared" si="955"/>
        <v>21795.794000000002</v>
      </c>
      <c r="BB137" s="525">
        <f t="shared" si="955"/>
        <v>21795.794000000002</v>
      </c>
      <c r="BC137" s="525">
        <f t="shared" si="955"/>
        <v>21795.794000000002</v>
      </c>
      <c r="BD137" s="525">
        <f t="shared" si="955"/>
        <v>21795.794000000002</v>
      </c>
      <c r="BE137" s="525">
        <f t="shared" si="955"/>
        <v>21795.794000000002</v>
      </c>
      <c r="BF137" s="525">
        <f t="shared" si="955"/>
        <v>21795.794000000002</v>
      </c>
      <c r="BG137" s="525">
        <f t="shared" si="955"/>
        <v>21795.794000000002</v>
      </c>
      <c r="BH137" s="525">
        <f t="shared" si="955"/>
        <v>21795.794000000002</v>
      </c>
      <c r="BI137" s="525">
        <f t="shared" si="955"/>
        <v>21795.794000000002</v>
      </c>
      <c r="BJ137" s="525">
        <f t="shared" si="955"/>
        <v>21795.794000000002</v>
      </c>
      <c r="BK137" s="525">
        <f t="shared" si="955"/>
        <v>21795.794000000002</v>
      </c>
      <c r="BL137" s="525">
        <f t="shared" si="955"/>
        <v>21795.794000000002</v>
      </c>
      <c r="BM137" s="525">
        <f t="shared" ca="1" si="955"/>
        <v>21795.794000000002</v>
      </c>
      <c r="BN137" s="525">
        <f t="shared" ca="1" si="955"/>
        <v>21795.794000000002</v>
      </c>
      <c r="BO137" s="525">
        <f t="shared" ca="1" si="955"/>
        <v>21795.794000000002</v>
      </c>
      <c r="BP137" s="525">
        <f t="shared" ca="1" si="955"/>
        <v>21795.794000000002</v>
      </c>
      <c r="BQ137" s="525">
        <f t="shared" ca="1" si="955"/>
        <v>21795.794000000002</v>
      </c>
      <c r="BR137" s="525">
        <f t="shared" ca="1" si="955"/>
        <v>21795.794000000002</v>
      </c>
      <c r="BS137" s="525">
        <f t="shared" ca="1" si="955"/>
        <v>21795.794000000002</v>
      </c>
      <c r="BT137" s="1428">
        <f ca="1">BS152</f>
        <v>0</v>
      </c>
      <c r="BU137" s="525">
        <f t="shared" ca="1" si="955"/>
        <v>0</v>
      </c>
      <c r="BV137" s="525">
        <f t="shared" ca="1" si="955"/>
        <v>0</v>
      </c>
      <c r="BW137" s="525">
        <f t="shared" ca="1" si="955"/>
        <v>0</v>
      </c>
      <c r="BX137" s="525">
        <f t="shared" ca="1" si="955"/>
        <v>0</v>
      </c>
      <c r="BY137" s="525">
        <f t="shared" ref="BY137:EJ137" ca="1" si="956">BX152</f>
        <v>0</v>
      </c>
      <c r="BZ137" s="525">
        <f t="shared" ca="1" si="956"/>
        <v>0</v>
      </c>
      <c r="CA137" s="525">
        <f t="shared" ca="1" si="956"/>
        <v>0</v>
      </c>
      <c r="CB137" s="525">
        <f t="shared" ca="1" si="956"/>
        <v>0</v>
      </c>
      <c r="CC137" s="525">
        <f t="shared" ca="1" si="956"/>
        <v>0</v>
      </c>
      <c r="CD137" s="525">
        <f t="shared" ca="1" si="956"/>
        <v>0</v>
      </c>
      <c r="CE137" s="525">
        <f t="shared" ca="1" si="956"/>
        <v>0</v>
      </c>
      <c r="CF137" s="525">
        <f t="shared" ca="1" si="956"/>
        <v>0</v>
      </c>
      <c r="CG137" s="525">
        <f t="shared" ca="1" si="956"/>
        <v>0</v>
      </c>
      <c r="CH137" s="525">
        <f t="shared" ca="1" si="956"/>
        <v>0</v>
      </c>
      <c r="CI137" s="525">
        <f t="shared" ca="1" si="956"/>
        <v>0</v>
      </c>
      <c r="CJ137" s="525">
        <f t="shared" ca="1" si="956"/>
        <v>0</v>
      </c>
      <c r="CK137" s="525">
        <f t="shared" ca="1" si="956"/>
        <v>0</v>
      </c>
      <c r="CL137" s="525">
        <f t="shared" ca="1" si="956"/>
        <v>0</v>
      </c>
      <c r="CM137" s="525">
        <f t="shared" ca="1" si="956"/>
        <v>0</v>
      </c>
      <c r="CN137" s="525">
        <f t="shared" ca="1" si="956"/>
        <v>0</v>
      </c>
      <c r="CO137" s="525">
        <f t="shared" ca="1" si="956"/>
        <v>0</v>
      </c>
      <c r="CP137" s="525">
        <f t="shared" ca="1" si="956"/>
        <v>0</v>
      </c>
      <c r="CQ137" s="525">
        <f t="shared" ca="1" si="956"/>
        <v>0</v>
      </c>
      <c r="CR137" s="525">
        <f t="shared" ca="1" si="956"/>
        <v>0</v>
      </c>
      <c r="CS137" s="525">
        <f t="shared" ca="1" si="956"/>
        <v>0</v>
      </c>
      <c r="CT137" s="525">
        <f t="shared" ca="1" si="956"/>
        <v>0</v>
      </c>
      <c r="CU137" s="525">
        <f t="shared" ca="1" si="956"/>
        <v>0</v>
      </c>
      <c r="CV137" s="525">
        <f t="shared" ca="1" si="956"/>
        <v>0</v>
      </c>
      <c r="CW137" s="525">
        <f t="shared" ca="1" si="956"/>
        <v>0</v>
      </c>
      <c r="CX137" s="525">
        <f t="shared" ca="1" si="956"/>
        <v>0</v>
      </c>
      <c r="CY137" s="525">
        <f t="shared" ca="1" si="956"/>
        <v>0</v>
      </c>
      <c r="CZ137" s="525">
        <f t="shared" ca="1" si="956"/>
        <v>0</v>
      </c>
      <c r="DA137" s="525">
        <f t="shared" ca="1" si="956"/>
        <v>0</v>
      </c>
      <c r="DB137" s="525">
        <f t="shared" ca="1" si="956"/>
        <v>0</v>
      </c>
      <c r="DC137" s="525">
        <f t="shared" ca="1" si="956"/>
        <v>0</v>
      </c>
      <c r="DD137" s="525">
        <f t="shared" ca="1" si="956"/>
        <v>0</v>
      </c>
      <c r="DE137" s="525">
        <f t="shared" ca="1" si="956"/>
        <v>0</v>
      </c>
      <c r="DF137" s="525">
        <f t="shared" ca="1" si="956"/>
        <v>0</v>
      </c>
      <c r="DG137" s="525">
        <f t="shared" ca="1" si="956"/>
        <v>0</v>
      </c>
      <c r="DH137" s="525">
        <f t="shared" ca="1" si="956"/>
        <v>0</v>
      </c>
      <c r="DI137" s="525">
        <f t="shared" ca="1" si="956"/>
        <v>0</v>
      </c>
      <c r="DJ137" s="525">
        <f t="shared" ca="1" si="956"/>
        <v>0</v>
      </c>
      <c r="DK137" s="525">
        <f t="shared" ca="1" si="956"/>
        <v>0</v>
      </c>
      <c r="DL137" s="525">
        <f t="shared" ca="1" si="956"/>
        <v>0</v>
      </c>
      <c r="DM137" s="525">
        <f t="shared" ca="1" si="956"/>
        <v>0</v>
      </c>
      <c r="DN137" s="525">
        <f t="shared" ca="1" si="956"/>
        <v>0</v>
      </c>
      <c r="DO137" s="525">
        <f t="shared" ca="1" si="956"/>
        <v>0</v>
      </c>
      <c r="DP137" s="525">
        <f t="shared" ca="1" si="956"/>
        <v>0</v>
      </c>
      <c r="DQ137" s="525">
        <f t="shared" ca="1" si="956"/>
        <v>0</v>
      </c>
      <c r="DR137" s="525">
        <f t="shared" ca="1" si="956"/>
        <v>0</v>
      </c>
      <c r="DS137" s="525">
        <f t="shared" ca="1" si="956"/>
        <v>0</v>
      </c>
      <c r="DT137" s="525">
        <f t="shared" ca="1" si="956"/>
        <v>0</v>
      </c>
      <c r="DU137" s="525">
        <f t="shared" ca="1" si="956"/>
        <v>0</v>
      </c>
      <c r="DV137" s="525">
        <f t="shared" ca="1" si="956"/>
        <v>0</v>
      </c>
      <c r="DW137" s="525">
        <f t="shared" ca="1" si="956"/>
        <v>0</v>
      </c>
      <c r="DX137" s="525">
        <f t="shared" ca="1" si="956"/>
        <v>0</v>
      </c>
      <c r="DY137" s="525">
        <f t="shared" ca="1" si="956"/>
        <v>0</v>
      </c>
      <c r="DZ137" s="525">
        <f t="shared" ca="1" si="956"/>
        <v>0</v>
      </c>
      <c r="EA137" s="525">
        <f t="shared" ca="1" si="956"/>
        <v>0</v>
      </c>
      <c r="EB137" s="525">
        <f t="shared" ca="1" si="956"/>
        <v>0</v>
      </c>
      <c r="EC137" s="525">
        <f t="shared" ca="1" si="956"/>
        <v>0</v>
      </c>
      <c r="ED137" s="525">
        <f t="shared" ca="1" si="956"/>
        <v>0</v>
      </c>
      <c r="EE137" s="525">
        <f t="shared" ca="1" si="956"/>
        <v>0</v>
      </c>
      <c r="EF137" s="525">
        <f t="shared" ca="1" si="956"/>
        <v>0</v>
      </c>
      <c r="EG137" s="525">
        <f t="shared" ca="1" si="956"/>
        <v>0</v>
      </c>
      <c r="EH137" s="525">
        <f t="shared" ca="1" si="956"/>
        <v>0</v>
      </c>
      <c r="EI137" s="525">
        <f t="shared" ca="1" si="956"/>
        <v>0</v>
      </c>
      <c r="EJ137" s="525">
        <f t="shared" ca="1" si="956"/>
        <v>0</v>
      </c>
      <c r="EK137" s="525">
        <f t="shared" ref="EK137:EL137" ca="1" si="957">EJ152</f>
        <v>0</v>
      </c>
      <c r="EL137" s="525">
        <f t="shared" ca="1" si="957"/>
        <v>0</v>
      </c>
      <c r="EM137" s="525">
        <f t="shared" ref="EM137" ca="1" si="958">EL152</f>
        <v>0</v>
      </c>
      <c r="EN137" s="525">
        <f t="shared" ref="EN137" ca="1" si="959">EM152</f>
        <v>0</v>
      </c>
      <c r="EO137" s="525">
        <f t="shared" ref="EO137" ca="1" si="960">EN152</f>
        <v>0</v>
      </c>
      <c r="EP137" s="525">
        <f t="shared" ref="EP137" ca="1" si="961">EO152</f>
        <v>0</v>
      </c>
      <c r="EQ137" s="525">
        <f t="shared" ref="EQ137" ca="1" si="962">EP152</f>
        <v>0</v>
      </c>
      <c r="ER137" s="525">
        <f t="shared" ref="ER137" ca="1" si="963">EQ152</f>
        <v>0</v>
      </c>
      <c r="ES137" s="525">
        <f t="shared" ref="ES137" ca="1" si="964">ER152</f>
        <v>0</v>
      </c>
      <c r="ET137" s="525">
        <f t="shared" ref="ET137" ca="1" si="965">ES152</f>
        <v>0</v>
      </c>
      <c r="EU137" s="525">
        <f t="shared" ref="EU137" ca="1" si="966">ET152</f>
        <v>0</v>
      </c>
      <c r="EV137" s="525">
        <f t="shared" ref="EV137" ca="1" si="967">EU152</f>
        <v>0</v>
      </c>
      <c r="EW137" s="525">
        <f t="shared" ref="EW137" ca="1" si="968">EV152</f>
        <v>0</v>
      </c>
      <c r="EX137" s="525">
        <f t="shared" ref="EX137" ca="1" si="969">EW152</f>
        <v>0</v>
      </c>
      <c r="EY137" s="525">
        <f t="shared" ref="EY137" ca="1" si="970">EX152</f>
        <v>0</v>
      </c>
      <c r="EZ137" s="525">
        <f t="shared" ref="EZ137" ca="1" si="971">EY152</f>
        <v>0</v>
      </c>
      <c r="FA137" s="525">
        <f t="shared" ref="FA137" ca="1" si="972">EZ152</f>
        <v>0</v>
      </c>
      <c r="FB137" s="525">
        <f t="shared" ref="FB137" ca="1" si="973">FA152</f>
        <v>0</v>
      </c>
      <c r="FC137" s="525">
        <f t="shared" ref="FC137" ca="1" si="974">FB152</f>
        <v>0</v>
      </c>
      <c r="FD137" s="525">
        <f t="shared" ref="FD137" ca="1" si="975">FC152</f>
        <v>0</v>
      </c>
      <c r="FE137" s="525">
        <f t="shared" ref="FE137" ca="1" si="976">FD152</f>
        <v>0</v>
      </c>
      <c r="FF137" s="525">
        <f t="shared" ref="FF137" ca="1" si="977">FE152</f>
        <v>0</v>
      </c>
      <c r="FG137" s="525">
        <f t="shared" ref="FG137" ca="1" si="978">FF152</f>
        <v>0</v>
      </c>
      <c r="FH137" s="525">
        <f t="shared" ref="FH137" ca="1" si="979">FG152</f>
        <v>0</v>
      </c>
      <c r="FI137" s="525">
        <f t="shared" ref="FI137" ca="1" si="980">FH152</f>
        <v>0</v>
      </c>
      <c r="FJ137" s="525">
        <f t="shared" ref="FJ137" ca="1" si="981">FI152</f>
        <v>0</v>
      </c>
      <c r="FK137" s="525">
        <f t="shared" ref="FK137" ca="1" si="982">FJ152</f>
        <v>0</v>
      </c>
      <c r="FL137" s="525">
        <f t="shared" ref="FL137" ca="1" si="983">FK152</f>
        <v>0</v>
      </c>
      <c r="FM137" s="525">
        <f t="shared" ref="FM137" ca="1" si="984">FL152</f>
        <v>0</v>
      </c>
      <c r="FN137" s="525">
        <f t="shared" ref="FN137" ca="1" si="985">FM152</f>
        <v>0</v>
      </c>
      <c r="FO137" s="525">
        <f t="shared" ref="FO137" ca="1" si="986">FN152</f>
        <v>0</v>
      </c>
      <c r="FP137" s="525">
        <f t="shared" ref="FP137" ca="1" si="987">FO152</f>
        <v>0</v>
      </c>
      <c r="FQ137" s="525">
        <f t="shared" ref="FQ137" ca="1" si="988">FP152</f>
        <v>0</v>
      </c>
      <c r="FR137" s="525">
        <f t="shared" ref="FR137" ca="1" si="989">FQ152</f>
        <v>0</v>
      </c>
      <c r="FS137" s="525">
        <f t="shared" ref="FS137" ca="1" si="990">FR152</f>
        <v>0</v>
      </c>
      <c r="FT137" s="525">
        <f t="shared" ref="FT137" ca="1" si="991">FS152</f>
        <v>0</v>
      </c>
      <c r="FU137" s="525">
        <f t="shared" ref="FU137" ca="1" si="992">FT152</f>
        <v>0</v>
      </c>
      <c r="FV137" s="525">
        <f t="shared" ref="FV137" ca="1" si="993">FU152</f>
        <v>0</v>
      </c>
      <c r="FW137" s="525">
        <f t="shared" ref="FW137" ca="1" si="994">FV152</f>
        <v>0</v>
      </c>
      <c r="FX137" s="525">
        <f t="shared" ref="FX137" ca="1" si="995">FW152</f>
        <v>0</v>
      </c>
      <c r="FY137" s="525">
        <f t="shared" ref="FY137" ca="1" si="996">FX152</f>
        <v>0</v>
      </c>
      <c r="FZ137" s="525">
        <f t="shared" ref="FZ137" ca="1" si="997">FY152</f>
        <v>0</v>
      </c>
      <c r="GA137" s="525">
        <f t="shared" ref="GA137" ca="1" si="998">FZ152</f>
        <v>0</v>
      </c>
      <c r="GB137" s="525">
        <f t="shared" ref="GB137" ca="1" si="999">GA152</f>
        <v>0</v>
      </c>
      <c r="GC137" s="525">
        <f t="shared" ref="GC137" ca="1" si="1000">GB152</f>
        <v>0</v>
      </c>
      <c r="GD137" s="525"/>
      <c r="GE137" s="525"/>
      <c r="GF137" s="525"/>
      <c r="GG137" s="525"/>
      <c r="GH137" s="525"/>
      <c r="GI137" s="525"/>
      <c r="GJ137" s="525"/>
      <c r="GK137" s="525"/>
      <c r="GL137" s="525"/>
      <c r="GM137" s="525"/>
      <c r="GN137" s="525"/>
      <c r="GO137" s="525"/>
      <c r="GP137" s="525">
        <f t="shared" ref="GP137" ca="1" si="1001">GC152</f>
        <v>0</v>
      </c>
      <c r="GQ137" s="525">
        <f t="shared" ref="GQ137" ca="1" si="1002">GP152</f>
        <v>0</v>
      </c>
      <c r="GR137" s="525">
        <f t="shared" ref="GR137" ca="1" si="1003">GQ152</f>
        <v>0</v>
      </c>
      <c r="GS137" s="525">
        <f t="shared" ref="GS137" ca="1" si="1004">GR152</f>
        <v>0</v>
      </c>
      <c r="GT137" s="525">
        <f t="shared" ref="GT137" ca="1" si="1005">GS152</f>
        <v>0</v>
      </c>
      <c r="GU137" s="525"/>
      <c r="GV137" s="525"/>
      <c r="GW137" s="525"/>
      <c r="GX137" s="525"/>
      <c r="GY137" s="525"/>
      <c r="GZ137" s="525"/>
      <c r="HA137" s="525"/>
      <c r="HB137" s="525"/>
      <c r="HC137" s="525"/>
      <c r="HD137" s="525"/>
      <c r="HE137" s="525"/>
      <c r="HF137" s="1" t="s">
        <v>212</v>
      </c>
      <c r="HH137" s="1" t="str">
        <f t="shared" si="954"/>
        <v>Beginning Balance</v>
      </c>
      <c r="HI137" s="128"/>
      <c r="HJ137" s="128"/>
      <c r="HK137" s="128"/>
      <c r="HL137" s="125"/>
      <c r="HM137" s="188"/>
      <c r="HN137" s="131">
        <f>HM152</f>
        <v>0</v>
      </c>
      <c r="HO137" s="18">
        <f>HN152</f>
        <v>19541</v>
      </c>
      <c r="HP137" s="18">
        <f t="shared" ref="HP137:HV137" si="1006">HO152</f>
        <v>19835</v>
      </c>
      <c r="HQ137" s="18">
        <f t="shared" si="1006"/>
        <v>21796</v>
      </c>
      <c r="HR137" s="18">
        <f t="shared" si="1006"/>
        <v>21796</v>
      </c>
      <c r="HS137" s="18">
        <f t="shared" si="1006"/>
        <v>21796</v>
      </c>
      <c r="HT137" s="18">
        <f t="shared" ca="1" si="1006"/>
        <v>0</v>
      </c>
      <c r="HU137" s="18">
        <f t="shared" ca="1" si="1006"/>
        <v>0</v>
      </c>
      <c r="HV137" s="18">
        <f t="shared" ca="1" si="1006"/>
        <v>0</v>
      </c>
      <c r="HW137"/>
    </row>
    <row r="138" spans="1:231" ht="15" outlineLevel="1">
      <c r="B138" s="490" t="s">
        <v>128</v>
      </c>
      <c r="C138" s="430"/>
      <c r="D138" s="430"/>
      <c r="E138" s="498" t="s">
        <v>11</v>
      </c>
      <c r="F138" s="380">
        <f>$K$20</f>
        <v>30206</v>
      </c>
      <c r="G138" s="604">
        <f>Assumptions!F45</f>
        <v>0.63494281258123209</v>
      </c>
      <c r="H138" s="500" t="s">
        <v>68</v>
      </c>
      <c r="I138" s="501">
        <f>SUMIF($K$13:$GT$13,"&lt;="&amp;Assumptions!$L$17,'Monthly Cash Flow'!K138:GT138)</f>
        <v>19541</v>
      </c>
      <c r="J138" s="215"/>
      <c r="K138" s="502">
        <f>IF(K$13=Assumptions!$J$7,Assumptions!$F$46,0)</f>
        <v>19541</v>
      </c>
      <c r="L138" s="517">
        <f>IF(L$13=Assumptions!$J$7,Assumptions!$F$46,0)</f>
        <v>0</v>
      </c>
      <c r="M138" s="517">
        <f>IF(M$13=Assumptions!$J$7,Assumptions!$F$46,0)</f>
        <v>0</v>
      </c>
      <c r="N138" s="517">
        <f>IF(N$13=Assumptions!$J$7,Assumptions!$F$46,0)</f>
        <v>0</v>
      </c>
      <c r="O138" s="517">
        <f>IF(O$13=Assumptions!$J$7,Assumptions!$F$46,0)</f>
        <v>0</v>
      </c>
      <c r="P138" s="517">
        <f>IF(P$13=Assumptions!$J$7,Assumptions!$F$46,0)</f>
        <v>0</v>
      </c>
      <c r="Q138" s="517">
        <f>IF(Q$13=Assumptions!$J$7,Assumptions!$F$46,0)</f>
        <v>0</v>
      </c>
      <c r="R138" s="517">
        <f>IF(R$13=Assumptions!$J$7,Assumptions!$F$46,0)</f>
        <v>0</v>
      </c>
      <c r="S138" s="517">
        <f>IF(S$13=Assumptions!$J$7,Assumptions!$F$46,0)</f>
        <v>0</v>
      </c>
      <c r="T138" s="517">
        <f>IF(T$13=Assumptions!$J$7,Assumptions!$F$46,0)</f>
        <v>0</v>
      </c>
      <c r="U138" s="517">
        <f>IF(U$13=Assumptions!$J$7,Assumptions!$F$46,0)</f>
        <v>0</v>
      </c>
      <c r="V138" s="517">
        <f>IF(V$13=Assumptions!$J$7,Assumptions!$F$46,0)</f>
        <v>0</v>
      </c>
      <c r="W138" s="517">
        <f>IF(W$13=Assumptions!$J$7,Assumptions!$F$46,0)</f>
        <v>0</v>
      </c>
      <c r="X138" s="517">
        <f>IF(X$13=Assumptions!$J$7,Assumptions!$F$46,0)</f>
        <v>0</v>
      </c>
      <c r="Y138" s="517">
        <f>IF(Y$13=Assumptions!$J$7,Assumptions!$F$46,0)</f>
        <v>0</v>
      </c>
      <c r="Z138" s="517">
        <f>IF(Z$13=Assumptions!$J$7,Assumptions!$F$46,0)</f>
        <v>0</v>
      </c>
      <c r="AA138" s="517">
        <f>IF(AA$13=Assumptions!$J$7,Assumptions!$F$46,0)</f>
        <v>0</v>
      </c>
      <c r="AB138" s="517">
        <f>IF(AB$13=Assumptions!$J$7,Assumptions!$F$46,0)</f>
        <v>0</v>
      </c>
      <c r="AC138" s="517">
        <f>IF(AC$13=Assumptions!$J$7,Assumptions!$F$46,0)</f>
        <v>0</v>
      </c>
      <c r="AD138" s="517">
        <f>IF(AD$13=Assumptions!$J$7,Assumptions!$F$46,0)</f>
        <v>0</v>
      </c>
      <c r="AE138" s="517">
        <f>IF(AE$13=Assumptions!$J$7,Assumptions!$F$46,0)</f>
        <v>0</v>
      </c>
      <c r="AF138" s="517">
        <f>IF(AF$13=Assumptions!$J$7,Assumptions!$F$46,0)</f>
        <v>0</v>
      </c>
      <c r="AG138" s="517">
        <f>IF(AG$13=Assumptions!$J$7,Assumptions!$F$46,0)</f>
        <v>0</v>
      </c>
      <c r="AH138" s="517">
        <f>IF(AH$13=Assumptions!$J$7,Assumptions!$F$46,0)</f>
        <v>0</v>
      </c>
      <c r="AI138" s="517">
        <f>IF(AI$13=Assumptions!$J$7,Assumptions!$F$46,0)</f>
        <v>0</v>
      </c>
      <c r="AJ138" s="517">
        <f>IF(AJ$13=Assumptions!$J$7,Assumptions!$F$46,0)</f>
        <v>0</v>
      </c>
      <c r="AK138" s="517">
        <f>IF(AK$13=Assumptions!$J$7,Assumptions!$F$46,0)</f>
        <v>0</v>
      </c>
      <c r="AL138" s="517">
        <f>IF(AL$13=Assumptions!$J$7,Assumptions!$F$46,0)</f>
        <v>0</v>
      </c>
      <c r="AM138" s="517">
        <f>IF(AM$13=Assumptions!$J$7,Assumptions!$F$46,0)</f>
        <v>0</v>
      </c>
      <c r="AN138" s="517">
        <f>IF(AN$13=Assumptions!$J$7,Assumptions!$F$46,0)</f>
        <v>0</v>
      </c>
      <c r="AO138" s="517">
        <f>IF(AO$13=Assumptions!$J$7,Assumptions!$F$46,0)</f>
        <v>0</v>
      </c>
      <c r="AP138" s="517">
        <f>IF(AP$13=Assumptions!$J$7,Assumptions!$F$46,0)</f>
        <v>0</v>
      </c>
      <c r="AQ138" s="517">
        <f>IF(AQ$13=Assumptions!$J$7,Assumptions!$F$46,0)</f>
        <v>0</v>
      </c>
      <c r="AR138" s="517">
        <f>IF(AR$13=Assumptions!$J$7,Assumptions!$F$46,0)</f>
        <v>0</v>
      </c>
      <c r="AS138" s="517">
        <f>IF(AS$13=Assumptions!$J$7,Assumptions!$F$46,0)</f>
        <v>0</v>
      </c>
      <c r="AT138" s="517">
        <f>IF(AT$13=Assumptions!$J$7,Assumptions!$F$46,0)</f>
        <v>0</v>
      </c>
      <c r="AU138" s="517">
        <f>IF(AU$13=Assumptions!$J$7,Assumptions!$F$46,0)</f>
        <v>0</v>
      </c>
      <c r="AV138" s="517">
        <f>IF(AV$13=Assumptions!$J$7,Assumptions!$F$46,0)</f>
        <v>0</v>
      </c>
      <c r="AW138" s="517">
        <f>IF(AW$13=Assumptions!$J$7,Assumptions!$F$46,0)</f>
        <v>0</v>
      </c>
      <c r="AX138" s="517">
        <f>IF(AX$13=Assumptions!$J$7,Assumptions!$F$46,0)</f>
        <v>0</v>
      </c>
      <c r="AY138" s="517">
        <f>IF(AY$13=Assumptions!$J$7,Assumptions!$F$46,0)</f>
        <v>0</v>
      </c>
      <c r="AZ138" s="517">
        <f>IF(AZ$13=Assumptions!$J$7,Assumptions!$F$46,0)</f>
        <v>0</v>
      </c>
      <c r="BA138" s="517">
        <f>IF(BA$13=Assumptions!$J$7,Assumptions!$F$46,0)</f>
        <v>0</v>
      </c>
      <c r="BB138" s="517">
        <f>IF(BB$13=Assumptions!$J$7,Assumptions!$F$46,0)</f>
        <v>0</v>
      </c>
      <c r="BC138" s="517">
        <f>IF(BC$13=Assumptions!$J$7,Assumptions!$F$46,0)</f>
        <v>0</v>
      </c>
      <c r="BD138" s="517">
        <f>IF(BD$13=Assumptions!$J$7,Assumptions!$F$46,0)</f>
        <v>0</v>
      </c>
      <c r="BE138" s="517">
        <f>IF(BE$13=Assumptions!$J$7,Assumptions!$F$46,0)</f>
        <v>0</v>
      </c>
      <c r="BF138" s="517">
        <f>IF(BF$13=Assumptions!$J$7,Assumptions!$F$46,0)</f>
        <v>0</v>
      </c>
      <c r="BG138" s="517">
        <f>IF(BG$13=Assumptions!$J$7,Assumptions!$F$46,0)</f>
        <v>0</v>
      </c>
      <c r="BH138" s="517">
        <f>IF(BH$13=Assumptions!$J$7,Assumptions!$F$46,0)</f>
        <v>0</v>
      </c>
      <c r="BI138" s="517">
        <f>IF(BI$13=Assumptions!$J$7,Assumptions!$F$46,0)</f>
        <v>0</v>
      </c>
      <c r="BJ138" s="517">
        <f>IF(BJ$13=Assumptions!$J$7,Assumptions!$F$46,0)</f>
        <v>0</v>
      </c>
      <c r="BK138" s="517">
        <f>IF(BK$13=Assumptions!$J$7,Assumptions!$F$46,0)</f>
        <v>0</v>
      </c>
      <c r="BL138" s="517">
        <f>IF(BL$13=Assumptions!$J$7,Assumptions!$F$46,0)</f>
        <v>0</v>
      </c>
      <c r="BM138" s="517">
        <f>IF(BM$13=Assumptions!$J$7,Assumptions!$F$46,0)</f>
        <v>0</v>
      </c>
      <c r="BN138" s="517">
        <f>IF(BN$13=Assumptions!$J$7,Assumptions!$F$46,0)</f>
        <v>0</v>
      </c>
      <c r="BO138" s="517">
        <f>IF(BO$13=Assumptions!$J$7,Assumptions!$F$46,0)</f>
        <v>0</v>
      </c>
      <c r="BP138" s="517">
        <f>IF(BP$13=Assumptions!$J$7,Assumptions!$F$46,0)</f>
        <v>0</v>
      </c>
      <c r="BQ138" s="517">
        <f>IF(BQ$13=Assumptions!$J$7,Assumptions!$F$46,0)</f>
        <v>0</v>
      </c>
      <c r="BR138" s="517">
        <f>IF(BR$13=Assumptions!$J$7,Assumptions!$F$46,0)</f>
        <v>0</v>
      </c>
      <c r="BS138" s="517">
        <f>IF(BS$13=Assumptions!$J$7,Assumptions!$F$46,0)</f>
        <v>0</v>
      </c>
      <c r="BT138" s="951">
        <f>IF(BT$13=Assumptions!$J$7,Assumptions!$F$46,0)</f>
        <v>0</v>
      </c>
      <c r="BU138" s="517">
        <f>IF(BU$13=Assumptions!$J$7,Assumptions!$F$46,0)</f>
        <v>0</v>
      </c>
      <c r="BV138" s="517">
        <f>IF(BV$13=Assumptions!$J$7,Assumptions!$F$46,0)</f>
        <v>0</v>
      </c>
      <c r="BW138" s="517">
        <f>IF(BW$13=Assumptions!$J$7,Assumptions!$F$46,0)</f>
        <v>0</v>
      </c>
      <c r="BX138" s="517">
        <f>IF(BX$13=Assumptions!$J$7,Assumptions!$F$46,0)</f>
        <v>0</v>
      </c>
      <c r="BY138" s="517">
        <f>IF(BY$13=Assumptions!$J$7,Assumptions!$F$46,0)</f>
        <v>0</v>
      </c>
      <c r="BZ138" s="517">
        <f>IF(BZ$13=Assumptions!$J$7,Assumptions!$F$46,0)</f>
        <v>0</v>
      </c>
      <c r="CA138" s="517">
        <f>IF(CA$13=Assumptions!$J$7,Assumptions!$F$46,0)</f>
        <v>0</v>
      </c>
      <c r="CB138" s="517">
        <f>IF(CB$13=Assumptions!$J$7,Assumptions!$F$46,0)</f>
        <v>0</v>
      </c>
      <c r="CC138" s="517">
        <f>IF(CC$13=Assumptions!$J$7,Assumptions!$F$46,0)</f>
        <v>0</v>
      </c>
      <c r="CD138" s="517">
        <f>IF(CD$13=Assumptions!$J$7,Assumptions!$F$46,0)</f>
        <v>0</v>
      </c>
      <c r="CE138" s="517">
        <f>IF(CE$13=Assumptions!$J$7,Assumptions!$F$46,0)</f>
        <v>0</v>
      </c>
      <c r="CF138" s="517">
        <f>IF(CF$13=Assumptions!$J$7,Assumptions!$F$46,0)</f>
        <v>0</v>
      </c>
      <c r="CG138" s="517">
        <f>IF(CG$13=Assumptions!$J$7,Assumptions!$F$46,0)</f>
        <v>0</v>
      </c>
      <c r="CH138" s="517">
        <f>IF(CH$13=Assumptions!$J$7,Assumptions!$F$46,0)</f>
        <v>0</v>
      </c>
      <c r="CI138" s="517">
        <f>IF(CI$13=Assumptions!$J$7,Assumptions!$F$46,0)</f>
        <v>0</v>
      </c>
      <c r="CJ138" s="517">
        <f>IF(CJ$13=Assumptions!$J$7,Assumptions!$F$46,0)</f>
        <v>0</v>
      </c>
      <c r="CK138" s="517">
        <f>IF(CK$13=Assumptions!$J$7,Assumptions!$F$46,0)</f>
        <v>0</v>
      </c>
      <c r="CL138" s="517">
        <f>IF(CL$13=Assumptions!$J$7,Assumptions!$F$46,0)</f>
        <v>0</v>
      </c>
      <c r="CM138" s="517">
        <f>IF(CM$13=Assumptions!$J$7,Assumptions!$F$46,0)</f>
        <v>0</v>
      </c>
      <c r="CN138" s="517">
        <f>IF(CN$13=Assumptions!$J$7,Assumptions!$F$46,0)</f>
        <v>0</v>
      </c>
      <c r="CO138" s="517">
        <f>IF(CO$13=Assumptions!$J$7,Assumptions!$F$46,0)</f>
        <v>0</v>
      </c>
      <c r="CP138" s="517">
        <f>IF(CP$13=Assumptions!$J$7,Assumptions!$F$46,0)</f>
        <v>0</v>
      </c>
      <c r="CQ138" s="517">
        <f>IF(CQ$13=Assumptions!$J$7,Assumptions!$F$46,0)</f>
        <v>0</v>
      </c>
      <c r="CR138" s="517">
        <f>IF(CR$13=Assumptions!$J$7,Assumptions!$F$46,0)</f>
        <v>0</v>
      </c>
      <c r="CS138" s="517">
        <f>IF(CS$13=Assumptions!$J$7,Assumptions!$F$46,0)</f>
        <v>0</v>
      </c>
      <c r="CT138" s="517">
        <f>IF(CT$13=Assumptions!$J$7,Assumptions!$F$46,0)</f>
        <v>0</v>
      </c>
      <c r="CU138" s="517">
        <f>IF(CU$13=Assumptions!$J$7,Assumptions!$F$46,0)</f>
        <v>0</v>
      </c>
      <c r="CV138" s="517">
        <f>IF(CV$13=Assumptions!$J$7,Assumptions!$F$46,0)</f>
        <v>0</v>
      </c>
      <c r="CW138" s="517">
        <f>IF(CW$13=Assumptions!$J$7,Assumptions!$F$46,0)</f>
        <v>0</v>
      </c>
      <c r="CX138" s="517">
        <f>IF(CX$13=Assumptions!$J$7,Assumptions!$F$46,0)</f>
        <v>0</v>
      </c>
      <c r="CY138" s="517">
        <f>IF(CY$13=Assumptions!$J$7,Assumptions!$F$46,0)</f>
        <v>0</v>
      </c>
      <c r="CZ138" s="517">
        <f>IF(CZ$13=Assumptions!$J$7,Assumptions!$F$46,0)</f>
        <v>0</v>
      </c>
      <c r="DA138" s="517">
        <f>IF(DA$13=Assumptions!$J$7,Assumptions!$F$46,0)</f>
        <v>0</v>
      </c>
      <c r="DB138" s="517">
        <f>IF(DB$13=Assumptions!$J$7,Assumptions!$F$46,0)</f>
        <v>0</v>
      </c>
      <c r="DC138" s="517">
        <f>IF(DC$13=Assumptions!$J$7,Assumptions!$F$46,0)</f>
        <v>0</v>
      </c>
      <c r="DD138" s="517">
        <f>IF(DD$13=Assumptions!$J$7,Assumptions!$F$46,0)</f>
        <v>0</v>
      </c>
      <c r="DE138" s="517">
        <f>IF(DE$13=Assumptions!$J$7,Assumptions!$F$46,0)</f>
        <v>0</v>
      </c>
      <c r="DF138" s="517">
        <f>IF(DF$13=Assumptions!$J$7,Assumptions!$F$46,0)</f>
        <v>0</v>
      </c>
      <c r="DG138" s="517">
        <f>IF(DG$13=Assumptions!$J$7,Assumptions!$F$46,0)</f>
        <v>0</v>
      </c>
      <c r="DH138" s="517">
        <f>IF(DH$13=Assumptions!$J$7,Assumptions!$F$46,0)</f>
        <v>0</v>
      </c>
      <c r="DI138" s="517">
        <f>IF(DI$13=Assumptions!$J$7,Assumptions!$F$46,0)</f>
        <v>0</v>
      </c>
      <c r="DJ138" s="517">
        <f>IF(DJ$13=Assumptions!$J$7,Assumptions!$F$46,0)</f>
        <v>0</v>
      </c>
      <c r="DK138" s="517">
        <f>IF(DK$13=Assumptions!$J$7,Assumptions!$F$46,0)</f>
        <v>0</v>
      </c>
      <c r="DL138" s="517">
        <f>IF(DL$13=Assumptions!$J$7,Assumptions!$F$46,0)</f>
        <v>0</v>
      </c>
      <c r="DM138" s="517">
        <f>IF(DM$13=Assumptions!$J$7,Assumptions!$F$46,0)</f>
        <v>0</v>
      </c>
      <c r="DN138" s="517">
        <f>IF(DN$13=Assumptions!$J$7,Assumptions!$F$46,0)</f>
        <v>0</v>
      </c>
      <c r="DO138" s="517">
        <f>IF(DO$13=Assumptions!$J$7,Assumptions!$F$46,0)</f>
        <v>0</v>
      </c>
      <c r="DP138" s="517">
        <f>IF(DP$13=Assumptions!$J$7,Assumptions!$F$46,0)</f>
        <v>0</v>
      </c>
      <c r="DQ138" s="517">
        <f>IF(DQ$13=Assumptions!$J$7,Assumptions!$F$46,0)</f>
        <v>0</v>
      </c>
      <c r="DR138" s="517">
        <f>IF(DR$13=Assumptions!$J$7,Assumptions!$F$46,0)</f>
        <v>0</v>
      </c>
      <c r="DS138" s="517">
        <f>IF(DS$13=Assumptions!$J$7,Assumptions!$F$46,0)</f>
        <v>0</v>
      </c>
      <c r="DT138" s="517">
        <f>IF(DT$13=Assumptions!$J$7,Assumptions!$F$46,0)</f>
        <v>0</v>
      </c>
      <c r="DU138" s="517">
        <f>IF(DU$13=Assumptions!$J$7,Assumptions!$F$46,0)</f>
        <v>0</v>
      </c>
      <c r="DV138" s="517">
        <f>IF(DV$13=Assumptions!$J$7,Assumptions!$F$46,0)</f>
        <v>0</v>
      </c>
      <c r="DW138" s="517">
        <f>IF(DW$13=Assumptions!$J$7,Assumptions!$F$46,0)</f>
        <v>0</v>
      </c>
      <c r="DX138" s="517">
        <f>IF(DX$13=Assumptions!$J$7,Assumptions!$F$46,0)</f>
        <v>0</v>
      </c>
      <c r="DY138" s="517">
        <f>IF(DY$13=Assumptions!$J$7,Assumptions!$F$46,0)</f>
        <v>0</v>
      </c>
      <c r="DZ138" s="517">
        <f>IF(DZ$13=Assumptions!$J$7,Assumptions!$F$46,0)</f>
        <v>0</v>
      </c>
      <c r="EA138" s="517">
        <f>IF(EA$13=Assumptions!$J$7,Assumptions!$F$46,0)</f>
        <v>0</v>
      </c>
      <c r="EB138" s="517">
        <f>IF(EB$13=Assumptions!$J$7,Assumptions!$F$46,0)</f>
        <v>0</v>
      </c>
      <c r="EC138" s="517">
        <f>IF(EC$13=Assumptions!$J$7,Assumptions!$F$46,0)</f>
        <v>0</v>
      </c>
      <c r="ED138" s="517">
        <f>IF(ED$13=Assumptions!$J$7,Assumptions!$F$46,0)</f>
        <v>0</v>
      </c>
      <c r="EE138" s="517">
        <f>IF(EE$13=Assumptions!$J$7,Assumptions!$F$46,0)</f>
        <v>0</v>
      </c>
      <c r="EF138" s="517">
        <f>IF(EF$13=Assumptions!$J$7,Assumptions!$F$46,0)</f>
        <v>0</v>
      </c>
      <c r="EG138" s="517">
        <f>IF(EG$13=Assumptions!$J$7,Assumptions!$F$46,0)</f>
        <v>0</v>
      </c>
      <c r="EH138" s="517">
        <f>IF(EH$13=Assumptions!$J$7,Assumptions!$F$46,0)</f>
        <v>0</v>
      </c>
      <c r="EI138" s="517">
        <f>IF(EI$13=Assumptions!$J$7,Assumptions!$F$46,0)</f>
        <v>0</v>
      </c>
      <c r="EJ138" s="517">
        <f>IF(EJ$13=Assumptions!$J$7,Assumptions!$F$46,0)</f>
        <v>0</v>
      </c>
      <c r="EK138" s="517">
        <f>IF(EK$13=Assumptions!$J$7,Assumptions!$F$46,0)</f>
        <v>0</v>
      </c>
      <c r="EL138" s="517">
        <f>IF(EL$13=Assumptions!$J$7,Assumptions!$F$46,0)</f>
        <v>0</v>
      </c>
      <c r="EM138" s="517">
        <f>IF(EM$13=Assumptions!$J$7,Assumptions!$F$46,0)</f>
        <v>0</v>
      </c>
      <c r="EN138" s="517">
        <f>IF(EN$13=Assumptions!$J$7,Assumptions!$F$46,0)</f>
        <v>0</v>
      </c>
      <c r="EO138" s="517">
        <f>IF(EO$13=Assumptions!$J$7,Assumptions!$F$46,0)</f>
        <v>0</v>
      </c>
      <c r="EP138" s="517">
        <f>IF(EP$13=Assumptions!$J$7,Assumptions!$F$46,0)</f>
        <v>0</v>
      </c>
      <c r="EQ138" s="517">
        <f>IF(EQ$13=Assumptions!$J$7,Assumptions!$F$46,0)</f>
        <v>0</v>
      </c>
      <c r="ER138" s="517">
        <f>IF(ER$13=Assumptions!$J$7,Assumptions!$F$46,0)</f>
        <v>0</v>
      </c>
      <c r="ES138" s="517">
        <f>IF(ES$13=Assumptions!$J$7,Assumptions!$F$46,0)</f>
        <v>0</v>
      </c>
      <c r="ET138" s="517">
        <f>IF(ET$13=Assumptions!$J$7,Assumptions!$F$46,0)</f>
        <v>0</v>
      </c>
      <c r="EU138" s="517">
        <f>IF(EU$13=Assumptions!$J$7,Assumptions!$F$46,0)</f>
        <v>0</v>
      </c>
      <c r="EV138" s="517">
        <f>IF(EV$13=Assumptions!$J$7,Assumptions!$F$46,0)</f>
        <v>0</v>
      </c>
      <c r="EW138" s="517">
        <f>IF(EW$13=Assumptions!$J$7,Assumptions!$F$46,0)</f>
        <v>0</v>
      </c>
      <c r="EX138" s="517">
        <f>IF(EX$13=Assumptions!$J$7,Assumptions!$F$46,0)</f>
        <v>0</v>
      </c>
      <c r="EY138" s="517">
        <f>IF(EY$13=Assumptions!$J$7,Assumptions!$F$46,0)</f>
        <v>0</v>
      </c>
      <c r="EZ138" s="517">
        <f>IF(EZ$13=Assumptions!$J$7,Assumptions!$F$46,0)</f>
        <v>0</v>
      </c>
      <c r="FA138" s="517">
        <f>IF(FA$13=Assumptions!$J$7,Assumptions!$F$46,0)</f>
        <v>0</v>
      </c>
      <c r="FB138" s="517">
        <f>IF(FB$13=Assumptions!$J$7,Assumptions!$F$46,0)</f>
        <v>0</v>
      </c>
      <c r="FC138" s="517">
        <f>IF(FC$13=Assumptions!$J$7,Assumptions!$F$46,0)</f>
        <v>0</v>
      </c>
      <c r="FD138" s="517">
        <f>IF(FD$13=Assumptions!$J$7,Assumptions!$F$46,0)</f>
        <v>0</v>
      </c>
      <c r="FE138" s="517">
        <f>IF(FE$13=Assumptions!$J$7,Assumptions!$F$46,0)</f>
        <v>0</v>
      </c>
      <c r="FF138" s="517">
        <f>IF(FF$13=Assumptions!$J$7,Assumptions!$F$46,0)</f>
        <v>0</v>
      </c>
      <c r="FG138" s="517">
        <f>IF(FG$13=Assumptions!$J$7,Assumptions!$F$46,0)</f>
        <v>0</v>
      </c>
      <c r="FH138" s="517">
        <f>IF(FH$13=Assumptions!$J$7,Assumptions!$F$46,0)</f>
        <v>0</v>
      </c>
      <c r="FI138" s="517">
        <f>IF(FI$13=Assumptions!$J$7,Assumptions!$F$46,0)</f>
        <v>0</v>
      </c>
      <c r="FJ138" s="517">
        <f>IF(FJ$13=Assumptions!$J$7,Assumptions!$F$46,0)</f>
        <v>0</v>
      </c>
      <c r="FK138" s="517">
        <f>IF(FK$13=Assumptions!$J$7,Assumptions!$F$46,0)</f>
        <v>0</v>
      </c>
      <c r="FL138" s="517">
        <f>IF(FL$13=Assumptions!$J$7,Assumptions!$F$46,0)</f>
        <v>0</v>
      </c>
      <c r="FM138" s="517">
        <f>IF(FM$13=Assumptions!$J$7,Assumptions!$F$46,0)</f>
        <v>0</v>
      </c>
      <c r="FN138" s="517">
        <f>IF(FN$13=Assumptions!$J$7,Assumptions!$F$46,0)</f>
        <v>0</v>
      </c>
      <c r="FO138" s="517">
        <f>IF(FO$13=Assumptions!$J$7,Assumptions!$F$46,0)</f>
        <v>0</v>
      </c>
      <c r="FP138" s="517">
        <f>IF(FP$13=Assumptions!$J$7,Assumptions!$F$46,0)</f>
        <v>0</v>
      </c>
      <c r="FQ138" s="517">
        <f>IF(FQ$13=Assumptions!$J$7,Assumptions!$F$46,0)</f>
        <v>0</v>
      </c>
      <c r="FR138" s="517">
        <f>IF(FR$13=Assumptions!$J$7,Assumptions!$F$46,0)</f>
        <v>0</v>
      </c>
      <c r="FS138" s="517">
        <f>IF(FS$13=Assumptions!$J$7,Assumptions!$F$46,0)</f>
        <v>0</v>
      </c>
      <c r="FT138" s="517">
        <f>IF(FT$13=Assumptions!$J$7,Assumptions!$F$46,0)</f>
        <v>0</v>
      </c>
      <c r="FU138" s="517">
        <f>IF(FU$13=Assumptions!$J$7,Assumptions!$F$46,0)</f>
        <v>0</v>
      </c>
      <c r="FV138" s="517">
        <f>IF(FV$13=Assumptions!$J$7,Assumptions!$F$46,0)</f>
        <v>0</v>
      </c>
      <c r="FW138" s="517">
        <f>IF(FW$13=Assumptions!$J$7,Assumptions!$F$46,0)</f>
        <v>0</v>
      </c>
      <c r="FX138" s="517">
        <f>IF(FX$13=Assumptions!$J$7,Assumptions!$F$46,0)</f>
        <v>0</v>
      </c>
      <c r="FY138" s="517">
        <f>IF(FY$13=Assumptions!$J$7,Assumptions!$F$46,0)</f>
        <v>0</v>
      </c>
      <c r="FZ138" s="517">
        <f>IF(FZ$13=Assumptions!$J$7,Assumptions!$F$46,0)</f>
        <v>0</v>
      </c>
      <c r="GA138" s="517">
        <f>IF(GA$13=Assumptions!$J$7,Assumptions!$F$46,0)</f>
        <v>0</v>
      </c>
      <c r="GB138" s="517">
        <f>IF(GB$13=Assumptions!$J$7,Assumptions!$F$46,0)</f>
        <v>0</v>
      </c>
      <c r="GC138" s="517">
        <f>IF(GC$13=Assumptions!$J$7,Assumptions!$F$46,0)</f>
        <v>0</v>
      </c>
      <c r="GD138" s="517"/>
      <c r="GE138" s="517"/>
      <c r="GF138" s="517"/>
      <c r="GG138" s="517"/>
      <c r="GH138" s="517"/>
      <c r="GI138" s="517"/>
      <c r="GJ138" s="517"/>
      <c r="GK138" s="517"/>
      <c r="GL138" s="517"/>
      <c r="GM138" s="517"/>
      <c r="GN138" s="517"/>
      <c r="GO138" s="517"/>
      <c r="GP138" s="517">
        <f>IF(GP$13=Assumptions!$J$7,Assumptions!$F$46,0)</f>
        <v>0</v>
      </c>
      <c r="GQ138" s="517">
        <f>IF(GQ$13=Assumptions!$J$7,Assumptions!$F$46,0)</f>
        <v>0</v>
      </c>
      <c r="GR138" s="517">
        <f>IF(GR$13=Assumptions!$J$7,Assumptions!$F$46,0)</f>
        <v>0</v>
      </c>
      <c r="GS138" s="517">
        <f>IF(GS$13=Assumptions!$J$7,Assumptions!$F$46,0)</f>
        <v>0</v>
      </c>
      <c r="GT138" s="517">
        <f>IF(GT$13=Assumptions!$J$7,Assumptions!$F$46,0)</f>
        <v>0</v>
      </c>
      <c r="GU138" s="517"/>
      <c r="GV138" s="517"/>
      <c r="GW138" s="517"/>
      <c r="GX138" s="517"/>
      <c r="GY138" s="517"/>
      <c r="GZ138" s="517"/>
      <c r="HA138" s="517"/>
      <c r="HB138" s="517"/>
      <c r="HC138" s="517"/>
      <c r="HD138" s="517"/>
      <c r="HE138" s="517"/>
      <c r="HF138" s="1" t="s">
        <v>212</v>
      </c>
      <c r="HH138" s="9" t="str">
        <f t="shared" si="954"/>
        <v>Initial Debt Draw</v>
      </c>
      <c r="HI138" s="26"/>
      <c r="HJ138" s="26"/>
      <c r="HK138" s="26"/>
      <c r="HL138" s="132">
        <f t="shared" ref="HL138:HL152" si="1007">SUM(HN138:HV138)</f>
        <v>19541</v>
      </c>
      <c r="HM138" s="26"/>
      <c r="HN138" s="133">
        <f t="shared" ref="HN138:HV142" si="1008">SUMIF($K$14:$GT$14,HN$14,$K138:$GT138)</f>
        <v>19541</v>
      </c>
      <c r="HO138" s="26">
        <f t="shared" si="1008"/>
        <v>0</v>
      </c>
      <c r="HP138" s="26">
        <f t="shared" si="1008"/>
        <v>0</v>
      </c>
      <c r="HQ138" s="26">
        <f t="shared" si="1008"/>
        <v>0</v>
      </c>
      <c r="HR138" s="26">
        <f t="shared" si="1008"/>
        <v>0</v>
      </c>
      <c r="HS138" s="26">
        <f t="shared" si="1008"/>
        <v>0</v>
      </c>
      <c r="HT138" s="26">
        <f t="shared" si="1008"/>
        <v>0</v>
      </c>
      <c r="HU138" s="26">
        <f t="shared" si="1008"/>
        <v>0</v>
      </c>
      <c r="HV138" s="26">
        <f t="shared" si="1008"/>
        <v>0</v>
      </c>
      <c r="HW138"/>
    </row>
    <row r="139" spans="1:231" ht="15" outlineLevel="1">
      <c r="B139" s="491" t="s">
        <v>432</v>
      </c>
      <c r="C139" s="430"/>
      <c r="D139" s="430"/>
      <c r="E139" s="504"/>
      <c r="F139" s="380"/>
      <c r="G139" s="499">
        <f>+G141</f>
        <v>1</v>
      </c>
      <c r="H139" s="951"/>
      <c r="I139" s="501">
        <f ca="1">SUMIF($K$13:$GT$13,"&lt;="&amp;Assumptions!$L$17,'Monthly Cash Flow'!K139:GT139)</f>
        <v>2255.7618792499998</v>
      </c>
      <c r="J139" s="215"/>
      <c r="K139" s="502"/>
      <c r="L139" s="517">
        <f>+IF(AND($G$158=1,L13&gt;=$G$159),0,IF(L13&lt;=Assumptions!$L$17,IF(K$152&gt;Assumptions!$F$29,0,$G$139*(SUM(L26,L29,L30))),0))</f>
        <v>0</v>
      </c>
      <c r="M139" s="517">
        <f>+IF(AND($G$158=1,M13&gt;=$G$159),0,IF(M13&lt;=Assumptions!$L$17,IF(L$152&gt;Assumptions!$F$29,0,$G$139*(SUM(M26,M29,M30))),0))</f>
        <v>0</v>
      </c>
      <c r="N139" s="517">
        <f>+IF(AND($G$158=1,N13&gt;=$G$159),0,IF(N13&lt;=Assumptions!$L$17,IF(M$152&gt;Assumptions!$F$29,0,$G$139*(SUM(N26,N29,N30))),0))</f>
        <v>0</v>
      </c>
      <c r="O139" s="517">
        <f>+IF(AND($G$158=1,O13&gt;=$G$159),0,IF(O13&lt;=Assumptions!$L$17,IF(N$152&gt;Assumptions!$F$29,0,$G$139*(SUM(O26,O29,O30))),0))</f>
        <v>0</v>
      </c>
      <c r="P139" s="517">
        <f>+IF(AND($G$158=1,P13&gt;=$G$159),0,IF(P13&lt;=Assumptions!$L$17,IF(O$152&gt;Assumptions!$F$29,0,$G$139*(SUM(P26,P29,P30))),0))</f>
        <v>0</v>
      </c>
      <c r="Q139" s="517">
        <f>+IF(AND($G$158=1,Q13&gt;=$G$159),0,IF(Q13&lt;=Assumptions!$L$17,IF(P$152&gt;Assumptions!$F$29,0,$G$139*(SUM(Q26,Q29,Q30))),0))</f>
        <v>0</v>
      </c>
      <c r="R139" s="517">
        <f>+IF(AND($G$158=1,R13&gt;=$G$159),0,IF(R13&lt;=Assumptions!$L$17,IF(Q$152&gt;Assumptions!$F$29,0,$G$139*(SUM(R26,R29,R30))),0))</f>
        <v>0</v>
      </c>
      <c r="S139" s="517">
        <f>+IF(AND($G$158=1,S13&gt;=$G$159),0,IF(S13&lt;=Assumptions!$L$17,IF(R$152&gt;Assumptions!$F$29,0,$G$139*(SUM(S26,S29,S30))),0))</f>
        <v>0</v>
      </c>
      <c r="T139" s="517">
        <f>+IF(AND($G$158=1,T13&gt;=$G$159),0,IF(T13&lt;=Assumptions!$L$17,IF(S$152&gt;Assumptions!$F$29,0,$G$139*(SUM(T26,T29,T30))),0))</f>
        <v>0</v>
      </c>
      <c r="U139" s="517">
        <f>+IF(AND($G$158=1,U13&gt;=$G$159),0,IF(U13&lt;=Assumptions!$L$17,IF(T$152&gt;Assumptions!$F$29,0,$G$139*(SUM(U26,U29,U30))),0))</f>
        <v>174.81583000000001</v>
      </c>
      <c r="V139" s="517">
        <f>+IF(AND($G$158=1,V13&gt;=$G$159),0,IF(V13&lt;=Assumptions!$L$17,IF(U$152&gt;Assumptions!$F$29,0,$G$139*(SUM(V26,V29,V30))),0))</f>
        <v>0</v>
      </c>
      <c r="W139" s="517">
        <f>+IF(AND($G$158=1,W13&gt;=$G$159),0,IF(W13&lt;=Assumptions!$L$17,IF(V$152&gt;Assumptions!$F$29,0,$G$139*(SUM(W26,W29,W30))),0))</f>
        <v>47.94</v>
      </c>
      <c r="X139" s="517">
        <f>+IF(AND($G$158=1,X13&gt;=$G$159),0,IF(X13&lt;=Assumptions!$L$17,IF(W$152&gt;Assumptions!$F$29,0,$G$139*(SUM(X26,X29,X30))),0))</f>
        <v>0</v>
      </c>
      <c r="Y139" s="517">
        <f>+IF(AND($G$158=1,Y13&gt;=$G$159),0,IF(Y13&lt;=Assumptions!$L$17,IF(X$152&gt;Assumptions!$F$29,0,$G$139*(SUM(Y26,Y29,Y30))),0))</f>
        <v>0</v>
      </c>
      <c r="Z139" s="517">
        <f>+IF(AND($G$158=1,Z13&gt;=$G$159),0,IF(Z13&lt;=Assumptions!$L$17,IF(Y$152&gt;Assumptions!$F$29,0,$G$139*(SUM(Z26,Z29,Z30))),0))</f>
        <v>458.99031000000002</v>
      </c>
      <c r="AA139" s="517">
        <f>+IF(AND($G$158=1,AA13&gt;=$G$159),0,IF(AA13&lt;=Assumptions!$L$17,IF(Z$152&gt;Assumptions!$F$29,0,$G$139*(SUM(AA26,AA29,AA30))),0))</f>
        <v>0</v>
      </c>
      <c r="AB139" s="517">
        <f>+IF(AND($G$158=1,AB13&gt;=$G$159),0,IF(AB13&lt;=Assumptions!$L$17,IF(AA$152&gt;Assumptions!$F$29,0,$G$139*(SUM(AB26,AB29,AB30))),0))</f>
        <v>448.77878999999996</v>
      </c>
      <c r="AC139" s="517">
        <f>+IF(AND($G$158=1,AC13&gt;=$G$159),0,IF(AC13&lt;=Assumptions!$L$17,IF(AB$152&gt;Assumptions!$F$29,0,$G$139*(SUM(AC26,AC29,AC30))),0))</f>
        <v>0</v>
      </c>
      <c r="AD139" s="517">
        <f>+IF(AND($G$158=1,AD13&gt;=$G$159),0,IF(AD13&lt;=Assumptions!$L$17,IF(AC$152&gt;Assumptions!$F$29,0,$G$139*(SUM(AD26,AD29,AD30))),0))</f>
        <v>0</v>
      </c>
      <c r="AE139" s="517">
        <f>+IF(AND($G$158=1,AE13&gt;=$G$159),0,IF(AE13&lt;=Assumptions!$L$17,IF(AD$152&gt;Assumptions!$F$29,0,$G$139*(SUM(AE26,AE29,AE30))),0))</f>
        <v>487.53904</v>
      </c>
      <c r="AF139" s="517">
        <f>+IF(AND($G$158=1,AF13&gt;=$G$159),0,IF(AF13&lt;=Assumptions!$L$17,IF(AE$152&gt;Assumptions!$F$29,0,$G$139*(SUM(AF26,AF29,AF30))),0))</f>
        <v>147.02029924999999</v>
      </c>
      <c r="AG139" s="517">
        <f>+IF(AND($G$158=1,AG13&gt;=$G$159),0,IF(AG13&lt;=Assumptions!$L$17,IF(AF$152&gt;Assumptions!$F$29,0,$G$139*(SUM(AG26,AG29,AG30))),0))</f>
        <v>194.63195999999999</v>
      </c>
      <c r="AH139" s="517">
        <f>+IF(AND($G$158=1,AH13&gt;=$G$159),0,IF(AH13&lt;=Assumptions!$L$17,IF(AG$152&gt;Assumptions!$F$29,0,$G$139*(SUM(AH26,AH29,AH30))),0))</f>
        <v>0</v>
      </c>
      <c r="AI139" s="517">
        <f>+IF(AND($G$158=1,AI13&gt;=$G$159),0,IF(AI13&lt;=Assumptions!$L$17,IF(AH$152&gt;Assumptions!$F$29,0,$G$139*(SUM(AI26,AI29,AI30))),0))</f>
        <v>4.3650000000000002</v>
      </c>
      <c r="AJ139" s="517">
        <f>+IF(AND($G$158=1,AJ13&gt;=$G$159),0,IF(AJ13&lt;=Assumptions!$L$17,IF(AI$152&gt;Assumptions!$F$29,0,$G$139*(SUM(AJ26,AJ29,AJ30))),0))</f>
        <v>0</v>
      </c>
      <c r="AK139" s="517">
        <f>+IF(AND($G$158=1,AK13&gt;=$G$159),0,IF(AK13&lt;=Assumptions!$L$17,IF(AJ$152&gt;Assumptions!$F$29,0,$G$139*(SUM(AK26,AK29,AK30))),0))</f>
        <v>0</v>
      </c>
      <c r="AL139" s="517">
        <f>+IF(AND($G$158=1,AL13&gt;=$G$159),0,IF(AL13&lt;=Assumptions!$L$17,IF(AK$152&gt;Assumptions!$F$29,0,$G$139*(SUM(AL26,AL29,AL30))),0))</f>
        <v>7.4290000000000003</v>
      </c>
      <c r="AM139" s="517">
        <f>+IF(AND($G$158=1,AM13&gt;=$G$159),0,IF(AM13&lt;=Assumptions!$L$17,IF(AL$152&gt;Assumptions!$F$29,0,$G$139*(SUM(AM26,AM29,AM30))),0))</f>
        <v>0</v>
      </c>
      <c r="AN139" s="517">
        <f>+IF(AND($G$158=1,AN13&gt;=$G$159),0,IF(AN13&lt;=Assumptions!$L$17,IF(AM$152&gt;Assumptions!$F$29,0,$G$139*(SUM(AN26,AN29,AN30))),0))</f>
        <v>27.944649999999999</v>
      </c>
      <c r="AO139" s="517">
        <f>+IF(AND($G$158=1,AO13&gt;=$G$159),0,IF(AO13&lt;=Assumptions!$L$17,IF(AN$152&gt;Assumptions!$F$29,0,$G$139*(SUM(AO26,AO29,AO30))),0))</f>
        <v>0</v>
      </c>
      <c r="AP139" s="517">
        <f>+IF(AND($G$158=1,AP13&gt;=$G$159),0,IF(AP13&lt;=Assumptions!$L$17,IF(AO$152&gt;Assumptions!$F$29,0,$G$139*(SUM(AP26,AP29,AP30))),0))</f>
        <v>0</v>
      </c>
      <c r="AQ139" s="517">
        <f>+IF(AND($G$158=1,AQ13&gt;=$G$159),0,IF(AQ13&lt;=Assumptions!$L$17,IF(AP$152&gt;Assumptions!$F$29,0,$G$139*(SUM(AQ26,AQ29,AQ30))),0))</f>
        <v>9.5250000000000004</v>
      </c>
      <c r="AR139" s="517">
        <f>+IF(AND($G$158=1,AR13&gt;=$G$159),0,IF(AR13&lt;=Assumptions!$L$17,IF(AQ$152&gt;Assumptions!$F$29,0,$G$139*(SUM(AR26,AR29,AR30))),0))</f>
        <v>0</v>
      </c>
      <c r="AS139" s="517">
        <f>+IF(AND($G$158=1,AS13&gt;=$G$159),0,IF(AS13&lt;=Assumptions!$L$17,IF(AR$152&gt;Assumptions!$F$29,0,$G$139*(SUM(AS26,AS29,AS30))),0))</f>
        <v>0</v>
      </c>
      <c r="AT139" s="517">
        <f>+IF(AND($G$158=1,AT13&gt;=$G$159),0,IF(AT13&lt;=Assumptions!$L$17,IF(AS$152&gt;Assumptions!$F$29,0,$G$139*(SUM(AT26,AT29,AT30))),0))</f>
        <v>0</v>
      </c>
      <c r="AU139" s="517">
        <f>+IF(AND($G$158=1,AU13&gt;=$G$159),0,IF(AU13&lt;=Assumptions!$L$17,IF(AT$152&gt;Assumptions!$F$29,0,$G$139*(SUM(AU26,AU29,AU30))),0))</f>
        <v>0</v>
      </c>
      <c r="AV139" s="517">
        <f>+IF(AND($G$158=1,AV13&gt;=$G$159),0,IF(AV13&lt;=Assumptions!$L$17,IF(AU$152&gt;Assumptions!$F$29,0,$G$139*(SUM(AV26,AV29,AV30))),0))</f>
        <v>0</v>
      </c>
      <c r="AW139" s="517">
        <f>+IF(AND($G$158=1,AW13&gt;=$G$159),0,IF(AW13&lt;=Assumptions!$L$17,IF(AV$152&gt;Assumptions!$F$29,0,$G$139*(SUM(AW26,AW29,AW30))),0))</f>
        <v>0</v>
      </c>
      <c r="AX139" s="517">
        <f>+IF(AND($G$158=1,AX13&gt;=$G$159),0,IF(AX13&lt;=Assumptions!$L$17,IF(AW$152&gt;Assumptions!$F$29,0,$G$139*(SUM(AX26,AX29,AX30))),0))</f>
        <v>0</v>
      </c>
      <c r="AY139" s="517">
        <f>+IF(AND($G$158=1,AY13&gt;=$G$159),0,IF(AY13&lt;=Assumptions!$L$17,IF(AX$152&gt;Assumptions!$F$29,0,$G$139*(SUM(AY26,AY29,AY30))),0))</f>
        <v>15.5</v>
      </c>
      <c r="AZ139" s="517">
        <f>+IF(AND($G$158=1,AZ13&gt;=$G$159),0,IF(AZ13&lt;=Assumptions!$L$17,IF(AY$152&gt;Assumptions!$F$29,0,$G$139*(SUM(AZ26,AZ29,AZ30))),0))</f>
        <v>0</v>
      </c>
      <c r="BA139" s="517">
        <f>+IF(AND($G$158=1,BA13&gt;=$G$159),0,IF(BA13&lt;=Assumptions!$L$17,IF(AZ$152&gt;Assumptions!$F$29,0,$G$139*(SUM(BA26,BA29,BA30))),0))</f>
        <v>0</v>
      </c>
      <c r="BB139" s="517">
        <f>+IF(AND($G$158=1,BB13&gt;=$G$159),0,IF(BB13&lt;=Assumptions!$L$17,IF(BA$152&gt;Assumptions!$F$29,0,$G$139*(SUM(BB26,BB29,BB30))),0))</f>
        <v>0</v>
      </c>
      <c r="BC139" s="517">
        <f>+IF(AND($G$158=1,BC13&gt;=$G$159),0,IF(BC13&lt;=Assumptions!$L$17,IF(BB$152&gt;Assumptions!$F$29,0,$G$139*(SUM(BC26,BC29,BC30))),0))</f>
        <v>142.10000000000002</v>
      </c>
      <c r="BD139" s="517">
        <f>+IF(AND($G$158=1,BD13&gt;=$G$159),0,IF(BD13&lt;=Assumptions!$L$17,IF(BC$152&gt;Assumptions!$F$29,0,$G$139*(SUM(BD26,BD29,BD30))),0))</f>
        <v>23.257999999999999</v>
      </c>
      <c r="BE139" s="517">
        <f>+IF(AND($G$158=1,BE13&gt;=$G$159),0,IF(BE13&lt;=Assumptions!$L$17,IF(BD$152&gt;Assumptions!$F$29,0,$G$139*(SUM(BE26,BE29,BE30))),0))</f>
        <v>0</v>
      </c>
      <c r="BF139" s="517">
        <f>+IF(AND($G$158=1,BF13&gt;=$G$159),0,IF(BF13&lt;=Assumptions!$L$17,IF(BE$152&gt;Assumptions!$F$29,0,$G$139*(SUM(BF26,BF29,BF30))),0))</f>
        <v>0</v>
      </c>
      <c r="BG139" s="517">
        <f>+IF(AND($G$158=1,BG13&gt;=$G$159),0,IF(BG13&lt;=Assumptions!$L$17,IF(BF$152&gt;Assumptions!$F$29,0,$G$139*(SUM(BG26,BG29,BG30))),0))</f>
        <v>0</v>
      </c>
      <c r="BH139" s="517">
        <f>+IF(AND($G$158=1,BH13&gt;=$G$159),0,IF(BH13&lt;=Assumptions!$L$17,IF(BG$152&gt;Assumptions!$F$29,0,$G$139*(SUM(BH26,BH29,BH30))),0))</f>
        <v>0</v>
      </c>
      <c r="BI139" s="517">
        <f>+IF(AND($G$158=1,BI13&gt;=$G$159),0,IF(BI13&lt;=Assumptions!$L$17,IF(BH$152&gt;Assumptions!$F$29,0,$G$139*(SUM(BI26,BI29,BI30))),0))</f>
        <v>0</v>
      </c>
      <c r="BJ139" s="517">
        <f>+IF(AND($G$158=1,BJ13&gt;=$G$159),0,IF(BJ13&lt;=Assumptions!$L$17,IF(BI$152&gt;Assumptions!$F$29,0,$G$139*(SUM(BJ26,BJ29,BJ30))),0))</f>
        <v>0</v>
      </c>
      <c r="BK139" s="517">
        <f>+IF(AND($G$158=1,BK13&gt;=$G$159),0,IF(BK13&lt;=Assumptions!$L$17,IF(BJ$152&gt;Assumptions!$F$29,0,$G$139*(SUM(BK26,BK29,BK30))),0))</f>
        <v>0</v>
      </c>
      <c r="BL139" s="517">
        <f>+IF(AND($G$158=1,BL13&gt;=$G$159),0,IF(BL13&lt;=Assumptions!$L$17,IF(BK$152&gt;Assumptions!$F$29,0,$G$139*(SUM(BL26,BL29,BL30))),0))</f>
        <v>0</v>
      </c>
      <c r="BM139" s="517">
        <f ca="1">+IF(AND($G$158=1,BM13&gt;=$G$159),0,IF(BM13&lt;=Assumptions!$L$17,IF(BL$152&gt;Assumptions!$F$29,0,$G$139*(SUM(BM26,BM29,BM30))),0))</f>
        <v>0</v>
      </c>
      <c r="BN139" s="517">
        <f ca="1">+IF(AND($G$158=1,BN13&gt;=$G$159),0,IF(BN13&lt;=Assumptions!$L$17,IF(BM$152&gt;Assumptions!$F$29,0,$G$139*(SUM(BN26,BN29,BN30))),0))</f>
        <v>0</v>
      </c>
      <c r="BO139" s="517">
        <f ca="1">+IF(AND($G$158=1,BO13&gt;=$G$159),0,IF(BO13&lt;=Assumptions!$L$17,IF(BN$152&gt;Assumptions!$F$29,0,$G$139*(SUM(BO26,BO29,BO30))),0))</f>
        <v>0</v>
      </c>
      <c r="BP139" s="517">
        <f ca="1">+IF(AND($G$158=1,BP13&gt;=$G$159),0,IF(BP13&lt;=Assumptions!$L$17,IF(BO$152&gt;Assumptions!$F$29,0,$G$139*(SUM(BP26,BP29,BP30))),0))</f>
        <v>0</v>
      </c>
      <c r="BQ139" s="517">
        <f ca="1">+IF(AND($G$158=1,BQ13&gt;=$G$159),0,IF(BQ13&lt;=Assumptions!$L$17,IF(BP$152&gt;Assumptions!$F$29,0,$G$139*(SUM(BQ26,BQ29,BQ30))),0))</f>
        <v>0</v>
      </c>
      <c r="BR139" s="517">
        <f ca="1">+IF(AND($G$158=1,BR13&gt;=$G$159),0,IF(BR13&lt;=Assumptions!$L$17,IF(BQ$152&gt;Assumptions!$F$29,0,$G$139*(SUM(BR26,BR29,BR30))),0))</f>
        <v>65.924000000000007</v>
      </c>
      <c r="BS139" s="517">
        <f>+IF(AND($G$158=1,BS13&gt;=$G$159),0,IF(BS13&lt;=Assumptions!$L$17,IF(BR$152&gt;Assumptions!$F$29,0,$G$139*(SUM(BS26,BS29,BS30))),0))</f>
        <v>0</v>
      </c>
      <c r="BT139" s="951">
        <f>+IF(AND($G$158=1,BT13&gt;=$G$159),0,IF(BT13&lt;=Assumptions!$L$17,IF(BS$152&gt;Assumptions!$F$62,0,$G$139*(SUM(BT26,BT29,BT30))),0))</f>
        <v>0</v>
      </c>
      <c r="BU139" s="517">
        <f>+IF(AND($G$158=1,BU13&gt;=$G$159),0,IF(BU13&lt;=Assumptions!$L$17,IF(BT$152&gt;Assumptions!$F$62,0,$G$139*(SUM(BU26,BU29,BU30))),0))</f>
        <v>0</v>
      </c>
      <c r="BV139" s="517">
        <f>+IF(AND($G$158=1,BV13&gt;=$G$159),0,IF(BV13&lt;=Assumptions!$L$17,IF(BU$152&gt;Assumptions!$F$62,0,$G$139*(SUM(BV26,BV29,BV30))),0))</f>
        <v>0</v>
      </c>
      <c r="BW139" s="517">
        <f>+IF(AND($G$158=1,BW13&gt;=$G$159),0,IF(BW13&lt;=Assumptions!$L$17,IF(BV$152&gt;Assumptions!$F$62,0,$G$139*(SUM(BW26,BW29,BW30))),0))</f>
        <v>0</v>
      </c>
      <c r="BX139" s="517">
        <f>+IF(AND($G$158=1,BX13&gt;=$G$159),0,IF(BX13&lt;=Assumptions!$L$17,IF(BW$152&gt;Assumptions!$F$62,0,$G$139*(SUM(BX26,BX29,BX30))),0))</f>
        <v>0</v>
      </c>
      <c r="BY139" s="517">
        <f>+IF(AND($G$158=1,BY13&gt;=$G$159),0,IF(BY13&lt;=Assumptions!$L$17,IF(BX$152&gt;Assumptions!$F$62,0,$G$139*(SUM(BY26,BY29,BY30))),0))</f>
        <v>0</v>
      </c>
      <c r="BZ139" s="517">
        <f>+IF(AND($G$158=1,BZ13&gt;=$G$159),0,IF(BZ13&lt;=Assumptions!$L$17,IF(BY$152&gt;Assumptions!$F$62,0,$G$139*(SUM(BZ26,BZ29,BZ30))),0))</f>
        <v>0</v>
      </c>
      <c r="CA139" s="517">
        <f>+IF(AND($G$158=1,CA13&gt;=$G$159),0,IF(CA13&lt;=Assumptions!$L$17,IF(BZ$152&gt;Assumptions!$F$62,0,$G$139*(SUM(CA26,CA29,CA30))),0))</f>
        <v>0</v>
      </c>
      <c r="CB139" s="517">
        <f>+IF(AND($G$158=1,CB13&gt;=$G$159),0,IF(CB13&lt;=Assumptions!$L$17,IF(CA$152&gt;Assumptions!$F$62,0,$G$139*(SUM(CB26,CB29,CB30))),0))</f>
        <v>0</v>
      </c>
      <c r="CC139" s="517">
        <f>+IF(AND($G$158=1,CC13&gt;=$G$159),0,IF(CC13&lt;=Assumptions!$L$17,IF(CB$152&gt;Assumptions!$F$62,0,$G$139*(SUM(CC26,CC29,CC30))),0))</f>
        <v>0</v>
      </c>
      <c r="CD139" s="517">
        <f>+IF(AND($G$158=1,CD13&gt;=$G$159),0,IF(CD13&lt;=Assumptions!$L$17,IF(CC$152&gt;Assumptions!$F$62,0,$G$139*(SUM(CD26,CD29,CD30))),0))</f>
        <v>0</v>
      </c>
      <c r="CE139" s="517">
        <f>+IF(AND($G$158=1,CE13&gt;=$G$159),0,IF(CE13&lt;=Assumptions!$L$17,IF(CD$152&gt;Assumptions!$F$62,0,$G$139*(SUM(CE26,CE29,CE30))),0))</f>
        <v>0</v>
      </c>
      <c r="CF139" s="517">
        <f>+IF(AND($G$158=1,CF13&gt;=$G$159),0,IF(CF13&lt;=Assumptions!$L$17,IF(CE$152&gt;Assumptions!$F$62,0,$G$139*(SUM(CF26,CF29,CF30))),0))</f>
        <v>0</v>
      </c>
      <c r="CG139" s="517">
        <f>+IF(AND($G$158=1,CG13&gt;=$G$159),0,IF(CG13&lt;=Assumptions!$L$17,IF(CF$152&gt;Assumptions!$F$62,0,$G$139*(SUM(CG26,CG29,CG30))),0))</f>
        <v>0</v>
      </c>
      <c r="CH139" s="517">
        <f>+IF(AND($G$158=1,CH13&gt;=$G$159),0,IF(CH13&lt;=Assumptions!$L$17,IF(CG$152&gt;Assumptions!$F$62,0,$G$139*(SUM(CH26,CH29,CH30))),0))</f>
        <v>0</v>
      </c>
      <c r="CI139" s="517">
        <f>+IF(AND($G$158=1,CI13&gt;=$G$159),0,IF(CI13&lt;=Assumptions!$L$17,IF(CH$152&gt;Assumptions!$F$62,0,$G$139*(SUM(CI26,CI29,CI30))),0))</f>
        <v>0</v>
      </c>
      <c r="CJ139" s="517">
        <f>+IF(AND($G$158=1,CJ13&gt;=$G$159),0,IF(CJ13&lt;=Assumptions!$L$17,IF(CI$152&gt;Assumptions!$F$62,0,$G$139*(SUM(CJ26,CJ29,CJ30))),0))</f>
        <v>0</v>
      </c>
      <c r="CK139" s="517">
        <f>+IF(AND($G$158=1,CK13&gt;=$G$159),0,IF(CK13&lt;=Assumptions!$L$17,IF(CJ$152&gt;Assumptions!$F$62,0,$G$139*(SUM(CK26,CK29,CK30))),0))</f>
        <v>0</v>
      </c>
      <c r="CL139" s="517">
        <f>+IF(AND($G$158=1,CL13&gt;=$G$159),0,IF(CL13&lt;=Assumptions!$L$17,IF(CK$152&gt;Assumptions!$F$62,0,$G$139*(SUM(CL26,CL29,CL30))),0))</f>
        <v>0</v>
      </c>
      <c r="CM139" s="517">
        <f>+IF(AND($G$158=1,CM13&gt;=$G$159),0,IF(CM13&lt;=Assumptions!$L$17,IF(CL$152&gt;Assumptions!$F$62,0,$G$139*(SUM(CM26,CM29,CM30))),0))</f>
        <v>0</v>
      </c>
      <c r="CN139" s="517">
        <f>+IF(AND($G$158=1,CN13&gt;=$G$159),0,IF(CN13&lt;=Assumptions!$L$17,IF(CM$152&gt;Assumptions!$F$62,0,$G$139*(SUM(CN26,CN29,CN30))),0))</f>
        <v>0</v>
      </c>
      <c r="CO139" s="517">
        <f>+IF(AND($G$158=1,CO13&gt;=$G$159),0,IF(CO13&lt;=Assumptions!$L$17,IF(CN$152&gt;Assumptions!$F$62,0,$G$139*(SUM(CO26,CO29,CO30))),0))</f>
        <v>0</v>
      </c>
      <c r="CP139" s="517">
        <f>+IF(AND($G$158=1,CP13&gt;=$G$159),0,IF(CP13&lt;=Assumptions!$L$17,IF(CO$152&gt;Assumptions!$F$62,0,$G$139*(SUM(CP26,CP29,CP30))),0))</f>
        <v>0</v>
      </c>
      <c r="CQ139" s="517">
        <f>+IF(AND($G$158=1,CQ13&gt;=$G$159),0,IF(CQ13&lt;=Assumptions!$L$17,IF(CP$152&gt;Assumptions!$F$62,0,$G$139*(SUM(CQ26,CQ29,CQ30))),0))</f>
        <v>0</v>
      </c>
      <c r="CR139" s="517">
        <f>+IF(AND($G$158=1,CR13&gt;=$G$159),0,IF(CR13&lt;=Assumptions!$L$17,IF(CQ$152&gt;Assumptions!$F$62,0,$G$139*(SUM(CR26,CR29,CR30))),0))</f>
        <v>0</v>
      </c>
      <c r="CS139" s="517">
        <f>+IF(AND($G$158=1,CS13&gt;=$G$159),0,IF(CS13&lt;=Assumptions!$L$17,IF(CR$152&gt;Assumptions!$F$62,0,$G$139*(SUM(CS26,CS29,CS30))),0))</f>
        <v>0</v>
      </c>
      <c r="CT139" s="517">
        <f>+IF(AND($G$158=1,CT13&gt;=$G$159),0,IF(CT13&lt;=Assumptions!$L$17,IF(CS$152&gt;Assumptions!$F$62,0,$G$139*(SUM(CT26,CT29,CT30))),0))</f>
        <v>0</v>
      </c>
      <c r="CU139" s="517">
        <f>+IF(AND($G$158=1,CU13&gt;=$G$159),0,IF(CU13&lt;=Assumptions!$L$17,IF(CT$152&gt;Assumptions!$F$62,0,$G$139*(SUM(CU26,CU29,CU30))),0))</f>
        <v>0</v>
      </c>
      <c r="CV139" s="517">
        <f>+IF(AND($G$158=1,CV13&gt;=$G$159),0,IF(CV13&lt;=Assumptions!$L$17,IF(CU$152&gt;Assumptions!$F$62,0,$G$139*(SUM(CV26,CV29,CV30))),0))</f>
        <v>0</v>
      </c>
      <c r="CW139" s="517">
        <f>+IF(AND($G$158=1,CW13&gt;=$G$159),0,IF(CW13&lt;=Assumptions!$L$17,IF(CV$152&gt;Assumptions!$F$62,0,$G$139*(SUM(CW26,CW29,CW30))),0))</f>
        <v>0</v>
      </c>
      <c r="CX139" s="517">
        <f>+IF(AND($G$158=1,CX13&gt;=$G$159),0,IF(CX13&lt;=Assumptions!$L$17,IF(CW$152&gt;Assumptions!$F$62,0,$G$139*(SUM(CX26,CX29,CX30))),0))</f>
        <v>0</v>
      </c>
      <c r="CY139" s="517">
        <f>+IF(AND($G$158=1,CY13&gt;=$G$159),0,IF(CY13&lt;=Assumptions!$L$17,IF(CX$152&gt;Assumptions!$F$62,0,$G$139*(SUM(CY26,CY29,CY30))),0))</f>
        <v>0</v>
      </c>
      <c r="CZ139" s="517">
        <f>+IF(AND($G$158=1,CZ13&gt;=$G$159),0,IF(CZ13&lt;=Assumptions!$L$17,IF(CY$152&gt;Assumptions!$F$62,0,$G$139*(SUM(CZ26,CZ29,CZ30))),0))</f>
        <v>0</v>
      </c>
      <c r="DA139" s="517">
        <f>+IF(AND($G$158=1,DA13&gt;=$G$159),0,IF(DA13&lt;=Assumptions!$L$17,IF(CZ$152&gt;Assumptions!$F$62,0,$G$139*(SUM(DA26,DA29,DA30))),0))</f>
        <v>0</v>
      </c>
      <c r="DB139" s="517">
        <f>+IF(AND($G$158=1,DB13&gt;=$G$159),0,IF(DB13&lt;=Assumptions!$L$17,IF(DA$152&gt;Assumptions!$F$62,0,$G$139*(SUM(DB26,DB29,DB30))),0))</f>
        <v>0</v>
      </c>
      <c r="DC139" s="517">
        <f>+IF(AND($G$158=1,DC13&gt;=$G$159),0,IF(DC13&lt;=Assumptions!$L$17,IF(DB$152&gt;Assumptions!$F$62,0,$G$139*(SUM(DC26,DC29,DC30))),0))</f>
        <v>0</v>
      </c>
      <c r="DD139" s="517">
        <f>+IF(AND($G$158=1,DD13&gt;=$G$159),0,IF(DD13&lt;=Assumptions!$L$17,IF(DC$152&gt;Assumptions!$F$62,0,$G$139*(SUM(DD26,DD29,DD30))),0))</f>
        <v>0</v>
      </c>
      <c r="DE139" s="517">
        <f>+IF(AND($G$158=1,DE13&gt;=$G$159),0,IF(DE13&lt;=Assumptions!$L$17,IF(DD$152&gt;Assumptions!$F$62,0,$G$139*(SUM(DE26,DE29,DE30))),0))</f>
        <v>0</v>
      </c>
      <c r="DF139" s="517">
        <f>+IF(AND($G$158=1,DF13&gt;=$G$159),0,IF(DF13&lt;=Assumptions!$L$17,IF(DE$152&gt;Assumptions!$F$62,0,$G$139*(SUM(DF26,DF29,DF30))),0))</f>
        <v>0</v>
      </c>
      <c r="DG139" s="517">
        <f>+IF(AND($G$158=1,DG13&gt;=$G$159),0,IF(DG13&lt;=Assumptions!$L$17,IF(DF$152&gt;Assumptions!$F$62,0,$G$139*(SUM(DG26,DG29,DG30))),0))</f>
        <v>0</v>
      </c>
      <c r="DH139" s="517">
        <f>+IF(AND($G$158=1,DH13&gt;=$G$159),0,IF(DH13&lt;=Assumptions!$L$17,IF(DG$152&gt;Assumptions!$F$62,0,$G$139*(SUM(DH26,DH29,DH30))),0))</f>
        <v>0</v>
      </c>
      <c r="DI139" s="517">
        <f>+IF(AND($G$158=1,DI13&gt;=$G$159),0,IF(DI13&lt;=Assumptions!$L$17,IF(DH$152&gt;Assumptions!$F$62,0,$G$139*(SUM(DI26,DI29,DI30))),0))</f>
        <v>0</v>
      </c>
      <c r="DJ139" s="517">
        <f>+IF(AND($G$158=1,DJ13&gt;=$G$159),0,IF(DJ13&lt;=Assumptions!$L$17,IF(DI$152&gt;Assumptions!$F$62,0,$G$139*(SUM(DJ26,DJ29,DJ30))),0))</f>
        <v>0</v>
      </c>
      <c r="DK139" s="517">
        <f>+IF(AND($G$158=1,DK13&gt;=$G$159),0,IF(DK13&lt;=Assumptions!$L$17,IF(DJ$152&gt;Assumptions!$F$62,0,$G$139*(SUM(DK26,DK29,DK30))),0))</f>
        <v>0</v>
      </c>
      <c r="DL139" s="517">
        <f>+IF(AND($G$158=1,DL13&gt;=$G$159),0,IF(DL13&lt;=Assumptions!$L$17,IF(DK$152&gt;Assumptions!$F$62,0,$G$139*(SUM(DL26,DL29,DL30))),0))</f>
        <v>0</v>
      </c>
      <c r="DM139" s="517">
        <f>+IF(AND($G$158=1,DM13&gt;=$G$159),0,IF(DM13&lt;=Assumptions!$L$17,IF(DL$152&gt;Assumptions!$F$62,0,$G$139*(SUM(DM26,DM29,DM30))),0))</f>
        <v>0</v>
      </c>
      <c r="DN139" s="517">
        <f>+IF(AND($G$158=1,DN13&gt;=$G$159),0,IF(DN13&lt;=Assumptions!$L$17,IF(DM$152&gt;Assumptions!$F$62,0,$G$139*(SUM(DN26,DN29,DN30))),0))</f>
        <v>0</v>
      </c>
      <c r="DO139" s="517">
        <f>+IF(AND($G$158=1,DO13&gt;=$G$159),0,IF(DO13&lt;=Assumptions!$L$17,IF(DN$152&gt;Assumptions!$F$62,0,$G$139*(SUM(DO26,DO29,DO30))),0))</f>
        <v>0</v>
      </c>
      <c r="DP139" s="517">
        <f>+IF(AND($G$158=1,DP13&gt;=$G$159),0,IF(DP13&lt;=Assumptions!$L$17,IF(DO$152&gt;Assumptions!$F$62,0,$G$139*(SUM(DP26,DP29,DP30))),0))</f>
        <v>0</v>
      </c>
      <c r="DQ139" s="517">
        <f>+IF(AND($G$158=1,DQ13&gt;=$G$159),0,IF(DQ13&lt;=Assumptions!$L$17,IF(DP$152&gt;Assumptions!$F$62,0,$G$139*(SUM(DQ26,DQ29,DQ30))),0))</f>
        <v>0</v>
      </c>
      <c r="DR139" s="517">
        <f>+IF(AND($G$158=1,DR13&gt;=$G$159),0,IF(DR13&lt;=Assumptions!$L$17,IF(DQ$152&gt;Assumptions!$F$62,0,$G$139*(SUM(DR26,DR29,DR30))),0))</f>
        <v>0</v>
      </c>
      <c r="DS139" s="517">
        <f>+IF(AND($G$158=1,DS13&gt;=$G$159),0,IF(DS13&lt;=Assumptions!$L$17,IF(DR$152&gt;Assumptions!$F$62,0,$G$139*(SUM(DS26,DS29,DS30))),0))</f>
        <v>0</v>
      </c>
      <c r="DT139" s="517">
        <f>+IF(AND($G$158=1,DT13&gt;=$G$159),0,IF(DT13&lt;=Assumptions!$L$17,IF(DS$152&gt;Assumptions!$F$62,0,$G$139*(SUM(DT26,DT29,DT30))),0))</f>
        <v>0</v>
      </c>
      <c r="DU139" s="517">
        <f>+IF(AND($G$158=1,DU13&gt;=$G$159),0,IF(DU13&lt;=Assumptions!$L$17,IF(DT$152&gt;Assumptions!$F$62,0,$G$139*(SUM(DU26,DU29,DU30))),0))</f>
        <v>0</v>
      </c>
      <c r="DV139" s="517">
        <f>+IF(AND($G$158=1,DV13&gt;=$G$159),0,IF(DV13&lt;=Assumptions!$L$17,IF(DU$152&gt;Assumptions!$F$62,0,$G$139*(SUM(DV26,DV29,DV30))),0))</f>
        <v>0</v>
      </c>
      <c r="DW139" s="517">
        <f>+IF(AND($G$158=1,DW13&gt;=$G$159),0,IF(DW13&lt;=Assumptions!$L$17,IF(DV$152&gt;Assumptions!$F$62,0,$G$139*(SUM(DW26,DW29,DW30))),0))</f>
        <v>0</v>
      </c>
      <c r="DX139" s="517">
        <f>+IF(AND($G$158=1,DX13&gt;=$G$159),0,IF(DX13&lt;=Assumptions!$L$17,IF(DW$152&gt;Assumptions!$F$62,0,$G$139*(SUM(DX26,DX29,DX30))),0))</f>
        <v>0</v>
      </c>
      <c r="DY139" s="517">
        <f>+IF(AND($G$158=1,DY13&gt;=$G$159),0,IF(DY13&lt;=Assumptions!$L$17,IF(DX$152&gt;Assumptions!$F$62,0,$G$139*(SUM(DY26,DY29,DY30))),0))</f>
        <v>0</v>
      </c>
      <c r="DZ139" s="517">
        <f>+IF(AND($G$158=1,DZ13&gt;=$G$159),0,IF(DZ13&lt;=Assumptions!$L$17,IF(DY$152&gt;Assumptions!$F$62,0,$G$139*(SUM(DZ26,DZ29,DZ30))),0))</f>
        <v>0</v>
      </c>
      <c r="EA139" s="517">
        <f>+IF(AND($G$158=1,EA13&gt;=$G$159),0,IF(EA13&lt;=Assumptions!$L$17,IF(DZ$152&gt;Assumptions!$F$62,0,$G$139*(SUM(EA26,EA29,EA30))),0))</f>
        <v>0</v>
      </c>
      <c r="EB139" s="517">
        <f>+IF(AND($G$158=1,EB13&gt;=$G$159),0,IF(EB13&lt;=Assumptions!$L$17,IF(EA$152&gt;Assumptions!$F$62,0,$G$139*(SUM(EB26,EB29,EB30))),0))</f>
        <v>0</v>
      </c>
      <c r="EC139" s="517">
        <f>+IF(AND($G$158=1,EC13&gt;=$G$159),0,IF(EC13&lt;=Assumptions!$L$17,IF(EB$152&gt;Assumptions!$F$62,0,$G$139*(SUM(EC26,EC29,EC30))),0))</f>
        <v>0</v>
      </c>
      <c r="ED139" s="517">
        <f>+IF(AND($G$158=1,ED13&gt;=$G$159),0,IF(ED13&lt;=Assumptions!$L$17,IF(EC$152&gt;Assumptions!$F$62,0,$G$139*(SUM(ED26,ED29,ED30))),0))</f>
        <v>0</v>
      </c>
      <c r="EE139" s="517">
        <f>+IF(AND($G$158=1,EE13&gt;=$G$159),0,IF(EE13&lt;=Assumptions!$L$17,IF(ED$152&gt;Assumptions!$F$62,0,$G$139*(SUM(EE26,EE29,EE30))),0))</f>
        <v>0</v>
      </c>
      <c r="EF139" s="517">
        <f>+IF(AND($G$158=1,EF13&gt;=$G$159),0,IF(EF13&lt;=Assumptions!$L$17,IF(EE$152&gt;Assumptions!$F$62,0,$G$139*(SUM(EF26,EF29,EF30))),0))</f>
        <v>0</v>
      </c>
      <c r="EG139" s="517">
        <f>+IF(AND($G$158=1,EG13&gt;=$G$159),0,IF(EG13&lt;=Assumptions!$L$17,IF(EF$152&gt;Assumptions!$F$62,0,$G$139*(SUM(EG26,EG29,EG30))),0))</f>
        <v>0</v>
      </c>
      <c r="EH139" s="517">
        <f>+IF(AND($G$158=1,EH13&gt;=$G$159),0,IF(EH13&lt;=Assumptions!$L$17,IF(EG$152&gt;Assumptions!$F$62,0,$G$139*(SUM(EH26,EH29,EH30))),0))</f>
        <v>0</v>
      </c>
      <c r="EI139" s="517">
        <f>+IF(AND($G$158=1,EI13&gt;=$G$159),0,IF(EI13&lt;=Assumptions!$L$17,IF(EH$152&gt;Assumptions!$F$62,0,$G$139*(SUM(EI26,EI29,EI30))),0))</f>
        <v>0</v>
      </c>
      <c r="EJ139" s="517">
        <f>+IF(AND($G$158=1,EJ13&gt;=$G$159),0,IF(EJ13&lt;=Assumptions!$L$17,IF(EI$152&gt;Assumptions!$F$62,0,$G$139*(SUM(EJ26,EJ29,EJ30))),0))</f>
        <v>0</v>
      </c>
      <c r="EK139" s="517">
        <f>+IF(AND($G$158=1,EK13&gt;=$G$159),0,IF(EK13&lt;=Assumptions!$L$17,IF(EJ$152&gt;Assumptions!$F$62,0,$G$139*(SUM(EK26,EK29,EK30))),0))</f>
        <v>0</v>
      </c>
      <c r="EL139" s="517">
        <f>+IF(AND($G$158=1,EL13&gt;=$G$159),0,IF(EL13&lt;=Assumptions!$L$17,IF(EK$152&gt;Assumptions!$F$62,0,$G$139*(SUM(EL26,EL29,EL30))),0))</f>
        <v>0</v>
      </c>
      <c r="EM139" s="517">
        <f>+IF(AND($G$158=1,EM13&gt;=$G$159),0,IF(EM13&lt;=Assumptions!$L$17,IF(EL$152&gt;Assumptions!$F$62,0,$G$139*(SUM(EM26,EM29,EM30))),0))</f>
        <v>0</v>
      </c>
      <c r="EN139" s="517">
        <f>+IF(AND($G$158=1,EN13&gt;=$G$159),0,IF(EN13&lt;=Assumptions!$L$17,IF(EM$152&gt;Assumptions!$F$62,0,$G$139*(SUM(EN26,EN29,EN30))),0))</f>
        <v>0</v>
      </c>
      <c r="EO139" s="517">
        <f>+IF(AND($G$158=1,EO13&gt;=$G$159),0,IF(EO13&lt;=Assumptions!$L$17,IF(EN$152&gt;Assumptions!$F$62,0,$G$139*(SUM(EO26,EO29,EO30))),0))</f>
        <v>0</v>
      </c>
      <c r="EP139" s="517">
        <f>+IF(AND($G$158=1,EP13&gt;=$G$159),0,IF(EP13&lt;=Assumptions!$L$17,IF(EO$152&gt;Assumptions!$F$62,0,$G$139*(SUM(EP26,EP29,EP30))),0))</f>
        <v>0</v>
      </c>
      <c r="EQ139" s="517">
        <f>+IF(AND($G$158=1,EQ13&gt;=$G$159),0,IF(EQ13&lt;=Assumptions!$L$17,IF(EP$152&gt;Assumptions!$F$62,0,$G$139*(SUM(EQ26,EQ29,EQ30))),0))</f>
        <v>0</v>
      </c>
      <c r="ER139" s="517">
        <f>+IF(AND($G$158=1,ER13&gt;=$G$159),0,IF(ER13&lt;=Assumptions!$L$17,IF(EQ$152&gt;Assumptions!$F$62,0,$G$139*(SUM(ER26,ER29,ER30))),0))</f>
        <v>0</v>
      </c>
      <c r="ES139" s="517">
        <f>+IF(AND($G$158=1,ES13&gt;=$G$159),0,IF(ES13&lt;=Assumptions!$L$17,IF(ER$152&gt;Assumptions!$F$62,0,$G$139*(SUM(ES26,ES29,ES30))),0))</f>
        <v>0</v>
      </c>
      <c r="ET139" s="517">
        <f>+IF(AND($G$158=1,ET13&gt;=$G$159),0,IF(ET13&lt;=Assumptions!$L$17,IF(ES$152&gt;Assumptions!$F$62,0,$G$139*(SUM(ET26,ET29,ET30))),0))</f>
        <v>0</v>
      </c>
      <c r="EU139" s="517">
        <f>+IF(AND($G$158=1,EU13&gt;=$G$159),0,IF(EU13&lt;=Assumptions!$L$17,IF(ET$152&gt;Assumptions!$F$62,0,$G$139*(SUM(EU26,EU29,EU30))),0))</f>
        <v>0</v>
      </c>
      <c r="EV139" s="517">
        <f>+IF(AND($G$158=1,EV13&gt;=$G$159),0,IF(EV13&lt;=Assumptions!$L$17,IF(EU$152&gt;Assumptions!$F$62,0,$G$139*(SUM(EV26,EV29,EV30))),0))</f>
        <v>0</v>
      </c>
      <c r="EW139" s="517">
        <f>+IF(AND($G$158=1,EW13&gt;=$G$159),0,IF(EW13&lt;=Assumptions!$L$17,IF(EV$152&gt;Assumptions!$F$62,0,$G$139*(SUM(EW26,EW29,EW30))),0))</f>
        <v>0</v>
      </c>
      <c r="EX139" s="517">
        <f>+IF(AND($G$158=1,EX13&gt;=$G$159),0,IF(EX13&lt;=Assumptions!$L$17,IF(EW$152&gt;Assumptions!$F$62,0,$G$139*(SUM(EX26,EX29,EX30))),0))</f>
        <v>0</v>
      </c>
      <c r="EY139" s="517">
        <f>+IF(AND($G$158=1,EY13&gt;=$G$159),0,IF(EY13&lt;=Assumptions!$L$17,IF(EX$152&gt;Assumptions!$F$62,0,$G$139*(SUM(EY26,EY29,EY30))),0))</f>
        <v>0</v>
      </c>
      <c r="EZ139" s="517">
        <f>+IF(AND($G$158=1,EZ13&gt;=$G$159),0,IF(EZ13&lt;=Assumptions!$L$17,IF(EY$152&gt;Assumptions!$F$62,0,$G$139*(SUM(EZ26,EZ29,EZ30))),0))</f>
        <v>0</v>
      </c>
      <c r="FA139" s="517">
        <f>+IF(AND($G$158=1,FA13&gt;=$G$159),0,IF(FA13&lt;=Assumptions!$L$17,IF(EZ$152&gt;Assumptions!$F$62,0,$G$139*(SUM(FA26,FA29,FA30))),0))</f>
        <v>0</v>
      </c>
      <c r="FB139" s="517">
        <f>+IF(AND($G$158=1,FB13&gt;=$G$159),0,IF(FB13&lt;=Assumptions!$L$17,IF(FA$152&gt;Assumptions!$F$62,0,$G$139*(SUM(FB26,FB29,FB30))),0))</f>
        <v>0</v>
      </c>
      <c r="FC139" s="517">
        <f>+IF(AND($G$158=1,FC13&gt;=$G$159),0,IF(FC13&lt;=Assumptions!$L$17,IF(FB$152&gt;Assumptions!$F$62,0,$G$139*(SUM(FC26,FC29,FC30))),0))</f>
        <v>0</v>
      </c>
      <c r="FD139" s="517">
        <f>+IF(AND($G$158=1,FD13&gt;=$G$159),0,IF(FD13&lt;=Assumptions!$L$17,IF(FC$152&gt;Assumptions!$F$62,0,$G$139*(SUM(FD26,FD29,FD30))),0))</f>
        <v>0</v>
      </c>
      <c r="FE139" s="517">
        <f>+IF(AND($G$158=1,FE13&gt;=$G$159),0,IF(FE13&lt;=Assumptions!$L$17,IF(FD$152&gt;Assumptions!$F$62,0,$G$139*(SUM(FE26,FE29,FE30))),0))</f>
        <v>0</v>
      </c>
      <c r="FF139" s="517">
        <f>+IF(AND($G$158=1,FF13&gt;=$G$159),0,IF(FF13&lt;=Assumptions!$L$17,IF(FE$152&gt;Assumptions!$F$62,0,$G$139*(SUM(FF26,FF29,FF30))),0))</f>
        <v>0</v>
      </c>
      <c r="FG139" s="517">
        <f>+IF(AND($G$158=1,FG13&gt;=$G$159),0,IF(FG13&lt;=Assumptions!$L$17,IF(FF$152&gt;Assumptions!$F$62,0,$G$139*(SUM(FG26,FG29,FG30))),0))</f>
        <v>0</v>
      </c>
      <c r="FH139" s="517">
        <f>+IF(AND($G$158=1,FH13&gt;=$G$159),0,IF(FH13&lt;=Assumptions!$L$17,IF(FG$152&gt;Assumptions!$F$62,0,$G$139*(SUM(FH26,FH29,FH30))),0))</f>
        <v>0</v>
      </c>
      <c r="FI139" s="517">
        <f>+IF(AND($G$158=1,FI13&gt;=$G$159),0,IF(FI13&lt;=Assumptions!$L$17,IF(FH$152&gt;Assumptions!$F$62,0,$G$139*(SUM(FI26,FI29,FI30))),0))</f>
        <v>0</v>
      </c>
      <c r="FJ139" s="517">
        <f>+IF(AND($G$158=1,FJ13&gt;=$G$159),0,IF(FJ13&lt;=Assumptions!$L$17,IF(FI$152&gt;Assumptions!$F$62,0,$G$139*(SUM(FJ26,FJ29,FJ30))),0))</f>
        <v>0</v>
      </c>
      <c r="FK139" s="517">
        <f>+IF(AND($G$158=1,FK13&gt;=$G$159),0,IF(FK13&lt;=Assumptions!$L$17,IF(FJ$152&gt;Assumptions!$F$62,0,$G$139*(SUM(FK26,FK29,FK30))),0))</f>
        <v>0</v>
      </c>
      <c r="FL139" s="517">
        <f>+IF(AND($G$158=1,FL13&gt;=$G$159),0,IF(FL13&lt;=Assumptions!$L$17,IF(FK$152&gt;Assumptions!$F$62,0,$G$139*(SUM(FL26,FL29,FL30))),0))</f>
        <v>0</v>
      </c>
      <c r="FM139" s="517">
        <f>+IF(AND($G$158=1,FM13&gt;=$G$159),0,IF(FM13&lt;=Assumptions!$L$17,IF(FL$152&gt;Assumptions!$F$62,0,$G$139*(SUM(FM26,FM29,FM30))),0))</f>
        <v>0</v>
      </c>
      <c r="FN139" s="517">
        <f>+IF(AND($G$158=1,FN13&gt;=$G$159),0,IF(FN13&lt;=Assumptions!$L$17,IF(FM$152&gt;Assumptions!$F$62,0,$G$139*(SUM(FN26,FN29,FN30))),0))</f>
        <v>0</v>
      </c>
      <c r="FO139" s="517">
        <f>+IF(AND($G$158=1,FO13&gt;=$G$159),0,IF(FO13&lt;=Assumptions!$L$17,IF(FN$152&gt;Assumptions!$F$62,0,$G$139*(SUM(FO26,FO29,FO30))),0))</f>
        <v>0</v>
      </c>
      <c r="FP139" s="517">
        <f>+IF(AND($G$158=1,FP13&gt;=$G$159),0,IF(FP13&lt;=Assumptions!$L$17,IF(FO$152&gt;Assumptions!$F$62,0,$G$139*(SUM(FP26,FP29,FP30))),0))</f>
        <v>0</v>
      </c>
      <c r="FQ139" s="517">
        <f>+IF(AND($G$158=1,FQ13&gt;=$G$159),0,IF(FQ13&lt;=Assumptions!$L$17,IF(FP$152&gt;Assumptions!$F$62,0,$G$139*(SUM(FQ26,FQ29,FQ30))),0))</f>
        <v>0</v>
      </c>
      <c r="FR139" s="517">
        <f>+IF(AND($G$158=1,FR13&gt;=$G$159),0,IF(FR13&lt;=Assumptions!$L$17,IF(FQ$152&gt;Assumptions!$F$62,0,$G$139*(SUM(FR26,FR29,FR30))),0))</f>
        <v>0</v>
      </c>
      <c r="FS139" s="517">
        <f>+IF(AND($G$158=1,FS13&gt;=$G$159),0,IF(FS13&lt;=Assumptions!$L$17,IF(FR$152&gt;Assumptions!$F$62,0,$G$139*(SUM(FS26,FS29,FS30))),0))</f>
        <v>0</v>
      </c>
      <c r="FT139" s="517">
        <f>+IF(AND($G$158=1,FT13&gt;=$G$159),0,IF(FT13&lt;=Assumptions!$L$17,IF(FS$152&gt;Assumptions!$F$62,0,$G$139*(SUM(FT26,FT29,FT30))),0))</f>
        <v>0</v>
      </c>
      <c r="FU139" s="517">
        <f>+IF(AND($G$158=1,FU13&gt;=$G$159),0,IF(FU13&lt;=Assumptions!$L$17,IF(FT$152&gt;Assumptions!$F$62,0,$G$139*(SUM(FU26,FU29,FU30))),0))</f>
        <v>0</v>
      </c>
      <c r="FV139" s="517">
        <f>+IF(AND($G$158=1,FV13&gt;=$G$159),0,IF(FV13&lt;=Assumptions!$L$17,IF(FU$152&gt;Assumptions!$F$62,0,$G$139*(SUM(FV26,FV29,FV30))),0))</f>
        <v>0</v>
      </c>
      <c r="FW139" s="517">
        <f>+IF(AND($G$158=1,FW13&gt;=$G$159),0,IF(FW13&lt;=Assumptions!$L$17,IF(FV$152&gt;Assumptions!$F$62,0,$G$139*(SUM(FW26,FW29,FW30))),0))</f>
        <v>0</v>
      </c>
      <c r="FX139" s="517">
        <f>+IF(AND($G$158=1,FX13&gt;=$G$159),0,IF(FX13&lt;=Assumptions!$L$17,IF(FW$152&gt;Assumptions!$F$62,0,$G$139*(SUM(FX26,FX29,FX30))),0))</f>
        <v>0</v>
      </c>
      <c r="FY139" s="517">
        <f>+IF(AND($G$158=1,FY13&gt;=$G$159),0,IF(FY13&lt;=Assumptions!$L$17,IF(FX$152&gt;Assumptions!$F$62,0,$G$139*(SUM(FY26,FY29,FY30))),0))</f>
        <v>0</v>
      </c>
      <c r="FZ139" s="517">
        <f>+IF(AND($G$158=1,FZ13&gt;=$G$159),0,IF(FZ13&lt;=Assumptions!$L$17,IF(FY$152&gt;Assumptions!$F$62,0,$G$139*(SUM(FZ26,FZ29,FZ30))),0))</f>
        <v>0</v>
      </c>
      <c r="GA139" s="517">
        <f>+IF(AND($G$158=1,GA13&gt;=$G$159),0,IF(GA13&lt;=Assumptions!$L$17,IF(FZ$152&gt;Assumptions!$F$62,0,$G$139*(SUM(GA26,GA29,GA30))),0))</f>
        <v>0</v>
      </c>
      <c r="GB139" s="517">
        <f>+IF(AND($G$158=1,GB13&gt;=$G$159),0,IF(GB13&lt;=Assumptions!$L$17,IF(GA$152&gt;Assumptions!$F$62,0,$G$139*(SUM(GB26,GB29,GB30))),0))</f>
        <v>0</v>
      </c>
      <c r="GC139" s="517">
        <f>+IF(AND($G$158=1,GC13&gt;=$G$159),0,IF(GC13&lt;=Assumptions!$L$17,IF(GB$152&gt;Assumptions!$F$62,0,$G$139*(SUM(GC26,GC29,GC30))),0))</f>
        <v>0</v>
      </c>
      <c r="GD139" s="517"/>
      <c r="GE139" s="517"/>
      <c r="GF139" s="517"/>
      <c r="GG139" s="517"/>
      <c r="GH139" s="517"/>
      <c r="GI139" s="517"/>
      <c r="GJ139" s="517"/>
      <c r="GK139" s="517"/>
      <c r="GL139" s="517"/>
      <c r="GM139" s="517"/>
      <c r="GN139" s="517"/>
      <c r="GO139" s="517"/>
      <c r="GP139" s="517">
        <f>+IF(AND($G$158=1,GP13&gt;=$G$159),0,IF(GP13&lt;=Assumptions!$L$17,IF(GC$152&gt;Assumptions!$F$29,0,$G$139*(SUM(GP26,GP29,GP30))),0))</f>
        <v>0</v>
      </c>
      <c r="GQ139" s="517">
        <f>+IF(AND($G$158=1,GQ13&gt;=$G$159),0,IF(GQ13&lt;=Assumptions!$L$17,IF(GP$152&gt;Assumptions!$F$29,0,$G$139*(SUM(GQ26,GQ29,GQ30))),0))</f>
        <v>0</v>
      </c>
      <c r="GR139" s="517">
        <f>+IF(AND($G$158=1,GR13&gt;=$G$159),0,IF(GR13&lt;=Assumptions!$L$17,IF(GQ$152&gt;Assumptions!$F$29,0,$G$139*(SUM(GR26,GR29,GR30))),0))</f>
        <v>0</v>
      </c>
      <c r="GS139" s="517">
        <f>+IF(AND($G$158=1,GS13&gt;=$G$159),0,IF(GS13&lt;=Assumptions!$L$17,IF(GR$152&gt;Assumptions!$F$29,0,$G$139*(SUM(GS26,GS29,GS30))),0))</f>
        <v>0</v>
      </c>
      <c r="GT139" s="517">
        <f>+IF(AND($G$158=1,GT13&gt;=$G$159),0,IF(GT13&lt;=Assumptions!$L$17,IF(GS$152&gt;Assumptions!$F$29,0,$G$139*(SUM(GT26,GT29,GT30))),0))</f>
        <v>0</v>
      </c>
      <c r="GU139" s="517"/>
      <c r="GV139" s="517"/>
      <c r="GW139" s="517"/>
      <c r="GX139" s="517"/>
      <c r="GY139" s="517"/>
      <c r="GZ139" s="517"/>
      <c r="HA139" s="517"/>
      <c r="HB139" s="517"/>
      <c r="HC139" s="517"/>
      <c r="HD139" s="517"/>
      <c r="HE139" s="517"/>
      <c r="HF139" s="1" t="s">
        <v>212</v>
      </c>
      <c r="HH139" s="9" t="str">
        <f t="shared" si="954"/>
        <v>CapEx Reserve Draw</v>
      </c>
      <c r="HI139" s="26"/>
      <c r="HJ139" s="26"/>
      <c r="HK139" s="26"/>
      <c r="HL139" s="132">
        <f t="shared" ca="1" si="1007"/>
        <v>2255.7618792500002</v>
      </c>
      <c r="HM139" s="26"/>
      <c r="HN139" s="133">
        <f t="shared" si="1008"/>
        <v>0</v>
      </c>
      <c r="HO139" s="26">
        <f t="shared" si="1008"/>
        <v>222.75583</v>
      </c>
      <c r="HP139" s="26">
        <f t="shared" si="1008"/>
        <v>1741.3253992499999</v>
      </c>
      <c r="HQ139" s="26">
        <f t="shared" si="1008"/>
        <v>44.898649999999996</v>
      </c>
      <c r="HR139" s="26">
        <f t="shared" si="1008"/>
        <v>180.85800000000003</v>
      </c>
      <c r="HS139" s="26">
        <f t="shared" ca="1" si="1008"/>
        <v>65.924000000000007</v>
      </c>
      <c r="HT139" s="26">
        <f t="shared" si="1008"/>
        <v>0</v>
      </c>
      <c r="HU139" s="26">
        <f t="shared" si="1008"/>
        <v>0</v>
      </c>
      <c r="HV139" s="26">
        <f t="shared" si="1008"/>
        <v>0</v>
      </c>
      <c r="HW139"/>
    </row>
    <row r="140" spans="1:231" ht="15" outlineLevel="1">
      <c r="B140" s="491" t="s">
        <v>433</v>
      </c>
      <c r="C140" s="430"/>
      <c r="D140" s="430"/>
      <c r="E140" s="504"/>
      <c r="F140" s="380"/>
      <c r="G140" s="499">
        <f>+G141</f>
        <v>1</v>
      </c>
      <c r="H140" s="951"/>
      <c r="I140" s="501">
        <f ca="1">SUMIF($K$13:$GT$13,"&lt;="&amp;Assumptions!$L$17,'Monthly Cash Flow'!K140:GT140)</f>
        <v>1223.4938952004263</v>
      </c>
      <c r="J140" s="215"/>
      <c r="K140" s="502"/>
      <c r="L140" s="517">
        <f>+IF(AND($G$158=1,L13&gt;=$G$159),0, IF(L13&lt;=Assumptions!$L$17, IF(K$152&gt;Assumptions!$F$29,0, $G$140*(L34+L37)), 0))</f>
        <v>0</v>
      </c>
      <c r="M140" s="517">
        <f>+IF(AND($G$158=1,M13&gt;=$G$159),0, IF(M13&lt;=Assumptions!$L$17, IF(L$152&gt;Assumptions!$F$29,0, $G$140*(M34+M37)), 0))</f>
        <v>0</v>
      </c>
      <c r="N140" s="517">
        <f>+IF(AND($G$158=1,N13&gt;=$G$159),0, IF(N13&lt;=Assumptions!$L$17, IF(M$152&gt;Assumptions!$F$29,0, $G$140*(N34+N37)), 0))</f>
        <v>0</v>
      </c>
      <c r="O140" s="517">
        <f>+IF(AND($G$158=1,O13&gt;=$G$159),0, IF(O13&lt;=Assumptions!$L$17, IF(N$152&gt;Assumptions!$F$29,0, $G$140*(O34+O37)), 0))</f>
        <v>0</v>
      </c>
      <c r="P140" s="517">
        <f>+IF(AND($G$158=1,P13&gt;=$G$159),0, IF(P13&lt;=Assumptions!$L$17, IF(O$152&gt;Assumptions!$F$29,0, $G$140*(P34+P37)), 0))</f>
        <v>0</v>
      </c>
      <c r="Q140" s="517">
        <f>+IF(AND($G$158=1,Q13&gt;=$G$159),0, IF(Q13&lt;=Assumptions!$L$17, IF(P$152&gt;Assumptions!$F$29,0, $G$140*(Q34+Q37)), 0))</f>
        <v>0</v>
      </c>
      <c r="R140" s="517">
        <f>+IF(AND($G$158=1,R13&gt;=$G$159),0, IF(R13&lt;=Assumptions!$L$17, IF(Q$152&gt;Assumptions!$F$29,0, $G$140*(R34+R37)), 0))</f>
        <v>0</v>
      </c>
      <c r="S140" s="517">
        <f>+IF(AND($G$158=1,S13&gt;=$G$159),0, IF(S13&lt;=Assumptions!$L$17, IF(R$152&gt;Assumptions!$F$29,0, $G$140*(S34+S37)), 0))</f>
        <v>0</v>
      </c>
      <c r="T140" s="517">
        <f>+IF(AND($G$158=1,T13&gt;=$G$159),0, IF(T13&lt;=Assumptions!$L$17, IF(S$152&gt;Assumptions!$F$29,0, $G$140*(T34+T37)), 0))</f>
        <v>0</v>
      </c>
      <c r="U140" s="517">
        <f>+IF(AND($G$158=1,U13&gt;=$G$159),0, IF(U13&lt;=Assumptions!$L$17, IF(T$152&gt;Assumptions!$F$29,0, $G$140*(U34+U37)), 0))</f>
        <v>10.160909999999999</v>
      </c>
      <c r="V140" s="517">
        <f>+IF(AND($G$158=1,V13&gt;=$G$159),0, IF(V13&lt;=Assumptions!$L$17, IF(U$152&gt;Assumptions!$F$29,0, $G$140*(V34+V37)), 0))</f>
        <v>0</v>
      </c>
      <c r="W140" s="517">
        <f>+IF(AND($G$158=1,W13&gt;=$G$159),0, IF(W13&lt;=Assumptions!$L$17, IF(V$152&gt;Assumptions!$F$29,0, $G$140*(W34+W37)), 0))</f>
        <v>60.828589999999998</v>
      </c>
      <c r="X140" s="517">
        <f>+IF(AND($G$158=1,X13&gt;=$G$159),0, IF(X13&lt;=Assumptions!$L$17, IF(W$152&gt;Assumptions!$F$29,0, $G$140*(X34+X37)), 0))</f>
        <v>3.6021399999999999</v>
      </c>
      <c r="Y140" s="517">
        <f>+IF(AND($G$158=1,Y13&gt;=$G$159),0, IF(Y13&lt;=Assumptions!$L$17, IF(X$152&gt;Assumptions!$F$29,0, $G$140*(Y34+Y37)), 0))</f>
        <v>0</v>
      </c>
      <c r="Z140" s="517">
        <f>+IF(AND($G$158=1,Z13&gt;=$G$159),0, IF(Z13&lt;=Assumptions!$L$17, IF(Y$152&gt;Assumptions!$F$29,0, $G$140*(Z34+Z37)), 0))</f>
        <v>3.2014699999999996</v>
      </c>
      <c r="AA140" s="517">
        <f>+IF(AND($G$158=1,AA13&gt;=$G$159),0, IF(AA13&lt;=Assumptions!$L$17, IF(Z$152&gt;Assumptions!$F$29,0, $G$140*(AA34+AA37)), 0))</f>
        <v>0</v>
      </c>
      <c r="AB140" s="517">
        <f>+IF(AND($G$158=1,AB13&gt;=$G$159),0, IF(AB13&lt;=Assumptions!$L$17, IF(AA$152&gt;Assumptions!$F$29,0, $G$140*(AB34+AB37)), 0))</f>
        <v>9.5476799999999997</v>
      </c>
      <c r="AC140" s="517">
        <f>+IF(AND($G$158=1,AC13&gt;=$G$159),0, IF(AC13&lt;=Assumptions!$L$17, IF(AB$152&gt;Assumptions!$F$29,0, $G$140*(AC34+AC37)), 0))</f>
        <v>0</v>
      </c>
      <c r="AD140" s="517">
        <f>+IF(AND($G$158=1,AD13&gt;=$G$159),0, IF(AD13&lt;=Assumptions!$L$17, IF(AC$152&gt;Assumptions!$F$29,0, $G$140*(AD34+AD37)), 0))</f>
        <v>2.28E-15</v>
      </c>
      <c r="AE140" s="517">
        <f>+IF(AND($G$158=1,AE13&gt;=$G$159),0, IF(AE13&lt;=Assumptions!$L$17, IF(AD$152&gt;Assumptions!$F$29,0, $G$140*(AE34+AE37)), 0))</f>
        <v>0</v>
      </c>
      <c r="AF140" s="517">
        <f>+IF(AND($G$158=1,AF13&gt;=$G$159),0, IF(AF13&lt;=Assumptions!$L$17, IF(AE$152&gt;Assumptions!$F$29,0, $G$140*(AF34+AF37)), 0))</f>
        <v>60.946201595428299</v>
      </c>
      <c r="AG140" s="517">
        <f>+IF(AND($G$158=1,AG13&gt;=$G$159),0, IF(AG13&lt;=Assumptions!$L$17, IF(AF$152&gt;Assumptions!$F$29,0, $G$140*(AG34+AG37)), 0))</f>
        <v>73.629000000000005</v>
      </c>
      <c r="AH140" s="517">
        <f>+IF(AND($G$158=1,AH13&gt;=$G$159),0, IF(AH13&lt;=Assumptions!$L$17, IF(AG$152&gt;Assumptions!$F$29,0, $G$140*(AH34+AH37)), 0))</f>
        <v>0</v>
      </c>
      <c r="AI140" s="517">
        <f>+IF(AND($G$158=1,AI13&gt;=$G$159),0, IF(AI13&lt;=Assumptions!$L$17, IF(AH$152&gt;Assumptions!$F$29,0, $G$140*(AI34+AI37)), 0))</f>
        <v>78.125880000000009</v>
      </c>
      <c r="AJ140" s="517">
        <f>+IF(AND($G$158=1,AJ13&gt;=$G$159),0, IF(AJ13&lt;=Assumptions!$L$17, IF(AI$152&gt;Assumptions!$F$29,0, $G$140*(AJ34+AJ37)), 0))</f>
        <v>0</v>
      </c>
      <c r="AK140" s="517">
        <f>+IF(AND($G$158=1,AK13&gt;=$G$159),0, IF(AK13&lt;=Assumptions!$L$17, IF(AJ$152&gt;Assumptions!$F$29,0, $G$140*(AK34+AK37)), 0))</f>
        <v>0</v>
      </c>
      <c r="AL140" s="517">
        <f>+IF(AND($G$158=1,AL13&gt;=$G$159),0, IF(AL13&lt;=Assumptions!$L$17, IF(AK$152&gt;Assumptions!$F$29,0, $G$140*(AL34+AL37)), 0))</f>
        <v>211.84488000000002</v>
      </c>
      <c r="AM140" s="517">
        <f>+IF(AND($G$158=1,AM13&gt;=$G$159),0, IF(AM13&lt;=Assumptions!$L$17, IF(AL$152&gt;Assumptions!$F$29,0, $G$140*(AM34+AM37)), 0))</f>
        <v>0</v>
      </c>
      <c r="AN140" s="517">
        <f>+IF(AND($G$158=1,AN13&gt;=$G$159),0, IF(AN13&lt;=Assumptions!$L$17, IF(AM$152&gt;Assumptions!$F$29,0, $G$140*(AN34+AN37)), 0))</f>
        <v>4.166999999999998</v>
      </c>
      <c r="AO140" s="517">
        <f>+IF(AND($G$158=1,AO13&gt;=$G$159),0, IF(AO13&lt;=Assumptions!$L$17, IF(AN$152&gt;Assumptions!$F$29,0, $G$140*(AO34+AO37)), 0))</f>
        <v>0</v>
      </c>
      <c r="AP140" s="517">
        <f>+IF(AND($G$158=1,AP13&gt;=$G$159),0, IF(AP13&lt;=Assumptions!$L$17, IF(AO$152&gt;Assumptions!$F$29,0, $G$140*(AP34+AP37)), 0))</f>
        <v>158.75653402388377</v>
      </c>
      <c r="AQ140" s="517">
        <f>+IF(AND($G$158=1,AQ13&gt;=$G$159),0, IF(AQ13&lt;=Assumptions!$L$17, IF(AP$152&gt;Assumptions!$F$29,0, $G$140*(AQ34+AQ37)), 0))</f>
        <v>32.401150000000001</v>
      </c>
      <c r="AR140" s="517">
        <f>+IF(AND($G$158=1,AR13&gt;=$G$159),0, IF(AR13&lt;=Assumptions!$L$17, IF(AQ$152&gt;Assumptions!$F$29,0, $G$140*(AR34+AR37)), 0))</f>
        <v>0</v>
      </c>
      <c r="AS140" s="517">
        <f>+IF(AND($G$158=1,AS13&gt;=$G$159),0, IF(AS13&lt;=Assumptions!$L$17, IF(AR$152&gt;Assumptions!$F$29,0, $G$140*(AS34+AS37)), 0))</f>
        <v>0</v>
      </c>
      <c r="AT140" s="517">
        <f>+IF(AND($G$158=1,AT13&gt;=$G$159),0, IF(AT13&lt;=Assumptions!$L$17, IF(AS$152&gt;Assumptions!$F$29,0, $G$140*(AT34+AT37)), 0))</f>
        <v>0</v>
      </c>
      <c r="AU140" s="517">
        <f>+IF(AND($G$158=1,AU13&gt;=$G$159),0, IF(AU13&lt;=Assumptions!$L$17, IF(AT$152&gt;Assumptions!$F$29,0, $G$140*(AU34+AU37)), 0))</f>
        <v>0</v>
      </c>
      <c r="AV140" s="517">
        <f>+IF(AND($G$158=1,AV13&gt;=$G$159),0, IF(AV13&lt;=Assumptions!$L$17, IF(AU$152&gt;Assumptions!$F$29,0, $G$140*(AV34+AV37)), 0))</f>
        <v>0</v>
      </c>
      <c r="AW140" s="517">
        <f>+IF(AND($G$158=1,AW13&gt;=$G$159),0, IF(AW13&lt;=Assumptions!$L$17, IF(AV$152&gt;Assumptions!$F$29,0, $G$140*(AW34+AW37)), 0))</f>
        <v>257.02499999999998</v>
      </c>
      <c r="AX140" s="517">
        <f>+IF(AND($G$158=1,AX13&gt;=$G$159),0, IF(AX13&lt;=Assumptions!$L$17, IF(AW$152&gt;Assumptions!$F$29,0, $G$140*(AX34+AX37)), 0))</f>
        <v>0</v>
      </c>
      <c r="AY140" s="517">
        <f>+IF(AND($G$158=1,AY13&gt;=$G$159),0, IF(AY13&lt;=Assumptions!$L$17, IF(AX$152&gt;Assumptions!$F$29,0, $G$140*(AY34+AY37)), 0))</f>
        <v>-19</v>
      </c>
      <c r="AZ140" s="517">
        <f>+IF(AND($G$158=1,AZ13&gt;=$G$159),0, IF(AZ13&lt;=Assumptions!$L$17, IF(AY$152&gt;Assumptions!$F$29,0, $G$140*(AZ34+AZ37)), 0))</f>
        <v>128.82645958111405</v>
      </c>
      <c r="BA140" s="517">
        <f>+IF(AND($G$158=1,BA13&gt;=$G$159),0, IF(BA13&lt;=Assumptions!$L$17, IF(AZ$152&gt;Assumptions!$F$29,0, $G$140*(BA34+BA37)), 0))</f>
        <v>149.43100000000001</v>
      </c>
      <c r="BB140" s="517">
        <f>+IF(AND($G$158=1,BB13&gt;=$G$159),0, IF(BB13&lt;=Assumptions!$L$17, IF(BA$152&gt;Assumptions!$F$29,0, $G$140*(BB34+BB37)), 0))</f>
        <v>0</v>
      </c>
      <c r="BC140" s="517">
        <f>+IF(AND($G$158=1,BC13&gt;=$G$159),0, IF(BC13&lt;=Assumptions!$L$17, IF(BB$152&gt;Assumptions!$F$29,0, $G$140*(BC34+BC37)), 0))</f>
        <v>0</v>
      </c>
      <c r="BD140" s="517">
        <f>+IF(AND($G$158=1,BD13&gt;=$G$159),0, IF(BD13&lt;=Assumptions!$L$17, IF(BC$152&gt;Assumptions!$F$29,0, $G$140*(BD34+BD37)), 0))</f>
        <v>0</v>
      </c>
      <c r="BE140" s="517">
        <f>+IF(AND($G$158=1,BE13&gt;=$G$159),0, IF(BE13&lt;=Assumptions!$L$17, IF(BD$152&gt;Assumptions!$F$29,0, $G$140*(BE34+BE37)), 0))</f>
        <v>0</v>
      </c>
      <c r="BF140" s="517">
        <f>+IF(AND($G$158=1,BF13&gt;=$G$159),0, IF(BF13&lt;=Assumptions!$L$17, IF(BE$152&gt;Assumptions!$F$29,0, $G$140*(BF34+BF37)), 0))</f>
        <v>0</v>
      </c>
      <c r="BG140" s="517">
        <f>+IF(AND($G$158=1,BG13&gt;=$G$159),0, IF(BG13&lt;=Assumptions!$L$17, IF(BF$152&gt;Assumptions!$F$29,0, $G$140*(BG34+BG37)), 0))</f>
        <v>0</v>
      </c>
      <c r="BH140" s="517">
        <f>+IF(AND($G$158=1,BH13&gt;=$G$159),0, IF(BH13&lt;=Assumptions!$L$17, IF(BG$152&gt;Assumptions!$F$29,0, $G$140*(BH34+BH37)), 0))</f>
        <v>0</v>
      </c>
      <c r="BI140" s="517">
        <f>+IF(AND($G$158=1,BI13&gt;=$G$159),0, IF(BI13&lt;=Assumptions!$L$17, IF(BH$152&gt;Assumptions!$F$29,0, $G$140*(BI34+BI37)), 0))</f>
        <v>0</v>
      </c>
      <c r="BJ140" s="517">
        <f>+IF(AND($G$158=1,BJ13&gt;=$G$159),0, IF(BJ13&lt;=Assumptions!$L$17, IF(BI$152&gt;Assumptions!$F$29,0, $G$140*(BJ34+BJ37)), 0))</f>
        <v>0</v>
      </c>
      <c r="BK140" s="517">
        <f>+IF(AND($G$158=1,BK13&gt;=$G$159),0, IF(BK13&lt;=Assumptions!$L$17, IF(BJ$152&gt;Assumptions!$F$29,0, $G$140*(BK34+BK37)), 0))</f>
        <v>0</v>
      </c>
      <c r="BL140" s="517">
        <f ca="1">+IF(AND($G$158=1,BL13&gt;=$G$159),0, IF(BL13&lt;=Assumptions!$L$17, IF(BK$152&gt;Assumptions!$F$29,0, $G$140*(BL34+BL37)), 0))</f>
        <v>0</v>
      </c>
      <c r="BM140" s="517">
        <f ca="1">+IF(AND($G$158=1,BM13&gt;=$G$159),0, IF(BM13&lt;=Assumptions!$L$17, IF(BL$152&gt;Assumptions!$F$29,0, $G$140*(BM34+BM37)), 0))</f>
        <v>0</v>
      </c>
      <c r="BN140" s="517">
        <f ca="1">+IF(AND($G$158=1,BN13&gt;=$G$159),0, IF(BN13&lt;=Assumptions!$L$17, IF(BM$152&gt;Assumptions!$F$29,0, $G$140*(BN34+BN37)), 0))</f>
        <v>0</v>
      </c>
      <c r="BO140" s="517">
        <f ca="1">+IF(AND($G$158=1,BO13&gt;=$G$159),0, IF(BO13&lt;=Assumptions!$L$17, IF(BN$152&gt;Assumptions!$F$29,0, $G$140*(BO34+BO37)), 0))</f>
        <v>0</v>
      </c>
      <c r="BP140" s="517">
        <f ca="1">+IF(AND($G$158=1,BP13&gt;=$G$159),0, IF(BP13&lt;=Assumptions!$L$17, IF(BO$152&gt;Assumptions!$F$29,0, $G$140*(BP34+BP37)), 0))</f>
        <v>0</v>
      </c>
      <c r="BQ140" s="517">
        <f ca="1">+IF(AND($G$158=1,BQ13&gt;=$G$159),0, IF(BQ13&lt;=Assumptions!$L$17, IF(BP$152&gt;Assumptions!$F$29,0, $G$140*(BQ34+BQ37)), 0))</f>
        <v>0</v>
      </c>
      <c r="BR140" s="517">
        <f ca="1">+IF(AND($G$158=1,BR13&gt;=$G$159),0, IF(BR13&lt;=Assumptions!$L$17, IF(BQ$152&gt;Assumptions!$F$29,0, $G$140*(BR34+BR37)), 0))</f>
        <v>0</v>
      </c>
      <c r="BS140" s="517">
        <f>+IF(AND($G$158=1,BS13&gt;=$G$159),0, IF(BS13&lt;=Assumptions!$L$17, IF(BR$152&gt;Assumptions!$F$29,0, $G$140*(BS34+BS37)), 0))</f>
        <v>0</v>
      </c>
      <c r="BT140" s="951">
        <f>+IF(AND($G$158=1,BT13&gt;=$G$159),0, IF(BT13&lt;=Assumptions!$L$17, IF(BS$152&gt;Assumptions!$F$62,0, $G$140*(BT34+BT37)), 0))</f>
        <v>0</v>
      </c>
      <c r="BU140" s="517">
        <f>+IF(AND($G$158=1,BU13&gt;=$G$159),0, IF(BU13&lt;=Assumptions!$L$17, IF(BT$152&gt;Assumptions!$F$62,0, $G$140*(BU34+BU37)), 0))</f>
        <v>0</v>
      </c>
      <c r="BV140" s="517">
        <f>+IF(AND($G$158=1,BV13&gt;=$G$159),0, IF(BV13&lt;=Assumptions!$L$17, IF(BU$152&gt;Assumptions!$F$62,0, $G$140*(BV34+BV37)), 0))</f>
        <v>0</v>
      </c>
      <c r="BW140" s="517">
        <f>+IF(AND($G$158=1,BW13&gt;=$G$159),0, IF(BW13&lt;=Assumptions!$L$17, IF(BV$152&gt;Assumptions!$F$62,0, $G$140*(BW34+BW37)), 0))</f>
        <v>0</v>
      </c>
      <c r="BX140" s="517">
        <f>+IF(AND($G$158=1,BX13&gt;=$G$159),0, IF(BX13&lt;=Assumptions!$L$17, IF(BW$152&gt;Assumptions!$F$62,0, $G$140*(BX34+BX37)), 0))</f>
        <v>0</v>
      </c>
      <c r="BY140" s="517">
        <f>+IF(AND($G$158=1,BY13&gt;=$G$159),0, IF(BY13&lt;=Assumptions!$L$17, IF(BX$152&gt;Assumptions!$F$62,0, $G$140*(BY34+BY37)), 0))</f>
        <v>0</v>
      </c>
      <c r="BZ140" s="517">
        <f>+IF(AND($G$158=1,BZ13&gt;=$G$159),0, IF(BZ13&lt;=Assumptions!$L$17, IF(BY$152&gt;Assumptions!$F$62,0, $G$140*(BZ34+BZ37)), 0))</f>
        <v>0</v>
      </c>
      <c r="CA140" s="517">
        <f>+IF(AND($G$158=1,CA13&gt;=$G$159),0, IF(CA13&lt;=Assumptions!$L$17, IF(BZ$152&gt;Assumptions!$F$62,0, $G$140*(CA34+CA37)), 0))</f>
        <v>0</v>
      </c>
      <c r="CB140" s="517">
        <f>+IF(AND($G$158=1,CB13&gt;=$G$159),0, IF(CB13&lt;=Assumptions!$L$17, IF(CA$152&gt;Assumptions!$F$62,0, $G$140*(CB34+CB37)), 0))</f>
        <v>0</v>
      </c>
      <c r="CC140" s="517">
        <f>+IF(AND($G$158=1,CC13&gt;=$G$159),0, IF(CC13&lt;=Assumptions!$L$17, IF(CB$152&gt;Assumptions!$F$62,0, $G$140*(CC34+CC37)), 0))</f>
        <v>0</v>
      </c>
      <c r="CD140" s="517">
        <f>+IF(AND($G$158=1,CD13&gt;=$G$159),0, IF(CD13&lt;=Assumptions!$L$17, IF(CC$152&gt;Assumptions!$F$62,0, $G$140*(CD34+CD37)), 0))</f>
        <v>0</v>
      </c>
      <c r="CE140" s="517">
        <f>+IF(AND($G$158=1,CE13&gt;=$G$159),0, IF(CE13&lt;=Assumptions!$L$17, IF(CD$152&gt;Assumptions!$F$62,0, $G$140*(CE34+CE37)), 0))</f>
        <v>0</v>
      </c>
      <c r="CF140" s="517">
        <f>+IF(AND($G$158=1,CF13&gt;=$G$159),0, IF(CF13&lt;=Assumptions!$L$17, IF(CE$152&gt;Assumptions!$F$62,0, $G$140*(CF34+CF37)), 0))</f>
        <v>0</v>
      </c>
      <c r="CG140" s="517">
        <f>+IF(AND($G$158=1,CG13&gt;=$G$159),0, IF(CG13&lt;=Assumptions!$L$17, IF(CF$152&gt;Assumptions!$F$62,0, $G$140*(CG34+CG37)), 0))</f>
        <v>0</v>
      </c>
      <c r="CH140" s="517">
        <f>+IF(AND($G$158=1,CH13&gt;=$G$159),0, IF(CH13&lt;=Assumptions!$L$17, IF(CG$152&gt;Assumptions!$F$62,0, $G$140*(CH34+CH37)), 0))</f>
        <v>0</v>
      </c>
      <c r="CI140" s="517">
        <f>+IF(AND($G$158=1,CI13&gt;=$G$159),0, IF(CI13&lt;=Assumptions!$L$17, IF(CH$152&gt;Assumptions!$F$62,0, $G$140*(CI34+CI37)), 0))</f>
        <v>0</v>
      </c>
      <c r="CJ140" s="517">
        <f>+IF(AND($G$158=1,CJ13&gt;=$G$159),0, IF(CJ13&lt;=Assumptions!$L$17, IF(CI$152&gt;Assumptions!$F$62,0, $G$140*(CJ34+CJ37)), 0))</f>
        <v>0</v>
      </c>
      <c r="CK140" s="517">
        <f>+IF(AND($G$158=1,CK13&gt;=$G$159),0, IF(CK13&lt;=Assumptions!$L$17, IF(CJ$152&gt;Assumptions!$F$62,0, $G$140*(CK34+CK37)), 0))</f>
        <v>0</v>
      </c>
      <c r="CL140" s="517">
        <f>+IF(AND($G$158=1,CL13&gt;=$G$159),0, IF(CL13&lt;=Assumptions!$L$17, IF(CK$152&gt;Assumptions!$F$62,0, $G$140*(CL34+CL37)), 0))</f>
        <v>0</v>
      </c>
      <c r="CM140" s="517">
        <f>+IF(AND($G$158=1,CM13&gt;=$G$159),0, IF(CM13&lt;=Assumptions!$L$17, IF(CL$152&gt;Assumptions!$F$62,0, $G$140*(CM34+CM37)), 0))</f>
        <v>0</v>
      </c>
      <c r="CN140" s="517">
        <f>+IF(AND($G$158=1,CN13&gt;=$G$159),0, IF(CN13&lt;=Assumptions!$L$17, IF(CM$152&gt;Assumptions!$F$62,0, $G$140*(CN34+CN37)), 0))</f>
        <v>0</v>
      </c>
      <c r="CO140" s="517">
        <f>+IF(AND($G$158=1,CO13&gt;=$G$159),0, IF(CO13&lt;=Assumptions!$L$17, IF(CN$152&gt;Assumptions!$F$62,0, $G$140*(CO34+CO37)), 0))</f>
        <v>0</v>
      </c>
      <c r="CP140" s="517">
        <f>+IF(AND($G$158=1,CP13&gt;=$G$159),0, IF(CP13&lt;=Assumptions!$L$17, IF(CO$152&gt;Assumptions!$F$62,0, $G$140*(CP34+CP37)), 0))</f>
        <v>0</v>
      </c>
      <c r="CQ140" s="517">
        <f>+IF(AND($G$158=1,CQ13&gt;=$G$159),0, IF(CQ13&lt;=Assumptions!$L$17, IF(CP$152&gt;Assumptions!$F$62,0, $G$140*(CQ34+CQ37)), 0))</f>
        <v>0</v>
      </c>
      <c r="CR140" s="517">
        <f>+IF(AND($G$158=1,CR13&gt;=$G$159),0, IF(CR13&lt;=Assumptions!$L$17, IF(CQ$152&gt;Assumptions!$F$62,0, $G$140*(CR34+CR37)), 0))</f>
        <v>0</v>
      </c>
      <c r="CS140" s="517">
        <f>+IF(AND($G$158=1,CS13&gt;=$G$159),0, IF(CS13&lt;=Assumptions!$L$17, IF(CR$152&gt;Assumptions!$F$62,0, $G$140*(CS34+CS37)), 0))</f>
        <v>0</v>
      </c>
      <c r="CT140" s="517">
        <f>+IF(AND($G$158=1,CT13&gt;=$G$159),0, IF(CT13&lt;=Assumptions!$L$17, IF(CS$152&gt;Assumptions!$F$62,0, $G$140*(CT34+CT37)), 0))</f>
        <v>0</v>
      </c>
      <c r="CU140" s="517">
        <f>+IF(AND($G$158=1,CU13&gt;=$G$159),0, IF(CU13&lt;=Assumptions!$L$17, IF(CT$152&gt;Assumptions!$F$62,0, $G$140*(CU34+CU37)), 0))</f>
        <v>0</v>
      </c>
      <c r="CV140" s="517">
        <f>+IF(AND($G$158=1,CV13&gt;=$G$159),0, IF(CV13&lt;=Assumptions!$L$17, IF(CU$152&gt;Assumptions!$F$62,0, $G$140*(CV34+CV37)), 0))</f>
        <v>0</v>
      </c>
      <c r="CW140" s="517">
        <f>+IF(AND($G$158=1,CW13&gt;=$G$159),0, IF(CW13&lt;=Assumptions!$L$17, IF(CV$152&gt;Assumptions!$F$62,0, $G$140*(CW34+CW37)), 0))</f>
        <v>0</v>
      </c>
      <c r="CX140" s="517">
        <f>+IF(AND($G$158=1,CX13&gt;=$G$159),0, IF(CX13&lt;=Assumptions!$L$17, IF(CW$152&gt;Assumptions!$F$62,0, $G$140*(CX34+CX37)), 0))</f>
        <v>0</v>
      </c>
      <c r="CY140" s="517">
        <f>+IF(AND($G$158=1,CY13&gt;=$G$159),0, IF(CY13&lt;=Assumptions!$L$17, IF(CX$152&gt;Assumptions!$F$62,0, $G$140*(CY34+CY37)), 0))</f>
        <v>0</v>
      </c>
      <c r="CZ140" s="517">
        <f>+IF(AND($G$158=1,CZ13&gt;=$G$159),0, IF(CZ13&lt;=Assumptions!$L$17, IF(CY$152&gt;Assumptions!$F$62,0, $G$140*(CZ34+CZ37)), 0))</f>
        <v>0</v>
      </c>
      <c r="DA140" s="517">
        <f>+IF(AND($G$158=1,DA13&gt;=$G$159),0, IF(DA13&lt;=Assumptions!$L$17, IF(CZ$152&gt;Assumptions!$F$62,0, $G$140*(DA34+DA37)), 0))</f>
        <v>0</v>
      </c>
      <c r="DB140" s="517">
        <f>+IF(AND($G$158=1,DB13&gt;=$G$159),0, IF(DB13&lt;=Assumptions!$L$17, IF(DA$152&gt;Assumptions!$F$62,0, $G$140*(DB34+DB37)), 0))</f>
        <v>0</v>
      </c>
      <c r="DC140" s="517">
        <f>+IF(AND($G$158=1,DC13&gt;=$G$159),0, IF(DC13&lt;=Assumptions!$L$17, IF(DB$152&gt;Assumptions!$F$62,0, $G$140*(DC34+DC37)), 0))</f>
        <v>0</v>
      </c>
      <c r="DD140" s="517">
        <f>+IF(AND($G$158=1,DD13&gt;=$G$159),0, IF(DD13&lt;=Assumptions!$L$17, IF(DC$152&gt;Assumptions!$F$62,0, $G$140*(DD34+DD37)), 0))</f>
        <v>0</v>
      </c>
      <c r="DE140" s="517">
        <f>+IF(AND($G$158=1,DE13&gt;=$G$159),0, IF(DE13&lt;=Assumptions!$L$17, IF(DD$152&gt;Assumptions!$F$62,0, $G$140*(DE34+DE37)), 0))</f>
        <v>0</v>
      </c>
      <c r="DF140" s="517">
        <f>+IF(AND($G$158=1,DF13&gt;=$G$159),0, IF(DF13&lt;=Assumptions!$L$17, IF(DE$152&gt;Assumptions!$F$62,0, $G$140*(DF34+DF37)), 0))</f>
        <v>0</v>
      </c>
      <c r="DG140" s="517">
        <f>+IF(AND($G$158=1,DG13&gt;=$G$159),0, IF(DG13&lt;=Assumptions!$L$17, IF(DF$152&gt;Assumptions!$F$62,0, $G$140*(DG34+DG37)), 0))</f>
        <v>0</v>
      </c>
      <c r="DH140" s="517">
        <f>+IF(AND($G$158=1,DH13&gt;=$G$159),0, IF(DH13&lt;=Assumptions!$L$17, IF(DG$152&gt;Assumptions!$F$62,0, $G$140*(DH34+DH37)), 0))</f>
        <v>0</v>
      </c>
      <c r="DI140" s="517">
        <f>+IF(AND($G$158=1,DI13&gt;=$G$159),0, IF(DI13&lt;=Assumptions!$L$17, IF(DH$152&gt;Assumptions!$F$62,0, $G$140*(DI34+DI37)), 0))</f>
        <v>0</v>
      </c>
      <c r="DJ140" s="517">
        <f>+IF(AND($G$158=1,DJ13&gt;=$G$159),0, IF(DJ13&lt;=Assumptions!$L$17, IF(DI$152&gt;Assumptions!$F$62,0, $G$140*(DJ34+DJ37)), 0))</f>
        <v>0</v>
      </c>
      <c r="DK140" s="517">
        <f>+IF(AND($G$158=1,DK13&gt;=$G$159),0, IF(DK13&lt;=Assumptions!$L$17, IF(DJ$152&gt;Assumptions!$F$62,0, $G$140*(DK34+DK37)), 0))</f>
        <v>0</v>
      </c>
      <c r="DL140" s="517">
        <f>+IF(AND($G$158=1,DL13&gt;=$G$159),0, IF(DL13&lt;=Assumptions!$L$17, IF(DK$152&gt;Assumptions!$F$62,0, $G$140*(DL34+DL37)), 0))</f>
        <v>0</v>
      </c>
      <c r="DM140" s="517">
        <f>+IF(AND($G$158=1,DM13&gt;=$G$159),0, IF(DM13&lt;=Assumptions!$L$17, IF(DL$152&gt;Assumptions!$F$62,0, $G$140*(DM34+DM37)), 0))</f>
        <v>0</v>
      </c>
      <c r="DN140" s="517">
        <f>+IF(AND($G$158=1,DN13&gt;=$G$159),0, IF(DN13&lt;=Assumptions!$L$17, IF(DM$152&gt;Assumptions!$F$62,0, $G$140*(DN34+DN37)), 0))</f>
        <v>0</v>
      </c>
      <c r="DO140" s="517">
        <f>+IF(AND($G$158=1,DO13&gt;=$G$159),0, IF(DO13&lt;=Assumptions!$L$17, IF(DN$152&gt;Assumptions!$F$62,0, $G$140*(DO34+DO37)), 0))</f>
        <v>0</v>
      </c>
      <c r="DP140" s="517">
        <f>+IF(AND($G$158=1,DP13&gt;=$G$159),0, IF(DP13&lt;=Assumptions!$L$17, IF(DO$152&gt;Assumptions!$F$62,0, $G$140*(DP34+DP37)), 0))</f>
        <v>0</v>
      </c>
      <c r="DQ140" s="517">
        <f>+IF(AND($G$158=1,DQ13&gt;=$G$159),0, IF(DQ13&lt;=Assumptions!$L$17, IF(DP$152&gt;Assumptions!$F$62,0, $G$140*(DQ34+DQ37)), 0))</f>
        <v>0</v>
      </c>
      <c r="DR140" s="517">
        <f>+IF(AND($G$158=1,DR13&gt;=$G$159),0, IF(DR13&lt;=Assumptions!$L$17, IF(DQ$152&gt;Assumptions!$F$62,0, $G$140*(DR34+DR37)), 0))</f>
        <v>0</v>
      </c>
      <c r="DS140" s="517">
        <f>+IF(AND($G$158=1,DS13&gt;=$G$159),0, IF(DS13&lt;=Assumptions!$L$17, IF(DR$152&gt;Assumptions!$F$62,0, $G$140*(DS34+DS37)), 0))</f>
        <v>0</v>
      </c>
      <c r="DT140" s="517">
        <f>+IF(AND($G$158=1,DT13&gt;=$G$159),0, IF(DT13&lt;=Assumptions!$L$17, IF(DS$152&gt;Assumptions!$F$62,0, $G$140*(DT34+DT37)), 0))</f>
        <v>0</v>
      </c>
      <c r="DU140" s="517">
        <f>+IF(AND($G$158=1,DU13&gt;=$G$159),0, IF(DU13&lt;=Assumptions!$L$17, IF(DT$152&gt;Assumptions!$F$62,0, $G$140*(DU34+DU37)), 0))</f>
        <v>0</v>
      </c>
      <c r="DV140" s="517">
        <f>+IF(AND($G$158=1,DV13&gt;=$G$159),0, IF(DV13&lt;=Assumptions!$L$17, IF(DU$152&gt;Assumptions!$F$62,0, $G$140*(DV34+DV37)), 0))</f>
        <v>0</v>
      </c>
      <c r="DW140" s="517">
        <f>+IF(AND($G$158=1,DW13&gt;=$G$159),0, IF(DW13&lt;=Assumptions!$L$17, IF(DV$152&gt;Assumptions!$F$62,0, $G$140*(DW34+DW37)), 0))</f>
        <v>0</v>
      </c>
      <c r="DX140" s="517">
        <f>+IF(AND($G$158=1,DX13&gt;=$G$159),0, IF(DX13&lt;=Assumptions!$L$17, IF(DW$152&gt;Assumptions!$F$62,0, $G$140*(DX34+DX37)), 0))</f>
        <v>0</v>
      </c>
      <c r="DY140" s="517">
        <f>+IF(AND($G$158=1,DY13&gt;=$G$159),0, IF(DY13&lt;=Assumptions!$L$17, IF(DX$152&gt;Assumptions!$F$62,0, $G$140*(DY34+DY37)), 0))</f>
        <v>0</v>
      </c>
      <c r="DZ140" s="517">
        <f>+IF(AND($G$158=1,DZ13&gt;=$G$159),0, IF(DZ13&lt;=Assumptions!$L$17, IF(DY$152&gt;Assumptions!$F$62,0, $G$140*(DZ34+DZ37)), 0))</f>
        <v>0</v>
      </c>
      <c r="EA140" s="517">
        <f>+IF(AND($G$158=1,EA13&gt;=$G$159),0, IF(EA13&lt;=Assumptions!$L$17, IF(DZ$152&gt;Assumptions!$F$62,0, $G$140*(EA34+EA37)), 0))</f>
        <v>0</v>
      </c>
      <c r="EB140" s="517">
        <f>+IF(AND($G$158=1,EB13&gt;=$G$159),0, IF(EB13&lt;=Assumptions!$L$17, IF(EA$152&gt;Assumptions!$F$62,0, $G$140*(EB34+EB37)), 0))</f>
        <v>0</v>
      </c>
      <c r="EC140" s="517">
        <f>+IF(AND($G$158=1,EC13&gt;=$G$159),0, IF(EC13&lt;=Assumptions!$L$17, IF(EB$152&gt;Assumptions!$F$62,0, $G$140*(EC34+EC37)), 0))</f>
        <v>0</v>
      </c>
      <c r="ED140" s="517">
        <f>+IF(AND($G$158=1,ED13&gt;=$G$159),0, IF(ED13&lt;=Assumptions!$L$17, IF(EC$152&gt;Assumptions!$F$62,0, $G$140*(ED34+ED37)), 0))</f>
        <v>0</v>
      </c>
      <c r="EE140" s="517">
        <f>+IF(AND($G$158=1,EE13&gt;=$G$159),0, IF(EE13&lt;=Assumptions!$L$17, IF(ED$152&gt;Assumptions!$F$62,0, $G$140*(EE34+EE37)), 0))</f>
        <v>0</v>
      </c>
      <c r="EF140" s="517">
        <f>+IF(AND($G$158=1,EF13&gt;=$G$159),0, IF(EF13&lt;=Assumptions!$L$17, IF(EE$152&gt;Assumptions!$F$62,0, $G$140*(EF34+EF37)), 0))</f>
        <v>0</v>
      </c>
      <c r="EG140" s="517">
        <f>+IF(AND($G$158=1,EG13&gt;=$G$159),0, IF(EG13&lt;=Assumptions!$L$17, IF(EF$152&gt;Assumptions!$F$62,0, $G$140*(EG34+EG37)), 0))</f>
        <v>0</v>
      </c>
      <c r="EH140" s="517">
        <f>+IF(AND($G$158=1,EH13&gt;=$G$159),0, IF(EH13&lt;=Assumptions!$L$17, IF(EG$152&gt;Assumptions!$F$62,0, $G$140*(EH34+EH37)), 0))</f>
        <v>0</v>
      </c>
      <c r="EI140" s="517">
        <f>+IF(AND($G$158=1,EI13&gt;=$G$159),0, IF(EI13&lt;=Assumptions!$L$17, IF(EH$152&gt;Assumptions!$F$62,0, $G$140*(EI34+EI37)), 0))</f>
        <v>0</v>
      </c>
      <c r="EJ140" s="517">
        <f>+IF(AND($G$158=1,EJ13&gt;=$G$159),0, IF(EJ13&lt;=Assumptions!$L$17, IF(EI$152&gt;Assumptions!$F$62,0, $G$140*(EJ34+EJ37)), 0))</f>
        <v>0</v>
      </c>
      <c r="EK140" s="517">
        <f>+IF(AND($G$158=1,EK13&gt;=$G$159),0, IF(EK13&lt;=Assumptions!$L$17, IF(EJ$152&gt;Assumptions!$F$62,0, $G$140*(EK34+EK37)), 0))</f>
        <v>0</v>
      </c>
      <c r="EL140" s="517">
        <f>+IF(AND($G$158=1,EL13&gt;=$G$159),0, IF(EL13&lt;=Assumptions!$L$17, IF(EK$152&gt;Assumptions!$F$62,0, $G$140*(EL34+EL37)), 0))</f>
        <v>0</v>
      </c>
      <c r="EM140" s="517">
        <f>+IF(AND($G$158=1,EM13&gt;=$G$159),0, IF(EM13&lt;=Assumptions!$L$17, IF(EL$152&gt;Assumptions!$F$62,0, $G$140*(EM34+EM37)), 0))</f>
        <v>0</v>
      </c>
      <c r="EN140" s="517">
        <f>+IF(AND($G$158=1,EN13&gt;=$G$159),0, IF(EN13&lt;=Assumptions!$L$17, IF(EM$152&gt;Assumptions!$F$62,0, $G$140*(EN34+EN37)), 0))</f>
        <v>0</v>
      </c>
      <c r="EO140" s="517">
        <f>+IF(AND($G$158=1,EO13&gt;=$G$159),0, IF(EO13&lt;=Assumptions!$L$17, IF(EN$152&gt;Assumptions!$F$62,0, $G$140*(EO34+EO37)), 0))</f>
        <v>0</v>
      </c>
      <c r="EP140" s="517">
        <f>+IF(AND($G$158=1,EP13&gt;=$G$159),0, IF(EP13&lt;=Assumptions!$L$17, IF(EO$152&gt;Assumptions!$F$62,0, $G$140*(EP34+EP37)), 0))</f>
        <v>0</v>
      </c>
      <c r="EQ140" s="517">
        <f>+IF(AND($G$158=1,EQ13&gt;=$G$159),0, IF(EQ13&lt;=Assumptions!$L$17, IF(EP$152&gt;Assumptions!$F$62,0, $G$140*(EQ34+EQ37)), 0))</f>
        <v>0</v>
      </c>
      <c r="ER140" s="517">
        <f>+IF(AND($G$158=1,ER13&gt;=$G$159),0, IF(ER13&lt;=Assumptions!$L$17, IF(EQ$152&gt;Assumptions!$F$62,0, $G$140*(ER34+ER37)), 0))</f>
        <v>0</v>
      </c>
      <c r="ES140" s="517">
        <f>+IF(AND($G$158=1,ES13&gt;=$G$159),0, IF(ES13&lt;=Assumptions!$L$17, IF(ER$152&gt;Assumptions!$F$62,0, $G$140*(ES34+ES37)), 0))</f>
        <v>0</v>
      </c>
      <c r="ET140" s="517">
        <f>+IF(AND($G$158=1,ET13&gt;=$G$159),0, IF(ET13&lt;=Assumptions!$L$17, IF(ES$152&gt;Assumptions!$F$62,0, $G$140*(ET34+ET37)), 0))</f>
        <v>0</v>
      </c>
      <c r="EU140" s="517">
        <f>+IF(AND($G$158=1,EU13&gt;=$G$159),0, IF(EU13&lt;=Assumptions!$L$17, IF(ET$152&gt;Assumptions!$F$62,0, $G$140*(EU34+EU37)), 0))</f>
        <v>0</v>
      </c>
      <c r="EV140" s="517">
        <f>+IF(AND($G$158=1,EV13&gt;=$G$159),0, IF(EV13&lt;=Assumptions!$L$17, IF(EU$152&gt;Assumptions!$F$62,0, $G$140*(EV34+EV37)), 0))</f>
        <v>0</v>
      </c>
      <c r="EW140" s="517">
        <f>+IF(AND($G$158=1,EW13&gt;=$G$159),0, IF(EW13&lt;=Assumptions!$L$17, IF(EV$152&gt;Assumptions!$F$62,0, $G$140*(EW34+EW37)), 0))</f>
        <v>0</v>
      </c>
      <c r="EX140" s="517">
        <f>+IF(AND($G$158=1,EX13&gt;=$G$159),0, IF(EX13&lt;=Assumptions!$L$17, IF(EW$152&gt;Assumptions!$F$62,0, $G$140*(EX34+EX37)), 0))</f>
        <v>0</v>
      </c>
      <c r="EY140" s="517">
        <f>+IF(AND($G$158=1,EY13&gt;=$G$159),0, IF(EY13&lt;=Assumptions!$L$17, IF(EX$152&gt;Assumptions!$F$62,0, $G$140*(EY34+EY37)), 0))</f>
        <v>0</v>
      </c>
      <c r="EZ140" s="517">
        <f>+IF(AND($G$158=1,EZ13&gt;=$G$159),0, IF(EZ13&lt;=Assumptions!$L$17, IF(EY$152&gt;Assumptions!$F$62,0, $G$140*(EZ34+EZ37)), 0))</f>
        <v>0</v>
      </c>
      <c r="FA140" s="517">
        <f>+IF(AND($G$158=1,FA13&gt;=$G$159),0, IF(FA13&lt;=Assumptions!$L$17, IF(EZ$152&gt;Assumptions!$F$62,0, $G$140*(FA34+FA37)), 0))</f>
        <v>0</v>
      </c>
      <c r="FB140" s="517">
        <f>+IF(AND($G$158=1,FB13&gt;=$G$159),0, IF(FB13&lt;=Assumptions!$L$17, IF(FA$152&gt;Assumptions!$F$62,0, $G$140*(FB34+FB37)), 0))</f>
        <v>0</v>
      </c>
      <c r="FC140" s="517">
        <f>+IF(AND($G$158=1,FC13&gt;=$G$159),0, IF(FC13&lt;=Assumptions!$L$17, IF(FB$152&gt;Assumptions!$F$62,0, $G$140*(FC34+FC37)), 0))</f>
        <v>0</v>
      </c>
      <c r="FD140" s="517">
        <f>+IF(AND($G$158=1,FD13&gt;=$G$159),0, IF(FD13&lt;=Assumptions!$L$17, IF(FC$152&gt;Assumptions!$F$62,0, $G$140*(FD34+FD37)), 0))</f>
        <v>0</v>
      </c>
      <c r="FE140" s="517">
        <f>+IF(AND($G$158=1,FE13&gt;=$G$159),0, IF(FE13&lt;=Assumptions!$L$17, IF(FD$152&gt;Assumptions!$F$62,0, $G$140*(FE34+FE37)), 0))</f>
        <v>0</v>
      </c>
      <c r="FF140" s="517">
        <f>+IF(AND($G$158=1,FF13&gt;=$G$159),0, IF(FF13&lt;=Assumptions!$L$17, IF(FE$152&gt;Assumptions!$F$62,0, $G$140*(FF34+FF37)), 0))</f>
        <v>0</v>
      </c>
      <c r="FG140" s="517">
        <f>+IF(AND($G$158=1,FG13&gt;=$G$159),0, IF(FG13&lt;=Assumptions!$L$17, IF(FF$152&gt;Assumptions!$F$62,0, $G$140*(FG34+FG37)), 0))</f>
        <v>0</v>
      </c>
      <c r="FH140" s="517">
        <f>+IF(AND($G$158=1,FH13&gt;=$G$159),0, IF(FH13&lt;=Assumptions!$L$17, IF(FG$152&gt;Assumptions!$F$62,0, $G$140*(FH34+FH37)), 0))</f>
        <v>0</v>
      </c>
      <c r="FI140" s="517">
        <f>+IF(AND($G$158=1,FI13&gt;=$G$159),0, IF(FI13&lt;=Assumptions!$L$17, IF(FH$152&gt;Assumptions!$F$62,0, $G$140*(FI34+FI37)), 0))</f>
        <v>0</v>
      </c>
      <c r="FJ140" s="517">
        <f>+IF(AND($G$158=1,FJ13&gt;=$G$159),0, IF(FJ13&lt;=Assumptions!$L$17, IF(FI$152&gt;Assumptions!$F$62,0, $G$140*(FJ34+FJ37)), 0))</f>
        <v>0</v>
      </c>
      <c r="FK140" s="517">
        <f>+IF(AND($G$158=1,FK13&gt;=$G$159),0, IF(FK13&lt;=Assumptions!$L$17, IF(FJ$152&gt;Assumptions!$F$62,0, $G$140*(FK34+FK37)), 0))</f>
        <v>0</v>
      </c>
      <c r="FL140" s="517">
        <f>+IF(AND($G$158=1,FL13&gt;=$G$159),0, IF(FL13&lt;=Assumptions!$L$17, IF(FK$152&gt;Assumptions!$F$62,0, $G$140*(FL34+FL37)), 0))</f>
        <v>0</v>
      </c>
      <c r="FM140" s="517">
        <f>+IF(AND($G$158=1,FM13&gt;=$G$159),0, IF(FM13&lt;=Assumptions!$L$17, IF(FL$152&gt;Assumptions!$F$62,0, $G$140*(FM34+FM37)), 0))</f>
        <v>0</v>
      </c>
      <c r="FN140" s="517">
        <f>+IF(AND($G$158=1,FN13&gt;=$G$159),0, IF(FN13&lt;=Assumptions!$L$17, IF(FM$152&gt;Assumptions!$F$62,0, $G$140*(FN34+FN37)), 0))</f>
        <v>0</v>
      </c>
      <c r="FO140" s="517">
        <f>+IF(AND($G$158=1,FO13&gt;=$G$159),0, IF(FO13&lt;=Assumptions!$L$17, IF(FN$152&gt;Assumptions!$F$62,0, $G$140*(FO34+FO37)), 0))</f>
        <v>0</v>
      </c>
      <c r="FP140" s="517">
        <f>+IF(AND($G$158=1,FP13&gt;=$G$159),0, IF(FP13&lt;=Assumptions!$L$17, IF(FO$152&gt;Assumptions!$F$62,0, $G$140*(FP34+FP37)), 0))</f>
        <v>0</v>
      </c>
      <c r="FQ140" s="517">
        <f>+IF(AND($G$158=1,FQ13&gt;=$G$159),0, IF(FQ13&lt;=Assumptions!$L$17, IF(FP$152&gt;Assumptions!$F$62,0, $G$140*(FQ34+FQ37)), 0))</f>
        <v>0</v>
      </c>
      <c r="FR140" s="517">
        <f>+IF(AND($G$158=1,FR13&gt;=$G$159),0, IF(FR13&lt;=Assumptions!$L$17, IF(FQ$152&gt;Assumptions!$F$62,0, $G$140*(FR34+FR37)), 0))</f>
        <v>0</v>
      </c>
      <c r="FS140" s="517">
        <f>+IF(AND($G$158=1,FS13&gt;=$G$159),0, IF(FS13&lt;=Assumptions!$L$17, IF(FR$152&gt;Assumptions!$F$62,0, $G$140*(FS34+FS37)), 0))</f>
        <v>0</v>
      </c>
      <c r="FT140" s="517">
        <f>+IF(AND($G$158=1,FT13&gt;=$G$159),0, IF(FT13&lt;=Assumptions!$L$17, IF(FS$152&gt;Assumptions!$F$62,0, $G$140*(FT34+FT37)), 0))</f>
        <v>0</v>
      </c>
      <c r="FU140" s="517">
        <f>+IF(AND($G$158=1,FU13&gt;=$G$159),0, IF(FU13&lt;=Assumptions!$L$17, IF(FT$152&gt;Assumptions!$F$62,0, $G$140*(FU34+FU37)), 0))</f>
        <v>0</v>
      </c>
      <c r="FV140" s="517">
        <f>+IF(AND($G$158=1,FV13&gt;=$G$159),0, IF(FV13&lt;=Assumptions!$L$17, IF(FU$152&gt;Assumptions!$F$62,0, $G$140*(FV34+FV37)), 0))</f>
        <v>0</v>
      </c>
      <c r="FW140" s="517">
        <f>+IF(AND($G$158=1,FW13&gt;=$G$159),0, IF(FW13&lt;=Assumptions!$L$17, IF(FV$152&gt;Assumptions!$F$62,0, $G$140*(FW34+FW37)), 0))</f>
        <v>0</v>
      </c>
      <c r="FX140" s="517">
        <f>+IF(AND($G$158=1,FX13&gt;=$G$159),0, IF(FX13&lt;=Assumptions!$L$17, IF(FW$152&gt;Assumptions!$F$62,0, $G$140*(FX34+FX37)), 0))</f>
        <v>0</v>
      </c>
      <c r="FY140" s="517">
        <f>+IF(AND($G$158=1,FY13&gt;=$G$159),0, IF(FY13&lt;=Assumptions!$L$17, IF(FX$152&gt;Assumptions!$F$62,0, $G$140*(FY34+FY37)), 0))</f>
        <v>0</v>
      </c>
      <c r="FZ140" s="517">
        <f>+IF(AND($G$158=1,FZ13&gt;=$G$159),0, IF(FZ13&lt;=Assumptions!$L$17, IF(FY$152&gt;Assumptions!$F$62,0, $G$140*(FZ34+FZ37)), 0))</f>
        <v>0</v>
      </c>
      <c r="GA140" s="517">
        <f>+IF(AND($G$158=1,GA13&gt;=$G$159),0, IF(GA13&lt;=Assumptions!$L$17, IF(FZ$152&gt;Assumptions!$F$62,0, $G$140*(GA34+GA37)), 0))</f>
        <v>0</v>
      </c>
      <c r="GB140" s="517">
        <f>+IF(AND($G$158=1,GB13&gt;=$G$159),0, IF(GB13&lt;=Assumptions!$L$17, IF(GA$152&gt;Assumptions!$F$62,0, $G$140*(GB34+GB37)), 0))</f>
        <v>0</v>
      </c>
      <c r="GC140" s="517">
        <f>+IF(AND($G$158=1,GC13&gt;=$G$159),0, IF(GC13&lt;=Assumptions!$L$17, IF(GB$152&gt;Assumptions!$F$62,0, $G$140*(GC34+GC37)), 0))</f>
        <v>0</v>
      </c>
      <c r="GD140" s="517"/>
      <c r="GE140" s="517"/>
      <c r="GF140" s="517"/>
      <c r="GG140" s="517"/>
      <c r="GH140" s="517"/>
      <c r="GI140" s="517"/>
      <c r="GJ140" s="517"/>
      <c r="GK140" s="517"/>
      <c r="GL140" s="517"/>
      <c r="GM140" s="517"/>
      <c r="GN140" s="517"/>
      <c r="GO140" s="517"/>
      <c r="GP140" s="517">
        <f>+IF(AND($G$158=1,GP13&gt;=$G$159),0, IF(GP13&lt;=Assumptions!$L$17, IF(GC$152&gt;Assumptions!$F$29,0, $G$140*(GP34+GP37)), 0))</f>
        <v>0</v>
      </c>
      <c r="GQ140" s="517">
        <f>+IF(AND($G$158=1,GQ13&gt;=$G$159),0, IF(GQ13&lt;=Assumptions!$L$17, IF(GP$152&gt;Assumptions!$F$29,0, $G$140*(GQ34+GQ37)), 0))</f>
        <v>0</v>
      </c>
      <c r="GR140" s="517">
        <f>+IF(AND($G$158=1,GR13&gt;=$G$159),0, IF(GR13&lt;=Assumptions!$L$17, IF(GQ$152&gt;Assumptions!$F$29,0, $G$140*(GR34+GR37)), 0))</f>
        <v>0</v>
      </c>
      <c r="GS140" s="517">
        <f>+IF(AND($G$158=1,GS13&gt;=$G$159),0, IF(GS13&lt;=Assumptions!$L$17, IF(GR$152&gt;Assumptions!$F$29,0, $G$140*(GS34+GS37)), 0))</f>
        <v>0</v>
      </c>
      <c r="GT140" s="517">
        <f>+IF(AND($G$158=1,GT13&gt;=$G$159),0, IF(GT13&lt;=Assumptions!$L$17, IF(GS$152&gt;Assumptions!$F$29,0, $G$140*(GT34+GT37)), 0))</f>
        <v>0</v>
      </c>
      <c r="GU140" s="517"/>
      <c r="GV140" s="517"/>
      <c r="GW140" s="517"/>
      <c r="GX140" s="517"/>
      <c r="GY140" s="517"/>
      <c r="GZ140" s="517"/>
      <c r="HA140" s="517"/>
      <c r="HB140" s="517"/>
      <c r="HC140" s="517"/>
      <c r="HD140" s="517"/>
      <c r="HE140" s="517"/>
      <c r="HF140" s="1" t="s">
        <v>212</v>
      </c>
      <c r="HH140" s="9" t="str">
        <f t="shared" si="954"/>
        <v>TI/LC Holdback Draw</v>
      </c>
      <c r="HI140" s="26"/>
      <c r="HJ140" s="26"/>
      <c r="HK140" s="26"/>
      <c r="HL140" s="132">
        <f t="shared" ca="1" si="1007"/>
        <v>1223.4938952004263</v>
      </c>
      <c r="HM140" s="26"/>
      <c r="HN140" s="133">
        <f t="shared" si="1008"/>
        <v>0</v>
      </c>
      <c r="HO140" s="26">
        <f t="shared" si="1008"/>
        <v>70.989499999999992</v>
      </c>
      <c r="HP140" s="26">
        <f t="shared" si="1008"/>
        <v>229.05237159542833</v>
      </c>
      <c r="HQ140" s="26">
        <f t="shared" si="1008"/>
        <v>407.16956402388382</v>
      </c>
      <c r="HR140" s="26">
        <f t="shared" si="1008"/>
        <v>516.28245958111404</v>
      </c>
      <c r="HS140" s="26">
        <f t="shared" ca="1" si="1008"/>
        <v>0</v>
      </c>
      <c r="HT140" s="26">
        <f t="shared" si="1008"/>
        <v>0</v>
      </c>
      <c r="HU140" s="26">
        <f t="shared" si="1008"/>
        <v>0</v>
      </c>
      <c r="HV140" s="26">
        <f t="shared" si="1008"/>
        <v>0</v>
      </c>
      <c r="HW140"/>
    </row>
    <row r="141" spans="1:231" s="50" customFormat="1" ht="15" outlineLevel="1">
      <c r="A141" s="455"/>
      <c r="B141" s="492" t="s">
        <v>1538</v>
      </c>
      <c r="C141" s="493"/>
      <c r="D141" s="493"/>
      <c r="E141" s="503">
        <f>Assumptions!E48</f>
        <v>1</v>
      </c>
      <c r="F141" s="505">
        <f>Assumptions!F49</f>
        <v>2254.7940000000017</v>
      </c>
      <c r="G141" s="506">
        <f>+Assumptions!E49</f>
        <v>1</v>
      </c>
      <c r="H141" s="952"/>
      <c r="I141" s="507">
        <f ca="1">SUMIF($K$13:$GT$13,"&lt;="&amp;Assumptions!$L$17,'Monthly Cash Flow'!K141:GT141)</f>
        <v>-1224.4617744504212</v>
      </c>
      <c r="J141" s="508"/>
      <c r="K141" s="509">
        <v>0</v>
      </c>
      <c r="L141" s="508">
        <f>IF(SUM(L137:L140)&gt;=Assumptions!$F$29,Assumptions!$F$29-SUM(L137:L140),0)</f>
        <v>0</v>
      </c>
      <c r="M141" s="508">
        <f>IF(SUM(M137:M140)&gt;=Assumptions!$F$29,Assumptions!$F$29-SUM(M137:M140),0)</f>
        <v>0</v>
      </c>
      <c r="N141" s="508">
        <f>IF(SUM(N137:N140)&gt;=Assumptions!$F$29,Assumptions!$F$29-SUM(N137:N140),0)</f>
        <v>0</v>
      </c>
      <c r="O141" s="508">
        <f>IF(SUM(O137:O140)&gt;=Assumptions!$F$29,Assumptions!$F$29-SUM(O137:O140),0)</f>
        <v>0</v>
      </c>
      <c r="P141" s="508">
        <f>IF(SUM(P137:P140)&gt;=Assumptions!$F$29,Assumptions!$F$29-SUM(P137:P140),0)</f>
        <v>0</v>
      </c>
      <c r="Q141" s="508">
        <f>IF(SUM(Q137:Q140)&gt;=Assumptions!$F$29,Assumptions!$F$29-SUM(Q137:Q140),0)</f>
        <v>0</v>
      </c>
      <c r="R141" s="508">
        <f>IF(SUM(R137:R140)&gt;=Assumptions!$F$29,Assumptions!$F$29-SUM(R137:R140),0)</f>
        <v>0</v>
      </c>
      <c r="S141" s="508">
        <f>IF(SUM(S137:S140)&gt;=Assumptions!$F$29,Assumptions!$F$29-SUM(S137:S140),0)</f>
        <v>0</v>
      </c>
      <c r="T141" s="508">
        <f>IF(SUM(T137:T140)&gt;=Assumptions!$F$29,Assumptions!$F$29-SUM(T137:T140),0)</f>
        <v>0</v>
      </c>
      <c r="U141" s="508">
        <f>IF(SUM(U137:U140)&gt;=Assumptions!$F$29,Assumptions!$F$29-SUM(U137:U140),0)</f>
        <v>0</v>
      </c>
      <c r="V141" s="508">
        <f>IF(SUM(V137:V140)&gt;=Assumptions!$F$29,Assumptions!$F$29-SUM(V137:V140),0)</f>
        <v>0</v>
      </c>
      <c r="W141" s="508">
        <f>IF(SUM(W137:W140)&gt;=Assumptions!$F$29,Assumptions!$F$29-SUM(W137:W140),0)</f>
        <v>0</v>
      </c>
      <c r="X141" s="508">
        <f>IF(SUM(X137:X140)&gt;=Assumptions!$F$29,Assumptions!$F$29-SUM(X137:X140),0)</f>
        <v>0</v>
      </c>
      <c r="Y141" s="508">
        <f>IF(SUM(Y137:Y140)&gt;=Assumptions!$F$29,Assumptions!$F$29-SUM(Y137:Y140),0)</f>
        <v>0</v>
      </c>
      <c r="Z141" s="508">
        <f>IF(SUM(Z137:Z140)&gt;=Assumptions!$F$29,Assumptions!$F$29-SUM(Z137:Z140),0)</f>
        <v>0</v>
      </c>
      <c r="AA141" s="508">
        <f>IF(SUM(AA137:AA140)&gt;=Assumptions!$F$29,Assumptions!$F$29-SUM(AA137:AA140),0)</f>
        <v>0</v>
      </c>
      <c r="AB141" s="508">
        <f>IF(SUM(AB137:AB140)&gt;=Assumptions!$F$29,Assumptions!$F$29-SUM(AB137:AB140),0)</f>
        <v>0</v>
      </c>
      <c r="AC141" s="508">
        <f>IF(SUM(AC137:AC140)&gt;=Assumptions!$F$29,Assumptions!$F$29-SUM(AC137:AC140),0)</f>
        <v>0</v>
      </c>
      <c r="AD141" s="508">
        <f>IF(SUM(AD137:AD140)&gt;=Assumptions!$F$29,Assumptions!$F$29-SUM(AD137:AD140),0)</f>
        <v>0</v>
      </c>
      <c r="AE141" s="508">
        <f>IF(SUM(AE137:AE140)&gt;=Assumptions!$F$29,Assumptions!$F$29-SUM(AE137:AE140),0)</f>
        <v>0</v>
      </c>
      <c r="AF141" s="1111">
        <f>IF(SUM(AF137:AF140)&gt;=Assumptions!$F$29,Assumptions!$F$29-SUM(AF137:AF140),0)</f>
        <v>0</v>
      </c>
      <c r="AG141" s="1111">
        <f>IF(SUM(AG137:AG140)&gt;=Assumptions!$F$29,Assumptions!$F$29-SUM(AG137:AG140),0)</f>
        <v>0</v>
      </c>
      <c r="AH141" s="1111">
        <f>IF(SUM(AH137:AH140)&gt;=Assumptions!$F$29,Assumptions!$F$29-SUM(AH137:AH140),0)</f>
        <v>0</v>
      </c>
      <c r="AI141" s="1111">
        <f>IF(SUM(AI137:AI140)&gt;=Assumptions!$F$29,Assumptions!$F$29-SUM(AI137:AI140),0)</f>
        <v>-9.3291008454252733</v>
      </c>
      <c r="AJ141" s="1111">
        <f>IF(SUM(AJ137:AJ140)&gt;=Assumptions!$F$29,Assumptions!$F$29-SUM(AJ137:AJ140),0)</f>
        <v>0</v>
      </c>
      <c r="AK141" s="1111">
        <f>IF(SUM(AK137:AK140)&gt;=Assumptions!$F$29,Assumptions!$F$29-SUM(AK137:AK140),0)</f>
        <v>0</v>
      </c>
      <c r="AL141" s="1111">
        <f>IF(SUM(AL137:AL140)&gt;=Assumptions!$F$29,Assumptions!$F$29-SUM(AL137:AL140),0)</f>
        <v>-219.27388000000064</v>
      </c>
      <c r="AM141" s="508">
        <f>IF(SUM(AM137:AM140)&gt;=Assumptions!$F$29,Assumptions!$F$29-SUM(AM137:AM140),0)</f>
        <v>0</v>
      </c>
      <c r="AN141" s="508">
        <f>IF(SUM(AN137:AN140)&gt;=Assumptions!$F$29,Assumptions!$F$29-SUM(AN137:AN140),0)</f>
        <v>-32.111650000002555</v>
      </c>
      <c r="AO141" s="508">
        <f>IF(SUM(AO137:AO140)&gt;=Assumptions!$F$29,Assumptions!$F$29-SUM(AO137:AO140),0)</f>
        <v>3.637978807091713E-12</v>
      </c>
      <c r="AP141" s="508">
        <f>IF(SUM(AP137:AP140)&gt;=Assumptions!$F$29,Assumptions!$F$29-SUM(AP137:AP140),0)</f>
        <v>-158.75653402388343</v>
      </c>
      <c r="AQ141" s="508">
        <f>IF(SUM(AQ137:AQ140)&gt;=Assumptions!$F$29,Assumptions!$F$29-SUM(AQ137:AQ140),0)</f>
        <v>-41.926150000002963</v>
      </c>
      <c r="AR141" s="508">
        <f>IF(SUM(AR137:AR140)&gt;=Assumptions!$F$29,Assumptions!$F$29-SUM(AR137:AR140),0)</f>
        <v>3.637978807091713E-12</v>
      </c>
      <c r="AS141" s="508">
        <f>IF(SUM(AS137:AS140)&gt;=Assumptions!$F$29,Assumptions!$F$29-SUM(AS137:AS140),0)</f>
        <v>0</v>
      </c>
      <c r="AT141" s="508">
        <f>IF(SUM(AT137:AT140)&gt;=Assumptions!$F$29,Assumptions!$F$29-SUM(AT137:AT140),0)</f>
        <v>0</v>
      </c>
      <c r="AU141" s="508">
        <f>IF(SUM(AU137:AU140)&gt;=Assumptions!$F$29,Assumptions!$F$29-SUM(AU137:AU140),0)</f>
        <v>0</v>
      </c>
      <c r="AV141" s="508">
        <f>IF(SUM(AV137:AV140)&gt;=Assumptions!$F$29,Assumptions!$F$29-SUM(AV137:AV140),0)</f>
        <v>0</v>
      </c>
      <c r="AW141" s="508">
        <f>IF(SUM(AW137:AW140)&gt;=Assumptions!$F$29,Assumptions!$F$29-SUM(AW137:AW140),0)</f>
        <v>-257.02500000000146</v>
      </c>
      <c r="AX141" s="508">
        <f>IF(SUM(AX137:AX140)&gt;=Assumptions!$F$29,Assumptions!$F$29-SUM(AX137:AX140),0)</f>
        <v>0</v>
      </c>
      <c r="AY141" s="508">
        <f>IF(SUM(AY137:AY140)&gt;=Assumptions!$F$29,Assumptions!$F$29-SUM(AY137:AY140),0)</f>
        <v>0</v>
      </c>
      <c r="AZ141" s="508">
        <f>IF(SUM(AZ137:AZ140)&gt;=Assumptions!$F$29,Assumptions!$F$29-SUM(AZ137:AZ140),0)</f>
        <v>-125.32645958111243</v>
      </c>
      <c r="BA141" s="508">
        <f>IF(SUM(BA137:BA140)&gt;=Assumptions!$F$29,Assumptions!$F$29-SUM(BA137:BA140),0)</f>
        <v>-149.43100000000049</v>
      </c>
      <c r="BB141" s="508">
        <f>IF(SUM(BB137:BB140)&gt;=Assumptions!$F$29,Assumptions!$F$29-SUM(BB137:BB140),0)</f>
        <v>0</v>
      </c>
      <c r="BC141" s="508">
        <f>IF(SUM(BC137:BC140)&gt;=Assumptions!$F$29,Assumptions!$F$29-SUM(BC137:BC140),0)</f>
        <v>-142.09999999999854</v>
      </c>
      <c r="BD141" s="508">
        <f>IF(SUM(BD137:BD140)&gt;=Assumptions!$F$29,Assumptions!$F$29-SUM(BD137:BD140),0)</f>
        <v>-23.25800000000163</v>
      </c>
      <c r="BE141" s="508">
        <f>IF(SUM(BE137:BE140)&gt;=Assumptions!$F$29,Assumptions!$F$29-SUM(BE137:BE140),0)</f>
        <v>0</v>
      </c>
      <c r="BF141" s="508">
        <f>IF(SUM(BF137:BF140)&gt;=Assumptions!$F$29,Assumptions!$F$29-SUM(BF137:BF140),0)</f>
        <v>0</v>
      </c>
      <c r="BG141" s="508">
        <f>IF(SUM(BG137:BG140)&gt;=Assumptions!$F$29,Assumptions!$F$29-SUM(BG137:BG140),0)</f>
        <v>0</v>
      </c>
      <c r="BH141" s="508">
        <f>IF(SUM(BH137:BH140)&gt;=Assumptions!$F$29,Assumptions!$F$29-SUM(BH137:BH140),0)</f>
        <v>0</v>
      </c>
      <c r="BI141" s="508">
        <f>IF(SUM(BI137:BI140)&gt;=Assumptions!$F$29,Assumptions!$F$29-SUM(BI137:BI140),0)</f>
        <v>0</v>
      </c>
      <c r="BJ141" s="508">
        <f>IF(SUM(BJ137:BJ140)&gt;=Assumptions!$F$29,Assumptions!$F$29-SUM(BJ137:BJ140),0)</f>
        <v>0</v>
      </c>
      <c r="BK141" s="508">
        <f>IF(SUM(BK137:BK140)&gt;=Assumptions!$F$29,Assumptions!$F$29-SUM(BK137:BK140),0)</f>
        <v>0</v>
      </c>
      <c r="BL141" s="508">
        <f ca="1">IF(SUM(BL137:BL140)&gt;=Assumptions!$F$29,Assumptions!$F$29-SUM(BL137:BL140),0)</f>
        <v>0</v>
      </c>
      <c r="BM141" s="508">
        <f ca="1">IF(SUM(BM137:BM140)&gt;=Assumptions!$F$29,Assumptions!$F$29-SUM(BM137:BM140),0)</f>
        <v>0</v>
      </c>
      <c r="BN141" s="508">
        <f ca="1">IF(SUM(BN137:BN140)&gt;=Assumptions!$F$29,Assumptions!$F$29-SUM(BN137:BN140),0)</f>
        <v>0</v>
      </c>
      <c r="BO141" s="508">
        <f ca="1">IF(SUM(BO137:BO140)&gt;=Assumptions!$F$29,Assumptions!$F$29-SUM(BO137:BO140),0)</f>
        <v>0</v>
      </c>
      <c r="BP141" s="508">
        <f ca="1">IF(SUM(BP137:BP140)&gt;=Assumptions!$F$29,Assumptions!$F$29-SUM(BP137:BP140),0)</f>
        <v>0</v>
      </c>
      <c r="BQ141" s="508">
        <f ca="1">IF(SUM(BQ137:BQ140)&gt;=Assumptions!$F$29,Assumptions!$F$29-SUM(BQ137:BQ140),0)</f>
        <v>0</v>
      </c>
      <c r="BR141" s="508">
        <f ca="1">IF(SUM(BR137:BR140)&gt;=Assumptions!$F$29,Assumptions!$F$29-SUM(BR137:BR140),0)</f>
        <v>-65.923999999999069</v>
      </c>
      <c r="BS141" s="508">
        <f ca="1">IF(SUM(BS137:BS140)&gt;=Assumptions!$F$29,Assumptions!$F$29-SUM(BS137:BS140),0)</f>
        <v>0</v>
      </c>
      <c r="BT141" s="1441">
        <f ca="1">IF(SUM(BT137:BT140)&gt;=Assumptions!$F$62,Assumptions!$F$62-SUM(BT137:BT140),0)</f>
        <v>0</v>
      </c>
      <c r="BU141" s="508">
        <f ca="1">IF(SUM(BU137:BU140)&gt;=Assumptions!$F$62,Assumptions!$F$62-SUM(BU137:BU140),0)</f>
        <v>0</v>
      </c>
      <c r="BV141" s="508">
        <f ca="1">IF(SUM(BV137:BV140)&gt;=Assumptions!$F$62,Assumptions!$F$62-SUM(BV137:BV140),0)</f>
        <v>0</v>
      </c>
      <c r="BW141" s="508">
        <f ca="1">IF(SUM(BW137:BW140)&gt;=Assumptions!$F$62,Assumptions!$F$62-SUM(BW137:BW140),0)</f>
        <v>0</v>
      </c>
      <c r="BX141" s="508">
        <f ca="1">IF(SUM(BX137:BX140)&gt;=Assumptions!$F$62,Assumptions!$F$62-SUM(BX137:BX140),0)</f>
        <v>0</v>
      </c>
      <c r="BY141" s="508">
        <f ca="1">IF(SUM(BY137:BY140)&gt;=Assumptions!$F$62,Assumptions!$F$62-SUM(BY137:BY140),0)</f>
        <v>0</v>
      </c>
      <c r="BZ141" s="508">
        <f ca="1">IF(SUM(BZ137:BZ140)&gt;=Assumptions!$F$62,Assumptions!$F$62-SUM(BZ137:BZ140),0)</f>
        <v>0</v>
      </c>
      <c r="CA141" s="508">
        <f ca="1">IF(SUM(CA137:CA140)&gt;=Assumptions!$F$62,Assumptions!$F$62-SUM(CA137:CA140),0)</f>
        <v>0</v>
      </c>
      <c r="CB141" s="508">
        <f ca="1">IF(SUM(CB137:CB140)&gt;=Assumptions!$F$62,Assumptions!$F$62-SUM(CB137:CB140),0)</f>
        <v>0</v>
      </c>
      <c r="CC141" s="508">
        <f ca="1">IF(SUM(CC137:CC140)&gt;=Assumptions!$F$62,Assumptions!$F$62-SUM(CC137:CC140),0)</f>
        <v>0</v>
      </c>
      <c r="CD141" s="508">
        <f ca="1">IF(SUM(CD137:CD140)&gt;=Assumptions!$F$62,Assumptions!$F$62-SUM(CD137:CD140),0)</f>
        <v>0</v>
      </c>
      <c r="CE141" s="508">
        <f ca="1">IF(SUM(CE137:CE140)&gt;=Assumptions!$F$62,Assumptions!$F$62-SUM(CE137:CE140),0)</f>
        <v>0</v>
      </c>
      <c r="CF141" s="508">
        <f ca="1">IF(SUM(CF137:CF140)&gt;=Assumptions!$F$62,Assumptions!$F$62-SUM(CF137:CF140),0)</f>
        <v>0</v>
      </c>
      <c r="CG141" s="508">
        <f ca="1">IF(SUM(CG137:CG140)&gt;=Assumptions!$F$62,Assumptions!$F$62-SUM(CG137:CG140),0)</f>
        <v>0</v>
      </c>
      <c r="CH141" s="508">
        <f ca="1">IF(SUM(CH137:CH140)&gt;=Assumptions!$F$62,Assumptions!$F$62-SUM(CH137:CH140),0)</f>
        <v>0</v>
      </c>
      <c r="CI141" s="508">
        <f ca="1">IF(SUM(CI137:CI140)&gt;=Assumptions!$F$62,Assumptions!$F$62-SUM(CI137:CI140),0)</f>
        <v>0</v>
      </c>
      <c r="CJ141" s="508">
        <f ca="1">IF(SUM(CJ137:CJ140)&gt;=Assumptions!$F$62,Assumptions!$F$62-SUM(CJ137:CJ140),0)</f>
        <v>0</v>
      </c>
      <c r="CK141" s="508">
        <f ca="1">IF(SUM(CK137:CK140)&gt;=Assumptions!$F$62,Assumptions!$F$62-SUM(CK137:CK140),0)</f>
        <v>0</v>
      </c>
      <c r="CL141" s="508">
        <f ca="1">IF(SUM(CL137:CL140)&gt;=Assumptions!$F$62,Assumptions!$F$62-SUM(CL137:CL140),0)</f>
        <v>0</v>
      </c>
      <c r="CM141" s="508">
        <f ca="1">IF(SUM(CM137:CM140)&gt;=Assumptions!$F$62,Assumptions!$F$62-SUM(CM137:CM140),0)</f>
        <v>0</v>
      </c>
      <c r="CN141" s="508">
        <f ca="1">IF(SUM(CN137:CN140)&gt;=Assumptions!$F$62,Assumptions!$F$62-SUM(CN137:CN140),0)</f>
        <v>0</v>
      </c>
      <c r="CO141" s="508">
        <f ca="1">IF(SUM(CO137:CO140)&gt;=Assumptions!$F$62,Assumptions!$F$62-SUM(CO137:CO140),0)</f>
        <v>0</v>
      </c>
      <c r="CP141" s="508">
        <f ca="1">IF(SUM(CP137:CP140)&gt;=Assumptions!$F$62,Assumptions!$F$62-SUM(CP137:CP140),0)</f>
        <v>0</v>
      </c>
      <c r="CQ141" s="508">
        <f ca="1">IF(SUM(CQ137:CQ140)&gt;=Assumptions!$F$62,Assumptions!$F$62-SUM(CQ137:CQ140),0)</f>
        <v>0</v>
      </c>
      <c r="CR141" s="508">
        <f ca="1">IF(SUM(CR137:CR140)&gt;=Assumptions!$F$62,Assumptions!$F$62-SUM(CR137:CR140),0)</f>
        <v>0</v>
      </c>
      <c r="CS141" s="508">
        <f ca="1">IF(SUM(CS137:CS140)&gt;=Assumptions!$F$62,Assumptions!$F$62-SUM(CS137:CS140),0)</f>
        <v>0</v>
      </c>
      <c r="CT141" s="508">
        <f ca="1">IF(SUM(CT137:CT140)&gt;=Assumptions!$F$62,Assumptions!$F$62-SUM(CT137:CT140),0)</f>
        <v>0</v>
      </c>
      <c r="CU141" s="508">
        <f ca="1">IF(SUM(CU137:CU140)&gt;=Assumptions!$F$62,Assumptions!$F$62-SUM(CU137:CU140),0)</f>
        <v>0</v>
      </c>
      <c r="CV141" s="508">
        <f ca="1">IF(SUM(CV137:CV140)&gt;=Assumptions!$F$62,Assumptions!$F$62-SUM(CV137:CV140),0)</f>
        <v>0</v>
      </c>
      <c r="CW141" s="508">
        <f ca="1">IF(SUM(CW137:CW140)&gt;=Assumptions!$F$62,Assumptions!$F$62-SUM(CW137:CW140),0)</f>
        <v>0</v>
      </c>
      <c r="CX141" s="508">
        <f ca="1">IF(SUM(CX137:CX140)&gt;=Assumptions!$F$62,Assumptions!$F$62-SUM(CX137:CX140),0)</f>
        <v>0</v>
      </c>
      <c r="CY141" s="508">
        <f ca="1">IF(SUM(CY137:CY140)&gt;=Assumptions!$F$62,Assumptions!$F$62-SUM(CY137:CY140),0)</f>
        <v>0</v>
      </c>
      <c r="CZ141" s="508">
        <f ca="1">IF(SUM(CZ137:CZ140)&gt;=Assumptions!$F$62,Assumptions!$F$62-SUM(CZ137:CZ140),0)</f>
        <v>0</v>
      </c>
      <c r="DA141" s="508">
        <f ca="1">IF(SUM(DA137:DA140)&gt;=Assumptions!$F$62,Assumptions!$F$62-SUM(DA137:DA140),0)</f>
        <v>0</v>
      </c>
      <c r="DB141" s="508">
        <f ca="1">IF(SUM(DB137:DB140)&gt;=Assumptions!$F$62,Assumptions!$F$62-SUM(DB137:DB140),0)</f>
        <v>0</v>
      </c>
      <c r="DC141" s="508">
        <f ca="1">IF(SUM(DC137:DC140)&gt;=Assumptions!$F$62,Assumptions!$F$62-SUM(DC137:DC140),0)</f>
        <v>0</v>
      </c>
      <c r="DD141" s="508">
        <f ca="1">IF(SUM(DD137:DD140)&gt;=Assumptions!$F$62,Assumptions!$F$62-SUM(DD137:DD140),0)</f>
        <v>0</v>
      </c>
      <c r="DE141" s="508">
        <f ca="1">IF(SUM(DE137:DE140)&gt;=Assumptions!$F$62,Assumptions!$F$62-SUM(DE137:DE140),0)</f>
        <v>0</v>
      </c>
      <c r="DF141" s="508">
        <f ca="1">IF(SUM(DF137:DF140)&gt;=Assumptions!$F$62,Assumptions!$F$62-SUM(DF137:DF140),0)</f>
        <v>0</v>
      </c>
      <c r="DG141" s="508">
        <f ca="1">IF(SUM(DG137:DG140)&gt;=Assumptions!$F$62,Assumptions!$F$62-SUM(DG137:DG140),0)</f>
        <v>0</v>
      </c>
      <c r="DH141" s="508">
        <f ca="1">IF(SUM(DH137:DH140)&gt;=Assumptions!$F$62,Assumptions!$F$62-SUM(DH137:DH140),0)</f>
        <v>0</v>
      </c>
      <c r="DI141" s="508">
        <f ca="1">IF(SUM(DI137:DI140)&gt;=Assumptions!$F$62,Assumptions!$F$62-SUM(DI137:DI140),0)</f>
        <v>0</v>
      </c>
      <c r="DJ141" s="508">
        <f ca="1">IF(SUM(DJ137:DJ140)&gt;=Assumptions!$F$62,Assumptions!$F$62-SUM(DJ137:DJ140),0)</f>
        <v>0</v>
      </c>
      <c r="DK141" s="508">
        <f ca="1">IF(SUM(DK137:DK140)&gt;=Assumptions!$F$62,Assumptions!$F$62-SUM(DK137:DK140),0)</f>
        <v>0</v>
      </c>
      <c r="DL141" s="508">
        <f ca="1">IF(SUM(DL137:DL140)&gt;=Assumptions!$F$62,Assumptions!$F$62-SUM(DL137:DL140),0)</f>
        <v>0</v>
      </c>
      <c r="DM141" s="508">
        <f ca="1">IF(SUM(DM137:DM140)&gt;=Assumptions!$F$62,Assumptions!$F$62-SUM(DM137:DM140),0)</f>
        <v>0</v>
      </c>
      <c r="DN141" s="508">
        <f ca="1">IF(SUM(DN137:DN140)&gt;=Assumptions!$F$62,Assumptions!$F$62-SUM(DN137:DN140),0)</f>
        <v>0</v>
      </c>
      <c r="DO141" s="508">
        <f ca="1">IF(SUM(DO137:DO140)&gt;=Assumptions!$F$62,Assumptions!$F$62-SUM(DO137:DO140),0)</f>
        <v>0</v>
      </c>
      <c r="DP141" s="508">
        <f ca="1">IF(SUM(DP137:DP140)&gt;=Assumptions!$F$62,Assumptions!$F$62-SUM(DP137:DP140),0)</f>
        <v>0</v>
      </c>
      <c r="DQ141" s="508">
        <f ca="1">IF(SUM(DQ137:DQ140)&gt;=Assumptions!$F$62,Assumptions!$F$62-SUM(DQ137:DQ140),0)</f>
        <v>0</v>
      </c>
      <c r="DR141" s="508">
        <f ca="1">IF(SUM(DR137:DR140)&gt;=Assumptions!$F$62,Assumptions!$F$62-SUM(DR137:DR140),0)</f>
        <v>0</v>
      </c>
      <c r="DS141" s="508">
        <f ca="1">IF(SUM(DS137:DS140)&gt;=Assumptions!$F$62,Assumptions!$F$62-SUM(DS137:DS140),0)</f>
        <v>0</v>
      </c>
      <c r="DT141" s="508">
        <f ca="1">IF(SUM(DT137:DT140)&gt;=Assumptions!$F$62,Assumptions!$F$62-SUM(DT137:DT140),0)</f>
        <v>0</v>
      </c>
      <c r="DU141" s="508">
        <f ca="1">IF(SUM(DU137:DU140)&gt;=Assumptions!$F$62,Assumptions!$F$62-SUM(DU137:DU140),0)</f>
        <v>0</v>
      </c>
      <c r="DV141" s="508">
        <f ca="1">IF(SUM(DV137:DV140)&gt;=Assumptions!$F$62,Assumptions!$F$62-SUM(DV137:DV140),0)</f>
        <v>0</v>
      </c>
      <c r="DW141" s="508">
        <f ca="1">IF(SUM(DW137:DW140)&gt;=Assumptions!$F$62,Assumptions!$F$62-SUM(DW137:DW140),0)</f>
        <v>0</v>
      </c>
      <c r="DX141" s="508">
        <f ca="1">IF(SUM(DX137:DX140)&gt;=Assumptions!$F$62,Assumptions!$F$62-SUM(DX137:DX140),0)</f>
        <v>0</v>
      </c>
      <c r="DY141" s="508">
        <f ca="1">IF(SUM(DY137:DY140)&gt;=Assumptions!$F$62,Assumptions!$F$62-SUM(DY137:DY140),0)</f>
        <v>0</v>
      </c>
      <c r="DZ141" s="508">
        <f ca="1">IF(SUM(DZ137:DZ140)&gt;=Assumptions!$F$62,Assumptions!$F$62-SUM(DZ137:DZ140),0)</f>
        <v>0</v>
      </c>
      <c r="EA141" s="508">
        <f ca="1">IF(SUM(EA137:EA140)&gt;=Assumptions!$F$62,Assumptions!$F$62-SUM(EA137:EA140),0)</f>
        <v>0</v>
      </c>
      <c r="EB141" s="508">
        <f ca="1">IF(SUM(EB137:EB140)&gt;=Assumptions!$F$62,Assumptions!$F$62-SUM(EB137:EB140),0)</f>
        <v>0</v>
      </c>
      <c r="EC141" s="508">
        <f ca="1">IF(SUM(EC137:EC140)&gt;=Assumptions!$F$62,Assumptions!$F$62-SUM(EC137:EC140),0)</f>
        <v>0</v>
      </c>
      <c r="ED141" s="508">
        <f ca="1">IF(SUM(ED137:ED140)&gt;=Assumptions!$F$62,Assumptions!$F$62-SUM(ED137:ED140),0)</f>
        <v>0</v>
      </c>
      <c r="EE141" s="508">
        <f ca="1">IF(SUM(EE137:EE140)&gt;=Assumptions!$F$62,Assumptions!$F$62-SUM(EE137:EE140),0)</f>
        <v>0</v>
      </c>
      <c r="EF141" s="508">
        <f ca="1">IF(SUM(EF137:EF140)&gt;=Assumptions!$F$62,Assumptions!$F$62-SUM(EF137:EF140),0)</f>
        <v>0</v>
      </c>
      <c r="EG141" s="508">
        <f ca="1">IF(SUM(EG137:EG140)&gt;=Assumptions!$F$62,Assumptions!$F$62-SUM(EG137:EG140),0)</f>
        <v>0</v>
      </c>
      <c r="EH141" s="508">
        <f ca="1">IF(SUM(EH137:EH140)&gt;=Assumptions!$F$62,Assumptions!$F$62-SUM(EH137:EH140),0)</f>
        <v>0</v>
      </c>
      <c r="EI141" s="508">
        <f ca="1">IF(SUM(EI137:EI140)&gt;=Assumptions!$F$62,Assumptions!$F$62-SUM(EI137:EI140),0)</f>
        <v>0</v>
      </c>
      <c r="EJ141" s="508">
        <f ca="1">IF(SUM(EJ137:EJ140)&gt;=Assumptions!$F$62,Assumptions!$F$62-SUM(EJ137:EJ140),0)</f>
        <v>0</v>
      </c>
      <c r="EK141" s="508">
        <f ca="1">IF(SUM(EK137:EK140)&gt;=Assumptions!$F$62,Assumptions!$F$62-SUM(EK137:EK140),0)</f>
        <v>0</v>
      </c>
      <c r="EL141" s="508">
        <f ca="1">IF(SUM(EL137:EL140)&gt;=Assumptions!$F$62,Assumptions!$F$62-SUM(EL137:EL140),0)</f>
        <v>0</v>
      </c>
      <c r="EM141" s="508">
        <f ca="1">IF(SUM(EM137:EM140)&gt;=Assumptions!$F$62,Assumptions!$F$62-SUM(EM137:EM140),0)</f>
        <v>0</v>
      </c>
      <c r="EN141" s="508">
        <f ca="1">IF(SUM(EN137:EN140)&gt;=Assumptions!$F$62,Assumptions!$F$62-SUM(EN137:EN140),0)</f>
        <v>0</v>
      </c>
      <c r="EO141" s="508">
        <f ca="1">IF(SUM(EO137:EO140)&gt;=Assumptions!$F$62,Assumptions!$F$62-SUM(EO137:EO140),0)</f>
        <v>0</v>
      </c>
      <c r="EP141" s="508">
        <f ca="1">IF(SUM(EP137:EP140)&gt;=Assumptions!$F$62,Assumptions!$F$62-SUM(EP137:EP140),0)</f>
        <v>0</v>
      </c>
      <c r="EQ141" s="508">
        <f ca="1">IF(SUM(EQ137:EQ140)&gt;=Assumptions!$F$62,Assumptions!$F$62-SUM(EQ137:EQ140),0)</f>
        <v>0</v>
      </c>
      <c r="ER141" s="508">
        <f ca="1">IF(SUM(ER137:ER140)&gt;=Assumptions!$F$62,Assumptions!$F$62-SUM(ER137:ER140),0)</f>
        <v>0</v>
      </c>
      <c r="ES141" s="508">
        <f ca="1">IF(SUM(ES137:ES140)&gt;=Assumptions!$F$62,Assumptions!$F$62-SUM(ES137:ES140),0)</f>
        <v>0</v>
      </c>
      <c r="ET141" s="508">
        <f ca="1">IF(SUM(ET137:ET140)&gt;=Assumptions!$F$62,Assumptions!$F$62-SUM(ET137:ET140),0)</f>
        <v>0</v>
      </c>
      <c r="EU141" s="508">
        <f ca="1">IF(SUM(EU137:EU140)&gt;=Assumptions!$F$62,Assumptions!$F$62-SUM(EU137:EU140),0)</f>
        <v>0</v>
      </c>
      <c r="EV141" s="508">
        <f ca="1">IF(SUM(EV137:EV140)&gt;=Assumptions!$F$62,Assumptions!$F$62-SUM(EV137:EV140),0)</f>
        <v>0</v>
      </c>
      <c r="EW141" s="508">
        <f ca="1">IF(SUM(EW137:EW140)&gt;=Assumptions!$F$62,Assumptions!$F$62-SUM(EW137:EW140),0)</f>
        <v>0</v>
      </c>
      <c r="EX141" s="508">
        <f ca="1">IF(SUM(EX137:EX140)&gt;=Assumptions!$F$62,Assumptions!$F$62-SUM(EX137:EX140),0)</f>
        <v>0</v>
      </c>
      <c r="EY141" s="508">
        <f ca="1">IF(SUM(EY137:EY140)&gt;=Assumptions!$F$62,Assumptions!$F$62-SUM(EY137:EY140),0)</f>
        <v>0</v>
      </c>
      <c r="EZ141" s="508">
        <f ca="1">IF(SUM(EZ137:EZ140)&gt;=Assumptions!$F$62,Assumptions!$F$62-SUM(EZ137:EZ140),0)</f>
        <v>0</v>
      </c>
      <c r="FA141" s="508">
        <f ca="1">IF(SUM(FA137:FA140)&gt;=Assumptions!$F$62,Assumptions!$F$62-SUM(FA137:FA140),0)</f>
        <v>0</v>
      </c>
      <c r="FB141" s="508">
        <f ca="1">IF(SUM(FB137:FB140)&gt;=Assumptions!$F$62,Assumptions!$F$62-SUM(FB137:FB140),0)</f>
        <v>0</v>
      </c>
      <c r="FC141" s="508">
        <f ca="1">IF(SUM(FC137:FC140)&gt;=Assumptions!$F$62,Assumptions!$F$62-SUM(FC137:FC140),0)</f>
        <v>0</v>
      </c>
      <c r="FD141" s="508">
        <f ca="1">IF(SUM(FD137:FD140)&gt;=Assumptions!$F$62,Assumptions!$F$62-SUM(FD137:FD140),0)</f>
        <v>0</v>
      </c>
      <c r="FE141" s="508">
        <f ca="1">IF(SUM(FE137:FE140)&gt;=Assumptions!$F$62,Assumptions!$F$62-SUM(FE137:FE140),0)</f>
        <v>0</v>
      </c>
      <c r="FF141" s="508">
        <f ca="1">IF(SUM(FF137:FF140)&gt;=Assumptions!$F$62,Assumptions!$F$62-SUM(FF137:FF140),0)</f>
        <v>0</v>
      </c>
      <c r="FG141" s="508">
        <f ca="1">IF(SUM(FG137:FG140)&gt;=Assumptions!$F$62,Assumptions!$F$62-SUM(FG137:FG140),0)</f>
        <v>0</v>
      </c>
      <c r="FH141" s="508">
        <f ca="1">IF(SUM(FH137:FH140)&gt;=Assumptions!$F$62,Assumptions!$F$62-SUM(FH137:FH140),0)</f>
        <v>0</v>
      </c>
      <c r="FI141" s="508">
        <f ca="1">IF(SUM(FI137:FI140)&gt;=Assumptions!$F$62,Assumptions!$F$62-SUM(FI137:FI140),0)</f>
        <v>0</v>
      </c>
      <c r="FJ141" s="508">
        <f ca="1">IF(SUM(FJ137:FJ140)&gt;=Assumptions!$F$62,Assumptions!$F$62-SUM(FJ137:FJ140),0)</f>
        <v>0</v>
      </c>
      <c r="FK141" s="508">
        <f ca="1">IF(SUM(FK137:FK140)&gt;=Assumptions!$F$62,Assumptions!$F$62-SUM(FK137:FK140),0)</f>
        <v>0</v>
      </c>
      <c r="FL141" s="508">
        <f ca="1">IF(SUM(FL137:FL140)&gt;=Assumptions!$F$62,Assumptions!$F$62-SUM(FL137:FL140),0)</f>
        <v>0</v>
      </c>
      <c r="FM141" s="508">
        <f ca="1">IF(SUM(FM137:FM140)&gt;=Assumptions!$F$62,Assumptions!$F$62-SUM(FM137:FM140),0)</f>
        <v>0</v>
      </c>
      <c r="FN141" s="508">
        <f ca="1">IF(SUM(FN137:FN140)&gt;=Assumptions!$F$62,Assumptions!$F$62-SUM(FN137:FN140),0)</f>
        <v>0</v>
      </c>
      <c r="FO141" s="508">
        <f ca="1">IF(SUM(FO137:FO140)&gt;=Assumptions!$F$62,Assumptions!$F$62-SUM(FO137:FO140),0)</f>
        <v>0</v>
      </c>
      <c r="FP141" s="508">
        <f ca="1">IF(SUM(FP137:FP140)&gt;=Assumptions!$F$62,Assumptions!$F$62-SUM(FP137:FP140),0)</f>
        <v>0</v>
      </c>
      <c r="FQ141" s="508">
        <f ca="1">IF(SUM(FQ137:FQ140)&gt;=Assumptions!$F$62,Assumptions!$F$62-SUM(FQ137:FQ140),0)</f>
        <v>0</v>
      </c>
      <c r="FR141" s="508">
        <f ca="1">IF(SUM(FR137:FR140)&gt;=Assumptions!$F$62,Assumptions!$F$62-SUM(FR137:FR140),0)</f>
        <v>0</v>
      </c>
      <c r="FS141" s="508">
        <f ca="1">IF(SUM(FS137:FS140)&gt;=Assumptions!$F$62,Assumptions!$F$62-SUM(FS137:FS140),0)</f>
        <v>0</v>
      </c>
      <c r="FT141" s="508">
        <f ca="1">IF(SUM(FT137:FT140)&gt;=Assumptions!$F$62,Assumptions!$F$62-SUM(FT137:FT140),0)</f>
        <v>0</v>
      </c>
      <c r="FU141" s="508">
        <f ca="1">IF(SUM(FU137:FU140)&gt;=Assumptions!$F$62,Assumptions!$F$62-SUM(FU137:FU140),0)</f>
        <v>0</v>
      </c>
      <c r="FV141" s="508">
        <f ca="1">IF(SUM(FV137:FV140)&gt;=Assumptions!$F$62,Assumptions!$F$62-SUM(FV137:FV140),0)</f>
        <v>0</v>
      </c>
      <c r="FW141" s="508">
        <f ca="1">IF(SUM(FW137:FW140)&gt;=Assumptions!$F$62,Assumptions!$F$62-SUM(FW137:FW140),0)</f>
        <v>0</v>
      </c>
      <c r="FX141" s="508">
        <f ca="1">IF(SUM(FX137:FX140)&gt;=Assumptions!$F$62,Assumptions!$F$62-SUM(FX137:FX140),0)</f>
        <v>0</v>
      </c>
      <c r="FY141" s="508">
        <f ca="1">IF(SUM(FY137:FY140)&gt;=Assumptions!$F$62,Assumptions!$F$62-SUM(FY137:FY140),0)</f>
        <v>0</v>
      </c>
      <c r="FZ141" s="508">
        <f ca="1">IF(SUM(FZ137:FZ140)&gt;=Assumptions!$F$62,Assumptions!$F$62-SUM(FZ137:FZ140),0)</f>
        <v>0</v>
      </c>
      <c r="GA141" s="508">
        <f ca="1">IF(SUM(GA137:GA140)&gt;=Assumptions!$F$62,Assumptions!$F$62-SUM(GA137:GA140),0)</f>
        <v>0</v>
      </c>
      <c r="GB141" s="508">
        <f ca="1">IF(SUM(GB137:GB140)&gt;=Assumptions!$F$62,Assumptions!$F$62-SUM(GB137:GB140),0)</f>
        <v>0</v>
      </c>
      <c r="GC141" s="508">
        <f ca="1">IF(SUM(GC137:GC140)&gt;=Assumptions!$F$62,Assumptions!$F$62-SUM(GC137:GC140),0)</f>
        <v>0</v>
      </c>
      <c r="GD141" s="508"/>
      <c r="GE141" s="508"/>
      <c r="GF141" s="508"/>
      <c r="GG141" s="508"/>
      <c r="GH141" s="508"/>
      <c r="GI141" s="508"/>
      <c r="GJ141" s="508"/>
      <c r="GK141" s="508"/>
      <c r="GL141" s="508"/>
      <c r="GM141" s="508"/>
      <c r="GN141" s="508"/>
      <c r="GO141" s="508"/>
      <c r="GP141" s="508">
        <f ca="1">IF(SUM(GP137:GP140)&gt;=Assumptions!$F$29,Assumptions!$F$29-SUM(GP137:GP140),0)</f>
        <v>0</v>
      </c>
      <c r="GQ141" s="508">
        <f ca="1">IF(SUM(GQ137:GQ140)&gt;=Assumptions!$F$29,Assumptions!$F$29-SUM(GQ137:GQ140),0)</f>
        <v>0</v>
      </c>
      <c r="GR141" s="508">
        <f ca="1">IF(SUM(GR137:GR140)&gt;=Assumptions!$F$29,Assumptions!$F$29-SUM(GR137:GR140),0)</f>
        <v>0</v>
      </c>
      <c r="GS141" s="508">
        <f ca="1">IF(SUM(GS137:GS140)&gt;=Assumptions!$F$29,Assumptions!$F$29-SUM(GS137:GS140),0)</f>
        <v>0</v>
      </c>
      <c r="GT141" s="508">
        <f ca="1">IF(SUM(GT137:GT140)&gt;=Assumptions!$F$29,Assumptions!$F$29-SUM(GT137:GT140),0)</f>
        <v>0</v>
      </c>
      <c r="GU141" s="215"/>
      <c r="GV141" s="215"/>
      <c r="GW141" s="215"/>
      <c r="GX141" s="215"/>
      <c r="GY141" s="215"/>
      <c r="GZ141" s="215"/>
      <c r="HA141" s="215"/>
      <c r="HB141" s="215"/>
      <c r="HC141" s="215"/>
      <c r="HD141" s="215"/>
      <c r="HE141" s="215"/>
      <c r="HF141" s="1" t="s">
        <v>212</v>
      </c>
      <c r="HH141" s="460" t="str">
        <f t="shared" si="954"/>
        <v>Max Loan Dollars Adjustment</v>
      </c>
      <c r="HI141" s="462"/>
      <c r="HJ141" s="462"/>
      <c r="HK141" s="462"/>
      <c r="HL141" s="461">
        <f ca="1">SUM(HN141:HV141)</f>
        <v>-1224.4617744504212</v>
      </c>
      <c r="HM141" s="462"/>
      <c r="HN141" s="463">
        <f t="shared" si="1008"/>
        <v>0</v>
      </c>
      <c r="HO141" s="462">
        <f t="shared" si="1008"/>
        <v>0</v>
      </c>
      <c r="HP141" s="462">
        <f t="shared" si="1008"/>
        <v>-9.3291008454252733</v>
      </c>
      <c r="HQ141" s="462">
        <f t="shared" si="1008"/>
        <v>-452.06821402388232</v>
      </c>
      <c r="HR141" s="462">
        <f t="shared" si="1008"/>
        <v>-697.14045958111456</v>
      </c>
      <c r="HS141" s="462">
        <f t="shared" ca="1" si="1008"/>
        <v>-65.923999999999069</v>
      </c>
      <c r="HT141" s="462">
        <f t="shared" ca="1" si="1008"/>
        <v>0</v>
      </c>
      <c r="HU141" s="462">
        <f t="shared" ca="1" si="1008"/>
        <v>0</v>
      </c>
      <c r="HV141" s="462">
        <f t="shared" ca="1" si="1008"/>
        <v>0</v>
      </c>
      <c r="HW141" s="459"/>
    </row>
    <row r="142" spans="1:231" ht="15" outlineLevel="1">
      <c r="B142" s="221" t="s">
        <v>129</v>
      </c>
      <c r="E142" s="8"/>
      <c r="F142" s="202"/>
      <c r="G142" s="98"/>
      <c r="H142" s="489"/>
      <c r="I142" s="123">
        <f ca="1">SUMIF($K$13:$GT$13,"&lt;="&amp;Assumptions!$L$17,'Monthly Cash Flow'!K142:GT142)</f>
        <v>21795.794000000002</v>
      </c>
      <c r="J142" s="34"/>
      <c r="K142" s="124">
        <f t="shared" ref="K142:AP142" si="1009">SUM(K138:K141)</f>
        <v>19541</v>
      </c>
      <c r="L142" s="34">
        <f t="shared" si="1009"/>
        <v>0</v>
      </c>
      <c r="M142" s="34">
        <f t="shared" si="1009"/>
        <v>0</v>
      </c>
      <c r="N142" s="34">
        <f t="shared" si="1009"/>
        <v>0</v>
      </c>
      <c r="O142" s="34">
        <f t="shared" si="1009"/>
        <v>0</v>
      </c>
      <c r="P142" s="34">
        <f t="shared" si="1009"/>
        <v>0</v>
      </c>
      <c r="Q142" s="34">
        <f t="shared" si="1009"/>
        <v>0</v>
      </c>
      <c r="R142" s="34">
        <f t="shared" si="1009"/>
        <v>0</v>
      </c>
      <c r="S142" s="34">
        <f t="shared" si="1009"/>
        <v>0</v>
      </c>
      <c r="T142" s="34">
        <f t="shared" si="1009"/>
        <v>0</v>
      </c>
      <c r="U142" s="34">
        <f t="shared" si="1009"/>
        <v>184.97674000000001</v>
      </c>
      <c r="V142" s="34">
        <f t="shared" si="1009"/>
        <v>0</v>
      </c>
      <c r="W142" s="34">
        <f t="shared" si="1009"/>
        <v>108.76858999999999</v>
      </c>
      <c r="X142" s="34">
        <f t="shared" si="1009"/>
        <v>3.6021399999999999</v>
      </c>
      <c r="Y142" s="34">
        <f t="shared" si="1009"/>
        <v>0</v>
      </c>
      <c r="Z142" s="34">
        <f t="shared" si="1009"/>
        <v>462.19177999999999</v>
      </c>
      <c r="AA142" s="34">
        <f t="shared" si="1009"/>
        <v>0</v>
      </c>
      <c r="AB142" s="34">
        <f t="shared" si="1009"/>
        <v>458.32646999999997</v>
      </c>
      <c r="AC142" s="34">
        <f t="shared" si="1009"/>
        <v>0</v>
      </c>
      <c r="AD142" s="34">
        <f t="shared" si="1009"/>
        <v>2.28E-15</v>
      </c>
      <c r="AE142" s="34">
        <f t="shared" si="1009"/>
        <v>487.53904</v>
      </c>
      <c r="AF142" s="34">
        <f t="shared" si="1009"/>
        <v>207.9665008454283</v>
      </c>
      <c r="AG142" s="34">
        <f t="shared" si="1009"/>
        <v>268.26096000000001</v>
      </c>
      <c r="AH142" s="34">
        <f t="shared" si="1009"/>
        <v>0</v>
      </c>
      <c r="AI142" s="34">
        <f t="shared" si="1009"/>
        <v>73.161779154574731</v>
      </c>
      <c r="AJ142" s="34">
        <f t="shared" si="1009"/>
        <v>0</v>
      </c>
      <c r="AK142" s="34">
        <f t="shared" si="1009"/>
        <v>0</v>
      </c>
      <c r="AL142" s="34">
        <f t="shared" si="1009"/>
        <v>-6.2527760746888816E-13</v>
      </c>
      <c r="AM142" s="34">
        <f t="shared" si="1009"/>
        <v>0</v>
      </c>
      <c r="AN142" s="34">
        <f t="shared" si="1009"/>
        <v>-2.5579538487363607E-12</v>
      </c>
      <c r="AO142" s="34">
        <f t="shared" si="1009"/>
        <v>3.637978807091713E-12</v>
      </c>
      <c r="AP142" s="34">
        <f t="shared" si="1009"/>
        <v>3.4106051316484809E-13</v>
      </c>
      <c r="AQ142" s="34">
        <f t="shared" ref="AQ142:BV142" si="1010">SUM(AQ138:AQ141)</f>
        <v>-2.9629632081196178E-12</v>
      </c>
      <c r="AR142" s="34">
        <f t="shared" si="1010"/>
        <v>3.637978807091713E-12</v>
      </c>
      <c r="AS142" s="34">
        <f t="shared" si="1010"/>
        <v>0</v>
      </c>
      <c r="AT142" s="34">
        <f t="shared" si="1010"/>
        <v>0</v>
      </c>
      <c r="AU142" s="34">
        <f t="shared" si="1010"/>
        <v>0</v>
      </c>
      <c r="AV142" s="34">
        <f t="shared" si="1010"/>
        <v>0</v>
      </c>
      <c r="AW142" s="34">
        <f t="shared" si="1010"/>
        <v>-1.4779288903810084E-12</v>
      </c>
      <c r="AX142" s="34">
        <f t="shared" si="1010"/>
        <v>0</v>
      </c>
      <c r="AY142" s="34">
        <f t="shared" si="1010"/>
        <v>-3.5</v>
      </c>
      <c r="AZ142" s="34">
        <f t="shared" si="1010"/>
        <v>3.50000000000162</v>
      </c>
      <c r="BA142" s="34">
        <f t="shared" si="1010"/>
        <v>-4.8316906031686813E-13</v>
      </c>
      <c r="BB142" s="34">
        <f t="shared" si="1010"/>
        <v>0</v>
      </c>
      <c r="BC142" s="34">
        <f t="shared" si="1010"/>
        <v>1.4779288903810084E-12</v>
      </c>
      <c r="BD142" s="34">
        <f t="shared" si="1010"/>
        <v>-1.6306955785694299E-12</v>
      </c>
      <c r="BE142" s="34">
        <f t="shared" si="1010"/>
        <v>0</v>
      </c>
      <c r="BF142" s="34">
        <f t="shared" si="1010"/>
        <v>0</v>
      </c>
      <c r="BG142" s="34">
        <f t="shared" si="1010"/>
        <v>0</v>
      </c>
      <c r="BH142" s="34">
        <f t="shared" si="1010"/>
        <v>0</v>
      </c>
      <c r="BI142" s="34">
        <f t="shared" si="1010"/>
        <v>0</v>
      </c>
      <c r="BJ142" s="34">
        <f t="shared" si="1010"/>
        <v>0</v>
      </c>
      <c r="BK142" s="34">
        <f t="shared" si="1010"/>
        <v>0</v>
      </c>
      <c r="BL142" s="34">
        <f t="shared" ca="1" si="1010"/>
        <v>0</v>
      </c>
      <c r="BM142" s="34">
        <f t="shared" ca="1" si="1010"/>
        <v>0</v>
      </c>
      <c r="BN142" s="34">
        <f t="shared" ca="1" si="1010"/>
        <v>0</v>
      </c>
      <c r="BO142" s="34">
        <f t="shared" ca="1" si="1010"/>
        <v>0</v>
      </c>
      <c r="BP142" s="34">
        <f t="shared" ca="1" si="1010"/>
        <v>0</v>
      </c>
      <c r="BQ142" s="34">
        <f t="shared" ca="1" si="1010"/>
        <v>0</v>
      </c>
      <c r="BR142" s="34">
        <f t="shared" ca="1" si="1010"/>
        <v>9.3791641120333225E-13</v>
      </c>
      <c r="BS142" s="34">
        <f t="shared" ca="1" si="1010"/>
        <v>0</v>
      </c>
      <c r="BT142" s="1442">
        <f t="shared" ca="1" si="1010"/>
        <v>0</v>
      </c>
      <c r="BU142" s="34">
        <f t="shared" ca="1" si="1010"/>
        <v>0</v>
      </c>
      <c r="BV142" s="34">
        <f t="shared" ca="1" si="1010"/>
        <v>0</v>
      </c>
      <c r="BW142" s="34">
        <f t="shared" ref="BW142:DB142" ca="1" si="1011">SUM(BW138:BW141)</f>
        <v>0</v>
      </c>
      <c r="BX142" s="34">
        <f t="shared" ca="1" si="1011"/>
        <v>0</v>
      </c>
      <c r="BY142" s="34">
        <f t="shared" ca="1" si="1011"/>
        <v>0</v>
      </c>
      <c r="BZ142" s="34">
        <f t="shared" ca="1" si="1011"/>
        <v>0</v>
      </c>
      <c r="CA142" s="34">
        <f t="shared" ca="1" si="1011"/>
        <v>0</v>
      </c>
      <c r="CB142" s="34">
        <f t="shared" ca="1" si="1011"/>
        <v>0</v>
      </c>
      <c r="CC142" s="34">
        <f t="shared" ca="1" si="1011"/>
        <v>0</v>
      </c>
      <c r="CD142" s="34">
        <f t="shared" ca="1" si="1011"/>
        <v>0</v>
      </c>
      <c r="CE142" s="34">
        <f t="shared" ca="1" si="1011"/>
        <v>0</v>
      </c>
      <c r="CF142" s="34">
        <f t="shared" ca="1" si="1011"/>
        <v>0</v>
      </c>
      <c r="CG142" s="34">
        <f t="shared" ca="1" si="1011"/>
        <v>0</v>
      </c>
      <c r="CH142" s="34">
        <f t="shared" ca="1" si="1011"/>
        <v>0</v>
      </c>
      <c r="CI142" s="34">
        <f t="shared" ca="1" si="1011"/>
        <v>0</v>
      </c>
      <c r="CJ142" s="34">
        <f t="shared" ca="1" si="1011"/>
        <v>0</v>
      </c>
      <c r="CK142" s="34">
        <f t="shared" ca="1" si="1011"/>
        <v>0</v>
      </c>
      <c r="CL142" s="34">
        <f t="shared" ca="1" si="1011"/>
        <v>0</v>
      </c>
      <c r="CM142" s="34">
        <f t="shared" ca="1" si="1011"/>
        <v>0</v>
      </c>
      <c r="CN142" s="34">
        <f t="shared" ca="1" si="1011"/>
        <v>0</v>
      </c>
      <c r="CO142" s="34">
        <f t="shared" ca="1" si="1011"/>
        <v>0</v>
      </c>
      <c r="CP142" s="34">
        <f t="shared" ca="1" si="1011"/>
        <v>0</v>
      </c>
      <c r="CQ142" s="34">
        <f t="shared" ca="1" si="1011"/>
        <v>0</v>
      </c>
      <c r="CR142" s="34">
        <f t="shared" ca="1" si="1011"/>
        <v>0</v>
      </c>
      <c r="CS142" s="34">
        <f t="shared" ca="1" si="1011"/>
        <v>0</v>
      </c>
      <c r="CT142" s="34">
        <f t="shared" ca="1" si="1011"/>
        <v>0</v>
      </c>
      <c r="CU142" s="34">
        <f t="shared" ca="1" si="1011"/>
        <v>0</v>
      </c>
      <c r="CV142" s="34">
        <f t="shared" ca="1" si="1011"/>
        <v>0</v>
      </c>
      <c r="CW142" s="34">
        <f t="shared" ca="1" si="1011"/>
        <v>0</v>
      </c>
      <c r="CX142" s="34">
        <f t="shared" ca="1" si="1011"/>
        <v>0</v>
      </c>
      <c r="CY142" s="34">
        <f t="shared" ca="1" si="1011"/>
        <v>0</v>
      </c>
      <c r="CZ142" s="34">
        <f t="shared" ca="1" si="1011"/>
        <v>0</v>
      </c>
      <c r="DA142" s="34">
        <f t="shared" ca="1" si="1011"/>
        <v>0</v>
      </c>
      <c r="DB142" s="34">
        <f t="shared" ca="1" si="1011"/>
        <v>0</v>
      </c>
      <c r="DC142" s="34">
        <f t="shared" ref="DC142:EH142" ca="1" si="1012">SUM(DC138:DC141)</f>
        <v>0</v>
      </c>
      <c r="DD142" s="34">
        <f t="shared" ca="1" si="1012"/>
        <v>0</v>
      </c>
      <c r="DE142" s="34">
        <f t="shared" ca="1" si="1012"/>
        <v>0</v>
      </c>
      <c r="DF142" s="34">
        <f t="shared" ca="1" si="1012"/>
        <v>0</v>
      </c>
      <c r="DG142" s="34">
        <f t="shared" ca="1" si="1012"/>
        <v>0</v>
      </c>
      <c r="DH142" s="34">
        <f t="shared" ca="1" si="1012"/>
        <v>0</v>
      </c>
      <c r="DI142" s="34">
        <f t="shared" ca="1" si="1012"/>
        <v>0</v>
      </c>
      <c r="DJ142" s="34">
        <f t="shared" ca="1" si="1012"/>
        <v>0</v>
      </c>
      <c r="DK142" s="34">
        <f t="shared" ca="1" si="1012"/>
        <v>0</v>
      </c>
      <c r="DL142" s="34">
        <f t="shared" ca="1" si="1012"/>
        <v>0</v>
      </c>
      <c r="DM142" s="34">
        <f t="shared" ca="1" si="1012"/>
        <v>0</v>
      </c>
      <c r="DN142" s="34">
        <f t="shared" ca="1" si="1012"/>
        <v>0</v>
      </c>
      <c r="DO142" s="34">
        <f t="shared" ca="1" si="1012"/>
        <v>0</v>
      </c>
      <c r="DP142" s="34">
        <f t="shared" ca="1" si="1012"/>
        <v>0</v>
      </c>
      <c r="DQ142" s="34">
        <f t="shared" ca="1" si="1012"/>
        <v>0</v>
      </c>
      <c r="DR142" s="34">
        <f t="shared" ca="1" si="1012"/>
        <v>0</v>
      </c>
      <c r="DS142" s="34">
        <f t="shared" ca="1" si="1012"/>
        <v>0</v>
      </c>
      <c r="DT142" s="34">
        <f t="shared" ca="1" si="1012"/>
        <v>0</v>
      </c>
      <c r="DU142" s="34">
        <f t="shared" ca="1" si="1012"/>
        <v>0</v>
      </c>
      <c r="DV142" s="34">
        <f t="shared" ca="1" si="1012"/>
        <v>0</v>
      </c>
      <c r="DW142" s="34">
        <f t="shared" ca="1" si="1012"/>
        <v>0</v>
      </c>
      <c r="DX142" s="34">
        <f t="shared" ca="1" si="1012"/>
        <v>0</v>
      </c>
      <c r="DY142" s="34">
        <f t="shared" ca="1" si="1012"/>
        <v>0</v>
      </c>
      <c r="DZ142" s="34">
        <f t="shared" ca="1" si="1012"/>
        <v>0</v>
      </c>
      <c r="EA142" s="34">
        <f t="shared" ca="1" si="1012"/>
        <v>0</v>
      </c>
      <c r="EB142" s="34">
        <f t="shared" ca="1" si="1012"/>
        <v>0</v>
      </c>
      <c r="EC142" s="34">
        <f t="shared" ca="1" si="1012"/>
        <v>0</v>
      </c>
      <c r="ED142" s="34">
        <f t="shared" ca="1" si="1012"/>
        <v>0</v>
      </c>
      <c r="EE142" s="34">
        <f t="shared" ca="1" si="1012"/>
        <v>0</v>
      </c>
      <c r="EF142" s="34">
        <f t="shared" ca="1" si="1012"/>
        <v>0</v>
      </c>
      <c r="EG142" s="34">
        <f t="shared" ca="1" si="1012"/>
        <v>0</v>
      </c>
      <c r="EH142" s="34">
        <f t="shared" ca="1" si="1012"/>
        <v>0</v>
      </c>
      <c r="EI142" s="34">
        <f t="shared" ref="EI142:EL142" ca="1" si="1013">SUM(EI138:EI141)</f>
        <v>0</v>
      </c>
      <c r="EJ142" s="34">
        <f t="shared" ca="1" si="1013"/>
        <v>0</v>
      </c>
      <c r="EK142" s="34">
        <f t="shared" ca="1" si="1013"/>
        <v>0</v>
      </c>
      <c r="EL142" s="34">
        <f t="shared" ca="1" si="1013"/>
        <v>0</v>
      </c>
      <c r="EM142" s="34">
        <f t="shared" ref="EM142:FD142" ca="1" si="1014">SUM(EM138:EM141)</f>
        <v>0</v>
      </c>
      <c r="EN142" s="34">
        <f t="shared" ca="1" si="1014"/>
        <v>0</v>
      </c>
      <c r="EO142" s="34">
        <f t="shared" ca="1" si="1014"/>
        <v>0</v>
      </c>
      <c r="EP142" s="34">
        <f t="shared" ca="1" si="1014"/>
        <v>0</v>
      </c>
      <c r="EQ142" s="34">
        <f t="shared" ca="1" si="1014"/>
        <v>0</v>
      </c>
      <c r="ER142" s="34">
        <f t="shared" ca="1" si="1014"/>
        <v>0</v>
      </c>
      <c r="ES142" s="34">
        <f t="shared" ca="1" si="1014"/>
        <v>0</v>
      </c>
      <c r="ET142" s="34">
        <f t="shared" ca="1" si="1014"/>
        <v>0</v>
      </c>
      <c r="EU142" s="34">
        <f t="shared" ca="1" si="1014"/>
        <v>0</v>
      </c>
      <c r="EV142" s="34">
        <f t="shared" ca="1" si="1014"/>
        <v>0</v>
      </c>
      <c r="EW142" s="34">
        <f t="shared" ca="1" si="1014"/>
        <v>0</v>
      </c>
      <c r="EX142" s="34">
        <f t="shared" ca="1" si="1014"/>
        <v>0</v>
      </c>
      <c r="EY142" s="34">
        <f t="shared" ca="1" si="1014"/>
        <v>0</v>
      </c>
      <c r="EZ142" s="34">
        <f t="shared" ca="1" si="1014"/>
        <v>0</v>
      </c>
      <c r="FA142" s="34">
        <f t="shared" ca="1" si="1014"/>
        <v>0</v>
      </c>
      <c r="FB142" s="34">
        <f t="shared" ca="1" si="1014"/>
        <v>0</v>
      </c>
      <c r="FC142" s="34">
        <f t="shared" ca="1" si="1014"/>
        <v>0</v>
      </c>
      <c r="FD142" s="34">
        <f t="shared" ca="1" si="1014"/>
        <v>0</v>
      </c>
      <c r="FE142" s="34">
        <f t="shared" ref="FE142:FI142" ca="1" si="1015">SUM(FE138:FE141)</f>
        <v>0</v>
      </c>
      <c r="FF142" s="34">
        <f t="shared" ca="1" si="1015"/>
        <v>0</v>
      </c>
      <c r="FG142" s="34">
        <f t="shared" ca="1" si="1015"/>
        <v>0</v>
      </c>
      <c r="FH142" s="34">
        <f t="shared" ca="1" si="1015"/>
        <v>0</v>
      </c>
      <c r="FI142" s="34">
        <f t="shared" ca="1" si="1015"/>
        <v>0</v>
      </c>
      <c r="FJ142" s="34">
        <f t="shared" ref="FJ142:GT142" ca="1" si="1016">SUM(FJ138:FJ141)</f>
        <v>0</v>
      </c>
      <c r="FK142" s="34">
        <f t="shared" ca="1" si="1016"/>
        <v>0</v>
      </c>
      <c r="FL142" s="34">
        <f t="shared" ca="1" si="1016"/>
        <v>0</v>
      </c>
      <c r="FM142" s="34">
        <f t="shared" ca="1" si="1016"/>
        <v>0</v>
      </c>
      <c r="FN142" s="34">
        <f t="shared" ca="1" si="1016"/>
        <v>0</v>
      </c>
      <c r="FO142" s="34">
        <f t="shared" ca="1" si="1016"/>
        <v>0</v>
      </c>
      <c r="FP142" s="34">
        <f t="shared" ca="1" si="1016"/>
        <v>0</v>
      </c>
      <c r="FQ142" s="34">
        <f t="shared" ca="1" si="1016"/>
        <v>0</v>
      </c>
      <c r="FR142" s="34">
        <f t="shared" ca="1" si="1016"/>
        <v>0</v>
      </c>
      <c r="FS142" s="34">
        <f t="shared" ca="1" si="1016"/>
        <v>0</v>
      </c>
      <c r="FT142" s="34">
        <f t="shared" ca="1" si="1016"/>
        <v>0</v>
      </c>
      <c r="FU142" s="34">
        <f t="shared" ca="1" si="1016"/>
        <v>0</v>
      </c>
      <c r="FV142" s="34">
        <f t="shared" ca="1" si="1016"/>
        <v>0</v>
      </c>
      <c r="FW142" s="34">
        <f t="shared" ca="1" si="1016"/>
        <v>0</v>
      </c>
      <c r="FX142" s="34">
        <f t="shared" ca="1" si="1016"/>
        <v>0</v>
      </c>
      <c r="FY142" s="34">
        <f t="shared" ca="1" si="1016"/>
        <v>0</v>
      </c>
      <c r="FZ142" s="34">
        <f t="shared" ca="1" si="1016"/>
        <v>0</v>
      </c>
      <c r="GA142" s="34">
        <f t="shared" ca="1" si="1016"/>
        <v>0</v>
      </c>
      <c r="GB142" s="34">
        <f t="shared" ca="1" si="1016"/>
        <v>0</v>
      </c>
      <c r="GC142" s="34">
        <f t="shared" ca="1" si="1016"/>
        <v>0</v>
      </c>
      <c r="GD142" s="34"/>
      <c r="GE142" s="34"/>
      <c r="GF142" s="34"/>
      <c r="GG142" s="34"/>
      <c r="GH142" s="34"/>
      <c r="GI142" s="34"/>
      <c r="GJ142" s="34"/>
      <c r="GK142" s="34"/>
      <c r="GL142" s="34"/>
      <c r="GM142" s="34"/>
      <c r="GN142" s="34"/>
      <c r="GO142" s="34"/>
      <c r="GP142" s="34">
        <f t="shared" ca="1" si="1016"/>
        <v>0</v>
      </c>
      <c r="GQ142" s="34">
        <f t="shared" ca="1" si="1016"/>
        <v>0</v>
      </c>
      <c r="GR142" s="34">
        <f t="shared" ca="1" si="1016"/>
        <v>0</v>
      </c>
      <c r="GS142" s="34">
        <f t="shared" ca="1" si="1016"/>
        <v>0</v>
      </c>
      <c r="GT142" s="34">
        <f t="shared" ca="1" si="1016"/>
        <v>0</v>
      </c>
      <c r="GU142" s="34"/>
      <c r="GV142" s="34"/>
      <c r="GW142" s="34"/>
      <c r="GX142" s="34"/>
      <c r="GY142" s="34"/>
      <c r="GZ142" s="34"/>
      <c r="HA142" s="34"/>
      <c r="HB142" s="34"/>
      <c r="HC142" s="34"/>
      <c r="HD142" s="34"/>
      <c r="HE142" s="34"/>
      <c r="HF142" s="1" t="s">
        <v>212</v>
      </c>
      <c r="HH142" s="203" t="str">
        <f t="shared" si="954"/>
        <v>Debt Draws (Acquisition Loan)</v>
      </c>
      <c r="HI142" s="34"/>
      <c r="HJ142" s="34"/>
      <c r="HK142" s="34"/>
      <c r="HL142" s="123">
        <f t="shared" ca="1" si="1007"/>
        <v>21795.794000000005</v>
      </c>
      <c r="HM142" s="34"/>
      <c r="HN142" s="124">
        <f t="shared" si="1008"/>
        <v>19541</v>
      </c>
      <c r="HO142" s="34">
        <f t="shared" si="1008"/>
        <v>293.74532999999997</v>
      </c>
      <c r="HP142" s="34">
        <f t="shared" si="1008"/>
        <v>1961.0486700000033</v>
      </c>
      <c r="HQ142" s="34">
        <f t="shared" si="1008"/>
        <v>1.4708234630234074E-12</v>
      </c>
      <c r="HR142" s="34">
        <f t="shared" si="1008"/>
        <v>-4.9382720135326963E-13</v>
      </c>
      <c r="HS142" s="34">
        <f t="shared" ca="1" si="1008"/>
        <v>9.3791641120333225E-13</v>
      </c>
      <c r="HT142" s="34">
        <f t="shared" ca="1" si="1008"/>
        <v>0</v>
      </c>
      <c r="HU142" s="34">
        <f t="shared" ca="1" si="1008"/>
        <v>0</v>
      </c>
      <c r="HV142" s="34">
        <f t="shared" ca="1" si="1008"/>
        <v>0</v>
      </c>
      <c r="HW142"/>
    </row>
    <row r="143" spans="1:231" ht="15" outlineLevel="1">
      <c r="B143" s="221"/>
      <c r="F143" s="202"/>
      <c r="G143" s="98"/>
      <c r="H143" s="489"/>
      <c r="I143" s="123"/>
      <c r="J143" s="34"/>
      <c r="K143" s="12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c r="BA143" s="34"/>
      <c r="BB143" s="34"/>
      <c r="BC143" s="34"/>
      <c r="BD143" s="34"/>
      <c r="BE143" s="34"/>
      <c r="BF143" s="34"/>
      <c r="BG143" s="34"/>
      <c r="BH143" s="34"/>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c r="CK143" s="34"/>
      <c r="CL143" s="34"/>
      <c r="CM143" s="34"/>
      <c r="CN143" s="34"/>
      <c r="CO143" s="34"/>
      <c r="CP143" s="34"/>
      <c r="CQ143" s="34"/>
      <c r="CR143" s="34"/>
      <c r="CS143" s="34"/>
      <c r="CT143" s="34"/>
      <c r="CU143" s="34"/>
      <c r="CV143" s="34"/>
      <c r="CW143" s="34"/>
      <c r="CX143" s="34"/>
      <c r="CY143" s="34"/>
      <c r="CZ143" s="34"/>
      <c r="DA143" s="34"/>
      <c r="DB143" s="34"/>
      <c r="DC143" s="34"/>
      <c r="DD143" s="34"/>
      <c r="DE143" s="34"/>
      <c r="DF143" s="34"/>
      <c r="DG143" s="34"/>
      <c r="DH143" s="34"/>
      <c r="DI143" s="34"/>
      <c r="DJ143" s="34"/>
      <c r="DK143" s="34"/>
      <c r="DL143" s="34"/>
      <c r="DM143" s="34"/>
      <c r="DN143" s="34"/>
      <c r="DO143" s="34"/>
      <c r="DP143" s="34"/>
      <c r="DQ143" s="34"/>
      <c r="DR143" s="34"/>
      <c r="DS143" s="34"/>
      <c r="DT143" s="34"/>
      <c r="DU143" s="34"/>
      <c r="DV143" s="34"/>
      <c r="DW143" s="34"/>
      <c r="DX143" s="34"/>
      <c r="DY143" s="34"/>
      <c r="DZ143" s="34"/>
      <c r="EA143" s="34"/>
      <c r="EB143" s="34"/>
      <c r="EC143" s="34"/>
      <c r="ED143" s="34"/>
      <c r="EE143" s="34"/>
      <c r="EF143" s="34"/>
      <c r="EG143" s="34"/>
      <c r="EH143" s="34"/>
      <c r="EI143" s="34"/>
      <c r="EJ143" s="34"/>
      <c r="EK143" s="34"/>
      <c r="EL143" s="34"/>
      <c r="EM143" s="34"/>
      <c r="EN143" s="34"/>
      <c r="EO143" s="34"/>
      <c r="EP143" s="34"/>
      <c r="EQ143" s="34"/>
      <c r="ER143" s="34"/>
      <c r="ES143" s="34"/>
      <c r="ET143" s="34"/>
      <c r="EU143" s="34"/>
      <c r="EV143" s="34"/>
      <c r="EW143" s="34"/>
      <c r="EX143" s="34"/>
      <c r="EY143" s="34"/>
      <c r="EZ143" s="34"/>
      <c r="FA143" s="34"/>
      <c r="FB143" s="34"/>
      <c r="FC143" s="34"/>
      <c r="FD143" s="34"/>
      <c r="FE143" s="34"/>
      <c r="FF143" s="34"/>
      <c r="FG143" s="34"/>
      <c r="FH143" s="34"/>
      <c r="FI143" s="34"/>
      <c r="FJ143" s="34"/>
      <c r="FK143" s="34"/>
      <c r="FL143" s="34"/>
      <c r="FM143" s="34"/>
      <c r="FN143" s="34"/>
      <c r="FO143" s="34"/>
      <c r="FP143" s="34"/>
      <c r="FQ143" s="34"/>
      <c r="FR143" s="34"/>
      <c r="FS143" s="34"/>
      <c r="FT143" s="34"/>
      <c r="FU143" s="34"/>
      <c r="FV143" s="34"/>
      <c r="FW143" s="34"/>
      <c r="FX143" s="34"/>
      <c r="FY143" s="34"/>
      <c r="FZ143" s="34"/>
      <c r="GA143" s="34"/>
      <c r="GB143" s="34"/>
      <c r="GC143" s="34"/>
      <c r="GD143" s="34"/>
      <c r="GE143" s="34"/>
      <c r="GF143" s="34"/>
      <c r="GG143" s="34"/>
      <c r="GH143" s="34"/>
      <c r="GI143" s="34"/>
      <c r="GJ143" s="34"/>
      <c r="GK143" s="34"/>
      <c r="GL143" s="34"/>
      <c r="GM143" s="34"/>
      <c r="GN143" s="34"/>
      <c r="GO143" s="34"/>
      <c r="GP143" s="34"/>
      <c r="GQ143" s="34"/>
      <c r="GR143" s="34"/>
      <c r="GS143" s="34"/>
      <c r="GT143" s="34"/>
      <c r="GU143" s="34"/>
      <c r="GV143" s="34"/>
      <c r="GW143" s="34"/>
      <c r="GX143" s="34"/>
      <c r="GY143" s="34"/>
      <c r="GZ143" s="34"/>
      <c r="HA143" s="34"/>
      <c r="HB143" s="34"/>
      <c r="HC143" s="34"/>
      <c r="HD143" s="34"/>
      <c r="HE143" s="34"/>
      <c r="HF143" s="1" t="s">
        <v>212</v>
      </c>
      <c r="HH143" s="203"/>
      <c r="HI143" s="34"/>
      <c r="HJ143" s="34"/>
      <c r="HK143" s="34"/>
      <c r="HL143" s="123"/>
      <c r="HM143" s="34"/>
      <c r="HN143" s="124"/>
      <c r="HO143" s="34"/>
      <c r="HP143" s="34"/>
      <c r="HQ143" s="34"/>
      <c r="HR143" s="34"/>
      <c r="HS143" s="34"/>
      <c r="HT143" s="34"/>
      <c r="HU143" s="34"/>
      <c r="HV143" s="34"/>
      <c r="HW143"/>
    </row>
    <row r="144" spans="1:231" ht="15" outlineLevel="1">
      <c r="B144" s="9" t="s">
        <v>737</v>
      </c>
      <c r="F144" s="202"/>
      <c r="G144" s="98"/>
      <c r="H144" s="489"/>
      <c r="I144" s="123"/>
      <c r="J144" s="34"/>
      <c r="K144" s="124"/>
      <c r="L144" s="34">
        <f>IF(AND(L13&gt;Assumptions!$F$41-1, L13&lt;Assumptions!$L$17+1), SUM(L140:$GT$140), 0)+L137+IF(AND(L13&gt;Assumptions!$F$42-1, L13&lt;Assumptions!$L$17+1), SUM(L139:$GT$139), 0)</f>
        <v>19541</v>
      </c>
      <c r="M144" s="34">
        <f>IF(AND(M13&gt;Assumptions!$F$41-1, M13&lt;Assumptions!$L$17+1), SUM(M140:$GT$140), 0)+M137+IF(AND(M13&gt;Assumptions!$F$42-1, M13&lt;Assumptions!$L$17+1), SUM(M139:$GT$139), 0)</f>
        <v>19541</v>
      </c>
      <c r="N144" s="34">
        <f>IF(AND(N13&gt;Assumptions!$F$41-1, N13&lt;Assumptions!$L$17+1), SUM(N140:$GT$140), 0)+N137+IF(AND(N13&gt;Assumptions!$F$42-1, N13&lt;Assumptions!$L$17+1), SUM(N139:$GT$139), 0)</f>
        <v>19541</v>
      </c>
      <c r="O144" s="34">
        <f>IF(AND(O13&gt;Assumptions!$F$41-1, O13&lt;Assumptions!$L$17+1), SUM(O140:$GT$140), 0)+O137+IF(AND(O13&gt;Assumptions!$F$42-1, O13&lt;Assumptions!$L$17+1), SUM(O139:$GT$139), 0)</f>
        <v>19541</v>
      </c>
      <c r="P144" s="34">
        <f>IF(AND(P13&gt;Assumptions!$F$41-1, P13&lt;Assumptions!$L$17+1), SUM(P140:$GT$140), 0)+P137+IF(AND(P13&gt;Assumptions!$F$42-1, P13&lt;Assumptions!$L$17+1), SUM(P139:$GT$139), 0)</f>
        <v>19541</v>
      </c>
      <c r="Q144" s="34">
        <f>IF(AND(Q13&gt;Assumptions!$F$41-1, Q13&lt;Assumptions!$L$17+1), SUM(Q140:$GT$140), 0)+Q137+IF(AND(Q13&gt;Assumptions!$F$42-1, Q13&lt;Assumptions!$L$17+1), SUM(Q139:$GT$139), 0)</f>
        <v>19541</v>
      </c>
      <c r="R144" s="34">
        <f>IF(AND(R13&gt;Assumptions!$F$41-1, R13&lt;Assumptions!$L$17+1), SUM(R140:$GT$140), 0)+R137+IF(AND(R13&gt;Assumptions!$F$42-1, R13&lt;Assumptions!$L$17+1), SUM(R139:$GT$139), 0)</f>
        <v>19541</v>
      </c>
      <c r="S144" s="34">
        <f>IF(AND(S13&gt;Assumptions!$F$41-1, S13&lt;Assumptions!$L$17+1), SUM(S140:$GT$140), 0)+S137+IF(AND(S13&gt;Assumptions!$F$42-1, S13&lt;Assumptions!$L$17+1), SUM(S139:$GT$139), 0)</f>
        <v>19541</v>
      </c>
      <c r="T144" s="34">
        <f>IF(AND(T13&gt;Assumptions!$F$41-1, T13&lt;Assumptions!$L$17+1), SUM(T140:$GT$140), 0)+T137+IF(AND(T13&gt;Assumptions!$F$42-1, T13&lt;Assumptions!$L$17+1), SUM(T139:$GT$139), 0)</f>
        <v>19541</v>
      </c>
      <c r="U144" s="34">
        <f>IF(AND(U13&gt;Assumptions!$F$41-1, U13&lt;Assumptions!$L$17+1), SUM(U140:$GT$140), 0)+U137+IF(AND(U13&gt;Assumptions!$F$42-1, U13&lt;Assumptions!$L$17+1), SUM(U139:$GT$139), 0)</f>
        <v>19541</v>
      </c>
      <c r="V144" s="34">
        <f>IF(AND(V13&gt;Assumptions!$F$41-1, V13&lt;Assumptions!$L$17+1), SUM(V140:$GT$140), 0)+V137+IF(AND(V13&gt;Assumptions!$F$42-1, V13&lt;Assumptions!$L$17+1), SUM(V139:$GT$139), 0)</f>
        <v>19725.976739999998</v>
      </c>
      <c r="W144" s="34">
        <f>IF(AND(W13&gt;Assumptions!$F$41-1, W13&lt;Assumptions!$L$17+1), SUM(W140:$GT$140), 0)+W137+IF(AND(W13&gt;Assumptions!$F$42-1, W13&lt;Assumptions!$L$17+1), SUM(W139:$GT$139), 0)</f>
        <v>19725.976739999998</v>
      </c>
      <c r="X144" s="34">
        <f>IF(AND(X13&gt;Assumptions!$F$41-1, X13&lt;Assumptions!$L$17+1), SUM(X140:$GT$140), 0)+X137+IF(AND(X13&gt;Assumptions!$F$42-1, X13&lt;Assumptions!$L$17+1), SUM(X139:$GT$139), 0)</f>
        <v>19834.745329999998</v>
      </c>
      <c r="Y144" s="34">
        <f>IF(AND(Y13&gt;Assumptions!$F$41-1, Y13&lt;Assumptions!$L$17+1), SUM(Y140:$GT$140), 0)+Y137+IF(AND(Y13&gt;Assumptions!$F$42-1, Y13&lt;Assumptions!$L$17+1), SUM(Y139:$GT$139), 0)</f>
        <v>19838.347469999997</v>
      </c>
      <c r="Z144" s="34">
        <f>IF(AND(Z13&gt;Assumptions!$F$41-1, Z13&lt;Assumptions!$L$17+1), SUM(Z140:$GT$140), 0)+Z137+IF(AND(Z13&gt;Assumptions!$F$42-1, Z13&lt;Assumptions!$L$17+1), SUM(Z139:$GT$139), 0)</f>
        <v>19838.347469999997</v>
      </c>
      <c r="AA144" s="34">
        <f>IF(AND(AA13&gt;Assumptions!$F$41-1, AA13&lt;Assumptions!$L$17+1), SUM(AA140:$GT$140), 0)+AA137+IF(AND(AA13&gt;Assumptions!$F$42-1, AA13&lt;Assumptions!$L$17+1), SUM(AA139:$GT$139), 0)</f>
        <v>20300.539249999998</v>
      </c>
      <c r="AB144" s="34">
        <f>IF(AND(AB13&gt;Assumptions!$F$41-1, AB13&lt;Assumptions!$L$17+1), SUM(AB140:$GT$140), 0)+AB137+IF(AND(AB13&gt;Assumptions!$F$42-1, AB13&lt;Assumptions!$L$17+1), SUM(AB139:$GT$139), 0)</f>
        <v>20300.539249999998</v>
      </c>
      <c r="AC144" s="34">
        <f>IF(AND(AC13&gt;Assumptions!$F$41-1, AC13&lt;Assumptions!$L$17+1), SUM(AC140:$GT$140), 0)+AC137+IF(AND(AC13&gt;Assumptions!$F$42-1, AC13&lt;Assumptions!$L$17+1), SUM(AC139:$GT$139), 0)</f>
        <v>20758.865719999998</v>
      </c>
      <c r="AD144" s="34">
        <f>IF(AND(AD13&gt;Assumptions!$F$41-1, AD13&lt;Assumptions!$L$17+1), SUM(AD140:$GT$140), 0)+AD137+IF(AND(AD13&gt;Assumptions!$F$42-1, AD13&lt;Assumptions!$L$17+1), SUM(AD139:$GT$139), 0)</f>
        <v>20758.865719999998</v>
      </c>
      <c r="AE144" s="34">
        <f>IF(AND(AE13&gt;Assumptions!$F$41-1, AE13&lt;Assumptions!$L$17+1), SUM(AE140:$GT$140), 0)+AE137+IF(AND(AE13&gt;Assumptions!$F$42-1, AE13&lt;Assumptions!$L$17+1), SUM(AE139:$GT$139), 0)</f>
        <v>20758.865719999998</v>
      </c>
      <c r="AF144" s="34">
        <f>IF(AND(AF13&gt;Assumptions!$F$41-1, AF13&lt;Assumptions!$L$17+1), SUM(AF140:$GT$140), 0)+AF137+IF(AND(AF13&gt;Assumptions!$F$42-1, AF13&lt;Assumptions!$L$17+1), SUM(AF139:$GT$139), 0)</f>
        <v>21246.404759999998</v>
      </c>
      <c r="AG144" s="34">
        <f>IF(AND(AG13&gt;Assumptions!$F$41-1, AG13&lt;Assumptions!$L$17+1), SUM(AG140:$GT$140), 0)+AG137+IF(AND(AG13&gt;Assumptions!$F$42-1, AG13&lt;Assumptions!$L$17+1), SUM(AG139:$GT$139), 0)</f>
        <v>21454.371260845426</v>
      </c>
      <c r="AH144" s="34">
        <f>IF(AND(AH13&gt;Assumptions!$F$41-1, AH13&lt;Assumptions!$L$17+1), SUM(AH140:$GT$140), 0)+AH137+IF(AND(AH13&gt;Assumptions!$F$42-1, AH13&lt;Assumptions!$L$17+1), SUM(AH139:$GT$139), 0)</f>
        <v>21722.632220845426</v>
      </c>
      <c r="AI144" s="34">
        <f ca="1">IF(AND(AI13&gt;Assumptions!$F$41-1, AI13&lt;Assumptions!$L$17+1), SUM(AI140:$GT$140), 0)+AI137+IF(AND(AI13&gt;Assumptions!$F$42-1, AI13&lt;Assumptions!$L$17+1), SUM(AI139:$GT$139), 0)</f>
        <v>22018.677870845426</v>
      </c>
      <c r="AJ144" s="34">
        <f ca="1">IF(AND(AJ13&gt;Assumptions!$F$41-1, AJ13&lt;Assumptions!$L$17+1), SUM(AJ140:$GT$140), 0)+AJ137+IF(AND(AJ13&gt;Assumptions!$F$42-1, AJ13&lt;Assumptions!$L$17+1), SUM(AJ139:$GT$139), 0)</f>
        <v>22087.47465</v>
      </c>
      <c r="AK144" s="34">
        <f ca="1">IF(AND(AK13&gt;Assumptions!$F$41-1, AK13&lt;Assumptions!$L$17+1), SUM(AK140:$GT$140), 0)+AK137+IF(AND(AK13&gt;Assumptions!$F$42-1, AK13&lt;Assumptions!$L$17+1), SUM(AK139:$GT$139), 0)</f>
        <v>22087.47465</v>
      </c>
      <c r="AL144" s="34">
        <f ca="1">IF(AND(AL13&gt;Assumptions!$F$41-1, AL13&lt;Assumptions!$L$17+1), SUM(AL140:$GT$140), 0)+AL137+IF(AND(AL13&gt;Assumptions!$F$42-1, AL13&lt;Assumptions!$L$17+1), SUM(AL139:$GT$139), 0)</f>
        <v>22087.47465</v>
      </c>
      <c r="AM144" s="34">
        <f ca="1">IF(AND(AM13&gt;Assumptions!$F$41-1, AM13&lt;Assumptions!$L$17+1), SUM(AM140:$GT$140), 0)+AM137+IF(AND(AM13&gt;Assumptions!$F$42-1, AM13&lt;Assumptions!$L$17+1), SUM(AM139:$GT$139), 0)</f>
        <v>22080.04565</v>
      </c>
      <c r="AN144" s="34">
        <f ca="1">IF(AND(AN13&gt;Assumptions!$F$41-1, AN13&lt;Assumptions!$L$17+1), SUM(AN140:$GT$140), 0)+AN137+IF(AND(AN13&gt;Assumptions!$F$42-1, AN13&lt;Assumptions!$L$17+1), SUM(AN139:$GT$139), 0)</f>
        <v>22080.04565</v>
      </c>
      <c r="AO144" s="34">
        <f ca="1">IF(AND(AO13&gt;Assumptions!$F$41-1, AO13&lt;Assumptions!$L$17+1), SUM(AO140:$GT$140), 0)+AO137+IF(AND(AO13&gt;Assumptions!$F$42-1, AO13&lt;Assumptions!$L$17+1), SUM(AO139:$GT$139), 0)</f>
        <v>22759.541143604998</v>
      </c>
      <c r="AP144" s="34">
        <f ca="1">IF(AND(AP13&gt;Assumptions!$F$41-1, AP13&lt;Assumptions!$L$17+1), SUM(AP140:$GT$140), 0)+AP137+IF(AND(AP13&gt;Assumptions!$F$42-1, AP13&lt;Assumptions!$L$17+1), SUM(AP139:$GT$139), 0)</f>
        <v>22759.541143605002</v>
      </c>
      <c r="AQ144" s="34">
        <f ca="1">IF(AND(AQ13&gt;Assumptions!$F$41-1, AQ13&lt;Assumptions!$L$17+1), SUM(AQ140:$GT$140), 0)+AQ137+IF(AND(AQ13&gt;Assumptions!$F$42-1, AQ13&lt;Assumptions!$L$17+1), SUM(AQ139:$GT$139), 0)</f>
        <v>22600.784609581118</v>
      </c>
      <c r="AR144" s="34">
        <f ca="1">IF(AND(AR13&gt;Assumptions!$F$41-1, AR13&lt;Assumptions!$L$17+1), SUM(AR140:$GT$140), 0)+AR137+IF(AND(AR13&gt;Assumptions!$F$42-1, AR13&lt;Assumptions!$L$17+1), SUM(AR139:$GT$139), 0)</f>
        <v>22558.858459581112</v>
      </c>
      <c r="AS144" s="34">
        <f ca="1">IF(AND(AS13&gt;Assumptions!$F$41-1, AS13&lt;Assumptions!$L$17+1), SUM(AS140:$GT$140), 0)+AS137+IF(AND(AS13&gt;Assumptions!$F$42-1, AS13&lt;Assumptions!$L$17+1), SUM(AS139:$GT$139), 0)</f>
        <v>22558.858459581115</v>
      </c>
      <c r="AT144" s="34">
        <f ca="1">IF(AND(AT13&gt;Assumptions!$F$41-1, AT13&lt;Assumptions!$L$17+1), SUM(AT140:$GT$140), 0)+AT137+IF(AND(AT13&gt;Assumptions!$F$42-1, AT13&lt;Assumptions!$L$17+1), SUM(AT139:$GT$139), 0)</f>
        <v>22558.858459581115</v>
      </c>
      <c r="AU144" s="34">
        <f ca="1">IF(AND(AU13&gt;Assumptions!$F$41-1, AU13&lt;Assumptions!$L$17+1), SUM(AU140:$GT$140), 0)+AU137+IF(AND(AU13&gt;Assumptions!$F$42-1, AU13&lt;Assumptions!$L$17+1), SUM(AU139:$GT$139), 0)</f>
        <v>22558.858459581115</v>
      </c>
      <c r="AV144" s="34">
        <f ca="1">IF(AND(AV13&gt;Assumptions!$F$41-1, AV13&lt;Assumptions!$L$17+1), SUM(AV140:$GT$140), 0)+AV137+IF(AND(AV13&gt;Assumptions!$F$42-1, AV13&lt;Assumptions!$L$17+1), SUM(AV139:$GT$139), 0)</f>
        <v>22558.858459581115</v>
      </c>
      <c r="AW144" s="34">
        <f ca="1">IF(AND(AW13&gt;Assumptions!$F$41-1, AW13&lt;Assumptions!$L$17+1), SUM(AW140:$GT$140), 0)+AW137+IF(AND(AW13&gt;Assumptions!$F$42-1, AW13&lt;Assumptions!$L$17+1), SUM(AW139:$GT$139), 0)</f>
        <v>22558.858459581115</v>
      </c>
      <c r="AX144" s="34">
        <f ca="1">IF(AND(AX13&gt;Assumptions!$F$41-1, AX13&lt;Assumptions!$L$17+1), SUM(AX140:$GT$140), 0)+AX137+IF(AND(AX13&gt;Assumptions!$F$42-1, AX13&lt;Assumptions!$L$17+1), SUM(AX139:$GT$139), 0)</f>
        <v>22301.833459581114</v>
      </c>
      <c r="AY144" s="34">
        <f ca="1">IF(AND(AY13&gt;Assumptions!$F$41-1, AY13&lt;Assumptions!$L$17+1), SUM(AY140:$GT$140), 0)+AY137+IF(AND(AY13&gt;Assumptions!$F$42-1, AY13&lt;Assumptions!$L$17+1), SUM(AY139:$GT$139), 0)</f>
        <v>22301.833459581114</v>
      </c>
      <c r="AZ144" s="34">
        <f ca="1">IF(AND(AZ13&gt;Assumptions!$F$41-1, AZ13&lt;Assumptions!$L$17+1), SUM(AZ140:$GT$140), 0)+AZ137+IF(AND(AZ13&gt;Assumptions!$F$42-1, AZ13&lt;Assumptions!$L$17+1), SUM(AZ139:$GT$139), 0)</f>
        <v>22301.833459581114</v>
      </c>
      <c r="BA144" s="34">
        <f ca="1">IF(AND(BA13&gt;Assumptions!$F$41-1, BA13&lt;Assumptions!$L$17+1), SUM(BA140:$GT$140), 0)+BA137+IF(AND(BA13&gt;Assumptions!$F$42-1, BA13&lt;Assumptions!$L$17+1), SUM(BA139:$GT$139), 0)</f>
        <v>22176.507000000001</v>
      </c>
      <c r="BB144" s="34">
        <f ca="1">IF(AND(BB13&gt;Assumptions!$F$41-1, BB13&lt;Assumptions!$L$17+1), SUM(BB140:$GT$140), 0)+BB137+IF(AND(BB13&gt;Assumptions!$F$42-1, BB13&lt;Assumptions!$L$17+1), SUM(BB139:$GT$139), 0)</f>
        <v>22027.076000000001</v>
      </c>
      <c r="BC144" s="34">
        <f ca="1">IF(AND(BC13&gt;Assumptions!$F$41-1, BC13&lt;Assumptions!$L$17+1), SUM(BC140:$GT$140), 0)+BC137+IF(AND(BC13&gt;Assumptions!$F$42-1, BC13&lt;Assumptions!$L$17+1), SUM(BC139:$GT$139), 0)</f>
        <v>22027.076000000001</v>
      </c>
      <c r="BD144" s="34">
        <f ca="1">IF(AND(BD13&gt;Assumptions!$F$41-1, BD13&lt;Assumptions!$L$17+1), SUM(BD140:$GT$140), 0)+BD137+IF(AND(BD13&gt;Assumptions!$F$42-1, BD13&lt;Assumptions!$L$17+1), SUM(BD139:$GT$139), 0)</f>
        <v>21884.976000000002</v>
      </c>
      <c r="BE144" s="34">
        <f ca="1">IF(AND(BE13&gt;Assumptions!$F$41-1, BE13&lt;Assumptions!$L$17+1), SUM(BE140:$GT$140), 0)+BE137+IF(AND(BE13&gt;Assumptions!$F$42-1, BE13&lt;Assumptions!$L$17+1), SUM(BE139:$GT$139), 0)</f>
        <v>21861.718000000001</v>
      </c>
      <c r="BF144" s="34">
        <f ca="1">IF(AND(BF13&gt;Assumptions!$F$41-1, BF13&lt;Assumptions!$L$17+1), SUM(BF140:$GT$140), 0)+BF137+IF(AND(BF13&gt;Assumptions!$F$42-1, BF13&lt;Assumptions!$L$17+1), SUM(BF139:$GT$139), 0)</f>
        <v>21861.718000000001</v>
      </c>
      <c r="BG144" s="34">
        <f ca="1">IF(AND(BG13&gt;Assumptions!$F$41-1, BG13&lt;Assumptions!$L$17+1), SUM(BG140:$GT$140), 0)+BG137+IF(AND(BG13&gt;Assumptions!$F$42-1, BG13&lt;Assumptions!$L$17+1), SUM(BG139:$GT$139), 0)</f>
        <v>21861.718000000001</v>
      </c>
      <c r="BH144" s="34">
        <f ca="1">IF(AND(BH13&gt;Assumptions!$F$41-1, BH13&lt;Assumptions!$L$17+1), SUM(BH140:$GT$140), 0)+BH137+IF(AND(BH13&gt;Assumptions!$F$42-1, BH13&lt;Assumptions!$L$17+1), SUM(BH139:$GT$139), 0)</f>
        <v>21861.718000000001</v>
      </c>
      <c r="BI144" s="34">
        <f ca="1">IF(AND(BI13&gt;Assumptions!$F$41-1, BI13&lt;Assumptions!$L$17+1), SUM(BI140:$GT$140), 0)+BI137+IF(AND(BI13&gt;Assumptions!$F$42-1, BI13&lt;Assumptions!$L$17+1), SUM(BI139:$GT$139), 0)</f>
        <v>21861.718000000001</v>
      </c>
      <c r="BJ144" s="34">
        <f ca="1">IF(AND(BJ13&gt;Assumptions!$F$41-1, BJ13&lt;Assumptions!$L$17+1), SUM(BJ140:$GT$140), 0)+BJ137+IF(AND(BJ13&gt;Assumptions!$F$42-1, BJ13&lt;Assumptions!$L$17+1), SUM(BJ139:$GT$139), 0)</f>
        <v>21861.718000000001</v>
      </c>
      <c r="BK144" s="34">
        <f ca="1">IF(AND(BK13&gt;Assumptions!$F$41-1, BK13&lt;Assumptions!$L$17+1), SUM(BK140:$GT$140), 0)+BK137+IF(AND(BK13&gt;Assumptions!$F$42-1, BK13&lt;Assumptions!$L$17+1), SUM(BK139:$GT$139), 0)</f>
        <v>21861.718000000001</v>
      </c>
      <c r="BL144" s="34">
        <f ca="1">IF(AND(BL13&gt;Assumptions!$F$41-1, BL13&lt;Assumptions!$L$17+1), SUM(BL140:$GT$140), 0)+BL137+IF(AND(BL13&gt;Assumptions!$F$42-1, BL13&lt;Assumptions!$L$17+1), SUM(BL139:$GT$139), 0)</f>
        <v>21861.718000000001</v>
      </c>
      <c r="BM144" s="34">
        <f ca="1">IF(AND(BM13&gt;Assumptions!$F$41-1, BM13&lt;Assumptions!$L$17+1), SUM(BM140:$GT$140), 0)+BM137+IF(AND(BM13&gt;Assumptions!$F$42-1, BM13&lt;Assumptions!$L$17+1), SUM(BM139:$GT$139), 0)</f>
        <v>21861.718000000001</v>
      </c>
      <c r="BN144" s="34">
        <f ca="1">IF(AND(BN13&gt;Assumptions!$F$41-1, BN13&lt;Assumptions!$L$17+1), SUM(BN140:$GT$140), 0)+BN137+IF(AND(BN13&gt;Assumptions!$F$42-1, BN13&lt;Assumptions!$L$17+1), SUM(BN139:$GT$139), 0)</f>
        <v>21861.718000000001</v>
      </c>
      <c r="BO144" s="34">
        <f ca="1">IF(AND(BO13&gt;Assumptions!$F$41-1, BO13&lt;Assumptions!$L$17+1), SUM(BO140:$GT$140), 0)+BO137+IF(AND(BO13&gt;Assumptions!$F$42-1, BO13&lt;Assumptions!$L$17+1), SUM(BO139:$GT$139), 0)</f>
        <v>21861.718000000001</v>
      </c>
      <c r="BP144" s="34">
        <f ca="1">IF(AND(BP13&gt;Assumptions!$F$41-1, BP13&lt;Assumptions!$L$17+1), SUM(BP140:$GT$140), 0)+BP137+IF(AND(BP13&gt;Assumptions!$F$42-1, BP13&lt;Assumptions!$L$17+1), SUM(BP139:$GT$139), 0)</f>
        <v>21861.718000000001</v>
      </c>
      <c r="BQ144" s="34">
        <f ca="1">IF(AND(BQ13&gt;Assumptions!$F$41-1, BQ13&lt;Assumptions!$L$17+1), SUM(BQ140:$GT$140), 0)+BQ137+IF(AND(BQ13&gt;Assumptions!$F$42-1, BQ13&lt;Assumptions!$L$17+1), SUM(BQ139:$GT$139), 0)</f>
        <v>21861.718000000001</v>
      </c>
      <c r="BR144" s="34">
        <f ca="1">IF(AND(BR13&gt;Assumptions!$F$41-1, BR13&lt;Assumptions!$L$17+1), SUM(BR140:$GT$140), 0)+BR137+IF(AND(BR13&gt;Assumptions!$F$42-1, BR13&lt;Assumptions!$L$17+1), SUM(BR139:$GT$139), 0)</f>
        <v>21861.718000000001</v>
      </c>
      <c r="BS144" s="34">
        <f ca="1">IF(AND(BS13&gt;Assumptions!$F$41-1, BS13&lt;Assumptions!$L$17+1), SUM(BS140:$GT$140), 0)+BS137+IF(AND(BS13&gt;Assumptions!$F$42-1, BS13&lt;Assumptions!$L$17+1), SUM(BS139:$GT$139), 0)</f>
        <v>21795.794000000002</v>
      </c>
      <c r="BT144" s="34">
        <f ca="1">IF(AND(BT13&gt;Assumptions!$F$41-1, BT13&lt;Assumptions!$L$17+1), SUM(BT140:$GT$140), 0)+BT137+IF(AND(BT13&gt;Assumptions!$F$42-1, BT13&lt;Assumptions!$L$17+1), SUM(BT139:$GT$139), 0)</f>
        <v>0</v>
      </c>
      <c r="BU144" s="34">
        <f ca="1">IF(AND(BU13&gt;Assumptions!$F$41-1, BU13&lt;Assumptions!$L$17+1), SUM(BU140:$GT$140), 0)+BU137+IF(AND(BU13&gt;Assumptions!$F$42-1, BU13&lt;Assumptions!$L$17+1), SUM(BU139:$GT$139), 0)</f>
        <v>0</v>
      </c>
      <c r="BV144" s="34">
        <f ca="1">IF(AND(BV13&gt;Assumptions!$F$41-1, BV13&lt;Assumptions!$L$17+1), SUM(BV140:$GT$140), 0)+BV137+IF(AND(BV13&gt;Assumptions!$F$42-1, BV13&lt;Assumptions!$L$17+1), SUM(BV139:$GT$139), 0)</f>
        <v>0</v>
      </c>
      <c r="BW144" s="34">
        <f ca="1">IF(AND(BW13&gt;Assumptions!$F$41-1, BW13&lt;Assumptions!$L$17+1), SUM(BW140:$GT$140), 0)+BW137+IF(AND(BW13&gt;Assumptions!$F$42-1, BW13&lt;Assumptions!$L$17+1), SUM(BW139:$GT$139), 0)</f>
        <v>0</v>
      </c>
      <c r="BX144" s="34">
        <f ca="1">IF(AND(BX13&gt;Assumptions!$F$41-1, BX13&lt;Assumptions!$L$17+1), SUM(BX140:$GT$140), 0)+BX137+IF(AND(BX13&gt;Assumptions!$F$42-1, BX13&lt;Assumptions!$L$17+1), SUM(BX139:$GT$139), 0)</f>
        <v>0</v>
      </c>
      <c r="BY144" s="34">
        <f ca="1">IF(AND(BY13&gt;Assumptions!$F$41-1, BY13&lt;Assumptions!$L$17+1), SUM(BY140:$GT$140), 0)+BY137+IF(AND(BY13&gt;Assumptions!$F$42-1, BY13&lt;Assumptions!$L$17+1), SUM(BY139:$GT$139), 0)</f>
        <v>0</v>
      </c>
      <c r="BZ144" s="34">
        <f ca="1">IF(AND(BZ13&gt;Assumptions!$F$41-1, BZ13&lt;Assumptions!$L$17+1), SUM(BZ140:$GT$140), 0)+BZ137+IF(AND(BZ13&gt;Assumptions!$F$42-1, BZ13&lt;Assumptions!$L$17+1), SUM(BZ139:$GT$139), 0)</f>
        <v>0</v>
      </c>
      <c r="CA144" s="34">
        <f ca="1">IF(AND(CA13&gt;Assumptions!$F$41-1, CA13&lt;Assumptions!$L$17+1), SUM(CA140:$GT$140), 0)+CA137+IF(AND(CA13&gt;Assumptions!$F$42-1, CA13&lt;Assumptions!$L$17+1), SUM(CA139:$GT$139), 0)</f>
        <v>0</v>
      </c>
      <c r="CB144" s="34">
        <f ca="1">IF(AND(CB13&gt;Assumptions!$F$41-1, CB13&lt;Assumptions!$L$17+1), SUM(CB140:$GT$140), 0)+CB137+IF(AND(CB13&gt;Assumptions!$F$42-1, CB13&lt;Assumptions!$L$17+1), SUM(CB139:$GT$139), 0)</f>
        <v>0</v>
      </c>
      <c r="CC144" s="34">
        <f ca="1">IF(AND(CC13&gt;Assumptions!$F$41-1, CC13&lt;Assumptions!$L$17+1), SUM(CC140:$GT$140), 0)+CC137+IF(AND(CC13&gt;Assumptions!$F$42-1, CC13&lt;Assumptions!$L$17+1), SUM(CC139:$GT$139), 0)</f>
        <v>0</v>
      </c>
      <c r="CD144" s="34">
        <f ca="1">IF(AND(CD13&gt;Assumptions!$F$41-1, CD13&lt;Assumptions!$L$17+1), SUM(CD140:$GT$140), 0)+CD137+IF(AND(CD13&gt;Assumptions!$F$42-1, CD13&lt;Assumptions!$L$17+1), SUM(CD139:$GT$139), 0)</f>
        <v>0</v>
      </c>
      <c r="CE144" s="34">
        <f ca="1">IF(AND(CE13&gt;Assumptions!$F$41-1, CE13&lt;Assumptions!$L$17+1), SUM(CE140:$GT$140), 0)+CE137+IF(AND(CE13&gt;Assumptions!$F$42-1, CE13&lt;Assumptions!$L$17+1), SUM(CE139:$GT$139), 0)</f>
        <v>0</v>
      </c>
      <c r="CF144" s="34">
        <f ca="1">IF(AND(CF13&gt;Assumptions!$F$41-1, CF13&lt;Assumptions!$L$17+1), SUM(CF140:$GT$140), 0)+CF137+IF(AND(CF13&gt;Assumptions!$F$42-1, CF13&lt;Assumptions!$L$17+1), SUM(CF139:$GT$139), 0)</f>
        <v>0</v>
      </c>
      <c r="CG144" s="34">
        <f ca="1">IF(AND(CG13&gt;Assumptions!$F$41-1, CG13&lt;Assumptions!$L$17+1), SUM(CG140:$GT$140), 0)+CG137+IF(AND(CG13&gt;Assumptions!$F$42-1, CG13&lt;Assumptions!$L$17+1), SUM(CG139:$GT$139), 0)</f>
        <v>0</v>
      </c>
      <c r="CH144" s="34">
        <f ca="1">IF(AND(CH13&gt;Assumptions!$F$41-1, CH13&lt;Assumptions!$L$17+1), SUM(CH140:$GT$140), 0)+CH137+IF(AND(CH13&gt;Assumptions!$F$42-1, CH13&lt;Assumptions!$L$17+1), SUM(CH139:$GT$139), 0)</f>
        <v>0</v>
      </c>
      <c r="CI144" s="34">
        <f ca="1">IF(AND(CI13&gt;Assumptions!$F$41-1, CI13&lt;Assumptions!$L$17+1), SUM(CI140:$GT$140), 0)+CI137+IF(AND(CI13&gt;Assumptions!$F$42-1, CI13&lt;Assumptions!$L$17+1), SUM(CI139:$GT$139), 0)</f>
        <v>0</v>
      </c>
      <c r="CJ144" s="34">
        <f ca="1">IF(AND(CJ13&gt;Assumptions!$F$41-1, CJ13&lt;Assumptions!$L$17+1), SUM(CJ140:$GT$140), 0)+CJ137+IF(AND(CJ13&gt;Assumptions!$F$42-1, CJ13&lt;Assumptions!$L$17+1), SUM(CJ139:$GT$139), 0)</f>
        <v>0</v>
      </c>
      <c r="CK144" s="34">
        <f ca="1">IF(AND(CK13&gt;Assumptions!$F$41-1, CK13&lt;Assumptions!$L$17+1), SUM(CK140:$GT$140), 0)+CK137+IF(AND(CK13&gt;Assumptions!$F$42-1, CK13&lt;Assumptions!$L$17+1), SUM(CK139:$GT$139), 0)</f>
        <v>0</v>
      </c>
      <c r="CL144" s="34">
        <f ca="1">IF(AND(CL13&gt;Assumptions!$F$41-1, CL13&lt;Assumptions!$L$17+1), SUM(CL140:$GT$140), 0)+CL137+IF(AND(CL13&gt;Assumptions!$F$42-1, CL13&lt;Assumptions!$L$17+1), SUM(CL139:$GT$139), 0)</f>
        <v>0</v>
      </c>
      <c r="CM144" s="34">
        <f ca="1">IF(AND(CM13&gt;Assumptions!$F$41-1, CM13&lt;Assumptions!$L$17+1), SUM(CM140:$GT$140), 0)+CM137+IF(AND(CM13&gt;Assumptions!$F$42-1, CM13&lt;Assumptions!$L$17+1), SUM(CM139:$GT$139), 0)</f>
        <v>0</v>
      </c>
      <c r="CN144" s="34">
        <f ca="1">IF(AND(CN13&gt;Assumptions!$F$41-1, CN13&lt;Assumptions!$L$17+1), SUM(CN140:$GT$140), 0)+CN137+IF(AND(CN13&gt;Assumptions!$F$42-1, CN13&lt;Assumptions!$L$17+1), SUM(CN139:$GT$139), 0)</f>
        <v>0</v>
      </c>
      <c r="CO144" s="34">
        <f ca="1">IF(AND(CO13&gt;Assumptions!$F$41-1, CO13&lt;Assumptions!$L$17+1), SUM(CO140:$GT$140), 0)+CO137+IF(AND(CO13&gt;Assumptions!$F$42-1, CO13&lt;Assumptions!$L$17+1), SUM(CO139:$GT$139), 0)</f>
        <v>0</v>
      </c>
      <c r="CP144" s="34">
        <f ca="1">IF(AND(CP13&gt;Assumptions!$F$41-1, CP13&lt;Assumptions!$L$17+1), SUM(CP140:$GT$140), 0)+CP137+IF(AND(CP13&gt;Assumptions!$F$42-1, CP13&lt;Assumptions!$L$17+1), SUM(CP139:$GT$139), 0)</f>
        <v>0</v>
      </c>
      <c r="CQ144" s="34">
        <f ca="1">IF(AND(CQ13&gt;Assumptions!$F$41-1, CQ13&lt;Assumptions!$L$17+1), SUM(CQ140:$GT$140), 0)+CQ137+IF(AND(CQ13&gt;Assumptions!$F$42-1, CQ13&lt;Assumptions!$L$17+1), SUM(CQ139:$GT$139), 0)</f>
        <v>0</v>
      </c>
      <c r="CR144" s="34">
        <f ca="1">IF(AND(CR13&gt;Assumptions!$F$41-1, CR13&lt;Assumptions!$L$17+1), SUM(CR140:$GT$140), 0)+CR137+IF(AND(CR13&gt;Assumptions!$F$42-1, CR13&lt;Assumptions!$L$17+1), SUM(CR139:$GT$139), 0)</f>
        <v>0</v>
      </c>
      <c r="CS144" s="34">
        <f ca="1">IF(AND(CS13&gt;Assumptions!$F$41-1, CS13&lt;Assumptions!$L$17+1), SUM(CS140:$GT$140), 0)+CS137+IF(AND(CS13&gt;Assumptions!$F$42-1, CS13&lt;Assumptions!$L$17+1), SUM(CS139:$GT$139), 0)</f>
        <v>0</v>
      </c>
      <c r="CT144" s="34">
        <f ca="1">IF(AND(CT13&gt;Assumptions!$F$41-1, CT13&lt;Assumptions!$L$17+1), SUM(CT140:$GT$140), 0)+CT137+IF(AND(CT13&gt;Assumptions!$F$42-1, CT13&lt;Assumptions!$L$17+1), SUM(CT139:$GT$139), 0)</f>
        <v>0</v>
      </c>
      <c r="CU144" s="34">
        <f ca="1">IF(AND(CU13&gt;Assumptions!$F$41-1, CU13&lt;Assumptions!$L$17+1), SUM(CU140:$GT$140), 0)+CU137+IF(AND(CU13&gt;Assumptions!$F$42-1, CU13&lt;Assumptions!$L$17+1), SUM(CU139:$GT$139), 0)</f>
        <v>0</v>
      </c>
      <c r="CV144" s="34">
        <f ca="1">IF(AND(CV13&gt;Assumptions!$F$41-1, CV13&lt;Assumptions!$L$17+1), SUM(CV140:$GT$140), 0)+CV137+IF(AND(CV13&gt;Assumptions!$F$42-1, CV13&lt;Assumptions!$L$17+1), SUM(CV139:$GT$139), 0)</f>
        <v>0</v>
      </c>
      <c r="CW144" s="34">
        <f ca="1">IF(AND(CW13&gt;Assumptions!$F$41-1, CW13&lt;Assumptions!$L$17+1), SUM(CW140:$GT$140), 0)+CW137+IF(AND(CW13&gt;Assumptions!$F$42-1, CW13&lt;Assumptions!$L$17+1), SUM(CW139:$GT$139), 0)</f>
        <v>0</v>
      </c>
      <c r="CX144" s="34">
        <f ca="1">IF(AND(CX13&gt;Assumptions!$F$41-1, CX13&lt;Assumptions!$L$17+1), SUM(CX140:$GT$140), 0)+CX137+IF(AND(CX13&gt;Assumptions!$F$42-1, CX13&lt;Assumptions!$L$17+1), SUM(CX139:$GT$139), 0)</f>
        <v>0</v>
      </c>
      <c r="CY144" s="34">
        <f ca="1">IF(AND(CY13&gt;Assumptions!$F$41-1, CY13&lt;Assumptions!$L$17+1), SUM(CY140:$GT$140), 0)+CY137+IF(AND(CY13&gt;Assumptions!$F$42-1, CY13&lt;Assumptions!$L$17+1), SUM(CY139:$GT$139), 0)</f>
        <v>0</v>
      </c>
      <c r="CZ144" s="34">
        <f ca="1">IF(AND(CZ13&gt;Assumptions!$F$41-1, CZ13&lt;Assumptions!$L$17+1), SUM(CZ140:$GT$140), 0)+CZ137+IF(AND(CZ13&gt;Assumptions!$F$42-1, CZ13&lt;Assumptions!$L$17+1), SUM(CZ139:$GT$139), 0)</f>
        <v>0</v>
      </c>
      <c r="DA144" s="34">
        <f ca="1">IF(AND(DA13&gt;Assumptions!$F$41-1, DA13&lt;Assumptions!$L$17+1), SUM(DA140:$GT$140), 0)+DA137+IF(AND(DA13&gt;Assumptions!$F$42-1, DA13&lt;Assumptions!$L$17+1), SUM(DA139:$GT$139), 0)</f>
        <v>0</v>
      </c>
      <c r="DB144" s="34">
        <f ca="1">IF(AND(DB13&gt;Assumptions!$F$41-1, DB13&lt;Assumptions!$L$17+1), SUM(DB140:$GT$140), 0)+DB137+IF(AND(DB13&gt;Assumptions!$F$42-1, DB13&lt;Assumptions!$L$17+1), SUM(DB139:$GT$139), 0)</f>
        <v>0</v>
      </c>
      <c r="DC144" s="34">
        <f ca="1">IF(AND(DC13&gt;Assumptions!$F$41-1, DC13&lt;Assumptions!$L$17+1), SUM(DC140:$GT$140), 0)+DC137+IF(AND(DC13&gt;Assumptions!$F$42-1, DC13&lt;Assumptions!$L$17+1), SUM(DC139:$GT$139), 0)</f>
        <v>0</v>
      </c>
      <c r="DD144" s="34">
        <f ca="1">IF(AND(DD13&gt;Assumptions!$F$41-1, DD13&lt;Assumptions!$L$17+1), SUM(DD140:$GT$140), 0)+DD137+IF(AND(DD13&gt;Assumptions!$F$42-1, DD13&lt;Assumptions!$L$17+1), SUM(DD139:$GT$139), 0)</f>
        <v>0</v>
      </c>
      <c r="DE144" s="34">
        <f ca="1">IF(AND(DE13&gt;Assumptions!$F$41-1, DE13&lt;Assumptions!$L$17+1), SUM(DE140:$GT$140), 0)+DE137+IF(AND(DE13&gt;Assumptions!$F$42-1, DE13&lt;Assumptions!$L$17+1), SUM(DE139:$GT$139), 0)</f>
        <v>0</v>
      </c>
      <c r="DF144" s="34">
        <f ca="1">IF(AND(DF13&gt;Assumptions!$F$41-1, DF13&lt;Assumptions!$L$17+1), SUM(DF140:$GT$140), 0)+DF137+IF(AND(DF13&gt;Assumptions!$F$42-1, DF13&lt;Assumptions!$L$17+1), SUM(DF139:$GT$139), 0)</f>
        <v>0</v>
      </c>
      <c r="DG144" s="34">
        <f ca="1">IF(AND(DG13&gt;Assumptions!$F$41-1, DG13&lt;Assumptions!$L$17+1), SUM(DG140:$GT$140), 0)+DG137+IF(AND(DG13&gt;Assumptions!$F$42-1, DG13&lt;Assumptions!$L$17+1), SUM(DG139:$GT$139), 0)</f>
        <v>0</v>
      </c>
      <c r="DH144" s="34">
        <f ca="1">IF(AND(DH13&gt;Assumptions!$F$41-1, DH13&lt;Assumptions!$L$17+1), SUM(DH140:$GT$140), 0)+DH137+IF(AND(DH13&gt;Assumptions!$F$42-1, DH13&lt;Assumptions!$L$17+1), SUM(DH139:$GT$139), 0)</f>
        <v>0</v>
      </c>
      <c r="DI144" s="34">
        <f ca="1">IF(AND(DI13&gt;Assumptions!$F$41-1, DI13&lt;Assumptions!$L$17+1), SUM(DI140:$GT$140), 0)+DI137+IF(AND(DI13&gt;Assumptions!$F$42-1, DI13&lt;Assumptions!$L$17+1), SUM(DI139:$GT$139), 0)</f>
        <v>0</v>
      </c>
      <c r="DJ144" s="34">
        <f ca="1">IF(AND(DJ13&gt;Assumptions!$F$41-1, DJ13&lt;Assumptions!$L$17+1), SUM(DJ140:$GT$140), 0)+DJ137+IF(AND(DJ13&gt;Assumptions!$F$42-1, DJ13&lt;Assumptions!$L$17+1), SUM(DJ139:$GT$139), 0)</f>
        <v>0</v>
      </c>
      <c r="DK144" s="34">
        <f ca="1">IF(AND(DK13&gt;Assumptions!$F$41-1, DK13&lt;Assumptions!$L$17+1), SUM(DK140:$GT$140), 0)+DK137+IF(AND(DK13&gt;Assumptions!$F$42-1, DK13&lt;Assumptions!$L$17+1), SUM(DK139:$GT$139), 0)</f>
        <v>0</v>
      </c>
      <c r="DL144" s="34">
        <f ca="1">IF(AND(DL13&gt;Assumptions!$F$41-1, DL13&lt;Assumptions!$L$17+1), SUM(DL140:$GT$140), 0)+DL137+IF(AND(DL13&gt;Assumptions!$F$42-1, DL13&lt;Assumptions!$L$17+1), SUM(DL139:$GT$139), 0)</f>
        <v>0</v>
      </c>
      <c r="DM144" s="34">
        <f ca="1">IF(AND(DM13&gt;Assumptions!$F$41-1, DM13&lt;Assumptions!$L$17+1), SUM(DM140:$GT$140), 0)+DM137+IF(AND(DM13&gt;Assumptions!$F$42-1, DM13&lt;Assumptions!$L$17+1), SUM(DM139:$GT$139), 0)</f>
        <v>0</v>
      </c>
      <c r="DN144" s="34">
        <f ca="1">IF(AND(DN13&gt;Assumptions!$F$41-1, DN13&lt;Assumptions!$L$17+1), SUM(DN140:$GT$140), 0)+DN137+IF(AND(DN13&gt;Assumptions!$F$42-1, DN13&lt;Assumptions!$L$17+1), SUM(DN139:$GT$139), 0)</f>
        <v>0</v>
      </c>
      <c r="DO144" s="34">
        <f ca="1">IF(AND(DO13&gt;Assumptions!$F$41-1, DO13&lt;Assumptions!$L$17+1), SUM(DO140:$GT$140), 0)+DO137+IF(AND(DO13&gt;Assumptions!$F$42-1, DO13&lt;Assumptions!$L$17+1), SUM(DO139:$GT$139), 0)</f>
        <v>0</v>
      </c>
      <c r="DP144" s="34">
        <f ca="1">IF(AND(DP13&gt;Assumptions!$F$41-1, DP13&lt;Assumptions!$L$17+1), SUM(DP140:$GT$140), 0)+DP137+IF(AND(DP13&gt;Assumptions!$F$42-1, DP13&lt;Assumptions!$L$17+1), SUM(DP139:$GT$139), 0)</f>
        <v>0</v>
      </c>
      <c r="DQ144" s="34">
        <f ca="1">IF(AND(DQ13&gt;Assumptions!$F$41-1, DQ13&lt;Assumptions!$L$17+1), SUM(DQ140:$GT$140), 0)+DQ137+IF(AND(DQ13&gt;Assumptions!$F$42-1, DQ13&lt;Assumptions!$L$17+1), SUM(DQ139:$GT$139), 0)</f>
        <v>0</v>
      </c>
      <c r="DR144" s="34">
        <f ca="1">IF(AND(DR13&gt;Assumptions!$F$41-1, DR13&lt;Assumptions!$L$17+1), SUM(DR140:$GT$140), 0)+DR137+IF(AND(DR13&gt;Assumptions!$F$42-1, DR13&lt;Assumptions!$L$17+1), SUM(DR139:$GT$139), 0)</f>
        <v>0</v>
      </c>
      <c r="DS144" s="34">
        <f ca="1">IF(AND(DS13&gt;Assumptions!$F$41-1, DS13&lt;Assumptions!$L$17+1), SUM(DS140:$GT$140), 0)+DS137+IF(AND(DS13&gt;Assumptions!$F$42-1, DS13&lt;Assumptions!$L$17+1), SUM(DS139:$GT$139), 0)</f>
        <v>0</v>
      </c>
      <c r="DT144" s="34">
        <f ca="1">IF(AND(DT13&gt;Assumptions!$F$41-1, DT13&lt;Assumptions!$L$17+1), SUM(DT140:$GT$140), 0)+DT137+IF(AND(DT13&gt;Assumptions!$F$42-1, DT13&lt;Assumptions!$L$17+1), SUM(DT139:$GT$139), 0)</f>
        <v>0</v>
      </c>
      <c r="DU144" s="34">
        <f ca="1">IF(AND(DU13&gt;Assumptions!$F$41-1, DU13&lt;Assumptions!$L$17+1), SUM(DU140:$GT$140), 0)+DU137+IF(AND(DU13&gt;Assumptions!$F$42-1, DU13&lt;Assumptions!$L$17+1), SUM(DU139:$GT$139), 0)</f>
        <v>0</v>
      </c>
      <c r="DV144" s="34">
        <f ca="1">IF(AND(DV13&gt;Assumptions!$F$41-1, DV13&lt;Assumptions!$L$17+1), SUM(DV140:$GT$140), 0)+DV137+IF(AND(DV13&gt;Assumptions!$F$42-1, DV13&lt;Assumptions!$L$17+1), SUM(DV139:$GT$139), 0)</f>
        <v>0</v>
      </c>
      <c r="DW144" s="34">
        <f ca="1">IF(AND(DW13&gt;Assumptions!$F$41-1, DW13&lt;Assumptions!$L$17+1), SUM(DW140:$GT$140), 0)+DW137+IF(AND(DW13&gt;Assumptions!$F$42-1, DW13&lt;Assumptions!$L$17+1), SUM(DW139:$GT$139), 0)</f>
        <v>0</v>
      </c>
      <c r="DX144" s="34">
        <f ca="1">IF(AND(DX13&gt;Assumptions!$F$41-1, DX13&lt;Assumptions!$L$17+1), SUM(DX140:$GT$140), 0)+DX137+IF(AND(DX13&gt;Assumptions!$F$42-1, DX13&lt;Assumptions!$L$17+1), SUM(DX139:$GT$139), 0)</f>
        <v>0</v>
      </c>
      <c r="DY144" s="34">
        <f ca="1">IF(AND(DY13&gt;Assumptions!$F$41-1, DY13&lt;Assumptions!$L$17+1), SUM(DY140:$GT$140), 0)+DY137+IF(AND(DY13&gt;Assumptions!$F$42-1, DY13&lt;Assumptions!$L$17+1), SUM(DY139:$GT$139), 0)</f>
        <v>0</v>
      </c>
      <c r="DZ144" s="34">
        <f ca="1">IF(AND(DZ13&gt;Assumptions!$F$41-1, DZ13&lt;Assumptions!$L$17+1), SUM(DZ140:$GT$140), 0)+DZ137+IF(AND(DZ13&gt;Assumptions!$F$42-1, DZ13&lt;Assumptions!$L$17+1), SUM(DZ139:$GT$139), 0)</f>
        <v>0</v>
      </c>
      <c r="EA144" s="34">
        <f ca="1">IF(AND(EA13&gt;Assumptions!$F$41-1, EA13&lt;Assumptions!$L$17+1), SUM(EA140:$GT$140), 0)+EA137+IF(AND(EA13&gt;Assumptions!$F$42-1, EA13&lt;Assumptions!$L$17+1), SUM(EA139:$GT$139), 0)</f>
        <v>0</v>
      </c>
      <c r="EB144" s="34">
        <f ca="1">IF(AND(EB13&gt;Assumptions!$F$41-1, EB13&lt;Assumptions!$L$17+1), SUM(EB140:$GT$140), 0)+EB137+IF(AND(EB13&gt;Assumptions!$F$42-1, EB13&lt;Assumptions!$L$17+1), SUM(EB139:$GT$139), 0)</f>
        <v>0</v>
      </c>
      <c r="EC144" s="34">
        <f ca="1">IF(AND(EC13&gt;Assumptions!$F$41-1, EC13&lt;Assumptions!$L$17+1), SUM(EC140:$GT$140), 0)+EC137+IF(AND(EC13&gt;Assumptions!$F$42-1, EC13&lt;Assumptions!$L$17+1), SUM(EC139:$GT$139), 0)</f>
        <v>0</v>
      </c>
      <c r="ED144" s="34">
        <f ca="1">IF(AND(ED13&gt;Assumptions!$F$41-1, ED13&lt;Assumptions!$L$17+1), SUM(ED140:$GT$140), 0)+ED137+IF(AND(ED13&gt;Assumptions!$F$42-1, ED13&lt;Assumptions!$L$17+1), SUM(ED139:$GT$139), 0)</f>
        <v>0</v>
      </c>
      <c r="EE144" s="34">
        <f ca="1">IF(AND(EE13&gt;Assumptions!$F$41-1, EE13&lt;Assumptions!$L$17+1), SUM(EE140:$GT$140), 0)+EE137+IF(AND(EE13&gt;Assumptions!$F$42-1, EE13&lt;Assumptions!$L$17+1), SUM(EE139:$GT$139), 0)</f>
        <v>0</v>
      </c>
      <c r="EF144" s="34">
        <f ca="1">IF(AND(EF13&gt;Assumptions!$F$41-1, EF13&lt;Assumptions!$L$17+1), SUM(EF140:$GT$140), 0)+EF137+IF(AND(EF13&gt;Assumptions!$F$42-1, EF13&lt;Assumptions!$L$17+1), SUM(EF139:$GT$139), 0)</f>
        <v>0</v>
      </c>
      <c r="EG144" s="34">
        <f ca="1">IF(AND(EG13&gt;Assumptions!$F$41-1, EG13&lt;Assumptions!$L$17+1), SUM(EG140:$GT$140), 0)+EG137+IF(AND(EG13&gt;Assumptions!$F$42-1, EG13&lt;Assumptions!$L$17+1), SUM(EG139:$GT$139), 0)</f>
        <v>0</v>
      </c>
      <c r="EH144" s="34">
        <f ca="1">IF(AND(EH13&gt;Assumptions!$F$41-1, EH13&lt;Assumptions!$L$17+1), SUM(EH140:$GT$140), 0)+EH137+IF(AND(EH13&gt;Assumptions!$F$42-1, EH13&lt;Assumptions!$L$17+1), SUM(EH139:$GT$139), 0)</f>
        <v>0</v>
      </c>
      <c r="EI144" s="34">
        <f ca="1">IF(AND(EI13&gt;Assumptions!$F$41-1, EI13&lt;Assumptions!$L$17+1), SUM(EI140:$GT$140), 0)+EI137+IF(AND(EI13&gt;Assumptions!$F$42-1, EI13&lt;Assumptions!$L$17+1), SUM(EI139:$GT$139), 0)</f>
        <v>0</v>
      </c>
      <c r="EJ144" s="34">
        <f ca="1">IF(AND(EJ13&gt;Assumptions!$F$41-1, EJ13&lt;Assumptions!$L$17+1), SUM(EJ140:$GT$140), 0)+EJ137+IF(AND(EJ13&gt;Assumptions!$F$42-1, EJ13&lt;Assumptions!$L$17+1), SUM(EJ139:$GT$139), 0)</f>
        <v>0</v>
      </c>
      <c r="EK144" s="34">
        <f ca="1">IF(AND(EK13&gt;Assumptions!$F$41-1, EK13&lt;Assumptions!$L$17+1), SUM(EK140:$GT$140), 0)+EK137+IF(AND(EK13&gt;Assumptions!$F$42-1, EK13&lt;Assumptions!$L$17+1), SUM(EK139:$GT$139), 0)</f>
        <v>0</v>
      </c>
      <c r="EL144" s="34">
        <f ca="1">IF(AND(EL13&gt;Assumptions!$F$41-1, EL13&lt;Assumptions!$L$17+1), SUM(EL140:$GT$140), 0)+EL137+IF(AND(EL13&gt;Assumptions!$F$42-1, EL13&lt;Assumptions!$L$17+1), SUM(EL139:$GT$139), 0)</f>
        <v>0</v>
      </c>
      <c r="EM144" s="34">
        <f ca="1">IF(AND(EM13&gt;Assumptions!$F$41-1, EM13&lt;Assumptions!$L$17+1), SUM(EM140:$GT$140), 0)+EM137+IF(AND(EM13&gt;Assumptions!$F$42-1, EM13&lt;Assumptions!$L$17+1), SUM(EM139:$GT$139), 0)</f>
        <v>0</v>
      </c>
      <c r="EN144" s="34">
        <f ca="1">IF(AND(EN13&gt;Assumptions!$F$41-1, EN13&lt;Assumptions!$L$17+1), SUM(EN140:$GT$140), 0)+EN137+IF(AND(EN13&gt;Assumptions!$F$42-1, EN13&lt;Assumptions!$L$17+1), SUM(EN139:$GT$139), 0)</f>
        <v>0</v>
      </c>
      <c r="EO144" s="34">
        <f ca="1">IF(AND(EO13&gt;Assumptions!$F$41-1, EO13&lt;Assumptions!$L$17+1), SUM(EO140:$GT$140), 0)+EO137+IF(AND(EO13&gt;Assumptions!$F$42-1, EO13&lt;Assumptions!$L$17+1), SUM(EO139:$GT$139), 0)</f>
        <v>0</v>
      </c>
      <c r="EP144" s="34">
        <f ca="1">IF(AND(EP13&gt;Assumptions!$F$41-1, EP13&lt;Assumptions!$L$17+1), SUM(EP140:$GT$140), 0)+EP137+IF(AND(EP13&gt;Assumptions!$F$42-1, EP13&lt;Assumptions!$L$17+1), SUM(EP139:$GT$139), 0)</f>
        <v>0</v>
      </c>
      <c r="EQ144" s="34">
        <f ca="1">IF(AND(EQ13&gt;Assumptions!$F$41-1, EQ13&lt;Assumptions!$L$17+1), SUM(EQ140:$GT$140), 0)+EQ137+IF(AND(EQ13&gt;Assumptions!$F$42-1, EQ13&lt;Assumptions!$L$17+1), SUM(EQ139:$GT$139), 0)</f>
        <v>0</v>
      </c>
      <c r="ER144" s="34">
        <f ca="1">IF(AND(ER13&gt;Assumptions!$F$41-1, ER13&lt;Assumptions!$L$17+1), SUM(ER140:$GT$140), 0)+ER137+IF(AND(ER13&gt;Assumptions!$F$42-1, ER13&lt;Assumptions!$L$17+1), SUM(ER139:$GT$139), 0)</f>
        <v>0</v>
      </c>
      <c r="ES144" s="34">
        <f ca="1">IF(AND(ES13&gt;Assumptions!$F$41-1, ES13&lt;Assumptions!$L$17+1), SUM(ES140:$GT$140), 0)+ES137+IF(AND(ES13&gt;Assumptions!$F$42-1, ES13&lt;Assumptions!$L$17+1), SUM(ES139:$GT$139), 0)</f>
        <v>0</v>
      </c>
      <c r="ET144" s="34">
        <f ca="1">IF(AND(ET13&gt;Assumptions!$F$41-1, ET13&lt;Assumptions!$L$17+1), SUM(ET140:$GT$140), 0)+ET137+IF(AND(ET13&gt;Assumptions!$F$42-1, ET13&lt;Assumptions!$L$17+1), SUM(ET139:$GT$139), 0)</f>
        <v>0</v>
      </c>
      <c r="EU144" s="34">
        <f ca="1">IF(AND(EU13&gt;Assumptions!$F$41-1, EU13&lt;Assumptions!$L$17+1), SUM(EU140:$GT$140), 0)+EU137+IF(AND(EU13&gt;Assumptions!$F$42-1, EU13&lt;Assumptions!$L$17+1), SUM(EU139:$GT$139), 0)</f>
        <v>0</v>
      </c>
      <c r="EV144" s="34">
        <f ca="1">IF(AND(EV13&gt;Assumptions!$F$41-1, EV13&lt;Assumptions!$L$17+1), SUM(EV140:$GT$140), 0)+EV137+IF(AND(EV13&gt;Assumptions!$F$42-1, EV13&lt;Assumptions!$L$17+1), SUM(EV139:$GT$139), 0)</f>
        <v>0</v>
      </c>
      <c r="EW144" s="34">
        <f ca="1">IF(AND(EW13&gt;Assumptions!$F$41-1, EW13&lt;Assumptions!$L$17+1), SUM(EW140:$GT$140), 0)+EW137+IF(AND(EW13&gt;Assumptions!$F$42-1, EW13&lt;Assumptions!$L$17+1), SUM(EW139:$GT$139), 0)</f>
        <v>0</v>
      </c>
      <c r="EX144" s="34">
        <f ca="1">IF(AND(EX13&gt;Assumptions!$F$41-1, EX13&lt;Assumptions!$L$17+1), SUM(EX140:$GT$140), 0)+EX137+IF(AND(EX13&gt;Assumptions!$F$42-1, EX13&lt;Assumptions!$L$17+1), SUM(EX139:$GT$139), 0)</f>
        <v>0</v>
      </c>
      <c r="EY144" s="34">
        <f ca="1">IF(AND(EY13&gt;Assumptions!$F$41-1, EY13&lt;Assumptions!$L$17+1), SUM(EY140:$GT$140), 0)+EY137+IF(AND(EY13&gt;Assumptions!$F$42-1, EY13&lt;Assumptions!$L$17+1), SUM(EY139:$GT$139), 0)</f>
        <v>0</v>
      </c>
      <c r="EZ144" s="34">
        <f ca="1">IF(AND(EZ13&gt;Assumptions!$F$41-1, EZ13&lt;Assumptions!$L$17+1), SUM(EZ140:$GT$140), 0)+EZ137+IF(AND(EZ13&gt;Assumptions!$F$42-1, EZ13&lt;Assumptions!$L$17+1), SUM(EZ139:$GT$139), 0)</f>
        <v>0</v>
      </c>
      <c r="FA144" s="34">
        <f ca="1">IF(AND(FA13&gt;Assumptions!$F$41-1, FA13&lt;Assumptions!$L$17+1), SUM(FA140:$GT$140), 0)+FA137+IF(AND(FA13&gt;Assumptions!$F$42-1, FA13&lt;Assumptions!$L$17+1), SUM(FA139:$GT$139), 0)</f>
        <v>0</v>
      </c>
      <c r="FB144" s="34">
        <f ca="1">IF(AND(FB13&gt;Assumptions!$F$41-1, FB13&lt;Assumptions!$L$17+1), SUM(FB140:$GT$140), 0)+FB137+IF(AND(FB13&gt;Assumptions!$F$42-1, FB13&lt;Assumptions!$L$17+1), SUM(FB139:$GT$139), 0)</f>
        <v>0</v>
      </c>
      <c r="FC144" s="34">
        <f ca="1">IF(AND(FC13&gt;Assumptions!$F$41-1, FC13&lt;Assumptions!$L$17+1), SUM(FC140:$GT$140), 0)+FC137+IF(AND(FC13&gt;Assumptions!$F$42-1, FC13&lt;Assumptions!$L$17+1), SUM(FC139:$GT$139), 0)</f>
        <v>0</v>
      </c>
      <c r="FD144" s="34">
        <f ca="1">IF(AND(FD13&gt;Assumptions!$F$41-1, FD13&lt;Assumptions!$L$17+1), SUM(FD140:$GT$140), 0)+FD137+IF(AND(FD13&gt;Assumptions!$F$42-1, FD13&lt;Assumptions!$L$17+1), SUM(FD139:$GT$139), 0)</f>
        <v>0</v>
      </c>
      <c r="FE144" s="34">
        <f ca="1">IF(AND(FE13&gt;Assumptions!$F$41-1, FE13&lt;Assumptions!$L$17+1), SUM(FE140:$GT$140), 0)+FE137+IF(AND(FE13&gt;Assumptions!$F$42-1, FE13&lt;Assumptions!$L$17+1), SUM(FE139:$GT$139), 0)</f>
        <v>0</v>
      </c>
      <c r="FF144" s="34">
        <f ca="1">IF(AND(FF13&gt;Assumptions!$F$41-1, FF13&lt;Assumptions!$L$17+1), SUM(FF140:$GT$140), 0)+FF137+IF(AND(FF13&gt;Assumptions!$F$42-1, FF13&lt;Assumptions!$L$17+1), SUM(FF139:$GT$139), 0)</f>
        <v>0</v>
      </c>
      <c r="FG144" s="34">
        <f ca="1">IF(AND(FG13&gt;Assumptions!$F$41-1, FG13&lt;Assumptions!$L$17+1), SUM(FG140:$GT$140), 0)+FG137+IF(AND(FG13&gt;Assumptions!$F$42-1, FG13&lt;Assumptions!$L$17+1), SUM(FG139:$GT$139), 0)</f>
        <v>0</v>
      </c>
      <c r="FH144" s="34">
        <f ca="1">IF(AND(FH13&gt;Assumptions!$F$41-1, FH13&lt;Assumptions!$L$17+1), SUM(FH140:$GT$140), 0)+FH137+IF(AND(FH13&gt;Assumptions!$F$42-1, FH13&lt;Assumptions!$L$17+1), SUM(FH139:$GT$139), 0)</f>
        <v>0</v>
      </c>
      <c r="FI144" s="34">
        <f ca="1">IF(AND(FI13&gt;Assumptions!$F$41-1, FI13&lt;Assumptions!$L$17+1), SUM(FI140:$GT$140), 0)+FI137+IF(AND(FI13&gt;Assumptions!$F$42-1, FI13&lt;Assumptions!$L$17+1), SUM(FI139:$GT$139), 0)</f>
        <v>0</v>
      </c>
      <c r="FJ144" s="34">
        <f ca="1">IF(AND(FJ13&gt;Assumptions!$F$41-1, FJ13&lt;Assumptions!$L$17+1), SUM(FJ140:$GT$140), 0)+FJ137+IF(AND(FJ13&gt;Assumptions!$F$42-1, FJ13&lt;Assumptions!$L$17+1), SUM(FJ139:$GT$139), 0)</f>
        <v>0</v>
      </c>
      <c r="FK144" s="34">
        <f ca="1">IF(AND(FK13&gt;Assumptions!$F$41-1, FK13&lt;Assumptions!$L$17+1), SUM(FK140:$GT$140), 0)+FK137+IF(AND(FK13&gt;Assumptions!$F$42-1, FK13&lt;Assumptions!$L$17+1), SUM(FK139:$GT$139), 0)</f>
        <v>0</v>
      </c>
      <c r="FL144" s="34">
        <f ca="1">IF(AND(FL13&gt;Assumptions!$F$41-1, FL13&lt;Assumptions!$L$17+1), SUM(FL140:$GT$140), 0)+FL137+IF(AND(FL13&gt;Assumptions!$F$42-1, FL13&lt;Assumptions!$L$17+1), SUM(FL139:$GT$139), 0)</f>
        <v>0</v>
      </c>
      <c r="FM144" s="34">
        <f ca="1">IF(AND(FM13&gt;Assumptions!$F$41-1, FM13&lt;Assumptions!$L$17+1), SUM(FM140:$GT$140), 0)+FM137+IF(AND(FM13&gt;Assumptions!$F$42-1, FM13&lt;Assumptions!$L$17+1), SUM(FM139:$GT$139), 0)</f>
        <v>0</v>
      </c>
      <c r="FN144" s="34">
        <f ca="1">IF(AND(FN13&gt;Assumptions!$F$41-1, FN13&lt;Assumptions!$L$17+1), SUM(FN140:$GT$140), 0)+FN137+IF(AND(FN13&gt;Assumptions!$F$42-1, FN13&lt;Assumptions!$L$17+1), SUM(FN139:$GT$139), 0)</f>
        <v>0</v>
      </c>
      <c r="FO144" s="34">
        <f ca="1">IF(AND(FO13&gt;Assumptions!$F$41-1, FO13&lt;Assumptions!$L$17+1), SUM(FO140:$GT$140), 0)+FO137+IF(AND(FO13&gt;Assumptions!$F$42-1, FO13&lt;Assumptions!$L$17+1), SUM(FO139:$GT$139), 0)</f>
        <v>0</v>
      </c>
      <c r="FP144" s="34">
        <f ca="1">IF(AND(FP13&gt;Assumptions!$F$41-1, FP13&lt;Assumptions!$L$17+1), SUM(FP140:$GT$140), 0)+FP137+IF(AND(FP13&gt;Assumptions!$F$42-1, FP13&lt;Assumptions!$L$17+1), SUM(FP139:$GT$139), 0)</f>
        <v>0</v>
      </c>
      <c r="FQ144" s="34">
        <f ca="1">IF(AND(FQ13&gt;Assumptions!$F$41-1, FQ13&lt;Assumptions!$L$17+1), SUM(FQ140:$GT$140), 0)+FQ137+IF(AND(FQ13&gt;Assumptions!$F$42-1, FQ13&lt;Assumptions!$L$17+1), SUM(FQ139:$GT$139), 0)</f>
        <v>0</v>
      </c>
      <c r="FR144" s="34">
        <f ca="1">IF(AND(FR13&gt;Assumptions!$F$41-1, FR13&lt;Assumptions!$L$17+1), SUM(FR140:$GT$140), 0)+FR137+IF(AND(FR13&gt;Assumptions!$F$42-1, FR13&lt;Assumptions!$L$17+1), SUM(FR139:$GT$139), 0)</f>
        <v>0</v>
      </c>
      <c r="FS144" s="34">
        <f ca="1">IF(AND(FS13&gt;Assumptions!$F$41-1, FS13&lt;Assumptions!$L$17+1), SUM(FS140:$GT$140), 0)+FS137+IF(AND(FS13&gt;Assumptions!$F$42-1, FS13&lt;Assumptions!$L$17+1), SUM(FS139:$GT$139), 0)</f>
        <v>0</v>
      </c>
      <c r="FT144" s="34">
        <f ca="1">IF(AND(FT13&gt;Assumptions!$F$41-1, FT13&lt;Assumptions!$L$17+1), SUM(FT140:$GT$140), 0)+FT137+IF(AND(FT13&gt;Assumptions!$F$42-1, FT13&lt;Assumptions!$L$17+1), SUM(FT139:$GT$139), 0)</f>
        <v>0</v>
      </c>
      <c r="FU144" s="34">
        <f ca="1">IF(AND(FU13&gt;Assumptions!$F$41-1, FU13&lt;Assumptions!$L$17+1), SUM(FU140:$GT$140), 0)+FU137+IF(AND(FU13&gt;Assumptions!$F$42-1, FU13&lt;Assumptions!$L$17+1), SUM(FU139:$GT$139), 0)</f>
        <v>0</v>
      </c>
      <c r="FV144" s="34">
        <f ca="1">IF(AND(FV13&gt;Assumptions!$F$41-1, FV13&lt;Assumptions!$L$17+1), SUM(FV140:$GT$140), 0)+FV137+IF(AND(FV13&gt;Assumptions!$F$42-1, FV13&lt;Assumptions!$L$17+1), SUM(FV139:$GT$139), 0)</f>
        <v>0</v>
      </c>
      <c r="FW144" s="34">
        <f ca="1">IF(AND(FW13&gt;Assumptions!$F$41-1, FW13&lt;Assumptions!$L$17+1), SUM(FW140:$GT$140), 0)+FW137+IF(AND(FW13&gt;Assumptions!$F$42-1, FW13&lt;Assumptions!$L$17+1), SUM(FW139:$GT$139), 0)</f>
        <v>0</v>
      </c>
      <c r="FX144" s="34">
        <f ca="1">IF(AND(FX13&gt;Assumptions!$F$41-1, FX13&lt;Assumptions!$L$17+1), SUM(FX140:$GT$140), 0)+FX137+IF(AND(FX13&gt;Assumptions!$F$42-1, FX13&lt;Assumptions!$L$17+1), SUM(FX139:$GT$139), 0)</f>
        <v>0</v>
      </c>
      <c r="FY144" s="34">
        <f ca="1">IF(AND(FY13&gt;Assumptions!$F$41-1, FY13&lt;Assumptions!$L$17+1), SUM(FY140:$GT$140), 0)+FY137+IF(AND(FY13&gt;Assumptions!$F$42-1, FY13&lt;Assumptions!$L$17+1), SUM(FY139:$GT$139), 0)</f>
        <v>0</v>
      </c>
      <c r="FZ144" s="34">
        <f ca="1">IF(AND(FZ13&gt;Assumptions!$F$41-1, FZ13&lt;Assumptions!$L$17+1), SUM(FZ140:$GT$140), 0)+FZ137+IF(AND(FZ13&gt;Assumptions!$F$42-1, FZ13&lt;Assumptions!$L$17+1), SUM(FZ139:$GT$139), 0)</f>
        <v>0</v>
      </c>
      <c r="GA144" s="34">
        <f ca="1">IF(AND(GA13&gt;Assumptions!$F$41-1, GA13&lt;Assumptions!$L$17+1), SUM(GA140:$GT$140), 0)+GA137+IF(AND(GA13&gt;Assumptions!$F$42-1, GA13&lt;Assumptions!$L$17+1), SUM(GA139:$GT$139), 0)</f>
        <v>0</v>
      </c>
      <c r="GB144" s="34">
        <f ca="1">IF(AND(GB13&gt;Assumptions!$F$41-1, GB13&lt;Assumptions!$L$17+1), SUM(GB140:$GT$140), 0)+GB137+IF(AND(GB13&gt;Assumptions!$F$42-1, GB13&lt;Assumptions!$L$17+1), SUM(GB139:$GT$139), 0)</f>
        <v>0</v>
      </c>
      <c r="GC144" s="34">
        <f ca="1">IF(AND(GC13&gt;Assumptions!$F$41-1, GC13&lt;Assumptions!$L$17+1), SUM(GC140:$GT$140), 0)+GC137+IF(AND(GC13&gt;Assumptions!$F$42-1, GC13&lt;Assumptions!$L$17+1), SUM(GC139:$GT$139), 0)</f>
        <v>0</v>
      </c>
      <c r="GD144" s="34"/>
      <c r="GE144" s="34"/>
      <c r="GF144" s="34"/>
      <c r="GG144" s="34"/>
      <c r="GH144" s="34"/>
      <c r="GI144" s="34"/>
      <c r="GJ144" s="34"/>
      <c r="GK144" s="34"/>
      <c r="GL144" s="34"/>
      <c r="GM144" s="34"/>
      <c r="GN144" s="34"/>
      <c r="GO144" s="34"/>
      <c r="GP144" s="34">
        <f ca="1">IF(AND(GP13&gt;Assumptions!$F$41-1, GP13&lt;Assumptions!$L$17+1), SUM(GP140:$GT$140), 0)+GP137+IF(AND(GP13&gt;Assumptions!$F$42-1, GP13&lt;Assumptions!$L$17+1), SUM(GP139:$GT$139), 0)</f>
        <v>0</v>
      </c>
      <c r="GQ144" s="34">
        <f ca="1">IF(AND(GQ13&gt;Assumptions!$F$41-1, GQ13&lt;Assumptions!$L$17+1), SUM(GQ140:$GT$140), 0)+GQ137+IF(AND(GQ13&gt;Assumptions!$F$42-1, GQ13&lt;Assumptions!$L$17+1), SUM(GQ139:$GT$139), 0)</f>
        <v>0</v>
      </c>
      <c r="GR144" s="34">
        <f ca="1">IF(AND(GR13&gt;Assumptions!$F$41-1, GR13&lt;Assumptions!$L$17+1), SUM(GR140:$GT$140), 0)+GR137+IF(AND(GR13&gt;Assumptions!$F$42-1, GR13&lt;Assumptions!$L$17+1), SUM(GR139:$GT$139), 0)</f>
        <v>0</v>
      </c>
      <c r="GS144" s="34">
        <f ca="1">IF(AND(GS13&gt;Assumptions!$F$41-1, GS13&lt;Assumptions!$L$17+1), SUM(GS140:$GT$140), 0)+GS137+IF(AND(GS13&gt;Assumptions!$F$42-1, GS13&lt;Assumptions!$L$17+1), SUM(GS139:$GT$139), 0)</f>
        <v>0</v>
      </c>
      <c r="GT144" s="34">
        <f ca="1">IF(AND(GT13&gt;Assumptions!$F$41-1, GT13&lt;Assumptions!$L$17+1), SUM(GT140:$GT$140), 0)+GT137+IF(AND(GT13&gt;Assumptions!$F$42-1, GT13&lt;Assumptions!$L$17+1), SUM(GT139:$GT$139), 0)</f>
        <v>0</v>
      </c>
      <c r="GU144" s="34"/>
      <c r="GV144" s="34"/>
      <c r="GW144" s="34"/>
      <c r="GX144" s="34"/>
      <c r="GY144" s="34"/>
      <c r="GZ144" s="34"/>
      <c r="HA144" s="34"/>
      <c r="HB144" s="34"/>
      <c r="HC144" s="34"/>
      <c r="HD144" s="34"/>
      <c r="HE144" s="34"/>
      <c r="HF144" s="1" t="s">
        <v>212</v>
      </c>
      <c r="HH144" s="203"/>
      <c r="HI144" s="34"/>
      <c r="HJ144" s="34"/>
      <c r="HK144" s="34"/>
      <c r="HL144" s="123"/>
      <c r="HM144" s="34"/>
      <c r="HN144" s="124"/>
      <c r="HO144" s="34"/>
      <c r="HP144" s="34"/>
      <c r="HQ144" s="34"/>
      <c r="HR144" s="34"/>
      <c r="HS144" s="34"/>
      <c r="HT144" s="34"/>
      <c r="HU144" s="34"/>
      <c r="HV144" s="34"/>
      <c r="HW144"/>
    </row>
    <row r="145" spans="1:231" ht="16" outlineLevel="1" thickBot="1">
      <c r="B145" s="221"/>
      <c r="F145" s="202"/>
      <c r="G145" s="98"/>
      <c r="H145" s="489"/>
      <c r="I145" s="123"/>
      <c r="J145" s="34"/>
      <c r="K145" s="124"/>
      <c r="L145" s="34"/>
      <c r="M145" s="34"/>
      <c r="O145" s="34"/>
      <c r="P145" s="34"/>
      <c r="Q145" s="34"/>
      <c r="R145" s="34"/>
      <c r="S145" s="34"/>
      <c r="U145" s="34"/>
      <c r="V145" s="931"/>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c r="BA145" s="34"/>
      <c r="BB145" s="34"/>
      <c r="BC145" s="34"/>
      <c r="BD145" s="34"/>
      <c r="BE145" s="34"/>
      <c r="BF145" s="34"/>
      <c r="BG145" s="34"/>
      <c r="BH145" s="34"/>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c r="CK145" s="34"/>
      <c r="CL145" s="34"/>
      <c r="CM145" s="34"/>
      <c r="CN145" s="34"/>
      <c r="CO145" s="34"/>
      <c r="CP145" s="34"/>
      <c r="CQ145" s="34"/>
      <c r="CR145" s="34"/>
      <c r="CS145" s="34"/>
      <c r="CT145" s="34"/>
      <c r="CU145" s="34"/>
      <c r="CV145" s="34"/>
      <c r="CW145" s="34"/>
      <c r="CX145" s="34"/>
      <c r="CY145" s="34"/>
      <c r="CZ145" s="34"/>
      <c r="DA145" s="34"/>
      <c r="DB145" s="34"/>
      <c r="DC145" s="34"/>
      <c r="DD145" s="34"/>
      <c r="DE145" s="34"/>
      <c r="DF145" s="34"/>
      <c r="DG145" s="34"/>
      <c r="DH145" s="34"/>
      <c r="DI145" s="34"/>
      <c r="DJ145" s="34"/>
      <c r="DK145" s="34"/>
      <c r="DL145" s="34"/>
      <c r="DM145" s="34"/>
      <c r="DN145" s="34"/>
      <c r="DO145" s="34"/>
      <c r="DP145" s="34"/>
      <c r="DQ145" s="34"/>
      <c r="DR145" s="34"/>
      <c r="DS145" s="34"/>
      <c r="DT145" s="34"/>
      <c r="DU145" s="34"/>
      <c r="DV145" s="34"/>
      <c r="DW145" s="34"/>
      <c r="DX145" s="34"/>
      <c r="DY145" s="34"/>
      <c r="DZ145" s="34"/>
      <c r="EA145" s="34"/>
      <c r="EB145" s="34"/>
      <c r="EC145" s="34"/>
      <c r="ED145" s="34"/>
      <c r="EE145" s="34"/>
      <c r="EF145" s="34"/>
      <c r="EG145" s="34"/>
      <c r="EH145" s="34"/>
      <c r="EI145" s="34"/>
      <c r="EJ145" s="34"/>
      <c r="EK145" s="34"/>
      <c r="EL145" s="34"/>
      <c r="EM145" s="34"/>
      <c r="EN145" s="34"/>
      <c r="EO145" s="34"/>
      <c r="EP145" s="34"/>
      <c r="EQ145" s="34"/>
      <c r="ER145" s="34"/>
      <c r="ES145" s="34"/>
      <c r="ET145" s="34"/>
      <c r="EU145" s="34"/>
      <c r="EV145" s="34"/>
      <c r="EW145" s="34"/>
      <c r="EX145" s="34"/>
      <c r="EY145" s="34"/>
      <c r="EZ145" s="34"/>
      <c r="FA145" s="34"/>
      <c r="FB145" s="34"/>
      <c r="FC145" s="34"/>
      <c r="FD145" s="34"/>
      <c r="FE145" s="34"/>
      <c r="FF145" s="34"/>
      <c r="FG145" s="34"/>
      <c r="FH145" s="34"/>
      <c r="FI145" s="34"/>
      <c r="FJ145" s="34"/>
      <c r="FK145" s="34"/>
      <c r="FL145" s="34"/>
      <c r="FM145" s="34"/>
      <c r="FN145" s="34"/>
      <c r="FO145" s="34"/>
      <c r="FP145" s="34"/>
      <c r="FQ145" s="34"/>
      <c r="FR145" s="34"/>
      <c r="FS145" s="34"/>
      <c r="FT145" s="34"/>
      <c r="FU145" s="34"/>
      <c r="FV145" s="34"/>
      <c r="FW145" s="34"/>
      <c r="FX145" s="34"/>
      <c r="FY145" s="34"/>
      <c r="FZ145" s="34"/>
      <c r="GA145" s="34"/>
      <c r="GB145" s="34"/>
      <c r="GC145" s="34"/>
      <c r="GD145" s="34"/>
      <c r="GE145" s="34"/>
      <c r="GF145" s="34"/>
      <c r="GG145" s="34"/>
      <c r="GH145" s="34"/>
      <c r="GI145" s="34"/>
      <c r="GJ145" s="34"/>
      <c r="GK145" s="34"/>
      <c r="GL145" s="34"/>
      <c r="GM145" s="34"/>
      <c r="GN145" s="34"/>
      <c r="GO145" s="34"/>
      <c r="GP145" s="34"/>
      <c r="GQ145" s="34"/>
      <c r="GR145" s="34"/>
      <c r="GS145" s="34"/>
      <c r="GT145" s="34"/>
      <c r="GU145" s="34"/>
      <c r="GV145" s="34"/>
      <c r="GW145" s="34"/>
      <c r="GX145" s="34"/>
      <c r="GY145" s="34"/>
      <c r="GZ145" s="34"/>
      <c r="HA145" s="34"/>
      <c r="HB145" s="34"/>
      <c r="HC145" s="34"/>
      <c r="HD145" s="34"/>
      <c r="HE145" s="34"/>
      <c r="HF145" s="1" t="s">
        <v>212</v>
      </c>
      <c r="HH145" s="203"/>
      <c r="HI145" s="34"/>
      <c r="HJ145" s="34"/>
      <c r="HK145" s="34"/>
      <c r="HL145" s="123"/>
      <c r="HM145" s="34"/>
      <c r="HN145" s="124"/>
      <c r="HO145" s="34"/>
      <c r="HP145" s="34"/>
      <c r="HQ145" s="34"/>
      <c r="HR145" s="34"/>
      <c r="HS145" s="34"/>
      <c r="HT145" s="34"/>
      <c r="HU145" s="34"/>
      <c r="HV145" s="34"/>
      <c r="HW145"/>
    </row>
    <row r="146" spans="1:231" ht="16" outlineLevel="1" thickBot="1">
      <c r="B146" s="13" t="s">
        <v>85</v>
      </c>
      <c r="E146" s="204"/>
      <c r="F146" s="401">
        <v>120</v>
      </c>
      <c r="G146" s="385">
        <f>Assumptions!F43</f>
        <v>1</v>
      </c>
      <c r="I146" s="132">
        <f>SUMIF($K$13:$GT$13,"&lt;="&amp;Assumptions!$L$17,'Monthly Cash Flow'!K146:GT146)</f>
        <v>0</v>
      </c>
      <c r="J146" s="26"/>
      <c r="K146" s="133">
        <f>IFERROR(IF(AND(K$14&gt;$F146,K$14&lt;=Assumptions!$L$17),INDEX(Debt!$G$9:$G$366,MATCH(K$14,Debt!$C$9:$C$366,0)),0),0)</f>
        <v>0</v>
      </c>
      <c r="L146" s="26">
        <f>IF(AND($G$158=1, L13&gt;$G$159), 0, IFERROR(IF(AND(L$13&gt;$F146,L$13&lt;=Assumptions!$L$17),INDEX(Debt!$G$9:$G$366,MATCH(L$13,Debt!$C$9:$C$366,0)),0),0))</f>
        <v>0</v>
      </c>
      <c r="M146" s="26">
        <f>IF(AND($G$158=1, M13&gt;$G$159), 0, IFERROR(IF(AND(M$13&gt;$F146,M$13&lt;=Assumptions!$L$17),INDEX(Debt!$G$9:$G$366,MATCH(M$13,Debt!$C$9:$C$366,0)),0),0))</f>
        <v>0</v>
      </c>
      <c r="N146" s="26">
        <f>IF(AND($G$158=1, N13&gt;$G$159), 0, IFERROR(IF(AND(N$13&gt;$F146,N$13&lt;=Assumptions!$L$17),INDEX(Debt!$G$9:$G$366,MATCH(N$13,Debt!$C$9:$C$366,0)),0),0))</f>
        <v>0</v>
      </c>
      <c r="O146" s="26">
        <f>IF(AND($G$158=1, O13&gt;$G$159), 0, IFERROR(IF(AND(O$13&gt;$F146,O$13&lt;=Assumptions!$L$17),INDEX(Debt!$G$9:$G$366,MATCH(O$13,Debt!$C$9:$C$366,0)),0),0))</f>
        <v>0</v>
      </c>
      <c r="P146" s="26">
        <f>IF(AND($G$158=1, P13&gt;$G$159), 0, IFERROR(IF(AND(P$13&gt;$F146,P$13&lt;=Assumptions!$L$17),INDEX(Debt!$G$9:$G$366,MATCH(P$13,Debt!$C$9:$C$366,0)),0),0))</f>
        <v>0</v>
      </c>
      <c r="Q146" s="26">
        <f>IF(AND($G$158=1, Q13&gt;$G$159), 0, IFERROR(IF(AND(Q$13&gt;$F146,Q$13&lt;=Assumptions!$L$17),INDEX(Debt!$G$9:$G$366,MATCH(Q$13,Debt!$C$9:$C$366,0)),0),0))</f>
        <v>0</v>
      </c>
      <c r="R146" s="26">
        <f>IF(AND($G$158=1, R13&gt;$G$159), 0, IFERROR(IF(AND(R$13&gt;$F146,R$13&lt;=Assumptions!$L$17),INDEX(Debt!$G$9:$G$366,MATCH(R$13,Debt!$C$9:$C$366,0)),0),0))</f>
        <v>0</v>
      </c>
      <c r="S146" s="26">
        <f>IF(AND($G$158=1, S13&gt;$G$159), 0, IFERROR(IF(AND(S$13&gt;$F146,S$13&lt;=Assumptions!$L$17),INDEX(Debt!$G$9:$G$366,MATCH(S$13,Debt!$C$9:$C$366,0)),0),0))</f>
        <v>0</v>
      </c>
      <c r="T146" s="26">
        <f>IF(AND($G$158=1, T13&gt;$G$159), 0, IFERROR(IF(AND(T$13&gt;$F146,T$13&lt;=Assumptions!$L$17),INDEX(Debt!$G$9:$G$366,MATCH(T$13,Debt!$C$9:$C$366,0)),0),0))</f>
        <v>0</v>
      </c>
      <c r="U146" s="26">
        <f>IF(AND($G$158=1, U13&gt;$G$159), 0, IFERROR(IF(AND(U$13&gt;$F146,U$13&lt;=Assumptions!$L$17),INDEX(Debt!$G$9:$G$366,MATCH(U$13,Debt!$C$9:$C$366,0)),0),0))</f>
        <v>0</v>
      </c>
      <c r="V146" s="26">
        <f>IF(AND($G$158=1, V13&gt;$G$159), 0, IFERROR(IF(AND(V$13&gt;$F146,V$13&lt;=Assumptions!$L$17),INDEX(Debt!$G$9:$G$366,MATCH(V$13,Debt!$C$9:$C$366,0)),0),0))</f>
        <v>0</v>
      </c>
      <c r="W146" s="26">
        <f>IF(AND($G$158=1, W13&gt;$G$159), 0, IFERROR(IF(AND(W$13&gt;$F146,W$13&lt;=Assumptions!$L$17),INDEX(Debt!$G$9:$G$366,MATCH(W$13,Debt!$C$9:$C$366,0)),0),0))</f>
        <v>0</v>
      </c>
      <c r="X146" s="26">
        <f>IF(AND($G$158=1, X13&gt;$G$159), 0, IFERROR(IF(AND(X$13&gt;$F146,X$13&lt;=Assumptions!$L$17),INDEX(Debt!$G$9:$G$366,MATCH(X$13,Debt!$C$9:$C$366,0)),0),0))</f>
        <v>0</v>
      </c>
      <c r="Y146" s="26">
        <f>IF(AND($G$158=1, Y13&gt;$G$159), 0, IFERROR(IF(AND(Y$13&gt;$F146,Y$13&lt;=Assumptions!$L$17),INDEX(Debt!$G$9:$G$366,MATCH(Y$13,Debt!$C$9:$C$366,0)),0),0))</f>
        <v>0</v>
      </c>
      <c r="Z146" s="26">
        <f>IF(AND($G$158=1, Z13&gt;$G$159), 0, IFERROR(IF(AND(Z$13&gt;$F146,Z$13&lt;=Assumptions!$L$17),INDEX(Debt!$G$9:$G$366,MATCH(Z$13,Debt!$C$9:$C$366,0)),0),0))</f>
        <v>0</v>
      </c>
      <c r="AA146" s="26">
        <f>IF(AND($G$158=1, AA13&gt;$G$159), 0, IFERROR(IF(AND(AA$13&gt;$F146,AA$13&lt;=Assumptions!$L$17),INDEX(Debt!$G$9:$G$366,MATCH(AA$13,Debt!$C$9:$C$366,0)),0),0))</f>
        <v>0</v>
      </c>
      <c r="AB146" s="26">
        <f>IF(AND($G$158=1, AB13&gt;$G$159), 0, IFERROR(IF(AND(AB$13&gt;$F146,AB$13&lt;=Assumptions!$L$17),INDEX(Debt!$G$9:$G$366,MATCH(AB$13,Debt!$C$9:$C$366,0)),0),0))</f>
        <v>0</v>
      </c>
      <c r="AC146" s="26">
        <f>IF(AND($G$158=1, AC13&gt;$G$159), 0, IFERROR(IF(AND(AC$13&gt;$F146,AC$13&lt;=Assumptions!$L$17),INDEX(Debt!$G$9:$G$366,MATCH(AC$13,Debt!$C$9:$C$366,0)),0),0))</f>
        <v>0</v>
      </c>
      <c r="AD146" s="26">
        <f>IF(AND($G$158=1, AD13&gt;$G$159), 0, IFERROR(IF(AND(AD$13&gt;$F146,AD$13&lt;=Assumptions!$L$17),INDEX(Debt!$G$9:$G$366,MATCH(AD$13,Debt!$C$9:$C$366,0)),0),0))</f>
        <v>0</v>
      </c>
      <c r="AE146" s="26">
        <f>IF(AND($G$158=1, AE13&gt;$G$159), 0, IFERROR(IF(AND(AE$13&gt;$F146,AE$13&lt;=Assumptions!$L$17),INDEX(Debt!$G$9:$G$366,MATCH(AE$13,Debt!$C$9:$C$366,0)),0),0))</f>
        <v>0</v>
      </c>
      <c r="AF146" s="26">
        <f>IF(AND($G$158=1, AF13&gt;$G$159), 0, IFERROR(IF(AND(AF$13&gt;$F146,AF$13&lt;=Assumptions!$L$17),INDEX(Debt!$G$9:$G$366,MATCH(AF$13,Debt!$C$9:$C$366,0)),0),0))</f>
        <v>0</v>
      </c>
      <c r="AG146" s="26">
        <f>IF(AND($G$158=1, AG13&gt;$G$159), 0, IFERROR(IF(AND(AG$13&gt;$F146,AG$13&lt;=Assumptions!$L$17),INDEX(Debt!$G$9:$G$366,MATCH(AG$13,Debt!$C$9:$C$366,0)),0),0))</f>
        <v>0</v>
      </c>
      <c r="AH146" s="26">
        <f>IF(AND($G$158=1, AH13&gt;$G$159), 0, IFERROR(IF(AND(AH$13&gt;$F146,AH$13&lt;=Assumptions!$L$17),INDEX(Debt!$G$9:$G$366,MATCH(AH$13,Debt!$C$9:$C$366,0)),0),0))</f>
        <v>0</v>
      </c>
      <c r="AI146" s="26">
        <f>IF(AND($G$158=1, AI13&gt;$G$159), 0, IFERROR(IF(AND(AI$13&gt;$F146,AI$13&lt;=Assumptions!$L$17),INDEX(Debt!$G$9:$G$366,MATCH(AI$13,Debt!$C$9:$C$366,0)),0),0))</f>
        <v>0</v>
      </c>
      <c r="AJ146" s="26">
        <f>IF(AND($G$158=1, AJ13&gt;$G$159), 0, IFERROR(IF(AND(AJ$13&gt;$F146,AJ$13&lt;=Assumptions!$L$17),INDEX(Debt!$G$9:$G$366,MATCH(AJ$13,Debt!$C$9:$C$366,0)),0),0))</f>
        <v>0</v>
      </c>
      <c r="AK146" s="26">
        <f>IF(AND($G$158=1, AK13&gt;$G$159), 0, IFERROR(IF(AND(AK$13&gt;$F146,AK$13&lt;=Assumptions!$L$17),INDEX(Debt!$G$9:$G$366,MATCH(AK$13,Debt!$C$9:$C$366,0)),0),0))</f>
        <v>0</v>
      </c>
      <c r="AL146" s="26">
        <f>IF(AND($G$158=1, AL13&gt;$G$159), 0, IFERROR(IF(AND(AL$13&gt;$F146,AL$13&lt;=Assumptions!$L$17),INDEX(Debt!$G$9:$G$366,MATCH(AL$13,Debt!$C$9:$C$366,0)),0),0))</f>
        <v>0</v>
      </c>
      <c r="AM146" s="26">
        <f>IF(AND($G$158=1, AM13&gt;$G$159), 0, IFERROR(IF(AND(AM$13&gt;$F146,AM$13&lt;=Assumptions!$L$17),INDEX(Debt!$G$9:$G$366,MATCH(AM$13,Debt!$C$9:$C$366,0)),0),0))</f>
        <v>0</v>
      </c>
      <c r="AN146" s="26">
        <f>IF(AND($G$158=1, AN13&gt;$G$159), 0, IFERROR(IF(AND(AN$13&gt;$F146,AN$13&lt;=Assumptions!$L$17),INDEX(Debt!$G$9:$G$366,MATCH(AN$13,Debt!$C$9:$C$366,0)),0),0))</f>
        <v>0</v>
      </c>
      <c r="AO146" s="26">
        <f>IF(AND($G$158=1, AO13&gt;$G$159), 0, IFERROR(IF(AND(AO$13&gt;$F146,AO$13&lt;=Assumptions!$L$17),INDEX(Debt!$G$9:$G$366,MATCH(AO$13,Debt!$C$9:$C$366,0)),0),0))</f>
        <v>0</v>
      </c>
      <c r="AP146" s="26">
        <f>IF(AND($G$158=1, AP13&gt;$G$159), 0, IFERROR(IF(AND(AP$13&gt;$F146,AP$13&lt;=Assumptions!$L$17),INDEX(Debt!$G$9:$G$366,MATCH(AP$13,Debt!$C$9:$C$366,0)),0),0))</f>
        <v>0</v>
      </c>
      <c r="AQ146" s="26">
        <f>IF(AND($G$158=1, AQ13&gt;$G$159), 0, IFERROR(IF(AND(AQ$13&gt;$F146,AQ$13&lt;=Assumptions!$L$17),INDEX(Debt!$G$9:$G$366,MATCH(AQ$13,Debt!$C$9:$C$366,0)),0),0))</f>
        <v>0</v>
      </c>
      <c r="AR146" s="26">
        <f>IF(AND($G$158=1, AR13&gt;$G$159), 0, IFERROR(IF(AND(AR$13&gt;$F146,AR$13&lt;=Assumptions!$L$17),INDEX(Debt!$G$9:$G$366,MATCH(AR$13,Debt!$C$9:$C$366,0)),0),0))</f>
        <v>0</v>
      </c>
      <c r="AS146" s="26">
        <f>IF(AND($G$158=1, AS13&gt;$G$159), 0, IFERROR(IF(AND(AS$13&gt;$F146,AS$13&lt;=Assumptions!$L$17),INDEX(Debt!$G$9:$G$366,MATCH(AS$13,Debt!$C$9:$C$366,0)),0),0))</f>
        <v>0</v>
      </c>
      <c r="AT146" s="26">
        <f>IF(AND($G$158=1, AT13&gt;$G$159), 0, IFERROR(IF(AND(AT$13&gt;$F146,AT$13&lt;=Assumptions!$L$17),INDEX(Debt!$G$9:$G$366,MATCH(AT$13,Debt!$C$9:$C$366,0)),0),0))</f>
        <v>0</v>
      </c>
      <c r="AU146" s="26">
        <f>IF(AND($G$158=1, AU13&gt;$G$159), 0, IFERROR(IF(AND(AU$13&gt;$F146,AU$13&lt;=Assumptions!$L$17),INDEX(Debt!$G$9:$G$366,MATCH(AU$13,Debt!$C$9:$C$366,0)),0),0))</f>
        <v>0</v>
      </c>
      <c r="AV146" s="26">
        <f>IF(AND($G$158=1, AV13&gt;$G$159), 0, IFERROR(IF(AND(AV$13&gt;$F146,AV$13&lt;=Assumptions!$L$17),INDEX(Debt!$G$9:$G$366,MATCH(AV$13,Debt!$C$9:$C$366,0)),0),0))</f>
        <v>0</v>
      </c>
      <c r="AW146" s="26">
        <f>IF(AND($G$158=1, AW13&gt;$G$159), 0, IFERROR(IF(AND(AW$13&gt;$F146,AW$13&lt;=Assumptions!$L$17),INDEX(Debt!$G$9:$G$366,MATCH(AW$13,Debt!$C$9:$C$366,0)),0),0))</f>
        <v>0</v>
      </c>
      <c r="AX146" s="26">
        <f>IF(AND($G$158=1, AX13&gt;$G$159), 0, IFERROR(IF(AND(AX$13&gt;$F146,AX$13&lt;=Assumptions!$L$17),INDEX(Debt!$G$9:$G$366,MATCH(AX$13,Debt!$C$9:$C$366,0)),0),0))</f>
        <v>0</v>
      </c>
      <c r="AY146" s="26">
        <f>IF(AND($G$158=1, AY13&gt;$G$159), 0, IFERROR(IF(AND(AY$13&gt;$F146,AY$13&lt;=Assumptions!$L$17),INDEX(Debt!$G$9:$G$366,MATCH(AY$13,Debt!$C$9:$C$366,0)),0),0))</f>
        <v>0</v>
      </c>
      <c r="AZ146" s="26">
        <f>IF(AND($G$158=1, AZ13&gt;$G$159), 0, IFERROR(IF(AND(AZ$13&gt;$F146,AZ$13&lt;=Assumptions!$L$17),INDEX(Debt!$G$9:$G$366,MATCH(AZ$13,Debt!$C$9:$C$366,0)),0),0))</f>
        <v>0</v>
      </c>
      <c r="BA146" s="26">
        <f>IF(AND($G$158=1, BA13&gt;$G$159), 0, IFERROR(IF(AND(BA$13&gt;$F146,BA$13&lt;=Assumptions!$L$17),INDEX(Debt!$G$9:$G$366,MATCH(BA$13,Debt!$C$9:$C$366,0)),0),0))</f>
        <v>0</v>
      </c>
      <c r="BB146" s="26">
        <f>IF(AND($G$158=1, BB13&gt;$G$159), 0, IFERROR(IF(AND(BB$13&gt;$F146,BB$13&lt;=Assumptions!$L$17),INDEX(Debt!$G$9:$G$366,MATCH(BB$13,Debt!$C$9:$C$366,0)),0),0))</f>
        <v>0</v>
      </c>
      <c r="BC146" s="26">
        <f>IF(AND($G$158=1, BC13&gt;$G$159), 0, IFERROR(IF(AND(BC$13&gt;$F146,BC$13&lt;=Assumptions!$L$17),INDEX(Debt!$G$9:$G$366,MATCH(BC$13,Debt!$C$9:$C$366,0)),0),0))</f>
        <v>0</v>
      </c>
      <c r="BD146" s="26">
        <f>IF(AND($G$158=1, BD13&gt;$G$159), 0, IFERROR(IF(AND(BD$13&gt;$F146,BD$13&lt;=Assumptions!$L$17),INDEX(Debt!$G$9:$G$366,MATCH(BD$13,Debt!$C$9:$C$366,0)),0),0))</f>
        <v>0</v>
      </c>
      <c r="BE146" s="26">
        <f>IF(AND($G$158=1, BE13&gt;$G$159), 0, IFERROR(IF(AND(BE$13&gt;$F146,BE$13&lt;=Assumptions!$L$17),INDEX(Debt!$G$9:$G$366,MATCH(BE$13,Debt!$C$9:$C$366,0)),0),0))</f>
        <v>0</v>
      </c>
      <c r="BF146" s="26">
        <f>IF(AND($G$158=1, BF13&gt;$G$159), 0, IFERROR(IF(AND(BF$13&gt;$F146,BF$13&lt;=Assumptions!$L$17),INDEX(Debt!$G$9:$G$366,MATCH(BF$13,Debt!$C$9:$C$366,0)),0),0))</f>
        <v>0</v>
      </c>
      <c r="BG146" s="26">
        <f>IF(AND($G$158=1, BG13&gt;$G$159), 0, IFERROR(IF(AND(BG$13&gt;$F146,BG$13&lt;=Assumptions!$L$17),INDEX(Debt!$G$9:$G$366,MATCH(BG$13,Debt!$C$9:$C$366,0)),0),0))</f>
        <v>0</v>
      </c>
      <c r="BH146" s="26">
        <f>IF(AND($G$158=1, BH13&gt;$G$159), 0, IFERROR(IF(AND(BH$13&gt;$F146,BH$13&lt;=Assumptions!$L$17),INDEX(Debt!$G$9:$G$366,MATCH(BH$13,Debt!$C$9:$C$366,0)),0),0))</f>
        <v>0</v>
      </c>
      <c r="BI146" s="26">
        <f>IF(AND($G$158=1, BI13&gt;$G$159), 0, IFERROR(IF(AND(BI$13&gt;$F146,BI$13&lt;=Assumptions!$L$17),INDEX(Debt!$G$9:$G$366,MATCH(BI$13,Debt!$C$9:$C$366,0)),0),0))</f>
        <v>0</v>
      </c>
      <c r="BJ146" s="26">
        <f>IF(AND($G$158=1, BJ13&gt;$G$159), 0, IFERROR(IF(AND(BJ$13&gt;$F146,BJ$13&lt;=Assumptions!$L$17),INDEX(Debt!$G$9:$G$366,MATCH(BJ$13,Debt!$C$9:$C$366,0)),0),0))</f>
        <v>0</v>
      </c>
      <c r="BK146" s="26">
        <f>IF(AND($G$158=1, BK13&gt;$G$159), 0, IFERROR(IF(AND(BK$13&gt;$F146,BK$13&lt;=Assumptions!$L$17),INDEX(Debt!$G$9:$G$366,MATCH(BK$13,Debt!$C$9:$C$366,0)),0),0))</f>
        <v>0</v>
      </c>
      <c r="BL146" s="26">
        <f>IF(AND($G$158=1, BL13&gt;$G$159), 0, IFERROR(IF(AND(BL$13&gt;$F146,BL$13&lt;=Assumptions!$L$17),INDEX(Debt!$G$9:$G$366,MATCH(BL$13,Debt!$C$9:$C$366,0)),0),0))</f>
        <v>0</v>
      </c>
      <c r="BM146" s="26">
        <f>IF(AND($G$158=1, BM13&gt;$G$159), 0, IFERROR(IF(AND(BM$13&gt;$F146,BM$13&lt;=Assumptions!$L$17),INDEX(Debt!$G$9:$G$366,MATCH(BM$13,Debt!$C$9:$C$366,0)),0),0))</f>
        <v>0</v>
      </c>
      <c r="BN146" s="26">
        <f>IF(AND($G$158=1, BN13&gt;$G$159), 0, IFERROR(IF(AND(BN$13&gt;$F146,BN$13&lt;=Assumptions!$L$17),INDEX(Debt!$G$9:$G$366,MATCH(BN$13,Debt!$C$9:$C$366,0)),0),0))</f>
        <v>0</v>
      </c>
      <c r="BO146" s="26">
        <f>IF(AND($G$158=1, BO13&gt;$G$159), 0, IFERROR(IF(AND(BO$13&gt;$F146,BO$13&lt;=Assumptions!$L$17),INDEX(Debt!$G$9:$G$366,MATCH(BO$13,Debt!$C$9:$C$366,0)),0),0))</f>
        <v>0</v>
      </c>
      <c r="BP146" s="26">
        <f>IF(AND($G$158=1, BP13&gt;$G$159), 0, IFERROR(IF(AND(BP$13&gt;$F146,BP$13&lt;=Assumptions!$L$17),INDEX(Debt!$G$9:$G$366,MATCH(BP$13,Debt!$C$9:$C$366,0)),0),0))</f>
        <v>0</v>
      </c>
      <c r="BQ146" s="26">
        <f>IF(AND($G$158=1, BQ13&gt;$G$159), 0, IFERROR(IF(AND(BQ$13&gt;$F146,BQ$13&lt;=Assumptions!$L$17),INDEX(Debt!$G$9:$G$366,MATCH(BQ$13,Debt!$C$9:$C$366,0)),0),0))</f>
        <v>0</v>
      </c>
      <c r="BR146" s="26">
        <f>IF(AND($G$158=1, BR13&gt;$G$159), 0, IFERROR(IF(AND(BR$13&gt;$F146,BR$13&lt;=Assumptions!$L$17),INDEX(Debt!$G$9:$G$366,MATCH(BR$13,Debt!$C$9:$C$366,0)),0),0))</f>
        <v>0</v>
      </c>
      <c r="BS146" s="26">
        <f>IF(AND($G$158=1, BS13&gt;$G$159), 0, IFERROR(IF(AND(BS$13&gt;$F146,BS$13&lt;=Assumptions!$L$17),INDEX(Debt!$G$9:$G$366,MATCH(BS$13,Debt!$C$9:$C$366,0)),0),0))</f>
        <v>0</v>
      </c>
      <c r="BT146" s="26">
        <f>IF(AND($G$158=1, BT13&gt;$G$159), 0, IFERROR(IF(AND(BT$13&gt;$F146,BT$13&lt;=Assumptions!$L$17),INDEX(Debt!$G$9:$G$366,MATCH(BT$13,Debt!$C$9:$C$366,0)),0),0))</f>
        <v>0</v>
      </c>
      <c r="BU146" s="26">
        <f>IF(AND($G$158=1, BU13&gt;$G$159), 0, IFERROR(IF(AND(BU$13&gt;$F146,BU$13&lt;=Assumptions!$L$17),INDEX(Debt!$G$9:$G$366,MATCH(BU$13,Debt!$C$9:$C$366,0)),0),0))</f>
        <v>0</v>
      </c>
      <c r="BV146" s="26">
        <f>IF(AND($G$158=1, BV13&gt;$G$159), 0, IFERROR(IF(AND(BV$13&gt;$F146,BV$13&lt;=Assumptions!$L$17),INDEX(Debt!$G$9:$G$366,MATCH(BV$13,Debt!$C$9:$C$366,0)),0),0))</f>
        <v>0</v>
      </c>
      <c r="BW146" s="26">
        <f>IF(AND($G$158=1, BW13&gt;$G$159), 0, IFERROR(IF(AND(BW$13&gt;$F146,BW$13&lt;=Assumptions!$L$17),INDEX(Debt!$G$9:$G$366,MATCH(BW$13,Debt!$C$9:$C$366,0)),0),0))</f>
        <v>0</v>
      </c>
      <c r="BX146" s="26">
        <f>IF(AND($G$158=1, BX13&gt;$G$159), 0, IFERROR(IF(AND(BX$13&gt;$F146,BX$13&lt;=Assumptions!$L$17),INDEX(Debt!$G$9:$G$366,MATCH(BX$13,Debt!$C$9:$C$366,0)),0),0))</f>
        <v>0</v>
      </c>
      <c r="BY146" s="26">
        <f>IF(AND($G$158=1, BY13&gt;$G$159), 0, IFERROR(IF(AND(BY$13&gt;$F146,BY$13&lt;=Assumptions!$L$17),INDEX(Debt!$G$9:$G$366,MATCH(BY$13,Debt!$C$9:$C$366,0)),0),0))</f>
        <v>0</v>
      </c>
      <c r="BZ146" s="26">
        <f>IF(AND($G$158=1, BZ13&gt;$G$159), 0, IFERROR(IF(AND(BZ$13&gt;$F146,BZ$13&lt;=Assumptions!$L$17),INDEX(Debt!$G$9:$G$366,MATCH(BZ$13,Debt!$C$9:$C$366,0)),0),0))</f>
        <v>0</v>
      </c>
      <c r="CA146" s="26">
        <f>IF(AND($G$158=1, CA13&gt;$G$159), 0, IFERROR(IF(AND(CA$13&gt;$F146,CA$13&lt;=Assumptions!$L$17),INDEX(Debt!$G$9:$G$366,MATCH(CA$13,Debt!$C$9:$C$366,0)),0),0))</f>
        <v>0</v>
      </c>
      <c r="CB146" s="26">
        <f>IF(AND($G$158=1, CB13&gt;$G$159), 0, IFERROR(IF(AND(CB$13&gt;$F146,CB$13&lt;=Assumptions!$L$17),INDEX(Debt!$G$9:$G$366,MATCH(CB$13,Debt!$C$9:$C$366,0)),0),0))</f>
        <v>0</v>
      </c>
      <c r="CC146" s="26">
        <f>IF(AND($G$158=1, CC13&gt;$G$159), 0, IFERROR(IF(AND(CC$13&gt;$F146,CC$13&lt;=Assumptions!$L$17),INDEX(Debt!$G$9:$G$366,MATCH(CC$13,Debt!$C$9:$C$366,0)),0),0))</f>
        <v>0</v>
      </c>
      <c r="CD146" s="26">
        <f>IF(AND($G$158=1, CD13&gt;$G$159), 0, IFERROR(IF(AND(CD$13&gt;$F146,CD$13&lt;=Assumptions!$L$17),INDEX(Debt!$G$9:$G$366,MATCH(CD$13,Debt!$C$9:$C$366,0)),0),0))</f>
        <v>0</v>
      </c>
      <c r="CE146" s="26">
        <f>IF(AND($G$158=1, CE13&gt;$G$159), 0, IFERROR(IF(AND(CE$13&gt;$F146,CE$13&lt;=Assumptions!$L$17),INDEX(Debt!$G$9:$G$366,MATCH(CE$13,Debt!$C$9:$C$366,0)),0),0))</f>
        <v>0</v>
      </c>
      <c r="CF146" s="26">
        <f>IF(AND($G$158=1, CF13&gt;$G$159), 0, IFERROR(IF(AND(CF$13&gt;$F146,CF$13&lt;=Assumptions!$L$17),INDEX(Debt!$G$9:$G$366,MATCH(CF$13,Debt!$C$9:$C$366,0)),0),0))</f>
        <v>0</v>
      </c>
      <c r="CG146" s="26">
        <f>IF(AND($G$158=1, CG13&gt;$G$159), 0, IFERROR(IF(AND(CG$13&gt;$F146,CG$13&lt;=Assumptions!$L$17),INDEX(Debt!$G$9:$G$366,MATCH(CG$13,Debt!$C$9:$C$366,0)),0),0))</f>
        <v>0</v>
      </c>
      <c r="CH146" s="26">
        <f>IF(AND($G$158=1, CH13&gt;$G$159), 0, IFERROR(IF(AND(CH$13&gt;$F146,CH$13&lt;=Assumptions!$L$17),INDEX(Debt!$G$9:$G$366,MATCH(CH$13,Debt!$C$9:$C$366,0)),0),0))</f>
        <v>0</v>
      </c>
      <c r="CI146" s="26">
        <f>IF(AND($G$158=1, CI13&gt;$G$159), 0, IFERROR(IF(AND(CI$13&gt;$F146,CI$13&lt;=Assumptions!$L$17),INDEX(Debt!$G$9:$G$366,MATCH(CI$13,Debt!$C$9:$C$366,0)),0),0))</f>
        <v>0</v>
      </c>
      <c r="CJ146" s="26">
        <f>IF(AND($G$158=1, CJ13&gt;$G$159), 0, IFERROR(IF(AND(CJ$13&gt;$F146,CJ$13&lt;=Assumptions!$L$17),INDEX(Debt!$G$9:$G$366,MATCH(CJ$13,Debt!$C$9:$C$366,0)),0),0))</f>
        <v>0</v>
      </c>
      <c r="CK146" s="26">
        <f>IF(AND($G$158=1, CK13&gt;$G$159), 0, IFERROR(IF(AND(CK$13&gt;$F146,CK$13&lt;=Assumptions!$L$17),INDEX(Debt!$G$9:$G$366,MATCH(CK$13,Debt!$C$9:$C$366,0)),0),0))</f>
        <v>0</v>
      </c>
      <c r="CL146" s="26">
        <f>IF(AND($G$158=1, CL13&gt;$G$159), 0, IFERROR(IF(AND(CL$13&gt;$F146,CL$13&lt;=Assumptions!$L$17),INDEX(Debt!$G$9:$G$366,MATCH(CL$13,Debt!$C$9:$C$366,0)),0),0))</f>
        <v>0</v>
      </c>
      <c r="CM146" s="26">
        <f>IF(AND($G$158=1, CM13&gt;$G$159), 0, IFERROR(IF(AND(CM$13&gt;$F146,CM$13&lt;=Assumptions!$L$17),INDEX(Debt!$G$9:$G$366,MATCH(CM$13,Debt!$C$9:$C$366,0)),0),0))</f>
        <v>0</v>
      </c>
      <c r="CN146" s="26">
        <f>IF(AND($G$158=1, CN13&gt;$G$159), 0, IFERROR(IF(AND(CN$13&gt;$F146,CN$13&lt;=Assumptions!$L$17),INDEX(Debt!$G$9:$G$366,MATCH(CN$13,Debt!$C$9:$C$366,0)),0),0))</f>
        <v>0</v>
      </c>
      <c r="CO146" s="26">
        <f>IF(AND($G$158=1, CO13&gt;$G$159), 0, IFERROR(IF(AND(CO$13&gt;$F146,CO$13&lt;=Assumptions!$L$17),INDEX(Debt!$G$9:$G$366,MATCH(CO$13,Debt!$C$9:$C$366,0)),0),0))</f>
        <v>0</v>
      </c>
      <c r="CP146" s="26">
        <f>IF(AND($G$158=1, CP13&gt;$G$159), 0, IFERROR(IF(AND(CP$13&gt;$F146,CP$13&lt;=Assumptions!$L$17),INDEX(Debt!$G$9:$G$366,MATCH(CP$13,Debt!$C$9:$C$366,0)),0),0))</f>
        <v>0</v>
      </c>
      <c r="CQ146" s="26">
        <f>IF(AND($G$158=1, CQ13&gt;$G$159), 0, IFERROR(IF(AND(CQ$13&gt;$F146,CQ$13&lt;=Assumptions!$L$17),INDEX(Debt!$G$9:$G$366,MATCH(CQ$13,Debt!$C$9:$C$366,0)),0),0))</f>
        <v>0</v>
      </c>
      <c r="CR146" s="26">
        <f>IF(AND($G$158=1, CR13&gt;$G$159), 0, IFERROR(IF(AND(CR$13&gt;$F146,CR$13&lt;=Assumptions!$L$17),INDEX(Debt!$G$9:$G$366,MATCH(CR$13,Debt!$C$9:$C$366,0)),0),0))</f>
        <v>0</v>
      </c>
      <c r="CS146" s="26">
        <f>IF(AND($G$158=1, CS13&gt;$G$159), 0, IFERROR(IF(AND(CS$13&gt;$F146,CS$13&lt;=Assumptions!$L$17),INDEX(Debt!$G$9:$G$366,MATCH(CS$13,Debt!$C$9:$C$366,0)),0),0))</f>
        <v>0</v>
      </c>
      <c r="CT146" s="26">
        <f>IF(AND($G$158=1, CT13&gt;$G$159), 0, IFERROR(IF(AND(CT$13&gt;$F146,CT$13&lt;=Assumptions!$L$17),INDEX(Debt!$G$9:$G$366,MATCH(CT$13,Debt!$C$9:$C$366,0)),0),0))</f>
        <v>0</v>
      </c>
      <c r="CU146" s="26">
        <f>IF(AND($G$158=1, CU13&gt;$G$159), 0, IFERROR(IF(AND(CU$13&gt;$F146,CU$13&lt;=Assumptions!$L$17),INDEX(Debt!$G$9:$G$366,MATCH(CU$13,Debt!$C$9:$C$366,0)),0),0))</f>
        <v>0</v>
      </c>
      <c r="CV146" s="26">
        <f>IF(AND($G$158=1, CV13&gt;$G$159), 0, IFERROR(IF(AND(CV$13&gt;$F146,CV$13&lt;=Assumptions!$L$17),INDEX(Debt!$G$9:$G$366,MATCH(CV$13,Debt!$C$9:$C$366,0)),0),0))</f>
        <v>0</v>
      </c>
      <c r="CW146" s="26">
        <f>IF(AND($G$158=1, CW13&gt;$G$159), 0, IFERROR(IF(AND(CW$13&gt;$F146,CW$13&lt;=Assumptions!$L$17),INDEX(Debt!$G$9:$G$366,MATCH(CW$13,Debt!$C$9:$C$366,0)),0),0))</f>
        <v>0</v>
      </c>
      <c r="CX146" s="26">
        <f>IF(AND($G$158=1, CX13&gt;$G$159), 0, IFERROR(IF(AND(CX$13&gt;$F146,CX$13&lt;=Assumptions!$L$17),INDEX(Debt!$G$9:$G$366,MATCH(CX$13,Debt!$C$9:$C$366,0)),0),0))</f>
        <v>0</v>
      </c>
      <c r="CY146" s="26">
        <f>IF(AND($G$158=1, CY13&gt;$G$159), 0, IFERROR(IF(AND(CY$13&gt;$F146,CY$13&lt;=Assumptions!$L$17),INDEX(Debt!$G$9:$G$366,MATCH(CY$13,Debt!$C$9:$C$366,0)),0),0))</f>
        <v>0</v>
      </c>
      <c r="CZ146" s="26">
        <f>IF(AND($G$158=1, CZ13&gt;$G$159), 0, IFERROR(IF(AND(CZ$13&gt;$F146,CZ$13&lt;=Assumptions!$L$17),INDEX(Debt!$G$9:$G$366,MATCH(CZ$13,Debt!$C$9:$C$366,0)),0),0))</f>
        <v>0</v>
      </c>
      <c r="DA146" s="26">
        <f>IF(AND($G$158=1, DA13&gt;$G$159), 0, IFERROR(IF(AND(DA$13&gt;$F146,DA$13&lt;=Assumptions!$L$17),INDEX(Debt!$G$9:$G$366,MATCH(DA$13,Debt!$C$9:$C$366,0)),0),0))</f>
        <v>0</v>
      </c>
      <c r="DB146" s="26">
        <f>IF(AND($G$158=1, DB13&gt;$G$159), 0, IFERROR(IF(AND(DB$13&gt;$F146,DB$13&lt;=Assumptions!$L$17),INDEX(Debt!$G$9:$G$366,MATCH(DB$13,Debt!$C$9:$C$366,0)),0),0))</f>
        <v>0</v>
      </c>
      <c r="DC146" s="26">
        <f>IF(AND($G$158=1, DC13&gt;$G$159), 0, IFERROR(IF(AND(DC$13&gt;$F146,DC$13&lt;=Assumptions!$L$17),INDEX(Debt!$G$9:$G$366,MATCH(DC$13,Debt!$C$9:$C$366,0)),0),0))</f>
        <v>0</v>
      </c>
      <c r="DD146" s="26">
        <f>IF(AND($G$158=1, DD13&gt;$G$159), 0, IFERROR(IF(AND(DD$13&gt;$F146,DD$13&lt;=Assumptions!$L$17),INDEX(Debt!$G$9:$G$366,MATCH(DD$13,Debt!$C$9:$C$366,0)),0),0))</f>
        <v>0</v>
      </c>
      <c r="DE146" s="26">
        <f>IF(AND($G$158=1, DE13&gt;$G$159), 0, IFERROR(IF(AND(DE$13&gt;$F146,DE$13&lt;=Assumptions!$L$17),INDEX(Debt!$G$9:$G$366,MATCH(DE$13,Debt!$C$9:$C$366,0)),0),0))</f>
        <v>0</v>
      </c>
      <c r="DF146" s="26">
        <f>IF(AND($G$158=1, DF13&gt;$G$159), 0, IFERROR(IF(AND(DF$13&gt;$F146,DF$13&lt;=Assumptions!$L$17),INDEX(Debt!$G$9:$G$366,MATCH(DF$13,Debt!$C$9:$C$366,0)),0),0))</f>
        <v>0</v>
      </c>
      <c r="DG146" s="26">
        <f>IF(AND($G$158=1, DG13&gt;$G$159), 0, IFERROR(IF(AND(DG$13&gt;$F146,DG$13&lt;=Assumptions!$L$17),INDEX(Debt!$G$9:$G$366,MATCH(DG$13,Debt!$C$9:$C$366,0)),0),0))</f>
        <v>0</v>
      </c>
      <c r="DH146" s="26">
        <f>IF(AND($G$158=1, DH13&gt;$G$159), 0, IFERROR(IF(AND(DH$13&gt;$F146,DH$13&lt;=Assumptions!$L$17),INDEX(Debt!$G$9:$G$366,MATCH(DH$13,Debt!$C$9:$C$366,0)),0),0))</f>
        <v>0</v>
      </c>
      <c r="DI146" s="26">
        <f>IF(AND($G$158=1, DI13&gt;$G$159), 0, IFERROR(IF(AND(DI$13&gt;$F146,DI$13&lt;=Assumptions!$L$17),INDEX(Debt!$G$9:$G$366,MATCH(DI$13,Debt!$C$9:$C$366,0)),0),0))</f>
        <v>0</v>
      </c>
      <c r="DJ146" s="26">
        <f>IF(AND($G$158=1, DJ13&gt;$G$159), 0, IFERROR(IF(AND(DJ$13&gt;$F146,DJ$13&lt;=Assumptions!$L$17),INDEX(Debt!$G$9:$G$366,MATCH(DJ$13,Debt!$C$9:$C$366,0)),0),0))</f>
        <v>0</v>
      </c>
      <c r="DK146" s="26">
        <f>IF(AND($G$158=1, DK13&gt;$G$159), 0, IFERROR(IF(AND(DK$13&gt;$F146,DK$13&lt;=Assumptions!$L$17),INDEX(Debt!$G$9:$G$366,MATCH(DK$13,Debt!$C$9:$C$366,0)),0),0))</f>
        <v>0</v>
      </c>
      <c r="DL146" s="26">
        <f>IF(AND($G$158=1, DL13&gt;$G$159), 0, IFERROR(IF(AND(DL$13&gt;$F146,DL$13&lt;=Assumptions!$L$17),INDEX(Debt!$G$9:$G$366,MATCH(DL$13,Debt!$C$9:$C$366,0)),0),0))</f>
        <v>0</v>
      </c>
      <c r="DM146" s="26">
        <f>IF(AND($G$158=1, DM13&gt;$G$159), 0, IFERROR(IF(AND(DM$13&gt;$F146,DM$13&lt;=Assumptions!$L$17),INDEX(Debt!$G$9:$G$366,MATCH(DM$13,Debt!$C$9:$C$366,0)),0),0))</f>
        <v>0</v>
      </c>
      <c r="DN146" s="26">
        <f>IF(AND($G$158=1, DN13&gt;$G$159), 0, IFERROR(IF(AND(DN$13&gt;$F146,DN$13&lt;=Assumptions!$L$17),INDEX(Debt!$G$9:$G$366,MATCH(DN$13,Debt!$C$9:$C$366,0)),0),0))</f>
        <v>0</v>
      </c>
      <c r="DO146" s="26">
        <f>IF(AND($G$158=1, DO13&gt;$G$159), 0, IFERROR(IF(AND(DO$13&gt;$F146,DO$13&lt;=Assumptions!$L$17),INDEX(Debt!$G$9:$G$366,MATCH(DO$13,Debt!$C$9:$C$366,0)),0),0))</f>
        <v>0</v>
      </c>
      <c r="DP146" s="26">
        <f>IF(AND($G$158=1, DP13&gt;$G$159), 0, IFERROR(IF(AND(DP$13&gt;$F146,DP$13&lt;=Assumptions!$L$17),INDEX(Debt!$G$9:$G$366,MATCH(DP$13,Debt!$C$9:$C$366,0)),0),0))</f>
        <v>0</v>
      </c>
      <c r="DQ146" s="26">
        <f>IF(AND($G$158=1, DQ13&gt;$G$159), 0, IFERROR(IF(AND(DQ$13&gt;$F146,DQ$13&lt;=Assumptions!$L$17),INDEX(Debt!$G$9:$G$366,MATCH(DQ$13,Debt!$C$9:$C$366,0)),0),0))</f>
        <v>0</v>
      </c>
      <c r="DR146" s="26">
        <f>IF(AND($G$158=1, DR13&gt;$G$159), 0, IFERROR(IF(AND(DR$13&gt;$F146,DR$13&lt;=Assumptions!$L$17),INDEX(Debt!$G$9:$G$366,MATCH(DR$13,Debt!$C$9:$C$366,0)),0),0))</f>
        <v>0</v>
      </c>
      <c r="DS146" s="26">
        <f>IF(AND($G$158=1, DS13&gt;$G$159), 0, IFERROR(IF(AND(DS$13&gt;$F146,DS$13&lt;=Assumptions!$L$17),INDEX(Debt!$G$9:$G$366,MATCH(DS$13,Debt!$C$9:$C$366,0)),0),0))</f>
        <v>0</v>
      </c>
      <c r="DT146" s="26">
        <f>IF(AND($G$158=1, DT13&gt;$G$159), 0, IFERROR(IF(AND(DT$13&gt;$F146,DT$13&lt;=Assumptions!$L$17),INDEX(Debt!$G$9:$G$366,MATCH(DT$13,Debt!$C$9:$C$366,0)),0),0))</f>
        <v>0</v>
      </c>
      <c r="DU146" s="26">
        <f>IF(AND($G$158=1, DU13&gt;$G$159), 0, IFERROR(IF(AND(DU$13&gt;$F146,DU$13&lt;=Assumptions!$L$17),INDEX(Debt!$G$9:$G$366,MATCH(DU$13,Debt!$C$9:$C$366,0)),0),0))</f>
        <v>0</v>
      </c>
      <c r="DV146" s="26">
        <f>IF(AND($G$158=1, DV13&gt;$G$159), 0, IFERROR(IF(AND(DV$13&gt;$F146,DV$13&lt;=Assumptions!$L$17),INDEX(Debt!$G$9:$G$366,MATCH(DV$13,Debt!$C$9:$C$366,0)),0),0))</f>
        <v>0</v>
      </c>
      <c r="DW146" s="26">
        <f>IF(AND($G$158=1, DW13&gt;$G$159), 0, IFERROR(IF(AND(DW$13&gt;$F146,DW$13&lt;=Assumptions!$L$17),INDEX(Debt!$G$9:$G$366,MATCH(DW$13,Debt!$C$9:$C$366,0)),0),0))</f>
        <v>0</v>
      </c>
      <c r="DX146" s="26">
        <f>IF(AND($G$158=1, DX13&gt;$G$159), 0, IFERROR(IF(AND(DX$13&gt;$F146,DX$13&lt;=Assumptions!$L$17),INDEX(Debt!$G$9:$G$366,MATCH(DX$13,Debt!$C$9:$C$366,0)),0),0))</f>
        <v>0</v>
      </c>
      <c r="DY146" s="26">
        <f>IF(AND($G$158=1, DY13&gt;$G$159), 0, IFERROR(IF(AND(DY$13&gt;$F146,DY$13&lt;=Assumptions!$L$17),INDEX(Debt!$G$9:$G$366,MATCH(DY$13,Debt!$C$9:$C$366,0)),0),0))</f>
        <v>0</v>
      </c>
      <c r="DZ146" s="26">
        <f>IF(AND($G$158=1, DZ13&gt;$G$159), 0, IFERROR(IF(AND(DZ$13&gt;$F146,DZ$13&lt;=Assumptions!$L$17),INDEX(Debt!$G$9:$G$366,MATCH(DZ$13,Debt!$C$9:$C$366,0)),0),0))</f>
        <v>0</v>
      </c>
      <c r="EA146" s="26">
        <f>IF(AND($G$158=1, EA13&gt;$G$159), 0, IFERROR(IF(AND(EA$13&gt;$F146,EA$13&lt;=Assumptions!$L$17),INDEX(Debt!$G$9:$G$366,MATCH(EA$13,Debt!$C$9:$C$366,0)),0),0))</f>
        <v>0</v>
      </c>
      <c r="EB146" s="26">
        <f>IF(AND($G$158=1, EB13&gt;$G$159), 0, IFERROR(IF(AND(EB$13&gt;$F146,EB$13&lt;=Assumptions!$L$17),INDEX(Debt!$G$9:$G$366,MATCH(EB$13,Debt!$C$9:$C$366,0)),0),0))</f>
        <v>0</v>
      </c>
      <c r="EC146" s="26">
        <f>IF(AND($G$158=1, EC13&gt;$G$159), 0, IFERROR(IF(AND(EC$13&gt;$F146,EC$13&lt;=Assumptions!$L$17),INDEX(Debt!$G$9:$G$366,MATCH(EC$13,Debt!$C$9:$C$366,0)),0),0))</f>
        <v>0</v>
      </c>
      <c r="ED146" s="26">
        <f>IF(AND($G$158=1, ED13&gt;$G$159), 0, IFERROR(IF(AND(ED$13&gt;$F146,ED$13&lt;=Assumptions!$L$17),INDEX(Debt!$G$9:$G$366,MATCH(ED$13,Debt!$C$9:$C$366,0)),0),0))</f>
        <v>0</v>
      </c>
      <c r="EE146" s="26">
        <f>IF(AND($G$158=1, EE13&gt;$G$159), 0, IFERROR(IF(AND(EE$13&gt;$F146,EE$13&lt;=Assumptions!$L$17),INDEX(Debt!$G$9:$G$366,MATCH(EE$13,Debt!$C$9:$C$366,0)),0),0))</f>
        <v>0</v>
      </c>
      <c r="EF146" s="26">
        <f>IF(AND($G$158=1, EF13&gt;$G$159), 0, IFERROR(IF(AND(EF$13&gt;$F146,EF$13&lt;=Assumptions!$L$17),INDEX(Debt!$G$9:$G$366,MATCH(EF$13,Debt!$C$9:$C$366,0)),0),0))</f>
        <v>0</v>
      </c>
      <c r="EG146" s="26">
        <f>IF(AND($G$158=1, EG13&gt;$G$159), 0, IFERROR(IF(AND(EG$13&gt;$F146,EG$13&lt;=Assumptions!$L$17),INDEX(Debt!$G$9:$G$366,MATCH(EG$13,Debt!$C$9:$C$366,0)),0),0))</f>
        <v>0</v>
      </c>
      <c r="EH146" s="26">
        <f>IF(AND($G$158=1, EH13&gt;$G$159), 0, IFERROR(IF(AND(EH$13&gt;$F146,EH$13&lt;=Assumptions!$L$17),INDEX(Debt!$G$9:$G$366,MATCH(EH$13,Debt!$C$9:$C$366,0)),0),0))</f>
        <v>0</v>
      </c>
      <c r="EI146" s="26">
        <f>IF(AND($G$158=1, EI13&gt;$G$159), 0, IFERROR(IF(AND(EI$13&gt;$F146,EI$13&lt;=Assumptions!$L$17),INDEX(Debt!$G$9:$G$366,MATCH(EI$13,Debt!$C$9:$C$366,0)),0),0))</f>
        <v>0</v>
      </c>
      <c r="EJ146" s="26">
        <f>IF(AND($G$158=1, EJ13&gt;$G$159), 0, IFERROR(IF(AND(EJ$13&gt;$F146,EJ$13&lt;=Assumptions!$L$17),INDEX(Debt!$G$9:$G$366,MATCH(EJ$13,Debt!$C$9:$C$366,0)),0),0))</f>
        <v>0</v>
      </c>
      <c r="EK146" s="26">
        <f>IF(AND($G$158=1, EK13&gt;$G$159), 0, IFERROR(IF(AND(EK$13&gt;$F146,EK$13&lt;=Assumptions!$L$17),INDEX(Debt!$G$9:$G$366,MATCH(EK$13,Debt!$C$9:$C$366,0)),0),0))</f>
        <v>0</v>
      </c>
      <c r="EL146" s="26">
        <f>IF(AND($G$158=1, EL13&gt;$G$159), 0, IFERROR(IF(AND(EL$13&gt;$F146,EL$13&lt;=Assumptions!$L$17),INDEX(Debt!$G$9:$G$366,MATCH(EL$13,Debt!$C$9:$C$366,0)),0),0))</f>
        <v>0</v>
      </c>
      <c r="EM146" s="26">
        <f>IF(AND($G$158=1, EM13&gt;$G$159), 0, IFERROR(IF(AND(EM$13&gt;$F146,EM$13&lt;=Assumptions!$L$17),INDEX(Debt!$G$9:$G$366,MATCH(EM$13,Debt!$C$9:$C$366,0)),0),0))</f>
        <v>0</v>
      </c>
      <c r="EN146" s="26">
        <f>IF(AND($G$158=1, EN13&gt;$G$159), 0, IFERROR(IF(AND(EN$13&gt;$F146,EN$13&lt;=Assumptions!$L$17),INDEX(Debt!$G$9:$G$366,MATCH(EN$13,Debt!$C$9:$C$366,0)),0),0))</f>
        <v>0</v>
      </c>
      <c r="EO146" s="26">
        <f>IF(AND($G$158=1, EO13&gt;$G$159), 0, IFERROR(IF(AND(EO$13&gt;$F146,EO$13&lt;=Assumptions!$L$17),INDEX(Debt!$G$9:$G$366,MATCH(EO$13,Debt!$C$9:$C$366,0)),0),0))</f>
        <v>0</v>
      </c>
      <c r="EP146" s="26">
        <f>IF(AND($G$158=1, EP13&gt;$G$159), 0, IFERROR(IF(AND(EP$13&gt;$F146,EP$13&lt;=Assumptions!$L$17),INDEX(Debt!$G$9:$G$366,MATCH(EP$13,Debt!$C$9:$C$366,0)),0),0))</f>
        <v>0</v>
      </c>
      <c r="EQ146" s="26">
        <f>IF(AND($G$158=1, EQ13&gt;$G$159), 0, IFERROR(IF(AND(EQ$13&gt;$F146,EQ$13&lt;=Assumptions!$L$17),INDEX(Debt!$G$9:$G$366,MATCH(EQ$13,Debt!$C$9:$C$366,0)),0),0))</f>
        <v>0</v>
      </c>
      <c r="ER146" s="26">
        <f>IF(AND($G$158=1, ER13&gt;$G$159), 0, IFERROR(IF(AND(ER$13&gt;$F146,ER$13&lt;=Assumptions!$L$17),INDEX(Debt!$G$9:$G$366,MATCH(ER$13,Debt!$C$9:$C$366,0)),0),0))</f>
        <v>0</v>
      </c>
      <c r="ES146" s="26">
        <f>IF(AND($G$158=1, ES13&gt;$G$159), 0, IFERROR(IF(AND(ES$13&gt;$F146,ES$13&lt;=Assumptions!$L$17),INDEX(Debt!$G$9:$G$366,MATCH(ES$13,Debt!$C$9:$C$366,0)),0),0))</f>
        <v>0</v>
      </c>
      <c r="ET146" s="26">
        <f>IF(AND($G$158=1, ET13&gt;$G$159), 0, IFERROR(IF(AND(ET$13&gt;$F146,ET$13&lt;=Assumptions!$L$17),INDEX(Debt!$G$9:$G$366,MATCH(ET$13,Debt!$C$9:$C$366,0)),0),0))</f>
        <v>0</v>
      </c>
      <c r="EU146" s="26">
        <f>IF(AND($G$158=1, EU13&gt;$G$159), 0, IFERROR(IF(AND(EU$13&gt;$F146,EU$13&lt;=Assumptions!$L$17),INDEX(Debt!$G$9:$G$366,MATCH(EU$13,Debt!$C$9:$C$366,0)),0),0))</f>
        <v>0</v>
      </c>
      <c r="EV146" s="26">
        <f>IF(AND($G$158=1, EV13&gt;$G$159), 0, IFERROR(IF(AND(EV$13&gt;$F146,EV$13&lt;=Assumptions!$L$17),INDEX(Debt!$G$9:$G$366,MATCH(EV$13,Debt!$C$9:$C$366,0)),0),0))</f>
        <v>0</v>
      </c>
      <c r="EW146" s="26">
        <f>IF(AND($G$158=1, EW13&gt;$G$159), 0, IFERROR(IF(AND(EW$13&gt;$F146,EW$13&lt;=Assumptions!$L$17),INDEX(Debt!$G$9:$G$366,MATCH(EW$13,Debt!$C$9:$C$366,0)),0),0))</f>
        <v>0</v>
      </c>
      <c r="EX146" s="26">
        <f>IF(AND($G$158=1, EX13&gt;$G$159), 0, IFERROR(IF(AND(EX$13&gt;$F146,EX$13&lt;=Assumptions!$L$17),INDEX(Debt!$G$9:$G$366,MATCH(EX$13,Debt!$C$9:$C$366,0)),0),0))</f>
        <v>0</v>
      </c>
      <c r="EY146" s="26">
        <f>IF(AND($G$158=1, EY13&gt;$G$159), 0, IFERROR(IF(AND(EY$13&gt;$F146,EY$13&lt;=Assumptions!$L$17),INDEX(Debt!$G$9:$G$366,MATCH(EY$13,Debt!$C$9:$C$366,0)),0),0))</f>
        <v>0</v>
      </c>
      <c r="EZ146" s="26">
        <f>IF(AND($G$158=1, EZ13&gt;$G$159), 0, IFERROR(IF(AND(EZ$13&gt;$F146,EZ$13&lt;=Assumptions!$L$17),INDEX(Debt!$G$9:$G$366,MATCH(EZ$13,Debt!$C$9:$C$366,0)),0),0))</f>
        <v>0</v>
      </c>
      <c r="FA146" s="26">
        <f>IF(AND($G$158=1, FA13&gt;$G$159), 0, IFERROR(IF(AND(FA$13&gt;$F146,FA$13&lt;=Assumptions!$L$17),INDEX(Debt!$G$9:$G$366,MATCH(FA$13,Debt!$C$9:$C$366,0)),0),0))</f>
        <v>0</v>
      </c>
      <c r="FB146" s="26">
        <f>IF(AND($G$158=1, FB13&gt;$G$159), 0, IFERROR(IF(AND(FB$13&gt;$F146,FB$13&lt;=Assumptions!$L$17),INDEX(Debt!$G$9:$G$366,MATCH(FB$13,Debt!$C$9:$C$366,0)),0),0))</f>
        <v>0</v>
      </c>
      <c r="FC146" s="26">
        <f>IF(AND($G$158=1, FC13&gt;$G$159), 0, IFERROR(IF(AND(FC$13&gt;$F146,FC$13&lt;=Assumptions!$L$17),INDEX(Debt!$G$9:$G$366,MATCH(FC$13,Debt!$C$9:$C$366,0)),0),0))</f>
        <v>0</v>
      </c>
      <c r="FD146" s="26">
        <f>IF(AND($G$158=1, FD13&gt;$G$159), 0, IFERROR(IF(AND(FD$13&gt;$F146,FD$13&lt;=Assumptions!$L$17),INDEX(Debt!$G$9:$G$366,MATCH(FD$13,Debt!$C$9:$C$366,0)),0),0))</f>
        <v>0</v>
      </c>
      <c r="FE146" s="26">
        <f>IF(AND($G$158=1, FE13&gt;$G$159), 0, IFERROR(IF(AND(FE$13&gt;$F146,FE$13&lt;=Assumptions!$L$17),INDEX(Debt!$G$9:$G$366,MATCH(FE$13,Debt!$C$9:$C$366,0)),0),0))</f>
        <v>0</v>
      </c>
      <c r="FF146" s="26">
        <f>IF(AND($G$158=1, FF13&gt;$G$159), 0, IFERROR(IF(AND(FF$13&gt;$F146,FF$13&lt;=Assumptions!$L$17),INDEX(Debt!$G$9:$G$366,MATCH(FF$13,Debt!$C$9:$C$366,0)),0),0))</f>
        <v>0</v>
      </c>
      <c r="FG146" s="26">
        <f>IF(AND($G$158=1, FG13&gt;$G$159), 0, IFERROR(IF(AND(FG$13&gt;$F146,FG$13&lt;=Assumptions!$L$17),INDEX(Debt!$G$9:$G$366,MATCH(FG$13,Debt!$C$9:$C$366,0)),0),0))</f>
        <v>0</v>
      </c>
      <c r="FH146" s="26">
        <f>IF(AND($G$158=1, FH13&gt;$G$159), 0, IFERROR(IF(AND(FH$13&gt;$F146,FH$13&lt;=Assumptions!$L$17),INDEX(Debt!$G$9:$G$366,MATCH(FH$13,Debt!$C$9:$C$366,0)),0),0))</f>
        <v>0</v>
      </c>
      <c r="FI146" s="26">
        <f>IF(AND($G$158=1, FI13&gt;$G$159), 0, IFERROR(IF(AND(FI$13&gt;$F146,FI$13&lt;=Assumptions!$L$17),INDEX(Debt!$G$9:$G$366,MATCH(FI$13,Debt!$C$9:$C$366,0)),0),0))</f>
        <v>0</v>
      </c>
      <c r="FJ146" s="26">
        <f>IF(AND($G$158=1, FJ13&gt;$G$159), 0, IFERROR(IF(AND(FJ$13&gt;$F146,FJ$13&lt;=Assumptions!$L$17),INDEX(Debt!$G$9:$G$366,MATCH(FJ$13,Debt!$C$9:$C$366,0)),0),0))</f>
        <v>0</v>
      </c>
      <c r="FK146" s="26">
        <f>IF(AND($G$158=1, FK13&gt;$G$159), 0, IFERROR(IF(AND(FK$13&gt;$F146,FK$13&lt;=Assumptions!$L$17),INDEX(Debt!$G$9:$G$366,MATCH(FK$13,Debt!$C$9:$C$366,0)),0),0))</f>
        <v>0</v>
      </c>
      <c r="FL146" s="26">
        <f>IF(AND($G$158=1, FL13&gt;$G$159), 0, IFERROR(IF(AND(FL$13&gt;$F146,FL$13&lt;=Assumptions!$L$17),INDEX(Debt!$G$9:$G$366,MATCH(FL$13,Debt!$C$9:$C$366,0)),0),0))</f>
        <v>0</v>
      </c>
      <c r="FM146" s="26">
        <f>IF(AND($G$158=1, FM13&gt;$G$159), 0, IFERROR(IF(AND(FM$13&gt;$F146,FM$13&lt;=Assumptions!$L$17),INDEX(Debt!$G$9:$G$366,MATCH(FM$13,Debt!$C$9:$C$366,0)),0),0))</f>
        <v>0</v>
      </c>
      <c r="FN146" s="26">
        <f>IF(AND($G$158=1, FN13&gt;$G$159), 0, IFERROR(IF(AND(FN$13&gt;$F146,FN$13&lt;=Assumptions!$L$17),INDEX(Debt!$G$9:$G$366,MATCH(FN$13,Debt!$C$9:$C$366,0)),0),0))</f>
        <v>0</v>
      </c>
      <c r="FO146" s="26">
        <f>IF(AND($G$158=1, FO13&gt;$G$159), 0, IFERROR(IF(AND(FO$13&gt;$F146,FO$13&lt;=Assumptions!$L$17),INDEX(Debt!$G$9:$G$366,MATCH(FO$13,Debt!$C$9:$C$366,0)),0),0))</f>
        <v>0</v>
      </c>
      <c r="FP146" s="26">
        <f>IF(AND($G$158=1, FP13&gt;$G$159), 0, IFERROR(IF(AND(FP$13&gt;$F146,FP$13&lt;=Assumptions!$L$17),INDEX(Debt!$G$9:$G$366,MATCH(FP$13,Debt!$C$9:$C$366,0)),0),0))</f>
        <v>0</v>
      </c>
      <c r="FQ146" s="26">
        <f>IF(AND($G$158=1, FQ13&gt;$G$159), 0, IFERROR(IF(AND(FQ$13&gt;$F146,FQ$13&lt;=Assumptions!$L$17),INDEX(Debt!$G$9:$G$366,MATCH(FQ$13,Debt!$C$9:$C$366,0)),0),0))</f>
        <v>0</v>
      </c>
      <c r="FR146" s="26">
        <f>IF(AND($G$158=1, FR13&gt;$G$159), 0, IFERROR(IF(AND(FR$13&gt;$F146,FR$13&lt;=Assumptions!$L$17),INDEX(Debt!$G$9:$G$366,MATCH(FR$13,Debt!$C$9:$C$366,0)),0),0))</f>
        <v>0</v>
      </c>
      <c r="FS146" s="26">
        <f>IF(AND($G$158=1, FS13&gt;$G$159), 0, IFERROR(IF(AND(FS$13&gt;$F146,FS$13&lt;=Assumptions!$L$17),INDEX(Debt!$G$9:$G$366,MATCH(FS$13,Debt!$C$9:$C$366,0)),0),0))</f>
        <v>0</v>
      </c>
      <c r="FT146" s="26">
        <f>IF(AND($G$158=1, FT13&gt;$G$159), 0, IFERROR(IF(AND(FT$13&gt;$F146,FT$13&lt;=Assumptions!$L$17),INDEX(Debt!$G$9:$G$366,MATCH(FT$13,Debt!$C$9:$C$366,0)),0),0))</f>
        <v>0</v>
      </c>
      <c r="FU146" s="26">
        <f>IF(AND($G$158=1, FU13&gt;$G$159), 0, IFERROR(IF(AND(FU$13&gt;$F146,FU$13&lt;=Assumptions!$L$17),INDEX(Debt!$G$9:$G$366,MATCH(FU$13,Debt!$C$9:$C$366,0)),0),0))</f>
        <v>0</v>
      </c>
      <c r="FV146" s="26">
        <f>IF(AND($G$158=1, FV13&gt;$G$159), 0, IFERROR(IF(AND(FV$13&gt;$F146,FV$13&lt;=Assumptions!$L$17),INDEX(Debt!$G$9:$G$366,MATCH(FV$13,Debt!$C$9:$C$366,0)),0),0))</f>
        <v>0</v>
      </c>
      <c r="FW146" s="26">
        <f>IF(AND($G$158=1, FW13&gt;$G$159), 0, IFERROR(IF(AND(FW$13&gt;$F146,FW$13&lt;=Assumptions!$L$17),INDEX(Debt!$G$9:$G$366,MATCH(FW$13,Debt!$C$9:$C$366,0)),0),0))</f>
        <v>0</v>
      </c>
      <c r="FX146" s="26">
        <f>IF(AND($G$158=1, FX13&gt;$G$159), 0, IFERROR(IF(AND(FX$13&gt;$F146,FX$13&lt;=Assumptions!$L$17),INDEX(Debt!$G$9:$G$366,MATCH(FX$13,Debt!$C$9:$C$366,0)),0),0))</f>
        <v>0</v>
      </c>
      <c r="FY146" s="26">
        <f>IF(AND($G$158=1, FY13&gt;$G$159), 0, IFERROR(IF(AND(FY$13&gt;$F146,FY$13&lt;=Assumptions!$L$17),INDEX(Debt!$G$9:$G$366,MATCH(FY$13,Debt!$C$9:$C$366,0)),0),0))</f>
        <v>0</v>
      </c>
      <c r="FZ146" s="26">
        <f>IF(AND($G$158=1, FZ13&gt;$G$159), 0, IFERROR(IF(AND(FZ$13&gt;$F146,FZ$13&lt;=Assumptions!$L$17),INDEX(Debt!$G$9:$G$366,MATCH(FZ$13,Debt!$C$9:$C$366,0)),0),0))</f>
        <v>0</v>
      </c>
      <c r="GA146" s="26">
        <f>IF(AND($G$158=1, GA13&gt;$G$159), 0, IFERROR(IF(AND(GA$13&gt;$F146,GA$13&lt;=Assumptions!$L$17),INDEX(Debt!$G$9:$G$366,MATCH(GA$13,Debt!$C$9:$C$366,0)),0),0))</f>
        <v>0</v>
      </c>
      <c r="GB146" s="26">
        <f>IF(AND($G$158=1, GB13&gt;$G$159), 0, IFERROR(IF(AND(GB$13&gt;$F146,GB$13&lt;=Assumptions!$L$17),INDEX(Debt!$G$9:$G$366,MATCH(GB$13,Debt!$C$9:$C$366,0)),0),0))</f>
        <v>0</v>
      </c>
      <c r="GC146" s="26">
        <f>IF(AND($G$158=1, GC13&gt;$G$159), 0, IFERROR(IF(AND(GC$13&gt;$F146,GC$13&lt;=Assumptions!$L$17),INDEX(Debt!$G$9:$G$366,MATCH(GC$13,Debt!$C$9:$C$366,0)),0),0))</f>
        <v>0</v>
      </c>
      <c r="GD146" s="26"/>
      <c r="GE146" s="26"/>
      <c r="GF146" s="26"/>
      <c r="GG146" s="26"/>
      <c r="GH146" s="26"/>
      <c r="GI146" s="26"/>
      <c r="GJ146" s="26"/>
      <c r="GK146" s="26"/>
      <c r="GL146" s="26"/>
      <c r="GM146" s="26"/>
      <c r="GN146" s="26"/>
      <c r="GO146" s="26"/>
      <c r="GP146" s="26">
        <f>IF(AND($G$158=1, GP13&gt;$G$159), 0, IFERROR(IF(AND(GP$13&gt;$F146,GP$13&lt;=Assumptions!$L$17),INDEX(Debt!$G$9:$G$366,MATCH(GP$13,Debt!$C$9:$C$366,0)),0),0))</f>
        <v>0</v>
      </c>
      <c r="GQ146" s="26">
        <f>IF(AND($G$158=1, GQ13&gt;$G$159), 0, IFERROR(IF(AND(GQ$13&gt;$F146,GQ$13&lt;=Assumptions!$L$17),INDEX(Debt!$G$9:$G$366,MATCH(GQ$13,Debt!$C$9:$C$366,0)),0),0))</f>
        <v>0</v>
      </c>
      <c r="GR146" s="26">
        <f>IF(AND($G$158=1, GR13&gt;$G$159), 0, IFERROR(IF(AND(GR$13&gt;$F146,GR$13&lt;=Assumptions!$L$17),INDEX(Debt!$G$9:$G$366,MATCH(GR$13,Debt!$C$9:$C$366,0)),0),0))</f>
        <v>0</v>
      </c>
      <c r="GS146" s="26">
        <f>IF(AND($G$158=1, GS13&gt;$G$159), 0, IFERROR(IF(AND(GS$13&gt;$F146,GS$13&lt;=Assumptions!$L$17),INDEX(Debt!$G$9:$G$366,MATCH(GS$13,Debt!$C$9:$C$366,0)),0),0))</f>
        <v>0</v>
      </c>
      <c r="GT146" s="26">
        <f>IF(AND($G$158=1, GT13&gt;$G$159), 0, IFERROR(IF(AND(GT$13&gt;$F146,GT$13&lt;=Assumptions!$L$17),INDEX(Debt!$G$9:$G$366,MATCH(GT$13,Debt!$C$9:$C$366,0)),0),0))</f>
        <v>0</v>
      </c>
      <c r="GU146" s="26"/>
      <c r="GV146" s="26"/>
      <c r="GW146" s="26"/>
      <c r="GX146" s="26"/>
      <c r="GY146" s="26"/>
      <c r="GZ146" s="26"/>
      <c r="HA146" s="26"/>
      <c r="HB146" s="26"/>
      <c r="HC146" s="26"/>
      <c r="HD146" s="26"/>
      <c r="HE146" s="26"/>
      <c r="HF146" s="1" t="s">
        <v>212</v>
      </c>
      <c r="HH146" s="13" t="str">
        <f t="shared" ref="HH146:HH152" si="1017">B146</f>
        <v>Amortization</v>
      </c>
      <c r="HI146" s="26"/>
      <c r="HJ146" s="26"/>
      <c r="HK146" s="26"/>
      <c r="HL146" s="132">
        <f t="shared" si="1007"/>
        <v>0</v>
      </c>
      <c r="HM146" s="26"/>
      <c r="HN146" s="133">
        <f t="shared" ref="HN146:HV151" si="1018">SUMIF($K$14:$GT$14,HN$14,$K146:$GT146)</f>
        <v>0</v>
      </c>
      <c r="HO146" s="26">
        <f t="shared" si="1018"/>
        <v>0</v>
      </c>
      <c r="HP146" s="26">
        <f t="shared" si="1018"/>
        <v>0</v>
      </c>
      <c r="HQ146" s="26">
        <f t="shared" si="1018"/>
        <v>0</v>
      </c>
      <c r="HR146" s="26">
        <f t="shared" si="1018"/>
        <v>0</v>
      </c>
      <c r="HS146" s="26">
        <f t="shared" si="1018"/>
        <v>0</v>
      </c>
      <c r="HT146" s="26">
        <f t="shared" si="1018"/>
        <v>0</v>
      </c>
      <c r="HU146" s="26">
        <f t="shared" si="1018"/>
        <v>0</v>
      </c>
      <c r="HV146" s="26">
        <f t="shared" si="1018"/>
        <v>0</v>
      </c>
      <c r="HW146"/>
    </row>
    <row r="147" spans="1:231" ht="15" outlineLevel="1">
      <c r="B147" s="205" t="s">
        <v>89</v>
      </c>
      <c r="C147" s="84"/>
      <c r="D147" s="84"/>
      <c r="E147" s="84"/>
      <c r="F147" s="84"/>
      <c r="G147" s="84"/>
      <c r="H147" s="84"/>
      <c r="I147" s="119">
        <f ca="1">SUMIF($K$13:$GT$13,"&lt;="&amp;Assumptions!$L$17,'Monthly Cash Flow'!K147:GT147)</f>
        <v>8738.6296500000008</v>
      </c>
      <c r="J147" s="120"/>
      <c r="K147" s="140">
        <f>IF(Assumptions!$E$1=0,0,IF(K$13&gt;Assumptions!$L$20,0,K137*'Monthly Cash Flow'!K134*('Monthly Cash Flow'!K$15-'Monthly Cash Flow'!J$15)/360))</f>
        <v>0</v>
      </c>
      <c r="L147" s="932">
        <f>Historicals!D25</f>
        <v>99.817880000000002</v>
      </c>
      <c r="M147" s="932">
        <f>Historicals!E25</f>
        <v>107.07263</v>
      </c>
      <c r="N147" s="932">
        <f>Historicals!F25</f>
        <v>93.756550000000004</v>
      </c>
      <c r="O147" s="932">
        <f>Historicals!G25</f>
        <v>97.477069999999998</v>
      </c>
      <c r="P147" s="932">
        <f>Historicals!H25</f>
        <v>93.802399999999992</v>
      </c>
      <c r="Q147" s="932">
        <f>Historicals!I25</f>
        <v>97.247420000000005</v>
      </c>
      <c r="R147" s="932">
        <f>Historicals!J25</f>
        <v>97.714269999999985</v>
      </c>
      <c r="S147" s="932">
        <f>Historicals!K25</f>
        <v>94.318039999999996</v>
      </c>
      <c r="T147" s="932">
        <f>Historicals!L25</f>
        <v>101.34725</v>
      </c>
      <c r="U147" s="932">
        <f>Historicals!M25</f>
        <v>100.38728000000002</v>
      </c>
      <c r="V147" s="932">
        <f>Historicals!N25</f>
        <v>106.00931999999999</v>
      </c>
      <c r="W147" s="932">
        <f>Historicals!O25</f>
        <v>102.52549</v>
      </c>
      <c r="X147" s="932">
        <f>Historicals!P25</f>
        <v>109.64747</v>
      </c>
      <c r="Y147" s="932">
        <f>Historicals!Q25</f>
        <v>110.21392</v>
      </c>
      <c r="Z147" s="932">
        <f>Historicals!R25</f>
        <v>106.67487</v>
      </c>
      <c r="AA147" s="932">
        <f>Historicals!S25</f>
        <v>113.30676000000001</v>
      </c>
      <c r="AB147" s="932">
        <f>Historicals!T25</f>
        <v>109.32448000000001</v>
      </c>
      <c r="AC147" s="932">
        <f>Historicals!U25</f>
        <v>113.17747</v>
      </c>
      <c r="AD147" s="932">
        <f>Historicals!V25</f>
        <v>126.27515</v>
      </c>
      <c r="AE147" s="932">
        <f>Historicals!W25</f>
        <v>116.49860000000001</v>
      </c>
      <c r="AF147" s="932">
        <f>Historicals!X25</f>
        <v>128.33968999999999</v>
      </c>
      <c r="AG147" s="932">
        <f>Historicals!Y25</f>
        <v>127.63253999999999</v>
      </c>
      <c r="AH147" s="932">
        <f>Historicals!Z25</f>
        <v>134.13919000000001</v>
      </c>
      <c r="AI147" s="932">
        <f>Historicals!AA25</f>
        <v>130.21171000000001</v>
      </c>
      <c r="AJ147" s="932">
        <f>Historicals!AB25</f>
        <v>137.46123</v>
      </c>
      <c r="AK147" s="932">
        <f>Historicals!AC25</f>
        <v>137.42370000000003</v>
      </c>
      <c r="AL147" s="932">
        <f>Historicals!AD25</f>
        <v>147.13461999999998</v>
      </c>
      <c r="AM147" s="932">
        <f>Historicals!AE25</f>
        <v>128.02465000000001</v>
      </c>
      <c r="AN147" s="932">
        <f>Historicals!AF25</f>
        <v>162.54771999999997</v>
      </c>
      <c r="AO147" s="932">
        <f>Historicals!AG25</f>
        <v>161.53258000000002</v>
      </c>
      <c r="AP147" s="932">
        <f>Historicals!AH25</f>
        <v>152.23414</v>
      </c>
      <c r="AQ147" s="932">
        <f>Historicals!AI25</f>
        <v>132.09123000000002</v>
      </c>
      <c r="AR147" s="932">
        <f>Historicals!AJ25</f>
        <v>146.26062999999999</v>
      </c>
      <c r="AS147" s="932">
        <f>Historicals!AK25</f>
        <v>141.18404000000001</v>
      </c>
      <c r="AT147" s="932">
        <f>Historicals!AL25</f>
        <v>144.95245</v>
      </c>
      <c r="AU147" s="932">
        <f>Historicals!AM25</f>
        <v>139.98539000000002</v>
      </c>
      <c r="AV147" s="932">
        <f>Historicals!AN25</f>
        <v>143.52170999999998</v>
      </c>
      <c r="AW147" s="932">
        <f>Historicals!AO25</f>
        <v>142.16876999999999</v>
      </c>
      <c r="AX147" s="932">
        <f>Historicals!AP25</f>
        <v>135.25839999999999</v>
      </c>
      <c r="AY147" s="932">
        <f>Historicals!AQ25</f>
        <v>136.60156000000001</v>
      </c>
      <c r="AZ147" s="932">
        <f>Historicals!AR25</f>
        <v>130.12090000000001</v>
      </c>
      <c r="BA147" s="932">
        <f>Historicals!AS25</f>
        <v>131.68058000000002</v>
      </c>
      <c r="BB147" s="932">
        <f>Historicals!AT25</f>
        <v>131.19252</v>
      </c>
      <c r="BC147" s="932">
        <f>Historicals!AU25</f>
        <v>121.62235000000001</v>
      </c>
      <c r="BD147" s="932">
        <f>Historicals!AV25</f>
        <v>129.67227</v>
      </c>
      <c r="BE147" s="932">
        <f>Historicals!AW25</f>
        <v>108.16163</v>
      </c>
      <c r="BF147" s="932">
        <f>Historicals!AX25</f>
        <v>113.81280000000001</v>
      </c>
      <c r="BG147" s="932">
        <f>Historicals!AY25</f>
        <v>104.43817999999999</v>
      </c>
      <c r="BH147" s="932">
        <f>Historicals!AZ25</f>
        <v>107.91946</v>
      </c>
      <c r="BI147" s="932">
        <f>Historicals!BA25</f>
        <v>107.91946</v>
      </c>
      <c r="BJ147" s="932">
        <f>Historicals!BB25</f>
        <v>104.43817999999999</v>
      </c>
      <c r="BK147" s="932">
        <f>Historicals!BC25</f>
        <v>107.91946</v>
      </c>
      <c r="BL147" s="932">
        <f>Historicals!BD25</f>
        <v>104.43817999999999</v>
      </c>
      <c r="BM147" s="932">
        <f>Historicals!BE25</f>
        <v>107.91946</v>
      </c>
      <c r="BN147" s="932">
        <f>Historicals!BF25</f>
        <v>107.91945</v>
      </c>
      <c r="BO147" s="932">
        <f>Historicals!BG25</f>
        <v>97.47563000000001</v>
      </c>
      <c r="BP147" s="932">
        <f>Historicals!BH25</f>
        <v>107.91945</v>
      </c>
      <c r="BQ147" s="932">
        <f>Historicals!BI25</f>
        <v>104.43817999999999</v>
      </c>
      <c r="BR147" s="932">
        <f>Historicals!BJ25</f>
        <v>107.91946</v>
      </c>
      <c r="BS147" s="932">
        <f>Historicals!BK25</f>
        <v>107.63529</v>
      </c>
      <c r="BT147" s="932">
        <f>Historicals!BL25</f>
        <v>99.109529999999992</v>
      </c>
      <c r="BU147" s="932">
        <f>Historicals!BM25</f>
        <v>99.109520000000003</v>
      </c>
      <c r="BV147" s="932">
        <f>Historicals!BN25</f>
        <v>95.912440000000004</v>
      </c>
      <c r="BW147" s="932">
        <f>Historicals!BO25</f>
        <v>99.10951</v>
      </c>
      <c r="BX147" s="932">
        <f>Historicals!BP25</f>
        <v>96.316159999999996</v>
      </c>
      <c r="BY147" s="932">
        <f>Historicals!BQ25</f>
        <v>100.07224000000001</v>
      </c>
      <c r="BZ147" s="932">
        <f>Historicals!BR25</f>
        <v>100.07224000000001</v>
      </c>
      <c r="CA147" s="932">
        <f>Historicals!BS25</f>
        <v>90.387830000000008</v>
      </c>
      <c r="CB147" s="932">
        <f>Historicals!BT25</f>
        <v>101.28278999999999</v>
      </c>
      <c r="CC147" s="932">
        <f>Historicals!BU25</f>
        <v>100.18088</v>
      </c>
      <c r="CD147" s="932">
        <f>Historicals!BV25</f>
        <v>110.84980999999999</v>
      </c>
      <c r="CE147" s="932">
        <f>Historicals!BW25</f>
        <v>108.56345</v>
      </c>
      <c r="CF147" s="932">
        <f>Historicals!BX25</f>
        <v>133.17430999999999</v>
      </c>
      <c r="CG147" s="932">
        <f>Historicals!BY25</f>
        <v>141.79045000000002</v>
      </c>
      <c r="CH147" s="932">
        <f>Historicals!BZ25</f>
        <v>112.83533</v>
      </c>
      <c r="CI147" s="526">
        <f ca="1">IF(Assumptions!$E$1=0,0,IF(CI$13&gt;Assumptions!$L$20,0,(CI144+SUM($H$139:$H$140))*CI134*('Monthly Cash Flow'!CI$15-'Monthly Cash Flow'!CH$15)/360))</f>
        <v>0</v>
      </c>
      <c r="CJ147" s="526">
        <f ca="1">IF(Assumptions!$E$1=0,0,IF(CJ$13&gt;Assumptions!$L$20,0,(CJ144+SUM($H$139:$H$140))*CJ134*('Monthly Cash Flow'!CJ$15-'Monthly Cash Flow'!CI$15)/360))</f>
        <v>0</v>
      </c>
      <c r="CK147" s="526">
        <f ca="1">IF(Assumptions!$E$1=0,0,IF(CK$13&gt;Assumptions!$L$20,0,(CK144+SUM($H$139:$H$140))*CK134*('Monthly Cash Flow'!CK$15-'Monthly Cash Flow'!CJ$15)/360))</f>
        <v>0</v>
      </c>
      <c r="CL147" s="526">
        <f ca="1">IF(Assumptions!$E$1=0,0,IF(CL$13&gt;Assumptions!$L$20,0,(CL144+SUM($H$139:$H$140))*CL134*('Monthly Cash Flow'!CL$15-'Monthly Cash Flow'!CK$15)/360))</f>
        <v>0</v>
      </c>
      <c r="CM147" s="526">
        <f ca="1">IF(Assumptions!$E$1=0,0,IF(CM$13&gt;Assumptions!$L$20,0,(CM144+SUM($H$139:$H$140))*CM134*('Monthly Cash Flow'!CM$15-'Monthly Cash Flow'!CL$15)/360))</f>
        <v>0</v>
      </c>
      <c r="CN147" s="526">
        <f ca="1">IF(Assumptions!$E$1=0,0,IF(CN$13&gt;Assumptions!$L$20,0,(CN144+SUM($H$139:$H$140))*CN134*('Monthly Cash Flow'!CN$15-'Monthly Cash Flow'!CM$15)/360))</f>
        <v>0</v>
      </c>
      <c r="CO147" s="526">
        <f ca="1">IF(Assumptions!$E$1=0,0,IF(CO$13&gt;Assumptions!$L$20,0,(CO144+SUM($H$139:$H$140))*CO134*('Monthly Cash Flow'!CO$15-'Monthly Cash Flow'!CN$15)/360))</f>
        <v>0</v>
      </c>
      <c r="CP147" s="526">
        <f ca="1">IF(Assumptions!$E$1=0,0,IF(CP$13&gt;Assumptions!$L$20,0,(CP144+SUM($H$139:$H$140))*CP134*('Monthly Cash Flow'!CP$15-'Monthly Cash Flow'!CO$15)/360))</f>
        <v>0</v>
      </c>
      <c r="CQ147" s="526">
        <f ca="1">IF(Assumptions!$E$1=0,0,IF(CQ$13&gt;Assumptions!$L$20,0,(CQ144+SUM($H$139:$H$140))*CQ134*('Monthly Cash Flow'!CQ$15-'Monthly Cash Flow'!CP$15)/360))</f>
        <v>0</v>
      </c>
      <c r="CR147" s="526">
        <f ca="1">IF(Assumptions!$E$1=0,0,IF(CR$13&gt;Assumptions!$L$20,0,(CR144+SUM($H$139:$H$140))*CR134*('Monthly Cash Flow'!CR$15-'Monthly Cash Flow'!CQ$15)/360))</f>
        <v>0</v>
      </c>
      <c r="CS147" s="526">
        <f ca="1">IF(Assumptions!$E$1=0,0,IF(CS$13&gt;Assumptions!$L$20,0,(CS144+SUM($H$139:$H$140))*CS134*('Monthly Cash Flow'!CS$15-'Monthly Cash Flow'!CR$15)/360))</f>
        <v>0</v>
      </c>
      <c r="CT147" s="526">
        <f ca="1">IF(Assumptions!$E$1=0,0,IF(CT$13&gt;Assumptions!$L$20,0,(CT144+SUM($H$139:$H$140))*CT134*('Monthly Cash Flow'!CT$15-'Monthly Cash Flow'!CS$15)/360))</f>
        <v>0</v>
      </c>
      <c r="CU147" s="526">
        <f ca="1">IF(Assumptions!$E$1=0,0,IF(CU$13&gt;Assumptions!$L$20,0,(CU144+SUM($H$139:$H$140))*CU134*('Monthly Cash Flow'!CU$15-'Monthly Cash Flow'!CT$15)/360))</f>
        <v>0</v>
      </c>
      <c r="CV147" s="526">
        <f ca="1">IF(Assumptions!$E$1=0,0,IF(CV$13&gt;Assumptions!$L$20,0,(CV144+SUM($H$139:$H$140))*CV134*('Monthly Cash Flow'!CV$15-'Monthly Cash Flow'!CU$15)/360))</f>
        <v>0</v>
      </c>
      <c r="CW147" s="526">
        <f ca="1">IF(Assumptions!$E$1=0,0,IF(CW$13&gt;Assumptions!$L$20,0,(CW144+SUM($H$139:$H$140))*CW134*('Monthly Cash Flow'!CW$15-'Monthly Cash Flow'!CV$15)/360))</f>
        <v>0</v>
      </c>
      <c r="CX147" s="526">
        <f ca="1">IF(Assumptions!$E$1=0,0,IF(CX$13&gt;Assumptions!$L$20,0,(CX144+SUM($H$139:$H$140))*CX134*('Monthly Cash Flow'!CX$15-'Monthly Cash Flow'!CW$15)/360))</f>
        <v>0</v>
      </c>
      <c r="CY147" s="526">
        <f ca="1">IF(Assumptions!$E$1=0,0,IF(CY$13&gt;Assumptions!$L$20,0,(CY144+SUM($H$139:$H$140))*CY134*('Monthly Cash Flow'!CY$15-'Monthly Cash Flow'!CX$15)/360))</f>
        <v>0</v>
      </c>
      <c r="CZ147" s="526">
        <f ca="1">IF(Assumptions!$E$1=0,0,IF(CZ$13&gt;Assumptions!$L$20,0,(CZ144+SUM($H$139:$H$140))*CZ134*('Monthly Cash Flow'!CZ$15-'Monthly Cash Flow'!CY$15)/360))</f>
        <v>0</v>
      </c>
      <c r="DA147" s="526">
        <f ca="1">IF(Assumptions!$E$1=0,0,IF(DA$13&gt;Assumptions!$L$20,0,(DA144+SUM($H$139:$H$140))*DA134*('Monthly Cash Flow'!DA$15-'Monthly Cash Flow'!CZ$15)/360))</f>
        <v>0</v>
      </c>
      <c r="DB147" s="526">
        <f ca="1">IF(Assumptions!$E$1=0,0,IF(DB$13&gt;Assumptions!$L$20,0,(DB144+SUM($H$139:$H$140))*DB134*('Monthly Cash Flow'!DB$15-'Monthly Cash Flow'!DA$15)/360))</f>
        <v>0</v>
      </c>
      <c r="DC147" s="526">
        <f ca="1">IF(Assumptions!$E$1=0,0,IF(DC$13&gt;Assumptions!$L$20,0,(DC144+SUM($H$139:$H$140))*DC134*('Monthly Cash Flow'!DC$15-'Monthly Cash Flow'!DB$15)/360))</f>
        <v>0</v>
      </c>
      <c r="DD147" s="526">
        <f ca="1">IF(Assumptions!$E$1=0,0,IF(DD$13&gt;Assumptions!$L$20,0,(DD144+SUM($H$139:$H$140))*DD134*('Monthly Cash Flow'!DD$15-'Monthly Cash Flow'!DC$15)/360))</f>
        <v>0</v>
      </c>
      <c r="DE147" s="526">
        <f ca="1">IF(Assumptions!$E$1=0,0,IF(DE$13&gt;Assumptions!$L$20,0,(DE144+SUM($H$139:$H$140))*DE134*('Monthly Cash Flow'!DE$15-'Monthly Cash Flow'!DD$15)/360))</f>
        <v>0</v>
      </c>
      <c r="DF147" s="526">
        <f ca="1">IF(Assumptions!$E$1=0,0,IF(DF$13&gt;Assumptions!$L$20,0,(DF144+SUM($H$139:$H$140))*DF134*('Monthly Cash Flow'!DF$15-'Monthly Cash Flow'!DE$15)/360))</f>
        <v>0</v>
      </c>
      <c r="DG147" s="526">
        <f ca="1">IF(Assumptions!$E$1=0,0,IF(DG$13&gt;Assumptions!$L$20,0,(DG144+SUM($H$139:$H$140))*DG134*('Monthly Cash Flow'!DG$15-'Monthly Cash Flow'!DF$15)/360))</f>
        <v>0</v>
      </c>
      <c r="DH147" s="526">
        <f ca="1">IF(Assumptions!$E$1=0,0,IF(DH$13&gt;Assumptions!$L$20,0,(DH144+SUM($H$139:$H$140))*DH134*('Monthly Cash Flow'!DH$15-'Monthly Cash Flow'!DG$15)/360))</f>
        <v>0</v>
      </c>
      <c r="DI147" s="526">
        <f ca="1">IF(Assumptions!$E$1=0,0,IF(DI$13&gt;Assumptions!$L$20,0,(DI144+SUM($H$139:$H$140))*DI134*('Monthly Cash Flow'!DI$15-'Monthly Cash Flow'!DH$15)/360))</f>
        <v>0</v>
      </c>
      <c r="DJ147" s="526">
        <f>IF(Assumptions!$E$1=0,0,IF(DJ$13&gt;Assumptions!$L$20,0,(DJ144+SUM($H$139:$H$140))*DJ134*('Monthly Cash Flow'!DJ$15-'Monthly Cash Flow'!DI$15)/360))</f>
        <v>0</v>
      </c>
      <c r="DK147" s="526">
        <f>IF(Assumptions!$E$1=0,0,IF(DK$13&gt;Assumptions!$L$20,0,(DK144+SUM($H$139:$H$140))*DK134*('Monthly Cash Flow'!DK$15-'Monthly Cash Flow'!DJ$15)/360))</f>
        <v>0</v>
      </c>
      <c r="DL147" s="526">
        <f>IF(Assumptions!$E$1=0,0,IF(DL$13&gt;Assumptions!$L$20,0,(DL144+SUM($H$139:$H$140))*DL134*('Monthly Cash Flow'!DL$15-'Monthly Cash Flow'!DK$15)/360))</f>
        <v>0</v>
      </c>
      <c r="DM147" s="526">
        <f>IF(Assumptions!$E$1=0,0,IF(DM$13&gt;Assumptions!$L$20,0,(DM144+SUM($H$139:$H$140))*DM134*('Monthly Cash Flow'!DM$15-'Monthly Cash Flow'!DL$15)/360))</f>
        <v>0</v>
      </c>
      <c r="DN147" s="526">
        <f>IF(Assumptions!$E$1=0,0,IF(DN$13&gt;Assumptions!$L$20,0,(DN144+SUM($H$139:$H$140))*DN134*('Monthly Cash Flow'!DN$15-'Monthly Cash Flow'!DM$15)/360))</f>
        <v>0</v>
      </c>
      <c r="DO147" s="526">
        <f>IF(Assumptions!$E$1=0,0,IF(DO$13&gt;Assumptions!$L$20,0,(DO144+SUM($H$139:$H$140))*DO134*('Monthly Cash Flow'!DO$15-'Monthly Cash Flow'!DN$15)/360))</f>
        <v>0</v>
      </c>
      <c r="DP147" s="526">
        <f>IF(Assumptions!$E$1=0,0,IF(DP$13&gt;Assumptions!$L$20,0,(DP144+SUM($H$139:$H$140))*DP134*('Monthly Cash Flow'!DP$15-'Monthly Cash Flow'!DO$15)/360))</f>
        <v>0</v>
      </c>
      <c r="DQ147" s="526">
        <f>IF(Assumptions!$E$1=0,0,IF(DQ$13&gt;Assumptions!$L$20,0,(DQ144+SUM($H$139:$H$140))*DQ134*('Monthly Cash Flow'!DQ$15-'Monthly Cash Flow'!DP$15)/360))</f>
        <v>0</v>
      </c>
      <c r="DR147" s="526">
        <f>IF(Assumptions!$E$1=0,0,IF(DR$13&gt;Assumptions!$L$20,0,(DR144+SUM($H$139:$H$140))*DR134*('Monthly Cash Flow'!DR$15-'Monthly Cash Flow'!DQ$15)/360))</f>
        <v>0</v>
      </c>
      <c r="DS147" s="526">
        <f>IF(Assumptions!$E$1=0,0,IF(DS$13&gt;Assumptions!$L$20,0,(DS144+SUM($H$139:$H$140))*DS134*('Monthly Cash Flow'!DS$15-'Monthly Cash Flow'!DR$15)/360))</f>
        <v>0</v>
      </c>
      <c r="DT147" s="526">
        <f>IF(Assumptions!$E$1=0,0,IF(DT$13&gt;Assumptions!$L$20,0,(DT144+SUM($H$139:$H$140))*DT134*('Monthly Cash Flow'!DT$15-'Monthly Cash Flow'!DS$15)/360))</f>
        <v>0</v>
      </c>
      <c r="DU147" s="526">
        <f>IF(Assumptions!$E$1=0,0,IF(DU$13&gt;Assumptions!$L$20,0,(DU144+SUM($H$139:$H$140))*DU134*('Monthly Cash Flow'!DU$15-'Monthly Cash Flow'!DT$15)/360))</f>
        <v>0</v>
      </c>
      <c r="DV147" s="526">
        <f>IF(Assumptions!$E$1=0,0,IF(DV$13&gt;Assumptions!$L$20,0,(DV144+SUM($H$139:$H$140))*DV134*('Monthly Cash Flow'!DV$15-'Monthly Cash Flow'!DU$15)/360))</f>
        <v>0</v>
      </c>
      <c r="DW147" s="526">
        <f>IF(Assumptions!$E$1=0,0,IF(DW$13&gt;Assumptions!$L$20,0,(DW144+SUM($H$139:$H$140))*DW134*('Monthly Cash Flow'!DW$15-'Monthly Cash Flow'!DV$15)/360))</f>
        <v>0</v>
      </c>
      <c r="DX147" s="526">
        <f>IF(Assumptions!$E$1=0,0,IF(DX$13&gt;Assumptions!$L$20,0,(DX144+SUM($H$139:$H$140))*DX134*('Monthly Cash Flow'!DX$15-'Monthly Cash Flow'!DW$15)/360))</f>
        <v>0</v>
      </c>
      <c r="DY147" s="526">
        <f>IF(Assumptions!$E$1=0,0,IF(DY$13&gt;Assumptions!$L$20,0,(DY144+SUM($H$139:$H$140))*DY134*('Monthly Cash Flow'!DY$15-'Monthly Cash Flow'!DX$15)/360))</f>
        <v>0</v>
      </c>
      <c r="DZ147" s="526">
        <f>IF(Assumptions!$E$1=0,0,IF(DZ$13&gt;Assumptions!$L$20,0,(DZ144+SUM($H$139:$H$140))*DZ134*('Monthly Cash Flow'!DZ$15-'Monthly Cash Flow'!DY$15)/360))</f>
        <v>0</v>
      </c>
      <c r="EA147" s="526">
        <f>IF(Assumptions!$E$1=0,0,IF(EA$13&gt;Assumptions!$L$20,0,(EA144+SUM($H$139:$H$140))*EA134*('Monthly Cash Flow'!EA$15-'Monthly Cash Flow'!DZ$15)/360))</f>
        <v>0</v>
      </c>
      <c r="EB147" s="526">
        <f>IF(Assumptions!$E$1=0,0,IF(EB$13&gt;Assumptions!$L$20,0,(EB144+SUM($H$139:$H$140))*EB134*('Monthly Cash Flow'!EB$15-'Monthly Cash Flow'!EA$15)/360))</f>
        <v>0</v>
      </c>
      <c r="EC147" s="526">
        <f>IF(Assumptions!$E$1=0,0,IF(EC$13&gt;Assumptions!$L$20,0,(EC144+SUM($H$139:$H$140))*EC134*('Monthly Cash Flow'!EC$15-'Monthly Cash Flow'!EB$15)/360))</f>
        <v>0</v>
      </c>
      <c r="ED147" s="526">
        <f>IF(Assumptions!$E$1=0,0,IF(ED$13&gt;Assumptions!$L$20,0,(ED144+SUM($H$139:$H$140))*ED134*('Monthly Cash Flow'!ED$15-'Monthly Cash Flow'!EC$15)/360))</f>
        <v>0</v>
      </c>
      <c r="EE147" s="526">
        <f>IF(Assumptions!$E$1=0,0,IF(EE$13&gt;Assumptions!$L$20,0,(EE144+SUM($H$139:$H$140))*EE134*('Monthly Cash Flow'!EE$15-'Monthly Cash Flow'!ED$15)/360))</f>
        <v>0</v>
      </c>
      <c r="EF147" s="526">
        <f>IF(Assumptions!$E$1=0,0,IF(EF$13&gt;Assumptions!$L$20,0,(EF144+SUM($H$139:$H$140))*EF134*('Monthly Cash Flow'!EF$15-'Monthly Cash Flow'!EE$15)/360))</f>
        <v>0</v>
      </c>
      <c r="EG147" s="526">
        <f>IF(Assumptions!$E$1=0,0,IF(EG$13&gt;Assumptions!$L$20,0,(EG144+SUM($H$139:$H$140))*EG134*('Monthly Cash Flow'!EG$15-'Monthly Cash Flow'!EF$15)/360))</f>
        <v>0</v>
      </c>
      <c r="EH147" s="526">
        <f>IF(Assumptions!$E$1=0,0,IF(EH$13&gt;Assumptions!$L$20,0,(EH144+SUM($H$139:$H$140))*EH134*('Monthly Cash Flow'!EH$15-'Monthly Cash Flow'!EG$15)/360))</f>
        <v>0</v>
      </c>
      <c r="EI147" s="526">
        <f>IF(Assumptions!$E$1=0,0,IF(EI$13&gt;Assumptions!$L$20,0,(EI144+SUM($H$139:$H$140))*EI134*('Monthly Cash Flow'!EI$15-'Monthly Cash Flow'!EH$15)/360))</f>
        <v>0</v>
      </c>
      <c r="EJ147" s="526">
        <f>IF(Assumptions!$E$1=0,0,IF(EJ$13&gt;Assumptions!$L$20,0,(EJ144+SUM($H$139:$H$140))*EJ134*('Monthly Cash Flow'!EJ$15-'Monthly Cash Flow'!EI$15)/360))</f>
        <v>0</v>
      </c>
      <c r="EK147" s="526">
        <f>IF(Assumptions!$E$1=0,0,IF(EK$13&gt;Assumptions!$L$20,0,(EK144+SUM($H$139:$H$140))*EK134*('Monthly Cash Flow'!EK$15-'Monthly Cash Flow'!EJ$15)/360))</f>
        <v>0</v>
      </c>
      <c r="EL147" s="526">
        <f>IF(Assumptions!$E$1=0,0,IF(EL$13&gt;Assumptions!$L$20,0,(EL144+SUM($H$139:$H$140))*EL134*('Monthly Cash Flow'!EL$15-'Monthly Cash Flow'!EK$15)/360))</f>
        <v>0</v>
      </c>
      <c r="EM147" s="526">
        <f>IF(Assumptions!$E$1=0,0,IF(EM$13&gt;Assumptions!$L$20,0,(EM144+SUM($H$139:$H$140))*EM134*('Monthly Cash Flow'!EM$15-'Monthly Cash Flow'!EL$15)/360))</f>
        <v>0</v>
      </c>
      <c r="EN147" s="526">
        <f>IF(Assumptions!$E$1=0,0,IF(EN$13&gt;Assumptions!$L$20,0,(EN144+SUM($H$139:$H$140))*EN134*('Monthly Cash Flow'!EN$15-'Monthly Cash Flow'!EM$15)/360))</f>
        <v>0</v>
      </c>
      <c r="EO147" s="526">
        <f>IF(Assumptions!$E$1=0,0,IF(EO$13&gt;Assumptions!$L$20,0,(EO144+SUM($H$139:$H$140))*EO134*('Monthly Cash Flow'!EO$15-'Monthly Cash Flow'!EN$15)/360))</f>
        <v>0</v>
      </c>
      <c r="EP147" s="526">
        <f>IF(Assumptions!$E$1=0,0,IF(EP$13&gt;Assumptions!$L$20,0,(EP144+SUM($H$139:$H$140))*EP134*('Monthly Cash Flow'!EP$15-'Monthly Cash Flow'!EO$15)/360))</f>
        <v>0</v>
      </c>
      <c r="EQ147" s="526">
        <f>IF(Assumptions!$E$1=0,0,IF(EQ$13&gt;Assumptions!$L$20,0,(EQ144+SUM($H$139:$H$140))*EQ134*('Monthly Cash Flow'!EQ$15-'Monthly Cash Flow'!EP$15)/360))</f>
        <v>0</v>
      </c>
      <c r="ER147" s="526">
        <f>IF(Assumptions!$E$1=0,0,IF(ER$13&gt;Assumptions!$L$20,0,(ER144+SUM($H$139:$H$140))*ER134*('Monthly Cash Flow'!ER$15-'Monthly Cash Flow'!EQ$15)/360))</f>
        <v>0</v>
      </c>
      <c r="ES147" s="526">
        <f>IF(Assumptions!$E$1=0,0,IF(ES$13&gt;Assumptions!$L$20,0,(ES144+SUM($H$139:$H$140))*ES134*('Monthly Cash Flow'!ES$15-'Monthly Cash Flow'!ER$15)/360))</f>
        <v>0</v>
      </c>
      <c r="ET147" s="526">
        <f>IF(Assumptions!$E$1=0,0,IF(ET$13&gt;Assumptions!$L$20,0,(ET144+SUM($H$139:$H$140))*ET134*('Monthly Cash Flow'!ET$15-'Monthly Cash Flow'!ES$15)/360))</f>
        <v>0</v>
      </c>
      <c r="EU147" s="526">
        <f>IF(Assumptions!$E$1=0,0,IF(EU$13&gt;Assumptions!$L$20,0,(EU144+SUM($H$139:$H$140))*EU134*('Monthly Cash Flow'!EU$15-'Monthly Cash Flow'!ET$15)/360))</f>
        <v>0</v>
      </c>
      <c r="EV147" s="526">
        <f>IF(Assumptions!$E$1=0,0,IF(EV$13&gt;Assumptions!$L$20,0,(EV144+SUM($H$139:$H$140))*EV134*('Monthly Cash Flow'!EV$15-'Monthly Cash Flow'!EU$15)/360))</f>
        <v>0</v>
      </c>
      <c r="EW147" s="526">
        <f>IF(Assumptions!$E$1=0,0,IF(EW$13&gt;Assumptions!$L$20,0,(EW144+SUM($H$139:$H$140))*EW134*('Monthly Cash Flow'!EW$15-'Monthly Cash Flow'!EV$15)/360))</f>
        <v>0</v>
      </c>
      <c r="EX147" s="526">
        <f>IF(Assumptions!$E$1=0,0,IF(EX$13&gt;Assumptions!$L$20,0,(EX144+SUM($H$139:$H$140))*EX134*('Monthly Cash Flow'!EX$15-'Monthly Cash Flow'!EW$15)/360))</f>
        <v>0</v>
      </c>
      <c r="EY147" s="526">
        <f>IF(Assumptions!$E$1=0,0,IF(EY$13&gt;Assumptions!$L$20,0,(EY144+SUM($H$139:$H$140))*EY134*('Monthly Cash Flow'!EY$15-'Monthly Cash Flow'!EX$15)/360))</f>
        <v>0</v>
      </c>
      <c r="EZ147" s="526">
        <f>IF(Assumptions!$E$1=0,0,IF(EZ$13&gt;Assumptions!$L$20,0,(EZ144+SUM($H$139:$H$140))*EZ134*('Monthly Cash Flow'!EZ$15-'Monthly Cash Flow'!EY$15)/360))</f>
        <v>0</v>
      </c>
      <c r="FA147" s="526">
        <f>IF(Assumptions!$E$1=0,0,IF(FA$13&gt;Assumptions!$L$20,0,(FA144+SUM($H$139:$H$140))*FA134*('Monthly Cash Flow'!FA$15-'Monthly Cash Flow'!EZ$15)/360))</f>
        <v>0</v>
      </c>
      <c r="FB147" s="526">
        <f>IF(Assumptions!$E$1=0,0,IF(FB$13&gt;Assumptions!$L$20,0,(FB144+SUM($H$139:$H$140))*FB134*('Monthly Cash Flow'!FB$15-'Monthly Cash Flow'!FA$15)/360))</f>
        <v>0</v>
      </c>
      <c r="FC147" s="526">
        <f>IF(Assumptions!$E$1=0,0,IF(FC$13&gt;Assumptions!$L$20,0,(FC144+SUM($H$139:$H$140))*FC134*('Monthly Cash Flow'!FC$15-'Monthly Cash Flow'!FB$15)/360))</f>
        <v>0</v>
      </c>
      <c r="FD147" s="526">
        <f>IF(Assumptions!$E$1=0,0,IF(FD$13&gt;Assumptions!$L$20,0,(FD144+SUM($H$139:$H$140))*FD134*('Monthly Cash Flow'!FD$15-'Monthly Cash Flow'!FC$15)/360))</f>
        <v>0</v>
      </c>
      <c r="FE147" s="526">
        <f>IF(Assumptions!$E$1=0,0,IF(FE$13&gt;Assumptions!$L$20,0,(FE144+SUM($H$139:$H$140))*FE134*('Monthly Cash Flow'!FE$15-'Monthly Cash Flow'!FD$15)/360))</f>
        <v>0</v>
      </c>
      <c r="FF147" s="526">
        <f>IF(Assumptions!$E$1=0,0,IF(FF$13&gt;Assumptions!$L$20,0,(FF144+SUM($H$139:$H$140))*FF134*('Monthly Cash Flow'!FF$15-'Monthly Cash Flow'!FE$15)/360))</f>
        <v>0</v>
      </c>
      <c r="FG147" s="526">
        <f>IF(Assumptions!$E$1=0,0,IF(FG$13&gt;Assumptions!$L$20,0,(FG144+SUM($H$139:$H$140))*FG134*('Monthly Cash Flow'!FG$15-'Monthly Cash Flow'!FF$15)/360))</f>
        <v>0</v>
      </c>
      <c r="FH147" s="526">
        <f>IF(Assumptions!$E$1=0,0,IF(FH$13&gt;Assumptions!$L$20,0,(FH144+SUM($H$139:$H$140))*FH134*('Monthly Cash Flow'!FH$15-'Monthly Cash Flow'!FG$15)/360))</f>
        <v>0</v>
      </c>
      <c r="FI147" s="526">
        <f>IF(Assumptions!$E$1=0,0,IF(FI$13&gt;Assumptions!$L$20,0,(FI144+SUM($H$139:$H$140))*FI134*('Monthly Cash Flow'!FI$15-'Monthly Cash Flow'!FH$15)/360))</f>
        <v>0</v>
      </c>
      <c r="FJ147" s="526">
        <f>IF(Assumptions!$E$1=0,0,IF(FJ$13&gt;Assumptions!$L$20,0,(FJ144+SUM($H$139:$H$140))*FJ134*('Monthly Cash Flow'!FJ$15-'Monthly Cash Flow'!FI$15)/360))</f>
        <v>0</v>
      </c>
      <c r="FK147" s="526">
        <f>IF(Assumptions!$E$1=0,0,IF(FK$13&gt;Assumptions!$L$20,0,(FK144+SUM($H$139:$H$140))*FK134*('Monthly Cash Flow'!FK$15-'Monthly Cash Flow'!FJ$15)/360))</f>
        <v>0</v>
      </c>
      <c r="FL147" s="526">
        <f>IF(Assumptions!$E$1=0,0,IF(FL$13&gt;Assumptions!$L$20,0,(FL144+SUM($H$139:$H$140))*FL134*('Monthly Cash Flow'!FL$15-'Monthly Cash Flow'!FK$15)/360))</f>
        <v>0</v>
      </c>
      <c r="FM147" s="526">
        <f>IF(Assumptions!$E$1=0,0,IF(FM$13&gt;Assumptions!$L$20,0,(FM144+SUM($H$139:$H$140))*FM134*('Monthly Cash Flow'!FM$15-'Monthly Cash Flow'!FL$15)/360))</f>
        <v>0</v>
      </c>
      <c r="FN147" s="526">
        <f>IF(Assumptions!$E$1=0,0,IF(FN$13&gt;Assumptions!$L$20,0,(FN144+SUM($H$139:$H$140))*FN134*('Monthly Cash Flow'!FN$15-'Monthly Cash Flow'!FM$15)/360))</f>
        <v>0</v>
      </c>
      <c r="FO147" s="526">
        <f>IF(Assumptions!$E$1=0,0,IF(FO$13&gt;Assumptions!$L$20,0,(FO144+SUM($H$139:$H$140))*FO134*('Monthly Cash Flow'!FO$15-'Monthly Cash Flow'!FN$15)/360))</f>
        <v>0</v>
      </c>
      <c r="FP147" s="526">
        <f>IF(Assumptions!$E$1=0,0,IF(FP$13&gt;Assumptions!$L$20,0,(FP144+SUM($H$139:$H$140))*FP134*('Monthly Cash Flow'!FP$15-'Monthly Cash Flow'!FO$15)/360))</f>
        <v>0</v>
      </c>
      <c r="FQ147" s="526">
        <f>IF(Assumptions!$E$1=0,0,IF(FQ$13&gt;Assumptions!$L$20,0,(FQ144+SUM($H$139:$H$140))*FQ134*('Monthly Cash Flow'!FQ$15-'Monthly Cash Flow'!FP$15)/360))</f>
        <v>0</v>
      </c>
      <c r="FR147" s="526">
        <f>IF(Assumptions!$E$1=0,0,IF(FR$13&gt;Assumptions!$L$20,0,(FR144+SUM($H$139:$H$140))*FR134*('Monthly Cash Flow'!FR$15-'Monthly Cash Flow'!FQ$15)/360))</f>
        <v>0</v>
      </c>
      <c r="FS147" s="526">
        <f>IF(Assumptions!$E$1=0,0,IF(FS$13&gt;Assumptions!$L$20,0,(FS144+SUM($H$139:$H$140))*FS134*('Monthly Cash Flow'!FS$15-'Monthly Cash Flow'!FR$15)/360))</f>
        <v>0</v>
      </c>
      <c r="FT147" s="526">
        <f>IF(Assumptions!$E$1=0,0,IF(FT$13&gt;Assumptions!$L$20,0,(FT144+SUM($H$139:$H$140))*FT134*('Monthly Cash Flow'!FT$15-'Monthly Cash Flow'!FS$15)/360))</f>
        <v>0</v>
      </c>
      <c r="FU147" s="526">
        <f>IF(Assumptions!$E$1=0,0,IF(FU$13&gt;Assumptions!$L$20,0,(FU144+SUM($H$139:$H$140))*FU134*('Monthly Cash Flow'!FU$15-'Monthly Cash Flow'!FT$15)/360))</f>
        <v>0</v>
      </c>
      <c r="FV147" s="526">
        <f>IF(Assumptions!$E$1=0,0,IF(FV$13&gt;Assumptions!$L$20,0,(FV144+SUM($H$139:$H$140))*FV134*('Monthly Cash Flow'!FV$15-'Monthly Cash Flow'!FU$15)/360))</f>
        <v>0</v>
      </c>
      <c r="FW147" s="526">
        <f>IF(Assumptions!$E$1=0,0,IF(FW$13&gt;Assumptions!$L$20,0,(FW144+SUM($H$139:$H$140))*FW134*('Monthly Cash Flow'!FW$15-'Monthly Cash Flow'!FV$15)/360))</f>
        <v>0</v>
      </c>
      <c r="FX147" s="526">
        <f>IF(Assumptions!$E$1=0,0,IF(FX$13&gt;Assumptions!$L$20,0,(FX144+SUM($H$139:$H$140))*FX134*('Monthly Cash Flow'!FX$15-'Monthly Cash Flow'!FW$15)/360))</f>
        <v>0</v>
      </c>
      <c r="FY147" s="526">
        <f>IF(Assumptions!$E$1=0,0,IF(FY$13&gt;Assumptions!$L$20,0,(FY144+SUM($H$139:$H$140))*FY134*('Monthly Cash Flow'!FY$15-'Monthly Cash Flow'!FX$15)/360))</f>
        <v>0</v>
      </c>
      <c r="FZ147" s="526">
        <f>IF(Assumptions!$E$1=0,0,IF(FZ$13&gt;Assumptions!$L$20,0,(FZ144+SUM($H$139:$H$140))*FZ134*('Monthly Cash Flow'!FZ$15-'Monthly Cash Flow'!FY$15)/360))</f>
        <v>0</v>
      </c>
      <c r="GA147" s="526">
        <f>IF(Assumptions!$E$1=0,0,IF(GA$13&gt;Assumptions!$L$20,0,(GA144+SUM($H$139:$H$140))*GA134*('Monthly Cash Flow'!GA$15-'Monthly Cash Flow'!FZ$15)/360))</f>
        <v>0</v>
      </c>
      <c r="GB147" s="526">
        <f>IF(Assumptions!$E$1=0,0,IF(GB$13&gt;Assumptions!$L$20,0,(GB144+SUM($H$139:$H$140))*GB134*('Monthly Cash Flow'!GB$15-'Monthly Cash Flow'!GA$15)/360))</f>
        <v>0</v>
      </c>
      <c r="GC147" s="526">
        <f>IF(Assumptions!$E$1=0,0,IF(GC$13&gt;Assumptions!$L$20,0,(GC144+SUM($H$139:$H$140))*GC134*('Monthly Cash Flow'!GC$15-'Monthly Cash Flow'!GB$15)/360))</f>
        <v>0</v>
      </c>
      <c r="GD147" s="526"/>
      <c r="GE147" s="526"/>
      <c r="GF147" s="526"/>
      <c r="GG147" s="526"/>
      <c r="GH147" s="526"/>
      <c r="GI147" s="526"/>
      <c r="GJ147" s="526"/>
      <c r="GK147" s="526"/>
      <c r="GL147" s="526"/>
      <c r="GM147" s="526"/>
      <c r="GN147" s="526"/>
      <c r="GO147" s="526"/>
      <c r="GP147" s="526">
        <f>IF(Assumptions!$E$1=0,0,IF(GP$13&gt;Assumptions!$L$20,0,(GP144+SUM($H$139:$H$140))*GP134*('Monthly Cash Flow'!GP$15-'Monthly Cash Flow'!GC$15)/360))</f>
        <v>0</v>
      </c>
      <c r="GQ147" s="526">
        <f>IF(Assumptions!$E$1=0,0,IF(GQ$13&gt;Assumptions!$L$20,0,(GQ144+SUM($H$139:$H$140))*GQ134*('Monthly Cash Flow'!GQ$15-'Monthly Cash Flow'!GP$15)/360))</f>
        <v>0</v>
      </c>
      <c r="GR147" s="526">
        <f>IF(Assumptions!$E$1=0,0,IF(GR$13&gt;Assumptions!$L$20,0,(GR144+SUM($H$139:$H$140))*GR134*('Monthly Cash Flow'!GR$15-'Monthly Cash Flow'!GQ$15)/360))</f>
        <v>0</v>
      </c>
      <c r="GS147" s="526">
        <f>IF(Assumptions!$E$1=0,0,IF(GS$13&gt;Assumptions!$L$20,0,(GS144+SUM($H$139:$H$140))*GS134*('Monthly Cash Flow'!GS$15-'Monthly Cash Flow'!GR$15)/360))</f>
        <v>0</v>
      </c>
      <c r="GT147" s="526">
        <f>IF(Assumptions!$E$1=0,0,IF(GT$13&gt;Assumptions!$L$20,0,(GT144+SUM($H$139:$H$140))*GT134*('Monthly Cash Flow'!GT$15-'Monthly Cash Flow'!GS$15)/360))</f>
        <v>0</v>
      </c>
      <c r="GU147" s="531"/>
      <c r="GV147" s="531"/>
      <c r="GW147" s="531"/>
      <c r="GX147" s="531"/>
      <c r="GY147" s="531"/>
      <c r="GZ147" s="531"/>
      <c r="HA147" s="531"/>
      <c r="HB147" s="531"/>
      <c r="HC147" s="531"/>
      <c r="HD147" s="531"/>
      <c r="HE147" s="531"/>
      <c r="HF147" s="1" t="s">
        <v>212</v>
      </c>
      <c r="HH147" s="205" t="str">
        <f t="shared" si="1017"/>
        <v>Interest</v>
      </c>
      <c r="HI147" s="120"/>
      <c r="HJ147" s="120"/>
      <c r="HK147" s="120"/>
      <c r="HL147" s="119">
        <f t="shared" ca="1" si="1007"/>
        <v>8738.6296500000008</v>
      </c>
      <c r="HM147" s="120"/>
      <c r="HN147" s="140">
        <f t="shared" si="1018"/>
        <v>0</v>
      </c>
      <c r="HO147" s="120">
        <f t="shared" si="1018"/>
        <v>1191.4756</v>
      </c>
      <c r="HP147" s="120">
        <f t="shared" si="1018"/>
        <v>1425.4418500000002</v>
      </c>
      <c r="HQ147" s="120">
        <f t="shared" si="1018"/>
        <v>1730.8323800000003</v>
      </c>
      <c r="HR147" s="120">
        <f t="shared" si="1018"/>
        <v>1528.2516700000001</v>
      </c>
      <c r="HS147" s="120">
        <f t="shared" si="1018"/>
        <v>1273.8616599999998</v>
      </c>
      <c r="HT147" s="120">
        <f t="shared" si="1018"/>
        <v>1200.9664</v>
      </c>
      <c r="HU147" s="120">
        <f t="shared" ca="1" si="1018"/>
        <v>387.80009000000001</v>
      </c>
      <c r="HV147" s="120">
        <f t="shared" ca="1" si="1018"/>
        <v>0</v>
      </c>
      <c r="HW147"/>
    </row>
    <row r="148" spans="1:231" ht="15" outlineLevel="1">
      <c r="B148" s="9" t="s">
        <v>2293</v>
      </c>
      <c r="I148" s="116">
        <f ca="1">SUMIF($K$13:$GT$13,"&lt;="&amp;Assumptions!$L$17,'Monthly Cash Flow'!K148:GT148)</f>
        <v>8738.6296500000008</v>
      </c>
      <c r="J148" s="18"/>
      <c r="K148" s="131">
        <f>SUM(K146:K147)</f>
        <v>0</v>
      </c>
      <c r="L148" s="18">
        <f t="shared" ref="L148:BW148" si="1019">SUM(L146:L147)</f>
        <v>99.817880000000002</v>
      </c>
      <c r="M148" s="18">
        <f t="shared" si="1019"/>
        <v>107.07263</v>
      </c>
      <c r="N148" s="18">
        <f t="shared" si="1019"/>
        <v>93.756550000000004</v>
      </c>
      <c r="O148" s="18">
        <f t="shared" si="1019"/>
        <v>97.477069999999998</v>
      </c>
      <c r="P148" s="18">
        <f t="shared" si="1019"/>
        <v>93.802399999999992</v>
      </c>
      <c r="Q148" s="18">
        <f t="shared" si="1019"/>
        <v>97.247420000000005</v>
      </c>
      <c r="R148" s="18">
        <f>SUM(R146:R147)</f>
        <v>97.714269999999985</v>
      </c>
      <c r="S148" s="18">
        <f t="shared" si="1019"/>
        <v>94.318039999999996</v>
      </c>
      <c r="T148" s="18">
        <f t="shared" si="1019"/>
        <v>101.34725</v>
      </c>
      <c r="U148" s="18">
        <f t="shared" si="1019"/>
        <v>100.38728000000002</v>
      </c>
      <c r="V148" s="18">
        <f t="shared" si="1019"/>
        <v>106.00931999999999</v>
      </c>
      <c r="W148" s="18">
        <f t="shared" si="1019"/>
        <v>102.52549</v>
      </c>
      <c r="X148" s="18">
        <f t="shared" si="1019"/>
        <v>109.64747</v>
      </c>
      <c r="Y148" s="18">
        <f t="shared" si="1019"/>
        <v>110.21392</v>
      </c>
      <c r="Z148" s="18">
        <f t="shared" si="1019"/>
        <v>106.67487</v>
      </c>
      <c r="AA148" s="18">
        <f t="shared" si="1019"/>
        <v>113.30676000000001</v>
      </c>
      <c r="AB148" s="18">
        <f t="shared" si="1019"/>
        <v>109.32448000000001</v>
      </c>
      <c r="AC148" s="18">
        <f t="shared" si="1019"/>
        <v>113.17747</v>
      </c>
      <c r="AD148" s="18">
        <f t="shared" si="1019"/>
        <v>126.27515</v>
      </c>
      <c r="AE148" s="18">
        <f t="shared" si="1019"/>
        <v>116.49860000000001</v>
      </c>
      <c r="AF148" s="18">
        <f t="shared" si="1019"/>
        <v>128.33968999999999</v>
      </c>
      <c r="AG148" s="18">
        <f t="shared" si="1019"/>
        <v>127.63253999999999</v>
      </c>
      <c r="AH148" s="18">
        <f t="shared" si="1019"/>
        <v>134.13919000000001</v>
      </c>
      <c r="AI148" s="18">
        <f t="shared" si="1019"/>
        <v>130.21171000000001</v>
      </c>
      <c r="AJ148" s="18">
        <f t="shared" si="1019"/>
        <v>137.46123</v>
      </c>
      <c r="AK148" s="18">
        <f t="shared" si="1019"/>
        <v>137.42370000000003</v>
      </c>
      <c r="AL148" s="18">
        <f t="shared" si="1019"/>
        <v>147.13461999999998</v>
      </c>
      <c r="AM148" s="18">
        <f t="shared" si="1019"/>
        <v>128.02465000000001</v>
      </c>
      <c r="AN148" s="18">
        <f t="shared" si="1019"/>
        <v>162.54771999999997</v>
      </c>
      <c r="AO148" s="18">
        <f t="shared" si="1019"/>
        <v>161.53258000000002</v>
      </c>
      <c r="AP148" s="18">
        <f t="shared" si="1019"/>
        <v>152.23414</v>
      </c>
      <c r="AQ148" s="18">
        <f t="shared" si="1019"/>
        <v>132.09123000000002</v>
      </c>
      <c r="AR148" s="18">
        <f t="shared" si="1019"/>
        <v>146.26062999999999</v>
      </c>
      <c r="AS148" s="18">
        <f t="shared" si="1019"/>
        <v>141.18404000000001</v>
      </c>
      <c r="AT148" s="18">
        <f t="shared" si="1019"/>
        <v>144.95245</v>
      </c>
      <c r="AU148" s="18">
        <f t="shared" si="1019"/>
        <v>139.98539000000002</v>
      </c>
      <c r="AV148" s="18">
        <f t="shared" si="1019"/>
        <v>143.52170999999998</v>
      </c>
      <c r="AW148" s="18">
        <f t="shared" si="1019"/>
        <v>142.16876999999999</v>
      </c>
      <c r="AX148" s="18">
        <f t="shared" si="1019"/>
        <v>135.25839999999999</v>
      </c>
      <c r="AY148" s="18">
        <f t="shared" si="1019"/>
        <v>136.60156000000001</v>
      </c>
      <c r="AZ148" s="18">
        <f t="shared" si="1019"/>
        <v>130.12090000000001</v>
      </c>
      <c r="BA148" s="18">
        <f t="shared" si="1019"/>
        <v>131.68058000000002</v>
      </c>
      <c r="BB148" s="18">
        <f t="shared" si="1019"/>
        <v>131.19252</v>
      </c>
      <c r="BC148" s="18">
        <f t="shared" si="1019"/>
        <v>121.62235000000001</v>
      </c>
      <c r="BD148" s="18">
        <f t="shared" si="1019"/>
        <v>129.67227</v>
      </c>
      <c r="BE148" s="18">
        <f t="shared" si="1019"/>
        <v>108.16163</v>
      </c>
      <c r="BF148" s="18">
        <f t="shared" si="1019"/>
        <v>113.81280000000001</v>
      </c>
      <c r="BG148" s="18">
        <f t="shared" si="1019"/>
        <v>104.43817999999999</v>
      </c>
      <c r="BH148" s="18">
        <f t="shared" si="1019"/>
        <v>107.91946</v>
      </c>
      <c r="BI148" s="18">
        <f t="shared" si="1019"/>
        <v>107.91946</v>
      </c>
      <c r="BJ148" s="18">
        <f t="shared" si="1019"/>
        <v>104.43817999999999</v>
      </c>
      <c r="BK148" s="18">
        <f t="shared" si="1019"/>
        <v>107.91946</v>
      </c>
      <c r="BL148" s="18">
        <f t="shared" si="1019"/>
        <v>104.43817999999999</v>
      </c>
      <c r="BM148" s="18">
        <f t="shared" si="1019"/>
        <v>107.91946</v>
      </c>
      <c r="BN148" s="18">
        <f t="shared" si="1019"/>
        <v>107.91945</v>
      </c>
      <c r="BO148" s="18">
        <f t="shared" si="1019"/>
        <v>97.47563000000001</v>
      </c>
      <c r="BP148" s="18">
        <f t="shared" si="1019"/>
        <v>107.91945</v>
      </c>
      <c r="BQ148" s="18">
        <f t="shared" si="1019"/>
        <v>104.43817999999999</v>
      </c>
      <c r="BR148" s="18">
        <f t="shared" si="1019"/>
        <v>107.91946</v>
      </c>
      <c r="BS148" s="18">
        <f t="shared" si="1019"/>
        <v>107.63529</v>
      </c>
      <c r="BT148" s="18">
        <f t="shared" si="1019"/>
        <v>99.109529999999992</v>
      </c>
      <c r="BU148" s="18">
        <f t="shared" si="1019"/>
        <v>99.109520000000003</v>
      </c>
      <c r="BV148" s="18">
        <f t="shared" si="1019"/>
        <v>95.912440000000004</v>
      </c>
      <c r="BW148" s="18">
        <f t="shared" si="1019"/>
        <v>99.10951</v>
      </c>
      <c r="BX148" s="18">
        <f t="shared" ref="BX148:CE148" si="1020">SUM(BX146:BX147)</f>
        <v>96.316159999999996</v>
      </c>
      <c r="BY148" s="18">
        <f t="shared" si="1020"/>
        <v>100.07224000000001</v>
      </c>
      <c r="BZ148" s="18">
        <f t="shared" si="1020"/>
        <v>100.07224000000001</v>
      </c>
      <c r="CA148" s="18">
        <f t="shared" si="1020"/>
        <v>90.387830000000008</v>
      </c>
      <c r="CB148" s="18">
        <f t="shared" si="1020"/>
        <v>101.28278999999999</v>
      </c>
      <c r="CC148" s="18">
        <f t="shared" si="1020"/>
        <v>100.18088</v>
      </c>
      <c r="CD148" s="18">
        <f t="shared" si="1020"/>
        <v>110.84980999999999</v>
      </c>
      <c r="CE148" s="18">
        <f t="shared" si="1020"/>
        <v>108.56345</v>
      </c>
      <c r="CF148" s="18">
        <f t="shared" ref="CF148:EL148" si="1021">SUM(CF146:CF147)</f>
        <v>133.17430999999999</v>
      </c>
      <c r="CG148" s="18">
        <f t="shared" si="1021"/>
        <v>141.79045000000002</v>
      </c>
      <c r="CH148" s="18">
        <f t="shared" si="1021"/>
        <v>112.83533</v>
      </c>
      <c r="CI148" s="18">
        <f t="shared" ca="1" si="1021"/>
        <v>0</v>
      </c>
      <c r="CJ148" s="18">
        <f t="shared" ca="1" si="1021"/>
        <v>0</v>
      </c>
      <c r="CK148" s="18">
        <f t="shared" ca="1" si="1021"/>
        <v>0</v>
      </c>
      <c r="CL148" s="18">
        <f t="shared" ca="1" si="1021"/>
        <v>0</v>
      </c>
      <c r="CM148" s="18">
        <f t="shared" ca="1" si="1021"/>
        <v>0</v>
      </c>
      <c r="CN148" s="18">
        <f t="shared" ca="1" si="1021"/>
        <v>0</v>
      </c>
      <c r="CO148" s="18">
        <f t="shared" ca="1" si="1021"/>
        <v>0</v>
      </c>
      <c r="CP148" s="18">
        <f t="shared" ca="1" si="1021"/>
        <v>0</v>
      </c>
      <c r="CQ148" s="18">
        <f t="shared" ca="1" si="1021"/>
        <v>0</v>
      </c>
      <c r="CR148" s="18">
        <f t="shared" ca="1" si="1021"/>
        <v>0</v>
      </c>
      <c r="CS148" s="18">
        <f t="shared" ca="1" si="1021"/>
        <v>0</v>
      </c>
      <c r="CT148" s="18">
        <f t="shared" ca="1" si="1021"/>
        <v>0</v>
      </c>
      <c r="CU148" s="18">
        <f t="shared" ca="1" si="1021"/>
        <v>0</v>
      </c>
      <c r="CV148" s="18">
        <f t="shared" ca="1" si="1021"/>
        <v>0</v>
      </c>
      <c r="CW148" s="18">
        <f t="shared" ca="1" si="1021"/>
        <v>0</v>
      </c>
      <c r="CX148" s="18">
        <f t="shared" ca="1" si="1021"/>
        <v>0</v>
      </c>
      <c r="CY148" s="18">
        <f t="shared" ca="1" si="1021"/>
        <v>0</v>
      </c>
      <c r="CZ148" s="18">
        <f t="shared" ca="1" si="1021"/>
        <v>0</v>
      </c>
      <c r="DA148" s="18">
        <f t="shared" ca="1" si="1021"/>
        <v>0</v>
      </c>
      <c r="DB148" s="18">
        <f t="shared" ca="1" si="1021"/>
        <v>0</v>
      </c>
      <c r="DC148" s="18">
        <f t="shared" ca="1" si="1021"/>
        <v>0</v>
      </c>
      <c r="DD148" s="18">
        <f t="shared" ca="1" si="1021"/>
        <v>0</v>
      </c>
      <c r="DE148" s="18">
        <f t="shared" ca="1" si="1021"/>
        <v>0</v>
      </c>
      <c r="DF148" s="18">
        <f t="shared" ca="1" si="1021"/>
        <v>0</v>
      </c>
      <c r="DG148" s="18">
        <f t="shared" ca="1" si="1021"/>
        <v>0</v>
      </c>
      <c r="DH148" s="18">
        <f t="shared" ca="1" si="1021"/>
        <v>0</v>
      </c>
      <c r="DI148" s="18">
        <f t="shared" ca="1" si="1021"/>
        <v>0</v>
      </c>
      <c r="DJ148" s="18">
        <f t="shared" si="1021"/>
        <v>0</v>
      </c>
      <c r="DK148" s="18">
        <f t="shared" si="1021"/>
        <v>0</v>
      </c>
      <c r="DL148" s="18">
        <f t="shared" si="1021"/>
        <v>0</v>
      </c>
      <c r="DM148" s="18">
        <f t="shared" si="1021"/>
        <v>0</v>
      </c>
      <c r="DN148" s="18">
        <f t="shared" si="1021"/>
        <v>0</v>
      </c>
      <c r="DO148" s="18">
        <f t="shared" si="1021"/>
        <v>0</v>
      </c>
      <c r="DP148" s="18">
        <f t="shared" si="1021"/>
        <v>0</v>
      </c>
      <c r="DQ148" s="18">
        <f t="shared" si="1021"/>
        <v>0</v>
      </c>
      <c r="DR148" s="18">
        <f t="shared" si="1021"/>
        <v>0</v>
      </c>
      <c r="DS148" s="18">
        <f t="shared" si="1021"/>
        <v>0</v>
      </c>
      <c r="DT148" s="18">
        <f t="shared" si="1021"/>
        <v>0</v>
      </c>
      <c r="DU148" s="18">
        <f t="shared" si="1021"/>
        <v>0</v>
      </c>
      <c r="DV148" s="18">
        <f t="shared" si="1021"/>
        <v>0</v>
      </c>
      <c r="DW148" s="18">
        <f t="shared" si="1021"/>
        <v>0</v>
      </c>
      <c r="DX148" s="18">
        <f t="shared" si="1021"/>
        <v>0</v>
      </c>
      <c r="DY148" s="18">
        <f t="shared" si="1021"/>
        <v>0</v>
      </c>
      <c r="DZ148" s="18">
        <f t="shared" si="1021"/>
        <v>0</v>
      </c>
      <c r="EA148" s="18">
        <f t="shared" si="1021"/>
        <v>0</v>
      </c>
      <c r="EB148" s="18">
        <f t="shared" si="1021"/>
        <v>0</v>
      </c>
      <c r="EC148" s="18">
        <f t="shared" si="1021"/>
        <v>0</v>
      </c>
      <c r="ED148" s="18">
        <f t="shared" si="1021"/>
        <v>0</v>
      </c>
      <c r="EE148" s="18">
        <f t="shared" si="1021"/>
        <v>0</v>
      </c>
      <c r="EF148" s="18">
        <f t="shared" si="1021"/>
        <v>0</v>
      </c>
      <c r="EG148" s="18">
        <f t="shared" si="1021"/>
        <v>0</v>
      </c>
      <c r="EH148" s="18">
        <f t="shared" si="1021"/>
        <v>0</v>
      </c>
      <c r="EI148" s="18">
        <f t="shared" si="1021"/>
        <v>0</v>
      </c>
      <c r="EJ148" s="18">
        <f t="shared" si="1021"/>
        <v>0</v>
      </c>
      <c r="EK148" s="18">
        <f t="shared" si="1021"/>
        <v>0</v>
      </c>
      <c r="EL148" s="18">
        <f t="shared" si="1021"/>
        <v>0</v>
      </c>
      <c r="EM148" s="18">
        <f t="shared" ref="EM148:FD148" si="1022">SUM(EM146:EM147)</f>
        <v>0</v>
      </c>
      <c r="EN148" s="18">
        <f t="shared" si="1022"/>
        <v>0</v>
      </c>
      <c r="EO148" s="18">
        <f t="shared" si="1022"/>
        <v>0</v>
      </c>
      <c r="EP148" s="18">
        <f t="shared" si="1022"/>
        <v>0</v>
      </c>
      <c r="EQ148" s="18">
        <f t="shared" si="1022"/>
        <v>0</v>
      </c>
      <c r="ER148" s="18">
        <f t="shared" si="1022"/>
        <v>0</v>
      </c>
      <c r="ES148" s="18">
        <f t="shared" si="1022"/>
        <v>0</v>
      </c>
      <c r="ET148" s="18">
        <f t="shared" si="1022"/>
        <v>0</v>
      </c>
      <c r="EU148" s="18">
        <f t="shared" si="1022"/>
        <v>0</v>
      </c>
      <c r="EV148" s="18">
        <f t="shared" si="1022"/>
        <v>0</v>
      </c>
      <c r="EW148" s="18">
        <f t="shared" si="1022"/>
        <v>0</v>
      </c>
      <c r="EX148" s="18">
        <f t="shared" si="1022"/>
        <v>0</v>
      </c>
      <c r="EY148" s="18">
        <f t="shared" si="1022"/>
        <v>0</v>
      </c>
      <c r="EZ148" s="18">
        <f t="shared" si="1022"/>
        <v>0</v>
      </c>
      <c r="FA148" s="18">
        <f t="shared" si="1022"/>
        <v>0</v>
      </c>
      <c r="FB148" s="18">
        <f t="shared" si="1022"/>
        <v>0</v>
      </c>
      <c r="FC148" s="18">
        <f t="shared" si="1022"/>
        <v>0</v>
      </c>
      <c r="FD148" s="18">
        <f t="shared" si="1022"/>
        <v>0</v>
      </c>
      <c r="FE148" s="18">
        <f t="shared" ref="FE148:FI148" si="1023">SUM(FE146:FE147)</f>
        <v>0</v>
      </c>
      <c r="FF148" s="18">
        <f t="shared" si="1023"/>
        <v>0</v>
      </c>
      <c r="FG148" s="18">
        <f t="shared" si="1023"/>
        <v>0</v>
      </c>
      <c r="FH148" s="18">
        <f t="shared" si="1023"/>
        <v>0</v>
      </c>
      <c r="FI148" s="18">
        <f t="shared" si="1023"/>
        <v>0</v>
      </c>
      <c r="FJ148" s="18">
        <f t="shared" ref="FJ148:GT148" si="1024">SUM(FJ146:FJ147)</f>
        <v>0</v>
      </c>
      <c r="FK148" s="18">
        <f t="shared" si="1024"/>
        <v>0</v>
      </c>
      <c r="FL148" s="18">
        <f t="shared" si="1024"/>
        <v>0</v>
      </c>
      <c r="FM148" s="18">
        <f t="shared" si="1024"/>
        <v>0</v>
      </c>
      <c r="FN148" s="18">
        <f t="shared" si="1024"/>
        <v>0</v>
      </c>
      <c r="FO148" s="18">
        <f t="shared" si="1024"/>
        <v>0</v>
      </c>
      <c r="FP148" s="18">
        <f t="shared" si="1024"/>
        <v>0</v>
      </c>
      <c r="FQ148" s="18">
        <f t="shared" si="1024"/>
        <v>0</v>
      </c>
      <c r="FR148" s="18">
        <f t="shared" si="1024"/>
        <v>0</v>
      </c>
      <c r="FS148" s="18">
        <f t="shared" si="1024"/>
        <v>0</v>
      </c>
      <c r="FT148" s="18">
        <f t="shared" si="1024"/>
        <v>0</v>
      </c>
      <c r="FU148" s="18">
        <f t="shared" si="1024"/>
        <v>0</v>
      </c>
      <c r="FV148" s="18">
        <f t="shared" si="1024"/>
        <v>0</v>
      </c>
      <c r="FW148" s="18">
        <f t="shared" si="1024"/>
        <v>0</v>
      </c>
      <c r="FX148" s="18">
        <f t="shared" si="1024"/>
        <v>0</v>
      </c>
      <c r="FY148" s="18">
        <f t="shared" si="1024"/>
        <v>0</v>
      </c>
      <c r="FZ148" s="18">
        <f t="shared" si="1024"/>
        <v>0</v>
      </c>
      <c r="GA148" s="18">
        <f t="shared" si="1024"/>
        <v>0</v>
      </c>
      <c r="GB148" s="18">
        <f t="shared" si="1024"/>
        <v>0</v>
      </c>
      <c r="GC148" s="18">
        <f t="shared" si="1024"/>
        <v>0</v>
      </c>
      <c r="GD148" s="18"/>
      <c r="GE148" s="18"/>
      <c r="GF148" s="18"/>
      <c r="GG148" s="18"/>
      <c r="GH148" s="18"/>
      <c r="GI148" s="18"/>
      <c r="GJ148" s="18"/>
      <c r="GK148" s="18"/>
      <c r="GL148" s="18"/>
      <c r="GM148" s="18"/>
      <c r="GN148" s="18"/>
      <c r="GO148" s="18"/>
      <c r="GP148" s="18">
        <f t="shared" si="1024"/>
        <v>0</v>
      </c>
      <c r="GQ148" s="18">
        <f t="shared" si="1024"/>
        <v>0</v>
      </c>
      <c r="GR148" s="18">
        <f t="shared" si="1024"/>
        <v>0</v>
      </c>
      <c r="GS148" s="18">
        <f t="shared" si="1024"/>
        <v>0</v>
      </c>
      <c r="GT148" s="18">
        <f t="shared" si="1024"/>
        <v>0</v>
      </c>
      <c r="GU148" s="18"/>
      <c r="GV148" s="18"/>
      <c r="GW148" s="18"/>
      <c r="GX148" s="18"/>
      <c r="GY148" s="18"/>
      <c r="GZ148" s="18"/>
      <c r="HA148" s="18"/>
      <c r="HB148" s="18"/>
      <c r="HC148" s="18"/>
      <c r="HD148" s="18"/>
      <c r="HE148" s="18"/>
      <c r="HF148" s="1" t="s">
        <v>212</v>
      </c>
      <c r="HH148" s="9" t="str">
        <f t="shared" si="1017"/>
        <v xml:space="preserve">Total Debt Service </v>
      </c>
      <c r="HI148" s="18"/>
      <c r="HJ148" s="18"/>
      <c r="HK148" s="18"/>
      <c r="HL148" s="116">
        <f t="shared" ca="1" si="1007"/>
        <v>8738.6296500000008</v>
      </c>
      <c r="HM148" s="18"/>
      <c r="HN148" s="131">
        <f t="shared" si="1018"/>
        <v>0</v>
      </c>
      <c r="HO148" s="18">
        <f t="shared" si="1018"/>
        <v>1191.4756</v>
      </c>
      <c r="HP148" s="18">
        <f t="shared" si="1018"/>
        <v>1425.4418500000002</v>
      </c>
      <c r="HQ148" s="18">
        <f t="shared" si="1018"/>
        <v>1730.8323800000003</v>
      </c>
      <c r="HR148" s="18">
        <f t="shared" si="1018"/>
        <v>1528.2516700000001</v>
      </c>
      <c r="HS148" s="18">
        <f t="shared" si="1018"/>
        <v>1273.8616599999998</v>
      </c>
      <c r="HT148" s="18">
        <f t="shared" si="1018"/>
        <v>1200.9664</v>
      </c>
      <c r="HU148" s="18">
        <f t="shared" ca="1" si="1018"/>
        <v>387.80009000000001</v>
      </c>
      <c r="HV148" s="18">
        <f t="shared" ca="1" si="1018"/>
        <v>0</v>
      </c>
      <c r="HW148"/>
    </row>
    <row r="149" spans="1:231" ht="15" outlineLevel="1">
      <c r="B149" s="205" t="s">
        <v>130</v>
      </c>
      <c r="C149" s="84"/>
      <c r="D149" s="84"/>
      <c r="E149" s="84"/>
      <c r="F149" s="84"/>
      <c r="G149" s="84"/>
      <c r="H149" s="84"/>
      <c r="I149" s="119">
        <f ca="1">SUMIF($K$13:$GT$13,"&lt;="&amp;Assumptions!$L$17,'Monthly Cash Flow'!K149:GT149)</f>
        <v>-6674.3841400000028</v>
      </c>
      <c r="J149" s="120"/>
      <c r="K149" s="140">
        <f t="shared" ref="K149:AP149" si="1025">-MIN(MAX(0,K100),K148)</f>
        <v>0</v>
      </c>
      <c r="L149" s="120">
        <f t="shared" si="1025"/>
        <v>-58.588409999999996</v>
      </c>
      <c r="M149" s="120">
        <f t="shared" si="1025"/>
        <v>-39.424859999999995</v>
      </c>
      <c r="N149" s="120">
        <f t="shared" si="1025"/>
        <v>-62.164510000000007</v>
      </c>
      <c r="O149" s="120">
        <f t="shared" si="1025"/>
        <v>-23.673310000000015</v>
      </c>
      <c r="P149" s="120">
        <f t="shared" si="1025"/>
        <v>-69.427840000000003</v>
      </c>
      <c r="Q149" s="120">
        <f t="shared" si="1025"/>
        <v>-53.221360000000018</v>
      </c>
      <c r="R149" s="120">
        <f t="shared" si="1025"/>
        <v>-66.139569999999992</v>
      </c>
      <c r="S149" s="120">
        <f t="shared" si="1025"/>
        <v>-94.318039999999996</v>
      </c>
      <c r="T149" s="120">
        <f t="shared" si="1025"/>
        <v>-66.867030000000028</v>
      </c>
      <c r="U149" s="120">
        <f t="shared" si="1025"/>
        <v>-100.38728000000002</v>
      </c>
      <c r="V149" s="120">
        <f t="shared" si="1025"/>
        <v>-106.00931999999999</v>
      </c>
      <c r="W149" s="120">
        <f t="shared" si="1025"/>
        <v>0</v>
      </c>
      <c r="X149" s="120">
        <f t="shared" si="1025"/>
        <v>-81.805930000000018</v>
      </c>
      <c r="Y149" s="120">
        <f t="shared" si="1025"/>
        <v>0</v>
      </c>
      <c r="Z149" s="120">
        <f t="shared" si="1025"/>
        <v>-73.826150000000041</v>
      </c>
      <c r="AA149" s="120">
        <f t="shared" si="1025"/>
        <v>-113.30676000000001</v>
      </c>
      <c r="AB149" s="120">
        <f t="shared" si="1025"/>
        <v>-60.287239999999997</v>
      </c>
      <c r="AC149" s="120">
        <f t="shared" si="1025"/>
        <v>-26.828859999999992</v>
      </c>
      <c r="AD149" s="120">
        <f t="shared" si="1025"/>
        <v>-119.66310999999999</v>
      </c>
      <c r="AE149" s="120">
        <f t="shared" si="1025"/>
        <v>-105.07043000000002</v>
      </c>
      <c r="AF149" s="120">
        <f t="shared" si="1025"/>
        <v>-94.892400000000038</v>
      </c>
      <c r="AG149" s="120">
        <f t="shared" si="1025"/>
        <v>-86.470220000000012</v>
      </c>
      <c r="AH149" s="120">
        <f t="shared" si="1025"/>
        <v>-113.23488</v>
      </c>
      <c r="AI149" s="120">
        <f t="shared" si="1025"/>
        <v>-93.738080000000011</v>
      </c>
      <c r="AJ149" s="120">
        <f t="shared" si="1025"/>
        <v>-73.349319999999992</v>
      </c>
      <c r="AK149" s="120">
        <f t="shared" si="1025"/>
        <v>-58.081759999999974</v>
      </c>
      <c r="AL149" s="120">
        <f t="shared" si="1025"/>
        <v>-99.803760000000025</v>
      </c>
      <c r="AM149" s="120">
        <f t="shared" si="1025"/>
        <v>-118.04129</v>
      </c>
      <c r="AN149" s="120">
        <f t="shared" si="1025"/>
        <v>-101.45357000000001</v>
      </c>
      <c r="AO149" s="120">
        <f t="shared" si="1025"/>
        <v>-81.414159999999995</v>
      </c>
      <c r="AP149" s="120">
        <f t="shared" si="1025"/>
        <v>-135.38081</v>
      </c>
      <c r="AQ149" s="120">
        <f t="shared" ref="AQ149:BV149" si="1026">-MIN(MAX(0,AQ100),AQ148)</f>
        <v>-131.88220999999999</v>
      </c>
      <c r="AR149" s="120">
        <f t="shared" si="1026"/>
        <v>-106.14256</v>
      </c>
      <c r="AS149" s="120">
        <f t="shared" si="1026"/>
        <v>-134.99206999999998</v>
      </c>
      <c r="AT149" s="120">
        <f t="shared" si="1026"/>
        <v>-116.68306999999999</v>
      </c>
      <c r="AU149" s="120">
        <f t="shared" si="1026"/>
        <v>-134.19099000000003</v>
      </c>
      <c r="AV149" s="120">
        <f t="shared" si="1026"/>
        <v>-137.95124999999999</v>
      </c>
      <c r="AW149" s="120">
        <f t="shared" si="1026"/>
        <v>-129.61628999999999</v>
      </c>
      <c r="AX149" s="120">
        <f t="shared" si="1026"/>
        <v>-117.20541999999998</v>
      </c>
      <c r="AY149" s="120">
        <f t="shared" si="1026"/>
        <v>-115.52426000000003</v>
      </c>
      <c r="AZ149" s="120">
        <f t="shared" si="1026"/>
        <v>-51.822730000000007</v>
      </c>
      <c r="BA149" s="120">
        <f t="shared" si="1026"/>
        <v>-131.68058000000002</v>
      </c>
      <c r="BB149" s="120">
        <f t="shared" si="1026"/>
        <v>-111.86949000000001</v>
      </c>
      <c r="BC149" s="120">
        <f t="shared" si="1026"/>
        <v>-104.50782999999998</v>
      </c>
      <c r="BD149" s="120">
        <f t="shared" si="1026"/>
        <v>-110.20179000000002</v>
      </c>
      <c r="BE149" s="120">
        <f t="shared" si="1026"/>
        <v>-108.16163</v>
      </c>
      <c r="BF149" s="120">
        <f t="shared" si="1026"/>
        <v>-113.81280000000001</v>
      </c>
      <c r="BG149" s="120">
        <f t="shared" si="1026"/>
        <v>-104.43817999999999</v>
      </c>
      <c r="BH149" s="120">
        <f t="shared" si="1026"/>
        <v>-107.91946</v>
      </c>
      <c r="BI149" s="120">
        <f t="shared" si="1026"/>
        <v>-107.91946</v>
      </c>
      <c r="BJ149" s="120">
        <f t="shared" si="1026"/>
        <v>0</v>
      </c>
      <c r="BK149" s="120">
        <f t="shared" si="1026"/>
        <v>-107.91946</v>
      </c>
      <c r="BL149" s="120">
        <f t="shared" ca="1" si="1026"/>
        <v>-104.43817999999999</v>
      </c>
      <c r="BM149" s="120">
        <f t="shared" ca="1" si="1026"/>
        <v>-9.8311400000000617</v>
      </c>
      <c r="BN149" s="120">
        <f t="shared" ca="1" si="1026"/>
        <v>-105.67253000000004</v>
      </c>
      <c r="BO149" s="120">
        <f t="shared" ca="1" si="1026"/>
        <v>-97.47563000000001</v>
      </c>
      <c r="BP149" s="120">
        <f t="shared" ca="1" si="1026"/>
        <v>-19.220650000000006</v>
      </c>
      <c r="BQ149" s="120">
        <f t="shared" ca="1" si="1026"/>
        <v>-104.43817999999999</v>
      </c>
      <c r="BR149" s="120">
        <f t="shared" ca="1" si="1026"/>
        <v>-59.421770000000009</v>
      </c>
      <c r="BS149" s="120">
        <f t="shared" ca="1" si="1026"/>
        <v>-107.63529</v>
      </c>
      <c r="BT149" s="120">
        <f t="shared" ca="1" si="1026"/>
        <v>-59.065499999999986</v>
      </c>
      <c r="BU149" s="120">
        <f t="shared" ca="1" si="1026"/>
        <v>-68.98786000000004</v>
      </c>
      <c r="BV149" s="120">
        <f t="shared" ca="1" si="1026"/>
        <v>-95.912440000000004</v>
      </c>
      <c r="BW149" s="120">
        <f t="shared" ref="BW149:DB149" ca="1" si="1027">-MIN(MAX(0,BW100),BW148)</f>
        <v>-99.10951</v>
      </c>
      <c r="BX149" s="120">
        <f t="shared" ca="1" si="1027"/>
        <v>-90.894769999999937</v>
      </c>
      <c r="BY149" s="120">
        <f t="shared" ca="1" si="1027"/>
        <v>-100.07224000000001</v>
      </c>
      <c r="BZ149" s="120">
        <f t="shared" ca="1" si="1027"/>
        <v>-100.07224000000001</v>
      </c>
      <c r="CA149" s="120">
        <f t="shared" ca="1" si="1027"/>
        <v>-15.259610000000009</v>
      </c>
      <c r="CB149" s="120">
        <f t="shared" ca="1" si="1027"/>
        <v>-101.28278999999999</v>
      </c>
      <c r="CC149" s="120">
        <f t="shared" ca="1" si="1027"/>
        <v>-100.18088</v>
      </c>
      <c r="CD149" s="120">
        <f t="shared" ca="1" si="1027"/>
        <v>-97.98275000000001</v>
      </c>
      <c r="CE149" s="120">
        <f t="shared" ca="1" si="1027"/>
        <v>-100.20571000000004</v>
      </c>
      <c r="CF149" s="120">
        <f t="shared" ca="1" si="1027"/>
        <v>-133.17430999999999</v>
      </c>
      <c r="CG149" s="120">
        <f t="shared" ca="1" si="1027"/>
        <v>-129.90303999999998</v>
      </c>
      <c r="CH149" s="120">
        <f t="shared" ca="1" si="1027"/>
        <v>-112.83533</v>
      </c>
      <c r="CI149" s="120">
        <f t="shared" ca="1" si="1027"/>
        <v>0</v>
      </c>
      <c r="CJ149" s="120">
        <f t="shared" ca="1" si="1027"/>
        <v>0</v>
      </c>
      <c r="CK149" s="120">
        <f t="shared" ca="1" si="1027"/>
        <v>0</v>
      </c>
      <c r="CL149" s="120">
        <f t="shared" ca="1" si="1027"/>
        <v>0</v>
      </c>
      <c r="CM149" s="120">
        <f t="shared" ca="1" si="1027"/>
        <v>0</v>
      </c>
      <c r="CN149" s="120">
        <f t="shared" ca="1" si="1027"/>
        <v>0</v>
      </c>
      <c r="CO149" s="120">
        <f t="shared" ca="1" si="1027"/>
        <v>0</v>
      </c>
      <c r="CP149" s="120">
        <f t="shared" ca="1" si="1027"/>
        <v>0</v>
      </c>
      <c r="CQ149" s="120">
        <f t="shared" ca="1" si="1027"/>
        <v>0</v>
      </c>
      <c r="CR149" s="120">
        <f t="shared" ca="1" si="1027"/>
        <v>0</v>
      </c>
      <c r="CS149" s="120">
        <f t="shared" ca="1" si="1027"/>
        <v>0</v>
      </c>
      <c r="CT149" s="120">
        <f t="shared" ca="1" si="1027"/>
        <v>0</v>
      </c>
      <c r="CU149" s="120">
        <f t="shared" ca="1" si="1027"/>
        <v>0</v>
      </c>
      <c r="CV149" s="120">
        <f t="shared" ca="1" si="1027"/>
        <v>0</v>
      </c>
      <c r="CW149" s="120">
        <f t="shared" ca="1" si="1027"/>
        <v>0</v>
      </c>
      <c r="CX149" s="120">
        <f t="shared" ca="1" si="1027"/>
        <v>0</v>
      </c>
      <c r="CY149" s="120">
        <f t="shared" ca="1" si="1027"/>
        <v>0</v>
      </c>
      <c r="CZ149" s="120">
        <f t="shared" ca="1" si="1027"/>
        <v>0</v>
      </c>
      <c r="DA149" s="120">
        <f t="shared" ca="1" si="1027"/>
        <v>0</v>
      </c>
      <c r="DB149" s="120">
        <f t="shared" ca="1" si="1027"/>
        <v>0</v>
      </c>
      <c r="DC149" s="120">
        <f t="shared" ref="DC149:EH149" ca="1" si="1028">-MIN(MAX(0,DC100),DC148)</f>
        <v>0</v>
      </c>
      <c r="DD149" s="120">
        <f t="shared" ca="1" si="1028"/>
        <v>0</v>
      </c>
      <c r="DE149" s="120">
        <f t="shared" ca="1" si="1028"/>
        <v>0</v>
      </c>
      <c r="DF149" s="120">
        <f t="shared" ca="1" si="1028"/>
        <v>0</v>
      </c>
      <c r="DG149" s="120">
        <f t="shared" ca="1" si="1028"/>
        <v>0</v>
      </c>
      <c r="DH149" s="120">
        <f t="shared" ca="1" si="1028"/>
        <v>0</v>
      </c>
      <c r="DI149" s="120">
        <f t="shared" ca="1" si="1028"/>
        <v>0</v>
      </c>
      <c r="DJ149" s="120">
        <f t="shared" si="1028"/>
        <v>0</v>
      </c>
      <c r="DK149" s="120">
        <f t="shared" si="1028"/>
        <v>0</v>
      </c>
      <c r="DL149" s="120">
        <f t="shared" si="1028"/>
        <v>0</v>
      </c>
      <c r="DM149" s="120">
        <f t="shared" si="1028"/>
        <v>0</v>
      </c>
      <c r="DN149" s="120">
        <f t="shared" si="1028"/>
        <v>0</v>
      </c>
      <c r="DO149" s="120">
        <f t="shared" si="1028"/>
        <v>0</v>
      </c>
      <c r="DP149" s="120">
        <f t="shared" si="1028"/>
        <v>0</v>
      </c>
      <c r="DQ149" s="120">
        <f t="shared" si="1028"/>
        <v>0</v>
      </c>
      <c r="DR149" s="120">
        <f t="shared" si="1028"/>
        <v>0</v>
      </c>
      <c r="DS149" s="120">
        <f t="shared" si="1028"/>
        <v>0</v>
      </c>
      <c r="DT149" s="120">
        <f t="shared" si="1028"/>
        <v>0</v>
      </c>
      <c r="DU149" s="120">
        <f t="shared" si="1028"/>
        <v>0</v>
      </c>
      <c r="DV149" s="120">
        <f t="shared" si="1028"/>
        <v>0</v>
      </c>
      <c r="DW149" s="120">
        <f t="shared" si="1028"/>
        <v>0</v>
      </c>
      <c r="DX149" s="120">
        <f t="shared" si="1028"/>
        <v>0</v>
      </c>
      <c r="DY149" s="120">
        <f t="shared" si="1028"/>
        <v>0</v>
      </c>
      <c r="DZ149" s="120">
        <f t="shared" si="1028"/>
        <v>0</v>
      </c>
      <c r="EA149" s="120">
        <f t="shared" si="1028"/>
        <v>0</v>
      </c>
      <c r="EB149" s="120">
        <f t="shared" si="1028"/>
        <v>0</v>
      </c>
      <c r="EC149" s="120">
        <f t="shared" si="1028"/>
        <v>0</v>
      </c>
      <c r="ED149" s="120">
        <f t="shared" si="1028"/>
        <v>0</v>
      </c>
      <c r="EE149" s="120">
        <f t="shared" si="1028"/>
        <v>0</v>
      </c>
      <c r="EF149" s="120">
        <f t="shared" si="1028"/>
        <v>0</v>
      </c>
      <c r="EG149" s="120">
        <f t="shared" si="1028"/>
        <v>0</v>
      </c>
      <c r="EH149" s="120">
        <f t="shared" si="1028"/>
        <v>0</v>
      </c>
      <c r="EI149" s="120">
        <f t="shared" ref="EI149:EL149" si="1029">-MIN(MAX(0,EI100),EI148)</f>
        <v>0</v>
      </c>
      <c r="EJ149" s="120">
        <f t="shared" si="1029"/>
        <v>0</v>
      </c>
      <c r="EK149" s="120">
        <f t="shared" si="1029"/>
        <v>0</v>
      </c>
      <c r="EL149" s="120">
        <f t="shared" si="1029"/>
        <v>0</v>
      </c>
      <c r="EM149" s="120">
        <f t="shared" ref="EM149:FD149" si="1030">-MIN(MAX(0,EM100),EM148)</f>
        <v>0</v>
      </c>
      <c r="EN149" s="120">
        <f t="shared" si="1030"/>
        <v>0</v>
      </c>
      <c r="EO149" s="120">
        <f t="shared" si="1030"/>
        <v>0</v>
      </c>
      <c r="EP149" s="120">
        <f t="shared" si="1030"/>
        <v>0</v>
      </c>
      <c r="EQ149" s="120">
        <f t="shared" si="1030"/>
        <v>0</v>
      </c>
      <c r="ER149" s="120">
        <f t="shared" si="1030"/>
        <v>0</v>
      </c>
      <c r="ES149" s="120">
        <f t="shared" si="1030"/>
        <v>0</v>
      </c>
      <c r="ET149" s="120">
        <f t="shared" si="1030"/>
        <v>0</v>
      </c>
      <c r="EU149" s="120">
        <f t="shared" si="1030"/>
        <v>0</v>
      </c>
      <c r="EV149" s="120">
        <f t="shared" si="1030"/>
        <v>0</v>
      </c>
      <c r="EW149" s="120">
        <f t="shared" si="1030"/>
        <v>0</v>
      </c>
      <c r="EX149" s="120">
        <f t="shared" si="1030"/>
        <v>0</v>
      </c>
      <c r="EY149" s="120">
        <f t="shared" si="1030"/>
        <v>0</v>
      </c>
      <c r="EZ149" s="120">
        <f t="shared" si="1030"/>
        <v>0</v>
      </c>
      <c r="FA149" s="120">
        <f t="shared" si="1030"/>
        <v>0</v>
      </c>
      <c r="FB149" s="120">
        <f t="shared" si="1030"/>
        <v>0</v>
      </c>
      <c r="FC149" s="120">
        <f t="shared" si="1030"/>
        <v>0</v>
      </c>
      <c r="FD149" s="120">
        <f t="shared" si="1030"/>
        <v>0</v>
      </c>
      <c r="FE149" s="120">
        <f t="shared" ref="FE149:FI149" si="1031">-MIN(MAX(0,FE100),FE148)</f>
        <v>0</v>
      </c>
      <c r="FF149" s="120">
        <f t="shared" si="1031"/>
        <v>0</v>
      </c>
      <c r="FG149" s="120">
        <f t="shared" si="1031"/>
        <v>0</v>
      </c>
      <c r="FH149" s="120">
        <f t="shared" si="1031"/>
        <v>0</v>
      </c>
      <c r="FI149" s="120">
        <f t="shared" si="1031"/>
        <v>0</v>
      </c>
      <c r="FJ149" s="120">
        <f t="shared" ref="FJ149:GT149" si="1032">-MIN(MAX(0,FJ100),FJ148)</f>
        <v>0</v>
      </c>
      <c r="FK149" s="120">
        <f t="shared" si="1032"/>
        <v>0</v>
      </c>
      <c r="FL149" s="120">
        <f t="shared" si="1032"/>
        <v>0</v>
      </c>
      <c r="FM149" s="120">
        <f t="shared" si="1032"/>
        <v>0</v>
      </c>
      <c r="FN149" s="120">
        <f t="shared" si="1032"/>
        <v>0</v>
      </c>
      <c r="FO149" s="120">
        <f t="shared" si="1032"/>
        <v>0</v>
      </c>
      <c r="FP149" s="120">
        <f t="shared" si="1032"/>
        <v>0</v>
      </c>
      <c r="FQ149" s="120">
        <f t="shared" si="1032"/>
        <v>0</v>
      </c>
      <c r="FR149" s="120">
        <f t="shared" si="1032"/>
        <v>0</v>
      </c>
      <c r="FS149" s="120">
        <f t="shared" si="1032"/>
        <v>0</v>
      </c>
      <c r="FT149" s="120">
        <f t="shared" si="1032"/>
        <v>0</v>
      </c>
      <c r="FU149" s="120">
        <f t="shared" si="1032"/>
        <v>0</v>
      </c>
      <c r="FV149" s="120">
        <f t="shared" si="1032"/>
        <v>0</v>
      </c>
      <c r="FW149" s="120">
        <f t="shared" si="1032"/>
        <v>0</v>
      </c>
      <c r="FX149" s="120">
        <f t="shared" si="1032"/>
        <v>0</v>
      </c>
      <c r="FY149" s="120">
        <f t="shared" si="1032"/>
        <v>0</v>
      </c>
      <c r="FZ149" s="120">
        <f t="shared" si="1032"/>
        <v>0</v>
      </c>
      <c r="GA149" s="120">
        <f t="shared" si="1032"/>
        <v>0</v>
      </c>
      <c r="GB149" s="120">
        <f t="shared" si="1032"/>
        <v>0</v>
      </c>
      <c r="GC149" s="120">
        <f t="shared" si="1032"/>
        <v>0</v>
      </c>
      <c r="GD149" s="120"/>
      <c r="GE149" s="120"/>
      <c r="GF149" s="120"/>
      <c r="GG149" s="120"/>
      <c r="GH149" s="120"/>
      <c r="GI149" s="120"/>
      <c r="GJ149" s="120"/>
      <c r="GK149" s="120"/>
      <c r="GL149" s="120"/>
      <c r="GM149" s="120"/>
      <c r="GN149" s="120"/>
      <c r="GO149" s="120"/>
      <c r="GP149" s="120">
        <f t="shared" si="1032"/>
        <v>0</v>
      </c>
      <c r="GQ149" s="120">
        <f t="shared" si="1032"/>
        <v>0</v>
      </c>
      <c r="GR149" s="120">
        <f t="shared" si="1032"/>
        <v>0</v>
      </c>
      <c r="GS149" s="120">
        <f t="shared" si="1032"/>
        <v>0</v>
      </c>
      <c r="GT149" s="120">
        <f t="shared" si="1032"/>
        <v>0</v>
      </c>
      <c r="GU149" s="26"/>
      <c r="GV149" s="26"/>
      <c r="GW149" s="26"/>
      <c r="GX149" s="26"/>
      <c r="GY149" s="26"/>
      <c r="GZ149" s="26"/>
      <c r="HA149" s="26"/>
      <c r="HB149" s="26"/>
      <c r="HC149" s="26"/>
      <c r="HD149" s="26"/>
      <c r="HE149" s="26"/>
      <c r="HF149" s="1" t="s">
        <v>212</v>
      </c>
      <c r="HH149" s="205" t="str">
        <f t="shared" si="1017"/>
        <v>Less Debt Service Paid from NOI</v>
      </c>
      <c r="HI149" s="120"/>
      <c r="HJ149" s="120"/>
      <c r="HK149" s="120"/>
      <c r="HL149" s="119">
        <f t="shared" ca="1" si="1007"/>
        <v>-6674.384140000001</v>
      </c>
      <c r="HM149" s="120"/>
      <c r="HN149" s="140">
        <f t="shared" si="1018"/>
        <v>0</v>
      </c>
      <c r="HO149" s="120">
        <f t="shared" si="1018"/>
        <v>-740.22153000000003</v>
      </c>
      <c r="HP149" s="120">
        <f t="shared" si="1018"/>
        <v>-969.1240600000001</v>
      </c>
      <c r="HQ149" s="120">
        <f t="shared" si="1018"/>
        <v>-1291.4155700000001</v>
      </c>
      <c r="HR149" s="120">
        <f t="shared" si="1018"/>
        <v>-1336.79225</v>
      </c>
      <c r="HS149" s="120">
        <f t="shared" ca="1" si="1018"/>
        <v>-931.89175</v>
      </c>
      <c r="HT149" s="120">
        <f t="shared" ca="1" si="1018"/>
        <v>-1029.0263</v>
      </c>
      <c r="HU149" s="120">
        <f t="shared" ca="1" si="1018"/>
        <v>-375.91267999999997</v>
      </c>
      <c r="HV149" s="120">
        <f t="shared" ca="1" si="1018"/>
        <v>0</v>
      </c>
      <c r="HW149"/>
    </row>
    <row r="150" spans="1:231" ht="15" outlineLevel="1">
      <c r="B150" s="13" t="s">
        <v>1017</v>
      </c>
      <c r="I150" s="116">
        <f ca="1">SUMIF($K$13:$GT$13,"&lt;="&amp;Assumptions!$L$17,'Monthly Cash Flow'!K150:GT150)</f>
        <v>1715.5169299999993</v>
      </c>
      <c r="J150" s="18"/>
      <c r="K150" s="964">
        <f>SUM(K148:K149)*0</f>
        <v>0</v>
      </c>
      <c r="L150" s="965">
        <f t="shared" ref="L150:V150" si="1033">SUM(L148:L149)*0</f>
        <v>0</v>
      </c>
      <c r="M150" s="965">
        <f t="shared" si="1033"/>
        <v>0</v>
      </c>
      <c r="N150" s="965">
        <f t="shared" si="1033"/>
        <v>0</v>
      </c>
      <c r="O150" s="965">
        <f t="shared" si="1033"/>
        <v>0</v>
      </c>
      <c r="P150" s="965">
        <f t="shared" si="1033"/>
        <v>0</v>
      </c>
      <c r="Q150" s="965">
        <f t="shared" si="1033"/>
        <v>0</v>
      </c>
      <c r="R150" s="965">
        <f t="shared" si="1033"/>
        <v>0</v>
      </c>
      <c r="S150" s="965">
        <f t="shared" si="1033"/>
        <v>0</v>
      </c>
      <c r="T150" s="965">
        <f t="shared" si="1033"/>
        <v>0</v>
      </c>
      <c r="U150" s="965">
        <f t="shared" si="1033"/>
        <v>0</v>
      </c>
      <c r="V150" s="965">
        <f t="shared" si="1033"/>
        <v>0</v>
      </c>
      <c r="W150" s="18">
        <f t="shared" ref="W150:AP150" si="1034">SUM(W148:W149)</f>
        <v>102.52549</v>
      </c>
      <c r="X150" s="18">
        <f t="shared" si="1034"/>
        <v>27.841539999999981</v>
      </c>
      <c r="Y150" s="18">
        <f t="shared" si="1034"/>
        <v>110.21392</v>
      </c>
      <c r="Z150" s="18">
        <f t="shared" si="1034"/>
        <v>32.848719999999958</v>
      </c>
      <c r="AA150" s="18">
        <f t="shared" si="1034"/>
        <v>0</v>
      </c>
      <c r="AB150" s="18">
        <f t="shared" si="1034"/>
        <v>49.037240000000011</v>
      </c>
      <c r="AC150" s="18">
        <f t="shared" si="1034"/>
        <v>86.348610000000008</v>
      </c>
      <c r="AD150" s="18">
        <f t="shared" si="1034"/>
        <v>6.6120400000000075</v>
      </c>
      <c r="AE150" s="18">
        <f t="shared" si="1034"/>
        <v>11.428169999999994</v>
      </c>
      <c r="AF150" s="18">
        <f>SUM(AF148:AF149)</f>
        <v>33.447289999999953</v>
      </c>
      <c r="AG150" s="18">
        <f t="shared" si="1034"/>
        <v>41.16231999999998</v>
      </c>
      <c r="AH150" s="18">
        <f t="shared" si="1034"/>
        <v>20.904310000000009</v>
      </c>
      <c r="AI150" s="18">
        <f t="shared" si="1034"/>
        <v>36.47363</v>
      </c>
      <c r="AJ150" s="18">
        <f t="shared" si="1034"/>
        <v>64.111910000000009</v>
      </c>
      <c r="AK150" s="18">
        <f t="shared" si="1034"/>
        <v>79.341940000000051</v>
      </c>
      <c r="AL150" s="18">
        <f t="shared" si="1034"/>
        <v>47.330859999999959</v>
      </c>
      <c r="AM150" s="18">
        <f t="shared" si="1034"/>
        <v>9.9833600000000047</v>
      </c>
      <c r="AN150" s="18">
        <f t="shared" si="1034"/>
        <v>61.094149999999956</v>
      </c>
      <c r="AO150" s="18">
        <f t="shared" si="1034"/>
        <v>80.118420000000029</v>
      </c>
      <c r="AP150" s="18">
        <f t="shared" si="1034"/>
        <v>16.85333</v>
      </c>
      <c r="AQ150" s="18">
        <f t="shared" ref="AQ150:CE150" si="1035">SUM(AQ148:AQ149)</f>
        <v>0.20902000000003795</v>
      </c>
      <c r="AR150" s="18">
        <f t="shared" si="1035"/>
        <v>40.118069999999989</v>
      </c>
      <c r="AS150" s="18">
        <f t="shared" si="1035"/>
        <v>6.1919700000000262</v>
      </c>
      <c r="AT150" s="18">
        <f t="shared" si="1035"/>
        <v>28.269380000000012</v>
      </c>
      <c r="AU150" s="18">
        <f t="shared" si="1035"/>
        <v>5.794399999999996</v>
      </c>
      <c r="AV150" s="18">
        <f t="shared" si="1035"/>
        <v>5.5704599999999971</v>
      </c>
      <c r="AW150" s="18">
        <f t="shared" si="1035"/>
        <v>12.552480000000003</v>
      </c>
      <c r="AX150" s="18">
        <f t="shared" si="1035"/>
        <v>18.052980000000019</v>
      </c>
      <c r="AY150" s="18">
        <f t="shared" si="1035"/>
        <v>21.07729999999998</v>
      </c>
      <c r="AZ150" s="18">
        <f t="shared" si="1035"/>
        <v>78.298169999999999</v>
      </c>
      <c r="BA150" s="18">
        <f t="shared" si="1035"/>
        <v>0</v>
      </c>
      <c r="BB150" s="18">
        <f t="shared" si="1035"/>
        <v>19.323029999999989</v>
      </c>
      <c r="BC150" s="18">
        <f t="shared" si="1035"/>
        <v>17.114520000000027</v>
      </c>
      <c r="BD150" s="18">
        <f t="shared" si="1035"/>
        <v>19.470479999999981</v>
      </c>
      <c r="BE150" s="18">
        <f t="shared" si="1035"/>
        <v>0</v>
      </c>
      <c r="BF150" s="18">
        <f t="shared" si="1035"/>
        <v>0</v>
      </c>
      <c r="BG150" s="18">
        <f t="shared" si="1035"/>
        <v>0</v>
      </c>
      <c r="BH150" s="18">
        <f t="shared" si="1035"/>
        <v>0</v>
      </c>
      <c r="BI150" s="18">
        <f t="shared" si="1035"/>
        <v>0</v>
      </c>
      <c r="BJ150" s="18">
        <f t="shared" si="1035"/>
        <v>104.43817999999999</v>
      </c>
      <c r="BK150" s="18">
        <f t="shared" si="1035"/>
        <v>0</v>
      </c>
      <c r="BL150" s="18">
        <f t="shared" ca="1" si="1035"/>
        <v>0</v>
      </c>
      <c r="BM150" s="18">
        <f t="shared" ca="1" si="1035"/>
        <v>98.088319999999939</v>
      </c>
      <c r="BN150" s="18">
        <f t="shared" ca="1" si="1035"/>
        <v>2.2469199999999603</v>
      </c>
      <c r="BO150" s="18">
        <f t="shared" ca="1" si="1035"/>
        <v>0</v>
      </c>
      <c r="BP150" s="18">
        <f t="shared" ca="1" si="1035"/>
        <v>88.698799999999991</v>
      </c>
      <c r="BQ150" s="18">
        <f t="shared" ca="1" si="1035"/>
        <v>0</v>
      </c>
      <c r="BR150" s="18">
        <f t="shared" ca="1" si="1035"/>
        <v>48.497689999999992</v>
      </c>
      <c r="BS150" s="18">
        <f t="shared" ca="1" si="1035"/>
        <v>0</v>
      </c>
      <c r="BT150" s="18">
        <f t="shared" ca="1" si="1035"/>
        <v>40.044030000000006</v>
      </c>
      <c r="BU150" s="18">
        <f t="shared" ca="1" si="1035"/>
        <v>30.121659999999963</v>
      </c>
      <c r="BV150" s="18">
        <f t="shared" ca="1" si="1035"/>
        <v>0</v>
      </c>
      <c r="BW150" s="18">
        <f t="shared" ca="1" si="1035"/>
        <v>0</v>
      </c>
      <c r="BX150" s="18">
        <f t="shared" ca="1" si="1035"/>
        <v>5.4213900000000592</v>
      </c>
      <c r="BY150" s="18">
        <f t="shared" ca="1" si="1035"/>
        <v>0</v>
      </c>
      <c r="BZ150" s="18">
        <f t="shared" ca="1" si="1035"/>
        <v>0</v>
      </c>
      <c r="CA150" s="18">
        <f t="shared" ca="1" si="1035"/>
        <v>75.128219999999999</v>
      </c>
      <c r="CB150" s="18">
        <f t="shared" ca="1" si="1035"/>
        <v>0</v>
      </c>
      <c r="CC150" s="18">
        <f t="shared" ca="1" si="1035"/>
        <v>0</v>
      </c>
      <c r="CD150" s="18">
        <f t="shared" ca="1" si="1035"/>
        <v>12.867059999999981</v>
      </c>
      <c r="CE150" s="18">
        <f t="shared" ca="1" si="1035"/>
        <v>8.3577399999999642</v>
      </c>
      <c r="CF150" s="18">
        <f t="shared" ref="CF150:EL150" ca="1" si="1036">SUM(CF148:CF149)</f>
        <v>0</v>
      </c>
      <c r="CG150" s="18">
        <f t="shared" ca="1" si="1036"/>
        <v>11.887410000000045</v>
      </c>
      <c r="CH150" s="18">
        <f t="shared" ca="1" si="1036"/>
        <v>0</v>
      </c>
      <c r="CI150" s="18">
        <f t="shared" ca="1" si="1036"/>
        <v>0</v>
      </c>
      <c r="CJ150" s="18">
        <f t="shared" ca="1" si="1036"/>
        <v>0</v>
      </c>
      <c r="CK150" s="18">
        <f t="shared" ca="1" si="1036"/>
        <v>0</v>
      </c>
      <c r="CL150" s="18">
        <f t="shared" ca="1" si="1036"/>
        <v>0</v>
      </c>
      <c r="CM150" s="18">
        <f t="shared" ca="1" si="1036"/>
        <v>0</v>
      </c>
      <c r="CN150" s="18">
        <f t="shared" ca="1" si="1036"/>
        <v>0</v>
      </c>
      <c r="CO150" s="18">
        <f t="shared" ca="1" si="1036"/>
        <v>0</v>
      </c>
      <c r="CP150" s="18">
        <f t="shared" ca="1" si="1036"/>
        <v>0</v>
      </c>
      <c r="CQ150" s="18">
        <f t="shared" ca="1" si="1036"/>
        <v>0</v>
      </c>
      <c r="CR150" s="18">
        <f t="shared" ca="1" si="1036"/>
        <v>0</v>
      </c>
      <c r="CS150" s="18">
        <f t="shared" ca="1" si="1036"/>
        <v>0</v>
      </c>
      <c r="CT150" s="18">
        <f t="shared" ca="1" si="1036"/>
        <v>0</v>
      </c>
      <c r="CU150" s="18">
        <f t="shared" ca="1" si="1036"/>
        <v>0</v>
      </c>
      <c r="CV150" s="18">
        <f t="shared" ca="1" si="1036"/>
        <v>0</v>
      </c>
      <c r="CW150" s="18">
        <f t="shared" ca="1" si="1036"/>
        <v>0</v>
      </c>
      <c r="CX150" s="18">
        <f t="shared" ca="1" si="1036"/>
        <v>0</v>
      </c>
      <c r="CY150" s="18">
        <f t="shared" ca="1" si="1036"/>
        <v>0</v>
      </c>
      <c r="CZ150" s="18">
        <f t="shared" ca="1" si="1036"/>
        <v>0</v>
      </c>
      <c r="DA150" s="18">
        <f t="shared" ca="1" si="1036"/>
        <v>0</v>
      </c>
      <c r="DB150" s="18">
        <f t="shared" ca="1" si="1036"/>
        <v>0</v>
      </c>
      <c r="DC150" s="18">
        <f t="shared" ca="1" si="1036"/>
        <v>0</v>
      </c>
      <c r="DD150" s="18">
        <f t="shared" ca="1" si="1036"/>
        <v>0</v>
      </c>
      <c r="DE150" s="18">
        <f t="shared" ca="1" si="1036"/>
        <v>0</v>
      </c>
      <c r="DF150" s="18">
        <f t="shared" ca="1" si="1036"/>
        <v>0</v>
      </c>
      <c r="DG150" s="18">
        <f t="shared" ca="1" si="1036"/>
        <v>0</v>
      </c>
      <c r="DH150" s="18">
        <f t="shared" ca="1" si="1036"/>
        <v>0</v>
      </c>
      <c r="DI150" s="18">
        <f t="shared" ca="1" si="1036"/>
        <v>0</v>
      </c>
      <c r="DJ150" s="18">
        <f t="shared" si="1036"/>
        <v>0</v>
      </c>
      <c r="DK150" s="18">
        <f t="shared" si="1036"/>
        <v>0</v>
      </c>
      <c r="DL150" s="18">
        <f t="shared" si="1036"/>
        <v>0</v>
      </c>
      <c r="DM150" s="18">
        <f t="shared" si="1036"/>
        <v>0</v>
      </c>
      <c r="DN150" s="18">
        <f t="shared" si="1036"/>
        <v>0</v>
      </c>
      <c r="DO150" s="18">
        <f t="shared" si="1036"/>
        <v>0</v>
      </c>
      <c r="DP150" s="18">
        <f t="shared" si="1036"/>
        <v>0</v>
      </c>
      <c r="DQ150" s="18">
        <f t="shared" si="1036"/>
        <v>0</v>
      </c>
      <c r="DR150" s="18">
        <f t="shared" si="1036"/>
        <v>0</v>
      </c>
      <c r="DS150" s="18">
        <f t="shared" si="1036"/>
        <v>0</v>
      </c>
      <c r="DT150" s="18">
        <f t="shared" si="1036"/>
        <v>0</v>
      </c>
      <c r="DU150" s="18">
        <f t="shared" si="1036"/>
        <v>0</v>
      </c>
      <c r="DV150" s="18">
        <f t="shared" si="1036"/>
        <v>0</v>
      </c>
      <c r="DW150" s="18">
        <f t="shared" si="1036"/>
        <v>0</v>
      </c>
      <c r="DX150" s="18">
        <f t="shared" si="1036"/>
        <v>0</v>
      </c>
      <c r="DY150" s="18">
        <f t="shared" si="1036"/>
        <v>0</v>
      </c>
      <c r="DZ150" s="18">
        <f t="shared" si="1036"/>
        <v>0</v>
      </c>
      <c r="EA150" s="18">
        <f t="shared" si="1036"/>
        <v>0</v>
      </c>
      <c r="EB150" s="18">
        <f t="shared" si="1036"/>
        <v>0</v>
      </c>
      <c r="EC150" s="18">
        <f t="shared" si="1036"/>
        <v>0</v>
      </c>
      <c r="ED150" s="18">
        <f t="shared" si="1036"/>
        <v>0</v>
      </c>
      <c r="EE150" s="18">
        <f t="shared" si="1036"/>
        <v>0</v>
      </c>
      <c r="EF150" s="18">
        <f t="shared" si="1036"/>
        <v>0</v>
      </c>
      <c r="EG150" s="18">
        <f t="shared" si="1036"/>
        <v>0</v>
      </c>
      <c r="EH150" s="18">
        <f t="shared" si="1036"/>
        <v>0</v>
      </c>
      <c r="EI150" s="18">
        <f t="shared" si="1036"/>
        <v>0</v>
      </c>
      <c r="EJ150" s="18">
        <f t="shared" si="1036"/>
        <v>0</v>
      </c>
      <c r="EK150" s="18">
        <f t="shared" si="1036"/>
        <v>0</v>
      </c>
      <c r="EL150" s="18">
        <f t="shared" si="1036"/>
        <v>0</v>
      </c>
      <c r="EM150" s="18">
        <f t="shared" ref="EM150:FD150" si="1037">SUM(EM148:EM149)</f>
        <v>0</v>
      </c>
      <c r="EN150" s="18">
        <f t="shared" si="1037"/>
        <v>0</v>
      </c>
      <c r="EO150" s="18">
        <f t="shared" si="1037"/>
        <v>0</v>
      </c>
      <c r="EP150" s="18">
        <f t="shared" si="1037"/>
        <v>0</v>
      </c>
      <c r="EQ150" s="18">
        <f t="shared" si="1037"/>
        <v>0</v>
      </c>
      <c r="ER150" s="18">
        <f t="shared" si="1037"/>
        <v>0</v>
      </c>
      <c r="ES150" s="18">
        <f t="shared" si="1037"/>
        <v>0</v>
      </c>
      <c r="ET150" s="18">
        <f t="shared" si="1037"/>
        <v>0</v>
      </c>
      <c r="EU150" s="18">
        <f t="shared" si="1037"/>
        <v>0</v>
      </c>
      <c r="EV150" s="18">
        <f t="shared" si="1037"/>
        <v>0</v>
      </c>
      <c r="EW150" s="18">
        <f t="shared" si="1037"/>
        <v>0</v>
      </c>
      <c r="EX150" s="18">
        <f t="shared" si="1037"/>
        <v>0</v>
      </c>
      <c r="EY150" s="18">
        <f t="shared" si="1037"/>
        <v>0</v>
      </c>
      <c r="EZ150" s="18">
        <f t="shared" si="1037"/>
        <v>0</v>
      </c>
      <c r="FA150" s="18">
        <f t="shared" si="1037"/>
        <v>0</v>
      </c>
      <c r="FB150" s="18">
        <f t="shared" si="1037"/>
        <v>0</v>
      </c>
      <c r="FC150" s="18">
        <f t="shared" si="1037"/>
        <v>0</v>
      </c>
      <c r="FD150" s="18">
        <f t="shared" si="1037"/>
        <v>0</v>
      </c>
      <c r="FE150" s="18">
        <f t="shared" ref="FE150:FI150" si="1038">SUM(FE148:FE149)</f>
        <v>0</v>
      </c>
      <c r="FF150" s="18">
        <f t="shared" si="1038"/>
        <v>0</v>
      </c>
      <c r="FG150" s="18">
        <f t="shared" si="1038"/>
        <v>0</v>
      </c>
      <c r="FH150" s="18">
        <f t="shared" si="1038"/>
        <v>0</v>
      </c>
      <c r="FI150" s="18">
        <f t="shared" si="1038"/>
        <v>0</v>
      </c>
      <c r="FJ150" s="18">
        <f t="shared" ref="FJ150:GT150" si="1039">SUM(FJ148:FJ149)</f>
        <v>0</v>
      </c>
      <c r="FK150" s="18">
        <f t="shared" si="1039"/>
        <v>0</v>
      </c>
      <c r="FL150" s="18">
        <f t="shared" si="1039"/>
        <v>0</v>
      </c>
      <c r="FM150" s="18">
        <f t="shared" si="1039"/>
        <v>0</v>
      </c>
      <c r="FN150" s="18">
        <f t="shared" si="1039"/>
        <v>0</v>
      </c>
      <c r="FO150" s="18">
        <f t="shared" si="1039"/>
        <v>0</v>
      </c>
      <c r="FP150" s="18">
        <f t="shared" si="1039"/>
        <v>0</v>
      </c>
      <c r="FQ150" s="18">
        <f t="shared" si="1039"/>
        <v>0</v>
      </c>
      <c r="FR150" s="18">
        <f t="shared" si="1039"/>
        <v>0</v>
      </c>
      <c r="FS150" s="18">
        <f t="shared" si="1039"/>
        <v>0</v>
      </c>
      <c r="FT150" s="18">
        <f t="shared" si="1039"/>
        <v>0</v>
      </c>
      <c r="FU150" s="18">
        <f t="shared" si="1039"/>
        <v>0</v>
      </c>
      <c r="FV150" s="18">
        <f t="shared" si="1039"/>
        <v>0</v>
      </c>
      <c r="FW150" s="18">
        <f t="shared" si="1039"/>
        <v>0</v>
      </c>
      <c r="FX150" s="18">
        <f t="shared" si="1039"/>
        <v>0</v>
      </c>
      <c r="FY150" s="18">
        <f t="shared" si="1039"/>
        <v>0</v>
      </c>
      <c r="FZ150" s="18">
        <f t="shared" si="1039"/>
        <v>0</v>
      </c>
      <c r="GA150" s="18">
        <f t="shared" si="1039"/>
        <v>0</v>
      </c>
      <c r="GB150" s="18">
        <f t="shared" si="1039"/>
        <v>0</v>
      </c>
      <c r="GC150" s="18">
        <f t="shared" si="1039"/>
        <v>0</v>
      </c>
      <c r="GD150" s="18"/>
      <c r="GE150" s="18"/>
      <c r="GF150" s="18"/>
      <c r="GG150" s="18"/>
      <c r="GH150" s="18"/>
      <c r="GI150" s="18"/>
      <c r="GJ150" s="18"/>
      <c r="GK150" s="18"/>
      <c r="GL150" s="18"/>
      <c r="GM150" s="18"/>
      <c r="GN150" s="18"/>
      <c r="GO150" s="18"/>
      <c r="GP150" s="18">
        <f t="shared" si="1039"/>
        <v>0</v>
      </c>
      <c r="GQ150" s="18">
        <f t="shared" si="1039"/>
        <v>0</v>
      </c>
      <c r="GR150" s="18">
        <f t="shared" si="1039"/>
        <v>0</v>
      </c>
      <c r="GS150" s="18">
        <f t="shared" si="1039"/>
        <v>0</v>
      </c>
      <c r="GT150" s="18">
        <f t="shared" si="1039"/>
        <v>0</v>
      </c>
      <c r="GU150" s="18"/>
      <c r="GV150" s="18"/>
      <c r="GW150" s="18"/>
      <c r="GX150" s="18"/>
      <c r="GY150" s="18"/>
      <c r="GZ150" s="18"/>
      <c r="HA150" s="18"/>
      <c r="HB150" s="18"/>
      <c r="HC150" s="18"/>
      <c r="HD150" s="18"/>
      <c r="HE150" s="18"/>
      <c r="HF150" s="1" t="s">
        <v>212</v>
      </c>
      <c r="HH150" s="13" t="str">
        <f t="shared" si="1017"/>
        <v>Capitalized Interest (no Capitalized Interest - all debt service paid with cash on hand)</v>
      </c>
      <c r="HI150" s="18"/>
      <c r="HJ150" s="18"/>
      <c r="HK150" s="18"/>
      <c r="HL150" s="116">
        <f t="shared" ca="1" si="1007"/>
        <v>1715.5169299999998</v>
      </c>
      <c r="HM150" s="18"/>
      <c r="HN150" s="131">
        <f t="shared" si="1018"/>
        <v>0</v>
      </c>
      <c r="HO150" s="18">
        <f t="shared" si="1018"/>
        <v>102.52549</v>
      </c>
      <c r="HP150" s="18">
        <f t="shared" si="1018"/>
        <v>456.31778999999995</v>
      </c>
      <c r="HQ150" s="18">
        <f t="shared" si="1018"/>
        <v>439.41681000000005</v>
      </c>
      <c r="HR150" s="18">
        <f t="shared" si="1018"/>
        <v>191.45941999999999</v>
      </c>
      <c r="HS150" s="18">
        <f t="shared" ca="1" si="1018"/>
        <v>341.96990999999986</v>
      </c>
      <c r="HT150" s="18">
        <f t="shared" ca="1" si="1018"/>
        <v>171.94009999999997</v>
      </c>
      <c r="HU150" s="18">
        <f t="shared" ca="1" si="1018"/>
        <v>11.887410000000045</v>
      </c>
      <c r="HV150" s="18">
        <f t="shared" ca="1" si="1018"/>
        <v>0</v>
      </c>
      <c r="HW150"/>
    </row>
    <row r="151" spans="1:231" ht="15" outlineLevel="1">
      <c r="B151" s="84" t="s">
        <v>131</v>
      </c>
      <c r="C151" s="84"/>
      <c r="D151" s="84"/>
      <c r="E151" s="84"/>
      <c r="F151" s="84"/>
      <c r="G151" s="84"/>
      <c r="H151" s="84"/>
      <c r="I151" s="119">
        <f ca="1">SUMIF($K$13:$GT$13,"&lt;="&amp;Assumptions!$L$17,'Monthly Cash Flow'!K151:GT151)</f>
        <v>-21795.794000000002</v>
      </c>
      <c r="J151" s="120"/>
      <c r="K151" s="140">
        <f>IF($G$158=0,IF(K$13=Assumptions!$L$20,-MIN('Monthly Cash Flow'!K137+'Monthly Cash Flow'!K142-'Monthly Cash Flow'!K146,K92),0),IF(K$13=$G159,-(K137+K142-K146),0))</f>
        <v>0</v>
      </c>
      <c r="L151" s="120">
        <f>IF($G$158=0,IF(L$13=Assumptions!$L$20,-MIN('Monthly Cash Flow'!L137+'Monthly Cash Flow'!L142-'Monthly Cash Flow'!L146,L92),0),IF(L$13=$G159,-(L137+L142-L146),0))</f>
        <v>0</v>
      </c>
      <c r="M151" s="120">
        <f>IF($G$158=0,IF(M$13=Assumptions!$L$20,-MIN('Monthly Cash Flow'!M137+'Monthly Cash Flow'!M142-'Monthly Cash Flow'!M146,M92),0),IF(M$13=$G159,-(M137+M142-M146),0))</f>
        <v>0</v>
      </c>
      <c r="N151" s="120">
        <f>IF($G$158=0,IF(N$13=Assumptions!$L$20,-MIN('Monthly Cash Flow'!N137+'Monthly Cash Flow'!N142-'Monthly Cash Flow'!N146,N92),0),IF(N$13=$G159,-(N137+N142-N146),0))</f>
        <v>0</v>
      </c>
      <c r="O151" s="120">
        <f>IF($G$158=0,IF(O$13=Assumptions!$L$20,-MIN('Monthly Cash Flow'!O137+'Monthly Cash Flow'!O142-'Monthly Cash Flow'!O146,O92),0),IF(O$13=$G159,-(O137+O142-O146),0))</f>
        <v>0</v>
      </c>
      <c r="P151" s="120">
        <f>IF($G$158=0,IF(P$13=Assumptions!$L$20,-MIN('Monthly Cash Flow'!P137+'Monthly Cash Flow'!P142-'Monthly Cash Flow'!P146,P92),0),IF(P$13=$G159,-(P137+P142-P146),0))</f>
        <v>0</v>
      </c>
      <c r="Q151" s="120">
        <f>IF($G$158=0,IF(Q$13=Assumptions!$L$20,-MIN('Monthly Cash Flow'!Q137+'Monthly Cash Flow'!Q142-'Monthly Cash Flow'!Q146,Q92),0),IF(Q$13=$G159,-(Q137+Q142-Q146),0))</f>
        <v>0</v>
      </c>
      <c r="R151" s="120">
        <f>IF($G$158=0,IF(R$13=Assumptions!$L$20,-MIN('Monthly Cash Flow'!R137+'Monthly Cash Flow'!R142-'Monthly Cash Flow'!R146,R92),0),IF(R$13=$G159,-(R137+R142-R146),0))</f>
        <v>0</v>
      </c>
      <c r="S151" s="120">
        <f>IF($G$158=0,IF(S$13=Assumptions!$L$20,-MIN('Monthly Cash Flow'!S137+'Monthly Cash Flow'!S142-'Monthly Cash Flow'!S146,S92),0),IF(S$13=$G159,-(S137+S142-S146),0))</f>
        <v>0</v>
      </c>
      <c r="T151" s="120">
        <f>IF($G$158=0,IF(T$13=Assumptions!$L$20,-MIN('Monthly Cash Flow'!T137+'Monthly Cash Flow'!T142-'Monthly Cash Flow'!T146,T92),0),IF(T$13=$G159,-(T137+T142-T146),0))</f>
        <v>0</v>
      </c>
      <c r="U151" s="120">
        <f>IF($G$158=0,IF(U$13=Assumptions!$L$20,-MIN('Monthly Cash Flow'!U137+'Monthly Cash Flow'!U142-'Monthly Cash Flow'!U146,U92),0),IF(U$13=$G159,-(U137+U142-U146),0))</f>
        <v>0</v>
      </c>
      <c r="V151" s="120">
        <f>IF($G$158=0,IF(V$13=Assumptions!$L$20,-MIN('Monthly Cash Flow'!V137+'Monthly Cash Flow'!V142-'Monthly Cash Flow'!V146,V92),0),IF(V$13=$G159,-(V137+V142-V146),0))</f>
        <v>0</v>
      </c>
      <c r="W151" s="120">
        <f>IF($G$158=0,IF(W$13=Assumptions!$L$20,-MIN('Monthly Cash Flow'!W137+'Monthly Cash Flow'!W142-'Monthly Cash Flow'!W146,W92),0),IF(W$13=$G159,-(W137+W142-W146),0))</f>
        <v>0</v>
      </c>
      <c r="X151" s="120">
        <f>IF($G$158=0,IF(X$13=Assumptions!$L$20,-MIN('Monthly Cash Flow'!X137+'Monthly Cash Flow'!X142-'Monthly Cash Flow'!X146,X92),0),IF(X$13=$G159,-(X137+X142-X146),0))</f>
        <v>0</v>
      </c>
      <c r="Y151" s="120">
        <f>IF($G$158=0,IF(Y$13=Assumptions!$L$20,-MIN('Monthly Cash Flow'!Y137+'Monthly Cash Flow'!Y142-'Monthly Cash Flow'!Y146,Y92),0),IF(Y$13=$G159,-(Y137+Y142-Y146),0))</f>
        <v>0</v>
      </c>
      <c r="Z151" s="120">
        <f>IF($G$158=0,IF(Z$13=Assumptions!$L$20,-MIN('Monthly Cash Flow'!Z137+'Monthly Cash Flow'!Z142-'Monthly Cash Flow'!Z146,Z92),0),IF(Z$13=$G159,-(Z137+Z142-Z146),0))</f>
        <v>0</v>
      </c>
      <c r="AA151" s="120">
        <f>IF($G$158=0,IF(AA$13=Assumptions!$L$20,-MIN('Monthly Cash Flow'!AA137+'Monthly Cash Flow'!AA142-'Monthly Cash Flow'!AA146,AA92),0),IF(AA$13=$G159,-(AA137+AA142-AA146),0))</f>
        <v>0</v>
      </c>
      <c r="AB151" s="120">
        <f>IF($G$158=0,IF(AB$13=Assumptions!$L$20,-MIN('Monthly Cash Flow'!AB137+'Monthly Cash Flow'!AB142-'Monthly Cash Flow'!AB146,AB92),0),IF(AB$13=$G159,-(AB137+AB142-AB146),0))</f>
        <v>0</v>
      </c>
      <c r="AC151" s="120">
        <f>IF($G$158=0,IF(AC$13=Assumptions!$L$20,-MIN('Monthly Cash Flow'!AC137+'Monthly Cash Flow'!AC142-'Monthly Cash Flow'!AC146,AC92),0),IF(AC$13=$G159,-(AC137+AC142-AC146),0))</f>
        <v>0</v>
      </c>
      <c r="AD151" s="120">
        <f>IF($G$158=0,IF(AD$13=Assumptions!$L$20,-MIN('Monthly Cash Flow'!AD137+'Monthly Cash Flow'!AD142-'Monthly Cash Flow'!AD146,AD92),0),IF(AD$13=$G159,-(AD137+AD142-AD146),0))</f>
        <v>0</v>
      </c>
      <c r="AE151" s="120">
        <f>IF($G$158=0,IF(AE$13=Assumptions!$L$20,-MIN('Monthly Cash Flow'!AE137+'Monthly Cash Flow'!AE142-'Monthly Cash Flow'!AE146,AE92),0),IF(AE$13=$G159,-(AE137+AE142-AE146),0))</f>
        <v>0</v>
      </c>
      <c r="AF151" s="120">
        <f>IF($G$158=0,IF(AF$13=Assumptions!$L$20,-MIN('Monthly Cash Flow'!AF137+'Monthly Cash Flow'!AF142-'Monthly Cash Flow'!AF146,AF92),0),IF(AF$13=$G159,-(AF137+AF142-AF146),0))</f>
        <v>0</v>
      </c>
      <c r="AG151" s="120">
        <f>IF($G$158=0,IF(AG$13=Assumptions!$L$20,-MIN('Monthly Cash Flow'!AG137+'Monthly Cash Flow'!AG142-'Monthly Cash Flow'!AG146,AG92),0),IF(AG$13=$G159,-(AG137+AG142-AG146),0))</f>
        <v>0</v>
      </c>
      <c r="AH151" s="120">
        <f>IF($G$158=0,IF(AH$13=Assumptions!$L$20,-MIN('Monthly Cash Flow'!AH137+'Monthly Cash Flow'!AH142-'Monthly Cash Flow'!AH146,AH92),0),IF(AH$13=$G159,-(AH137+AH142-AH146),0))</f>
        <v>0</v>
      </c>
      <c r="AI151" s="120">
        <f>IF($G$158=0,IF(AI$13=Assumptions!$L$20,-MIN('Monthly Cash Flow'!AI137+'Monthly Cash Flow'!AI142-'Monthly Cash Flow'!AI146,AI92),0),IF(AI$13=$G159,-(AI137+AI142-AI146),0))</f>
        <v>0</v>
      </c>
      <c r="AJ151" s="120">
        <f>IF($G$158=0,IF(AJ$13=Assumptions!$L$20,-MIN('Monthly Cash Flow'!AJ137+'Monthly Cash Flow'!AJ142-'Monthly Cash Flow'!AJ146,AJ92),0),IF(AJ$13=$G159,-(AJ137+AJ142-AJ146),0))</f>
        <v>0</v>
      </c>
      <c r="AK151" s="120">
        <f>IF($G$158=0,IF(AK$13=Assumptions!$L$20,-MIN('Monthly Cash Flow'!AK137+'Monthly Cash Flow'!AK142-'Monthly Cash Flow'!AK146,AK92),0),IF(AK$13=$G159,-(AK137+AK142-AK146),0))</f>
        <v>0</v>
      </c>
      <c r="AL151" s="120">
        <f>IF($G$158=0,IF(AL$13=Assumptions!$L$20,-MIN('Monthly Cash Flow'!AL137+'Monthly Cash Flow'!AL142-'Monthly Cash Flow'!AL146,AL92),0),IF(AL$13=$G159,-(AL137+AL142-AL146),0))</f>
        <v>0</v>
      </c>
      <c r="AM151" s="120">
        <f>IF($G$158=0,IF(AM$13=Assumptions!$L$20,-MIN('Monthly Cash Flow'!AM137+'Monthly Cash Flow'!AM142-'Monthly Cash Flow'!AM146,AM92),0),IF(AM$13=$G159,-(AM137+AM142-AM146),0))</f>
        <v>0</v>
      </c>
      <c r="AN151" s="120">
        <f>IF($G$158=0,IF(AN$13=Assumptions!$L$20,-MIN('Monthly Cash Flow'!AN137+'Monthly Cash Flow'!AN142-'Monthly Cash Flow'!AN146,AN92),0),IF(AN$13=$G159,-(AN137+AN142-AN146),0))</f>
        <v>0</v>
      </c>
      <c r="AO151" s="120">
        <f>IF($G$158=0,IF(AO$13=Assumptions!$L$20,-MIN('Monthly Cash Flow'!AO137+'Monthly Cash Flow'!AO142-'Monthly Cash Flow'!AO146,AO92),0),IF(AO$13=$G159,-(AO137+AO142-AO146),0))</f>
        <v>0</v>
      </c>
      <c r="AP151" s="120">
        <f>IF($G$158=0,IF(AP$13=Assumptions!$L$20,-MIN('Monthly Cash Flow'!AP137+'Monthly Cash Flow'!AP142-'Monthly Cash Flow'!AP146,AP92),0),IF(AP$13=$G159,-(AP137+AP142-AP146),0))</f>
        <v>0</v>
      </c>
      <c r="AQ151" s="120">
        <f>IF($G$158=0,IF(AQ$13=Assumptions!$L$20,-MIN('Monthly Cash Flow'!AQ137+'Monthly Cash Flow'!AQ142-'Monthly Cash Flow'!AQ146,AQ92),0),IF(AQ$13=$G159,-(AQ137+AQ142-AQ146),0))</f>
        <v>0</v>
      </c>
      <c r="AR151" s="120">
        <f>IF($G$158=0,IF(AR$13=Assumptions!$L$20,-MIN('Monthly Cash Flow'!AR137+'Monthly Cash Flow'!AR142-'Monthly Cash Flow'!AR146,AR92),0),IF(AR$13=$G159,-(AR137+AR142-AR146),0))</f>
        <v>0</v>
      </c>
      <c r="AS151" s="120">
        <f>IF($G$158=0,IF(AS$13=Assumptions!$L$20,-MIN('Monthly Cash Flow'!AS137+'Monthly Cash Flow'!AS142-'Monthly Cash Flow'!AS146,AS92),0),IF(AS$13=$G159,-(AS137+AS142-AS146),0))</f>
        <v>0</v>
      </c>
      <c r="AT151" s="120">
        <f>IF($G$158=0,IF(AT$13=Assumptions!$L$20,-MIN('Monthly Cash Flow'!AT137+'Monthly Cash Flow'!AT142-'Monthly Cash Flow'!AT146,AT92),0),IF(AT$13=$G159,-(AT137+AT142-AT146),0))</f>
        <v>0</v>
      </c>
      <c r="AU151" s="120">
        <f>IF($G$158=0,IF(AU$13=Assumptions!$L$20,-MIN('Monthly Cash Flow'!AU137+'Monthly Cash Flow'!AU142-'Monthly Cash Flow'!AU146,AU92),0),IF(AU$13=$G159,-(AU137+AU142-AU146),0))</f>
        <v>0</v>
      </c>
      <c r="AV151" s="120">
        <f>IF($G$158=0,IF(AV$13=Assumptions!$L$20,-MIN('Monthly Cash Flow'!AV137+'Monthly Cash Flow'!AV142-'Monthly Cash Flow'!AV146,AV92),0),IF(AV$13=$G159,-(AV137+AV142-AV146),0))</f>
        <v>0</v>
      </c>
      <c r="AW151" s="120">
        <f>IF($G$158=0,IF(AW$13=Assumptions!$L$20,-MIN('Monthly Cash Flow'!AW137+'Monthly Cash Flow'!AW142-'Monthly Cash Flow'!AW146,AW92),0),IF(AW$13=$G159,-(AW137+AW142-AW146),0))</f>
        <v>0</v>
      </c>
      <c r="AX151" s="120">
        <f>IF($G$158=0,IF(AX$13=Assumptions!$L$20,-MIN('Monthly Cash Flow'!AX137+'Monthly Cash Flow'!AX142-'Monthly Cash Flow'!AX146,AX92),0),IF(AX$13=$G159,-(AX137+AX142-AX146),0))</f>
        <v>0</v>
      </c>
      <c r="AY151" s="120">
        <f>IF($G$158=0,IF(AY$13=Assumptions!$L$20,-MIN('Monthly Cash Flow'!AY137+'Monthly Cash Flow'!AY142-'Monthly Cash Flow'!AY146,AY92),0),IF(AY$13=$G159,-(AY137+AY142-AY146),0))</f>
        <v>0</v>
      </c>
      <c r="AZ151" s="120">
        <f>IF($G$158=0,IF(AZ$13=Assumptions!$L$20,-MIN('Monthly Cash Flow'!AZ137+'Monthly Cash Flow'!AZ142-'Monthly Cash Flow'!AZ146,AZ92),0),IF(AZ$13=$G159,-(AZ137+AZ142-AZ146),0))</f>
        <v>0</v>
      </c>
      <c r="BA151" s="120">
        <f>IF($G$158=0,IF(BA$13=Assumptions!$L$20,-MIN('Monthly Cash Flow'!BA137+'Monthly Cash Flow'!BA142-'Monthly Cash Flow'!BA146,BA92),0),IF(BA$13=$G159,-(BA137+BA142-BA146),0))</f>
        <v>0</v>
      </c>
      <c r="BB151" s="120">
        <f>IF($G$158=0,IF(BB$13=Assumptions!$L$20,-MIN('Monthly Cash Flow'!BB137+'Monthly Cash Flow'!BB142-'Monthly Cash Flow'!BB146,BB92),0),IF(BB$13=$G159,-(BB137+BB142-BB146),0))</f>
        <v>0</v>
      </c>
      <c r="BC151" s="120">
        <f>IF($G$158=0,IF(BC$13=Assumptions!$L$20,-MIN('Monthly Cash Flow'!BC137+'Monthly Cash Flow'!BC142-'Monthly Cash Flow'!BC146,BC92),0),IF(BC$13=$G159,-(BC137+BC142-BC146),0))</f>
        <v>0</v>
      </c>
      <c r="BD151" s="120">
        <f>IF($G$158=0,IF(BD$13=Assumptions!$L$20,-MIN('Monthly Cash Flow'!BD137+'Monthly Cash Flow'!BD142-'Monthly Cash Flow'!BD146,BD92),0),IF(BD$13=$G159,-(BD137+BD142-BD146),0))</f>
        <v>0</v>
      </c>
      <c r="BE151" s="120">
        <f>IF($G$158=0,IF(BE$13=Assumptions!$L$20,-MIN('Monthly Cash Flow'!BE137+'Monthly Cash Flow'!BE142-'Monthly Cash Flow'!BE146,BE92),0),IF(BE$13=$G159,-(BE137+BE142-BE146),0))</f>
        <v>0</v>
      </c>
      <c r="BF151" s="120">
        <f>IF($G$158=0,IF(BF$13=Assumptions!$L$20,-MIN('Monthly Cash Flow'!BF137+'Monthly Cash Flow'!BF142-'Monthly Cash Flow'!BF146,BF92),0),IF(BF$13=$G159,-(BF137+BF142-BF146),0))</f>
        <v>0</v>
      </c>
      <c r="BG151" s="120">
        <f>IF($G$158=0,IF(BG$13=Assumptions!$L$20,-MIN('Monthly Cash Flow'!BG137+'Monthly Cash Flow'!BG142-'Monthly Cash Flow'!BG146,BG92),0),IF(BG$13=$G159,-(BG137+BG142-BG146),0))</f>
        <v>0</v>
      </c>
      <c r="BH151" s="120">
        <f>IF($G$158=0,IF(BH$13=Assumptions!$L$20,-MIN('Monthly Cash Flow'!BH137+'Monthly Cash Flow'!BH142-'Monthly Cash Flow'!BH146,BH92),0),IF(BH$13=$G159,-(BH137+BH142-BH146),0))</f>
        <v>0</v>
      </c>
      <c r="BI151" s="120">
        <f>IF($G$158=0,IF(BI$13=Assumptions!$L$20,-MIN('Monthly Cash Flow'!BI137+'Monthly Cash Flow'!BI142-'Monthly Cash Flow'!BI146,BI92),0),IF(BI$13=$G159,-(BI137+BI142-BI146),0))</f>
        <v>0</v>
      </c>
      <c r="BJ151" s="120">
        <f>IF($G$158=0,IF(BJ$13=Assumptions!$L$20,-MIN('Monthly Cash Flow'!BJ137+'Monthly Cash Flow'!BJ142-'Monthly Cash Flow'!BJ146,BJ92),0),IF(BJ$13=$G159,-(BJ137+BJ142-BJ146),0))</f>
        <v>0</v>
      </c>
      <c r="BK151" s="120">
        <f>IF($G$158=0,IF(BK$13=Assumptions!$L$20,-MIN('Monthly Cash Flow'!BK137+'Monthly Cash Flow'!BK142-'Monthly Cash Flow'!BK146,BK92),0),IF(BK$13=$G159,-(BK137+BK142-BK146),0))</f>
        <v>0</v>
      </c>
      <c r="BL151" s="120">
        <f>IF($G$158=0,IF(BL$13=Assumptions!$L$20,-MIN('Monthly Cash Flow'!BL137+'Monthly Cash Flow'!BL142-'Monthly Cash Flow'!BL146,BL92),0),IF(BL$13=$G159,-(BL137+BL142-BL146),0))</f>
        <v>0</v>
      </c>
      <c r="BM151" s="120">
        <f>IF($G$158=0,IF(BM$13=Assumptions!$L$20,-MIN('Monthly Cash Flow'!BM137+'Monthly Cash Flow'!BM142-'Monthly Cash Flow'!BM146,BM92),0),IF(BM$13=$G159,-(BM137+BM142-BM146),0))</f>
        <v>0</v>
      </c>
      <c r="BN151" s="120">
        <f>IF($G$158=0,IF(BN$13=Assumptions!$L$20,-MIN('Monthly Cash Flow'!BN137+'Monthly Cash Flow'!BN142-'Monthly Cash Flow'!BN146,BN92),0),IF(BN$13=$G159,-(BN137+BN142-BN146),0))</f>
        <v>0</v>
      </c>
      <c r="BO151" s="120">
        <f>IF($G$158=0,IF(BO$13=Assumptions!$L$20,-MIN('Monthly Cash Flow'!BO137+'Monthly Cash Flow'!BO142-'Monthly Cash Flow'!BO146,BO92),0),IF(BO$13=$G159,-(BO137+BO142-BO146),0))</f>
        <v>0</v>
      </c>
      <c r="BP151" s="120">
        <f>IF($G$158=0,IF(BP$13=Assumptions!$L$20,-MIN('Monthly Cash Flow'!BP137+'Monthly Cash Flow'!BP142-'Monthly Cash Flow'!BP146,BP92),0),IF(BP$13=$G159,-(BP137+BP142-BP146),0))</f>
        <v>0</v>
      </c>
      <c r="BQ151" s="120">
        <f>IF($G$158=0,IF(BQ$13=Assumptions!$L$20,-MIN('Monthly Cash Flow'!BQ137+'Monthly Cash Flow'!BQ142-'Monthly Cash Flow'!BQ146,BQ92),0),IF(BQ$13=$G159,-(BQ137+BQ142-BQ146),0))</f>
        <v>0</v>
      </c>
      <c r="BR151" s="120">
        <f>IF($G$158=0,IF(BR$13=Assumptions!$L$20,-MIN('Monthly Cash Flow'!BR137+'Monthly Cash Flow'!BR142-'Monthly Cash Flow'!BR146,BR92),0),IF(BR$13=$G159,-(BR137+BR142-BR146),0))</f>
        <v>0</v>
      </c>
      <c r="BS151" s="120">
        <f ca="1">IF($G$158=0,IF(BS$13=Assumptions!$L$20,-MIN('Monthly Cash Flow'!BS137+'Monthly Cash Flow'!BS142-'Monthly Cash Flow'!BS146,BS92),0),IF(BS$13=$G159,-(BS137+BS142-BS146),0))</f>
        <v>-21795.794000000002</v>
      </c>
      <c r="BT151" s="120">
        <f>IF($G$158=0,IF(BT$13=Assumptions!$L$20,-MIN('Monthly Cash Flow'!BT137+'Monthly Cash Flow'!BT142-'Monthly Cash Flow'!BT146,BT92),0),IF(BT$13=$G159,-(BT137+BT142-BT146),0))</f>
        <v>0</v>
      </c>
      <c r="BU151" s="120">
        <f>IF($G$158=0,IF(BU$13=Assumptions!$L$20,-MIN('Monthly Cash Flow'!BU137+'Monthly Cash Flow'!BU142-'Monthly Cash Flow'!BU146,BU92),0),IF(BU$13=$G159,-(BU137+BU142-BU146),0))</f>
        <v>0</v>
      </c>
      <c r="BV151" s="120">
        <f>IF($G$158=0,IF(BV$13=Assumptions!$L$20,-MIN('Monthly Cash Flow'!BV137+'Monthly Cash Flow'!BV142-'Monthly Cash Flow'!BV146,BV92),0),IF(BV$13=$G159,-(BV137+BV142-BV146),0))</f>
        <v>0</v>
      </c>
      <c r="BW151" s="120">
        <f>IF($G$158=0,IF(BW$13=Assumptions!$L$20,-MIN('Monthly Cash Flow'!BW137+'Monthly Cash Flow'!BW142-'Monthly Cash Flow'!BW146,BW92),0),IF(BW$13=$G159,-(BW137+BW142-BW146),0))</f>
        <v>0</v>
      </c>
      <c r="BX151" s="120">
        <f>IF($G$158=0,IF(BX$13=Assumptions!$L$20,-MIN('Monthly Cash Flow'!BX137+'Monthly Cash Flow'!BX142-'Monthly Cash Flow'!BX146,BX92),0),IF(BX$13=$G159,-(BX137+BX142-BX146),0))</f>
        <v>0</v>
      </c>
      <c r="BY151" s="120">
        <f>IF($G$158=0,IF(BY$13=Assumptions!$L$20,-MIN('Monthly Cash Flow'!BY137+'Monthly Cash Flow'!BY142-'Monthly Cash Flow'!BY146,BY92),0),IF(BY$13=$G159,-(BY137+BY142-BY146),0))</f>
        <v>0</v>
      </c>
      <c r="BZ151" s="120">
        <f>IF($G$158=0,IF(BZ$13=Assumptions!$L$20,-MIN('Monthly Cash Flow'!BZ137+'Monthly Cash Flow'!BZ142-'Monthly Cash Flow'!BZ146,BZ92),0),IF(BZ$13=$G159,-(BZ137+BZ142-BZ146),0))</f>
        <v>0</v>
      </c>
      <c r="CA151" s="120">
        <f>IF($G$158=0,IF(CA$13=Assumptions!$L$20,-MIN('Monthly Cash Flow'!CA137+'Monthly Cash Flow'!CA142-'Monthly Cash Flow'!CA146,CA92),0),IF(CA$13=$G159,-(CA137+CA142-CA146),0))</f>
        <v>0</v>
      </c>
      <c r="CB151" s="120">
        <f>IF($G$158=0,IF(CB$13=Assumptions!$L$20,-MIN('Monthly Cash Flow'!CB137+'Monthly Cash Flow'!CB142-'Monthly Cash Flow'!CB146,CB92),0),IF(CB$13=$G159,-(CB137+CB142-CB146),0))</f>
        <v>0</v>
      </c>
      <c r="CC151" s="120">
        <f>IF($G$158=0,IF(CC$13=Assumptions!$L$20,-MIN('Monthly Cash Flow'!CC137+'Monthly Cash Flow'!CC142-'Monthly Cash Flow'!CC146,CC92),0),IF(CC$13=$G159,-(CC137+CC142-CC146),0))</f>
        <v>0</v>
      </c>
      <c r="CD151" s="120">
        <f>IF($G$158=0,IF(CD$13=Assumptions!$L$20,-MIN('Monthly Cash Flow'!CD137+'Monthly Cash Flow'!CD142-'Monthly Cash Flow'!CD146,CD92),0),IF(CD$13=$G159,-(CD137+CD142-CD146),0))</f>
        <v>0</v>
      </c>
      <c r="CE151" s="120">
        <f>IF($G$158=0,IF(CE$13=Assumptions!$L$20,-MIN('Monthly Cash Flow'!CE137+'Monthly Cash Flow'!CE142-'Monthly Cash Flow'!CE146,CE92),0),IF(CE$13=$G159,-(CE137+CE142-CE146),0))</f>
        <v>0</v>
      </c>
      <c r="CF151" s="120">
        <f>IF($G$158=0,IF(CF$13=Assumptions!$L$20,-MIN('Monthly Cash Flow'!CF137+'Monthly Cash Flow'!CF142-'Monthly Cash Flow'!CF146,CF92),0),IF(CF$13=$G159,-(CF137+CF142-CF146),0))</f>
        <v>0</v>
      </c>
      <c r="CG151" s="120">
        <f>IF($G$158=0,IF(CG$13=Assumptions!$L$20,-MIN('Monthly Cash Flow'!CG137+'Monthly Cash Flow'!CG142-'Monthly Cash Flow'!CG146,CG92),0),IF(CG$13=$G159,-(CG137+CG142-CG146),0))</f>
        <v>0</v>
      </c>
      <c r="CH151" s="120">
        <f>IF($G$158=0,IF(CH$13=Assumptions!$L$20,-MIN('Monthly Cash Flow'!CH137+'Monthly Cash Flow'!CH142-'Monthly Cash Flow'!CH146,CH92),0),IF(CH$13=$G159,-(CH137+CH142-CH146),0))</f>
        <v>0</v>
      </c>
      <c r="CI151" s="120">
        <f>IF($G$158=0,IF(CI$13=Assumptions!$L$20,-MIN('Monthly Cash Flow'!CI137+'Monthly Cash Flow'!CI142-'Monthly Cash Flow'!CI146,CI92),0),IF(CI$13=$G159,-(CI137+CI142-CI146),0))</f>
        <v>0</v>
      </c>
      <c r="CJ151" s="120">
        <f>IF($G$158=0,IF(CJ$13=Assumptions!$L$20,-MIN('Monthly Cash Flow'!CJ137+'Monthly Cash Flow'!CJ142-'Monthly Cash Flow'!CJ146,CJ92),0),IF(CJ$13=$G159,-(CJ137+CJ142-CJ146),0))</f>
        <v>0</v>
      </c>
      <c r="CK151" s="120">
        <f>IF($G$158=0,IF(CK$13=Assumptions!$L$20,-MIN('Monthly Cash Flow'!CK137+'Monthly Cash Flow'!CK142-'Monthly Cash Flow'!CK146,CK92),0),IF(CK$13=$G159,-(CK137+CK142-CK146),0))</f>
        <v>0</v>
      </c>
      <c r="CL151" s="120">
        <f>IF($G$158=0,IF(CL$13=Assumptions!$L$20,-MIN('Monthly Cash Flow'!CL137+'Monthly Cash Flow'!CL142-'Monthly Cash Flow'!CL146,CL92),0),IF(CL$13=$G159,-(CL137+CL142-CL146),0))</f>
        <v>0</v>
      </c>
      <c r="CM151" s="120">
        <f>IF($G$158=0,IF(CM$13=Assumptions!$L$20,-MIN('Monthly Cash Flow'!CM137+'Monthly Cash Flow'!CM142-'Monthly Cash Flow'!CM146,CM92),0),IF(CM$13=$G159,-(CM137+CM142-CM146),0))</f>
        <v>0</v>
      </c>
      <c r="CN151" s="120">
        <f>IF($G$158=0,IF(CN$13=Assumptions!$L$20,-MIN('Monthly Cash Flow'!CN137+'Monthly Cash Flow'!CN142-'Monthly Cash Flow'!CN146,CN92),0),IF(CN$13=$G159,-(CN137+CN142-CN146),0))</f>
        <v>0</v>
      </c>
      <c r="CO151" s="120">
        <f>IF($G$158=0,IF(CO$13=Assumptions!$L$20,-MIN('Monthly Cash Flow'!CO137+'Monthly Cash Flow'!CO142-'Monthly Cash Flow'!CO146,CO92),0),IF(CO$13=$G159,-(CO137+CO142-CO146),0))</f>
        <v>0</v>
      </c>
      <c r="CP151" s="120">
        <f>IF($G$158=0,IF(CP$13=Assumptions!$L$20,-MIN('Monthly Cash Flow'!CP137+'Monthly Cash Flow'!CP142-'Monthly Cash Flow'!CP146,CP92),0),IF(CP$13=$G159,-(CP137+CP142-CP146),0))</f>
        <v>0</v>
      </c>
      <c r="CQ151" s="120">
        <f>IF($G$158=0,IF(CQ$13=Assumptions!$L$20,-MIN('Monthly Cash Flow'!CQ137+'Monthly Cash Flow'!CQ142-'Monthly Cash Flow'!CQ146,CQ92),0),IF(CQ$13=$G159,-(CQ137+CQ142-CQ146),0))</f>
        <v>0</v>
      </c>
      <c r="CR151" s="120">
        <f>IF($G$158=0,IF(CR$13=Assumptions!$L$20,-MIN('Monthly Cash Flow'!CR137+'Monthly Cash Flow'!CR142-'Monthly Cash Flow'!CR146,CR92),0),IF(CR$13=$G159,-(CR137+CR142-CR146),0))</f>
        <v>0</v>
      </c>
      <c r="CS151" s="120">
        <f>IF($G$158=0,IF(CS$13=Assumptions!$L$20,-MIN('Monthly Cash Flow'!CS137+'Monthly Cash Flow'!CS142-'Monthly Cash Flow'!CS146,CS92),0),IF(CS$13=$G159,-(CS137+CS142-CS146),0))</f>
        <v>0</v>
      </c>
      <c r="CT151" s="120">
        <f>IF($G$158=0,IF(CT$13=Assumptions!$L$20,-MIN('Monthly Cash Flow'!CT137+'Monthly Cash Flow'!CT142-'Monthly Cash Flow'!CT146,CT92),0),IF(CT$13=$G159,-(CT137+CT142-CT146),0))</f>
        <v>0</v>
      </c>
      <c r="CU151" s="120">
        <f>IF($G$158=0,IF(CU$13=Assumptions!$L$20,-MIN('Monthly Cash Flow'!CU137+'Monthly Cash Flow'!CU142-'Monthly Cash Flow'!CU146,CU92),0),IF(CU$13=$G159,-(CU137+CU142-CU146),0))</f>
        <v>0</v>
      </c>
      <c r="CV151" s="120">
        <f>IF($G$158=0,IF(CV$13=Assumptions!$L$20,-MIN('Monthly Cash Flow'!CV137+'Monthly Cash Flow'!CV142-'Monthly Cash Flow'!CV146,CV92),0),IF(CV$13=$G159,-(CV137+CV142-CV146),0))</f>
        <v>0</v>
      </c>
      <c r="CW151" s="120">
        <f>IF($G$158=0,IF(CW$13=Assumptions!$L$20,-MIN('Monthly Cash Flow'!CW137+'Monthly Cash Flow'!CW142-'Monthly Cash Flow'!CW146,CW92),0),IF(CW$13=$G159,-(CW137+CW142-CW146),0))</f>
        <v>0</v>
      </c>
      <c r="CX151" s="120">
        <f>IF($G$158=0,IF(CX$13=Assumptions!$L$20,-MIN('Monthly Cash Flow'!CX137+'Monthly Cash Flow'!CX142-'Monthly Cash Flow'!CX146,CX92),0),IF(CX$13=$G159,-(CX137+CX142-CX146),0))</f>
        <v>0</v>
      </c>
      <c r="CY151" s="120">
        <f>IF($G$158=0,IF(CY$13=Assumptions!$L$20,-MIN('Monthly Cash Flow'!CY137+'Monthly Cash Flow'!CY142-'Monthly Cash Flow'!CY146,CY92),0),IF(CY$13=$G159,-(CY137+CY142-CY146),0))</f>
        <v>0</v>
      </c>
      <c r="CZ151" s="120">
        <f>IF($G$158=0,IF(CZ$13=Assumptions!$L$20,-MIN('Monthly Cash Flow'!CZ137+'Monthly Cash Flow'!CZ142-'Monthly Cash Flow'!CZ146,CZ92),0),IF(CZ$13=$G159,-(CZ137+CZ142-CZ146),0))</f>
        <v>0</v>
      </c>
      <c r="DA151" s="120">
        <f>IF($G$158=0,IF(DA$13=Assumptions!$L$20,-MIN('Monthly Cash Flow'!DA137+'Monthly Cash Flow'!DA142-'Monthly Cash Flow'!DA146,DA92),0),IF(DA$13=$G159,-(DA137+DA142-DA146),0))</f>
        <v>0</v>
      </c>
      <c r="DB151" s="120">
        <f>IF($G$158=0,IF(DB$13=Assumptions!$L$20,-MIN('Monthly Cash Flow'!DB137+'Monthly Cash Flow'!DB142-'Monthly Cash Flow'!DB146,DB92),0),IF(DB$13=$G159,-(DB137+DB142-DB146),0))</f>
        <v>0</v>
      </c>
      <c r="DC151" s="120">
        <f>IF($G$158=0,IF(DC$13=Assumptions!$L$20,-MIN('Monthly Cash Flow'!DC137+'Monthly Cash Flow'!DC142-'Monthly Cash Flow'!DC146,DC92),0),IF(DC$13=$G159,-(DC137+DC142-DC146),0))</f>
        <v>0</v>
      </c>
      <c r="DD151" s="120">
        <f>IF($G$158=0,IF(DD$13=Assumptions!$L$20,-MIN('Monthly Cash Flow'!DD137+'Monthly Cash Flow'!DD142-'Monthly Cash Flow'!DD146,DD92),0),IF(DD$13=$G159,-(DD137+DD142-DD146),0))</f>
        <v>0</v>
      </c>
      <c r="DE151" s="120">
        <f>IF($G$158=0,IF(DE$13=Assumptions!$L$20,-MIN('Monthly Cash Flow'!DE137+'Monthly Cash Flow'!DE142-'Monthly Cash Flow'!DE146,DE92),0),IF(DE$13=$G159,-(DE137+DE142-DE146),0))</f>
        <v>0</v>
      </c>
      <c r="DF151" s="120">
        <f>IF($G$158=0,IF(DF$13=Assumptions!$L$20,-MIN('Monthly Cash Flow'!DF137+'Monthly Cash Flow'!DF142-'Monthly Cash Flow'!DF146,DF92),0),IF(DF$13=$G159,-(DF137+DF142-DF146),0))</f>
        <v>0</v>
      </c>
      <c r="DG151" s="120">
        <f>IF($G$158=0,IF(DG$13=Assumptions!$L$20,-MIN('Monthly Cash Flow'!DG137+'Monthly Cash Flow'!DG142-'Monthly Cash Flow'!DG146,DG92),0),IF(DG$13=$G159,-(DG137+DG142-DG146),0))</f>
        <v>0</v>
      </c>
      <c r="DH151" s="120">
        <f>IF($G$158=0,IF(DH$13=Assumptions!$L$20,-MIN('Monthly Cash Flow'!DH137+'Monthly Cash Flow'!DH142-'Monthly Cash Flow'!DH146,DH92),0),IF(DH$13=$G159,-(DH137+DH142-DH146),0))</f>
        <v>0</v>
      </c>
      <c r="DI151" s="120">
        <f>IF($G$158=0,IF(DI$13=Assumptions!$L$20,-MIN('Monthly Cash Flow'!DI137+'Monthly Cash Flow'!DI142-'Monthly Cash Flow'!DI146,DI92),0),IF(DI$13=$G159,-(DI137+DI142-DI146),0))</f>
        <v>0</v>
      </c>
      <c r="DJ151" s="120">
        <f>IF($G$158=0,IF(DJ$13=Assumptions!$L$20,-MIN('Monthly Cash Flow'!DJ137+'Monthly Cash Flow'!DJ142-'Monthly Cash Flow'!DJ146,DJ92),0),IF(DJ$13=$G159,-(DJ137+DJ142-DJ146),0))</f>
        <v>0</v>
      </c>
      <c r="DK151" s="120">
        <f>IF($G$158=0,IF(DK$13=Assumptions!$L$20,-MIN('Monthly Cash Flow'!DK137+'Monthly Cash Flow'!DK142-'Monthly Cash Flow'!DK146,DK92),0),IF(DK$13=$G159,-(DK137+DK142-DK146),0))</f>
        <v>0</v>
      </c>
      <c r="DL151" s="120">
        <f>IF($G$158=0,IF(DL$13=Assumptions!$L$20,-MIN('Monthly Cash Flow'!DL137+'Monthly Cash Flow'!DL142-'Monthly Cash Flow'!DL146,DL92),0),IF(DL$13=$G159,-(DL137+DL142-DL146),0))</f>
        <v>0</v>
      </c>
      <c r="DM151" s="120">
        <f>IF($G$158=0,IF(DM$13=Assumptions!$L$20,-MIN('Monthly Cash Flow'!DM137+'Monthly Cash Flow'!DM142-'Monthly Cash Flow'!DM146,DM92),0),IF(DM$13=$G159,-(DM137+DM142-DM146),0))</f>
        <v>0</v>
      </c>
      <c r="DN151" s="120">
        <f>IF($G$158=0,IF(DN$13=Assumptions!$L$20,-MIN('Monthly Cash Flow'!DN137+'Monthly Cash Flow'!DN142-'Monthly Cash Flow'!DN146,DN92),0),IF(DN$13=$G159,-(DN137+DN142-DN146),0))</f>
        <v>0</v>
      </c>
      <c r="DO151" s="120">
        <f>IF($G$158=0,IF(DO$13=Assumptions!$L$20,-MIN('Monthly Cash Flow'!DO137+'Monthly Cash Flow'!DO142-'Monthly Cash Flow'!DO146,DO92),0),IF(DO$13=$G159,-(DO137+DO142-DO146),0))</f>
        <v>0</v>
      </c>
      <c r="DP151" s="120">
        <f>IF($G$158=0,IF(DP$13=Assumptions!$L$20,-MIN('Monthly Cash Flow'!DP137+'Monthly Cash Flow'!DP142-'Monthly Cash Flow'!DP146,DP92),0),IF(DP$13=$G159,-(DP137+DP142-DP146),0))</f>
        <v>0</v>
      </c>
      <c r="DQ151" s="120">
        <f>IF($G$158=0,IF(DQ$13=Assumptions!$L$20,-MIN('Monthly Cash Flow'!DQ137+'Monthly Cash Flow'!DQ142-'Monthly Cash Flow'!DQ146,DQ92),0),IF(DQ$13=$G159,-(DQ137+DQ142-DQ146),0))</f>
        <v>0</v>
      </c>
      <c r="DR151" s="120">
        <f>IF($G$158=0,IF(DR$13=Assumptions!$L$20,-MIN('Monthly Cash Flow'!DR137+'Monthly Cash Flow'!DR142-'Monthly Cash Flow'!DR146,DR92),0),IF(DR$13=$G159,-(DR137+DR142-DR146),0))</f>
        <v>0</v>
      </c>
      <c r="DS151" s="120">
        <f>IF($G$158=0,IF(DS$13=Assumptions!$L$20,-MIN('Monthly Cash Flow'!DS137+'Monthly Cash Flow'!DS142-'Monthly Cash Flow'!DS146,DS92),0),IF(DS$13=$G159,-(DS137+DS142-DS146),0))</f>
        <v>0</v>
      </c>
      <c r="DT151" s="120">
        <f>IF($G$158=0,IF(DT$13=Assumptions!$L$20,-MIN('Monthly Cash Flow'!DT137+'Monthly Cash Flow'!DT142-'Monthly Cash Flow'!DT146,DT92),0),IF(DT$13=$G159,-(DT137+DT142-DT146),0))</f>
        <v>0</v>
      </c>
      <c r="DU151" s="120">
        <f>IF($G$158=0,IF(DU$13=Assumptions!$L$20,-MIN('Monthly Cash Flow'!DU137+'Monthly Cash Flow'!DU142-'Monthly Cash Flow'!DU146,DU92),0),IF(DU$13=$G159,-(DU137+DU142-DU146),0))</f>
        <v>0</v>
      </c>
      <c r="DV151" s="120">
        <f>IF($G$158=0,IF(DV$13=Assumptions!$L$20,-MIN('Monthly Cash Flow'!DV137+'Monthly Cash Flow'!DV142-'Monthly Cash Flow'!DV146,DV92),0),IF(DV$13=$G159,-(DV137+DV142-DV146),0))</f>
        <v>0</v>
      </c>
      <c r="DW151" s="120">
        <f>IF($G$158=0,IF(DW$13=Assumptions!$L$20,-MIN('Monthly Cash Flow'!DW137+'Monthly Cash Flow'!DW142-'Monthly Cash Flow'!DW146,DW92),0),IF(DW$13=$G159,-(DW137+DW142-DW146),0))</f>
        <v>0</v>
      </c>
      <c r="DX151" s="120">
        <f>IF($G$158=0,IF(DX$13=Assumptions!$L$20,-MIN('Monthly Cash Flow'!DX137+'Monthly Cash Flow'!DX142-'Monthly Cash Flow'!DX146,DX92),0),IF(DX$13=$G159,-(DX137+DX142-DX146),0))</f>
        <v>0</v>
      </c>
      <c r="DY151" s="120">
        <f>IF($G$158=0,IF(DY$13=Assumptions!$L$20,-MIN('Monthly Cash Flow'!DY137+'Monthly Cash Flow'!DY142-'Monthly Cash Flow'!DY146,DY92),0),IF(DY$13=$G159,-(DY137+DY142-DY146),0))</f>
        <v>0</v>
      </c>
      <c r="DZ151" s="120">
        <f>IF($G$158=0,IF(DZ$13=Assumptions!$L$20,-MIN('Monthly Cash Flow'!DZ137+'Monthly Cash Flow'!DZ142-'Monthly Cash Flow'!DZ146,DZ92),0),IF(DZ$13=$G159,-(DZ137+DZ142-DZ146),0))</f>
        <v>0</v>
      </c>
      <c r="EA151" s="120">
        <f>IF($G$158=0,IF(EA$13=Assumptions!$L$20,-MIN('Monthly Cash Flow'!EA137+'Monthly Cash Flow'!EA142-'Monthly Cash Flow'!EA146,EA92),0),IF(EA$13=$G159,-(EA137+EA142-EA146),0))</f>
        <v>0</v>
      </c>
      <c r="EB151" s="120">
        <f>IF($G$158=0,IF(EB$13=Assumptions!$L$20,-MIN('Monthly Cash Flow'!EB137+'Monthly Cash Flow'!EB142-'Monthly Cash Flow'!EB146,EB92),0),IF(EB$13=$G159,-(EB137+EB142-EB146),0))</f>
        <v>0</v>
      </c>
      <c r="EC151" s="120">
        <f>IF($G$158=0,IF(EC$13=Assumptions!$L$20,-MIN('Monthly Cash Flow'!EC137+'Monthly Cash Flow'!EC142-'Monthly Cash Flow'!EC146,EC92),0),IF(EC$13=$G159,-(EC137+EC142-EC146),0))</f>
        <v>0</v>
      </c>
      <c r="ED151" s="120">
        <f>IF($G$158=0,IF(ED$13=Assumptions!$L$20,-MIN('Monthly Cash Flow'!ED137+'Monthly Cash Flow'!ED142-'Monthly Cash Flow'!ED146,ED92),0),IF(ED$13=$G159,-(ED137+ED142-ED146),0))</f>
        <v>0</v>
      </c>
      <c r="EE151" s="120">
        <f>IF($G$158=0,IF(EE$13=Assumptions!$L$20,-MIN('Monthly Cash Flow'!EE137+'Monthly Cash Flow'!EE142-'Monthly Cash Flow'!EE146,EE92),0),IF(EE$13=$G159,-(EE137+EE142-EE146),0))</f>
        <v>0</v>
      </c>
      <c r="EF151" s="120">
        <f>IF($G$158=0,IF(EF$13=Assumptions!$L$20,-MIN('Monthly Cash Flow'!EF137+'Monthly Cash Flow'!EF142-'Monthly Cash Flow'!EF146,EF92),0),IF(EF$13=$G159,-(EF137+EF142-EF146),0))</f>
        <v>0</v>
      </c>
      <c r="EG151" s="120">
        <f>IF($G$158=0,IF(EG$13=Assumptions!$L$20,-MIN('Monthly Cash Flow'!EG137+'Monthly Cash Flow'!EG142-'Monthly Cash Flow'!EG146,EG92),0),IF(EG$13=$G159,-(EG137+EG142-EG146),0))</f>
        <v>0</v>
      </c>
      <c r="EH151" s="120">
        <f>IF($G$158=0,IF(EH$13=Assumptions!$L$20,-MIN('Monthly Cash Flow'!EH137+'Monthly Cash Flow'!EH142-'Monthly Cash Flow'!EH146,EH92),0),IF(EH$13=$G159,-(EH137+EH142-EH146),0))</f>
        <v>0</v>
      </c>
      <c r="EI151" s="120">
        <f>IF($G$158=0,IF(EI$13=Assumptions!$L$20,-MIN('Monthly Cash Flow'!EI137+'Monthly Cash Flow'!EI142-'Monthly Cash Flow'!EI146,EI92),0),IF(EI$13=$G159,-(EI137+EI142-EI146),0))</f>
        <v>0</v>
      </c>
      <c r="EJ151" s="120">
        <f>IF($G$158=0,IF(EJ$13=Assumptions!$L$20,-MIN('Monthly Cash Flow'!EJ137+'Monthly Cash Flow'!EJ142-'Monthly Cash Flow'!EJ146,EJ92),0),IF(EJ$13=$G159,-(EJ137+EJ142-EJ146),0))</f>
        <v>0</v>
      </c>
      <c r="EK151" s="120">
        <f>IF($G$158=0,IF(EK$13=Assumptions!$L$20,-MIN('Monthly Cash Flow'!EK137+'Monthly Cash Flow'!EK142-'Monthly Cash Flow'!EK146,EK92),0),IF(EK$13=$G159,-(EK137+EK142-EK146),0))</f>
        <v>0</v>
      </c>
      <c r="EL151" s="120">
        <f>IF($G$158=0,IF(EL$13=Assumptions!$L$20,-MIN('Monthly Cash Flow'!EL137+'Monthly Cash Flow'!EL142-'Monthly Cash Flow'!EL146,EL92),0),IF(EL$13=$G159,-(EL137+EL142-EL146),0))</f>
        <v>0</v>
      </c>
      <c r="EM151" s="120">
        <f>IF($G$158=0,IF(EM$13=Assumptions!$L$20,-MIN('Monthly Cash Flow'!EM137+'Monthly Cash Flow'!EM142-'Monthly Cash Flow'!EM146,EM92),0),IF(EM$13=$G159,-(EM137+EM142-EM146),0))</f>
        <v>0</v>
      </c>
      <c r="EN151" s="120">
        <f>IF($G$158=0,IF(EN$13=Assumptions!$L$20,-MIN('Monthly Cash Flow'!EN137+'Monthly Cash Flow'!EN142-'Monthly Cash Flow'!EN146,EN92),0),IF(EN$13=$G159,-(EN137+EN142-EN146),0))</f>
        <v>0</v>
      </c>
      <c r="EO151" s="120">
        <f>IF($G$158=0,IF(EO$13=Assumptions!$L$20,-MIN('Monthly Cash Flow'!EO137+'Monthly Cash Flow'!EO142-'Monthly Cash Flow'!EO146,EO92),0),IF(EO$13=$G159,-(EO137+EO142-EO146),0))</f>
        <v>0</v>
      </c>
      <c r="EP151" s="120">
        <f>IF($G$158=0,IF(EP$13=Assumptions!$L$20,-MIN('Monthly Cash Flow'!EP137+'Monthly Cash Flow'!EP142-'Monthly Cash Flow'!EP146,EP92),0),IF(EP$13=$G159,-(EP137+EP142-EP146),0))</f>
        <v>0</v>
      </c>
      <c r="EQ151" s="120">
        <f>IF($G$158=0,IF(EQ$13=Assumptions!$L$20,-MIN('Monthly Cash Flow'!EQ137+'Monthly Cash Flow'!EQ142-'Monthly Cash Flow'!EQ146,EQ92),0),IF(EQ$13=$G159,-(EQ137+EQ142-EQ146),0))</f>
        <v>0</v>
      </c>
      <c r="ER151" s="120">
        <f>IF($G$158=0,IF(ER$13=Assumptions!$L$20,-MIN('Monthly Cash Flow'!ER137+'Monthly Cash Flow'!ER142-'Monthly Cash Flow'!ER146,ER92),0),IF(ER$13=$G159,-(ER137+ER142-ER146),0))</f>
        <v>0</v>
      </c>
      <c r="ES151" s="120">
        <f>IF($G$158=0,IF(ES$13=Assumptions!$L$20,-MIN('Monthly Cash Flow'!ES137+'Monthly Cash Flow'!ES142-'Monthly Cash Flow'!ES146,ES92),0),IF(ES$13=$G159,-(ES137+ES142-ES146),0))</f>
        <v>0</v>
      </c>
      <c r="ET151" s="120">
        <f>IF($G$158=0,IF(ET$13=Assumptions!$L$20,-MIN('Monthly Cash Flow'!ET137+'Monthly Cash Flow'!ET142-'Monthly Cash Flow'!ET146,ET92),0),IF(ET$13=$G159,-(ET137+ET142-ET146),0))</f>
        <v>0</v>
      </c>
      <c r="EU151" s="120">
        <f>IF($G$158=0,IF(EU$13=Assumptions!$L$20,-MIN('Monthly Cash Flow'!EU137+'Monthly Cash Flow'!EU142-'Monthly Cash Flow'!EU146,EU92),0),IF(EU$13=$G159,-(EU137+EU142-EU146),0))</f>
        <v>0</v>
      </c>
      <c r="EV151" s="120">
        <f>IF($G$158=0,IF(EV$13=Assumptions!$L$20,-MIN('Monthly Cash Flow'!EV137+'Monthly Cash Flow'!EV142-'Monthly Cash Flow'!EV146,EV92),0),IF(EV$13=$G159,-(EV137+EV142-EV146),0))</f>
        <v>0</v>
      </c>
      <c r="EW151" s="120">
        <f>IF($G$158=0,IF(EW$13=Assumptions!$L$20,-MIN('Monthly Cash Flow'!EW137+'Monthly Cash Flow'!EW142-'Monthly Cash Flow'!EW146,EW92),0),IF(EW$13=$G159,-(EW137+EW142-EW146),0))</f>
        <v>0</v>
      </c>
      <c r="EX151" s="120">
        <f>IF($G$158=0,IF(EX$13=Assumptions!$L$20,-MIN('Monthly Cash Flow'!EX137+'Monthly Cash Flow'!EX142-'Monthly Cash Flow'!EX146,EX92),0),IF(EX$13=$G159,-(EX137+EX142-EX146),0))</f>
        <v>0</v>
      </c>
      <c r="EY151" s="120">
        <f>IF($G$158=0,IF(EY$13=Assumptions!$L$20,-MIN('Monthly Cash Flow'!EY137+'Monthly Cash Flow'!EY142-'Monthly Cash Flow'!EY146,EY92),0),IF(EY$13=$G159,-(EY137+EY142-EY146),0))</f>
        <v>0</v>
      </c>
      <c r="EZ151" s="120">
        <f>IF($G$158=0,IF(EZ$13=Assumptions!$L$20,-MIN('Monthly Cash Flow'!EZ137+'Monthly Cash Flow'!EZ142-'Monthly Cash Flow'!EZ146,EZ92),0),IF(EZ$13=$G159,-(EZ137+EZ142-EZ146),0))</f>
        <v>0</v>
      </c>
      <c r="FA151" s="120">
        <f>IF($G$158=0,IF(FA$13=Assumptions!$L$20,-MIN('Monthly Cash Flow'!FA137+'Monthly Cash Flow'!FA142-'Monthly Cash Flow'!FA146,FA92),0),IF(FA$13=$G159,-(FA137+FA142-FA146),0))</f>
        <v>0</v>
      </c>
      <c r="FB151" s="120">
        <f>IF($G$158=0,IF(FB$13=Assumptions!$L$20,-MIN('Monthly Cash Flow'!FB137+'Monthly Cash Flow'!FB142-'Monthly Cash Flow'!FB146,FB92),0),IF(FB$13=$G159,-(FB137+FB142-FB146),0))</f>
        <v>0</v>
      </c>
      <c r="FC151" s="120">
        <f>IF($G$158=0,IF(FC$13=Assumptions!$L$20,-MIN('Monthly Cash Flow'!FC137+'Monthly Cash Flow'!FC142-'Monthly Cash Flow'!FC146,FC92),0),IF(FC$13=$G159,-(FC137+FC142-FC146),0))</f>
        <v>0</v>
      </c>
      <c r="FD151" s="120">
        <f>IF($G$158=0,IF(FD$13=Assumptions!$L$20,-MIN('Monthly Cash Flow'!FD137+'Monthly Cash Flow'!FD142-'Monthly Cash Flow'!FD146,FD92),0),IF(FD$13=$G159,-(FD137+FD142-FD146),0))</f>
        <v>0</v>
      </c>
      <c r="FE151" s="120">
        <f>IF($G$158=0,IF(FE$13=Assumptions!$L$20,-MIN('Monthly Cash Flow'!FE137+'Monthly Cash Flow'!FE142-'Monthly Cash Flow'!FE146,FE92),0),IF(FE$13=$G159,-(FE137+FE142-FE146),0))</f>
        <v>0</v>
      </c>
      <c r="FF151" s="120">
        <f>IF($G$158=0,IF(FF$13=Assumptions!$L$20,-MIN('Monthly Cash Flow'!FF137+'Monthly Cash Flow'!FF142-'Monthly Cash Flow'!FF146,FF92),0),IF(FF$13=$G159,-(FF137+FF142-FF146),0))</f>
        <v>0</v>
      </c>
      <c r="FG151" s="120">
        <f>IF($G$158=0,IF(FG$13=Assumptions!$L$20,-MIN('Monthly Cash Flow'!FG137+'Monthly Cash Flow'!FG142-'Monthly Cash Flow'!FG146,FG92),0),IF(FG$13=$G159,-(FG137+FG142-FG146),0))</f>
        <v>0</v>
      </c>
      <c r="FH151" s="120">
        <f>IF($G$158=0,IF(FH$13=Assumptions!$L$20,-MIN('Monthly Cash Flow'!FH137+'Monthly Cash Flow'!FH142-'Monthly Cash Flow'!FH146,FH92),0),IF(FH$13=$G159,-(FH137+FH142-FH146),0))</f>
        <v>0</v>
      </c>
      <c r="FI151" s="120">
        <f>IF($G$158=0,IF(FI$13=Assumptions!$L$20,-MIN('Monthly Cash Flow'!FI137+'Monthly Cash Flow'!FI142-'Monthly Cash Flow'!FI146,FI92),0),IF(FI$13=$G159,-(FI137+FI142-FI146),0))</f>
        <v>0</v>
      </c>
      <c r="FJ151" s="120">
        <f>IF($G$158=0,IF(FJ$13=Assumptions!$L$20,-MIN('Monthly Cash Flow'!FJ137+'Monthly Cash Flow'!FJ142-'Monthly Cash Flow'!FJ146,FJ92),0),IF(FJ$13=$G159,-(FJ137+FJ142-FJ146),0))</f>
        <v>0</v>
      </c>
      <c r="FK151" s="120">
        <f>IF($G$158=0,IF(FK$13=Assumptions!$L$20,-MIN('Monthly Cash Flow'!FK137+'Monthly Cash Flow'!FK142-'Monthly Cash Flow'!FK146,FK92),0),IF(FK$13=$G159,-(FK137+FK142-FK146),0))</f>
        <v>0</v>
      </c>
      <c r="FL151" s="120">
        <f>IF($G$158=0,IF(FL$13=Assumptions!$L$20,-MIN('Monthly Cash Flow'!FL137+'Monthly Cash Flow'!FL142-'Monthly Cash Flow'!FL146,FL92),0),IF(FL$13=$G159,-(FL137+FL142-FL146),0))</f>
        <v>0</v>
      </c>
      <c r="FM151" s="120">
        <f>IF($G$158=0,IF(FM$13=Assumptions!$L$20,-MIN('Monthly Cash Flow'!FM137+'Monthly Cash Flow'!FM142-'Monthly Cash Flow'!FM146,FM92),0),IF(FM$13=$G159,-(FM137+FM142-FM146),0))</f>
        <v>0</v>
      </c>
      <c r="FN151" s="120">
        <f>IF($G$158=0,IF(FN$13=Assumptions!$L$20,-MIN('Monthly Cash Flow'!FN137+'Monthly Cash Flow'!FN142-'Monthly Cash Flow'!FN146,FN92),0),IF(FN$13=$G159,-(FN137+FN142-FN146),0))</f>
        <v>0</v>
      </c>
      <c r="FO151" s="120">
        <f>IF($G$158=0,IF(FO$13=Assumptions!$L$20,-MIN('Monthly Cash Flow'!FO137+'Monthly Cash Flow'!FO142-'Monthly Cash Flow'!FO146,FO92),0),IF(FO$13=$G159,-(FO137+FO142-FO146),0))</f>
        <v>0</v>
      </c>
      <c r="FP151" s="120">
        <f>IF($G$158=0,IF(FP$13=Assumptions!$L$20,-MIN('Monthly Cash Flow'!FP137+'Monthly Cash Flow'!FP142-'Monthly Cash Flow'!FP146,FP92),0),IF(FP$13=$G159,-(FP137+FP142-FP146),0))</f>
        <v>0</v>
      </c>
      <c r="FQ151" s="120">
        <f>IF($G$158=0,IF(FQ$13=Assumptions!$L$20,-MIN('Monthly Cash Flow'!FQ137+'Monthly Cash Flow'!FQ142-'Monthly Cash Flow'!FQ146,FQ92),0),IF(FQ$13=$G159,-(FQ137+FQ142-FQ146),0))</f>
        <v>0</v>
      </c>
      <c r="FR151" s="120">
        <f>IF($G$158=0,IF(FR$13=Assumptions!$L$20,-MIN('Monthly Cash Flow'!FR137+'Monthly Cash Flow'!FR142-'Monthly Cash Flow'!FR146,FR92),0),IF(FR$13=$G159,-(FR137+FR142-FR146),0))</f>
        <v>0</v>
      </c>
      <c r="FS151" s="120">
        <f>IF($G$158=0,IF(FS$13=Assumptions!$L$20,-MIN('Monthly Cash Flow'!FS137+'Monthly Cash Flow'!FS142-'Monthly Cash Flow'!FS146,FS92),0),IF(FS$13=$G159,-(FS137+FS142-FS146),0))</f>
        <v>0</v>
      </c>
      <c r="FT151" s="120">
        <f>IF($G$158=0,IF(FT$13=Assumptions!$L$20,-MIN('Monthly Cash Flow'!FT137+'Monthly Cash Flow'!FT142-'Monthly Cash Flow'!FT146,FT92),0),IF(FT$13=$G159,-(FT137+FT142-FT146),0))</f>
        <v>0</v>
      </c>
      <c r="FU151" s="120">
        <f>IF($G$158=0,IF(FU$13=Assumptions!$L$20,-MIN('Monthly Cash Flow'!FU137+'Monthly Cash Flow'!FU142-'Monthly Cash Flow'!FU146,FU92),0),IF(FU$13=$G159,-(FU137+FU142-FU146),0))</f>
        <v>0</v>
      </c>
      <c r="FV151" s="120">
        <f>IF($G$158=0,IF(FV$13=Assumptions!$L$20,-MIN('Monthly Cash Flow'!FV137+'Monthly Cash Flow'!FV142-'Monthly Cash Flow'!FV146,FV92),0),IF(FV$13=$G159,-(FV137+FV142-FV146),0))</f>
        <v>0</v>
      </c>
      <c r="FW151" s="120">
        <f>IF($G$158=0,IF(FW$13=Assumptions!$L$20,-MIN('Monthly Cash Flow'!FW137+'Monthly Cash Flow'!FW142-'Monthly Cash Flow'!FW146,FW92),0),IF(FW$13=$G159,-(FW137+FW142-FW146),0))</f>
        <v>0</v>
      </c>
      <c r="FX151" s="120">
        <f>IF($G$158=0,IF(FX$13=Assumptions!$L$20,-MIN('Monthly Cash Flow'!FX137+'Monthly Cash Flow'!FX142-'Monthly Cash Flow'!FX146,FX92),0),IF(FX$13=$G159,-(FX137+FX142-FX146),0))</f>
        <v>0</v>
      </c>
      <c r="FY151" s="120">
        <f>IF($G$158=0,IF(FY$13=Assumptions!$L$20,-MIN('Monthly Cash Flow'!FY137+'Monthly Cash Flow'!FY142-'Monthly Cash Flow'!FY146,FY92),0),IF(FY$13=$G159,-(FY137+FY142-FY146),0))</f>
        <v>0</v>
      </c>
      <c r="FZ151" s="120">
        <f>IF($G$158=0,IF(FZ$13=Assumptions!$L$20,-MIN('Monthly Cash Flow'!FZ137+'Monthly Cash Flow'!FZ142-'Monthly Cash Flow'!FZ146,FZ92),0),IF(FZ$13=$G159,-(FZ137+FZ142-FZ146),0))</f>
        <v>0</v>
      </c>
      <c r="GA151" s="120">
        <f>IF($G$158=0,IF(GA$13=Assumptions!$L$20,-MIN('Monthly Cash Flow'!GA137+'Monthly Cash Flow'!GA142-'Monthly Cash Flow'!GA146,GA92),0),IF(GA$13=$G159,-(GA137+GA142-GA146),0))</f>
        <v>0</v>
      </c>
      <c r="GB151" s="120">
        <f>IF($G$158=0,IF(GB$13=Assumptions!$L$20,-MIN('Monthly Cash Flow'!GB137+'Monthly Cash Flow'!GB142-'Monthly Cash Flow'!GB146,GB92),0),IF(GB$13=$G159,-(GB137+GB142-GB146),0))</f>
        <v>0</v>
      </c>
      <c r="GC151" s="120">
        <f>IF($G$158=0,IF(GC$13=Assumptions!$L$20,-MIN('Monthly Cash Flow'!GC137+'Monthly Cash Flow'!GC142-'Monthly Cash Flow'!GC146,GC92),0),IF(GC$13=$G159,-(GC137+GC142-GC146),0))</f>
        <v>0</v>
      </c>
      <c r="GD151" s="120"/>
      <c r="GE151" s="120"/>
      <c r="GF151" s="120"/>
      <c r="GG151" s="120"/>
      <c r="GH151" s="120"/>
      <c r="GI151" s="120"/>
      <c r="GJ151" s="120"/>
      <c r="GK151" s="120"/>
      <c r="GL151" s="120"/>
      <c r="GM151" s="120"/>
      <c r="GN151" s="120"/>
      <c r="GO151" s="120"/>
      <c r="GP151" s="120">
        <f>IF($G$158=0,IF(GP$13=Assumptions!$L$20,-MIN('Monthly Cash Flow'!GP137+'Monthly Cash Flow'!GP142-'Monthly Cash Flow'!GP146,GP92),0),IF(GP$13=$G159,-(GP137+GP142-GP146),0))</f>
        <v>0</v>
      </c>
      <c r="GQ151" s="120">
        <f>IF($G$158=0,IF(GQ$13=Assumptions!$L$20,-MIN('Monthly Cash Flow'!GQ137+'Monthly Cash Flow'!GQ142-'Monthly Cash Flow'!GQ146,GQ92),0),IF(GQ$13=$G159,-(GQ137+GQ142-GQ146),0))</f>
        <v>0</v>
      </c>
      <c r="GR151" s="120">
        <f>IF($G$158=0,IF(GR$13=Assumptions!$L$20,-MIN('Monthly Cash Flow'!GR137+'Monthly Cash Flow'!GR142-'Monthly Cash Flow'!GR146,GR92),0),IF(GR$13=$G159,-(GR137+GR142-GR146),0))</f>
        <v>0</v>
      </c>
      <c r="GS151" s="120">
        <f>IF($G$158=0,IF(GS$13=Assumptions!$L$20,-MIN('Monthly Cash Flow'!GS137+'Monthly Cash Flow'!GS142-'Monthly Cash Flow'!GS146,GS92),0),IF(GS$13=$G159,-(GS137+GS142-GS146),0))</f>
        <v>0</v>
      </c>
      <c r="GT151" s="120">
        <f>IF($G$158=0,IF(GT$13=Assumptions!$L$20,-MIN('Monthly Cash Flow'!GT137+'Monthly Cash Flow'!GT142-'Monthly Cash Flow'!GT146,GT92),0),IF(GT$13=$G159,-(GT137+GT142-GT146),0))</f>
        <v>0</v>
      </c>
      <c r="GU151" s="26"/>
      <c r="GV151" s="26"/>
      <c r="GW151" s="26"/>
      <c r="GX151" s="26"/>
      <c r="GY151" s="26"/>
      <c r="GZ151" s="26"/>
      <c r="HA151" s="26"/>
      <c r="HB151" s="26"/>
      <c r="HC151" s="26"/>
      <c r="HD151" s="26"/>
      <c r="HE151" s="26"/>
      <c r="HF151" s="1" t="s">
        <v>212</v>
      </c>
      <c r="HH151" s="84" t="str">
        <f t="shared" si="1017"/>
        <v>Principal Paydown</v>
      </c>
      <c r="HI151" s="120"/>
      <c r="HJ151" s="120"/>
      <c r="HK151" s="120"/>
      <c r="HL151" s="119">
        <f t="shared" ca="1" si="1007"/>
        <v>-21795.794000000002</v>
      </c>
      <c r="HM151" s="120"/>
      <c r="HN151" s="140">
        <f t="shared" si="1018"/>
        <v>0</v>
      </c>
      <c r="HO151" s="120">
        <f t="shared" si="1018"/>
        <v>0</v>
      </c>
      <c r="HP151" s="120">
        <f t="shared" si="1018"/>
        <v>0</v>
      </c>
      <c r="HQ151" s="120">
        <f t="shared" si="1018"/>
        <v>0</v>
      </c>
      <c r="HR151" s="120">
        <f t="shared" si="1018"/>
        <v>0</v>
      </c>
      <c r="HS151" s="120">
        <f t="shared" ca="1" si="1018"/>
        <v>-21795.794000000002</v>
      </c>
      <c r="HT151" s="120">
        <f t="shared" si="1018"/>
        <v>0</v>
      </c>
      <c r="HU151" s="120">
        <f t="shared" si="1018"/>
        <v>0</v>
      </c>
      <c r="HV151" s="120">
        <f t="shared" si="1018"/>
        <v>0</v>
      </c>
      <c r="HW151"/>
    </row>
    <row r="152" spans="1:231" ht="15" outlineLevel="1">
      <c r="B152" s="162" t="s">
        <v>123</v>
      </c>
      <c r="C152" s="73"/>
      <c r="D152" s="73"/>
      <c r="E152" s="73"/>
      <c r="F152" s="73"/>
      <c r="G152" s="73"/>
      <c r="H152" s="73"/>
      <c r="I152" s="146"/>
      <c r="J152" s="147"/>
      <c r="K152" s="163">
        <f t="shared" ref="K152:AP152" si="1040">K137+K142+K151-K146</f>
        <v>19541</v>
      </c>
      <c r="L152" s="147">
        <f t="shared" si="1040"/>
        <v>19541</v>
      </c>
      <c r="M152" s="147">
        <f t="shared" si="1040"/>
        <v>19541</v>
      </c>
      <c r="N152" s="147">
        <f t="shared" si="1040"/>
        <v>19541</v>
      </c>
      <c r="O152" s="147">
        <f t="shared" si="1040"/>
        <v>19541</v>
      </c>
      <c r="P152" s="147">
        <f t="shared" si="1040"/>
        <v>19541</v>
      </c>
      <c r="Q152" s="147">
        <f t="shared" si="1040"/>
        <v>19541</v>
      </c>
      <c r="R152" s="147">
        <f t="shared" si="1040"/>
        <v>19541</v>
      </c>
      <c r="S152" s="147">
        <f t="shared" si="1040"/>
        <v>19541</v>
      </c>
      <c r="T152" s="147">
        <f t="shared" si="1040"/>
        <v>19541</v>
      </c>
      <c r="U152" s="147">
        <f t="shared" si="1040"/>
        <v>19725.976739999998</v>
      </c>
      <c r="V152" s="147">
        <f t="shared" si="1040"/>
        <v>19725.976739999998</v>
      </c>
      <c r="W152" s="147">
        <f t="shared" si="1040"/>
        <v>19834.745329999998</v>
      </c>
      <c r="X152" s="147">
        <f t="shared" si="1040"/>
        <v>19838.347469999997</v>
      </c>
      <c r="Y152" s="147">
        <f t="shared" si="1040"/>
        <v>19838.347469999997</v>
      </c>
      <c r="Z152" s="147">
        <f t="shared" si="1040"/>
        <v>20300.539249999998</v>
      </c>
      <c r="AA152" s="147">
        <f t="shared" si="1040"/>
        <v>20300.539249999998</v>
      </c>
      <c r="AB152" s="147">
        <f t="shared" si="1040"/>
        <v>20758.865719999998</v>
      </c>
      <c r="AC152" s="147">
        <f t="shared" si="1040"/>
        <v>20758.865719999998</v>
      </c>
      <c r="AD152" s="147">
        <f t="shared" si="1040"/>
        <v>20758.865719999998</v>
      </c>
      <c r="AE152" s="147">
        <f t="shared" si="1040"/>
        <v>21246.404759999998</v>
      </c>
      <c r="AF152" s="147">
        <f t="shared" si="1040"/>
        <v>21454.371260845426</v>
      </c>
      <c r="AG152" s="147">
        <f t="shared" si="1040"/>
        <v>21722.632220845426</v>
      </c>
      <c r="AH152" s="147">
        <f t="shared" si="1040"/>
        <v>21722.632220845426</v>
      </c>
      <c r="AI152" s="147">
        <f>AI137+AI142+AI151-AI146</f>
        <v>21795.794000000002</v>
      </c>
      <c r="AJ152" s="147">
        <f t="shared" si="1040"/>
        <v>21795.794000000002</v>
      </c>
      <c r="AK152" s="147">
        <f t="shared" si="1040"/>
        <v>21795.794000000002</v>
      </c>
      <c r="AL152" s="147">
        <f t="shared" si="1040"/>
        <v>21795.794000000002</v>
      </c>
      <c r="AM152" s="147">
        <f t="shared" si="1040"/>
        <v>21795.794000000002</v>
      </c>
      <c r="AN152" s="147">
        <f t="shared" si="1040"/>
        <v>21795.793999999998</v>
      </c>
      <c r="AO152" s="147">
        <f t="shared" si="1040"/>
        <v>21795.794000000002</v>
      </c>
      <c r="AP152" s="147">
        <f t="shared" si="1040"/>
        <v>21795.794000000002</v>
      </c>
      <c r="AQ152" s="147">
        <f t="shared" ref="AQ152:BV152" si="1041">AQ137+AQ142+AQ151-AQ146</f>
        <v>21795.793999999998</v>
      </c>
      <c r="AR152" s="147">
        <f t="shared" si="1041"/>
        <v>21795.794000000002</v>
      </c>
      <c r="AS152" s="147">
        <f t="shared" si="1041"/>
        <v>21795.794000000002</v>
      </c>
      <c r="AT152" s="147">
        <f t="shared" si="1041"/>
        <v>21795.794000000002</v>
      </c>
      <c r="AU152" s="147">
        <f t="shared" si="1041"/>
        <v>21795.794000000002</v>
      </c>
      <c r="AV152" s="147">
        <f t="shared" si="1041"/>
        <v>21795.794000000002</v>
      </c>
      <c r="AW152" s="147">
        <f t="shared" si="1041"/>
        <v>21795.794000000002</v>
      </c>
      <c r="AX152" s="147">
        <f t="shared" si="1041"/>
        <v>21795.794000000002</v>
      </c>
      <c r="AY152" s="147">
        <f t="shared" si="1041"/>
        <v>21792.294000000002</v>
      </c>
      <c r="AZ152" s="147">
        <f t="shared" si="1041"/>
        <v>21795.794000000002</v>
      </c>
      <c r="BA152" s="147">
        <f t="shared" si="1041"/>
        <v>21795.794000000002</v>
      </c>
      <c r="BB152" s="147">
        <f t="shared" si="1041"/>
        <v>21795.794000000002</v>
      </c>
      <c r="BC152" s="147">
        <f t="shared" si="1041"/>
        <v>21795.794000000002</v>
      </c>
      <c r="BD152" s="147">
        <f t="shared" si="1041"/>
        <v>21795.794000000002</v>
      </c>
      <c r="BE152" s="147">
        <f t="shared" si="1041"/>
        <v>21795.794000000002</v>
      </c>
      <c r="BF152" s="147">
        <f t="shared" si="1041"/>
        <v>21795.794000000002</v>
      </c>
      <c r="BG152" s="147">
        <f t="shared" si="1041"/>
        <v>21795.794000000002</v>
      </c>
      <c r="BH152" s="147">
        <f t="shared" si="1041"/>
        <v>21795.794000000002</v>
      </c>
      <c r="BI152" s="147">
        <f t="shared" si="1041"/>
        <v>21795.794000000002</v>
      </c>
      <c r="BJ152" s="147">
        <f t="shared" si="1041"/>
        <v>21795.794000000002</v>
      </c>
      <c r="BK152" s="147">
        <f t="shared" si="1041"/>
        <v>21795.794000000002</v>
      </c>
      <c r="BL152" s="147">
        <f t="shared" ca="1" si="1041"/>
        <v>21795.794000000002</v>
      </c>
      <c r="BM152" s="147">
        <f t="shared" ca="1" si="1041"/>
        <v>21795.794000000002</v>
      </c>
      <c r="BN152" s="147">
        <f t="shared" ca="1" si="1041"/>
        <v>21795.794000000002</v>
      </c>
      <c r="BO152" s="147">
        <f t="shared" ca="1" si="1041"/>
        <v>21795.794000000002</v>
      </c>
      <c r="BP152" s="147">
        <f t="shared" ca="1" si="1041"/>
        <v>21795.794000000002</v>
      </c>
      <c r="BQ152" s="147">
        <f t="shared" ca="1" si="1041"/>
        <v>21795.794000000002</v>
      </c>
      <c r="BR152" s="147">
        <f t="shared" ca="1" si="1041"/>
        <v>21795.794000000002</v>
      </c>
      <c r="BS152" s="147">
        <f t="shared" ca="1" si="1041"/>
        <v>0</v>
      </c>
      <c r="BT152" s="147">
        <f t="shared" ca="1" si="1041"/>
        <v>0</v>
      </c>
      <c r="BU152" s="147">
        <f t="shared" ca="1" si="1041"/>
        <v>0</v>
      </c>
      <c r="BV152" s="147">
        <f t="shared" ca="1" si="1041"/>
        <v>0</v>
      </c>
      <c r="BW152" s="147">
        <f t="shared" ref="BW152:DB152" ca="1" si="1042">BW137+BW142+BW151-BW146</f>
        <v>0</v>
      </c>
      <c r="BX152" s="147">
        <f t="shared" ca="1" si="1042"/>
        <v>0</v>
      </c>
      <c r="BY152" s="147">
        <f t="shared" ca="1" si="1042"/>
        <v>0</v>
      </c>
      <c r="BZ152" s="147">
        <f t="shared" ca="1" si="1042"/>
        <v>0</v>
      </c>
      <c r="CA152" s="147">
        <f t="shared" ca="1" si="1042"/>
        <v>0</v>
      </c>
      <c r="CB152" s="147">
        <f t="shared" ca="1" si="1042"/>
        <v>0</v>
      </c>
      <c r="CC152" s="147">
        <f t="shared" ca="1" si="1042"/>
        <v>0</v>
      </c>
      <c r="CD152" s="147">
        <f t="shared" ca="1" si="1042"/>
        <v>0</v>
      </c>
      <c r="CE152" s="147">
        <f t="shared" ca="1" si="1042"/>
        <v>0</v>
      </c>
      <c r="CF152" s="147">
        <f t="shared" ca="1" si="1042"/>
        <v>0</v>
      </c>
      <c r="CG152" s="147">
        <f t="shared" ca="1" si="1042"/>
        <v>0</v>
      </c>
      <c r="CH152" s="147">
        <f t="shared" ca="1" si="1042"/>
        <v>0</v>
      </c>
      <c r="CI152" s="147">
        <f t="shared" ca="1" si="1042"/>
        <v>0</v>
      </c>
      <c r="CJ152" s="147">
        <f t="shared" ca="1" si="1042"/>
        <v>0</v>
      </c>
      <c r="CK152" s="147">
        <f t="shared" ca="1" si="1042"/>
        <v>0</v>
      </c>
      <c r="CL152" s="147">
        <f t="shared" ca="1" si="1042"/>
        <v>0</v>
      </c>
      <c r="CM152" s="147">
        <f t="shared" ca="1" si="1042"/>
        <v>0</v>
      </c>
      <c r="CN152" s="147">
        <f t="shared" ca="1" si="1042"/>
        <v>0</v>
      </c>
      <c r="CO152" s="147">
        <f t="shared" ca="1" si="1042"/>
        <v>0</v>
      </c>
      <c r="CP152" s="147">
        <f t="shared" ca="1" si="1042"/>
        <v>0</v>
      </c>
      <c r="CQ152" s="147">
        <f t="shared" ca="1" si="1042"/>
        <v>0</v>
      </c>
      <c r="CR152" s="147">
        <f t="shared" ca="1" si="1042"/>
        <v>0</v>
      </c>
      <c r="CS152" s="147">
        <f t="shared" ca="1" si="1042"/>
        <v>0</v>
      </c>
      <c r="CT152" s="147">
        <f t="shared" ca="1" si="1042"/>
        <v>0</v>
      </c>
      <c r="CU152" s="147">
        <f t="shared" ca="1" si="1042"/>
        <v>0</v>
      </c>
      <c r="CV152" s="147">
        <f t="shared" ca="1" si="1042"/>
        <v>0</v>
      </c>
      <c r="CW152" s="147">
        <f t="shared" ca="1" si="1042"/>
        <v>0</v>
      </c>
      <c r="CX152" s="147">
        <f t="shared" ca="1" si="1042"/>
        <v>0</v>
      </c>
      <c r="CY152" s="147">
        <f t="shared" ca="1" si="1042"/>
        <v>0</v>
      </c>
      <c r="CZ152" s="147">
        <f t="shared" ca="1" si="1042"/>
        <v>0</v>
      </c>
      <c r="DA152" s="147">
        <f t="shared" ca="1" si="1042"/>
        <v>0</v>
      </c>
      <c r="DB152" s="147">
        <f t="shared" ca="1" si="1042"/>
        <v>0</v>
      </c>
      <c r="DC152" s="147">
        <f t="shared" ref="DC152:EH152" ca="1" si="1043">DC137+DC142+DC151-DC146</f>
        <v>0</v>
      </c>
      <c r="DD152" s="147">
        <f t="shared" ca="1" si="1043"/>
        <v>0</v>
      </c>
      <c r="DE152" s="147">
        <f t="shared" ca="1" si="1043"/>
        <v>0</v>
      </c>
      <c r="DF152" s="147">
        <f t="shared" ca="1" si="1043"/>
        <v>0</v>
      </c>
      <c r="DG152" s="147">
        <f t="shared" ca="1" si="1043"/>
        <v>0</v>
      </c>
      <c r="DH152" s="147">
        <f t="shared" ca="1" si="1043"/>
        <v>0</v>
      </c>
      <c r="DI152" s="147">
        <f t="shared" ca="1" si="1043"/>
        <v>0</v>
      </c>
      <c r="DJ152" s="147">
        <f t="shared" ca="1" si="1043"/>
        <v>0</v>
      </c>
      <c r="DK152" s="147">
        <f t="shared" ca="1" si="1043"/>
        <v>0</v>
      </c>
      <c r="DL152" s="147">
        <f t="shared" ca="1" si="1043"/>
        <v>0</v>
      </c>
      <c r="DM152" s="147">
        <f t="shared" ca="1" si="1043"/>
        <v>0</v>
      </c>
      <c r="DN152" s="147">
        <f t="shared" ca="1" si="1043"/>
        <v>0</v>
      </c>
      <c r="DO152" s="147">
        <f t="shared" ca="1" si="1043"/>
        <v>0</v>
      </c>
      <c r="DP152" s="147">
        <f t="shared" ca="1" si="1043"/>
        <v>0</v>
      </c>
      <c r="DQ152" s="147">
        <f t="shared" ca="1" si="1043"/>
        <v>0</v>
      </c>
      <c r="DR152" s="147">
        <f t="shared" ca="1" si="1043"/>
        <v>0</v>
      </c>
      <c r="DS152" s="147">
        <f t="shared" ca="1" si="1043"/>
        <v>0</v>
      </c>
      <c r="DT152" s="147">
        <f t="shared" ca="1" si="1043"/>
        <v>0</v>
      </c>
      <c r="DU152" s="147">
        <f t="shared" ca="1" si="1043"/>
        <v>0</v>
      </c>
      <c r="DV152" s="147">
        <f t="shared" ca="1" si="1043"/>
        <v>0</v>
      </c>
      <c r="DW152" s="147">
        <f t="shared" ca="1" si="1043"/>
        <v>0</v>
      </c>
      <c r="DX152" s="147">
        <f t="shared" ca="1" si="1043"/>
        <v>0</v>
      </c>
      <c r="DY152" s="147">
        <f t="shared" ca="1" si="1043"/>
        <v>0</v>
      </c>
      <c r="DZ152" s="147">
        <f t="shared" ca="1" si="1043"/>
        <v>0</v>
      </c>
      <c r="EA152" s="147">
        <f t="shared" ca="1" si="1043"/>
        <v>0</v>
      </c>
      <c r="EB152" s="147">
        <f t="shared" ca="1" si="1043"/>
        <v>0</v>
      </c>
      <c r="EC152" s="147">
        <f t="shared" ca="1" si="1043"/>
        <v>0</v>
      </c>
      <c r="ED152" s="147">
        <f t="shared" ca="1" si="1043"/>
        <v>0</v>
      </c>
      <c r="EE152" s="147">
        <f t="shared" ca="1" si="1043"/>
        <v>0</v>
      </c>
      <c r="EF152" s="147">
        <f t="shared" ca="1" si="1043"/>
        <v>0</v>
      </c>
      <c r="EG152" s="147">
        <f t="shared" ca="1" si="1043"/>
        <v>0</v>
      </c>
      <c r="EH152" s="147">
        <f t="shared" ca="1" si="1043"/>
        <v>0</v>
      </c>
      <c r="EI152" s="147">
        <f t="shared" ref="EI152:EL152" ca="1" si="1044">EI137+EI142+EI151-EI146</f>
        <v>0</v>
      </c>
      <c r="EJ152" s="147">
        <f t="shared" ca="1" si="1044"/>
        <v>0</v>
      </c>
      <c r="EK152" s="147">
        <f t="shared" ca="1" si="1044"/>
        <v>0</v>
      </c>
      <c r="EL152" s="147">
        <f t="shared" ca="1" si="1044"/>
        <v>0</v>
      </c>
      <c r="EM152" s="147">
        <f t="shared" ref="EM152:FD152" ca="1" si="1045">EM137+EM142+EM151-EM146</f>
        <v>0</v>
      </c>
      <c r="EN152" s="147">
        <f t="shared" ca="1" si="1045"/>
        <v>0</v>
      </c>
      <c r="EO152" s="147">
        <f t="shared" ca="1" si="1045"/>
        <v>0</v>
      </c>
      <c r="EP152" s="147">
        <f t="shared" ca="1" si="1045"/>
        <v>0</v>
      </c>
      <c r="EQ152" s="147">
        <f t="shared" ca="1" si="1045"/>
        <v>0</v>
      </c>
      <c r="ER152" s="147">
        <f t="shared" ca="1" si="1045"/>
        <v>0</v>
      </c>
      <c r="ES152" s="147">
        <f t="shared" ca="1" si="1045"/>
        <v>0</v>
      </c>
      <c r="ET152" s="147">
        <f t="shared" ca="1" si="1045"/>
        <v>0</v>
      </c>
      <c r="EU152" s="147">
        <f t="shared" ca="1" si="1045"/>
        <v>0</v>
      </c>
      <c r="EV152" s="147">
        <f t="shared" ca="1" si="1045"/>
        <v>0</v>
      </c>
      <c r="EW152" s="147">
        <f t="shared" ca="1" si="1045"/>
        <v>0</v>
      </c>
      <c r="EX152" s="147">
        <f t="shared" ca="1" si="1045"/>
        <v>0</v>
      </c>
      <c r="EY152" s="147">
        <f t="shared" ca="1" si="1045"/>
        <v>0</v>
      </c>
      <c r="EZ152" s="147">
        <f t="shared" ca="1" si="1045"/>
        <v>0</v>
      </c>
      <c r="FA152" s="147">
        <f t="shared" ca="1" si="1045"/>
        <v>0</v>
      </c>
      <c r="FB152" s="147">
        <f t="shared" ca="1" si="1045"/>
        <v>0</v>
      </c>
      <c r="FC152" s="147">
        <f t="shared" ca="1" si="1045"/>
        <v>0</v>
      </c>
      <c r="FD152" s="147">
        <f t="shared" ca="1" si="1045"/>
        <v>0</v>
      </c>
      <c r="FE152" s="147">
        <f t="shared" ref="FE152:FI152" ca="1" si="1046">FE137+FE142+FE151-FE146</f>
        <v>0</v>
      </c>
      <c r="FF152" s="147">
        <f t="shared" ca="1" si="1046"/>
        <v>0</v>
      </c>
      <c r="FG152" s="147">
        <f t="shared" ca="1" si="1046"/>
        <v>0</v>
      </c>
      <c r="FH152" s="147">
        <f t="shared" ca="1" si="1046"/>
        <v>0</v>
      </c>
      <c r="FI152" s="147">
        <f t="shared" ca="1" si="1046"/>
        <v>0</v>
      </c>
      <c r="FJ152" s="147">
        <f t="shared" ref="FJ152:GT152" ca="1" si="1047">FJ137+FJ142+FJ151-FJ146</f>
        <v>0</v>
      </c>
      <c r="FK152" s="147">
        <f t="shared" ca="1" si="1047"/>
        <v>0</v>
      </c>
      <c r="FL152" s="147">
        <f t="shared" ca="1" si="1047"/>
        <v>0</v>
      </c>
      <c r="FM152" s="147">
        <f t="shared" ca="1" si="1047"/>
        <v>0</v>
      </c>
      <c r="FN152" s="147">
        <f t="shared" ca="1" si="1047"/>
        <v>0</v>
      </c>
      <c r="FO152" s="147">
        <f t="shared" ca="1" si="1047"/>
        <v>0</v>
      </c>
      <c r="FP152" s="147">
        <f t="shared" ca="1" si="1047"/>
        <v>0</v>
      </c>
      <c r="FQ152" s="147">
        <f t="shared" ca="1" si="1047"/>
        <v>0</v>
      </c>
      <c r="FR152" s="147">
        <f t="shared" ca="1" si="1047"/>
        <v>0</v>
      </c>
      <c r="FS152" s="147">
        <f t="shared" ca="1" si="1047"/>
        <v>0</v>
      </c>
      <c r="FT152" s="147">
        <f t="shared" ca="1" si="1047"/>
        <v>0</v>
      </c>
      <c r="FU152" s="147">
        <f t="shared" ca="1" si="1047"/>
        <v>0</v>
      </c>
      <c r="FV152" s="147">
        <f t="shared" ca="1" si="1047"/>
        <v>0</v>
      </c>
      <c r="FW152" s="147">
        <f t="shared" ca="1" si="1047"/>
        <v>0</v>
      </c>
      <c r="FX152" s="147">
        <f t="shared" ca="1" si="1047"/>
        <v>0</v>
      </c>
      <c r="FY152" s="147">
        <f t="shared" ca="1" si="1047"/>
        <v>0</v>
      </c>
      <c r="FZ152" s="147">
        <f t="shared" ca="1" si="1047"/>
        <v>0</v>
      </c>
      <c r="GA152" s="147">
        <f t="shared" ca="1" si="1047"/>
        <v>0</v>
      </c>
      <c r="GB152" s="147">
        <f t="shared" ca="1" si="1047"/>
        <v>0</v>
      </c>
      <c r="GC152" s="147">
        <f t="shared" ca="1" si="1047"/>
        <v>0</v>
      </c>
      <c r="GD152" s="1383"/>
      <c r="GE152" s="1383"/>
      <c r="GF152" s="1383"/>
      <c r="GG152" s="1383"/>
      <c r="GH152" s="1383"/>
      <c r="GI152" s="1383"/>
      <c r="GJ152" s="1383"/>
      <c r="GK152" s="1383"/>
      <c r="GL152" s="1383"/>
      <c r="GM152" s="1383"/>
      <c r="GN152" s="1383"/>
      <c r="GO152" s="1383"/>
      <c r="GP152" s="147">
        <f t="shared" ca="1" si="1047"/>
        <v>0</v>
      </c>
      <c r="GQ152" s="147">
        <f t="shared" ca="1" si="1047"/>
        <v>0</v>
      </c>
      <c r="GR152" s="147">
        <f t="shared" ca="1" si="1047"/>
        <v>0</v>
      </c>
      <c r="GS152" s="147">
        <f t="shared" ca="1" si="1047"/>
        <v>0</v>
      </c>
      <c r="GT152" s="147">
        <f t="shared" ca="1" si="1047"/>
        <v>0</v>
      </c>
      <c r="GU152" s="34"/>
      <c r="GV152" s="34"/>
      <c r="GW152" s="34"/>
      <c r="GX152" s="34"/>
      <c r="GY152" s="34"/>
      <c r="GZ152" s="34"/>
      <c r="HA152" s="34"/>
      <c r="HB152" s="34"/>
      <c r="HC152" s="34"/>
      <c r="HD152" s="34"/>
      <c r="HE152" s="34"/>
      <c r="HF152" s="1" t="s">
        <v>212</v>
      </c>
      <c r="HH152" s="162" t="str">
        <f t="shared" si="1017"/>
        <v>Ending Balance</v>
      </c>
      <c r="HI152" s="147"/>
      <c r="HJ152" s="147"/>
      <c r="HK152" s="147"/>
      <c r="HL152" s="146">
        <f t="shared" ca="1" si="1007"/>
        <v>104764</v>
      </c>
      <c r="HM152" s="147"/>
      <c r="HN152" s="163">
        <f t="shared" ref="HN152:HV152" si="1048">ROUND(HN137+HN142+HN151-HN146,0)</f>
        <v>19541</v>
      </c>
      <c r="HO152" s="147">
        <f t="shared" si="1048"/>
        <v>19835</v>
      </c>
      <c r="HP152" s="147">
        <f t="shared" si="1048"/>
        <v>21796</v>
      </c>
      <c r="HQ152" s="147">
        <f t="shared" si="1048"/>
        <v>21796</v>
      </c>
      <c r="HR152" s="147">
        <f t="shared" si="1048"/>
        <v>21796</v>
      </c>
      <c r="HS152" s="147">
        <f t="shared" ca="1" si="1048"/>
        <v>0</v>
      </c>
      <c r="HT152" s="147">
        <f t="shared" ca="1" si="1048"/>
        <v>0</v>
      </c>
      <c r="HU152" s="147">
        <f t="shared" ca="1" si="1048"/>
        <v>0</v>
      </c>
      <c r="HV152" s="147">
        <f t="shared" ca="1" si="1048"/>
        <v>0</v>
      </c>
      <c r="HW152"/>
    </row>
    <row r="153" spans="1:231" ht="15">
      <c r="B153" s="33"/>
      <c r="I153" s="123"/>
      <c r="J153" s="34"/>
      <c r="K153" s="12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c r="BA153" s="34"/>
      <c r="BB153" s="34"/>
      <c r="BC153" s="34"/>
      <c r="BD153" s="34"/>
      <c r="BE153" s="34"/>
      <c r="BF153" s="34"/>
      <c r="BG153" s="34"/>
      <c r="BH153" s="34"/>
      <c r="BI153" s="34"/>
      <c r="BJ153" s="34"/>
      <c r="BK153" s="34"/>
      <c r="BL153" s="34"/>
      <c r="BM153" s="34"/>
      <c r="BN153" s="34"/>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c r="CK153" s="34"/>
      <c r="CL153" s="34"/>
      <c r="CM153" s="34"/>
      <c r="CN153" s="34"/>
      <c r="CO153" s="34"/>
      <c r="CP153" s="34"/>
      <c r="CQ153" s="34"/>
      <c r="CR153" s="34"/>
      <c r="CS153" s="34"/>
      <c r="CT153" s="34"/>
      <c r="CU153" s="34"/>
      <c r="CV153" s="34"/>
      <c r="CW153" s="34"/>
      <c r="CX153" s="34"/>
      <c r="CY153" s="34"/>
      <c r="CZ153" s="34"/>
      <c r="DA153" s="34"/>
      <c r="DB153" s="34"/>
      <c r="DC153" s="34"/>
      <c r="DD153" s="34"/>
      <c r="DE153" s="34"/>
      <c r="DF153" s="34"/>
      <c r="DG153" s="34"/>
      <c r="DH153" s="34"/>
      <c r="DI153" s="34"/>
      <c r="DJ153" s="34"/>
      <c r="DK153" s="34"/>
      <c r="DL153" s="34"/>
      <c r="DM153" s="34"/>
      <c r="DN153" s="34"/>
      <c r="DO153" s="34"/>
      <c r="DP153" s="34"/>
      <c r="DQ153" s="34"/>
      <c r="DR153" s="34"/>
      <c r="DS153" s="34"/>
      <c r="DT153" s="34"/>
      <c r="DU153" s="34"/>
      <c r="DV153" s="34"/>
      <c r="DW153" s="34"/>
      <c r="DX153" s="34"/>
      <c r="DY153" s="34"/>
      <c r="DZ153" s="34"/>
      <c r="EA153" s="34"/>
      <c r="EB153" s="34"/>
      <c r="EC153" s="34"/>
      <c r="ED153" s="34"/>
      <c r="EE153" s="34"/>
      <c r="EF153" s="34"/>
      <c r="EG153" s="34"/>
      <c r="EH153" s="34"/>
      <c r="EI153" s="34"/>
      <c r="EJ153" s="34"/>
      <c r="EK153" s="34"/>
      <c r="EL153" s="34"/>
      <c r="EM153" s="34"/>
      <c r="EN153" s="34"/>
      <c r="EO153" s="34"/>
      <c r="EP153" s="34"/>
      <c r="EQ153" s="34"/>
      <c r="ER153" s="34"/>
      <c r="ES153" s="34"/>
      <c r="ET153" s="34"/>
      <c r="EU153" s="34"/>
      <c r="EV153" s="34"/>
      <c r="EW153" s="34"/>
      <c r="EX153" s="34"/>
      <c r="EY153" s="34"/>
      <c r="EZ153" s="34"/>
      <c r="FA153" s="34"/>
      <c r="FB153" s="34"/>
      <c r="FC153" s="34"/>
      <c r="FD153" s="34"/>
      <c r="FE153" s="34"/>
      <c r="FF153" s="34"/>
      <c r="FG153" s="34"/>
      <c r="FH153" s="34"/>
      <c r="FI153" s="34"/>
      <c r="FJ153" s="34"/>
      <c r="FK153" s="34"/>
      <c r="FL153" s="34"/>
      <c r="FM153" s="34"/>
      <c r="FN153" s="34"/>
      <c r="FO153" s="34"/>
      <c r="FP153" s="34"/>
      <c r="FQ153" s="34"/>
      <c r="FR153" s="34"/>
      <c r="FS153" s="34"/>
      <c r="FT153" s="34"/>
      <c r="FU153" s="34"/>
      <c r="FV153" s="34"/>
      <c r="FW153" s="34"/>
      <c r="FX153" s="34"/>
      <c r="FY153" s="34"/>
      <c r="FZ153" s="34"/>
      <c r="GA153" s="34"/>
      <c r="GB153" s="34"/>
      <c r="GC153" s="34"/>
      <c r="GD153" s="34"/>
      <c r="GE153" s="34"/>
      <c r="GF153" s="34"/>
      <c r="GG153" s="34"/>
      <c r="GH153" s="34"/>
      <c r="GI153" s="34"/>
      <c r="GJ153" s="34"/>
      <c r="GK153" s="34"/>
      <c r="GL153" s="34"/>
      <c r="GM153" s="34"/>
      <c r="GN153" s="34"/>
      <c r="GO153" s="34"/>
      <c r="GP153" s="34"/>
      <c r="GQ153" s="34"/>
      <c r="GR153" s="34"/>
      <c r="GS153" s="34"/>
      <c r="GT153" s="34"/>
      <c r="GU153" s="34"/>
      <c r="GV153" s="34"/>
      <c r="GW153" s="34"/>
      <c r="GX153" s="34"/>
      <c r="GY153" s="34"/>
      <c r="GZ153" s="34"/>
      <c r="HA153" s="34"/>
      <c r="HB153" s="34"/>
      <c r="HC153" s="34"/>
      <c r="HD153" s="34"/>
      <c r="HE153" s="34"/>
      <c r="HF153" s="1" t="s">
        <v>212</v>
      </c>
      <c r="HH153" s="33"/>
      <c r="HI153" s="34"/>
      <c r="HJ153" s="34"/>
      <c r="HK153" s="34"/>
      <c r="HL153" s="123"/>
      <c r="HM153" s="34"/>
      <c r="HN153" s="124"/>
      <c r="HO153" s="34"/>
      <c r="HP153" s="34"/>
      <c r="HQ153" s="34"/>
      <c r="HR153" s="34"/>
      <c r="HS153" s="34"/>
      <c r="HT153" s="34"/>
      <c r="HU153" s="34"/>
      <c r="HV153" s="34"/>
      <c r="HW153"/>
    </row>
    <row r="154" spans="1:231" ht="15" outlineLevel="1">
      <c r="B154" s="1" t="s">
        <v>124</v>
      </c>
      <c r="D154" s="33"/>
      <c r="E154" s="33"/>
      <c r="F154" s="33"/>
      <c r="G154" s="33"/>
      <c r="H154" s="33"/>
      <c r="I154" s="208"/>
      <c r="J154" s="33"/>
      <c r="K154" s="195">
        <f t="shared" ref="K154:AP154" si="1049">K15</f>
        <v>42552</v>
      </c>
      <c r="L154" s="96">
        <f t="shared" si="1049"/>
        <v>42582</v>
      </c>
      <c r="M154" s="96">
        <f t="shared" si="1049"/>
        <v>42613</v>
      </c>
      <c r="N154" s="96">
        <f t="shared" si="1049"/>
        <v>42643</v>
      </c>
      <c r="O154" s="96">
        <f t="shared" si="1049"/>
        <v>42674</v>
      </c>
      <c r="P154" s="96">
        <f t="shared" si="1049"/>
        <v>42704</v>
      </c>
      <c r="Q154" s="96">
        <f t="shared" si="1049"/>
        <v>42735</v>
      </c>
      <c r="R154" s="96">
        <f t="shared" si="1049"/>
        <v>42766</v>
      </c>
      <c r="S154" s="96">
        <f t="shared" si="1049"/>
        <v>42794</v>
      </c>
      <c r="T154" s="96">
        <f t="shared" si="1049"/>
        <v>42825</v>
      </c>
      <c r="U154" s="96">
        <f t="shared" si="1049"/>
        <v>42855</v>
      </c>
      <c r="V154" s="96">
        <f t="shared" si="1049"/>
        <v>42886</v>
      </c>
      <c r="W154" s="96">
        <f t="shared" si="1049"/>
        <v>42916</v>
      </c>
      <c r="X154" s="96">
        <f t="shared" si="1049"/>
        <v>42947</v>
      </c>
      <c r="Y154" s="96">
        <f t="shared" si="1049"/>
        <v>42978</v>
      </c>
      <c r="Z154" s="96">
        <f t="shared" si="1049"/>
        <v>43008</v>
      </c>
      <c r="AA154" s="96">
        <f t="shared" si="1049"/>
        <v>43039</v>
      </c>
      <c r="AB154" s="96">
        <f t="shared" si="1049"/>
        <v>43069</v>
      </c>
      <c r="AC154" s="96">
        <f t="shared" si="1049"/>
        <v>43100</v>
      </c>
      <c r="AD154" s="96">
        <f t="shared" si="1049"/>
        <v>43131</v>
      </c>
      <c r="AE154" s="96">
        <f t="shared" si="1049"/>
        <v>43159</v>
      </c>
      <c r="AF154" s="96">
        <f t="shared" si="1049"/>
        <v>43190</v>
      </c>
      <c r="AG154" s="96">
        <f t="shared" si="1049"/>
        <v>43220</v>
      </c>
      <c r="AH154" s="96">
        <f t="shared" si="1049"/>
        <v>43251</v>
      </c>
      <c r="AI154" s="96">
        <f t="shared" si="1049"/>
        <v>43281</v>
      </c>
      <c r="AJ154" s="96">
        <f t="shared" si="1049"/>
        <v>43312</v>
      </c>
      <c r="AK154" s="96">
        <f t="shared" si="1049"/>
        <v>43343</v>
      </c>
      <c r="AL154" s="96">
        <f t="shared" si="1049"/>
        <v>43373</v>
      </c>
      <c r="AM154" s="96">
        <f t="shared" si="1049"/>
        <v>43404</v>
      </c>
      <c r="AN154" s="96">
        <f t="shared" si="1049"/>
        <v>43434</v>
      </c>
      <c r="AO154" s="96">
        <f t="shared" si="1049"/>
        <v>43465</v>
      </c>
      <c r="AP154" s="96">
        <f t="shared" si="1049"/>
        <v>43496</v>
      </c>
      <c r="AQ154" s="96">
        <f t="shared" ref="AQ154:BV154" si="1050">AQ15</f>
        <v>43524</v>
      </c>
      <c r="AR154" s="96">
        <f t="shared" si="1050"/>
        <v>43555</v>
      </c>
      <c r="AS154" s="96">
        <f t="shared" si="1050"/>
        <v>43585</v>
      </c>
      <c r="AT154" s="96">
        <f t="shared" si="1050"/>
        <v>43616</v>
      </c>
      <c r="AU154" s="96">
        <f t="shared" si="1050"/>
        <v>43646</v>
      </c>
      <c r="AV154" s="96">
        <f t="shared" si="1050"/>
        <v>43677</v>
      </c>
      <c r="AW154" s="96">
        <f t="shared" si="1050"/>
        <v>43708</v>
      </c>
      <c r="AX154" s="96">
        <f t="shared" si="1050"/>
        <v>43738</v>
      </c>
      <c r="AY154" s="96">
        <f t="shared" si="1050"/>
        <v>43769</v>
      </c>
      <c r="AZ154" s="96">
        <f t="shared" si="1050"/>
        <v>43799</v>
      </c>
      <c r="BA154" s="96">
        <f t="shared" si="1050"/>
        <v>43830</v>
      </c>
      <c r="BB154" s="96">
        <f t="shared" si="1050"/>
        <v>43861</v>
      </c>
      <c r="BC154" s="96">
        <f t="shared" si="1050"/>
        <v>43890</v>
      </c>
      <c r="BD154" s="96">
        <f t="shared" si="1050"/>
        <v>43921</v>
      </c>
      <c r="BE154" s="96">
        <f t="shared" si="1050"/>
        <v>43951</v>
      </c>
      <c r="BF154" s="96">
        <f t="shared" si="1050"/>
        <v>43982</v>
      </c>
      <c r="BG154" s="96">
        <f t="shared" si="1050"/>
        <v>44012</v>
      </c>
      <c r="BH154" s="96">
        <f t="shared" si="1050"/>
        <v>44043</v>
      </c>
      <c r="BI154" s="96">
        <f t="shared" si="1050"/>
        <v>44074</v>
      </c>
      <c r="BJ154" s="96">
        <f t="shared" si="1050"/>
        <v>44104</v>
      </c>
      <c r="BK154" s="96">
        <f t="shared" si="1050"/>
        <v>44135</v>
      </c>
      <c r="BL154" s="96">
        <f t="shared" si="1050"/>
        <v>44165</v>
      </c>
      <c r="BM154" s="96">
        <f t="shared" si="1050"/>
        <v>44196</v>
      </c>
      <c r="BN154" s="96">
        <f t="shared" si="1050"/>
        <v>44227</v>
      </c>
      <c r="BO154" s="96">
        <f t="shared" si="1050"/>
        <v>44255</v>
      </c>
      <c r="BP154" s="96">
        <f t="shared" si="1050"/>
        <v>44286</v>
      </c>
      <c r="BQ154" s="96">
        <f t="shared" si="1050"/>
        <v>44316</v>
      </c>
      <c r="BR154" s="96">
        <f t="shared" si="1050"/>
        <v>44347</v>
      </c>
      <c r="BS154" s="96">
        <f t="shared" si="1050"/>
        <v>44377</v>
      </c>
      <c r="BT154" s="96">
        <f t="shared" si="1050"/>
        <v>44408</v>
      </c>
      <c r="BU154" s="96">
        <f t="shared" si="1050"/>
        <v>44439</v>
      </c>
      <c r="BV154" s="96">
        <f t="shared" si="1050"/>
        <v>44469</v>
      </c>
      <c r="BW154" s="96">
        <f t="shared" ref="BW154:DB154" si="1051">BW15</f>
        <v>44500</v>
      </c>
      <c r="BX154" s="96">
        <f t="shared" si="1051"/>
        <v>44530</v>
      </c>
      <c r="BY154" s="96">
        <f t="shared" si="1051"/>
        <v>44561</v>
      </c>
      <c r="BZ154" s="96">
        <f t="shared" si="1051"/>
        <v>44592</v>
      </c>
      <c r="CA154" s="96">
        <f t="shared" si="1051"/>
        <v>44620</v>
      </c>
      <c r="CB154" s="96">
        <f t="shared" si="1051"/>
        <v>44651</v>
      </c>
      <c r="CC154" s="96">
        <f t="shared" si="1051"/>
        <v>44681</v>
      </c>
      <c r="CD154" s="96">
        <f t="shared" si="1051"/>
        <v>44712</v>
      </c>
      <c r="CE154" s="96">
        <f t="shared" si="1051"/>
        <v>44742</v>
      </c>
      <c r="CF154" s="96">
        <f t="shared" si="1051"/>
        <v>44773</v>
      </c>
      <c r="CG154" s="96">
        <f t="shared" si="1051"/>
        <v>44804</v>
      </c>
      <c r="CH154" s="96">
        <f t="shared" si="1051"/>
        <v>44834</v>
      </c>
      <c r="CI154" s="96">
        <f t="shared" si="1051"/>
        <v>44865</v>
      </c>
      <c r="CJ154" s="96">
        <f t="shared" si="1051"/>
        <v>44895</v>
      </c>
      <c r="CK154" s="96">
        <f t="shared" si="1051"/>
        <v>44926</v>
      </c>
      <c r="CL154" s="96">
        <f t="shared" si="1051"/>
        <v>44957</v>
      </c>
      <c r="CM154" s="96">
        <f t="shared" si="1051"/>
        <v>44985</v>
      </c>
      <c r="CN154" s="96">
        <f t="shared" si="1051"/>
        <v>45016</v>
      </c>
      <c r="CO154" s="96">
        <f t="shared" si="1051"/>
        <v>45046</v>
      </c>
      <c r="CP154" s="96">
        <f t="shared" si="1051"/>
        <v>45077</v>
      </c>
      <c r="CQ154" s="96">
        <f t="shared" si="1051"/>
        <v>45107</v>
      </c>
      <c r="CR154" s="96">
        <f t="shared" si="1051"/>
        <v>45138</v>
      </c>
      <c r="CS154" s="96">
        <f t="shared" si="1051"/>
        <v>45169</v>
      </c>
      <c r="CT154" s="96">
        <f t="shared" si="1051"/>
        <v>45199</v>
      </c>
      <c r="CU154" s="96">
        <f t="shared" si="1051"/>
        <v>45230</v>
      </c>
      <c r="CV154" s="96">
        <f t="shared" si="1051"/>
        <v>45260</v>
      </c>
      <c r="CW154" s="96">
        <f t="shared" si="1051"/>
        <v>45291</v>
      </c>
      <c r="CX154" s="96">
        <f t="shared" si="1051"/>
        <v>45322</v>
      </c>
      <c r="CY154" s="96">
        <f t="shared" si="1051"/>
        <v>45351</v>
      </c>
      <c r="CZ154" s="96">
        <f t="shared" si="1051"/>
        <v>45382</v>
      </c>
      <c r="DA154" s="96">
        <f t="shared" si="1051"/>
        <v>45412</v>
      </c>
      <c r="DB154" s="96">
        <f t="shared" si="1051"/>
        <v>45443</v>
      </c>
      <c r="DC154" s="96">
        <f t="shared" ref="DC154:EH154" si="1052">DC15</f>
        <v>45473</v>
      </c>
      <c r="DD154" s="96">
        <f t="shared" si="1052"/>
        <v>45504</v>
      </c>
      <c r="DE154" s="96">
        <f t="shared" si="1052"/>
        <v>45535</v>
      </c>
      <c r="DF154" s="96">
        <f t="shared" si="1052"/>
        <v>45565</v>
      </c>
      <c r="DG154" s="96">
        <f t="shared" si="1052"/>
        <v>45596</v>
      </c>
      <c r="DH154" s="96">
        <f t="shared" si="1052"/>
        <v>45626</v>
      </c>
      <c r="DI154" s="96">
        <f t="shared" si="1052"/>
        <v>45657</v>
      </c>
      <c r="DJ154" s="96">
        <f t="shared" si="1052"/>
        <v>45688</v>
      </c>
      <c r="DK154" s="96">
        <f t="shared" si="1052"/>
        <v>45716</v>
      </c>
      <c r="DL154" s="96">
        <f t="shared" si="1052"/>
        <v>45747</v>
      </c>
      <c r="DM154" s="96">
        <f t="shared" si="1052"/>
        <v>45777</v>
      </c>
      <c r="DN154" s="96">
        <f t="shared" si="1052"/>
        <v>45808</v>
      </c>
      <c r="DO154" s="96">
        <f t="shared" si="1052"/>
        <v>45838</v>
      </c>
      <c r="DP154" s="96">
        <f t="shared" si="1052"/>
        <v>45869</v>
      </c>
      <c r="DQ154" s="96">
        <f t="shared" si="1052"/>
        <v>45900</v>
      </c>
      <c r="DR154" s="96">
        <f t="shared" si="1052"/>
        <v>45930</v>
      </c>
      <c r="DS154" s="96">
        <f t="shared" si="1052"/>
        <v>45961</v>
      </c>
      <c r="DT154" s="96">
        <f t="shared" si="1052"/>
        <v>45991</v>
      </c>
      <c r="DU154" s="96">
        <f t="shared" si="1052"/>
        <v>46022</v>
      </c>
      <c r="DV154" s="96">
        <f t="shared" si="1052"/>
        <v>46053</v>
      </c>
      <c r="DW154" s="96">
        <f t="shared" si="1052"/>
        <v>46081</v>
      </c>
      <c r="DX154" s="96">
        <f t="shared" si="1052"/>
        <v>46112</v>
      </c>
      <c r="DY154" s="96">
        <f t="shared" si="1052"/>
        <v>46142</v>
      </c>
      <c r="DZ154" s="96">
        <f t="shared" si="1052"/>
        <v>46173</v>
      </c>
      <c r="EA154" s="96">
        <f t="shared" si="1052"/>
        <v>46203</v>
      </c>
      <c r="EB154" s="96">
        <f t="shared" si="1052"/>
        <v>46234</v>
      </c>
      <c r="EC154" s="96">
        <f t="shared" si="1052"/>
        <v>46265</v>
      </c>
      <c r="ED154" s="96">
        <f t="shared" si="1052"/>
        <v>46295</v>
      </c>
      <c r="EE154" s="96">
        <f t="shared" si="1052"/>
        <v>46326</v>
      </c>
      <c r="EF154" s="96">
        <f t="shared" si="1052"/>
        <v>46356</v>
      </c>
      <c r="EG154" s="96">
        <f t="shared" si="1052"/>
        <v>46387</v>
      </c>
      <c r="EH154" s="96">
        <f t="shared" si="1052"/>
        <v>46418</v>
      </c>
      <c r="EI154" s="96">
        <f t="shared" ref="EI154:FN154" si="1053">EI15</f>
        <v>46446</v>
      </c>
      <c r="EJ154" s="96">
        <f t="shared" si="1053"/>
        <v>46477</v>
      </c>
      <c r="EK154" s="96">
        <f t="shared" si="1053"/>
        <v>46507</v>
      </c>
      <c r="EL154" s="96">
        <f t="shared" si="1053"/>
        <v>46538</v>
      </c>
      <c r="EM154" s="96">
        <f t="shared" si="1053"/>
        <v>46568</v>
      </c>
      <c r="EN154" s="96">
        <f t="shared" si="1053"/>
        <v>46599</v>
      </c>
      <c r="EO154" s="96">
        <f t="shared" si="1053"/>
        <v>46630</v>
      </c>
      <c r="EP154" s="96">
        <f t="shared" si="1053"/>
        <v>46660</v>
      </c>
      <c r="EQ154" s="96">
        <f t="shared" si="1053"/>
        <v>46691</v>
      </c>
      <c r="ER154" s="96">
        <f t="shared" si="1053"/>
        <v>46721</v>
      </c>
      <c r="ES154" s="96">
        <f t="shared" si="1053"/>
        <v>46752</v>
      </c>
      <c r="ET154" s="96">
        <f t="shared" si="1053"/>
        <v>46783</v>
      </c>
      <c r="EU154" s="96">
        <f t="shared" si="1053"/>
        <v>46812</v>
      </c>
      <c r="EV154" s="96">
        <f t="shared" si="1053"/>
        <v>46843</v>
      </c>
      <c r="EW154" s="96">
        <f t="shared" si="1053"/>
        <v>46873</v>
      </c>
      <c r="EX154" s="96">
        <f t="shared" si="1053"/>
        <v>46904</v>
      </c>
      <c r="EY154" s="96">
        <f t="shared" si="1053"/>
        <v>46934</v>
      </c>
      <c r="EZ154" s="96">
        <f t="shared" si="1053"/>
        <v>46965</v>
      </c>
      <c r="FA154" s="96">
        <f t="shared" si="1053"/>
        <v>46996</v>
      </c>
      <c r="FB154" s="96">
        <f t="shared" si="1053"/>
        <v>47026</v>
      </c>
      <c r="FC154" s="96">
        <f t="shared" si="1053"/>
        <v>47057</v>
      </c>
      <c r="FD154" s="96">
        <f t="shared" si="1053"/>
        <v>47087</v>
      </c>
      <c r="FE154" s="96">
        <f t="shared" si="1053"/>
        <v>47118</v>
      </c>
      <c r="FF154" s="96">
        <f t="shared" si="1053"/>
        <v>47149</v>
      </c>
      <c r="FG154" s="96">
        <f t="shared" si="1053"/>
        <v>47177</v>
      </c>
      <c r="FH154" s="96">
        <f t="shared" si="1053"/>
        <v>47208</v>
      </c>
      <c r="FI154" s="96">
        <f t="shared" si="1053"/>
        <v>47238</v>
      </c>
      <c r="FJ154" s="96">
        <f t="shared" si="1053"/>
        <v>47269</v>
      </c>
      <c r="FK154" s="96">
        <f t="shared" si="1053"/>
        <v>47299</v>
      </c>
      <c r="FL154" s="96">
        <f t="shared" si="1053"/>
        <v>47330</v>
      </c>
      <c r="FM154" s="96">
        <f t="shared" si="1053"/>
        <v>47361</v>
      </c>
      <c r="FN154" s="96">
        <f t="shared" si="1053"/>
        <v>47391</v>
      </c>
      <c r="FO154" s="96">
        <f t="shared" ref="FO154:GC154" si="1054">FO15</f>
        <v>47422</v>
      </c>
      <c r="FP154" s="96">
        <f t="shared" si="1054"/>
        <v>47452</v>
      </c>
      <c r="FQ154" s="96">
        <f t="shared" si="1054"/>
        <v>47483</v>
      </c>
      <c r="FR154" s="96">
        <f t="shared" si="1054"/>
        <v>47514</v>
      </c>
      <c r="FS154" s="96">
        <f t="shared" si="1054"/>
        <v>47542</v>
      </c>
      <c r="FT154" s="96">
        <f t="shared" si="1054"/>
        <v>47573</v>
      </c>
      <c r="FU154" s="96">
        <f t="shared" si="1054"/>
        <v>47603</v>
      </c>
      <c r="FV154" s="96">
        <f t="shared" si="1054"/>
        <v>47634</v>
      </c>
      <c r="FW154" s="96">
        <f t="shared" si="1054"/>
        <v>47664</v>
      </c>
      <c r="FX154" s="96">
        <f t="shared" si="1054"/>
        <v>47695</v>
      </c>
      <c r="FY154" s="96">
        <f t="shared" si="1054"/>
        <v>47726</v>
      </c>
      <c r="FZ154" s="96">
        <f t="shared" si="1054"/>
        <v>47756</v>
      </c>
      <c r="GA154" s="96">
        <f t="shared" si="1054"/>
        <v>47787</v>
      </c>
      <c r="GB154" s="96">
        <f t="shared" si="1054"/>
        <v>47817</v>
      </c>
      <c r="GC154" s="96">
        <f t="shared" si="1054"/>
        <v>47848</v>
      </c>
      <c r="GD154" s="96"/>
      <c r="GE154" s="96"/>
      <c r="GF154" s="96"/>
      <c r="GG154" s="96"/>
      <c r="GH154" s="96"/>
      <c r="GI154" s="96"/>
      <c r="GJ154" s="96"/>
      <c r="GK154" s="96"/>
      <c r="GL154" s="96"/>
      <c r="GM154" s="96"/>
      <c r="GN154" s="96"/>
      <c r="GO154" s="96"/>
      <c r="GP154" s="96">
        <f>GP15</f>
        <v>48244</v>
      </c>
      <c r="GQ154" s="96">
        <f>GQ15</f>
        <v>48273</v>
      </c>
      <c r="GR154" s="96">
        <f>GR15</f>
        <v>48304</v>
      </c>
      <c r="GS154" s="96">
        <f>GS15</f>
        <v>48334</v>
      </c>
      <c r="GT154" s="96">
        <f>GT15</f>
        <v>48365</v>
      </c>
      <c r="GU154" s="96"/>
      <c r="GV154" s="96"/>
      <c r="GW154" s="96"/>
      <c r="GX154" s="96"/>
      <c r="GY154" s="96"/>
      <c r="GZ154" s="96"/>
      <c r="HA154" s="96"/>
      <c r="HB154" s="96"/>
      <c r="HC154" s="96"/>
      <c r="HD154" s="96"/>
      <c r="HE154" s="96"/>
      <c r="HF154" s="1" t="s">
        <v>212</v>
      </c>
      <c r="HI154" s="34"/>
      <c r="HJ154" s="34"/>
      <c r="HK154" s="34"/>
      <c r="HL154" s="208"/>
      <c r="HM154" s="18"/>
      <c r="HN154" s="195"/>
      <c r="HO154" s="96"/>
      <c r="HP154" s="96"/>
      <c r="HQ154" s="96"/>
      <c r="HR154" s="96"/>
      <c r="HS154" s="96"/>
      <c r="HT154" s="96"/>
      <c r="HU154" s="96"/>
      <c r="HV154" s="96"/>
      <c r="HW154"/>
    </row>
    <row r="155" spans="1:231" ht="15" outlineLevel="1">
      <c r="B155" s="9" t="s">
        <v>92</v>
      </c>
      <c r="C155" s="9"/>
      <c r="D155" s="33"/>
      <c r="E155" s="33"/>
      <c r="F155" s="33"/>
      <c r="G155" s="33"/>
      <c r="H155" s="33"/>
      <c r="I155" s="208"/>
      <c r="J155" s="33"/>
      <c r="K155" s="1443"/>
      <c r="L155" s="1444"/>
      <c r="M155" s="1444"/>
      <c r="N155" s="1444"/>
      <c r="O155" s="1444"/>
      <c r="P155" s="1444"/>
      <c r="Q155" s="1444"/>
      <c r="R155" s="1444"/>
      <c r="S155" s="1444"/>
      <c r="T155" s="1444"/>
      <c r="U155" s="1444"/>
      <c r="V155" s="1444"/>
      <c r="W155" s="1444"/>
      <c r="X155" s="1444"/>
      <c r="Y155" s="1444"/>
      <c r="Z155" s="1444"/>
      <c r="AA155" s="1444"/>
      <c r="AB155" s="1444"/>
      <c r="AC155" s="1444"/>
      <c r="AD155" s="1444"/>
      <c r="AE155" s="1444"/>
      <c r="AF155" s="1444"/>
      <c r="AG155" s="1444"/>
      <c r="AH155" s="1444"/>
      <c r="AI155" s="1444"/>
      <c r="AJ155" s="1444"/>
      <c r="AK155" s="1444"/>
      <c r="AL155" s="1444"/>
      <c r="AM155" s="1444"/>
      <c r="AN155" s="1444"/>
      <c r="AO155" s="1444"/>
      <c r="AP155" s="1444"/>
      <c r="AQ155" s="1444"/>
      <c r="AR155" s="1444"/>
      <c r="AS155" s="1444"/>
      <c r="AT155" s="1444"/>
      <c r="AU155" s="1444"/>
      <c r="AV155" s="1444"/>
      <c r="AW155" s="1444"/>
      <c r="AX155" s="1444"/>
      <c r="AY155" s="1444"/>
      <c r="AZ155" s="1444"/>
      <c r="BA155" s="1444"/>
      <c r="BB155" s="1444"/>
      <c r="BC155" s="1444"/>
      <c r="BD155" s="1444"/>
      <c r="BE155" s="1444"/>
      <c r="BF155" s="1444"/>
      <c r="BG155" s="1444"/>
      <c r="BH155" s="1444"/>
      <c r="BI155" s="1444"/>
      <c r="BJ155" s="1444"/>
      <c r="BK155" s="1444"/>
      <c r="BL155" s="1444"/>
      <c r="BM155" s="1444"/>
      <c r="BN155" s="1444"/>
      <c r="BO155" s="1444"/>
      <c r="BP155" s="1444"/>
      <c r="BQ155" s="1444"/>
      <c r="BR155" s="1444"/>
      <c r="BS155" s="1444"/>
      <c r="BT155" s="25">
        <f>LIBOR!T5</f>
        <v>9.2400000000000002E-4</v>
      </c>
      <c r="BU155" s="25">
        <f>IF(BU154=LIBOR!U4,LIBOR!U5)</f>
        <v>9.5600000000000004E-4</v>
      </c>
      <c r="BV155" s="25">
        <f>IF(BV154=LIBOR!V4,LIBOR!V5)</f>
        <v>9.6500000000000004E-4</v>
      </c>
      <c r="BW155" s="25">
        <f>IF(BW154=LIBOR!W4,LIBOR!W5)</f>
        <v>9.0249999999999998E-4</v>
      </c>
      <c r="BX155" s="25">
        <f>IF(BX154=LIBOR!X4,LIBOR!X5)</f>
        <v>9.8879999999999997E-4</v>
      </c>
      <c r="BY155" s="25">
        <f>IF(BY154=LIBOR!Y4,LIBOR!Y5)</f>
        <v>1.0658E-3</v>
      </c>
      <c r="BZ155" s="25">
        <f>IF(BZ154=LIBOR!Z4,LIBOR!Z5)</f>
        <v>1.1402000000000001E-3</v>
      </c>
      <c r="CA155" s="25">
        <f>IF(CA154=LIBOR!AA4,LIBOR!AA5)</f>
        <v>1.2133000000000001E-3</v>
      </c>
      <c r="CB155" s="25">
        <f>IF(CB154=LIBOR!AB4,LIBOR!AB5)</f>
        <v>1.2846000000000001E-3</v>
      </c>
      <c r="CC155" s="25">
        <f>IF(CC154=LIBOR!AC4,LIBOR!AC5)</f>
        <v>1.3839E-3</v>
      </c>
      <c r="CD155" s="25">
        <f>IF(CD154=LIBOR!AD4,LIBOR!AD5)</f>
        <v>1.5901000000000001E-3</v>
      </c>
      <c r="CE155" s="25">
        <f>IF(CE154=LIBOR!AE4,LIBOR!AE5)</f>
        <v>1.8730000000000001E-3</v>
      </c>
      <c r="CF155" s="25">
        <f>IF(CF154=LIBOR!AF4,LIBOR!AF5)</f>
        <v>2.2566000000000001E-3</v>
      </c>
      <c r="CG155" s="25">
        <f>IF(CG154=LIBOR!AG4,LIBOR!AG5)</f>
        <v>2.7160999999999999E-3</v>
      </c>
      <c r="CH155" s="25">
        <f>IF(CH154=LIBOR!AH4,LIBOR!AH5)</f>
        <v>3.2206000000000001E-3</v>
      </c>
      <c r="CI155" s="25">
        <f>IF(CI154=LIBOR!AI4,LIBOR!AI5)</f>
        <v>3.7682000000000002E-3</v>
      </c>
      <c r="CJ155" s="25">
        <f>IF(CJ154=LIBOR!AJ4,LIBOR!AJ5)</f>
        <v>3.90987E-2</v>
      </c>
      <c r="CK155" s="25">
        <f>IF(CK154=LIBOR!AK4,LIBOR!AK5)</f>
        <v>4.44781E-2</v>
      </c>
      <c r="CL155" s="25">
        <f>IF(CL154=LIBOR!AL4,LIBOR!AL5)</f>
        <v>4.8152599999999997E-2</v>
      </c>
      <c r="CM155" s="25">
        <f>IF(CM154=LIBOR!AM4,LIBOR!AM5)</f>
        <v>5.02318E-2</v>
      </c>
      <c r="CN155" s="25">
        <f>IF(CN154=LIBOR!AN4,LIBOR!AN5)</f>
        <v>5.0998799999999997E-2</v>
      </c>
      <c r="CO155" s="25">
        <f>IF(CO154=LIBOR!AO4,LIBOR!AO5)</f>
        <v>5.1074399999999999E-2</v>
      </c>
      <c r="CP155" s="25">
        <f>IF(CP154=LIBOR!AP4,LIBOR!AP5)</f>
        <v>5.08242E-2</v>
      </c>
      <c r="CQ155" s="25">
        <f>IF(CQ154=LIBOR!AQ4,LIBOR!AQ5)</f>
        <v>5.02967E-2</v>
      </c>
      <c r="CR155" s="25">
        <f>IF(CR154=LIBOR!AR4,LIBOR!AR5)</f>
        <v>4.9586600000000002E-2</v>
      </c>
      <c r="CS155" s="25">
        <f>IF(CS154=LIBOR!AS4,LIBOR!AS5)</f>
        <v>4.8841200000000001E-2</v>
      </c>
      <c r="CT155" s="25">
        <f>IF(CT154=LIBOR!AT4,LIBOR!AT5)</f>
        <v>4.7955400000000002E-2</v>
      </c>
      <c r="CU155" s="25">
        <f>IF(CU154=LIBOR!AU4,LIBOR!AU5)</f>
        <v>4.7155799999999998E-2</v>
      </c>
      <c r="CV155" s="25">
        <f>IF(CV154=LIBOR!AV4,LIBOR!AV5)</f>
        <v>4.6134599999999998E-2</v>
      </c>
      <c r="CW155" s="25">
        <f>IF(CW154=LIBOR!AW4,LIBOR!AW5)</f>
        <v>4.50652E-2</v>
      </c>
      <c r="CX155" s="25">
        <f>IF(CX154=LIBOR!AX4,LIBOR!AX5)</f>
        <v>4.4078199999999998E-2</v>
      </c>
      <c r="CY155" s="25">
        <f>IF(CY154=LIBOR!AY4,LIBOR!AY5)</f>
        <v>4.2911199999999997E-2</v>
      </c>
      <c r="CZ155" s="25">
        <f>IF(CZ154=LIBOR!AZ4,LIBOR!AZ5)</f>
        <v>4.1686899999999999E-2</v>
      </c>
      <c r="DA155" s="25">
        <f>IF(DA154=LIBOR!BA4,LIBOR!BA5)</f>
        <v>4.05943E-2</v>
      </c>
      <c r="DB155" s="25">
        <f>IF(DB154=LIBOR!BB4,LIBOR!BB5)</f>
        <v>3.9406200000000002E-2</v>
      </c>
      <c r="DC155" s="25">
        <f>IF(DC154=LIBOR!BC4,LIBOR!BC5)</f>
        <v>3.83253E-2</v>
      </c>
      <c r="DD155" s="25">
        <f>IF(DD154=LIBOR!BD4,LIBOR!BD5)</f>
        <v>3.7435400000000001E-2</v>
      </c>
      <c r="DE155" s="25">
        <f>IF(DE154=LIBOR!BE4,LIBOR!BE5)</f>
        <v>3.6636299999999997E-2</v>
      </c>
      <c r="DF155" s="25">
        <f>IF(DF154=LIBOR!BF4,LIBOR!BF5)</f>
        <v>3.6059899999999999E-2</v>
      </c>
      <c r="DG155" s="25">
        <f>IF(DG154=LIBOR!BG4,LIBOR!BG5)</f>
        <v>3.5537199999999998E-2</v>
      </c>
      <c r="DH155" s="25">
        <f>IF(DH154=LIBOR!BH4,LIBOR!BH5)</f>
        <v>3.5163899999999998E-2</v>
      </c>
      <c r="DI155" s="25">
        <f>IF(DI154=LIBOR!BI4,LIBOR!BI5)</f>
        <v>3.4929399999999999E-2</v>
      </c>
      <c r="DJ155" s="25">
        <f>IF(DJ154=LIBOR!BJ4,LIBOR!BJ5)</f>
        <v>3.4659599999999999E-2</v>
      </c>
      <c r="DK155" s="25">
        <f>IF(DK154=LIBOR!BK4,LIBOR!BK5)</f>
        <v>3.4436300000000003E-2</v>
      </c>
      <c r="DL155" s="25">
        <f>IF(DL154=LIBOR!BL4,LIBOR!BL5)</f>
        <v>3.4244200000000002E-2</v>
      </c>
      <c r="DM155" s="25">
        <f>IF(DM154=LIBOR!BM4,LIBOR!BM5)</f>
        <v>3.40349E-2</v>
      </c>
      <c r="DN155" s="25">
        <f>IF(DN154=LIBOR!BN4,LIBOR!BN5)</f>
        <v>3.3835299999999999E-2</v>
      </c>
      <c r="DO155" s="25">
        <f>IF(DO154=LIBOR!BO4,LIBOR!BO5)</f>
        <v>3.3660700000000002E-2</v>
      </c>
      <c r="DP155" s="25">
        <f>IF(DP154=LIBOR!BP4,LIBOR!BP5)</f>
        <v>3.3436599999999997E-2</v>
      </c>
      <c r="DQ155" s="25">
        <f>IF(DQ154=LIBOR!BQ4,LIBOR!BQ5)</f>
        <v>3.3233100000000002E-2</v>
      </c>
      <c r="DR155" s="25">
        <f>IF(DR154=LIBOR!BR4,LIBOR!BR5)</f>
        <v>3.3073999999999999E-2</v>
      </c>
      <c r="DS155" s="25">
        <f>IF(DS154=LIBOR!BS4,LIBOR!BS5)</f>
        <v>3.2877499999999997E-2</v>
      </c>
      <c r="DT155" s="25">
        <f>IF(DT154=LIBOR!BT4,LIBOR!BT5)</f>
        <v>3.2710000000000003E-2</v>
      </c>
      <c r="DU155" s="25">
        <f>IF(DU154=LIBOR!BU4,LIBOR!BU5)</f>
        <v>3.25854E-2</v>
      </c>
      <c r="DV155" s="25">
        <f>IF(DV154=LIBOR!BV4,LIBOR!BV5)</f>
        <v>3.24447E-2</v>
      </c>
      <c r="DW155" s="25">
        <f>IF(DW154=LIBOR!BW4,LIBOR!BW5)</f>
        <v>3.2349000000000003E-2</v>
      </c>
      <c r="DX155" s="25">
        <f>IF(DX154=LIBOR!BX4,LIBOR!BX5)</f>
        <v>3.2280299999999998E-2</v>
      </c>
      <c r="DY155" s="25">
        <f>IF(DY154=LIBOR!BY4,LIBOR!BY5)</f>
        <v>3.2198200000000003E-2</v>
      </c>
      <c r="DZ155" s="25">
        <f>IF(DZ154=LIBOR!BZ4,LIBOR!BZ5)</f>
        <v>3.2153300000000003E-2</v>
      </c>
      <c r="EA155" s="25">
        <f>IF(EA154=LIBOR!CA4,LIBOR!CA5)</f>
        <v>3.2140799999999997E-2</v>
      </c>
      <c r="EB155" s="25">
        <f>IF(EB154=LIBOR!CB4,LIBOR!CB5)</f>
        <v>3.2116800000000001E-2</v>
      </c>
      <c r="EC155" s="25">
        <f>IF(EC154=LIBOR!CC4,LIBOR!CC5)</f>
        <v>3.2124899999999998E-2</v>
      </c>
      <c r="ED155" s="25">
        <f>IF(ED154=LIBOR!CD4,LIBOR!CD5)</f>
        <v>3.2156799999999999E-2</v>
      </c>
      <c r="EE155" s="25">
        <f>IF(EE154=LIBOR!CE4,LIBOR!CE5)</f>
        <v>3.2176099999999999E-2</v>
      </c>
      <c r="EF155" s="25">
        <f>IF(EF154=LIBOR!CF4,LIBOR!CF5)</f>
        <v>3.22162E-2</v>
      </c>
      <c r="EG155" s="25">
        <f>IF(EG154=LIBOR!CG4,LIBOR!CG5)</f>
        <v>3.2280999999999997E-2</v>
      </c>
      <c r="EH155" s="25">
        <f>IF(EH154=LIBOR!CH4,LIBOR!CH5)</f>
        <v>3.2321700000000002E-2</v>
      </c>
      <c r="EI155" s="25">
        <f>IF(EI154=LIBOR!CI4,LIBOR!CI5)</f>
        <v>3.2369599999999998E-2</v>
      </c>
      <c r="EJ155" s="25">
        <f>IF(EJ154=LIBOR!CJ4,LIBOR!CJ5)</f>
        <v>3.2431799999999997E-2</v>
      </c>
      <c r="EK155" s="25">
        <f>IF(EK154=LIBOR!CK4,LIBOR!CK5)</f>
        <v>3.2464E-2</v>
      </c>
      <c r="EL155" s="25">
        <f>IF(EL154=LIBOR!CL4,LIBOR!CL5)</f>
        <v>3.2507300000000003E-2</v>
      </c>
      <c r="EM155" s="25">
        <f>IF(EM154=LIBOR!CM4,LIBOR!CM5)</f>
        <v>3.2555800000000003E-2</v>
      </c>
      <c r="EN155" s="25">
        <f>IF(EN154=LIBOR!CN4,LIBOR!CN5)</f>
        <v>3.2577000000000002E-2</v>
      </c>
      <c r="EO155" s="25">
        <f>IF(EO154=LIBOR!CO4,LIBOR!CO5)</f>
        <v>3.2608400000000003E-2</v>
      </c>
      <c r="EP155" s="25">
        <f>IF(EP154=LIBOR!CP4,LIBOR!CP5)</f>
        <v>3.2653399999999999E-2</v>
      </c>
      <c r="EQ155" s="25">
        <f>IF(EQ154=LIBOR!CQ4,LIBOR!CQ5)</f>
        <v>3.2668099999999999E-2</v>
      </c>
      <c r="ER155" s="25">
        <f>IF(ER154=LIBOR!CR4,LIBOR!CR5)</f>
        <v>3.26918E-2</v>
      </c>
      <c r="ES155" s="25">
        <f>IF(ES154=LIBOR!CS4,LIBOR!CS5)</f>
        <v>3.2729800000000003E-2</v>
      </c>
      <c r="ET155" s="25">
        <f>IF(ET154=LIBOR!CT4,LIBOR!CT5)</f>
        <v>3.2742300000000002E-2</v>
      </c>
      <c r="EU155" s="25">
        <f>IF(EU154=LIBOR!CU4,LIBOR!CU5)</f>
        <v>3.2769300000000001E-2</v>
      </c>
      <c r="EV155" s="25">
        <f>IF(EV154=LIBOR!CV4,LIBOR!CV5)</f>
        <v>3.2809699999999997E-2</v>
      </c>
      <c r="EW155" s="25">
        <f>IF(EW154=LIBOR!CW4,LIBOR!CW5)</f>
        <v>3.2825500000000001E-2</v>
      </c>
      <c r="EX155" s="25">
        <f>IF(EX154=LIBOR!CX4,LIBOR!CX5)</f>
        <v>3.2857699999999997E-2</v>
      </c>
      <c r="EY155" s="25">
        <f>IF(EY154=LIBOR!CY4,LIBOR!CY5)</f>
        <v>3.2901E-2</v>
      </c>
      <c r="EZ155" s="25">
        <f>IF(EZ154=LIBOR!CZ4,LIBOR!CZ5)</f>
        <v>3.29184E-2</v>
      </c>
      <c r="FA155" s="25">
        <f>IF(FA154=LIBOR!DA4,LIBOR!DA5)</f>
        <v>3.2949600000000002E-2</v>
      </c>
      <c r="FB155" s="25">
        <f>IF(FB154=LIBOR!DB4,LIBOR!DB5)</f>
        <v>3.2996900000000003E-2</v>
      </c>
      <c r="FC155" s="25">
        <f>IF(FC154=LIBOR!DC4,LIBOR!DC5)</f>
        <v>3.3015999999999997E-2</v>
      </c>
      <c r="FD155" s="25">
        <f>IF(FD154=LIBOR!DD4,LIBOR!DD5)</f>
        <v>3.3055500000000002E-2</v>
      </c>
      <c r="FE155" s="25">
        <f>IF(FE154=LIBOR!DE4,LIBOR!DE5)</f>
        <v>3.31054E-2</v>
      </c>
      <c r="FF155" s="25">
        <f>IF(FF154=LIBOR!DF4,LIBOR!DF5)</f>
        <v>3.3126900000000001E-2</v>
      </c>
      <c r="FG155" s="25">
        <f>IF(FG154=LIBOR!DG4,LIBOR!DG5)</f>
        <v>3.3164800000000001E-2</v>
      </c>
      <c r="FH155" s="25">
        <f>IF(FH154=LIBOR!DH4,LIBOR!DH5)</f>
        <v>3.32094E-2</v>
      </c>
      <c r="FI155" s="25">
        <f>IF(FI154=LIBOR!DI4,LIBOR!DI5)</f>
        <v>3.3226400000000003E-2</v>
      </c>
      <c r="FJ155" s="25">
        <f>IF(FJ154=LIBOR!DJ4,LIBOR!DJ5)</f>
        <v>3.3257399999999999E-2</v>
      </c>
      <c r="FK155" s="25">
        <f>IF(FK154=LIBOR!DK4,LIBOR!DK5)</f>
        <v>3.3295600000000002E-2</v>
      </c>
      <c r="FL155" s="25">
        <f>IF(FL154=LIBOR!DL4,LIBOR!DL5)</f>
        <v>3.3304100000000003E-2</v>
      </c>
      <c r="FM155" s="25">
        <f>IF(FM154=LIBOR!DM4,LIBOR!DM5)</f>
        <v>3.3325800000000003E-2</v>
      </c>
      <c r="FN155" s="25">
        <f>IF(FN154=LIBOR!DN4,LIBOR!DN5)</f>
        <v>3.3354300000000003E-2</v>
      </c>
      <c r="FO155" s="25">
        <f>IF(FO154=LIBOR!DO4,LIBOR!DO5)</f>
        <v>3.3355000000000003E-2</v>
      </c>
      <c r="FP155" s="25">
        <f>IF(FP154=LIBOR!DP4,LIBOR!DP5)</f>
        <v>3.3371600000000001E-2</v>
      </c>
      <c r="FQ155" s="25">
        <f>IF(FQ154=LIBOR!DQ4,LIBOR!DQ5)</f>
        <v>3.3404400000000001E-2</v>
      </c>
      <c r="FR155" s="25">
        <f>IF(FR154=LIBOR!DR4,LIBOR!DR5)</f>
        <v>3.3418200000000002E-2</v>
      </c>
      <c r="FS155" s="25">
        <f>IF(FS154=LIBOR!DS4,LIBOR!DS5)</f>
        <v>3.3460200000000002E-2</v>
      </c>
      <c r="FT155" s="25">
        <f>IF(FT154=LIBOR!DT4,LIBOR!DT5)</f>
        <v>3.3514200000000001E-2</v>
      </c>
      <c r="FU155" s="25">
        <f>IF(FU154=LIBOR!DU4,LIBOR!DU5)</f>
        <v>3.3547899999999999E-2</v>
      </c>
      <c r="FV155" s="25">
        <f>IF(FV154=LIBOR!DV4,LIBOR!DV5)</f>
        <v>3.3609399999999998E-2</v>
      </c>
      <c r="FW155" s="25">
        <f>IF(FW154=LIBOR!DW4,LIBOR!DW5)</f>
        <v>3.36908E-2</v>
      </c>
      <c r="FX155" s="25">
        <f>IF(FX154=LIBOR!DX4,LIBOR!DX5)</f>
        <v>3.3746400000000003E-2</v>
      </c>
      <c r="FY155" s="25">
        <f>IF(FY154=LIBOR!DY4,LIBOR!DY5)</f>
        <v>3.3830199999999998E-2</v>
      </c>
      <c r="FZ155" s="25">
        <f>IF(FZ154=LIBOR!DZ4,LIBOR!DZ5)</f>
        <v>3.3926199999999997E-2</v>
      </c>
      <c r="GA155" s="25">
        <f>IF(GA154=LIBOR!EA4,LIBOR!EA5)</f>
        <v>3.4008200000000002E-2</v>
      </c>
      <c r="GB155" s="25">
        <f>IF(GB154=LIBOR!EB4,LIBOR!EB5)</f>
        <v>3.41102E-2</v>
      </c>
      <c r="GC155" s="25">
        <f>IF(GC154=LIBOR!EC4,LIBOR!EC5)</f>
        <v>3.4208000000000002E-2</v>
      </c>
      <c r="GD155" s="25"/>
      <c r="GE155" s="25"/>
      <c r="GF155" s="25"/>
      <c r="GG155" s="25"/>
      <c r="GH155" s="25"/>
      <c r="GI155" s="25"/>
      <c r="GJ155" s="25"/>
      <c r="GK155" s="25"/>
      <c r="GL155" s="25"/>
      <c r="GM155" s="25"/>
      <c r="GN155" s="25"/>
      <c r="GO155" s="25"/>
      <c r="GP155" s="25">
        <f>MAX(INDEX(LIBOR!$M$3:$M$122,MATCH('Monthly Cash Flow'!GP$154,LIBOR!$N$3:$N$122)), Assumptions!$D$67)</f>
        <v>5.1999999999999998E-2</v>
      </c>
      <c r="GQ155" s="25">
        <f>MAX(INDEX(LIBOR!$M$3:$M$122,MATCH('Monthly Cash Flow'!GQ$154,LIBOR!$N$3:$N$122)), Assumptions!$D$67)</f>
        <v>5.1999999999999998E-2</v>
      </c>
      <c r="GR155" s="25">
        <f>MAX(INDEX(LIBOR!$M$3:$M$122,MATCH('Monthly Cash Flow'!GR$154,LIBOR!$N$3:$N$122)), Assumptions!$D$67)</f>
        <v>5.1999999999999998E-2</v>
      </c>
      <c r="GS155" s="25">
        <f>MAX(INDEX(LIBOR!$M$3:$M$122,MATCH('Monthly Cash Flow'!GS$154,LIBOR!$N$3:$N$122)), Assumptions!$D$67)</f>
        <v>5.1999999999999998E-2</v>
      </c>
      <c r="GT155" s="25">
        <f>MAX(INDEX(LIBOR!$M$3:$M$122,MATCH('Monthly Cash Flow'!GT$154,LIBOR!$N$3:$N$122)), Assumptions!$D$67)</f>
        <v>5.1999999999999998E-2</v>
      </c>
      <c r="GU155" s="25"/>
      <c r="GV155" s="25"/>
      <c r="GW155" s="25"/>
      <c r="GX155" s="25"/>
      <c r="GY155" s="25"/>
      <c r="GZ155" s="25"/>
      <c r="HA155" s="25"/>
      <c r="HB155" s="25"/>
      <c r="HC155" s="25"/>
      <c r="HD155" s="25"/>
      <c r="HE155" s="25"/>
      <c r="HF155" s="1" t="s">
        <v>212</v>
      </c>
      <c r="HH155" s="9"/>
      <c r="HI155" s="34"/>
      <c r="HJ155" s="34"/>
      <c r="HK155" s="34"/>
      <c r="HL155" s="208"/>
      <c r="HM155" s="18"/>
      <c r="HN155" s="100"/>
      <c r="HO155" s="25"/>
      <c r="HP155" s="25"/>
      <c r="HQ155" s="25"/>
      <c r="HR155" s="25"/>
      <c r="HS155" s="25"/>
      <c r="HT155" s="25"/>
      <c r="HU155" s="25"/>
      <c r="HV155" s="25"/>
      <c r="HW155"/>
    </row>
    <row r="156" spans="1:231" ht="15" outlineLevel="1">
      <c r="B156" s="9" t="s">
        <v>125</v>
      </c>
      <c r="C156" s="9"/>
      <c r="I156" s="97"/>
      <c r="K156" s="1443"/>
      <c r="L156" s="1444"/>
      <c r="M156" s="1444"/>
      <c r="N156" s="1444"/>
      <c r="O156" s="1444"/>
      <c r="P156" s="1444"/>
      <c r="Q156" s="1444"/>
      <c r="R156" s="1444"/>
      <c r="S156" s="1444"/>
      <c r="T156" s="1444"/>
      <c r="U156" s="1444"/>
      <c r="V156" s="1444"/>
      <c r="W156" s="1444"/>
      <c r="X156" s="1444"/>
      <c r="Y156" s="1444"/>
      <c r="Z156" s="1444"/>
      <c r="AA156" s="1444"/>
      <c r="AB156" s="1444"/>
      <c r="AC156" s="1444"/>
      <c r="AD156" s="1444"/>
      <c r="AE156" s="1444"/>
      <c r="AF156" s="1444"/>
      <c r="AG156" s="1444"/>
      <c r="AH156" s="1444"/>
      <c r="AI156" s="1444"/>
      <c r="AJ156" s="1444"/>
      <c r="AK156" s="1444"/>
      <c r="AL156" s="1444"/>
      <c r="AM156" s="1444"/>
      <c r="AN156" s="1444"/>
      <c r="AO156" s="1444"/>
      <c r="AP156" s="1444"/>
      <c r="AQ156" s="1444"/>
      <c r="AR156" s="1444"/>
      <c r="AS156" s="1444"/>
      <c r="AT156" s="1444"/>
      <c r="AU156" s="1444"/>
      <c r="AV156" s="1444"/>
      <c r="AW156" s="1444"/>
      <c r="AX156" s="1444"/>
      <c r="AY156" s="1444"/>
      <c r="AZ156" s="1444"/>
      <c r="BA156" s="1444"/>
      <c r="BB156" s="1444"/>
      <c r="BC156" s="1444"/>
      <c r="BD156" s="1444"/>
      <c r="BE156" s="1444"/>
      <c r="BF156" s="1444"/>
      <c r="BG156" s="1444"/>
      <c r="BH156" s="1444"/>
      <c r="BI156" s="1444"/>
      <c r="BJ156" s="1444"/>
      <c r="BK156" s="1444"/>
      <c r="BL156" s="1444"/>
      <c r="BM156" s="1444"/>
      <c r="BN156" s="1444"/>
      <c r="BO156" s="1444"/>
      <c r="BP156" s="1444"/>
      <c r="BQ156" s="1444"/>
      <c r="BR156" s="1444"/>
      <c r="BS156" s="1444"/>
      <c r="BT156" s="25">
        <f>Assumptions!$D$65/10000</f>
        <v>4.9000000000000002E-2</v>
      </c>
      <c r="BU156" s="25">
        <f>Assumptions!$D$65/10000</f>
        <v>4.9000000000000002E-2</v>
      </c>
      <c r="BV156" s="25">
        <f>Assumptions!$D$65/10000</f>
        <v>4.9000000000000002E-2</v>
      </c>
      <c r="BW156" s="25">
        <f>Assumptions!$D$65/10000</f>
        <v>4.9000000000000002E-2</v>
      </c>
      <c r="BX156" s="25">
        <f>Assumptions!$D$65/10000</f>
        <v>4.9000000000000002E-2</v>
      </c>
      <c r="BY156" s="25">
        <f>Assumptions!$D$65/10000</f>
        <v>4.9000000000000002E-2</v>
      </c>
      <c r="BZ156" s="25">
        <f>Assumptions!$D$65/10000</f>
        <v>4.9000000000000002E-2</v>
      </c>
      <c r="CA156" s="25">
        <f>Assumptions!$D$65/10000</f>
        <v>4.9000000000000002E-2</v>
      </c>
      <c r="CB156" s="25">
        <f>Assumptions!$D$65/10000</f>
        <v>4.9000000000000002E-2</v>
      </c>
      <c r="CC156" s="25">
        <f>Assumptions!$D$65/10000</f>
        <v>4.9000000000000002E-2</v>
      </c>
      <c r="CD156" s="25">
        <f>Assumptions!$D$65/10000</f>
        <v>4.9000000000000002E-2</v>
      </c>
      <c r="CE156" s="25">
        <f>Assumptions!$D$65/10000</f>
        <v>4.9000000000000002E-2</v>
      </c>
      <c r="CF156" s="25">
        <f>Assumptions!$D$65/10000</f>
        <v>4.9000000000000002E-2</v>
      </c>
      <c r="CG156" s="25">
        <f>Assumptions!$D$65/10000</f>
        <v>4.9000000000000002E-2</v>
      </c>
      <c r="CH156" s="25">
        <f>Assumptions!$D$65/10000</f>
        <v>4.9000000000000002E-2</v>
      </c>
      <c r="CI156" s="25">
        <f>Assumptions!$D$65/10000</f>
        <v>4.9000000000000002E-2</v>
      </c>
      <c r="CJ156" s="25">
        <f>Assumptions!$D$65/10000</f>
        <v>4.9000000000000002E-2</v>
      </c>
      <c r="CK156" s="25">
        <f>Assumptions!$D$65/10000</f>
        <v>4.9000000000000002E-2</v>
      </c>
      <c r="CL156" s="25">
        <f>Assumptions!$D$65/10000</f>
        <v>4.9000000000000002E-2</v>
      </c>
      <c r="CM156" s="25">
        <f>Assumptions!$D$65/10000</f>
        <v>4.9000000000000002E-2</v>
      </c>
      <c r="CN156" s="25">
        <f>Assumptions!$D$65/10000</f>
        <v>4.9000000000000002E-2</v>
      </c>
      <c r="CO156" s="25">
        <f>Assumptions!$D$65/10000</f>
        <v>4.9000000000000002E-2</v>
      </c>
      <c r="CP156" s="25">
        <f>Assumptions!$D$65/10000</f>
        <v>4.9000000000000002E-2</v>
      </c>
      <c r="CQ156" s="25">
        <f>Assumptions!$D$65/10000</f>
        <v>4.9000000000000002E-2</v>
      </c>
      <c r="CR156" s="25">
        <f>Assumptions!$D$65/10000</f>
        <v>4.9000000000000002E-2</v>
      </c>
      <c r="CS156" s="25">
        <f>Assumptions!$D$65/10000</f>
        <v>4.9000000000000002E-2</v>
      </c>
      <c r="CT156" s="25">
        <f>Assumptions!$D$65/10000</f>
        <v>4.9000000000000002E-2</v>
      </c>
      <c r="CU156" s="25">
        <f>Assumptions!$D$65/10000</f>
        <v>4.9000000000000002E-2</v>
      </c>
      <c r="CV156" s="25">
        <f>Assumptions!$D$65/10000</f>
        <v>4.9000000000000002E-2</v>
      </c>
      <c r="CW156" s="25">
        <f>Assumptions!$D$65/10000</f>
        <v>4.9000000000000002E-2</v>
      </c>
      <c r="CX156" s="25">
        <f>Assumptions!$D$65/10000</f>
        <v>4.9000000000000002E-2</v>
      </c>
      <c r="CY156" s="25">
        <f>Assumptions!$D$65/10000</f>
        <v>4.9000000000000002E-2</v>
      </c>
      <c r="CZ156" s="25">
        <f>Assumptions!$D$65/10000</f>
        <v>4.9000000000000002E-2</v>
      </c>
      <c r="DA156" s="25">
        <f>Assumptions!$D$65/10000</f>
        <v>4.9000000000000002E-2</v>
      </c>
      <c r="DB156" s="25">
        <f>Assumptions!$D$65/10000</f>
        <v>4.9000000000000002E-2</v>
      </c>
      <c r="DC156" s="25">
        <f>Assumptions!$D$65/10000</f>
        <v>4.9000000000000002E-2</v>
      </c>
      <c r="DD156" s="25">
        <f>Assumptions!$D$65/10000</f>
        <v>4.9000000000000002E-2</v>
      </c>
      <c r="DE156" s="25">
        <f>Assumptions!$D$65/10000</f>
        <v>4.9000000000000002E-2</v>
      </c>
      <c r="DF156" s="25">
        <f>Assumptions!$D$65/10000</f>
        <v>4.9000000000000002E-2</v>
      </c>
      <c r="DG156" s="25">
        <f>Assumptions!$D$65/10000</f>
        <v>4.9000000000000002E-2</v>
      </c>
      <c r="DH156" s="25">
        <f>Assumptions!$D$65/10000</f>
        <v>4.9000000000000002E-2</v>
      </c>
      <c r="DI156" s="25">
        <f>Assumptions!$D$65/10000</f>
        <v>4.9000000000000002E-2</v>
      </c>
      <c r="DJ156" s="25">
        <f>Assumptions!$D$65/10000</f>
        <v>4.9000000000000002E-2</v>
      </c>
      <c r="DK156" s="25">
        <f>Assumptions!$D$65/10000</f>
        <v>4.9000000000000002E-2</v>
      </c>
      <c r="DL156" s="25">
        <f>Assumptions!$D$65/10000</f>
        <v>4.9000000000000002E-2</v>
      </c>
      <c r="DM156" s="25">
        <f>Assumptions!$D$65/10000</f>
        <v>4.9000000000000002E-2</v>
      </c>
      <c r="DN156" s="25">
        <f>Assumptions!$D$65/10000</f>
        <v>4.9000000000000002E-2</v>
      </c>
      <c r="DO156" s="25">
        <f>Assumptions!$D$65/10000</f>
        <v>4.9000000000000002E-2</v>
      </c>
      <c r="DP156" s="25">
        <f>Assumptions!$D$65/10000</f>
        <v>4.9000000000000002E-2</v>
      </c>
      <c r="DQ156" s="25">
        <f>Assumptions!$D$65/10000</f>
        <v>4.9000000000000002E-2</v>
      </c>
      <c r="DR156" s="25">
        <f>Assumptions!$D$65/10000</f>
        <v>4.9000000000000002E-2</v>
      </c>
      <c r="DS156" s="25">
        <f>Assumptions!$D$65/10000</f>
        <v>4.9000000000000002E-2</v>
      </c>
      <c r="DT156" s="25">
        <f>Assumptions!$D$65/10000</f>
        <v>4.9000000000000002E-2</v>
      </c>
      <c r="DU156" s="25">
        <f>Assumptions!$D$65/10000</f>
        <v>4.9000000000000002E-2</v>
      </c>
      <c r="DV156" s="25">
        <f>Assumptions!$D$65/10000</f>
        <v>4.9000000000000002E-2</v>
      </c>
      <c r="DW156" s="25">
        <f>Assumptions!$D$65/10000</f>
        <v>4.9000000000000002E-2</v>
      </c>
      <c r="DX156" s="25">
        <f>Assumptions!$D$65/10000</f>
        <v>4.9000000000000002E-2</v>
      </c>
      <c r="DY156" s="25">
        <f>Assumptions!$D$65/10000</f>
        <v>4.9000000000000002E-2</v>
      </c>
      <c r="DZ156" s="25">
        <f>Assumptions!$D$65/10000</f>
        <v>4.9000000000000002E-2</v>
      </c>
      <c r="EA156" s="25">
        <f>Assumptions!$D$65/10000</f>
        <v>4.9000000000000002E-2</v>
      </c>
      <c r="EB156" s="25">
        <f>Assumptions!$D$65/10000</f>
        <v>4.9000000000000002E-2</v>
      </c>
      <c r="EC156" s="25">
        <f>Assumptions!$D$65/10000</f>
        <v>4.9000000000000002E-2</v>
      </c>
      <c r="ED156" s="25">
        <f>Assumptions!$D$65/10000</f>
        <v>4.9000000000000002E-2</v>
      </c>
      <c r="EE156" s="25">
        <f>Assumptions!$D$65/10000</f>
        <v>4.9000000000000002E-2</v>
      </c>
      <c r="EF156" s="25">
        <f>Assumptions!$D$65/10000</f>
        <v>4.9000000000000002E-2</v>
      </c>
      <c r="EG156" s="25">
        <f>Assumptions!$D$65/10000</f>
        <v>4.9000000000000002E-2</v>
      </c>
      <c r="EH156" s="25">
        <f>Assumptions!$D$65/10000</f>
        <v>4.9000000000000002E-2</v>
      </c>
      <c r="EI156" s="25">
        <f>Assumptions!$D$65/10000</f>
        <v>4.9000000000000002E-2</v>
      </c>
      <c r="EJ156" s="25">
        <f>Assumptions!$D$65/10000</f>
        <v>4.9000000000000002E-2</v>
      </c>
      <c r="EK156" s="25">
        <f>Assumptions!$D$65/10000</f>
        <v>4.9000000000000002E-2</v>
      </c>
      <c r="EL156" s="25">
        <f>Assumptions!$D$65/10000</f>
        <v>4.9000000000000002E-2</v>
      </c>
      <c r="EM156" s="25">
        <f>Assumptions!$D$65/10000</f>
        <v>4.9000000000000002E-2</v>
      </c>
      <c r="EN156" s="25">
        <f>Assumptions!$D$65/10000</f>
        <v>4.9000000000000002E-2</v>
      </c>
      <c r="EO156" s="25">
        <f>Assumptions!$D$65/10000</f>
        <v>4.9000000000000002E-2</v>
      </c>
      <c r="EP156" s="25">
        <f>Assumptions!$D$65/10000</f>
        <v>4.9000000000000002E-2</v>
      </c>
      <c r="EQ156" s="25">
        <f>Assumptions!$D$65/10000</f>
        <v>4.9000000000000002E-2</v>
      </c>
      <c r="ER156" s="25">
        <f>Assumptions!$D$65/10000</f>
        <v>4.9000000000000002E-2</v>
      </c>
      <c r="ES156" s="25">
        <f>Assumptions!$D$65/10000</f>
        <v>4.9000000000000002E-2</v>
      </c>
      <c r="ET156" s="25">
        <f>Assumptions!$D$65/10000</f>
        <v>4.9000000000000002E-2</v>
      </c>
      <c r="EU156" s="25">
        <f>Assumptions!$D$65/10000</f>
        <v>4.9000000000000002E-2</v>
      </c>
      <c r="EV156" s="25">
        <f>Assumptions!$D$65/10000</f>
        <v>4.9000000000000002E-2</v>
      </c>
      <c r="EW156" s="25">
        <f>Assumptions!$D$65/10000</f>
        <v>4.9000000000000002E-2</v>
      </c>
      <c r="EX156" s="25">
        <f>Assumptions!$D$65/10000</f>
        <v>4.9000000000000002E-2</v>
      </c>
      <c r="EY156" s="25">
        <f>Assumptions!$D$65/10000</f>
        <v>4.9000000000000002E-2</v>
      </c>
      <c r="EZ156" s="25">
        <f>Assumptions!$D$65/10000</f>
        <v>4.9000000000000002E-2</v>
      </c>
      <c r="FA156" s="25">
        <f>Assumptions!$D$65/10000</f>
        <v>4.9000000000000002E-2</v>
      </c>
      <c r="FB156" s="25">
        <f>Assumptions!$D$65/10000</f>
        <v>4.9000000000000002E-2</v>
      </c>
      <c r="FC156" s="25">
        <f>Assumptions!$D$65/10000</f>
        <v>4.9000000000000002E-2</v>
      </c>
      <c r="FD156" s="25">
        <f>Assumptions!$D$65/10000</f>
        <v>4.9000000000000002E-2</v>
      </c>
      <c r="FE156" s="25">
        <f>Assumptions!$D$65/10000</f>
        <v>4.9000000000000002E-2</v>
      </c>
      <c r="FF156" s="25">
        <f>Assumptions!$D$65/10000</f>
        <v>4.9000000000000002E-2</v>
      </c>
      <c r="FG156" s="25">
        <f>Assumptions!$D$65/10000</f>
        <v>4.9000000000000002E-2</v>
      </c>
      <c r="FH156" s="25">
        <f>Assumptions!$D$65/10000</f>
        <v>4.9000000000000002E-2</v>
      </c>
      <c r="FI156" s="25">
        <f>Assumptions!$D$65/10000</f>
        <v>4.9000000000000002E-2</v>
      </c>
      <c r="FJ156" s="25">
        <f>Assumptions!$D$65/10000</f>
        <v>4.9000000000000002E-2</v>
      </c>
      <c r="FK156" s="25">
        <f>Assumptions!$D$65/10000</f>
        <v>4.9000000000000002E-2</v>
      </c>
      <c r="FL156" s="25">
        <f>Assumptions!$D$65/10000</f>
        <v>4.9000000000000002E-2</v>
      </c>
      <c r="FM156" s="25">
        <f>Assumptions!$D$65/10000</f>
        <v>4.9000000000000002E-2</v>
      </c>
      <c r="FN156" s="25">
        <f>Assumptions!$D$65/10000</f>
        <v>4.9000000000000002E-2</v>
      </c>
      <c r="FO156" s="25">
        <f>Assumptions!$D$65/10000</f>
        <v>4.9000000000000002E-2</v>
      </c>
      <c r="FP156" s="25">
        <f>Assumptions!$D$65/10000</f>
        <v>4.9000000000000002E-2</v>
      </c>
      <c r="FQ156" s="25">
        <f>Assumptions!$D$65/10000</f>
        <v>4.9000000000000002E-2</v>
      </c>
      <c r="FR156" s="25">
        <f>Assumptions!$D$65/10000</f>
        <v>4.9000000000000002E-2</v>
      </c>
      <c r="FS156" s="25">
        <f>Assumptions!$D$65/10000</f>
        <v>4.9000000000000002E-2</v>
      </c>
      <c r="FT156" s="25">
        <f>Assumptions!$D$65/10000</f>
        <v>4.9000000000000002E-2</v>
      </c>
      <c r="FU156" s="25">
        <f>Assumptions!$D$65/10000</f>
        <v>4.9000000000000002E-2</v>
      </c>
      <c r="FV156" s="25">
        <f>Assumptions!$D$65/10000</f>
        <v>4.9000000000000002E-2</v>
      </c>
      <c r="FW156" s="25">
        <f>Assumptions!$D$65/10000</f>
        <v>4.9000000000000002E-2</v>
      </c>
      <c r="FX156" s="25">
        <f>Assumptions!$D$65/10000</f>
        <v>4.9000000000000002E-2</v>
      </c>
      <c r="FY156" s="25">
        <f>Assumptions!$D$65/10000</f>
        <v>4.9000000000000002E-2</v>
      </c>
      <c r="FZ156" s="25">
        <f>Assumptions!$D$65/10000</f>
        <v>4.9000000000000002E-2</v>
      </c>
      <c r="GA156" s="25">
        <f>Assumptions!$D$65/10000</f>
        <v>4.9000000000000002E-2</v>
      </c>
      <c r="GB156" s="25">
        <f>Assumptions!$D$65/10000</f>
        <v>4.9000000000000002E-2</v>
      </c>
      <c r="GC156" s="25">
        <f>Assumptions!$D$65/10000</f>
        <v>4.9000000000000002E-2</v>
      </c>
      <c r="GD156" s="25"/>
      <c r="GE156" s="25"/>
      <c r="GF156" s="25"/>
      <c r="GG156" s="25"/>
      <c r="GH156" s="25"/>
      <c r="GI156" s="25"/>
      <c r="GJ156" s="25"/>
      <c r="GK156" s="25"/>
      <c r="GL156" s="25"/>
      <c r="GM156" s="25"/>
      <c r="GN156" s="25"/>
      <c r="GO156" s="25"/>
      <c r="GP156" s="25">
        <f>Assumptions!$D$65/10000</f>
        <v>4.9000000000000002E-2</v>
      </c>
      <c r="GQ156" s="25">
        <f>Assumptions!$D$65/10000</f>
        <v>4.9000000000000002E-2</v>
      </c>
      <c r="GR156" s="25">
        <f>Assumptions!$D$65/10000</f>
        <v>4.9000000000000002E-2</v>
      </c>
      <c r="GS156" s="25">
        <f>Assumptions!$D$65/10000</f>
        <v>4.9000000000000002E-2</v>
      </c>
      <c r="GT156" s="25">
        <f>Assumptions!$D$65/10000</f>
        <v>4.9000000000000002E-2</v>
      </c>
      <c r="GU156" s="25"/>
      <c r="GV156" s="25"/>
      <c r="GW156" s="25"/>
      <c r="GX156" s="25"/>
      <c r="GY156" s="25"/>
      <c r="GZ156" s="25"/>
      <c r="HA156" s="25"/>
      <c r="HB156" s="25"/>
      <c r="HC156" s="25"/>
      <c r="HD156" s="25"/>
      <c r="HE156" s="25"/>
      <c r="HF156" s="1" t="s">
        <v>212</v>
      </c>
      <c r="HH156" s="9"/>
      <c r="HI156" s="34"/>
      <c r="HJ156" s="34"/>
      <c r="HK156" s="34"/>
      <c r="HL156" s="97"/>
      <c r="HM156" s="18"/>
      <c r="HN156" s="100"/>
      <c r="HO156" s="25"/>
      <c r="HP156" s="25"/>
      <c r="HQ156" s="25"/>
      <c r="HR156" s="25"/>
      <c r="HS156" s="25"/>
      <c r="HT156" s="25"/>
      <c r="HU156" s="25"/>
      <c r="HV156" s="25"/>
      <c r="HW156"/>
    </row>
    <row r="157" spans="1:231" s="524" customFormat="1" ht="15" outlineLevel="1">
      <c r="A157" s="886"/>
      <c r="B157" s="887" t="s">
        <v>126</v>
      </c>
      <c r="C157" s="887"/>
      <c r="D157" s="887"/>
      <c r="E157" s="887"/>
      <c r="H157" s="887"/>
      <c r="I157" s="890"/>
      <c r="J157" s="887"/>
      <c r="K157" s="1445"/>
      <c r="L157" s="1446"/>
      <c r="M157" s="1446"/>
      <c r="N157" s="1446"/>
      <c r="O157" s="1446"/>
      <c r="P157" s="1446"/>
      <c r="Q157" s="1446"/>
      <c r="R157" s="1446"/>
      <c r="S157" s="1446"/>
      <c r="T157" s="1446"/>
      <c r="U157" s="1446"/>
      <c r="V157" s="1446"/>
      <c r="W157" s="1446"/>
      <c r="X157" s="1446"/>
      <c r="Y157" s="1446"/>
      <c r="Z157" s="1446"/>
      <c r="AA157" s="1446"/>
      <c r="AB157" s="1446"/>
      <c r="AC157" s="1446"/>
      <c r="AD157" s="1446"/>
      <c r="AE157" s="1446"/>
      <c r="AF157" s="1446"/>
      <c r="AG157" s="1446"/>
      <c r="AH157" s="1446"/>
      <c r="AI157" s="1446"/>
      <c r="AJ157" s="1446"/>
      <c r="AK157" s="1446"/>
      <c r="AL157" s="1446"/>
      <c r="AM157" s="1446"/>
      <c r="AN157" s="1446"/>
      <c r="AO157" s="1446"/>
      <c r="AP157" s="1446"/>
      <c r="AQ157" s="1446"/>
      <c r="AR157" s="1446"/>
      <c r="AS157" s="1446"/>
      <c r="AT157" s="1446"/>
      <c r="AU157" s="1446"/>
      <c r="AV157" s="1446"/>
      <c r="AW157" s="1446"/>
      <c r="AX157" s="1446"/>
      <c r="AY157" s="1446"/>
      <c r="AZ157" s="1446"/>
      <c r="BA157" s="1446"/>
      <c r="BB157" s="1446"/>
      <c r="BC157" s="1446"/>
      <c r="BD157" s="1446"/>
      <c r="BE157" s="1446"/>
      <c r="BF157" s="1446"/>
      <c r="BG157" s="1446"/>
      <c r="BH157" s="1446"/>
      <c r="BI157" s="1446"/>
      <c r="BJ157" s="1446"/>
      <c r="BK157" s="1446"/>
      <c r="BL157" s="1446"/>
      <c r="BM157" s="1446"/>
      <c r="BN157" s="1446"/>
      <c r="BO157" s="1446"/>
      <c r="BP157" s="1446"/>
      <c r="BQ157" s="1446"/>
      <c r="BR157" s="1446"/>
      <c r="BS157" s="1446"/>
      <c r="BT157" s="891">
        <f t="shared" ref="BT157:CI157" si="1055">IF((BT155+BT156)&gt;$G$160,(BT155+BT156),$G$160)</f>
        <v>5.1999999999999998E-2</v>
      </c>
      <c r="BU157" s="891">
        <f t="shared" si="1055"/>
        <v>5.1999999999999998E-2</v>
      </c>
      <c r="BV157" s="891">
        <f t="shared" si="1055"/>
        <v>5.1999999999999998E-2</v>
      </c>
      <c r="BW157" s="891">
        <f t="shared" si="1055"/>
        <v>5.1999999999999998E-2</v>
      </c>
      <c r="BX157" s="891">
        <f t="shared" si="1055"/>
        <v>5.1999999999999998E-2</v>
      </c>
      <c r="BY157" s="891">
        <f t="shared" si="1055"/>
        <v>5.1999999999999998E-2</v>
      </c>
      <c r="BZ157" s="891">
        <f t="shared" si="1055"/>
        <v>5.1999999999999998E-2</v>
      </c>
      <c r="CA157" s="891">
        <f t="shared" si="1055"/>
        <v>5.1999999999999998E-2</v>
      </c>
      <c r="CB157" s="891">
        <f t="shared" si="1055"/>
        <v>5.1999999999999998E-2</v>
      </c>
      <c r="CC157" s="891">
        <f t="shared" si="1055"/>
        <v>5.1999999999999998E-2</v>
      </c>
      <c r="CD157" s="891">
        <f t="shared" si="1055"/>
        <v>5.1999999999999998E-2</v>
      </c>
      <c r="CE157" s="891">
        <f t="shared" si="1055"/>
        <v>5.1999999999999998E-2</v>
      </c>
      <c r="CF157" s="891">
        <f t="shared" si="1055"/>
        <v>5.1999999999999998E-2</v>
      </c>
      <c r="CG157" s="891">
        <f t="shared" si="1055"/>
        <v>5.1999999999999998E-2</v>
      </c>
      <c r="CH157" s="891">
        <f t="shared" si="1055"/>
        <v>5.2220599999999999E-2</v>
      </c>
      <c r="CI157" s="891">
        <f t="shared" si="1055"/>
        <v>5.2768200000000001E-2</v>
      </c>
      <c r="CJ157" s="891">
        <f>IF(AND((CJ155+CJ156)&gt;$G$160,(CJ155+CJ156)&lt;$E$160,(CJ155+CJ156)),IF((CJ155+CJ156)&lt;$G$160,$G$160),IF((CJ155+CJ156)&gt;$E$160,$E$160))</f>
        <v>6.4000000000000001E-2</v>
      </c>
      <c r="CK157" s="891">
        <f t="shared" ref="CK157:CQ157" si="1056">IF(AND((CK155+CK156)&gt;$G$160,(CK155+CK156)&lt;$E$160,(CK155+CK156)),IF((CK155+CK156)&lt;$G$160,$G$160),IF((CK155+CK156)&gt;$E$160,$E$160))</f>
        <v>6.4000000000000001E-2</v>
      </c>
      <c r="CL157" s="891">
        <f t="shared" si="1056"/>
        <v>6.4000000000000001E-2</v>
      </c>
      <c r="CM157" s="891">
        <f t="shared" si="1056"/>
        <v>6.4000000000000001E-2</v>
      </c>
      <c r="CN157" s="891">
        <f t="shared" si="1056"/>
        <v>6.4000000000000001E-2</v>
      </c>
      <c r="CO157" s="891">
        <f t="shared" si="1056"/>
        <v>6.4000000000000001E-2</v>
      </c>
      <c r="CP157" s="891">
        <f t="shared" si="1056"/>
        <v>6.4000000000000001E-2</v>
      </c>
      <c r="CQ157" s="891">
        <f t="shared" si="1056"/>
        <v>6.4000000000000001E-2</v>
      </c>
      <c r="CR157" s="891">
        <f>IF(AND((CR155+CR156)&gt;$G$160,(CR155+CR156)&lt;$E$161,(CR155+CR156)),IF((CR155+CR156)&lt;$G$160,$G$160),IF((CR155+CR156)&gt;$E$161,$E$161))</f>
        <v>7.3999999999999996E-2</v>
      </c>
      <c r="CS157" s="891">
        <f t="shared" ref="CS157:FD157" si="1057">IF(AND((CS155+CS156)&gt;$G$160,(CS155+CS156)&lt;$E$161,(CS155+CS156)),IF((CS155+CS156)&lt;$G$160,$G$160),IF((CS155+CS156)&gt;$E$161,$E$161))</f>
        <v>7.3999999999999996E-2</v>
      </c>
      <c r="CT157" s="891">
        <f t="shared" si="1057"/>
        <v>7.3999999999999996E-2</v>
      </c>
      <c r="CU157" s="891">
        <f t="shared" si="1057"/>
        <v>7.3999999999999996E-2</v>
      </c>
      <c r="CV157" s="891">
        <f t="shared" si="1057"/>
        <v>7.3999999999999996E-2</v>
      </c>
      <c r="CW157" s="891">
        <f t="shared" si="1057"/>
        <v>7.3999999999999996E-2</v>
      </c>
      <c r="CX157" s="891">
        <f t="shared" si="1057"/>
        <v>7.3999999999999996E-2</v>
      </c>
      <c r="CY157" s="891">
        <f t="shared" si="1057"/>
        <v>7.3999999999999996E-2</v>
      </c>
      <c r="CZ157" s="891">
        <f t="shared" si="1057"/>
        <v>7.3999999999999996E-2</v>
      </c>
      <c r="DA157" s="891">
        <f t="shared" si="1057"/>
        <v>7.3999999999999996E-2</v>
      </c>
      <c r="DB157" s="891">
        <f t="shared" si="1057"/>
        <v>7.3999999999999996E-2</v>
      </c>
      <c r="DC157" s="891">
        <f t="shared" si="1057"/>
        <v>7.3999999999999996E-2</v>
      </c>
      <c r="DD157" s="891">
        <f t="shared" si="1057"/>
        <v>7.3999999999999996E-2</v>
      </c>
      <c r="DE157" s="891">
        <f t="shared" si="1057"/>
        <v>7.3999999999999996E-2</v>
      </c>
      <c r="DF157" s="891">
        <f t="shared" si="1057"/>
        <v>7.3999999999999996E-2</v>
      </c>
      <c r="DG157" s="891">
        <f t="shared" si="1057"/>
        <v>7.3999999999999996E-2</v>
      </c>
      <c r="DH157" s="891">
        <f t="shared" si="1057"/>
        <v>7.3999999999999996E-2</v>
      </c>
      <c r="DI157" s="891">
        <f t="shared" si="1057"/>
        <v>7.3999999999999996E-2</v>
      </c>
      <c r="DJ157" s="891">
        <f t="shared" si="1057"/>
        <v>7.3999999999999996E-2</v>
      </c>
      <c r="DK157" s="891">
        <f t="shared" si="1057"/>
        <v>7.3999999999999996E-2</v>
      </c>
      <c r="DL157" s="891">
        <f t="shared" si="1057"/>
        <v>7.3999999999999996E-2</v>
      </c>
      <c r="DM157" s="891">
        <f t="shared" si="1057"/>
        <v>7.3999999999999996E-2</v>
      </c>
      <c r="DN157" s="891">
        <f t="shared" si="1057"/>
        <v>7.3999999999999996E-2</v>
      </c>
      <c r="DO157" s="891">
        <f t="shared" si="1057"/>
        <v>7.3999999999999996E-2</v>
      </c>
      <c r="DP157" s="891">
        <f t="shared" si="1057"/>
        <v>7.3999999999999996E-2</v>
      </c>
      <c r="DQ157" s="891">
        <f t="shared" si="1057"/>
        <v>7.3999999999999996E-2</v>
      </c>
      <c r="DR157" s="891">
        <f t="shared" si="1057"/>
        <v>7.3999999999999996E-2</v>
      </c>
      <c r="DS157" s="891">
        <f t="shared" si="1057"/>
        <v>7.3999999999999996E-2</v>
      </c>
      <c r="DT157" s="891">
        <f t="shared" si="1057"/>
        <v>7.3999999999999996E-2</v>
      </c>
      <c r="DU157" s="891">
        <f t="shared" si="1057"/>
        <v>7.3999999999999996E-2</v>
      </c>
      <c r="DV157" s="891">
        <f t="shared" si="1057"/>
        <v>7.3999999999999996E-2</v>
      </c>
      <c r="DW157" s="891">
        <f t="shared" si="1057"/>
        <v>7.3999999999999996E-2</v>
      </c>
      <c r="DX157" s="891">
        <f t="shared" si="1057"/>
        <v>7.3999999999999996E-2</v>
      </c>
      <c r="DY157" s="891">
        <f t="shared" si="1057"/>
        <v>7.3999999999999996E-2</v>
      </c>
      <c r="DZ157" s="891">
        <f t="shared" si="1057"/>
        <v>7.3999999999999996E-2</v>
      </c>
      <c r="EA157" s="891">
        <f t="shared" si="1057"/>
        <v>7.3999999999999996E-2</v>
      </c>
      <c r="EB157" s="891">
        <f t="shared" si="1057"/>
        <v>7.3999999999999996E-2</v>
      </c>
      <c r="EC157" s="891">
        <f t="shared" si="1057"/>
        <v>7.3999999999999996E-2</v>
      </c>
      <c r="ED157" s="891">
        <f t="shared" si="1057"/>
        <v>7.3999999999999996E-2</v>
      </c>
      <c r="EE157" s="891">
        <f t="shared" si="1057"/>
        <v>7.3999999999999996E-2</v>
      </c>
      <c r="EF157" s="891">
        <f t="shared" si="1057"/>
        <v>7.3999999999999996E-2</v>
      </c>
      <c r="EG157" s="891">
        <f t="shared" si="1057"/>
        <v>7.3999999999999996E-2</v>
      </c>
      <c r="EH157" s="891">
        <f t="shared" si="1057"/>
        <v>7.3999999999999996E-2</v>
      </c>
      <c r="EI157" s="891">
        <f t="shared" si="1057"/>
        <v>7.3999999999999996E-2</v>
      </c>
      <c r="EJ157" s="891">
        <f t="shared" si="1057"/>
        <v>7.3999999999999996E-2</v>
      </c>
      <c r="EK157" s="891">
        <f t="shared" si="1057"/>
        <v>7.3999999999999996E-2</v>
      </c>
      <c r="EL157" s="891">
        <f t="shared" si="1057"/>
        <v>7.3999999999999996E-2</v>
      </c>
      <c r="EM157" s="891">
        <f t="shared" si="1057"/>
        <v>7.3999999999999996E-2</v>
      </c>
      <c r="EN157" s="891">
        <f t="shared" si="1057"/>
        <v>7.3999999999999996E-2</v>
      </c>
      <c r="EO157" s="891">
        <f t="shared" si="1057"/>
        <v>7.3999999999999996E-2</v>
      </c>
      <c r="EP157" s="891">
        <f t="shared" si="1057"/>
        <v>7.3999999999999996E-2</v>
      </c>
      <c r="EQ157" s="891">
        <f t="shared" si="1057"/>
        <v>7.3999999999999996E-2</v>
      </c>
      <c r="ER157" s="891">
        <f t="shared" si="1057"/>
        <v>7.3999999999999996E-2</v>
      </c>
      <c r="ES157" s="891">
        <f t="shared" si="1057"/>
        <v>7.3999999999999996E-2</v>
      </c>
      <c r="ET157" s="891">
        <f t="shared" si="1057"/>
        <v>7.3999999999999996E-2</v>
      </c>
      <c r="EU157" s="891">
        <f t="shared" si="1057"/>
        <v>7.3999999999999996E-2</v>
      </c>
      <c r="EV157" s="891">
        <f t="shared" si="1057"/>
        <v>7.3999999999999996E-2</v>
      </c>
      <c r="EW157" s="891">
        <f t="shared" si="1057"/>
        <v>7.3999999999999996E-2</v>
      </c>
      <c r="EX157" s="891">
        <f t="shared" si="1057"/>
        <v>7.3999999999999996E-2</v>
      </c>
      <c r="EY157" s="891">
        <f t="shared" si="1057"/>
        <v>7.3999999999999996E-2</v>
      </c>
      <c r="EZ157" s="891">
        <f t="shared" si="1057"/>
        <v>7.3999999999999996E-2</v>
      </c>
      <c r="FA157" s="891">
        <f t="shared" si="1057"/>
        <v>7.3999999999999996E-2</v>
      </c>
      <c r="FB157" s="891">
        <f t="shared" si="1057"/>
        <v>7.3999999999999996E-2</v>
      </c>
      <c r="FC157" s="891">
        <f t="shared" si="1057"/>
        <v>7.3999999999999996E-2</v>
      </c>
      <c r="FD157" s="891">
        <f t="shared" si="1057"/>
        <v>7.3999999999999996E-2</v>
      </c>
      <c r="FE157" s="891">
        <f t="shared" ref="FE157:GC157" si="1058">IF(AND((FE155+FE156)&gt;$G$160,(FE155+FE156)&lt;$E$161,(FE155+FE156)),IF((FE155+FE156)&lt;$G$160,$G$160),IF((FE155+FE156)&gt;$E$161,$E$161))</f>
        <v>7.3999999999999996E-2</v>
      </c>
      <c r="FF157" s="891">
        <f t="shared" si="1058"/>
        <v>7.3999999999999996E-2</v>
      </c>
      <c r="FG157" s="891">
        <f t="shared" si="1058"/>
        <v>7.3999999999999996E-2</v>
      </c>
      <c r="FH157" s="891">
        <f t="shared" si="1058"/>
        <v>7.3999999999999996E-2</v>
      </c>
      <c r="FI157" s="891">
        <f t="shared" si="1058"/>
        <v>7.3999999999999996E-2</v>
      </c>
      <c r="FJ157" s="891">
        <f t="shared" si="1058"/>
        <v>7.3999999999999996E-2</v>
      </c>
      <c r="FK157" s="891">
        <f t="shared" si="1058"/>
        <v>7.3999999999999996E-2</v>
      </c>
      <c r="FL157" s="891">
        <f t="shared" si="1058"/>
        <v>7.3999999999999996E-2</v>
      </c>
      <c r="FM157" s="891">
        <f t="shared" si="1058"/>
        <v>7.3999999999999996E-2</v>
      </c>
      <c r="FN157" s="891">
        <f t="shared" si="1058"/>
        <v>7.3999999999999996E-2</v>
      </c>
      <c r="FO157" s="891">
        <f t="shared" si="1058"/>
        <v>7.3999999999999996E-2</v>
      </c>
      <c r="FP157" s="891">
        <f t="shared" si="1058"/>
        <v>7.3999999999999996E-2</v>
      </c>
      <c r="FQ157" s="891">
        <f t="shared" si="1058"/>
        <v>7.3999999999999996E-2</v>
      </c>
      <c r="FR157" s="891">
        <f t="shared" si="1058"/>
        <v>7.3999999999999996E-2</v>
      </c>
      <c r="FS157" s="891">
        <f t="shared" si="1058"/>
        <v>7.3999999999999996E-2</v>
      </c>
      <c r="FT157" s="891">
        <f t="shared" si="1058"/>
        <v>7.3999999999999996E-2</v>
      </c>
      <c r="FU157" s="891">
        <f t="shared" si="1058"/>
        <v>7.3999999999999996E-2</v>
      </c>
      <c r="FV157" s="891">
        <f t="shared" si="1058"/>
        <v>7.3999999999999996E-2</v>
      </c>
      <c r="FW157" s="891">
        <f t="shared" si="1058"/>
        <v>7.3999999999999996E-2</v>
      </c>
      <c r="FX157" s="891">
        <f t="shared" si="1058"/>
        <v>7.3999999999999996E-2</v>
      </c>
      <c r="FY157" s="891">
        <f t="shared" si="1058"/>
        <v>7.3999999999999996E-2</v>
      </c>
      <c r="FZ157" s="891">
        <f t="shared" si="1058"/>
        <v>7.3999999999999996E-2</v>
      </c>
      <c r="GA157" s="891">
        <f t="shared" si="1058"/>
        <v>7.3999999999999996E-2</v>
      </c>
      <c r="GB157" s="891">
        <f t="shared" si="1058"/>
        <v>7.3999999999999996E-2</v>
      </c>
      <c r="GC157" s="891">
        <f t="shared" si="1058"/>
        <v>7.3999999999999996E-2</v>
      </c>
      <c r="GD157" s="891"/>
      <c r="GE157" s="891"/>
      <c r="GF157" s="891"/>
      <c r="GG157" s="891"/>
      <c r="GH157" s="891"/>
      <c r="GI157" s="891"/>
      <c r="GJ157" s="891"/>
      <c r="GK157" s="891"/>
      <c r="GL157" s="891"/>
      <c r="GM157" s="891"/>
      <c r="GN157" s="891"/>
      <c r="GO157" s="891"/>
      <c r="GP157" s="891">
        <f>IF(Assumptions!$F$73=0,$G$160,SUM(GP155:GP156))</f>
        <v>0.10100000000000001</v>
      </c>
      <c r="GQ157" s="891">
        <f>IF(Assumptions!$F$73=0,$G$160,SUM(GQ155:GQ156))</f>
        <v>0.10100000000000001</v>
      </c>
      <c r="GR157" s="891">
        <f>IF(Assumptions!$F$73=0,$G$160,SUM(GR155:GR156))</f>
        <v>0.10100000000000001</v>
      </c>
      <c r="GS157" s="891">
        <f>IF(Assumptions!$F$73=0,$G$160,SUM(GS155:GS156))</f>
        <v>0.10100000000000001</v>
      </c>
      <c r="GT157" s="891">
        <f>IF(Assumptions!$F$73=0,$G$160,SUM(GT155:GT156))</f>
        <v>0.10100000000000001</v>
      </c>
      <c r="GU157" s="895"/>
      <c r="GV157" s="895"/>
      <c r="GW157" s="895"/>
      <c r="GX157" s="895"/>
      <c r="GY157" s="895"/>
      <c r="GZ157" s="895"/>
      <c r="HA157" s="895"/>
      <c r="HB157" s="895"/>
      <c r="HC157" s="895"/>
      <c r="HD157" s="895"/>
      <c r="HE157" s="895"/>
      <c r="HF157" s="1" t="s">
        <v>212</v>
      </c>
      <c r="HH157" s="892"/>
      <c r="HI157" s="527"/>
      <c r="HJ157" s="527"/>
      <c r="HK157" s="527"/>
      <c r="HL157" s="893"/>
      <c r="HM157" s="530"/>
      <c r="HN157" s="894"/>
      <c r="HO157" s="895"/>
      <c r="HP157" s="895"/>
      <c r="HQ157" s="895"/>
      <c r="HR157" s="895"/>
      <c r="HS157" s="895"/>
      <c r="HT157" s="895"/>
      <c r="HU157" s="895"/>
      <c r="HV157" s="895"/>
      <c r="HW157" s="896"/>
    </row>
    <row r="158" spans="1:231" s="524" customFormat="1" ht="15" outlineLevel="1">
      <c r="A158" s="886"/>
      <c r="B158" s="892"/>
      <c r="C158" s="892"/>
      <c r="D158" s="892"/>
      <c r="E158" s="892"/>
      <c r="F158" s="1590" t="s">
        <v>2495</v>
      </c>
      <c r="G158" s="1591">
        <v>1</v>
      </c>
      <c r="H158" s="892"/>
      <c r="I158" s="893"/>
      <c r="J158" s="892"/>
      <c r="K158" s="1588"/>
      <c r="L158" s="1589"/>
      <c r="M158" s="1589"/>
      <c r="N158" s="1589"/>
      <c r="O158" s="1589"/>
      <c r="P158" s="1589"/>
      <c r="Q158" s="1589"/>
      <c r="R158" s="1589"/>
      <c r="S158" s="1589"/>
      <c r="T158" s="1589"/>
      <c r="U158" s="1589"/>
      <c r="V158" s="1589"/>
      <c r="W158" s="1589"/>
      <c r="X158" s="1589"/>
      <c r="Y158" s="1589"/>
      <c r="Z158" s="1589"/>
      <c r="AA158" s="1589"/>
      <c r="AB158" s="1589"/>
      <c r="AC158" s="1589"/>
      <c r="AD158" s="1589"/>
      <c r="AE158" s="1589"/>
      <c r="AF158" s="1589"/>
      <c r="AG158" s="1589"/>
      <c r="AH158" s="1589"/>
      <c r="AI158" s="1589"/>
      <c r="AJ158" s="1589"/>
      <c r="AK158" s="1589"/>
      <c r="AL158" s="1589"/>
      <c r="AM158" s="1589"/>
      <c r="AN158" s="1589"/>
      <c r="AO158" s="1589"/>
      <c r="AP158" s="1589"/>
      <c r="AQ158" s="1589"/>
      <c r="AR158" s="1589"/>
      <c r="AS158" s="1589"/>
      <c r="AT158" s="1589"/>
      <c r="AU158" s="1589"/>
      <c r="AV158" s="1589"/>
      <c r="AW158" s="1589"/>
      <c r="AX158" s="1589"/>
      <c r="AY158" s="1589"/>
      <c r="AZ158" s="1589"/>
      <c r="BA158" s="1589"/>
      <c r="BB158" s="1589"/>
      <c r="BC158" s="1589"/>
      <c r="BD158" s="1589"/>
      <c r="BE158" s="1589"/>
      <c r="BF158" s="1589"/>
      <c r="BG158" s="1589"/>
      <c r="BH158" s="1589"/>
      <c r="BI158" s="1589"/>
      <c r="BJ158" s="1589"/>
      <c r="BK158" s="1589"/>
      <c r="BL158" s="1589"/>
      <c r="BM158" s="1589"/>
      <c r="BN158" s="1589"/>
      <c r="BO158" s="1589"/>
      <c r="BP158" s="1589"/>
      <c r="BQ158" s="1589"/>
      <c r="BR158" s="1589"/>
      <c r="BS158" s="1589"/>
      <c r="BT158" s="895"/>
      <c r="BU158" s="895"/>
      <c r="BV158" s="895"/>
      <c r="BW158" s="895"/>
      <c r="BX158" s="895"/>
      <c r="BY158" s="895"/>
      <c r="BZ158" s="895"/>
      <c r="CA158" s="895"/>
      <c r="CB158" s="895"/>
      <c r="CC158" s="895"/>
      <c r="CD158" s="895"/>
      <c r="CE158" s="895"/>
      <c r="CF158" s="895"/>
      <c r="CG158" s="895"/>
      <c r="CH158" s="895"/>
      <c r="CI158" s="895"/>
      <c r="CJ158" s="895"/>
      <c r="CK158" s="895"/>
      <c r="CL158" s="895"/>
      <c r="CM158" s="895"/>
      <c r="CN158" s="895"/>
      <c r="CO158" s="895"/>
      <c r="CP158" s="895"/>
      <c r="CQ158" s="895"/>
      <c r="CR158" s="895"/>
      <c r="CS158" s="895"/>
      <c r="CT158" s="895"/>
      <c r="CU158" s="895"/>
      <c r="CV158" s="895"/>
      <c r="CW158" s="895"/>
      <c r="CX158" s="895"/>
      <c r="CY158" s="895"/>
      <c r="CZ158" s="895"/>
      <c r="DA158" s="895"/>
      <c r="DB158" s="895"/>
      <c r="DC158" s="895"/>
      <c r="DD158" s="895"/>
      <c r="DE158" s="895"/>
      <c r="DF158" s="895"/>
      <c r="DG158" s="895"/>
      <c r="DH158" s="895"/>
      <c r="DI158" s="895"/>
      <c r="DJ158" s="895"/>
      <c r="DK158" s="895"/>
      <c r="DL158" s="895"/>
      <c r="DM158" s="895"/>
      <c r="DN158" s="895"/>
      <c r="DO158" s="895"/>
      <c r="DP158" s="895"/>
      <c r="DQ158" s="895"/>
      <c r="DR158" s="895"/>
      <c r="DS158" s="895"/>
      <c r="DT158" s="895"/>
      <c r="DU158" s="895"/>
      <c r="DV158" s="895"/>
      <c r="DW158" s="895"/>
      <c r="DX158" s="895"/>
      <c r="DY158" s="895"/>
      <c r="DZ158" s="895"/>
      <c r="EA158" s="895"/>
      <c r="EB158" s="895"/>
      <c r="EC158" s="895"/>
      <c r="ED158" s="895"/>
      <c r="EE158" s="895"/>
      <c r="EF158" s="895"/>
      <c r="EG158" s="895"/>
      <c r="EH158" s="895"/>
      <c r="EI158" s="895"/>
      <c r="EJ158" s="895"/>
      <c r="EK158" s="895"/>
      <c r="EL158" s="895"/>
      <c r="EM158" s="895"/>
      <c r="EN158" s="895"/>
      <c r="EO158" s="895"/>
      <c r="EP158" s="895"/>
      <c r="EQ158" s="895"/>
      <c r="ER158" s="895"/>
      <c r="ES158" s="895"/>
      <c r="ET158" s="895"/>
      <c r="EU158" s="895"/>
      <c r="EV158" s="895"/>
      <c r="EW158" s="895"/>
      <c r="EX158" s="895"/>
      <c r="EY158" s="895"/>
      <c r="EZ158" s="895"/>
      <c r="FA158" s="895"/>
      <c r="FB158" s="895"/>
      <c r="FC158" s="895"/>
      <c r="FD158" s="895"/>
      <c r="FE158" s="895"/>
      <c r="FF158" s="895"/>
      <c r="FG158" s="895"/>
      <c r="FH158" s="895"/>
      <c r="FI158" s="895"/>
      <c r="FJ158" s="895"/>
      <c r="FK158" s="895"/>
      <c r="FL158" s="895"/>
      <c r="FM158" s="895"/>
      <c r="FN158" s="895"/>
      <c r="FO158" s="895"/>
      <c r="FP158" s="895"/>
      <c r="FQ158" s="895"/>
      <c r="FR158" s="895"/>
      <c r="FS158" s="895"/>
      <c r="FT158" s="895"/>
      <c r="FU158" s="895"/>
      <c r="FV158" s="895"/>
      <c r="FW158" s="895"/>
      <c r="FX158" s="895"/>
      <c r="FY158" s="895"/>
      <c r="FZ158" s="895"/>
      <c r="GA158" s="895"/>
      <c r="GB158" s="895"/>
      <c r="GC158" s="895"/>
      <c r="GD158" s="895"/>
      <c r="GE158" s="895"/>
      <c r="GF158" s="895"/>
      <c r="GG158" s="895"/>
      <c r="GH158" s="895"/>
      <c r="GI158" s="895"/>
      <c r="GJ158" s="895"/>
      <c r="GK158" s="895"/>
      <c r="GL158" s="895"/>
      <c r="GM158" s="895"/>
      <c r="GN158" s="895"/>
      <c r="GO158" s="895"/>
      <c r="GP158" s="895"/>
      <c r="GQ158" s="895"/>
      <c r="GR158" s="895"/>
      <c r="GS158" s="895"/>
      <c r="GT158" s="895"/>
      <c r="GU158" s="895"/>
      <c r="GV158" s="895"/>
      <c r="GW158" s="895"/>
      <c r="GX158" s="895"/>
      <c r="GY158" s="895"/>
      <c r="GZ158" s="895"/>
      <c r="HA158" s="895"/>
      <c r="HB158" s="895"/>
      <c r="HC158" s="895"/>
      <c r="HD158" s="895"/>
      <c r="HE158" s="895"/>
      <c r="HF158" s="1" t="s">
        <v>212</v>
      </c>
      <c r="HH158" s="892"/>
      <c r="HI158" s="527"/>
      <c r="HJ158" s="527"/>
      <c r="HK158" s="527"/>
      <c r="HL158" s="893"/>
      <c r="HM158" s="530"/>
      <c r="HN158" s="894"/>
      <c r="HO158" s="895"/>
      <c r="HP158" s="895"/>
      <c r="HQ158" s="895"/>
      <c r="HR158" s="895"/>
      <c r="HS158" s="895"/>
      <c r="HT158" s="895"/>
      <c r="HU158" s="895"/>
      <c r="HV158" s="895"/>
      <c r="HW158" s="896"/>
    </row>
    <row r="159" spans="1:231" ht="15" outlineLevel="1">
      <c r="B159" s="16" t="s">
        <v>2294</v>
      </c>
      <c r="C159" s="16"/>
      <c r="G159" s="966">
        <v>60</v>
      </c>
      <c r="I159" s="97"/>
      <c r="K159" s="124"/>
      <c r="AJ159" s="17"/>
      <c r="HF159" s="1" t="s">
        <v>212</v>
      </c>
      <c r="HH159" s="16" t="str">
        <f t="shared" ref="HH159:HH171" si="1059">B159</f>
        <v>Re-Fi Debt</v>
      </c>
      <c r="HI159" s="34"/>
      <c r="HJ159" s="34"/>
      <c r="HK159" s="34"/>
      <c r="HL159" s="97"/>
      <c r="HM159" s="18"/>
      <c r="HN159" s="124"/>
      <c r="HW159"/>
    </row>
    <row r="160" spans="1:231" ht="15" outlineLevel="1">
      <c r="B160" s="1" t="s">
        <v>101</v>
      </c>
      <c r="D160" s="1609" t="s">
        <v>2502</v>
      </c>
      <c r="E160" s="597">
        <v>6.4000000000000001E-2</v>
      </c>
      <c r="F160" s="888" t="s">
        <v>499</v>
      </c>
      <c r="G160" s="889">
        <f>Assumptions!D66</f>
        <v>5.1999999999999998E-2</v>
      </c>
      <c r="I160" s="97"/>
      <c r="K160" s="131">
        <f>J171</f>
        <v>0</v>
      </c>
      <c r="L160" s="17">
        <f>+K171</f>
        <v>0</v>
      </c>
      <c r="M160" s="17">
        <f t="shared" ref="M160:BX160" si="1060">+L171</f>
        <v>0</v>
      </c>
      <c r="N160" s="17">
        <f t="shared" si="1060"/>
        <v>0</v>
      </c>
      <c r="O160" s="17">
        <f t="shared" si="1060"/>
        <v>0</v>
      </c>
      <c r="P160" s="17">
        <f t="shared" si="1060"/>
        <v>0</v>
      </c>
      <c r="Q160" s="17">
        <f t="shared" si="1060"/>
        <v>0</v>
      </c>
      <c r="R160" s="17">
        <f t="shared" si="1060"/>
        <v>0</v>
      </c>
      <c r="S160" s="17">
        <f t="shared" si="1060"/>
        <v>0</v>
      </c>
      <c r="T160" s="17">
        <f t="shared" si="1060"/>
        <v>0</v>
      </c>
      <c r="U160" s="17">
        <f t="shared" si="1060"/>
        <v>0</v>
      </c>
      <c r="V160" s="17">
        <f t="shared" si="1060"/>
        <v>0</v>
      </c>
      <c r="W160" s="17">
        <f t="shared" si="1060"/>
        <v>0</v>
      </c>
      <c r="X160" s="17">
        <f t="shared" si="1060"/>
        <v>0</v>
      </c>
      <c r="Y160" s="17">
        <f t="shared" si="1060"/>
        <v>0</v>
      </c>
      <c r="Z160" s="17">
        <f t="shared" si="1060"/>
        <v>0</v>
      </c>
      <c r="AA160" s="17">
        <f t="shared" si="1060"/>
        <v>0</v>
      </c>
      <c r="AB160" s="17">
        <f t="shared" si="1060"/>
        <v>0</v>
      </c>
      <c r="AC160" s="17">
        <f t="shared" si="1060"/>
        <v>0</v>
      </c>
      <c r="AD160" s="17">
        <f t="shared" si="1060"/>
        <v>0</v>
      </c>
      <c r="AE160" s="17">
        <f t="shared" si="1060"/>
        <v>0</v>
      </c>
      <c r="AF160" s="17">
        <f t="shared" si="1060"/>
        <v>0</v>
      </c>
      <c r="AG160" s="17">
        <f t="shared" si="1060"/>
        <v>0</v>
      </c>
      <c r="AH160" s="17">
        <f t="shared" si="1060"/>
        <v>0</v>
      </c>
      <c r="AI160" s="17">
        <f t="shared" si="1060"/>
        <v>0</v>
      </c>
      <c r="AJ160" s="17">
        <f t="shared" si="1060"/>
        <v>0</v>
      </c>
      <c r="AK160" s="17">
        <f t="shared" si="1060"/>
        <v>0</v>
      </c>
      <c r="AL160" s="17">
        <f t="shared" si="1060"/>
        <v>0</v>
      </c>
      <c r="AM160" s="17">
        <f t="shared" si="1060"/>
        <v>0</v>
      </c>
      <c r="AN160" s="17">
        <f t="shared" si="1060"/>
        <v>0</v>
      </c>
      <c r="AO160" s="17">
        <f t="shared" si="1060"/>
        <v>0</v>
      </c>
      <c r="AP160" s="17">
        <f t="shared" si="1060"/>
        <v>0</v>
      </c>
      <c r="AQ160" s="17">
        <f t="shared" si="1060"/>
        <v>0</v>
      </c>
      <c r="AR160" s="17">
        <f t="shared" si="1060"/>
        <v>0</v>
      </c>
      <c r="AS160" s="17">
        <f t="shared" si="1060"/>
        <v>0</v>
      </c>
      <c r="AT160" s="17">
        <f t="shared" si="1060"/>
        <v>0</v>
      </c>
      <c r="AU160" s="17">
        <f t="shared" si="1060"/>
        <v>0</v>
      </c>
      <c r="AV160" s="17">
        <f t="shared" si="1060"/>
        <v>0</v>
      </c>
      <c r="AW160" s="17">
        <f t="shared" si="1060"/>
        <v>0</v>
      </c>
      <c r="AX160" s="17">
        <f t="shared" si="1060"/>
        <v>0</v>
      </c>
      <c r="AY160" s="17">
        <f t="shared" si="1060"/>
        <v>0</v>
      </c>
      <c r="AZ160" s="17">
        <f t="shared" si="1060"/>
        <v>0</v>
      </c>
      <c r="BA160" s="17">
        <f t="shared" si="1060"/>
        <v>0</v>
      </c>
      <c r="BB160" s="17">
        <f t="shared" si="1060"/>
        <v>0</v>
      </c>
      <c r="BC160" s="17">
        <f t="shared" si="1060"/>
        <v>0</v>
      </c>
      <c r="BD160" s="17">
        <f t="shared" si="1060"/>
        <v>0</v>
      </c>
      <c r="BE160" s="17">
        <f t="shared" si="1060"/>
        <v>0</v>
      </c>
      <c r="BF160" s="17">
        <f t="shared" si="1060"/>
        <v>0</v>
      </c>
      <c r="BG160" s="17">
        <f t="shared" si="1060"/>
        <v>0</v>
      </c>
      <c r="BH160" s="17">
        <f t="shared" si="1060"/>
        <v>0</v>
      </c>
      <c r="BI160" s="17">
        <f t="shared" si="1060"/>
        <v>0</v>
      </c>
      <c r="BJ160" s="17">
        <f t="shared" si="1060"/>
        <v>0</v>
      </c>
      <c r="BK160" s="17">
        <f t="shared" si="1060"/>
        <v>0</v>
      </c>
      <c r="BL160" s="17">
        <f t="shared" si="1060"/>
        <v>0</v>
      </c>
      <c r="BM160" s="17">
        <f t="shared" si="1060"/>
        <v>0</v>
      </c>
      <c r="BN160" s="17">
        <f t="shared" si="1060"/>
        <v>0</v>
      </c>
      <c r="BO160" s="17">
        <f t="shared" si="1060"/>
        <v>0</v>
      </c>
      <c r="BP160" s="17">
        <f t="shared" si="1060"/>
        <v>0</v>
      </c>
      <c r="BQ160" s="17">
        <f t="shared" si="1060"/>
        <v>0</v>
      </c>
      <c r="BR160" s="17">
        <f t="shared" si="1060"/>
        <v>0</v>
      </c>
      <c r="BS160" s="17">
        <f t="shared" si="1060"/>
        <v>0</v>
      </c>
      <c r="BT160" s="17">
        <f t="shared" ca="1" si="1060"/>
        <v>22133.63997</v>
      </c>
      <c r="BU160" s="17">
        <f t="shared" ca="1" si="1060"/>
        <v>22133.63997</v>
      </c>
      <c r="BV160" s="17">
        <f t="shared" ca="1" si="1060"/>
        <v>22133.63997</v>
      </c>
      <c r="BW160" s="17">
        <f t="shared" ca="1" si="1060"/>
        <v>22133.63997</v>
      </c>
      <c r="BX160" s="17">
        <f t="shared" ca="1" si="1060"/>
        <v>22142.98516</v>
      </c>
      <c r="BY160" s="17">
        <f t="shared" ref="BY160:EJ160" ca="1" si="1061">+BX171</f>
        <v>22170.19944</v>
      </c>
      <c r="BZ160" s="17">
        <f t="shared" ca="1" si="1061"/>
        <v>22257.53327</v>
      </c>
      <c r="CA160" s="17">
        <f t="shared" ca="1" si="1061"/>
        <v>22257.53327</v>
      </c>
      <c r="CB160" s="17">
        <f t="shared" ca="1" si="1061"/>
        <v>22356.948270000001</v>
      </c>
      <c r="CC160" s="17">
        <f t="shared" ca="1" si="1061"/>
        <v>22361.948270000001</v>
      </c>
      <c r="CD160" s="17">
        <f t="shared" ca="1" si="1061"/>
        <v>22361.948270000001</v>
      </c>
      <c r="CE160" s="17">
        <f t="shared" ca="1" si="1061"/>
        <v>22641.602269999999</v>
      </c>
      <c r="CF160" s="17">
        <f t="shared" ca="1" si="1061"/>
        <v>22641.602269999999</v>
      </c>
      <c r="CG160" s="17">
        <f t="shared" ca="1" si="1061"/>
        <v>22708.552230000001</v>
      </c>
      <c r="CH160" s="17">
        <f t="shared" ca="1" si="1061"/>
        <v>22708.552230000001</v>
      </c>
      <c r="CI160" s="17">
        <f t="shared" ca="1" si="1061"/>
        <v>22730.8387</v>
      </c>
      <c r="CJ160" s="17">
        <f t="shared" ca="1" si="1061"/>
        <v>22730.8387</v>
      </c>
      <c r="CK160" s="17">
        <f t="shared" ca="1" si="1061"/>
        <v>22730.8387</v>
      </c>
      <c r="CL160" s="17">
        <f t="shared" ca="1" si="1061"/>
        <v>22730.8387</v>
      </c>
      <c r="CM160" s="17">
        <f t="shared" ca="1" si="1061"/>
        <v>22730.8387</v>
      </c>
      <c r="CN160" s="17">
        <f t="shared" ca="1" si="1061"/>
        <v>22799.152192063491</v>
      </c>
      <c r="CO160" s="17">
        <f t="shared" ca="1" si="1061"/>
        <v>22867.465684126983</v>
      </c>
      <c r="CP160" s="17">
        <f t="shared" ca="1" si="1061"/>
        <v>22935.779176190474</v>
      </c>
      <c r="CQ160" s="17">
        <f t="shared" ca="1" si="1061"/>
        <v>23097.001668253964</v>
      </c>
      <c r="CR160" s="17">
        <f t="shared" ca="1" si="1061"/>
        <v>23159.065160317456</v>
      </c>
      <c r="CS160" s="17">
        <f t="shared" ca="1" si="1061"/>
        <v>23221.128652380947</v>
      </c>
      <c r="CT160" s="17">
        <f t="shared" ca="1" si="1061"/>
        <v>23456.79414444444</v>
      </c>
      <c r="CU160" s="17">
        <f t="shared" ca="1" si="1061"/>
        <v>23753.497922222217</v>
      </c>
      <c r="CV160" s="17">
        <f t="shared" ca="1" si="1061"/>
        <v>23781.275699999995</v>
      </c>
      <c r="CW160" s="17">
        <f t="shared" ca="1" si="1061"/>
        <v>23781.275699999995</v>
      </c>
      <c r="CX160" s="17">
        <f t="shared" ca="1" si="1061"/>
        <v>23781.275699999995</v>
      </c>
      <c r="CY160" s="17">
        <f t="shared" ca="1" si="1061"/>
        <v>23781.275699999995</v>
      </c>
      <c r="CZ160" s="17">
        <f t="shared" ca="1" si="1061"/>
        <v>23956.394699999993</v>
      </c>
      <c r="DA160" s="17">
        <f t="shared" ca="1" si="1061"/>
        <v>23956.394699999993</v>
      </c>
      <c r="DB160" s="17">
        <f t="shared" ca="1" si="1061"/>
        <v>24110.511699999992</v>
      </c>
      <c r="DC160" s="17">
        <f t="shared" ca="1" si="1061"/>
        <v>25292.154699999992</v>
      </c>
      <c r="DD160" s="17">
        <f t="shared" ca="1" si="1061"/>
        <v>25484.955699999991</v>
      </c>
      <c r="DE160" s="17">
        <f t="shared" ca="1" si="1061"/>
        <v>25484.955699999991</v>
      </c>
      <c r="DF160" s="17">
        <f t="shared" ca="1" si="1061"/>
        <v>25484.955699999991</v>
      </c>
      <c r="DG160" s="17">
        <f t="shared" ca="1" si="1061"/>
        <v>25484.955699999991</v>
      </c>
      <c r="DH160" s="17">
        <f t="shared" ca="1" si="1061"/>
        <v>25484.955699999991</v>
      </c>
      <c r="DI160" s="17">
        <f t="shared" ca="1" si="1061"/>
        <v>25484.955699999991</v>
      </c>
      <c r="DJ160" s="17">
        <f t="shared" ca="1" si="1061"/>
        <v>0</v>
      </c>
      <c r="DK160" s="17">
        <f t="shared" ca="1" si="1061"/>
        <v>0</v>
      </c>
      <c r="DL160" s="17">
        <f t="shared" ca="1" si="1061"/>
        <v>0</v>
      </c>
      <c r="DM160" s="17">
        <f t="shared" ca="1" si="1061"/>
        <v>0</v>
      </c>
      <c r="DN160" s="17">
        <f t="shared" ca="1" si="1061"/>
        <v>0</v>
      </c>
      <c r="DO160" s="17">
        <f t="shared" ca="1" si="1061"/>
        <v>0</v>
      </c>
      <c r="DP160" s="17">
        <f t="shared" ca="1" si="1061"/>
        <v>0</v>
      </c>
      <c r="DQ160" s="17">
        <f t="shared" ca="1" si="1061"/>
        <v>0</v>
      </c>
      <c r="DR160" s="17">
        <f t="shared" ca="1" si="1061"/>
        <v>0</v>
      </c>
      <c r="DS160" s="17">
        <f t="shared" ca="1" si="1061"/>
        <v>0</v>
      </c>
      <c r="DT160" s="17">
        <f t="shared" ca="1" si="1061"/>
        <v>0</v>
      </c>
      <c r="DU160" s="17">
        <f t="shared" ca="1" si="1061"/>
        <v>0</v>
      </c>
      <c r="DV160" s="17">
        <f t="shared" ca="1" si="1061"/>
        <v>0</v>
      </c>
      <c r="DW160" s="17">
        <f t="shared" ca="1" si="1061"/>
        <v>0</v>
      </c>
      <c r="DX160" s="17">
        <f t="shared" ca="1" si="1061"/>
        <v>0</v>
      </c>
      <c r="DY160" s="17">
        <f t="shared" ca="1" si="1061"/>
        <v>0</v>
      </c>
      <c r="DZ160" s="17">
        <f t="shared" ca="1" si="1061"/>
        <v>0</v>
      </c>
      <c r="EA160" s="17">
        <f t="shared" ca="1" si="1061"/>
        <v>0</v>
      </c>
      <c r="EB160" s="17">
        <f t="shared" ca="1" si="1061"/>
        <v>0</v>
      </c>
      <c r="EC160" s="17">
        <f t="shared" ca="1" si="1061"/>
        <v>0</v>
      </c>
      <c r="ED160" s="17">
        <f t="shared" ca="1" si="1061"/>
        <v>0</v>
      </c>
      <c r="EE160" s="17">
        <f t="shared" ca="1" si="1061"/>
        <v>0</v>
      </c>
      <c r="EF160" s="17">
        <f t="shared" ca="1" si="1061"/>
        <v>0</v>
      </c>
      <c r="EG160" s="17">
        <f t="shared" ca="1" si="1061"/>
        <v>0</v>
      </c>
      <c r="EH160" s="17">
        <f t="shared" ca="1" si="1061"/>
        <v>0</v>
      </c>
      <c r="EI160" s="17">
        <f t="shared" ca="1" si="1061"/>
        <v>0</v>
      </c>
      <c r="EJ160" s="17">
        <f t="shared" ca="1" si="1061"/>
        <v>0</v>
      </c>
      <c r="EK160" s="17">
        <f t="shared" ref="EK160:EL160" ca="1" si="1062">+EJ171</f>
        <v>0</v>
      </c>
      <c r="EL160" s="17">
        <f t="shared" ca="1" si="1062"/>
        <v>0</v>
      </c>
      <c r="EM160" s="17">
        <f t="shared" ref="EM160" ca="1" si="1063">+EL171</f>
        <v>0</v>
      </c>
      <c r="EN160" s="17">
        <f t="shared" ref="EN160" ca="1" si="1064">+EM171</f>
        <v>0</v>
      </c>
      <c r="EO160" s="17">
        <f t="shared" ref="EO160" ca="1" si="1065">+EN171</f>
        <v>0</v>
      </c>
      <c r="EP160" s="17">
        <f t="shared" ref="EP160" ca="1" si="1066">+EO171</f>
        <v>0</v>
      </c>
      <c r="EQ160" s="17">
        <f t="shared" ref="EQ160" ca="1" si="1067">+EP171</f>
        <v>0</v>
      </c>
      <c r="ER160" s="17">
        <f t="shared" ref="ER160" ca="1" si="1068">+EQ171</f>
        <v>0</v>
      </c>
      <c r="ES160" s="17">
        <f t="shared" ref="ES160" ca="1" si="1069">+ER171</f>
        <v>0</v>
      </c>
      <c r="ET160" s="17">
        <f t="shared" ref="ET160" ca="1" si="1070">+ES171</f>
        <v>0</v>
      </c>
      <c r="EU160" s="17">
        <f t="shared" ref="EU160" ca="1" si="1071">+ET171</f>
        <v>0</v>
      </c>
      <c r="EV160" s="17">
        <f t="shared" ref="EV160" ca="1" si="1072">+EU171</f>
        <v>0</v>
      </c>
      <c r="EW160" s="17">
        <f t="shared" ref="EW160" ca="1" si="1073">+EV171</f>
        <v>0</v>
      </c>
      <c r="EX160" s="17">
        <f t="shared" ref="EX160" ca="1" si="1074">+EW171</f>
        <v>0</v>
      </c>
      <c r="EY160" s="17">
        <f t="shared" ref="EY160" ca="1" si="1075">+EX171</f>
        <v>0</v>
      </c>
      <c r="EZ160" s="17">
        <f t="shared" ref="EZ160" ca="1" si="1076">+EY171</f>
        <v>0</v>
      </c>
      <c r="FA160" s="17">
        <f t="shared" ref="FA160" ca="1" si="1077">+EZ171</f>
        <v>0</v>
      </c>
      <c r="FB160" s="17">
        <f t="shared" ref="FB160" ca="1" si="1078">+FA171</f>
        <v>0</v>
      </c>
      <c r="FC160" s="17">
        <f t="shared" ref="FC160" ca="1" si="1079">+FB171</f>
        <v>0</v>
      </c>
      <c r="FD160" s="17">
        <f t="shared" ref="FD160" ca="1" si="1080">+FC171</f>
        <v>0</v>
      </c>
      <c r="FE160" s="17">
        <f t="shared" ref="FE160" ca="1" si="1081">+FD171</f>
        <v>0</v>
      </c>
      <c r="FF160" s="17">
        <f t="shared" ref="FF160" ca="1" si="1082">+FE171</f>
        <v>0</v>
      </c>
      <c r="FG160" s="17">
        <f t="shared" ref="FG160" ca="1" si="1083">+FF171</f>
        <v>0</v>
      </c>
      <c r="FH160" s="17">
        <f t="shared" ref="FH160" ca="1" si="1084">+FG171</f>
        <v>0</v>
      </c>
      <c r="FI160" s="17">
        <f t="shared" ref="FI160" ca="1" si="1085">+FH171</f>
        <v>0</v>
      </c>
      <c r="FJ160" s="17">
        <f t="shared" ref="FJ160" ca="1" si="1086">+FI171</f>
        <v>0</v>
      </c>
      <c r="FK160" s="17">
        <f t="shared" ref="FK160" ca="1" si="1087">+FJ171</f>
        <v>0</v>
      </c>
      <c r="FL160" s="17">
        <f t="shared" ref="FL160" ca="1" si="1088">+FK171</f>
        <v>0</v>
      </c>
      <c r="FM160" s="17">
        <f t="shared" ref="FM160" ca="1" si="1089">+FL171</f>
        <v>0</v>
      </c>
      <c r="FN160" s="17">
        <f t="shared" ref="FN160" ca="1" si="1090">+FM171</f>
        <v>0</v>
      </c>
      <c r="FO160" s="17">
        <f t="shared" ref="FO160" ca="1" si="1091">+FN171</f>
        <v>0</v>
      </c>
      <c r="FP160" s="17">
        <f t="shared" ref="FP160" ca="1" si="1092">+FO171</f>
        <v>0</v>
      </c>
      <c r="FQ160" s="17">
        <f t="shared" ref="FQ160" ca="1" si="1093">+FP171</f>
        <v>0</v>
      </c>
      <c r="FR160" s="17">
        <f t="shared" ref="FR160" ca="1" si="1094">+FQ171</f>
        <v>0</v>
      </c>
      <c r="FS160" s="17">
        <f t="shared" ref="FS160" ca="1" si="1095">+FR171</f>
        <v>0</v>
      </c>
      <c r="FT160" s="17">
        <f t="shared" ref="FT160" ca="1" si="1096">+FS171</f>
        <v>0</v>
      </c>
      <c r="FU160" s="17">
        <f t="shared" ref="FU160" ca="1" si="1097">+FT171</f>
        <v>0</v>
      </c>
      <c r="FV160" s="17">
        <f t="shared" ref="FV160" ca="1" si="1098">+FU171</f>
        <v>0</v>
      </c>
      <c r="FW160" s="17">
        <f t="shared" ref="FW160" ca="1" si="1099">+FV171</f>
        <v>0</v>
      </c>
      <c r="FX160" s="17">
        <f t="shared" ref="FX160" ca="1" si="1100">+FW171</f>
        <v>0</v>
      </c>
      <c r="FY160" s="17">
        <f t="shared" ref="FY160" ca="1" si="1101">+FX171</f>
        <v>0</v>
      </c>
      <c r="FZ160" s="17">
        <f t="shared" ref="FZ160" ca="1" si="1102">+FY171</f>
        <v>0</v>
      </c>
      <c r="GA160" s="17">
        <f t="shared" ref="GA160" ca="1" si="1103">+FZ171</f>
        <v>0</v>
      </c>
      <c r="GB160" s="17">
        <f t="shared" ref="GB160" ca="1" si="1104">+GA171</f>
        <v>0</v>
      </c>
      <c r="GC160" s="17">
        <f t="shared" ref="GC160" ca="1" si="1105">+GB171</f>
        <v>0</v>
      </c>
      <c r="GD160" s="17">
        <f t="shared" ref="GD160" ca="1" si="1106">+GC171</f>
        <v>0</v>
      </c>
      <c r="GE160" s="17">
        <f t="shared" ref="GE160" ca="1" si="1107">+GD171</f>
        <v>0</v>
      </c>
      <c r="GF160" s="17">
        <f t="shared" ref="GF160" ca="1" si="1108">+GE171</f>
        <v>0</v>
      </c>
      <c r="GG160" s="17">
        <f t="shared" ref="GG160" ca="1" si="1109">+GF171</f>
        <v>0</v>
      </c>
      <c r="GH160" s="17">
        <f t="shared" ref="GH160" ca="1" si="1110">+GG171</f>
        <v>0</v>
      </c>
      <c r="GI160" s="17">
        <f t="shared" ref="GI160" ca="1" si="1111">+GH171</f>
        <v>0</v>
      </c>
      <c r="GJ160" s="17">
        <f t="shared" ref="GJ160" ca="1" si="1112">+GI171</f>
        <v>0</v>
      </c>
      <c r="GK160" s="17">
        <f t="shared" ref="GK160" ca="1" si="1113">+GJ171</f>
        <v>0</v>
      </c>
      <c r="GL160" s="17">
        <f t="shared" ref="GL160" ca="1" si="1114">+GK171</f>
        <v>0</v>
      </c>
      <c r="GM160" s="17">
        <f t="shared" ref="GM160" ca="1" si="1115">+GL171</f>
        <v>0</v>
      </c>
      <c r="GN160" s="17">
        <f t="shared" ref="GN160" ca="1" si="1116">+GM171</f>
        <v>0</v>
      </c>
      <c r="GO160" s="17">
        <f t="shared" ref="GO160" ca="1" si="1117">+GN171</f>
        <v>0</v>
      </c>
      <c r="GP160" s="17">
        <f t="shared" ref="GP160" ca="1" si="1118">+GO171</f>
        <v>0</v>
      </c>
      <c r="GQ160" s="17">
        <f t="shared" ref="GQ160" ca="1" si="1119">+GP171</f>
        <v>0</v>
      </c>
      <c r="GR160" s="17">
        <f t="shared" ref="GR160" ca="1" si="1120">+GQ171</f>
        <v>0</v>
      </c>
      <c r="GS160" s="17">
        <f t="shared" ref="GS160" ca="1" si="1121">+GR171</f>
        <v>0</v>
      </c>
      <c r="GT160" s="17">
        <f t="shared" ref="GT160" ca="1" si="1122">+GS171</f>
        <v>0</v>
      </c>
      <c r="GU160" s="17"/>
      <c r="GV160" s="17"/>
      <c r="GW160" s="17"/>
      <c r="GX160" s="17"/>
      <c r="GY160" s="17"/>
      <c r="GZ160" s="17"/>
      <c r="HA160" s="17"/>
      <c r="HB160" s="17"/>
      <c r="HC160" s="17"/>
      <c r="HD160" s="17"/>
      <c r="HE160" s="17"/>
      <c r="HF160" s="1" t="s">
        <v>212</v>
      </c>
      <c r="HH160" s="1" t="str">
        <f t="shared" si="1059"/>
        <v>Beginning Balance</v>
      </c>
      <c r="HI160" s="34"/>
      <c r="HJ160" s="34"/>
      <c r="HK160" s="34"/>
      <c r="HL160" s="97">
        <f t="shared" ref="HL160:HL171" ca="1" si="1123">SUM(HN160:HV160)</f>
        <v>826528.60152999987</v>
      </c>
      <c r="HM160" s="18"/>
      <c r="HN160" s="131">
        <f t="shared" ref="HN160:HV171" si="1124">SUMIF($K$14:$GT$14,HN$14,$K160:$GT160)</f>
        <v>0</v>
      </c>
      <c r="HO160" s="17">
        <f t="shared" si="1124"/>
        <v>0</v>
      </c>
      <c r="HP160" s="17">
        <f t="shared" si="1124"/>
        <v>0</v>
      </c>
      <c r="HQ160" s="17">
        <f t="shared" si="1124"/>
        <v>0</v>
      </c>
      <c r="HR160" s="17">
        <f t="shared" si="1124"/>
        <v>0</v>
      </c>
      <c r="HS160" s="17">
        <f t="shared" si="1124"/>
        <v>0</v>
      </c>
      <c r="HT160" s="17">
        <f t="shared" ca="1" si="1124"/>
        <v>267085.25809999998</v>
      </c>
      <c r="HU160" s="17">
        <f t="shared" ca="1" si="1124"/>
        <v>273412.29895063484</v>
      </c>
      <c r="HV160" s="17">
        <f t="shared" ca="1" si="1124"/>
        <v>286031.04447936505</v>
      </c>
      <c r="HW160"/>
    </row>
    <row r="161" spans="1:231" ht="15" outlineLevel="1">
      <c r="B161" s="1592" t="s">
        <v>2496</v>
      </c>
      <c r="C161" s="9"/>
      <c r="D161" s="1609" t="s">
        <v>2502</v>
      </c>
      <c r="E161" s="597">
        <v>7.3999999999999996E-2</v>
      </c>
      <c r="F161" s="98"/>
      <c r="G161" s="213"/>
      <c r="H161" s="214"/>
      <c r="I161" s="132">
        <f>SUMIF($K$13:$GT$13,"&lt;="&amp;Assumptions!$L$17,'Monthly Cash Flow'!K161:GT161)</f>
        <v>22133.63997</v>
      </c>
      <c r="K161" s="133">
        <f>IF(K13=$G$159,Assumptions!$F$62,0)</f>
        <v>0</v>
      </c>
      <c r="L161" s="26">
        <f>IF(L13=$G$159,Assumptions!$F$62,0)</f>
        <v>0</v>
      </c>
      <c r="M161" s="26">
        <f>IF(M13=$G$159,Assumptions!$F$62,0)</f>
        <v>0</v>
      </c>
      <c r="N161" s="26">
        <f>IF(N13=$G$159,Assumptions!$F$62,0)</f>
        <v>0</v>
      </c>
      <c r="O161" s="26">
        <f>IF(O13=$G$159,Assumptions!$F$62,0)</f>
        <v>0</v>
      </c>
      <c r="P161" s="26">
        <f>IF(P13=$G$159,Assumptions!$F$62,0)</f>
        <v>0</v>
      </c>
      <c r="Q161" s="26">
        <f>IF(Q13=$G$159,Assumptions!$F$62,0)</f>
        <v>0</v>
      </c>
      <c r="R161" s="26">
        <f>IF(R13=$G$159,Assumptions!$F$62,0)</f>
        <v>0</v>
      </c>
      <c r="S161" s="26">
        <f>IF(S13=$G$159,Assumptions!$F$62,0)</f>
        <v>0</v>
      </c>
      <c r="T161" s="26">
        <f>IF(T13=$G$159,Assumptions!$F$62,0)</f>
        <v>0</v>
      </c>
      <c r="U161" s="26">
        <f>IF(U13=$G$159,Assumptions!$F$62,0)</f>
        <v>0</v>
      </c>
      <c r="V161" s="26">
        <f>IF(V13=$G$159,Assumptions!$F$62,0)</f>
        <v>0</v>
      </c>
      <c r="W161" s="26">
        <f>IF(W13=$G$159,Assumptions!$F$62,0)</f>
        <v>0</v>
      </c>
      <c r="X161" s="26">
        <f>IF(X13=$G$159,Assumptions!$F$62,0)</f>
        <v>0</v>
      </c>
      <c r="Y161" s="26">
        <f>IF(Y13=$G$159,Assumptions!$F$62,0)</f>
        <v>0</v>
      </c>
      <c r="Z161" s="26">
        <f>IF(Z13=$G$159,Assumptions!$F$62,0)</f>
        <v>0</v>
      </c>
      <c r="AA161" s="26">
        <f>IF(AA13=$G$159,Assumptions!$F$62,0)</f>
        <v>0</v>
      </c>
      <c r="AB161" s="26">
        <f>IF(AB13=$G$159,Assumptions!$F$62,0)</f>
        <v>0</v>
      </c>
      <c r="AC161" s="26">
        <f>IF(AC13=$G$159,Assumptions!$F$62,0)</f>
        <v>0</v>
      </c>
      <c r="AD161" s="26">
        <f>IF(AD13=$G$159,Assumptions!$F$62,0)</f>
        <v>0</v>
      </c>
      <c r="AE161" s="26">
        <f>IF(AE13=$G$159,Assumptions!$F$62,0)</f>
        <v>0</v>
      </c>
      <c r="AF161" s="26">
        <f>IF(AF13=$G$159,Assumptions!$F$62,0)</f>
        <v>0</v>
      </c>
      <c r="AG161" s="26">
        <f>IF(AG13=$G$159,Assumptions!$F$62,0)</f>
        <v>0</v>
      </c>
      <c r="AH161" s="26">
        <f>IF(AH13=$G$159,Assumptions!$F$62,0)</f>
        <v>0</v>
      </c>
      <c r="AI161" s="26">
        <f>IF(AI13=$G$159,Assumptions!$F$62,0)</f>
        <v>0</v>
      </c>
      <c r="AJ161" s="26">
        <f>IF(AJ13=$G$159,Assumptions!$F$62,0)</f>
        <v>0</v>
      </c>
      <c r="AK161" s="26">
        <f>IF(AK13=$G$159,Assumptions!$F$62,0)</f>
        <v>0</v>
      </c>
      <c r="AL161" s="26">
        <f>IF(AL13=$G$159,Assumptions!$F$62,0)</f>
        <v>0</v>
      </c>
      <c r="AM161" s="26">
        <f>IF(AM13=$G$159,Assumptions!$F$62,0)</f>
        <v>0</v>
      </c>
      <c r="AN161" s="26">
        <f>IF(AN13=$G$159,Assumptions!$F$62,0)</f>
        <v>0</v>
      </c>
      <c r="AO161" s="26">
        <f>IF(AO13=$G$159,Assumptions!$F$62,0)</f>
        <v>0</v>
      </c>
      <c r="AP161" s="26">
        <f>IF(AP13=$G$159,Assumptions!$F$62,0)</f>
        <v>0</v>
      </c>
      <c r="AQ161" s="26">
        <f>IF(AQ13=$G$159,Assumptions!$F$62,0)</f>
        <v>0</v>
      </c>
      <c r="AR161" s="26">
        <f>IF(AR13=$G$159,Assumptions!$F$62,0)</f>
        <v>0</v>
      </c>
      <c r="AS161" s="26">
        <f>IF(AS13=$G$159,Assumptions!$F$62,0)</f>
        <v>0</v>
      </c>
      <c r="AT161" s="26">
        <f>IF(AT13=$G$159,Assumptions!$F$62,0)</f>
        <v>0</v>
      </c>
      <c r="AU161" s="26">
        <f>IF(AU13=$G$159,Assumptions!$F$62,0)</f>
        <v>0</v>
      </c>
      <c r="AV161" s="26">
        <f>IF(AV13=$G$159,Assumptions!$F$62,0)</f>
        <v>0</v>
      </c>
      <c r="AW161" s="26">
        <f>IF(AW13=$G$159,Assumptions!$F$62,0)</f>
        <v>0</v>
      </c>
      <c r="AX161" s="26">
        <f>IF(AX13=$G$159,Assumptions!$F$62,0)</f>
        <v>0</v>
      </c>
      <c r="AY161" s="26">
        <f>IF(AY13=$G$159,Assumptions!$F$62,0)</f>
        <v>0</v>
      </c>
      <c r="AZ161" s="26">
        <f>IF(AZ13=$G$159,Assumptions!$F$62,0)</f>
        <v>0</v>
      </c>
      <c r="BA161" s="26">
        <f>IF(BA13=$G$159,Assumptions!$F$62,0)</f>
        <v>0</v>
      </c>
      <c r="BB161" s="26">
        <f>IF(BB13=$G$159,Assumptions!$F$62,0)</f>
        <v>0</v>
      </c>
      <c r="BC161" s="26">
        <f>IF(BC13=$G$159,Assumptions!$F$62,0)</f>
        <v>0</v>
      </c>
      <c r="BD161" s="26">
        <f>IF(BD13=$G$159,Assumptions!$F$62,0)</f>
        <v>0</v>
      </c>
      <c r="BE161" s="26">
        <f>IF(BE13=$G$159,Assumptions!$F$62,0)</f>
        <v>0</v>
      </c>
      <c r="BF161" s="26">
        <f>IF(BF13=$G$159,Assumptions!$F$62,0)</f>
        <v>0</v>
      </c>
      <c r="BG161" s="26">
        <f>IF(BG13=$G$159,Assumptions!$F$62,0)</f>
        <v>0</v>
      </c>
      <c r="BH161" s="26">
        <f>IF(BH13=$G$159,Assumptions!$F$62,0)</f>
        <v>0</v>
      </c>
      <c r="BI161" s="26">
        <f>IF(BI13=$G$159,Assumptions!$F$62,0)</f>
        <v>0</v>
      </c>
      <c r="BJ161" s="26">
        <f>IF(BJ13=$G$159,Assumptions!$F$62,0)</f>
        <v>0</v>
      </c>
      <c r="BK161" s="26">
        <f>IF(BK13=$G$159,Assumptions!$F$62,0)</f>
        <v>0</v>
      </c>
      <c r="BL161" s="26">
        <f>IF(BL13=$G$159,Assumptions!$F$62,0)</f>
        <v>0</v>
      </c>
      <c r="BM161" s="26">
        <f>IF(BM13=$G$159,Assumptions!$F$62,0)</f>
        <v>0</v>
      </c>
      <c r="BN161" s="26">
        <f>IF(BN13=$G$159,Assumptions!$F$62,0)</f>
        <v>0</v>
      </c>
      <c r="BO161" s="26">
        <f>IF(BO13=$G$159,Assumptions!$F$62,0)</f>
        <v>0</v>
      </c>
      <c r="BP161" s="26">
        <f>IF(BP13=$G$159,Assumptions!$F$62,0)</f>
        <v>0</v>
      </c>
      <c r="BQ161" s="26">
        <f>IF(BQ13=$G$159,Assumptions!$F$62,0)</f>
        <v>0</v>
      </c>
      <c r="BR161" s="26">
        <f>IF(BR13=$G$159,Assumptions!$F$62,0)</f>
        <v>0</v>
      </c>
      <c r="BS161" s="26">
        <f>IF(BS13=$G$159,Assumptions!$F$62,0)</f>
        <v>22133.63997</v>
      </c>
      <c r="BT161" s="26">
        <f>IF(BT13=$G$159,Assumptions!$F$62,0)</f>
        <v>0</v>
      </c>
      <c r="BU161" s="26">
        <f>IF(BU13=$G$159,Assumptions!$F$62,0)</f>
        <v>0</v>
      </c>
      <c r="BV161" s="26">
        <f>IF(BV13=$G$159,Assumptions!$F$62,0)</f>
        <v>0</v>
      </c>
      <c r="BW161" s="26">
        <f>IF(BW13=$G$159,Assumptions!$F$62,0)</f>
        <v>0</v>
      </c>
      <c r="BX161" s="26">
        <f>IF(BX13=$G$159,Assumptions!$F$62,0)</f>
        <v>0</v>
      </c>
      <c r="BY161" s="26">
        <f>IF(BY13=$G$159,Assumptions!$F$62,0)</f>
        <v>0</v>
      </c>
      <c r="BZ161" s="26">
        <f>IF(BZ13=$G$159,Assumptions!$F$62,0)</f>
        <v>0</v>
      </c>
      <c r="CA161" s="26">
        <f>IF(CA13=$G$159,Assumptions!$F$62,0)</f>
        <v>0</v>
      </c>
      <c r="CB161" s="26">
        <f>IF(CB13=$G$159,Assumptions!$F$62,0)</f>
        <v>0</v>
      </c>
      <c r="CC161" s="26">
        <f>IF(CC13=$G$159,Assumptions!$F$62,0)</f>
        <v>0</v>
      </c>
      <c r="CD161" s="26">
        <f>IF(CD13=$G$159,Assumptions!$F$62,0)</f>
        <v>0</v>
      </c>
      <c r="CE161" s="26">
        <f>IF(CE13=$G$159,Assumptions!$F$62,0)</f>
        <v>0</v>
      </c>
      <c r="CF161" s="26">
        <f>IF(CF13=$G$159,Assumptions!$F$62,0)</f>
        <v>0</v>
      </c>
      <c r="CG161" s="26">
        <f>IF(CG13=$G$159,Assumptions!$F$62,0)</f>
        <v>0</v>
      </c>
      <c r="CH161" s="26">
        <f>IF(CH13=$G$159,Assumptions!$F$62,0)</f>
        <v>0</v>
      </c>
      <c r="CI161" s="26">
        <f>IF(CI13=$G$159,Assumptions!$F$62,0)</f>
        <v>0</v>
      </c>
      <c r="CJ161" s="26">
        <f>IF(CJ13=$G$159,Assumptions!$F$62,0)</f>
        <v>0</v>
      </c>
      <c r="CK161" s="26">
        <f>IF(CK13=$G$159,Assumptions!$F$62,0)</f>
        <v>0</v>
      </c>
      <c r="CL161" s="26">
        <f>IF(CL13=$G$159,Assumptions!$F$62,0)</f>
        <v>0</v>
      </c>
      <c r="CM161" s="26">
        <f>IF(CM13=$G$159,Assumptions!$F$62,0)</f>
        <v>0</v>
      </c>
      <c r="CN161" s="26">
        <f>IF(CN13=$G$159,Assumptions!$F$62,0)</f>
        <v>0</v>
      </c>
      <c r="CO161" s="26">
        <f>IF(CO13=$G$159,Assumptions!$F$62,0)</f>
        <v>0</v>
      </c>
      <c r="CP161" s="26">
        <f>IF(CP13=$G$159,Assumptions!$F$62,0)</f>
        <v>0</v>
      </c>
      <c r="CQ161" s="26">
        <f>IF(CQ13=$G$159,Assumptions!$F$62,0)</f>
        <v>0</v>
      </c>
      <c r="CR161" s="26">
        <f>IF(CR13=$G$159,Assumptions!$F$62,0)</f>
        <v>0</v>
      </c>
      <c r="CS161" s="26">
        <f>IF(CS13=$G$159,Assumptions!$F$62,0)</f>
        <v>0</v>
      </c>
      <c r="CT161" s="26">
        <f>IF(CT13=$G$159,Assumptions!$F$62,0)</f>
        <v>0</v>
      </c>
      <c r="CU161" s="26">
        <f>IF(CU13=$G$159,Assumptions!$F$62,0)</f>
        <v>0</v>
      </c>
      <c r="CV161" s="26">
        <f>IF(CV13=$G$159,Assumptions!$F$62,0)</f>
        <v>0</v>
      </c>
      <c r="CW161" s="26">
        <f>IF(CW13=$G$159,Assumptions!$F$62,0)</f>
        <v>0</v>
      </c>
      <c r="CX161" s="26">
        <f>IF(CX13=$G$159,Assumptions!$F$62,0)</f>
        <v>0</v>
      </c>
      <c r="CY161" s="26">
        <f>IF(CY13=$G$159,Assumptions!$F$62,0)</f>
        <v>0</v>
      </c>
      <c r="CZ161" s="26">
        <f>IF(CZ13=$G$159,Assumptions!$F$62,0)</f>
        <v>0</v>
      </c>
      <c r="DA161" s="26">
        <f>IF(DA13=$G$159,Assumptions!$F$62,0)</f>
        <v>0</v>
      </c>
      <c r="DB161" s="26">
        <f>IF(DB13=$G$159,Assumptions!$F$62,0)</f>
        <v>0</v>
      </c>
      <c r="DC161" s="26">
        <f>IF(DC13=$G$159,Assumptions!$F$62,0)</f>
        <v>0</v>
      </c>
      <c r="DD161" s="26">
        <f>IF(DD13=$G$159,Assumptions!$F$62,0)</f>
        <v>0</v>
      </c>
      <c r="DE161" s="26">
        <f>IF(DE13=$G$159,Assumptions!$F$62,0)</f>
        <v>0</v>
      </c>
      <c r="DF161" s="26">
        <f>IF(DF13=$G$159,Assumptions!$F$62,0)</f>
        <v>0</v>
      </c>
      <c r="DG161" s="26">
        <f>IF(DG13=$G$159,Assumptions!$F$62,0)</f>
        <v>0</v>
      </c>
      <c r="DH161" s="26">
        <f>IF(DH13=$G$159,Assumptions!$F$62,0)</f>
        <v>0</v>
      </c>
      <c r="DI161" s="26">
        <f>IF(DI13=$G$159,Assumptions!$F$62,0)</f>
        <v>0</v>
      </c>
      <c r="DJ161" s="26">
        <f>IF(DJ13=$G$159,Assumptions!$F$62,0)</f>
        <v>0</v>
      </c>
      <c r="DK161" s="26">
        <f>IF(DK13=$G$159,Assumptions!$F$62,0)</f>
        <v>0</v>
      </c>
      <c r="DL161" s="26">
        <f>IF(DL13=$G$159,Assumptions!$F$62,0)</f>
        <v>0</v>
      </c>
      <c r="DM161" s="26">
        <f>IF(DM13=$G$159,Assumptions!$F$62,0)</f>
        <v>0</v>
      </c>
      <c r="DN161" s="26">
        <f>IF(DN13=$G$159,Assumptions!$F$62,0)</f>
        <v>0</v>
      </c>
      <c r="DO161" s="26">
        <f>IF(DO13=$G$159,Assumptions!$F$62,0)</f>
        <v>0</v>
      </c>
      <c r="DP161" s="26">
        <f>IF(DP13=$G$159,Assumptions!$F$62,0)</f>
        <v>0</v>
      </c>
      <c r="DQ161" s="26">
        <f>IF(DQ13=$G$159,Assumptions!$F$62,0)</f>
        <v>0</v>
      </c>
      <c r="DR161" s="26">
        <f>IF(DR13=$G$159,Assumptions!$F$62,0)</f>
        <v>0</v>
      </c>
      <c r="DS161" s="26">
        <f>IF(DS13=$G$159,Assumptions!$F$62,0)</f>
        <v>0</v>
      </c>
      <c r="DT161" s="26">
        <f>IF(DT13=$G$159,Assumptions!$F$62,0)</f>
        <v>0</v>
      </c>
      <c r="DU161" s="26">
        <f>IF(DU13=$G$159,Assumptions!$F$62,0)</f>
        <v>0</v>
      </c>
      <c r="DV161" s="26">
        <f>IF(DV13=$G$159,Assumptions!$F$62,0)</f>
        <v>0</v>
      </c>
      <c r="DW161" s="26">
        <f>IF(DW13=$G$159,Assumptions!$F$62,0)</f>
        <v>0</v>
      </c>
      <c r="DX161" s="26">
        <f>IF(DX13=$G$159,Assumptions!$F$62,0)</f>
        <v>0</v>
      </c>
      <c r="DY161" s="26">
        <f>IF(DY13=$G$159,Assumptions!$F$62,0)</f>
        <v>0</v>
      </c>
      <c r="DZ161" s="26">
        <f>IF(DZ13=$G$159,Assumptions!$F$62,0)</f>
        <v>0</v>
      </c>
      <c r="EA161" s="26">
        <f>IF(EA13=$G$159,Assumptions!$F$62,0)</f>
        <v>0</v>
      </c>
      <c r="EB161" s="26">
        <f>IF(EB13=$G$159,Assumptions!$F$62,0)</f>
        <v>0</v>
      </c>
      <c r="EC161" s="26">
        <f>IF(EC13=$G$159,Assumptions!$F$62,0)</f>
        <v>0</v>
      </c>
      <c r="ED161" s="26">
        <f>IF(ED13=$G$159,Assumptions!$F$62,0)</f>
        <v>0</v>
      </c>
      <c r="EE161" s="26">
        <f>IF(EE13=$G$159,Assumptions!$F$62,0)</f>
        <v>0</v>
      </c>
      <c r="EF161" s="26">
        <f>IF(EF13=$G$159,Assumptions!$F$62,0)</f>
        <v>0</v>
      </c>
      <c r="EG161" s="26">
        <f>IF(EG13=$G$159,Assumptions!$F$62,0)</f>
        <v>0</v>
      </c>
      <c r="EH161" s="26">
        <f>IF(EH13=$G$159,Assumptions!$F$62,0)</f>
        <v>0</v>
      </c>
      <c r="EI161" s="26">
        <f>IF(EI13=$G$159,Assumptions!$F$62,0)</f>
        <v>0</v>
      </c>
      <c r="EJ161" s="26">
        <f>IF(EJ13=$G$159,Assumptions!$F$62,0)</f>
        <v>0</v>
      </c>
      <c r="EK161" s="26">
        <f>IF(EK13=$G$159,Assumptions!$F$62,0)</f>
        <v>0</v>
      </c>
      <c r="EL161" s="26">
        <f>IF(EL13=$G$159,Assumptions!$F$62,0)</f>
        <v>0</v>
      </c>
      <c r="EM161" s="26">
        <f>IF(EM13=$G$159,Assumptions!$F$62,0)</f>
        <v>0</v>
      </c>
      <c r="EN161" s="26">
        <f>IF(EN13=$G$159,Assumptions!$F$62,0)</f>
        <v>0</v>
      </c>
      <c r="EO161" s="26">
        <f>IF(EO13=$G$159,Assumptions!$F$62,0)</f>
        <v>0</v>
      </c>
      <c r="EP161" s="26">
        <f>IF(EP13=$G$159,Assumptions!$F$62,0)</f>
        <v>0</v>
      </c>
      <c r="EQ161" s="26">
        <f>IF(EQ13=$G$159,Assumptions!$F$62,0)</f>
        <v>0</v>
      </c>
      <c r="ER161" s="26">
        <f>IF(ER13=$G$159,Assumptions!$F$62,0)</f>
        <v>0</v>
      </c>
      <c r="ES161" s="26">
        <f>IF(ES13=$G$159,Assumptions!$F$62,0)</f>
        <v>0</v>
      </c>
      <c r="ET161" s="26">
        <f>IF(ET13=$G$159,Assumptions!$F$62,0)</f>
        <v>0</v>
      </c>
      <c r="EU161" s="26">
        <f>IF(EU13=$G$159,Assumptions!$F$62,0)</f>
        <v>0</v>
      </c>
      <c r="EV161" s="26">
        <f>IF(EV13=$G$159,Assumptions!$F$62,0)</f>
        <v>0</v>
      </c>
      <c r="EW161" s="26">
        <f>IF(EW13=$G$159,Assumptions!$F$62,0)</f>
        <v>0</v>
      </c>
      <c r="EX161" s="26">
        <f>IF(EX13=$G$159,Assumptions!$F$62,0)</f>
        <v>0</v>
      </c>
      <c r="EY161" s="26">
        <f>IF(EY13=$G$159,Assumptions!$F$62,0)</f>
        <v>0</v>
      </c>
      <c r="EZ161" s="26">
        <f>IF(EZ13=$G$159,Assumptions!$F$62,0)</f>
        <v>0</v>
      </c>
      <c r="FA161" s="26">
        <f>IF(FA13=$G$159,Assumptions!$F$62,0)</f>
        <v>0</v>
      </c>
      <c r="FB161" s="26">
        <f>IF(FB13=$G$159,Assumptions!$F$62,0)</f>
        <v>0</v>
      </c>
      <c r="FC161" s="26">
        <f>IF(FC13=$G$159,Assumptions!$F$62,0)</f>
        <v>0</v>
      </c>
      <c r="FD161" s="26">
        <f>IF(FD13=$G$159,Assumptions!$F$62,0)</f>
        <v>0</v>
      </c>
      <c r="FE161" s="26">
        <f>IF(FE13=$G$159,Assumptions!$F$62,0)</f>
        <v>0</v>
      </c>
      <c r="FF161" s="26">
        <f>IF(FF13=$G$159,Assumptions!$F$62,0)</f>
        <v>0</v>
      </c>
      <c r="FG161" s="26">
        <f>IF(FG13=$G$159,Assumptions!$F$62,0)</f>
        <v>0</v>
      </c>
      <c r="FH161" s="26">
        <f>IF(FH13=$G$159,Assumptions!$F$62,0)</f>
        <v>0</v>
      </c>
      <c r="FI161" s="26">
        <f>IF(FI13=$G$159,Assumptions!$F$62,0)</f>
        <v>0</v>
      </c>
      <c r="FJ161" s="26">
        <f>IF(FJ13=$G$159,Assumptions!$F$62,0)</f>
        <v>0</v>
      </c>
      <c r="FK161" s="26">
        <f>IF(FK13=$G$159,Assumptions!$F$62,0)</f>
        <v>0</v>
      </c>
      <c r="FL161" s="26">
        <f>IF(FL13=$G$159,Assumptions!$F$62,0)</f>
        <v>0</v>
      </c>
      <c r="FM161" s="26">
        <f>IF(FM13=$G$159,Assumptions!$F$62,0)</f>
        <v>0</v>
      </c>
      <c r="FN161" s="26">
        <f>IF(FN13=$G$159,Assumptions!$F$62,0)</f>
        <v>0</v>
      </c>
      <c r="FO161" s="26">
        <f>IF(FO13=$G$159,Assumptions!$F$62,0)</f>
        <v>0</v>
      </c>
      <c r="FP161" s="26">
        <f>IF(FP13=$G$159,Assumptions!$F$62,0)</f>
        <v>0</v>
      </c>
      <c r="FQ161" s="26">
        <f>IF(FQ13=$G$159,Assumptions!$F$62,0)</f>
        <v>0</v>
      </c>
      <c r="FR161" s="26">
        <f>IF(FR13=$G$159,Assumptions!$F$62,0)</f>
        <v>0</v>
      </c>
      <c r="FS161" s="26">
        <f>IF(FS13=$G$159,Assumptions!$F$62,0)</f>
        <v>0</v>
      </c>
      <c r="FT161" s="26">
        <f>IF(FT13=$G$159,Assumptions!$F$62,0)</f>
        <v>0</v>
      </c>
      <c r="FU161" s="26">
        <f>IF(FU13=$G$159,Assumptions!$F$62,0)</f>
        <v>0</v>
      </c>
      <c r="FV161" s="26">
        <f>IF(FV13=$G$159,Assumptions!$F$62,0)</f>
        <v>0</v>
      </c>
      <c r="FW161" s="26">
        <f>IF(FW13=$G$159,Assumptions!$F$62,0)</f>
        <v>0</v>
      </c>
      <c r="FX161" s="26">
        <f>IF(FX13=$G$159,Assumptions!$F$62,0)</f>
        <v>0</v>
      </c>
      <c r="FY161" s="26">
        <f>IF(FY13=$G$159,Assumptions!$F$62,0)</f>
        <v>0</v>
      </c>
      <c r="FZ161" s="26">
        <f>IF(FZ13=$G$159,Assumptions!$F$62,0)</f>
        <v>0</v>
      </c>
      <c r="GA161" s="26">
        <f>IF(GA13=$G$159,Assumptions!$F$62,0)</f>
        <v>0</v>
      </c>
      <c r="GB161" s="26">
        <f>IF(GB13=$G$159,Assumptions!$F$62,0)</f>
        <v>0</v>
      </c>
      <c r="GC161" s="26">
        <f>IF(GC13=$G$159,Assumptions!$F$62,0)</f>
        <v>0</v>
      </c>
      <c r="GD161" s="26">
        <f>IF(GD13=$G$159,Assumptions!$F$62,0)</f>
        <v>0</v>
      </c>
      <c r="GE161" s="26">
        <f>IF(GE13=$G$159,Assumptions!$F$62,0)</f>
        <v>0</v>
      </c>
      <c r="GF161" s="26">
        <f>IF(GF13=$G$159,Assumptions!$F$62,0)</f>
        <v>0</v>
      </c>
      <c r="GG161" s="26">
        <f>IF(GG13=$G$159,Assumptions!$F$62,0)</f>
        <v>0</v>
      </c>
      <c r="GH161" s="26">
        <f>IF(GH13=$G$159,Assumptions!$F$62,0)</f>
        <v>0</v>
      </c>
      <c r="GI161" s="26">
        <f>IF(GI13=$G$159,Assumptions!$F$62,0)</f>
        <v>0</v>
      </c>
      <c r="GJ161" s="26">
        <f>IF(GJ13=$G$159,Assumptions!$F$62,0)</f>
        <v>0</v>
      </c>
      <c r="GK161" s="26">
        <f>IF(GK13=$G$159,Assumptions!$F$62,0)</f>
        <v>0</v>
      </c>
      <c r="GL161" s="26">
        <f>IF(GL13=$G$159,Assumptions!$F$62,0)</f>
        <v>0</v>
      </c>
      <c r="GM161" s="26">
        <f>IF(GM13=$G$159,Assumptions!$F$62,0)</f>
        <v>0</v>
      </c>
      <c r="GN161" s="26">
        <f>IF(GN13=$G$159,Assumptions!$F$62,0)</f>
        <v>0</v>
      </c>
      <c r="GO161" s="26">
        <f>IF(GO13=$G$159,Assumptions!$F$62,0)</f>
        <v>0</v>
      </c>
      <c r="GP161" s="26">
        <f>IF(GP13=$G$159,Assumptions!$F$62,0)</f>
        <v>0</v>
      </c>
      <c r="GQ161" s="26">
        <f>IF(GQ13=$G$159,Assumptions!$F$62,0)</f>
        <v>0</v>
      </c>
      <c r="GR161" s="26">
        <f>IF(GR13=$G$159,Assumptions!$F$62,0)</f>
        <v>0</v>
      </c>
      <c r="GS161" s="26">
        <f>IF(GS13=$G$159,Assumptions!$F$62,0)</f>
        <v>0</v>
      </c>
      <c r="GT161" s="26">
        <f>IF(GT13=$G$159,Assumptions!$F$62,0)</f>
        <v>0</v>
      </c>
      <c r="GU161" s="26">
        <f>IF(GU13=$G$159,Assumptions!$F$62,0)</f>
        <v>0</v>
      </c>
      <c r="GV161" s="26">
        <f>IF(GV13=$G$159,Assumptions!$F$62,0)</f>
        <v>0</v>
      </c>
      <c r="GW161" s="26">
        <f>IF(GW13=$G$159,Assumptions!$F$62,0)</f>
        <v>0</v>
      </c>
      <c r="GX161" s="26">
        <f>IF(GX13=$G$159,Assumptions!$F$62,0)</f>
        <v>0</v>
      </c>
      <c r="GY161" s="26">
        <f>IF(GY13=$G$159,Assumptions!$F$62,0)</f>
        <v>0</v>
      </c>
      <c r="GZ161" s="26">
        <f>IF(GZ13=$G$159,Assumptions!$F$62,0)</f>
        <v>0</v>
      </c>
      <c r="HA161" s="26">
        <f>IF(HA13=$G$159,Assumptions!$F$62,0)</f>
        <v>0</v>
      </c>
      <c r="HB161" s="26">
        <f>IF(HB13=$G$159,Assumptions!$F$62,0)</f>
        <v>0</v>
      </c>
      <c r="HC161" s="26">
        <f>IF(HC13=$G$159,Assumptions!$F$62,0)</f>
        <v>0</v>
      </c>
      <c r="HD161" s="26">
        <f>IF(HD13=$G$159,Assumptions!$F$62,0)</f>
        <v>0</v>
      </c>
      <c r="HE161" s="26">
        <f>IF(HE13=$G$159,Assumptions!$F$62,0)</f>
        <v>0</v>
      </c>
      <c r="HF161" s="1" t="s">
        <v>212</v>
      </c>
      <c r="HH161" s="9" t="str">
        <f t="shared" si="1059"/>
        <v>Initial Debt Draws (Re-Fi)</v>
      </c>
      <c r="HI161" s="34"/>
      <c r="HJ161" s="34"/>
      <c r="HK161" s="34"/>
      <c r="HL161" s="132">
        <f t="shared" si="1123"/>
        <v>22133.63997</v>
      </c>
      <c r="HM161" s="18"/>
      <c r="HN161" s="133">
        <f t="shared" si="1124"/>
        <v>0</v>
      </c>
      <c r="HO161" s="26">
        <f t="shared" si="1124"/>
        <v>0</v>
      </c>
      <c r="HP161" s="26">
        <f t="shared" si="1124"/>
        <v>0</v>
      </c>
      <c r="HQ161" s="26">
        <f t="shared" si="1124"/>
        <v>0</v>
      </c>
      <c r="HR161" s="26">
        <f t="shared" si="1124"/>
        <v>0</v>
      </c>
      <c r="HS161" s="26">
        <f t="shared" si="1124"/>
        <v>22133.63997</v>
      </c>
      <c r="HT161" s="26">
        <f t="shared" si="1124"/>
        <v>0</v>
      </c>
      <c r="HU161" s="26">
        <f t="shared" si="1124"/>
        <v>0</v>
      </c>
      <c r="HV161" s="26">
        <f t="shared" si="1124"/>
        <v>0</v>
      </c>
      <c r="HW161"/>
    </row>
    <row r="162" spans="1:231" ht="15" outlineLevel="1">
      <c r="B162" s="1592" t="s">
        <v>2497</v>
      </c>
      <c r="C162" s="9"/>
      <c r="F162" s="98"/>
      <c r="G162" s="213"/>
      <c r="H162" s="214"/>
      <c r="I162" s="132"/>
      <c r="K162" s="947">
        <v>0</v>
      </c>
      <c r="L162" s="1594">
        <v>0</v>
      </c>
      <c r="M162" s="1594">
        <v>0</v>
      </c>
      <c r="N162" s="1594">
        <v>0</v>
      </c>
      <c r="O162" s="1594">
        <v>0</v>
      </c>
      <c r="P162" s="1594">
        <v>0</v>
      </c>
      <c r="Q162" s="1594">
        <v>0</v>
      </c>
      <c r="R162" s="1594">
        <v>0</v>
      </c>
      <c r="S162" s="1594">
        <v>0</v>
      </c>
      <c r="T162" s="1594">
        <v>0</v>
      </c>
      <c r="U162" s="1594">
        <v>0</v>
      </c>
      <c r="V162" s="1594">
        <v>0</v>
      </c>
      <c r="W162" s="1594">
        <v>0</v>
      </c>
      <c r="X162" s="1594">
        <v>0</v>
      </c>
      <c r="Y162" s="1594">
        <v>0</v>
      </c>
      <c r="Z162" s="1594">
        <v>0</v>
      </c>
      <c r="AA162" s="1594">
        <v>0</v>
      </c>
      <c r="AB162" s="1594">
        <v>0</v>
      </c>
      <c r="AC162" s="1594">
        <v>0</v>
      </c>
      <c r="AD162" s="1594">
        <v>0</v>
      </c>
      <c r="AE162" s="1594">
        <v>0</v>
      </c>
      <c r="AF162" s="1594">
        <v>0</v>
      </c>
      <c r="AG162" s="1594">
        <v>0</v>
      </c>
      <c r="AH162" s="1594">
        <v>0</v>
      </c>
      <c r="AI162" s="1594">
        <v>0</v>
      </c>
      <c r="AJ162" s="1594">
        <v>0</v>
      </c>
      <c r="AK162" s="1594">
        <v>0</v>
      </c>
      <c r="AL162" s="1594">
        <v>0</v>
      </c>
      <c r="AM162" s="1594">
        <v>0</v>
      </c>
      <c r="AN162" s="1594">
        <v>0</v>
      </c>
      <c r="AO162" s="1594">
        <v>0</v>
      </c>
      <c r="AP162" s="1594">
        <v>0</v>
      </c>
      <c r="AQ162" s="1594">
        <v>0</v>
      </c>
      <c r="AR162" s="1594">
        <v>0</v>
      </c>
      <c r="AS162" s="1594">
        <v>0</v>
      </c>
      <c r="AT162" s="1594">
        <v>0</v>
      </c>
      <c r="AU162" s="1594">
        <v>0</v>
      </c>
      <c r="AV162" s="1594">
        <v>0</v>
      </c>
      <c r="AW162" s="1594">
        <v>0</v>
      </c>
      <c r="AX162" s="1594">
        <v>0</v>
      </c>
      <c r="AY162" s="1594">
        <v>0</v>
      </c>
      <c r="AZ162" s="1594">
        <v>0</v>
      </c>
      <c r="BA162" s="1594">
        <v>0</v>
      </c>
      <c r="BB162" s="1594">
        <v>0</v>
      </c>
      <c r="BC162" s="1594">
        <v>0</v>
      </c>
      <c r="BD162" s="1594">
        <v>0</v>
      </c>
      <c r="BE162" s="1594">
        <v>0</v>
      </c>
      <c r="BF162" s="1594">
        <v>0</v>
      </c>
      <c r="BG162" s="1594">
        <v>0</v>
      </c>
      <c r="BH162" s="1594">
        <v>0</v>
      </c>
      <c r="BI162" s="1594">
        <v>0</v>
      </c>
      <c r="BJ162" s="1594">
        <v>0</v>
      </c>
      <c r="BK162" s="1594">
        <v>0</v>
      </c>
      <c r="BL162" s="1594">
        <v>0</v>
      </c>
      <c r="BM162" s="1594">
        <v>0</v>
      </c>
      <c r="BN162" s="1594">
        <v>0</v>
      </c>
      <c r="BO162" s="1594">
        <v>0</v>
      </c>
      <c r="BP162" s="1594">
        <v>0</v>
      </c>
      <c r="BQ162" s="1594">
        <v>0</v>
      </c>
      <c r="BR162" s="1594">
        <v>0</v>
      </c>
      <c r="BS162" s="26">
        <f>IF(BS15&lt;=Assumptions!$I$17,('Monthly Cash Flow'!BS26+'Monthly Cash Flow'!BS29+'Monthly Cash Flow'!BS30),0)</f>
        <v>0</v>
      </c>
      <c r="BT162" s="26">
        <f>IF(BT15&lt;=Assumptions!$I$17,('Monthly Cash Flow'!BT26+'Monthly Cash Flow'!BT29+'Monthly Cash Flow'!BT30),0)</f>
        <v>0</v>
      </c>
      <c r="BU162" s="26">
        <f>IF(BU15&lt;=Assumptions!$I$17,('Monthly Cash Flow'!BU26+'Monthly Cash Flow'!BU29+'Monthly Cash Flow'!BU30),0)</f>
        <v>0</v>
      </c>
      <c r="BV162" s="26">
        <f>IF(BV15&lt;=Assumptions!$I$17,('Monthly Cash Flow'!BV26+'Monthly Cash Flow'!BV29+'Monthly Cash Flow'!BV30),0)</f>
        <v>0</v>
      </c>
      <c r="BW162" s="26">
        <f>IF(BW15&lt;=Assumptions!$I$17,('Monthly Cash Flow'!BW26+'Monthly Cash Flow'!BW29+'Monthly Cash Flow'!BW30),0)</f>
        <v>0</v>
      </c>
      <c r="BX162" s="26">
        <f>IF(BX15&lt;=Assumptions!$I$17,('Monthly Cash Flow'!BX26+'Monthly Cash Flow'!BX29+'Monthly Cash Flow'!BX30),0)</f>
        <v>5.5066199999999998</v>
      </c>
      <c r="BY162" s="26">
        <f>IF(BY15&lt;=Assumptions!$I$17,('Monthly Cash Flow'!BY26+'Monthly Cash Flow'!BY29+'Monthly Cash Flow'!BY30),0)</f>
        <v>87.333829999999992</v>
      </c>
      <c r="BZ162" s="26">
        <f>IF(BZ15&lt;=Assumptions!$I$17,('Monthly Cash Flow'!BZ26+'Monthly Cash Flow'!BZ29+'Monthly Cash Flow'!BZ30),0)</f>
        <v>0</v>
      </c>
      <c r="CA162" s="26">
        <f>IF(CA15&lt;=Assumptions!$I$17,('Monthly Cash Flow'!CA26+'Monthly Cash Flow'!CA29+'Monthly Cash Flow'!CA30),0)</f>
        <v>2.5</v>
      </c>
      <c r="CB162" s="26">
        <f>IF(CB15&lt;=Assumptions!$I$17,('Monthly Cash Flow'!CB26+'Monthly Cash Flow'!CB29+'Monthly Cash Flow'!CB30),0)</f>
        <v>5</v>
      </c>
      <c r="CC162" s="26">
        <f>IF(CC15&lt;=Assumptions!$I$17,('Monthly Cash Flow'!CC26+'Monthly Cash Flow'!CC29+'Monthly Cash Flow'!CC30),0)</f>
        <v>0</v>
      </c>
      <c r="CD162" s="26">
        <f>IF(CD15&lt;=Assumptions!$I$17,('Monthly Cash Flow'!CD26+'Monthly Cash Flow'!CD29+'Monthly Cash Flow'!CD30),0)</f>
        <v>177.29399999999998</v>
      </c>
      <c r="CE162" s="26">
        <f>IF(CE15&lt;=Assumptions!$I$17,('Monthly Cash Flow'!CE26+'Monthly Cash Flow'!CE29+'Monthly Cash Flow'!CE30),0)</f>
        <v>0</v>
      </c>
      <c r="CF162" s="26">
        <f>IF(CF15&lt;=Assumptions!$I$17,('Monthly Cash Flow'!CF26+'Monthly Cash Flow'!CF29+'Monthly Cash Flow'!CF30),0)</f>
        <v>66.949960000000004</v>
      </c>
      <c r="CG162" s="26">
        <f>IF(CG15&lt;=Assumptions!$I$17,('Monthly Cash Flow'!CG26+'Monthly Cash Flow'!CG29+'Monthly Cash Flow'!CG30),0)</f>
        <v>0</v>
      </c>
      <c r="CH162" s="26">
        <f>IF(CH15&lt;=Assumptions!$I$17,('Monthly Cash Flow'!CH26+'Monthly Cash Flow'!CH29+'Monthly Cash Flow'!CH30),0)</f>
        <v>22.286470000000001</v>
      </c>
      <c r="CI162" s="26">
        <f>IF(CI15&lt;=Assumptions!$I$17,('Monthly Cash Flow'!CI26+'Monthly Cash Flow'!CI29+'Monthly Cash Flow'!CI30),0)</f>
        <v>0</v>
      </c>
      <c r="CJ162" s="26">
        <f>IF(CJ15&lt;=Assumptions!$I$17,('Monthly Cash Flow'!CJ26+'Monthly Cash Flow'!CJ29+'Monthly Cash Flow'!CJ30),0)</f>
        <v>0</v>
      </c>
      <c r="CK162" s="26">
        <f>IF(CK15&lt;=Assumptions!$I$17,('Monthly Cash Flow'!CK26+'Monthly Cash Flow'!CK29+'Monthly Cash Flow'!CK30),0)</f>
        <v>0</v>
      </c>
      <c r="CL162" s="26">
        <f>IF(CL15&lt;=Assumptions!$I$17,('Monthly Cash Flow'!CL26+'Monthly Cash Flow'!CL29+'Monthly Cash Flow'!CL30),0)</f>
        <v>0</v>
      </c>
      <c r="CM162" s="26">
        <f>IF(CM15&lt;=Assumptions!$I$17,('Monthly Cash Flow'!CM26+'Monthly Cash Flow'!CM29+'Monthly Cash Flow'!CM30),0)</f>
        <v>68.313492063492063</v>
      </c>
      <c r="CN162" s="26">
        <f>IF(CN15&lt;=Assumptions!$I$17,('Monthly Cash Flow'!CN26+'Monthly Cash Flow'!CN29+'Monthly Cash Flow'!CN30),0)</f>
        <v>68.313492063492063</v>
      </c>
      <c r="CO162" s="26">
        <f>IF(CO15&lt;=Assumptions!$I$17,('Monthly Cash Flow'!CO26+'Monthly Cash Flow'!CO29+'Monthly Cash Flow'!CO30),0)</f>
        <v>68.313492063492077</v>
      </c>
      <c r="CP162" s="26">
        <f>IF(CP15&lt;=Assumptions!$I$17,('Monthly Cash Flow'!CP26+'Monthly Cash Flow'!CP29+'Monthly Cash Flow'!CP30),0)</f>
        <v>68.313492063492063</v>
      </c>
      <c r="CQ162" s="26">
        <f>IF(CQ15&lt;=Assumptions!$I$17,('Monthly Cash Flow'!CQ26+'Monthly Cash Flow'!CQ29+'Monthly Cash Flow'!CQ30),0)</f>
        <v>62.063492063492063</v>
      </c>
      <c r="CR162" s="26">
        <f>IF(CR15&lt;=Assumptions!$I$17,('Monthly Cash Flow'!CR26+'Monthly Cash Flow'!CR29+'Monthly Cash Flow'!CR30),0)</f>
        <v>62.06349206349207</v>
      </c>
      <c r="CS162" s="26">
        <f>IF(CS15&lt;=Assumptions!$I$17,('Monthly Cash Flow'!CS26+'Monthly Cash Flow'!CS29+'Monthly Cash Flow'!CS30),0)</f>
        <v>62.063492063492063</v>
      </c>
      <c r="CT162" s="26">
        <f>IF(CT15&lt;=Assumptions!$I$17,('Monthly Cash Flow'!CT26+'Monthly Cash Flow'!CT29+'Monthly Cash Flow'!CT30),0)</f>
        <v>27.777777777777786</v>
      </c>
      <c r="CU162" s="26">
        <f>IF(CU15&lt;=Assumptions!$I$17,('Monthly Cash Flow'!CU26+'Monthly Cash Flow'!CU29+'Monthly Cash Flow'!CU30),0)</f>
        <v>27.777777777777771</v>
      </c>
      <c r="CV162" s="26">
        <f>IF(CV15&lt;=Assumptions!$I$17,('Monthly Cash Flow'!CV26+'Monthly Cash Flow'!CV29+'Monthly Cash Flow'!CV30),0)</f>
        <v>0</v>
      </c>
      <c r="CW162" s="26">
        <f>IF(CW15&lt;=Assumptions!$I$17,('Monthly Cash Flow'!CW26+'Monthly Cash Flow'!CW29+'Monthly Cash Flow'!CW30),0)</f>
        <v>0</v>
      </c>
      <c r="CX162" s="26">
        <f>IF(CX15&lt;=Assumptions!$I$17,('Monthly Cash Flow'!CX26+'Monthly Cash Flow'!CX29+'Monthly Cash Flow'!CX30),0)</f>
        <v>0</v>
      </c>
      <c r="CY162" s="26">
        <f>IF(CY15&lt;=Assumptions!$I$17,('Monthly Cash Flow'!CY26+'Monthly Cash Flow'!CY29+'Monthly Cash Flow'!CY30),0)</f>
        <v>0</v>
      </c>
      <c r="CZ162" s="26">
        <f>IF(CZ15&lt;=Assumptions!$I$17,('Monthly Cash Flow'!CZ26+'Monthly Cash Flow'!CZ29+'Monthly Cash Flow'!CZ30),0)</f>
        <v>0</v>
      </c>
      <c r="DA162" s="26">
        <f>IF(DA15&lt;=Assumptions!$I$17,('Monthly Cash Flow'!DA26+'Monthly Cash Flow'!DA29+'Monthly Cash Flow'!DA30),0)</f>
        <v>0</v>
      </c>
      <c r="DB162" s="26">
        <f>IF(DB15&lt;=Assumptions!$I$17,('Monthly Cash Flow'!DB26+'Monthly Cash Flow'!DB29+'Monthly Cash Flow'!DB30),0)</f>
        <v>0</v>
      </c>
      <c r="DC162" s="26">
        <f>IF(DC15&lt;=Assumptions!$I$17,('Monthly Cash Flow'!DC26+'Monthly Cash Flow'!DC29+'Monthly Cash Flow'!DC30),0)</f>
        <v>0</v>
      </c>
      <c r="DD162" s="26">
        <f>IF(DD15&lt;=Assumptions!$I$17,('Monthly Cash Flow'!DD26+'Monthly Cash Flow'!DD29+'Monthly Cash Flow'!DD30),0)</f>
        <v>0</v>
      </c>
      <c r="DE162" s="26">
        <f>IF(DE15&lt;=Assumptions!$I$17,('Monthly Cash Flow'!DE26+'Monthly Cash Flow'!DE29+'Monthly Cash Flow'!DE30),0)</f>
        <v>0</v>
      </c>
      <c r="DF162" s="26">
        <f>IF(DF15&lt;=Assumptions!$I$17,('Monthly Cash Flow'!DF26+'Monthly Cash Flow'!DF29+'Monthly Cash Flow'!DF30),0)</f>
        <v>0</v>
      </c>
      <c r="DG162" s="26">
        <f>IF(DG15&lt;=Assumptions!$I$17,('Monthly Cash Flow'!DG26+'Monthly Cash Flow'!DG29+'Monthly Cash Flow'!DG30),0)</f>
        <v>0</v>
      </c>
      <c r="DH162" s="26">
        <f>IF(DH15&lt;=Assumptions!$I$17,('Monthly Cash Flow'!DH26+'Monthly Cash Flow'!DH29+'Monthly Cash Flow'!DH30),0)</f>
        <v>0</v>
      </c>
      <c r="DI162" s="26">
        <f>IF(DI15&lt;=Assumptions!$I$17,('Monthly Cash Flow'!DI26+'Monthly Cash Flow'!DI29+'Monthly Cash Flow'!DI30),0)</f>
        <v>0</v>
      </c>
      <c r="DJ162" s="26">
        <f>IF(DJ15&lt;=Assumptions!$I$17,('Monthly Cash Flow'!DJ26+'Monthly Cash Flow'!DJ29+'Monthly Cash Flow'!DJ30),0)</f>
        <v>0</v>
      </c>
      <c r="DK162" s="26">
        <f>IF(DK15&lt;=Assumptions!$I$17,('Monthly Cash Flow'!DK26+'Monthly Cash Flow'!DK29+'Monthly Cash Flow'!DK30),0)</f>
        <v>0</v>
      </c>
      <c r="DL162" s="26">
        <f>IF(DL15&lt;=Assumptions!$I$17,('Monthly Cash Flow'!DL26+'Monthly Cash Flow'!DL29+'Monthly Cash Flow'!DL30),0)</f>
        <v>0</v>
      </c>
      <c r="DM162" s="26">
        <f>IF(DM15&lt;=Assumptions!$I$17,('Monthly Cash Flow'!DM26+'Monthly Cash Flow'!DM29+'Monthly Cash Flow'!DM30),0)</f>
        <v>0</v>
      </c>
      <c r="DN162" s="26">
        <f>IF(DN15&lt;=Assumptions!$I$17,('Monthly Cash Flow'!DN26+'Monthly Cash Flow'!DN29+'Monthly Cash Flow'!DN30),0)</f>
        <v>0</v>
      </c>
      <c r="DO162" s="26">
        <f>IF(DO15&lt;=Assumptions!$I$17,('Monthly Cash Flow'!DO26+'Monthly Cash Flow'!DO29+'Monthly Cash Flow'!DO30),0)</f>
        <v>0</v>
      </c>
      <c r="DP162" s="26">
        <f>IF(DP15&lt;=Assumptions!$I$17,('Monthly Cash Flow'!DP26+'Monthly Cash Flow'!DP29+'Monthly Cash Flow'!DP30),0)</f>
        <v>0</v>
      </c>
      <c r="DQ162" s="26">
        <f>IF(DQ15&lt;=Assumptions!$I$17,('Monthly Cash Flow'!DQ26+'Monthly Cash Flow'!DQ29+'Monthly Cash Flow'!DQ30),0)</f>
        <v>0</v>
      </c>
      <c r="DR162" s="26">
        <f>IF(DR15&lt;=Assumptions!$I$17,('Monthly Cash Flow'!DR26+'Monthly Cash Flow'!DR29+'Monthly Cash Flow'!DR30),0)</f>
        <v>0</v>
      </c>
      <c r="DS162" s="26">
        <f>IF(DS15&lt;=Assumptions!$I$17,('Monthly Cash Flow'!DS26+'Monthly Cash Flow'!DS29+'Monthly Cash Flow'!DS30),0)</f>
        <v>0</v>
      </c>
      <c r="DT162" s="26">
        <f>IF(DT15&lt;=Assumptions!$I$17,('Monthly Cash Flow'!DT26+'Monthly Cash Flow'!DT29+'Monthly Cash Flow'!DT30),0)</f>
        <v>0</v>
      </c>
      <c r="DU162" s="26">
        <f>IF(DU15&lt;=Assumptions!$I$17,('Monthly Cash Flow'!DU26+'Monthly Cash Flow'!DU29+'Monthly Cash Flow'!DU30),0)</f>
        <v>0</v>
      </c>
      <c r="DV162" s="26">
        <f>IF(DV15&lt;=Assumptions!$I$17,('Monthly Cash Flow'!DV26+'Monthly Cash Flow'!DV29+'Monthly Cash Flow'!DV30),0)</f>
        <v>0</v>
      </c>
      <c r="DW162" s="26">
        <f>IF(DW15&lt;=Assumptions!$I$17,('Monthly Cash Flow'!DW26+'Monthly Cash Flow'!DW29+'Monthly Cash Flow'!DW30),0)</f>
        <v>0</v>
      </c>
      <c r="DX162" s="26">
        <f>IF(DX15&lt;=Assumptions!$I$17,('Monthly Cash Flow'!DX26+'Monthly Cash Flow'!DX29+'Monthly Cash Flow'!DX30),0)</f>
        <v>0</v>
      </c>
      <c r="DY162" s="26">
        <f>IF(DY15&lt;=Assumptions!$I$17,('Monthly Cash Flow'!DY26+'Monthly Cash Flow'!DY29+'Monthly Cash Flow'!DY30),0)</f>
        <v>0</v>
      </c>
      <c r="DZ162" s="26">
        <f>IF(DZ15&lt;=Assumptions!$I$17,('Monthly Cash Flow'!DZ26+'Monthly Cash Flow'!DZ29+'Monthly Cash Flow'!DZ30),0)</f>
        <v>0</v>
      </c>
      <c r="EA162" s="26">
        <f>IF(EA15&lt;=Assumptions!$I$17,('Monthly Cash Flow'!EA26+'Monthly Cash Flow'!EA29+'Monthly Cash Flow'!EA30),0)</f>
        <v>0</v>
      </c>
      <c r="EB162" s="26">
        <f>IF(EB15&lt;=Assumptions!$I$17,('Monthly Cash Flow'!EB26+'Monthly Cash Flow'!EB29+'Monthly Cash Flow'!EB30),0)</f>
        <v>0</v>
      </c>
      <c r="EC162" s="26">
        <f>IF(EC15&lt;=Assumptions!$I$17,('Monthly Cash Flow'!EC26+'Monthly Cash Flow'!EC29+'Monthly Cash Flow'!EC30),0)</f>
        <v>0</v>
      </c>
      <c r="ED162" s="26">
        <f>IF(ED15&lt;=Assumptions!$I$17,('Monthly Cash Flow'!ED26+'Monthly Cash Flow'!ED29+'Monthly Cash Flow'!ED30),0)</f>
        <v>0</v>
      </c>
      <c r="EE162" s="26">
        <f>IF(EE15&lt;=Assumptions!$I$17,('Monthly Cash Flow'!EE26+'Monthly Cash Flow'!EE29+'Monthly Cash Flow'!EE30),0)</f>
        <v>0</v>
      </c>
      <c r="EF162" s="26">
        <f>IF(EF15&lt;=Assumptions!$I$17,('Monthly Cash Flow'!EF26+'Monthly Cash Flow'!EF29+'Monthly Cash Flow'!EF30),0)</f>
        <v>0</v>
      </c>
      <c r="EG162" s="26">
        <f>IF(EG15&lt;=Assumptions!$I$17,('Monthly Cash Flow'!EG26+'Monthly Cash Flow'!EG29+'Monthly Cash Flow'!EG30),0)</f>
        <v>0</v>
      </c>
      <c r="EH162" s="26">
        <f>IF(EH15&lt;=Assumptions!$I$17,('Monthly Cash Flow'!EH26+'Monthly Cash Flow'!EH29+'Monthly Cash Flow'!EH30),0)</f>
        <v>0</v>
      </c>
      <c r="EI162" s="26">
        <f>IF(EI15&lt;=Assumptions!$I$17,('Monthly Cash Flow'!EI26+'Monthly Cash Flow'!EI29+'Monthly Cash Flow'!EI30),0)</f>
        <v>0</v>
      </c>
      <c r="EJ162" s="26">
        <f>IF(EJ15&lt;=Assumptions!$I$17,('Monthly Cash Flow'!EJ26+'Monthly Cash Flow'!EJ29+'Monthly Cash Flow'!EJ30),0)</f>
        <v>0</v>
      </c>
      <c r="EK162" s="26">
        <f>IF(EK15&lt;=Assumptions!$I$17,('Monthly Cash Flow'!EK26+'Monthly Cash Flow'!EK29+'Monthly Cash Flow'!EK30),0)</f>
        <v>0</v>
      </c>
      <c r="EL162" s="26">
        <f>IF(EL15&lt;=Assumptions!$I$17,('Monthly Cash Flow'!EL26+'Monthly Cash Flow'!EL29+'Monthly Cash Flow'!EL30),0)</f>
        <v>0</v>
      </c>
      <c r="EM162" s="26">
        <f>IF(EM15&lt;=Assumptions!$I$17,('Monthly Cash Flow'!EM26+'Monthly Cash Flow'!EM29+'Monthly Cash Flow'!EM30),0)</f>
        <v>0</v>
      </c>
      <c r="EN162" s="26">
        <f>IF(EN15&lt;=Assumptions!$I$17,('Monthly Cash Flow'!EN26+'Monthly Cash Flow'!EN29+'Monthly Cash Flow'!EN30),0)</f>
        <v>0</v>
      </c>
      <c r="EO162" s="26">
        <f>IF(EO15&lt;=Assumptions!$I$17,('Monthly Cash Flow'!EO26+'Monthly Cash Flow'!EO29+'Monthly Cash Flow'!EO30),0)</f>
        <v>0</v>
      </c>
      <c r="EP162" s="26">
        <f>IF(EP15&lt;=Assumptions!$I$17,('Monthly Cash Flow'!EP26+'Monthly Cash Flow'!EP29+'Monthly Cash Flow'!EP30),0)</f>
        <v>0</v>
      </c>
      <c r="EQ162" s="26">
        <f>IF(EQ15&lt;=Assumptions!$I$17,('Monthly Cash Flow'!EQ26+'Monthly Cash Flow'!EQ29+'Monthly Cash Flow'!EQ30),0)</f>
        <v>0</v>
      </c>
      <c r="ER162" s="26">
        <f>IF(ER15&lt;=Assumptions!$I$17,('Monthly Cash Flow'!ER26+'Monthly Cash Flow'!ER29+'Monthly Cash Flow'!ER30),0)</f>
        <v>0</v>
      </c>
      <c r="ES162" s="26">
        <f>IF(ES15&lt;=Assumptions!$I$17,('Monthly Cash Flow'!ES26+'Monthly Cash Flow'!ES29+'Monthly Cash Flow'!ES30),0)</f>
        <v>0</v>
      </c>
      <c r="ET162" s="26">
        <f>IF(ET15&lt;=Assumptions!$I$17,('Monthly Cash Flow'!ET26+'Monthly Cash Flow'!ET29+'Monthly Cash Flow'!ET30),0)</f>
        <v>0</v>
      </c>
      <c r="EU162" s="26">
        <f>IF(EU15&lt;=Assumptions!$I$17,('Monthly Cash Flow'!EU26+'Monthly Cash Flow'!EU29+'Monthly Cash Flow'!EU30),0)</f>
        <v>0</v>
      </c>
      <c r="EV162" s="26">
        <f>IF(EV15&lt;=Assumptions!$I$17,('Monthly Cash Flow'!EV26+'Monthly Cash Flow'!EV29+'Monthly Cash Flow'!EV30),0)</f>
        <v>0</v>
      </c>
      <c r="EW162" s="26">
        <f>IF(EW15&lt;=Assumptions!$I$17,('Monthly Cash Flow'!EW26+'Monthly Cash Flow'!EW29+'Monthly Cash Flow'!EW30),0)</f>
        <v>0</v>
      </c>
      <c r="EX162" s="26">
        <f>IF(EX15&lt;=Assumptions!$I$17,('Monthly Cash Flow'!EX26+'Monthly Cash Flow'!EX29+'Monthly Cash Flow'!EX30),0)</f>
        <v>0</v>
      </c>
      <c r="EY162" s="26">
        <f>IF(EY15&lt;=Assumptions!$I$17,('Monthly Cash Flow'!EY26+'Monthly Cash Flow'!EY29+'Monthly Cash Flow'!EY30),0)</f>
        <v>0</v>
      </c>
      <c r="EZ162" s="26">
        <f>IF(EZ15&lt;=Assumptions!$I$17,('Monthly Cash Flow'!EZ26+'Monthly Cash Flow'!EZ29+'Monthly Cash Flow'!EZ30),0)</f>
        <v>0</v>
      </c>
      <c r="FA162" s="26">
        <f>IF(FA15&lt;=Assumptions!$I$17,('Monthly Cash Flow'!FA26+'Monthly Cash Flow'!FA29+'Monthly Cash Flow'!FA30),0)</f>
        <v>0</v>
      </c>
      <c r="FB162" s="26">
        <f>IF(FB15&lt;=Assumptions!$I$17,('Monthly Cash Flow'!FB26+'Monthly Cash Flow'!FB29+'Monthly Cash Flow'!FB30),0)</f>
        <v>0</v>
      </c>
      <c r="FC162" s="26">
        <f>IF(FC15&lt;=Assumptions!$I$17,('Monthly Cash Flow'!FC26+'Monthly Cash Flow'!FC29+'Monthly Cash Flow'!FC30),0)</f>
        <v>0</v>
      </c>
      <c r="FD162" s="26">
        <f>IF(FD15&lt;=Assumptions!$I$17,('Monthly Cash Flow'!FD26+'Monthly Cash Flow'!FD29+'Monthly Cash Flow'!FD30),0)</f>
        <v>0</v>
      </c>
      <c r="FE162" s="26">
        <f>IF(FE15&lt;=Assumptions!$I$17,('Monthly Cash Flow'!FE26+'Monthly Cash Flow'!FE29+'Monthly Cash Flow'!FE30),0)</f>
        <v>0</v>
      </c>
      <c r="FF162" s="26">
        <f>IF(FF15&lt;=Assumptions!$I$17,('Monthly Cash Flow'!FF26+'Monthly Cash Flow'!FF29+'Monthly Cash Flow'!FF30),0)</f>
        <v>0</v>
      </c>
      <c r="FG162" s="26">
        <f>IF(FG15&lt;=Assumptions!$I$17,('Monthly Cash Flow'!FG26+'Monthly Cash Flow'!FG29+'Monthly Cash Flow'!FG30),0)</f>
        <v>0</v>
      </c>
      <c r="FH162" s="26">
        <f>IF(FH15&lt;=Assumptions!$I$17,('Monthly Cash Flow'!FH26+'Monthly Cash Flow'!FH29+'Monthly Cash Flow'!FH30),0)</f>
        <v>0</v>
      </c>
      <c r="FI162" s="26">
        <f>IF(FI15&lt;=Assumptions!$I$17,('Monthly Cash Flow'!FI26+'Monthly Cash Flow'!FI29+'Monthly Cash Flow'!FI30),0)</f>
        <v>0</v>
      </c>
      <c r="FJ162" s="26">
        <f>IF(FJ15&lt;=Assumptions!$I$17,('Monthly Cash Flow'!FJ26+'Monthly Cash Flow'!FJ29+'Monthly Cash Flow'!FJ30),0)</f>
        <v>0</v>
      </c>
      <c r="FK162" s="26">
        <f>IF(FK15&lt;=Assumptions!$I$17,('Monthly Cash Flow'!FK26+'Monthly Cash Flow'!FK29+'Monthly Cash Flow'!FK30),0)</f>
        <v>0</v>
      </c>
      <c r="FL162" s="26">
        <f>IF(FL15&lt;=Assumptions!$I$17,('Monthly Cash Flow'!FL26+'Monthly Cash Flow'!FL29+'Monthly Cash Flow'!FL30),0)</f>
        <v>0</v>
      </c>
      <c r="FM162" s="26">
        <f>IF(FM15&lt;=Assumptions!$I$17,('Monthly Cash Flow'!FM26+'Monthly Cash Flow'!FM29+'Monthly Cash Flow'!FM30),0)</f>
        <v>0</v>
      </c>
      <c r="FN162" s="26">
        <f>IF(FN15&lt;=Assumptions!$I$17,('Monthly Cash Flow'!FN26+'Monthly Cash Flow'!FN29+'Monthly Cash Flow'!FN30),0)</f>
        <v>0</v>
      </c>
      <c r="FO162" s="26">
        <f>IF(FO15&lt;=Assumptions!$I$17,('Monthly Cash Flow'!FO26+'Monthly Cash Flow'!FO29+'Monthly Cash Flow'!FO30),0)</f>
        <v>0</v>
      </c>
      <c r="FP162" s="26">
        <f>IF(FP15&lt;=Assumptions!$I$17,('Monthly Cash Flow'!FP26+'Monthly Cash Flow'!FP29+'Monthly Cash Flow'!FP30),0)</f>
        <v>0</v>
      </c>
      <c r="FQ162" s="26">
        <f>IF(FQ15&lt;=Assumptions!$I$17,('Monthly Cash Flow'!FQ26+'Monthly Cash Flow'!FQ29+'Monthly Cash Flow'!FQ30),0)</f>
        <v>0</v>
      </c>
      <c r="FR162" s="26">
        <f>IF(FR15&lt;=Assumptions!$I$17,('Monthly Cash Flow'!FR26+'Monthly Cash Flow'!FR29+'Monthly Cash Flow'!FR30),0)</f>
        <v>0</v>
      </c>
      <c r="FS162" s="26">
        <f>IF(FS15&lt;=Assumptions!$I$17,('Monthly Cash Flow'!FS26+'Monthly Cash Flow'!FS29+'Monthly Cash Flow'!FS30),0)</f>
        <v>0</v>
      </c>
      <c r="FT162" s="26">
        <f>IF(FT15&lt;=Assumptions!$I$17,('Monthly Cash Flow'!FT26+'Monthly Cash Flow'!FT29+'Monthly Cash Flow'!FT30),0)</f>
        <v>0</v>
      </c>
      <c r="FU162" s="26">
        <f>IF(FU15&lt;=Assumptions!$I$17,('Monthly Cash Flow'!FU26+'Monthly Cash Flow'!FU29+'Monthly Cash Flow'!FU30),0)</f>
        <v>0</v>
      </c>
      <c r="FV162" s="26">
        <f>IF(FV15&lt;=Assumptions!$I$17,('Monthly Cash Flow'!FV26+'Monthly Cash Flow'!FV29+'Monthly Cash Flow'!FV30),0)</f>
        <v>0</v>
      </c>
      <c r="FW162" s="26">
        <f>IF(FW15&lt;=Assumptions!$I$17,('Monthly Cash Flow'!FW26+'Monthly Cash Flow'!FW29+'Monthly Cash Flow'!FW30),0)</f>
        <v>0</v>
      </c>
      <c r="FX162" s="26">
        <f>IF(FX15&lt;=Assumptions!$I$17,('Monthly Cash Flow'!FX26+'Monthly Cash Flow'!FX29+'Monthly Cash Flow'!FX30),0)</f>
        <v>0</v>
      </c>
      <c r="FY162" s="26">
        <f>IF(FY15&lt;=Assumptions!$I$17,('Monthly Cash Flow'!FY26+'Monthly Cash Flow'!FY29+'Monthly Cash Flow'!FY30),0)</f>
        <v>0</v>
      </c>
      <c r="FZ162" s="26">
        <f>IF(FZ15&lt;=Assumptions!$I$17,('Monthly Cash Flow'!FZ26+'Monthly Cash Flow'!FZ29+'Monthly Cash Flow'!FZ30),0)</f>
        <v>0</v>
      </c>
      <c r="GA162" s="26">
        <f>IF(GA15&lt;=Assumptions!$I$17,('Monthly Cash Flow'!GA26+'Monthly Cash Flow'!GA29+'Monthly Cash Flow'!GA30),0)</f>
        <v>0</v>
      </c>
      <c r="GB162" s="26">
        <f>IF(GB15&lt;=Assumptions!$I$17,('Monthly Cash Flow'!GB26+'Monthly Cash Flow'!GB29+'Monthly Cash Flow'!GB30),0)</f>
        <v>0</v>
      </c>
      <c r="GC162" s="26">
        <f>IF(GC15&lt;=Assumptions!$I$17,('Monthly Cash Flow'!GC26+'Monthly Cash Flow'!GC29+'Monthly Cash Flow'!GC30),0)</f>
        <v>0</v>
      </c>
      <c r="GD162" s="26">
        <f>IF(GD15&lt;=Assumptions!$I$17,('Monthly Cash Flow'!GD26+'Monthly Cash Flow'!GD29+'Monthly Cash Flow'!GD30),0)</f>
        <v>0</v>
      </c>
      <c r="GE162" s="26">
        <f>IF(GE15&lt;=Assumptions!$I$17,('Monthly Cash Flow'!GE26+'Monthly Cash Flow'!GE29+'Monthly Cash Flow'!GE30),0)</f>
        <v>0</v>
      </c>
      <c r="GF162" s="26">
        <f>IF(GF15&lt;=Assumptions!$I$17,('Monthly Cash Flow'!GF26+'Monthly Cash Flow'!GF29+'Monthly Cash Flow'!GF30),0)</f>
        <v>0</v>
      </c>
      <c r="GG162" s="26">
        <f>IF(GG15&lt;=Assumptions!$I$17,('Monthly Cash Flow'!GG26+'Monthly Cash Flow'!GG29+'Monthly Cash Flow'!GG30),0)</f>
        <v>0</v>
      </c>
      <c r="GH162" s="26">
        <f>IF(GH15&lt;=Assumptions!$I$17,('Monthly Cash Flow'!GH26+'Monthly Cash Flow'!GH29+'Monthly Cash Flow'!GH30),0)</f>
        <v>0</v>
      </c>
      <c r="GI162" s="26">
        <f>IF(GI15&lt;=Assumptions!$I$17,('Monthly Cash Flow'!GI26+'Monthly Cash Flow'!GI29+'Monthly Cash Flow'!GI30),0)</f>
        <v>0</v>
      </c>
      <c r="GJ162" s="26">
        <f>IF(GJ15&lt;=Assumptions!$I$17,('Monthly Cash Flow'!GJ26+'Monthly Cash Flow'!GJ29+'Monthly Cash Flow'!GJ30),0)</f>
        <v>0</v>
      </c>
      <c r="GK162" s="26">
        <f>IF(GK15&lt;=Assumptions!$I$17,('Monthly Cash Flow'!GK26+'Monthly Cash Flow'!GK29+'Monthly Cash Flow'!GK30),0)</f>
        <v>0</v>
      </c>
      <c r="GL162" s="26">
        <f>IF(GL15&lt;=Assumptions!$I$17,('Monthly Cash Flow'!GL26+'Monthly Cash Flow'!GL29+'Monthly Cash Flow'!GL30),0)</f>
        <v>0</v>
      </c>
      <c r="GM162" s="26">
        <f>IF(GM15&lt;=Assumptions!$I$17,('Monthly Cash Flow'!GM26+'Monthly Cash Flow'!GM29+'Monthly Cash Flow'!GM30),0)</f>
        <v>0</v>
      </c>
      <c r="GN162" s="26">
        <f>IF(GN15&lt;=Assumptions!$I$17,('Monthly Cash Flow'!GN26+'Monthly Cash Flow'!GN29+'Monthly Cash Flow'!GN30),0)</f>
        <v>0</v>
      </c>
      <c r="GO162" s="26">
        <f>IF(GO15&lt;=Assumptions!$I$17,('Monthly Cash Flow'!GO26+'Monthly Cash Flow'!GO29+'Monthly Cash Flow'!GO30),0)</f>
        <v>0</v>
      </c>
      <c r="GP162" s="26">
        <f>IF(GP15&lt;=Assumptions!$I$17,('Monthly Cash Flow'!GP26+'Monthly Cash Flow'!GP29+'Monthly Cash Flow'!GP30),0)</f>
        <v>0</v>
      </c>
      <c r="GQ162" s="26">
        <f>IF(GQ15&lt;=Assumptions!$I$17,('Monthly Cash Flow'!GQ26+'Monthly Cash Flow'!GQ29+'Monthly Cash Flow'!GQ30),0)</f>
        <v>0</v>
      </c>
      <c r="GR162" s="26">
        <f>IF(GR15&lt;=Assumptions!$I$17,('Monthly Cash Flow'!GR26+'Monthly Cash Flow'!GR29+'Monthly Cash Flow'!GR30),0)</f>
        <v>0</v>
      </c>
      <c r="GS162" s="26">
        <f>IF(GS15&lt;=Assumptions!$I$17,('Monthly Cash Flow'!GS26+'Monthly Cash Flow'!GS29+'Monthly Cash Flow'!GS30),0)</f>
        <v>0</v>
      </c>
      <c r="GT162" s="26">
        <f>IF(GT15&lt;=Assumptions!$I$17,('Monthly Cash Flow'!GT26+'Monthly Cash Flow'!GT29+'Monthly Cash Flow'!GT30),0)</f>
        <v>0</v>
      </c>
      <c r="GU162" s="26">
        <f>IF(GU15&lt;=Assumptions!$I$17,('Monthly Cash Flow'!GU26+'Monthly Cash Flow'!GU29+'Monthly Cash Flow'!GU30),0)</f>
        <v>0</v>
      </c>
      <c r="GV162" s="26">
        <f>IF(GV15&lt;=Assumptions!$I$17,('Monthly Cash Flow'!GV26+'Monthly Cash Flow'!GV29+'Monthly Cash Flow'!GV30),0)</f>
        <v>0</v>
      </c>
      <c r="GW162" s="26">
        <f>IF(GW15&lt;=Assumptions!$I$17,('Monthly Cash Flow'!GW26+'Monthly Cash Flow'!GW29+'Monthly Cash Flow'!GW30),0)</f>
        <v>0</v>
      </c>
      <c r="GX162" s="26">
        <f>IF(GX15&lt;=Assumptions!$I$17,('Monthly Cash Flow'!GX26+'Monthly Cash Flow'!GX29+'Monthly Cash Flow'!GX30),0)</f>
        <v>0</v>
      </c>
      <c r="GY162" s="26">
        <f>IF(GY15&lt;=Assumptions!$I$17,('Monthly Cash Flow'!GY26+'Monthly Cash Flow'!GY29+'Monthly Cash Flow'!GY30),0)</f>
        <v>0</v>
      </c>
      <c r="GZ162" s="26">
        <f>IF(GZ15&lt;=Assumptions!$I$17,('Monthly Cash Flow'!GZ26+'Monthly Cash Flow'!GZ29+'Monthly Cash Flow'!GZ30),0)</f>
        <v>0</v>
      </c>
      <c r="HA162" s="26">
        <f>IF(HA15&lt;=Assumptions!$I$17,('Monthly Cash Flow'!HA26+'Monthly Cash Flow'!HA29+'Monthly Cash Flow'!HA30),0)</f>
        <v>0</v>
      </c>
      <c r="HB162" s="26">
        <f>IF(HB15&lt;=Assumptions!$I$17,('Monthly Cash Flow'!HB26+'Monthly Cash Flow'!HB29+'Monthly Cash Flow'!HB30),0)</f>
        <v>0</v>
      </c>
      <c r="HC162" s="26">
        <f>IF(HC15&lt;=Assumptions!$I$17,('Monthly Cash Flow'!HC26+'Monthly Cash Flow'!HC29+'Monthly Cash Flow'!HC30),0)</f>
        <v>0</v>
      </c>
      <c r="HD162" s="26">
        <f>IF(HD15&lt;=Assumptions!$I$17,('Monthly Cash Flow'!HD26+'Monthly Cash Flow'!HD29+'Monthly Cash Flow'!HD30),0)</f>
        <v>0</v>
      </c>
      <c r="HE162" s="26">
        <f>IF(HE15&lt;=Assumptions!$I$17,('Monthly Cash Flow'!HE26+'Monthly Cash Flow'!HE29+'Monthly Cash Flow'!HE30),0)</f>
        <v>0</v>
      </c>
      <c r="HF162" s="26" t="s">
        <v>212</v>
      </c>
      <c r="HH162" s="9"/>
      <c r="HI162" s="34"/>
      <c r="HJ162" s="34"/>
      <c r="HK162" s="34"/>
      <c r="HL162" s="132"/>
      <c r="HM162" s="18"/>
      <c r="HN162" s="133"/>
      <c r="HO162" s="26"/>
      <c r="HP162" s="26"/>
      <c r="HQ162" s="26"/>
      <c r="HR162" s="26"/>
      <c r="HS162" s="26"/>
      <c r="HT162" s="26"/>
      <c r="HU162" s="26"/>
      <c r="HV162" s="26"/>
      <c r="HW162"/>
    </row>
    <row r="163" spans="1:231" ht="15" outlineLevel="1">
      <c r="B163" s="1409" t="s">
        <v>2498</v>
      </c>
      <c r="C163" s="9"/>
      <c r="F163" s="98"/>
      <c r="G163" s="213"/>
      <c r="H163" s="214"/>
      <c r="I163" s="132"/>
      <c r="K163" s="947">
        <v>0</v>
      </c>
      <c r="L163" s="1594">
        <v>0</v>
      </c>
      <c r="M163" s="1594">
        <v>0</v>
      </c>
      <c r="N163" s="1594">
        <v>0</v>
      </c>
      <c r="O163" s="1594">
        <v>0</v>
      </c>
      <c r="P163" s="1594">
        <v>0</v>
      </c>
      <c r="Q163" s="1594">
        <v>0</v>
      </c>
      <c r="R163" s="1594">
        <v>0</v>
      </c>
      <c r="S163" s="1594">
        <v>0</v>
      </c>
      <c r="T163" s="1594">
        <v>0</v>
      </c>
      <c r="U163" s="1594">
        <v>0</v>
      </c>
      <c r="V163" s="1594">
        <v>0</v>
      </c>
      <c r="W163" s="1594">
        <v>0</v>
      </c>
      <c r="X163" s="1594">
        <v>0</v>
      </c>
      <c r="Y163" s="1594">
        <v>0</v>
      </c>
      <c r="Z163" s="1594">
        <v>0</v>
      </c>
      <c r="AA163" s="1594">
        <v>0</v>
      </c>
      <c r="AB163" s="1594">
        <v>0</v>
      </c>
      <c r="AC163" s="1594">
        <v>0</v>
      </c>
      <c r="AD163" s="1594">
        <v>0</v>
      </c>
      <c r="AE163" s="1594">
        <v>0</v>
      </c>
      <c r="AF163" s="1594">
        <v>0</v>
      </c>
      <c r="AG163" s="1594">
        <v>0</v>
      </c>
      <c r="AH163" s="1594">
        <v>0</v>
      </c>
      <c r="AI163" s="1594">
        <v>0</v>
      </c>
      <c r="AJ163" s="1594">
        <v>0</v>
      </c>
      <c r="AK163" s="1594">
        <v>0</v>
      </c>
      <c r="AL163" s="1594">
        <v>0</v>
      </c>
      <c r="AM163" s="1594">
        <v>0</v>
      </c>
      <c r="AN163" s="1594">
        <v>0</v>
      </c>
      <c r="AO163" s="1594">
        <v>0</v>
      </c>
      <c r="AP163" s="1594">
        <v>0</v>
      </c>
      <c r="AQ163" s="1594">
        <v>0</v>
      </c>
      <c r="AR163" s="1594">
        <v>0</v>
      </c>
      <c r="AS163" s="1594">
        <v>0</v>
      </c>
      <c r="AT163" s="1594">
        <v>0</v>
      </c>
      <c r="AU163" s="1594">
        <v>0</v>
      </c>
      <c r="AV163" s="1594">
        <v>0</v>
      </c>
      <c r="AW163" s="1594">
        <v>0</v>
      </c>
      <c r="AX163" s="1594">
        <v>0</v>
      </c>
      <c r="AY163" s="1594">
        <v>0</v>
      </c>
      <c r="AZ163" s="1594">
        <v>0</v>
      </c>
      <c r="BA163" s="1594">
        <v>0</v>
      </c>
      <c r="BB163" s="1594">
        <v>0</v>
      </c>
      <c r="BC163" s="1594">
        <v>0</v>
      </c>
      <c r="BD163" s="1594">
        <v>0</v>
      </c>
      <c r="BE163" s="1594">
        <v>0</v>
      </c>
      <c r="BF163" s="1594">
        <v>0</v>
      </c>
      <c r="BG163" s="1594">
        <v>0</v>
      </c>
      <c r="BH163" s="1594">
        <v>0</v>
      </c>
      <c r="BI163" s="1594">
        <v>0</v>
      </c>
      <c r="BJ163" s="1594">
        <v>0</v>
      </c>
      <c r="BK163" s="1594">
        <v>0</v>
      </c>
      <c r="BL163" s="1594">
        <v>0</v>
      </c>
      <c r="BM163" s="1594">
        <v>0</v>
      </c>
      <c r="BN163" s="1594">
        <v>0</v>
      </c>
      <c r="BO163" s="1594">
        <v>0</v>
      </c>
      <c r="BP163" s="1594">
        <v>0</v>
      </c>
      <c r="BQ163" s="1594">
        <v>0</v>
      </c>
      <c r="BR163" s="1594">
        <v>0</v>
      </c>
      <c r="BS163" s="26">
        <f ca="1">IF(BS15&lt;=Assumptions!$I$17,(BS34+BS37),0)</f>
        <v>0</v>
      </c>
      <c r="BT163" s="26">
        <f ca="1">IF(BT15&lt;=Assumptions!$I$17,(BT34+BT37),0)</f>
        <v>0</v>
      </c>
      <c r="BU163" s="26">
        <f ca="1">IF(BU15&lt;=Assumptions!$I$17,(BU34+BU37),0)</f>
        <v>0</v>
      </c>
      <c r="BV163" s="26">
        <f ca="1">IF(BV15&lt;=Assumptions!$I$17,(BV34+BV37),0)</f>
        <v>0</v>
      </c>
      <c r="BW163" s="26">
        <f ca="1">IF(BW15&lt;=Assumptions!$I$17,(BW34+BW37),0)</f>
        <v>9.3451900000000006</v>
      </c>
      <c r="BX163" s="26">
        <f ca="1">IF(BX15&lt;=Assumptions!$I$17,(BX34+BX37),0)</f>
        <v>21.707660000000001</v>
      </c>
      <c r="BY163" s="26">
        <f ca="1">IF(BY15&lt;=Assumptions!$I$17,(BY34+BY37),0)</f>
        <v>0</v>
      </c>
      <c r="BZ163" s="26">
        <f ca="1">IF(BZ15&lt;=Assumptions!$I$17,(BZ34+BZ37),0)</f>
        <v>0</v>
      </c>
      <c r="CA163" s="26">
        <f ca="1">IF(CA15&lt;=Assumptions!$I$17,(CA34+CA37),0)</f>
        <v>96.915000000000006</v>
      </c>
      <c r="CB163" s="26">
        <f ca="1">IF(CB15&lt;=Assumptions!$I$17,(CB34+CB37),0)</f>
        <v>0</v>
      </c>
      <c r="CC163" s="26">
        <f ca="1">IF(CC15&lt;=Assumptions!$I$17,(CC34+CC37),0)</f>
        <v>0</v>
      </c>
      <c r="CD163" s="26">
        <f ca="1">IF(CD15&lt;=Assumptions!$I$17,(CD34+CD37),0)</f>
        <v>102.36</v>
      </c>
      <c r="CE163" s="26">
        <f ca="1">IF(CE15&lt;=Assumptions!$I$17,(CE34+CE37),0)</f>
        <v>0</v>
      </c>
      <c r="CF163" s="26">
        <f ca="1">IF(CF15&lt;=Assumptions!$I$17,(CF34+CF37),0)</f>
        <v>0</v>
      </c>
      <c r="CG163" s="26">
        <f ca="1">IF(CG15&lt;=Assumptions!$I$17,(CG34+CG37),0)</f>
        <v>0</v>
      </c>
      <c r="CH163" s="26">
        <f ca="1">IF(CH15&lt;=Assumptions!$I$17,(CH34+CH37),0)</f>
        <v>0</v>
      </c>
      <c r="CI163" s="26">
        <f ca="1">IF(CI15&lt;=Assumptions!$I$17,(CI34+CI37),0)</f>
        <v>0</v>
      </c>
      <c r="CJ163" s="26">
        <f ca="1">IF(CJ15&lt;=Assumptions!$I$17,(CJ34+CJ37),0)</f>
        <v>0</v>
      </c>
      <c r="CK163" s="26">
        <f ca="1">IF(CK15&lt;=Assumptions!$I$17,(CK34+CK37),0)</f>
        <v>0</v>
      </c>
      <c r="CL163" s="26">
        <f ca="1">IF(CL15&lt;=Assumptions!$I$17,(CL34+CL37),0)</f>
        <v>0</v>
      </c>
      <c r="CM163" s="26">
        <f ca="1">IF(CM15&lt;=Assumptions!$I$17,(CM34+CM37),0)</f>
        <v>0</v>
      </c>
      <c r="CN163" s="26">
        <f ca="1">IF(CN15&lt;=Assumptions!$I$17,(CN34+CN37),0)</f>
        <v>0</v>
      </c>
      <c r="CO163" s="26">
        <f ca="1">IF(CO15&lt;=Assumptions!$I$17,(CO34+CO37),0)</f>
        <v>0</v>
      </c>
      <c r="CP163" s="26">
        <f ca="1">IF(CP15&lt;=Assumptions!$I$17,(CP34+CP37),0)</f>
        <v>92.909000000000006</v>
      </c>
      <c r="CQ163" s="26">
        <f ca="1">IF(CQ15&lt;=Assumptions!$I$17,(CQ34+CQ37),0)</f>
        <v>0</v>
      </c>
      <c r="CR163" s="26">
        <f ca="1">IF(CR15&lt;=Assumptions!$I$17,(CR34+CR37),0)</f>
        <v>0</v>
      </c>
      <c r="CS163" s="26">
        <f ca="1">IF(CS15&lt;=Assumptions!$I$17,(CS34+CS37),0)</f>
        <v>173.60199999999998</v>
      </c>
      <c r="CT163" s="26">
        <f ca="1">IF(CT15&lt;=Assumptions!$I$17,(CT34+CT37),0)</f>
        <v>268.92599999999999</v>
      </c>
      <c r="CU163" s="26">
        <f ca="1">IF(CU15&lt;=Assumptions!$I$17,(CU34+CU37),0)</f>
        <v>0</v>
      </c>
      <c r="CV163" s="26">
        <f ca="1">IF(CV15&lt;=Assumptions!$I$17,(CV34+CV37),0)</f>
        <v>0</v>
      </c>
      <c r="CW163" s="26">
        <f ca="1">IF(CW15&lt;=Assumptions!$I$17,(CW34+CW37),0)</f>
        <v>0</v>
      </c>
      <c r="CX163" s="26">
        <f ca="1">IF(CX15&lt;=Assumptions!$I$17,(CX34+CX37),0)</f>
        <v>0</v>
      </c>
      <c r="CY163" s="26">
        <f ca="1">IF(CY15&lt;=Assumptions!$I$17,(CY34+CY37),0)</f>
        <v>175.119</v>
      </c>
      <c r="CZ163" s="26">
        <f ca="1">IF(CZ15&lt;=Assumptions!$I$17,(CZ34+CZ37),0)</f>
        <v>0</v>
      </c>
      <c r="DA163" s="26">
        <f ca="1">IF(DA15&lt;=Assumptions!$I$17,(DA34+DA37),0)</f>
        <v>154.11699999999999</v>
      </c>
      <c r="DB163" s="26">
        <f ca="1">IF(DB15&lt;=Assumptions!$I$17,(DB34+DB37),0)</f>
        <v>1181.643</v>
      </c>
      <c r="DC163" s="26">
        <f ca="1">IF(DC15&lt;=Assumptions!$I$17,(DC34+DC37),0)</f>
        <v>192.80099999999999</v>
      </c>
      <c r="DD163" s="26">
        <f ca="1">IF(DD15&lt;=Assumptions!$I$17,(DD34+DD37),0)</f>
        <v>0</v>
      </c>
      <c r="DE163" s="26">
        <f ca="1">IF(DE15&lt;=Assumptions!$I$17,(DE34+DE37),0)</f>
        <v>0</v>
      </c>
      <c r="DF163" s="26">
        <f ca="1">IF(DF15&lt;=Assumptions!$I$17,(DF34+DF37),0)</f>
        <v>0</v>
      </c>
      <c r="DG163" s="26">
        <f ca="1">IF(DG15&lt;=Assumptions!$I$17,(DG34+DG37),0)</f>
        <v>0</v>
      </c>
      <c r="DH163" s="26">
        <f ca="1">IF(DH15&lt;=Assumptions!$I$17,(DH34+DH37),0)</f>
        <v>0</v>
      </c>
      <c r="DI163" s="26">
        <f ca="1">IF(DI15&lt;=Assumptions!$I$17,(DI34+DI37),0)</f>
        <v>0</v>
      </c>
      <c r="DJ163" s="26">
        <f>IF(DJ15&lt;=Assumptions!$I$17,(DJ34+DJ37),0)</f>
        <v>0</v>
      </c>
      <c r="DK163" s="26">
        <f>IF(DK15&lt;=Assumptions!$I$17,(DK34+DK37),0)</f>
        <v>0</v>
      </c>
      <c r="DL163" s="26">
        <f>IF(DL15&lt;=Assumptions!$I$17,(DL34+DL37),0)</f>
        <v>0</v>
      </c>
      <c r="DM163" s="26">
        <f>IF(DM15&lt;=Assumptions!$I$17,(DM34+DM37),0)</f>
        <v>0</v>
      </c>
      <c r="DN163" s="26">
        <f>IF(DN15&lt;=Assumptions!$I$17,(DN34+DN37),0)</f>
        <v>0</v>
      </c>
      <c r="DO163" s="26">
        <f>IF(DO15&lt;=Assumptions!$I$17,(DO34+DO37),0)</f>
        <v>0</v>
      </c>
      <c r="DP163" s="26">
        <f>IF(DP15&lt;=Assumptions!$I$17,(DP34+DP37),0)</f>
        <v>0</v>
      </c>
      <c r="DQ163" s="26">
        <f>IF(DQ15&lt;=Assumptions!$I$17,(DQ34+DQ37),0)</f>
        <v>0</v>
      </c>
      <c r="DR163" s="26">
        <f>IF(DR15&lt;=Assumptions!$I$17,(DR34+DR37),0)</f>
        <v>0</v>
      </c>
      <c r="DS163" s="26">
        <f>IF(DS15&lt;=Assumptions!$I$17,(DS34+DS37),0)</f>
        <v>0</v>
      </c>
      <c r="DT163" s="26">
        <f>IF(DT15&lt;=Assumptions!$I$17,(DT34+DT37),0)</f>
        <v>0</v>
      </c>
      <c r="DU163" s="26">
        <f>IF(DU15&lt;=Assumptions!$I$17,(DU34+DU37),0)</f>
        <v>0</v>
      </c>
      <c r="DV163" s="26">
        <f>IF(DV15&lt;=Assumptions!$I$17,(DV34+DV37),0)</f>
        <v>0</v>
      </c>
      <c r="DW163" s="26">
        <f>IF(DW15&lt;=Assumptions!$I$17,(DW34+DW37),0)</f>
        <v>0</v>
      </c>
      <c r="DX163" s="26">
        <f>IF(DX15&lt;=Assumptions!$I$17,(DX34+DX37),0)</f>
        <v>0</v>
      </c>
      <c r="DY163" s="26">
        <f>IF(DY15&lt;=Assumptions!$I$17,(DY34+DY37),0)</f>
        <v>0</v>
      </c>
      <c r="DZ163" s="26">
        <f>IF(DZ15&lt;=Assumptions!$I$17,(DZ34+DZ37),0)</f>
        <v>0</v>
      </c>
      <c r="EA163" s="26">
        <f>IF(EA15&lt;=Assumptions!$I$17,(EA34+EA37),0)</f>
        <v>0</v>
      </c>
      <c r="EB163" s="26">
        <f>IF(EB15&lt;=Assumptions!$I$17,(EB34+EB37),0)</f>
        <v>0</v>
      </c>
      <c r="EC163" s="26">
        <f>IF(EC15&lt;=Assumptions!$I$17,(EC34+EC37),0)</f>
        <v>0</v>
      </c>
      <c r="ED163" s="26">
        <f>IF(ED15&lt;=Assumptions!$I$17,(ED34+ED37),0)</f>
        <v>0</v>
      </c>
      <c r="EE163" s="26">
        <f>IF(EE15&lt;=Assumptions!$I$17,(EE34+EE37),0)</f>
        <v>0</v>
      </c>
      <c r="EF163" s="26">
        <f>IF(EF15&lt;=Assumptions!$I$17,(EF34+EF37),0)</f>
        <v>0</v>
      </c>
      <c r="EG163" s="26">
        <f>IF(EG15&lt;=Assumptions!$I$17,(EG34+EG37),0)</f>
        <v>0</v>
      </c>
      <c r="EH163" s="26">
        <f>IF(EH15&lt;=Assumptions!$I$17,(EH34+EH37),0)</f>
        <v>0</v>
      </c>
      <c r="EI163" s="26">
        <f>IF(EI15&lt;=Assumptions!$I$17,(EI34+EI37),0)</f>
        <v>0</v>
      </c>
      <c r="EJ163" s="26">
        <f>IF(EJ15&lt;=Assumptions!$I$17,(EJ34+EJ37),0)</f>
        <v>0</v>
      </c>
      <c r="EK163" s="26">
        <f>IF(EK15&lt;=Assumptions!$I$17,(EK34+EK37),0)</f>
        <v>0</v>
      </c>
      <c r="EL163" s="26">
        <f>IF(EL15&lt;=Assumptions!$I$17,(EL34+EL37),0)</f>
        <v>0</v>
      </c>
      <c r="EM163" s="26">
        <f>IF(EM15&lt;=Assumptions!$I$17,(EM34+EM37),0)</f>
        <v>0</v>
      </c>
      <c r="EN163" s="26">
        <f>IF(EN15&lt;=Assumptions!$I$17,(EN34+EN37),0)</f>
        <v>0</v>
      </c>
      <c r="EO163" s="26">
        <f>IF(EO15&lt;=Assumptions!$I$17,(EO34+EO37),0)</f>
        <v>0</v>
      </c>
      <c r="EP163" s="26">
        <f>IF(EP15&lt;=Assumptions!$I$17,(EP34+EP37),0)</f>
        <v>0</v>
      </c>
      <c r="EQ163" s="26">
        <f>IF(EQ15&lt;=Assumptions!$I$17,(EQ34+EQ37),0)</f>
        <v>0</v>
      </c>
      <c r="ER163" s="26">
        <f>IF(ER15&lt;=Assumptions!$I$17,(ER34+ER37),0)</f>
        <v>0</v>
      </c>
      <c r="ES163" s="26">
        <f>IF(ES15&lt;=Assumptions!$I$17,(ES34+ES37),0)</f>
        <v>0</v>
      </c>
      <c r="ET163" s="26">
        <f>IF(ET15&lt;=Assumptions!$I$17,(ET34+ET37),0)</f>
        <v>0</v>
      </c>
      <c r="EU163" s="26">
        <f>IF(EU15&lt;=Assumptions!$I$17,(EU34+EU37),0)</f>
        <v>0</v>
      </c>
      <c r="EV163" s="26">
        <f>IF(EV15&lt;=Assumptions!$I$17,(EV34+EV37),0)</f>
        <v>0</v>
      </c>
      <c r="EW163" s="26">
        <f>IF(EW15&lt;=Assumptions!$I$17,(EW34+EW37),0)</f>
        <v>0</v>
      </c>
      <c r="EX163" s="26">
        <f>IF(EX15&lt;=Assumptions!$I$17,(EX34+EX37),0)</f>
        <v>0</v>
      </c>
      <c r="EY163" s="26">
        <f>IF(EY15&lt;=Assumptions!$I$17,(EY34+EY37),0)</f>
        <v>0</v>
      </c>
      <c r="EZ163" s="26">
        <f>IF(EZ15&lt;=Assumptions!$I$17,(EZ34+EZ37),0)</f>
        <v>0</v>
      </c>
      <c r="FA163" s="26">
        <f>IF(FA15&lt;=Assumptions!$I$17,(FA34+FA37),0)</f>
        <v>0</v>
      </c>
      <c r="FB163" s="26">
        <f>IF(FB15&lt;=Assumptions!$I$17,(FB34+FB37),0)</f>
        <v>0</v>
      </c>
      <c r="FC163" s="26">
        <f>IF(FC15&lt;=Assumptions!$I$17,(FC34+FC37),0)</f>
        <v>0</v>
      </c>
      <c r="FD163" s="26">
        <f>IF(FD15&lt;=Assumptions!$I$17,(FD34+FD37),0)</f>
        <v>0</v>
      </c>
      <c r="FE163" s="26">
        <f>IF(FE15&lt;=Assumptions!$I$17,(FE34+FE37),0)</f>
        <v>0</v>
      </c>
      <c r="FF163" s="26">
        <f>IF(FF15&lt;=Assumptions!$I$17,(FF34+FF37),0)</f>
        <v>0</v>
      </c>
      <c r="FG163" s="26">
        <f>IF(FG15&lt;=Assumptions!$I$17,(FG34+FG37),0)</f>
        <v>0</v>
      </c>
      <c r="FH163" s="26">
        <f>IF(FH15&lt;=Assumptions!$I$17,(FH34+FH37),0)</f>
        <v>0</v>
      </c>
      <c r="FI163" s="26">
        <f>IF(FI15&lt;=Assumptions!$I$17,(FI34+FI37),0)</f>
        <v>0</v>
      </c>
      <c r="FJ163" s="26">
        <f>IF(FJ15&lt;=Assumptions!$I$17,(FJ34+FJ37),0)</f>
        <v>0</v>
      </c>
      <c r="FK163" s="26">
        <f>IF(FK15&lt;=Assumptions!$I$17,(FK34+FK37),0)</f>
        <v>0</v>
      </c>
      <c r="FL163" s="26">
        <f>IF(FL15&lt;=Assumptions!$I$17,(FL34+FL37),0)</f>
        <v>0</v>
      </c>
      <c r="FM163" s="26">
        <f>IF(FM15&lt;=Assumptions!$I$17,(FM34+FM37),0)</f>
        <v>0</v>
      </c>
      <c r="FN163" s="26">
        <f>IF(FN15&lt;=Assumptions!$I$17,(FN34+FN37),0)</f>
        <v>0</v>
      </c>
      <c r="FO163" s="26">
        <f>IF(FO15&lt;=Assumptions!$I$17,(FO34+FO37),0)</f>
        <v>0</v>
      </c>
      <c r="FP163" s="26">
        <f>IF(FP15&lt;=Assumptions!$I$17,(FP34+FP37),0)</f>
        <v>0</v>
      </c>
      <c r="FQ163" s="26">
        <f>IF(FQ15&lt;=Assumptions!$I$17,(FQ34+FQ37),0)</f>
        <v>0</v>
      </c>
      <c r="FR163" s="26">
        <f>IF(FR15&lt;=Assumptions!$I$17,(FR34+FR37),0)</f>
        <v>0</v>
      </c>
      <c r="FS163" s="26">
        <f>IF(FS15&lt;=Assumptions!$I$17,(FS34+FS37),0)</f>
        <v>0</v>
      </c>
      <c r="FT163" s="26">
        <f>IF(FT15&lt;=Assumptions!$I$17,(FT34+FT37),0)</f>
        <v>0</v>
      </c>
      <c r="FU163" s="26">
        <f>IF(FU15&lt;=Assumptions!$I$17,(FU34+FU37),0)</f>
        <v>0</v>
      </c>
      <c r="FV163" s="26">
        <f>IF(FV15&lt;=Assumptions!$I$17,(FV34+FV37),0)</f>
        <v>0</v>
      </c>
      <c r="FW163" s="26">
        <f>IF(FW15&lt;=Assumptions!$I$17,(FW34+FW37),0)</f>
        <v>0</v>
      </c>
      <c r="FX163" s="26">
        <f>IF(FX15&lt;=Assumptions!$I$17,(FX34+FX37),0)</f>
        <v>0</v>
      </c>
      <c r="FY163" s="26">
        <f>IF(FY15&lt;=Assumptions!$I$17,(FY34+FY37),0)</f>
        <v>0</v>
      </c>
      <c r="FZ163" s="26">
        <f>IF(FZ15&lt;=Assumptions!$I$17,(FZ34+FZ37),0)</f>
        <v>0</v>
      </c>
      <c r="GA163" s="26">
        <f>IF(GA15&lt;=Assumptions!$I$17,(GA34+GA37),0)</f>
        <v>0</v>
      </c>
      <c r="GB163" s="26">
        <f>IF(GB15&lt;=Assumptions!$I$17,(GB34+GB37),0)</f>
        <v>0</v>
      </c>
      <c r="GC163" s="26">
        <f>IF(GC15&lt;=Assumptions!$I$17,(GC34+GC37),0)</f>
        <v>0</v>
      </c>
      <c r="GD163" s="26">
        <f>IF(GD15&lt;=Assumptions!$I$17,(GD34+GD37),0)</f>
        <v>0</v>
      </c>
      <c r="GE163" s="26">
        <f>IF(GE15&lt;=Assumptions!$I$17,(GE34+GE37),0)</f>
        <v>0</v>
      </c>
      <c r="GF163" s="26">
        <f>IF(GF15&lt;=Assumptions!$I$17,(GF34+GF37),0)</f>
        <v>0</v>
      </c>
      <c r="GG163" s="26">
        <f>IF(GG15&lt;=Assumptions!$I$17,(GG34+GG37),0)</f>
        <v>0</v>
      </c>
      <c r="GH163" s="26">
        <f>IF(GH15&lt;=Assumptions!$I$17,(GH34+GH37),0)</f>
        <v>0</v>
      </c>
      <c r="GI163" s="26">
        <f>IF(GI15&lt;=Assumptions!$I$17,(GI34+GI37),0)</f>
        <v>0</v>
      </c>
      <c r="GJ163" s="26">
        <f>IF(GJ15&lt;=Assumptions!$I$17,(GJ34+GJ37),0)</f>
        <v>0</v>
      </c>
      <c r="GK163" s="26">
        <f>IF(GK15&lt;=Assumptions!$I$17,(GK34+GK37),0)</f>
        <v>0</v>
      </c>
      <c r="GL163" s="26">
        <f>IF(GL15&lt;=Assumptions!$I$17,(GL34+GL37),0)</f>
        <v>0</v>
      </c>
      <c r="GM163" s="26">
        <f>IF(GM15&lt;=Assumptions!$I$17,(GM34+GM37),0)</f>
        <v>0</v>
      </c>
      <c r="GN163" s="26">
        <f>IF(GN15&lt;=Assumptions!$I$17,(GN34+GN37),0)</f>
        <v>0</v>
      </c>
      <c r="GO163" s="26">
        <f>IF(GO15&lt;=Assumptions!$I$17,(GO34+GO37),0)</f>
        <v>0</v>
      </c>
      <c r="GP163" s="26">
        <f>IF(GP15&lt;=Assumptions!$I$17,(GP34+GP37),0)</f>
        <v>0</v>
      </c>
      <c r="GQ163" s="26">
        <f>IF(GQ15&lt;=Assumptions!$I$17,(GQ34+GQ37),0)</f>
        <v>0</v>
      </c>
      <c r="GR163" s="26">
        <f>IF(GR15&lt;=Assumptions!$I$17,(GR34+GR37),0)</f>
        <v>0</v>
      </c>
      <c r="GS163" s="26">
        <f>IF(GS15&lt;=Assumptions!$I$17,(GS34+GS37),0)</f>
        <v>0</v>
      </c>
      <c r="GT163" s="26">
        <f>IF(GT15&lt;=Assumptions!$I$17,(GT34+GT37),0)</f>
        <v>0</v>
      </c>
      <c r="GU163" s="26">
        <f>IF(GU15&lt;=Assumptions!$I$17,(GU34+GU37),0)</f>
        <v>0</v>
      </c>
      <c r="GV163" s="26">
        <f>IF(GV15&lt;=Assumptions!$I$17,(GV34+GV37),0)</f>
        <v>0</v>
      </c>
      <c r="GW163" s="26">
        <f>IF(GW15&lt;=Assumptions!$I$17,(GW34+GW37),0)</f>
        <v>0</v>
      </c>
      <c r="GX163" s="26">
        <f>IF(GX15&lt;=Assumptions!$I$17,(GX34+GX37),0)</f>
        <v>0</v>
      </c>
      <c r="GY163" s="26">
        <f>IF(GY15&lt;=Assumptions!$I$17,(GY34+GY37),0)</f>
        <v>0</v>
      </c>
      <c r="GZ163" s="26">
        <f>IF(GZ15&lt;=Assumptions!$I$17,(GZ34+GZ37),0)</f>
        <v>0</v>
      </c>
      <c r="HA163" s="26">
        <f>IF(HA15&lt;=Assumptions!$I$17,(HA34+HA37),0)</f>
        <v>0</v>
      </c>
      <c r="HB163" s="26">
        <f>IF(HB15&lt;=Assumptions!$I$17,(HB34+HB37),0)</f>
        <v>0</v>
      </c>
      <c r="HC163" s="26">
        <f>IF(HC15&lt;=Assumptions!$I$17,(HC34+HC37),0)</f>
        <v>0</v>
      </c>
      <c r="HD163" s="26">
        <f>IF(HD15&lt;=Assumptions!$I$17,(HD34+HD37),0)</f>
        <v>0</v>
      </c>
      <c r="HE163" s="26">
        <f>IF(HE15&lt;=Assumptions!$I$17,(HE34+HE37),0)</f>
        <v>0</v>
      </c>
      <c r="HF163" s="1" t="s">
        <v>212</v>
      </c>
      <c r="HH163" s="9"/>
      <c r="HI163" s="34"/>
      <c r="HJ163" s="34"/>
      <c r="HK163" s="34"/>
      <c r="HL163" s="132"/>
      <c r="HM163" s="18"/>
      <c r="HN163" s="133"/>
      <c r="HO163" s="26"/>
      <c r="HP163" s="26"/>
      <c r="HQ163" s="26"/>
      <c r="HR163" s="26"/>
      <c r="HS163" s="26"/>
      <c r="HT163" s="26"/>
      <c r="HU163" s="26"/>
      <c r="HV163" s="26"/>
      <c r="HW163"/>
    </row>
    <row r="164" spans="1:231" s="33" customFormat="1" ht="15" outlineLevel="1">
      <c r="A164" s="441"/>
      <c r="B164" s="1593" t="s">
        <v>2499</v>
      </c>
      <c r="C164" s="1596"/>
      <c r="D164" s="31"/>
      <c r="E164" s="31"/>
      <c r="F164" s="1597"/>
      <c r="G164" s="1598"/>
      <c r="H164" s="1599"/>
      <c r="I164" s="1600"/>
      <c r="J164" s="31"/>
      <c r="K164" s="1601">
        <f>SUM(K161:K163)</f>
        <v>0</v>
      </c>
      <c r="L164" s="1587">
        <f>SUM(L161:L163)</f>
        <v>0</v>
      </c>
      <c r="M164" s="1587">
        <f>SUM(M161:M163)</f>
        <v>0</v>
      </c>
      <c r="N164" s="1587">
        <f>SUM(N161:N163)</f>
        <v>0</v>
      </c>
      <c r="O164" s="1587">
        <f t="shared" ref="O164:BR164" si="1125">SUM(O161:O163)</f>
        <v>0</v>
      </c>
      <c r="P164" s="1587">
        <f t="shared" si="1125"/>
        <v>0</v>
      </c>
      <c r="Q164" s="1587">
        <f t="shared" si="1125"/>
        <v>0</v>
      </c>
      <c r="R164" s="1587">
        <f t="shared" si="1125"/>
        <v>0</v>
      </c>
      <c r="S164" s="1587">
        <f t="shared" si="1125"/>
        <v>0</v>
      </c>
      <c r="T164" s="1587">
        <f t="shared" si="1125"/>
        <v>0</v>
      </c>
      <c r="U164" s="1587">
        <f t="shared" si="1125"/>
        <v>0</v>
      </c>
      <c r="V164" s="1587">
        <f t="shared" si="1125"/>
        <v>0</v>
      </c>
      <c r="W164" s="1587">
        <f t="shared" si="1125"/>
        <v>0</v>
      </c>
      <c r="X164" s="1587">
        <f t="shared" si="1125"/>
        <v>0</v>
      </c>
      <c r="Y164" s="1587">
        <f t="shared" si="1125"/>
        <v>0</v>
      </c>
      <c r="Z164" s="1587">
        <f t="shared" si="1125"/>
        <v>0</v>
      </c>
      <c r="AA164" s="1587">
        <f t="shared" si="1125"/>
        <v>0</v>
      </c>
      <c r="AB164" s="1587">
        <f t="shared" si="1125"/>
        <v>0</v>
      </c>
      <c r="AC164" s="1587">
        <f t="shared" si="1125"/>
        <v>0</v>
      </c>
      <c r="AD164" s="1587">
        <f t="shared" si="1125"/>
        <v>0</v>
      </c>
      <c r="AE164" s="1587">
        <f t="shared" si="1125"/>
        <v>0</v>
      </c>
      <c r="AF164" s="1587">
        <f t="shared" si="1125"/>
        <v>0</v>
      </c>
      <c r="AG164" s="1587">
        <f t="shared" si="1125"/>
        <v>0</v>
      </c>
      <c r="AH164" s="1587">
        <f t="shared" si="1125"/>
        <v>0</v>
      </c>
      <c r="AI164" s="1587">
        <f t="shared" si="1125"/>
        <v>0</v>
      </c>
      <c r="AJ164" s="1587">
        <f t="shared" si="1125"/>
        <v>0</v>
      </c>
      <c r="AK164" s="1587">
        <f t="shared" si="1125"/>
        <v>0</v>
      </c>
      <c r="AL164" s="1587">
        <f t="shared" si="1125"/>
        <v>0</v>
      </c>
      <c r="AM164" s="1587">
        <f t="shared" si="1125"/>
        <v>0</v>
      </c>
      <c r="AN164" s="1587">
        <f t="shared" si="1125"/>
        <v>0</v>
      </c>
      <c r="AO164" s="1587">
        <f t="shared" si="1125"/>
        <v>0</v>
      </c>
      <c r="AP164" s="1587">
        <f t="shared" si="1125"/>
        <v>0</v>
      </c>
      <c r="AQ164" s="1587">
        <f t="shared" si="1125"/>
        <v>0</v>
      </c>
      <c r="AR164" s="1587">
        <f t="shared" si="1125"/>
        <v>0</v>
      </c>
      <c r="AS164" s="1587">
        <f t="shared" si="1125"/>
        <v>0</v>
      </c>
      <c r="AT164" s="1587">
        <f t="shared" si="1125"/>
        <v>0</v>
      </c>
      <c r="AU164" s="1587">
        <f t="shared" si="1125"/>
        <v>0</v>
      </c>
      <c r="AV164" s="1587">
        <f t="shared" si="1125"/>
        <v>0</v>
      </c>
      <c r="AW164" s="1587">
        <f t="shared" si="1125"/>
        <v>0</v>
      </c>
      <c r="AX164" s="1587">
        <f t="shared" si="1125"/>
        <v>0</v>
      </c>
      <c r="AY164" s="1587">
        <f t="shared" si="1125"/>
        <v>0</v>
      </c>
      <c r="AZ164" s="1587">
        <f t="shared" si="1125"/>
        <v>0</v>
      </c>
      <c r="BA164" s="1587">
        <f t="shared" si="1125"/>
        <v>0</v>
      </c>
      <c r="BB164" s="1587">
        <f t="shared" si="1125"/>
        <v>0</v>
      </c>
      <c r="BC164" s="1587">
        <f t="shared" si="1125"/>
        <v>0</v>
      </c>
      <c r="BD164" s="1587">
        <f t="shared" si="1125"/>
        <v>0</v>
      </c>
      <c r="BE164" s="1587">
        <f t="shared" si="1125"/>
        <v>0</v>
      </c>
      <c r="BF164" s="1587">
        <f t="shared" si="1125"/>
        <v>0</v>
      </c>
      <c r="BG164" s="1587">
        <f t="shared" si="1125"/>
        <v>0</v>
      </c>
      <c r="BH164" s="1587">
        <f t="shared" si="1125"/>
        <v>0</v>
      </c>
      <c r="BI164" s="1587">
        <f t="shared" si="1125"/>
        <v>0</v>
      </c>
      <c r="BJ164" s="1587">
        <f t="shared" si="1125"/>
        <v>0</v>
      </c>
      <c r="BK164" s="1587">
        <f t="shared" si="1125"/>
        <v>0</v>
      </c>
      <c r="BL164" s="1587">
        <f t="shared" si="1125"/>
        <v>0</v>
      </c>
      <c r="BM164" s="1587">
        <f t="shared" si="1125"/>
        <v>0</v>
      </c>
      <c r="BN164" s="1587">
        <f t="shared" si="1125"/>
        <v>0</v>
      </c>
      <c r="BO164" s="1587">
        <f t="shared" si="1125"/>
        <v>0</v>
      </c>
      <c r="BP164" s="1587">
        <f t="shared" si="1125"/>
        <v>0</v>
      </c>
      <c r="BQ164" s="1587">
        <f t="shared" si="1125"/>
        <v>0</v>
      </c>
      <c r="BR164" s="1587">
        <f t="shared" si="1125"/>
        <v>0</v>
      </c>
      <c r="BS164" s="1587">
        <f ca="1">SUM(BS161:BS163)</f>
        <v>22133.63997</v>
      </c>
      <c r="BT164" s="1587">
        <f t="shared" ref="BT164:EE164" ca="1" si="1126">SUM(BT161:BT163)</f>
        <v>0</v>
      </c>
      <c r="BU164" s="1587">
        <f t="shared" ca="1" si="1126"/>
        <v>0</v>
      </c>
      <c r="BV164" s="1587">
        <f t="shared" ca="1" si="1126"/>
        <v>0</v>
      </c>
      <c r="BW164" s="1587">
        <f t="shared" ca="1" si="1126"/>
        <v>9.3451900000000006</v>
      </c>
      <c r="BX164" s="1587">
        <f t="shared" ca="1" si="1126"/>
        <v>27.214280000000002</v>
      </c>
      <c r="BY164" s="1587">
        <f t="shared" ca="1" si="1126"/>
        <v>87.333829999999992</v>
      </c>
      <c r="BZ164" s="1587">
        <f t="shared" ca="1" si="1126"/>
        <v>0</v>
      </c>
      <c r="CA164" s="1587">
        <f t="shared" ca="1" si="1126"/>
        <v>99.415000000000006</v>
      </c>
      <c r="CB164" s="1587">
        <f t="shared" ca="1" si="1126"/>
        <v>5</v>
      </c>
      <c r="CC164" s="1587">
        <f t="shared" ca="1" si="1126"/>
        <v>0</v>
      </c>
      <c r="CD164" s="1587">
        <f t="shared" ca="1" si="1126"/>
        <v>279.654</v>
      </c>
      <c r="CE164" s="1587">
        <f t="shared" ca="1" si="1126"/>
        <v>0</v>
      </c>
      <c r="CF164" s="1587">
        <f t="shared" ca="1" si="1126"/>
        <v>66.949960000000004</v>
      </c>
      <c r="CG164" s="1587">
        <f t="shared" ca="1" si="1126"/>
        <v>0</v>
      </c>
      <c r="CH164" s="1587">
        <f t="shared" ca="1" si="1126"/>
        <v>22.286470000000001</v>
      </c>
      <c r="CI164" s="1587">
        <f t="shared" ca="1" si="1126"/>
        <v>0</v>
      </c>
      <c r="CJ164" s="1587">
        <f t="shared" ca="1" si="1126"/>
        <v>0</v>
      </c>
      <c r="CK164" s="1587">
        <f t="shared" ca="1" si="1126"/>
        <v>0</v>
      </c>
      <c r="CL164" s="1587">
        <f t="shared" ca="1" si="1126"/>
        <v>0</v>
      </c>
      <c r="CM164" s="1587">
        <f t="shared" ca="1" si="1126"/>
        <v>68.313492063492063</v>
      </c>
      <c r="CN164" s="1587">
        <f t="shared" ca="1" si="1126"/>
        <v>68.313492063492063</v>
      </c>
      <c r="CO164" s="1587">
        <f t="shared" ca="1" si="1126"/>
        <v>68.313492063492077</v>
      </c>
      <c r="CP164" s="1587">
        <f t="shared" ca="1" si="1126"/>
        <v>161.22249206349207</v>
      </c>
      <c r="CQ164" s="1587">
        <f t="shared" ca="1" si="1126"/>
        <v>62.063492063492063</v>
      </c>
      <c r="CR164" s="1587">
        <f t="shared" ca="1" si="1126"/>
        <v>62.06349206349207</v>
      </c>
      <c r="CS164" s="1587">
        <f t="shared" ca="1" si="1126"/>
        <v>235.66549206349202</v>
      </c>
      <c r="CT164" s="1587">
        <f t="shared" ca="1" si="1126"/>
        <v>296.70377777777776</v>
      </c>
      <c r="CU164" s="1587">
        <f t="shared" ca="1" si="1126"/>
        <v>27.777777777777771</v>
      </c>
      <c r="CV164" s="1587">
        <f t="shared" ca="1" si="1126"/>
        <v>0</v>
      </c>
      <c r="CW164" s="1587">
        <f t="shared" ca="1" si="1126"/>
        <v>0</v>
      </c>
      <c r="CX164" s="1587">
        <f t="shared" ca="1" si="1126"/>
        <v>0</v>
      </c>
      <c r="CY164" s="1587">
        <f t="shared" ca="1" si="1126"/>
        <v>175.119</v>
      </c>
      <c r="CZ164" s="1587">
        <f t="shared" ca="1" si="1126"/>
        <v>0</v>
      </c>
      <c r="DA164" s="1587">
        <f t="shared" ca="1" si="1126"/>
        <v>154.11699999999999</v>
      </c>
      <c r="DB164" s="1587">
        <f t="shared" ca="1" si="1126"/>
        <v>1181.643</v>
      </c>
      <c r="DC164" s="1587">
        <f t="shared" ca="1" si="1126"/>
        <v>192.80099999999999</v>
      </c>
      <c r="DD164" s="1587">
        <f t="shared" ca="1" si="1126"/>
        <v>0</v>
      </c>
      <c r="DE164" s="1587">
        <f t="shared" ca="1" si="1126"/>
        <v>0</v>
      </c>
      <c r="DF164" s="1587">
        <f t="shared" ca="1" si="1126"/>
        <v>0</v>
      </c>
      <c r="DG164" s="1587">
        <f t="shared" ca="1" si="1126"/>
        <v>0</v>
      </c>
      <c r="DH164" s="1587">
        <f t="shared" ca="1" si="1126"/>
        <v>0</v>
      </c>
      <c r="DI164" s="1587">
        <f t="shared" ca="1" si="1126"/>
        <v>0</v>
      </c>
      <c r="DJ164" s="1587">
        <f t="shared" si="1126"/>
        <v>0</v>
      </c>
      <c r="DK164" s="1587">
        <f t="shared" si="1126"/>
        <v>0</v>
      </c>
      <c r="DL164" s="1587">
        <f t="shared" si="1126"/>
        <v>0</v>
      </c>
      <c r="DM164" s="1587">
        <f t="shared" si="1126"/>
        <v>0</v>
      </c>
      <c r="DN164" s="1587">
        <f t="shared" si="1126"/>
        <v>0</v>
      </c>
      <c r="DO164" s="1587">
        <f t="shared" si="1126"/>
        <v>0</v>
      </c>
      <c r="DP164" s="1587">
        <f t="shared" si="1126"/>
        <v>0</v>
      </c>
      <c r="DQ164" s="1587">
        <f t="shared" si="1126"/>
        <v>0</v>
      </c>
      <c r="DR164" s="1587">
        <f t="shared" si="1126"/>
        <v>0</v>
      </c>
      <c r="DS164" s="1587">
        <f t="shared" si="1126"/>
        <v>0</v>
      </c>
      <c r="DT164" s="1587">
        <f t="shared" si="1126"/>
        <v>0</v>
      </c>
      <c r="DU164" s="1587">
        <f t="shared" si="1126"/>
        <v>0</v>
      </c>
      <c r="DV164" s="1587">
        <f t="shared" si="1126"/>
        <v>0</v>
      </c>
      <c r="DW164" s="1587">
        <f t="shared" si="1126"/>
        <v>0</v>
      </c>
      <c r="DX164" s="1587">
        <f t="shared" si="1126"/>
        <v>0</v>
      </c>
      <c r="DY164" s="1587">
        <f t="shared" si="1126"/>
        <v>0</v>
      </c>
      <c r="DZ164" s="1587">
        <f t="shared" si="1126"/>
        <v>0</v>
      </c>
      <c r="EA164" s="1587">
        <f t="shared" si="1126"/>
        <v>0</v>
      </c>
      <c r="EB164" s="1587">
        <f t="shared" si="1126"/>
        <v>0</v>
      </c>
      <c r="EC164" s="1587">
        <f t="shared" si="1126"/>
        <v>0</v>
      </c>
      <c r="ED164" s="1587">
        <f t="shared" si="1126"/>
        <v>0</v>
      </c>
      <c r="EE164" s="1587">
        <f t="shared" si="1126"/>
        <v>0</v>
      </c>
      <c r="EF164" s="1587">
        <f t="shared" ref="EF164:GQ164" si="1127">SUM(EF161:EF163)</f>
        <v>0</v>
      </c>
      <c r="EG164" s="1587">
        <f t="shared" si="1127"/>
        <v>0</v>
      </c>
      <c r="EH164" s="1587">
        <f t="shared" si="1127"/>
        <v>0</v>
      </c>
      <c r="EI164" s="1587">
        <f t="shared" si="1127"/>
        <v>0</v>
      </c>
      <c r="EJ164" s="1587">
        <f t="shared" si="1127"/>
        <v>0</v>
      </c>
      <c r="EK164" s="1587">
        <f t="shared" si="1127"/>
        <v>0</v>
      </c>
      <c r="EL164" s="1587">
        <f t="shared" si="1127"/>
        <v>0</v>
      </c>
      <c r="EM164" s="1587">
        <f t="shared" si="1127"/>
        <v>0</v>
      </c>
      <c r="EN164" s="1587">
        <f t="shared" si="1127"/>
        <v>0</v>
      </c>
      <c r="EO164" s="1587">
        <f t="shared" si="1127"/>
        <v>0</v>
      </c>
      <c r="EP164" s="1587">
        <f t="shared" si="1127"/>
        <v>0</v>
      </c>
      <c r="EQ164" s="1587">
        <f t="shared" si="1127"/>
        <v>0</v>
      </c>
      <c r="ER164" s="1587">
        <f t="shared" si="1127"/>
        <v>0</v>
      </c>
      <c r="ES164" s="1587">
        <f t="shared" si="1127"/>
        <v>0</v>
      </c>
      <c r="ET164" s="1587">
        <f t="shared" si="1127"/>
        <v>0</v>
      </c>
      <c r="EU164" s="1587">
        <f t="shared" si="1127"/>
        <v>0</v>
      </c>
      <c r="EV164" s="1587">
        <f t="shared" si="1127"/>
        <v>0</v>
      </c>
      <c r="EW164" s="1587">
        <f t="shared" si="1127"/>
        <v>0</v>
      </c>
      <c r="EX164" s="1587">
        <f t="shared" si="1127"/>
        <v>0</v>
      </c>
      <c r="EY164" s="1587">
        <f t="shared" si="1127"/>
        <v>0</v>
      </c>
      <c r="EZ164" s="1587">
        <f t="shared" si="1127"/>
        <v>0</v>
      </c>
      <c r="FA164" s="1587">
        <f t="shared" si="1127"/>
        <v>0</v>
      </c>
      <c r="FB164" s="1587">
        <f t="shared" si="1127"/>
        <v>0</v>
      </c>
      <c r="FC164" s="1587">
        <f t="shared" si="1127"/>
        <v>0</v>
      </c>
      <c r="FD164" s="1587">
        <f t="shared" si="1127"/>
        <v>0</v>
      </c>
      <c r="FE164" s="1587">
        <f t="shared" si="1127"/>
        <v>0</v>
      </c>
      <c r="FF164" s="1587">
        <f t="shared" si="1127"/>
        <v>0</v>
      </c>
      <c r="FG164" s="1587">
        <f t="shared" si="1127"/>
        <v>0</v>
      </c>
      <c r="FH164" s="1587">
        <f t="shared" si="1127"/>
        <v>0</v>
      </c>
      <c r="FI164" s="1587">
        <f t="shared" si="1127"/>
        <v>0</v>
      </c>
      <c r="FJ164" s="1587">
        <f t="shared" si="1127"/>
        <v>0</v>
      </c>
      <c r="FK164" s="1587">
        <f t="shared" si="1127"/>
        <v>0</v>
      </c>
      <c r="FL164" s="1587">
        <f t="shared" si="1127"/>
        <v>0</v>
      </c>
      <c r="FM164" s="1587">
        <f t="shared" si="1127"/>
        <v>0</v>
      </c>
      <c r="FN164" s="1587">
        <f t="shared" si="1127"/>
        <v>0</v>
      </c>
      <c r="FO164" s="1587">
        <f t="shared" si="1127"/>
        <v>0</v>
      </c>
      <c r="FP164" s="1587">
        <f t="shared" si="1127"/>
        <v>0</v>
      </c>
      <c r="FQ164" s="1587">
        <f t="shared" si="1127"/>
        <v>0</v>
      </c>
      <c r="FR164" s="1587">
        <f t="shared" si="1127"/>
        <v>0</v>
      </c>
      <c r="FS164" s="1587">
        <f t="shared" si="1127"/>
        <v>0</v>
      </c>
      <c r="FT164" s="1587">
        <f t="shared" si="1127"/>
        <v>0</v>
      </c>
      <c r="FU164" s="1587">
        <f t="shared" si="1127"/>
        <v>0</v>
      </c>
      <c r="FV164" s="1587">
        <f t="shared" si="1127"/>
        <v>0</v>
      </c>
      <c r="FW164" s="1587">
        <f t="shared" si="1127"/>
        <v>0</v>
      </c>
      <c r="FX164" s="1587">
        <f t="shared" si="1127"/>
        <v>0</v>
      </c>
      <c r="FY164" s="1587">
        <f t="shared" si="1127"/>
        <v>0</v>
      </c>
      <c r="FZ164" s="1587">
        <f t="shared" si="1127"/>
        <v>0</v>
      </c>
      <c r="GA164" s="1587">
        <f t="shared" si="1127"/>
        <v>0</v>
      </c>
      <c r="GB164" s="1587">
        <f t="shared" si="1127"/>
        <v>0</v>
      </c>
      <c r="GC164" s="1587">
        <f t="shared" si="1127"/>
        <v>0</v>
      </c>
      <c r="GD164" s="1587">
        <f t="shared" si="1127"/>
        <v>0</v>
      </c>
      <c r="GE164" s="1587">
        <f t="shared" si="1127"/>
        <v>0</v>
      </c>
      <c r="GF164" s="1587">
        <f t="shared" si="1127"/>
        <v>0</v>
      </c>
      <c r="GG164" s="1587">
        <f t="shared" si="1127"/>
        <v>0</v>
      </c>
      <c r="GH164" s="1587">
        <f t="shared" si="1127"/>
        <v>0</v>
      </c>
      <c r="GI164" s="1587">
        <f t="shared" si="1127"/>
        <v>0</v>
      </c>
      <c r="GJ164" s="1587">
        <f t="shared" si="1127"/>
        <v>0</v>
      </c>
      <c r="GK164" s="1587">
        <f t="shared" si="1127"/>
        <v>0</v>
      </c>
      <c r="GL164" s="1587">
        <f t="shared" si="1127"/>
        <v>0</v>
      </c>
      <c r="GM164" s="1587">
        <f t="shared" si="1127"/>
        <v>0</v>
      </c>
      <c r="GN164" s="1587">
        <f t="shared" si="1127"/>
        <v>0</v>
      </c>
      <c r="GO164" s="1587">
        <f t="shared" si="1127"/>
        <v>0</v>
      </c>
      <c r="GP164" s="1587">
        <f t="shared" si="1127"/>
        <v>0</v>
      </c>
      <c r="GQ164" s="1587">
        <f t="shared" si="1127"/>
        <v>0</v>
      </c>
      <c r="GR164" s="1587">
        <f t="shared" ref="GR164:HE164" si="1128">SUM(GR161:GR163)</f>
        <v>0</v>
      </c>
      <c r="GS164" s="1587">
        <f t="shared" si="1128"/>
        <v>0</v>
      </c>
      <c r="GT164" s="1587">
        <f t="shared" si="1128"/>
        <v>0</v>
      </c>
      <c r="GU164" s="1587">
        <f t="shared" si="1128"/>
        <v>0</v>
      </c>
      <c r="GV164" s="1587">
        <f t="shared" si="1128"/>
        <v>0</v>
      </c>
      <c r="GW164" s="1587">
        <f t="shared" si="1128"/>
        <v>0</v>
      </c>
      <c r="GX164" s="1587">
        <f t="shared" si="1128"/>
        <v>0</v>
      </c>
      <c r="GY164" s="1587">
        <f t="shared" si="1128"/>
        <v>0</v>
      </c>
      <c r="GZ164" s="1587">
        <f t="shared" si="1128"/>
        <v>0</v>
      </c>
      <c r="HA164" s="1587">
        <f t="shared" si="1128"/>
        <v>0</v>
      </c>
      <c r="HB164" s="1587">
        <f t="shared" si="1128"/>
        <v>0</v>
      </c>
      <c r="HC164" s="1587">
        <f t="shared" si="1128"/>
        <v>0</v>
      </c>
      <c r="HD164" s="1587">
        <f t="shared" si="1128"/>
        <v>0</v>
      </c>
      <c r="HE164" s="1587">
        <f t="shared" si="1128"/>
        <v>0</v>
      </c>
      <c r="HF164" s="31" t="s">
        <v>212</v>
      </c>
      <c r="HH164" s="221"/>
      <c r="HI164" s="34"/>
      <c r="HJ164" s="34"/>
      <c r="HK164" s="34"/>
      <c r="HL164" s="206"/>
      <c r="HM164" s="34"/>
      <c r="HN164" s="470"/>
      <c r="HO164" s="209"/>
      <c r="HP164" s="209"/>
      <c r="HQ164" s="209"/>
      <c r="HR164" s="209"/>
      <c r="HS164" s="209"/>
      <c r="HT164" s="209"/>
      <c r="HU164" s="209"/>
      <c r="HV164" s="209"/>
      <c r="HW164" s="1127"/>
    </row>
    <row r="165" spans="1:231" ht="15" outlineLevel="1">
      <c r="B165" s="1533" t="s">
        <v>85</v>
      </c>
      <c r="C165" s="13"/>
      <c r="E165" s="204"/>
      <c r="F165" s="401">
        <f>+Assumptions!F71</f>
        <v>60</v>
      </c>
      <c r="G165" s="213"/>
      <c r="H165" s="98"/>
      <c r="I165" s="132">
        <f>SUMIF($K$13:$GT$13,"&lt;="&amp;Assumptions!$L$17,'Monthly Cash Flow'!K165:GT165)</f>
        <v>0</v>
      </c>
      <c r="K165" s="1602">
        <v>0</v>
      </c>
      <c r="L165" s="589">
        <v>0</v>
      </c>
      <c r="M165" s="589">
        <v>0</v>
      </c>
      <c r="N165" s="589">
        <v>0</v>
      </c>
      <c r="O165" s="589">
        <v>0</v>
      </c>
      <c r="P165" s="589">
        <v>0</v>
      </c>
      <c r="Q165" s="589">
        <v>0</v>
      </c>
      <c r="R165" s="589">
        <v>0</v>
      </c>
      <c r="S165" s="589">
        <v>0</v>
      </c>
      <c r="T165" s="589">
        <v>0</v>
      </c>
      <c r="U165" s="589">
        <v>0</v>
      </c>
      <c r="V165" s="589">
        <v>0</v>
      </c>
      <c r="W165" s="589">
        <v>0</v>
      </c>
      <c r="X165" s="589">
        <v>0</v>
      </c>
      <c r="Y165" s="589">
        <v>0</v>
      </c>
      <c r="Z165" s="589">
        <v>0</v>
      </c>
      <c r="AA165" s="589">
        <v>0</v>
      </c>
      <c r="AB165" s="589">
        <v>0</v>
      </c>
      <c r="AC165" s="589">
        <v>0</v>
      </c>
      <c r="AD165" s="589">
        <v>0</v>
      </c>
      <c r="AE165" s="589">
        <v>0</v>
      </c>
      <c r="AF165" s="589">
        <v>0</v>
      </c>
      <c r="AG165" s="589">
        <v>0</v>
      </c>
      <c r="AH165" s="589">
        <v>0</v>
      </c>
      <c r="AI165" s="589">
        <v>0</v>
      </c>
      <c r="AJ165" s="589">
        <v>0</v>
      </c>
      <c r="AK165" s="589">
        <v>0</v>
      </c>
      <c r="AL165" s="589">
        <v>0</v>
      </c>
      <c r="AM165" s="589">
        <v>0</v>
      </c>
      <c r="AN165" s="589">
        <v>0</v>
      </c>
      <c r="AO165" s="589">
        <v>0</v>
      </c>
      <c r="AP165" s="589">
        <v>0</v>
      </c>
      <c r="AQ165" s="589">
        <v>0</v>
      </c>
      <c r="AR165" s="589">
        <v>0</v>
      </c>
      <c r="AS165" s="589">
        <v>0</v>
      </c>
      <c r="AT165" s="589">
        <v>0</v>
      </c>
      <c r="AU165" s="589">
        <v>0</v>
      </c>
      <c r="AV165" s="589">
        <v>0</v>
      </c>
      <c r="AW165" s="589">
        <v>0</v>
      </c>
      <c r="AX165" s="589">
        <v>0</v>
      </c>
      <c r="AY165" s="589">
        <v>0</v>
      </c>
      <c r="AZ165" s="589">
        <v>0</v>
      </c>
      <c r="BA165" s="589">
        <v>0</v>
      </c>
      <c r="BB165" s="589">
        <v>0</v>
      </c>
      <c r="BC165" s="589">
        <v>0</v>
      </c>
      <c r="BD165" s="589">
        <v>0</v>
      </c>
      <c r="BE165" s="589">
        <v>0</v>
      </c>
      <c r="BF165" s="589">
        <v>0</v>
      </c>
      <c r="BG165" s="589">
        <v>0</v>
      </c>
      <c r="BH165" s="589">
        <v>0</v>
      </c>
      <c r="BI165" s="589">
        <v>0</v>
      </c>
      <c r="BJ165" s="589">
        <v>0</v>
      </c>
      <c r="BK165" s="589">
        <v>0</v>
      </c>
      <c r="BL165" s="589">
        <v>0</v>
      </c>
      <c r="BM165" s="589">
        <v>0</v>
      </c>
      <c r="BN165" s="589">
        <v>0</v>
      </c>
      <c r="BO165" s="589">
        <v>0</v>
      </c>
      <c r="BP165" s="589">
        <v>0</v>
      </c>
      <c r="BQ165" s="589">
        <v>0</v>
      </c>
      <c r="BR165" s="589">
        <v>0</v>
      </c>
      <c r="BS165" s="531">
        <f>IFERROR(IF(AND(BS$13&gt;($F165+$G$159),BS$13&lt;=Assumptions!$L$17),INDEX(DebtPerm!$G$9:$G$366,MATCH(BS$13,DebtPerm!$M$9:$M$366,0)),0),0)</f>
        <v>0</v>
      </c>
      <c r="BT165" s="531">
        <f>IFERROR(IF(AND(BT$13&gt;($F165+$G$159),BT$13&lt;=Assumptions!$L$17),INDEX(DebtPerm!$G$9:$G$366,MATCH(BT$13,DebtPerm!$M$9:$M$366,0)),0),0)</f>
        <v>0</v>
      </c>
      <c r="BU165" s="531">
        <f>IFERROR(IF(AND(BU$13&gt;($F165+$G$159),BU$13&lt;=Assumptions!$L$17),INDEX(DebtPerm!$G$9:$G$366,MATCH(BU$13,DebtPerm!$M$9:$M$366,0)),0),0)</f>
        <v>0</v>
      </c>
      <c r="BV165" s="531">
        <f>IFERROR(IF(AND(BV$13&gt;($F165+$G$159),BV$13&lt;=Assumptions!$L$17),INDEX(DebtPerm!$G$9:$G$366,MATCH(BV$13,DebtPerm!$M$9:$M$366,0)),0),0)</f>
        <v>0</v>
      </c>
      <c r="BW165" s="531">
        <f>IFERROR(IF(AND(BW$13&gt;($F165+$G$159),BW$13&lt;=Assumptions!$L$17),INDEX(DebtPerm!$G$9:$G$366,MATCH(BW$13,DebtPerm!$M$9:$M$366,0)),0),0)</f>
        <v>0</v>
      </c>
      <c r="BX165" s="531">
        <f>IFERROR(IF(AND(BX$13&gt;($F165+$G$159),BX$13&lt;=Assumptions!$L$17),INDEX(DebtPerm!$G$9:$G$366,MATCH(BX$13,DebtPerm!$M$9:$M$366,0)),0),0)</f>
        <v>0</v>
      </c>
      <c r="BY165" s="531">
        <f>IFERROR(IF(AND(BY$13&gt;($F165+$G$159),BY$13&lt;=Assumptions!$L$17),INDEX(DebtPerm!$G$9:$G$366,MATCH(BY$13,DebtPerm!$M$9:$M$366,0)),0),0)</f>
        <v>0</v>
      </c>
      <c r="BZ165" s="531">
        <f>IFERROR(IF(AND(BZ$13&gt;($F165+$G$159),BZ$13&lt;=Assumptions!$L$17),INDEX(DebtPerm!$G$9:$G$366,MATCH(BZ$13,DebtPerm!$M$9:$M$366,0)),0),0)</f>
        <v>0</v>
      </c>
      <c r="CA165" s="531">
        <f>IFERROR(IF(AND(CA$13&gt;($F165+$G$159),CA$13&lt;=Assumptions!$L$17),INDEX(DebtPerm!$G$9:$G$366,MATCH(CA$13,DebtPerm!$M$9:$M$366,0)),0),0)</f>
        <v>0</v>
      </c>
      <c r="CB165" s="531">
        <f>IFERROR(IF(AND(CB$13&gt;($F165+$G$159),CB$13&lt;=Assumptions!$L$17),INDEX(DebtPerm!$G$9:$G$366,MATCH(CB$13,DebtPerm!$M$9:$M$366,0)),0),0)</f>
        <v>0</v>
      </c>
      <c r="CC165" s="531">
        <f>IFERROR(IF(AND(CC$13&gt;($F165+$G$159),CC$13&lt;=Assumptions!$L$17),INDEX(DebtPerm!$G$9:$G$366,MATCH(CC$13,DebtPerm!$M$9:$M$366,0)),0),0)</f>
        <v>0</v>
      </c>
      <c r="CD165" s="531">
        <f>IFERROR(IF(AND(CD$13&gt;($F165+$G$159),CD$13&lt;=Assumptions!$L$17),INDEX(DebtPerm!$G$9:$G$366,MATCH(CD$13,DebtPerm!$M$9:$M$366,0)),0),0)</f>
        <v>0</v>
      </c>
      <c r="CE165" s="531">
        <f>IFERROR(IF(AND(CE$13&gt;($F165+$G$159),CE$13&lt;=Assumptions!$L$17),INDEX(DebtPerm!$G$9:$G$366,MATCH(CE$13,DebtPerm!$M$9:$M$366,0)),0),0)</f>
        <v>0</v>
      </c>
      <c r="CF165" s="531">
        <f>IFERROR(IF(AND(CF$13&gt;($F165+$G$159),CF$13&lt;=Assumptions!$L$17),INDEX(DebtPerm!$G$9:$G$366,MATCH(CF$13,DebtPerm!$M$9:$M$366,0)),0),0)</f>
        <v>0</v>
      </c>
      <c r="CG165" s="531">
        <f>IFERROR(IF(AND(CG$13&gt;($F165+$G$159),CG$13&lt;=Assumptions!$L$17),INDEX(DebtPerm!$G$9:$G$366,MATCH(CG$13,DebtPerm!$M$9:$M$366,0)),0),0)</f>
        <v>0</v>
      </c>
      <c r="CH165" s="531">
        <f>IFERROR(IF(AND(CH$13&gt;($F165+$G$159),CH$13&lt;=Assumptions!$L$17),INDEX(DebtPerm!$G$9:$G$366,MATCH(CH$13,DebtPerm!$M$9:$M$366,0)),0),0)</f>
        <v>0</v>
      </c>
      <c r="CI165" s="531">
        <f>IFERROR(IF(AND(CI$13&gt;($F165+$G$159),CI$13&lt;=Assumptions!$L$17),INDEX(DebtPerm!$G$9:$G$366,MATCH(CI$13,DebtPerm!$M$9:$M$366,0)),0),0)</f>
        <v>0</v>
      </c>
      <c r="CJ165" s="531">
        <f>IFERROR(IF(AND(CJ$13&gt;($F165+$G$159),CJ$13&lt;=Assumptions!$L$17),INDEX(DebtPerm!$G$9:$G$366,MATCH(CJ$13,DebtPerm!$M$9:$M$366,0)),0),0)</f>
        <v>0</v>
      </c>
      <c r="CK165" s="531">
        <f>IFERROR(IF(AND(CK$13&gt;($F165+$G$159),CK$13&lt;=Assumptions!$L$17),INDEX(DebtPerm!$G$9:$G$366,MATCH(CK$13,DebtPerm!$M$9:$M$366,0)),0),0)</f>
        <v>0</v>
      </c>
      <c r="CL165" s="531">
        <f>IFERROR(IF(AND(CL$13&gt;($F165+$G$159),CL$13&lt;=Assumptions!$L$17),INDEX(DebtPerm!$G$9:$G$366,MATCH(CL$13,DebtPerm!$M$9:$M$366,0)),0),0)</f>
        <v>0</v>
      </c>
      <c r="CM165" s="531">
        <f>IFERROR(IF(AND(CM$13&gt;($F165+$G$159),CM$13&lt;=Assumptions!$L$17),INDEX(DebtPerm!$G$9:$G$366,MATCH(CM$13,DebtPerm!$M$9:$M$366,0)),0),0)</f>
        <v>0</v>
      </c>
      <c r="CN165" s="531">
        <f>IFERROR(IF(AND(CN$13&gt;($F165+$G$159),CN$13&lt;=Assumptions!$L$17),INDEX(DebtPerm!$G$9:$G$366,MATCH(CN$13,DebtPerm!$M$9:$M$366,0)),0),0)</f>
        <v>0</v>
      </c>
      <c r="CO165" s="531">
        <f>IFERROR(IF(AND(CO$13&gt;($F165+$G$159),CO$13&lt;=Assumptions!$L$17),INDEX(DebtPerm!$G$9:$G$366,MATCH(CO$13,DebtPerm!$M$9:$M$366,0)),0),0)</f>
        <v>0</v>
      </c>
      <c r="CP165" s="531">
        <f>IFERROR(IF(AND(CP$13&gt;($F165+$G$159),CP$13&lt;=Assumptions!$L$17),INDEX(DebtPerm!$G$9:$G$366,MATCH(CP$13,DebtPerm!$M$9:$M$366,0)),0),0)</f>
        <v>0</v>
      </c>
      <c r="CQ165" s="531">
        <f>IFERROR(IF(AND(CQ$13&gt;($F165+$G$159),CQ$13&lt;=Assumptions!$L$17),INDEX(DebtPerm!$G$9:$G$366,MATCH(CQ$13,DebtPerm!$M$9:$M$366,0)),0),0)</f>
        <v>0</v>
      </c>
      <c r="CR165" s="531">
        <f>IFERROR(IF(AND(CR$13&gt;($F165+$G$159),CR$13&lt;=Assumptions!$L$17),INDEX(DebtPerm!$G$9:$G$366,MATCH(CR$13,DebtPerm!$M$9:$M$366,0)),0),0)</f>
        <v>0</v>
      </c>
      <c r="CS165" s="531">
        <f>IFERROR(IF(AND(CS$13&gt;($F165+$G$159),CS$13&lt;=Assumptions!$L$17),INDEX(DebtPerm!$G$9:$G$366,MATCH(CS$13,DebtPerm!$M$9:$M$366,0)),0),0)</f>
        <v>0</v>
      </c>
      <c r="CT165" s="531">
        <f>IFERROR(IF(AND(CT$13&gt;($F165+$G$159),CT$13&lt;=Assumptions!$L$17),INDEX(DebtPerm!$G$9:$G$366,MATCH(CT$13,DebtPerm!$M$9:$M$366,0)),0),0)</f>
        <v>0</v>
      </c>
      <c r="CU165" s="531">
        <f>IFERROR(IF(AND(CU$13&gt;($F165+$G$159),CU$13&lt;=Assumptions!$L$17),INDEX(DebtPerm!$G$9:$G$366,MATCH(CU$13,DebtPerm!$M$9:$M$366,0)),0),0)</f>
        <v>0</v>
      </c>
      <c r="CV165" s="531">
        <f>IFERROR(IF(AND(CV$13&gt;($F165+$G$159),CV$13&lt;=Assumptions!$L$17),INDEX(DebtPerm!$G$9:$G$366,MATCH(CV$13,DebtPerm!$M$9:$M$366,0)),0),0)</f>
        <v>0</v>
      </c>
      <c r="CW165" s="531">
        <f>IFERROR(IF(AND(CW$13&gt;($F165+$G$159),CW$13&lt;=Assumptions!$L$17),INDEX(DebtPerm!$G$9:$G$366,MATCH(CW$13,DebtPerm!$M$9:$M$366,0)),0),0)</f>
        <v>0</v>
      </c>
      <c r="CX165" s="531">
        <f>IFERROR(IF(AND(CX$13&gt;($F165+$G$159),CX$13&lt;=Assumptions!$L$17),INDEX(DebtPerm!$G$9:$G$366,MATCH(CX$13,DebtPerm!$M$9:$M$366,0)),0),0)</f>
        <v>0</v>
      </c>
      <c r="CY165" s="531">
        <f>IFERROR(IF(AND(CY$13&gt;($F165+$G$159),CY$13&lt;=Assumptions!$L$17),INDEX(DebtPerm!$G$9:$G$366,MATCH(CY$13,DebtPerm!$M$9:$M$366,0)),0),0)</f>
        <v>0</v>
      </c>
      <c r="CZ165" s="531">
        <f>IFERROR(IF(AND(CZ$13&gt;($F165+$G$159),CZ$13&lt;=Assumptions!$L$17),INDEX(DebtPerm!$G$9:$G$366,MATCH(CZ$13,DebtPerm!$M$9:$M$366,0)),0),0)</f>
        <v>0</v>
      </c>
      <c r="DA165" s="531">
        <f>IFERROR(IF(AND(DA$13&gt;($F165+$G$159),DA$13&lt;=Assumptions!$L$17),INDEX(DebtPerm!$G$9:$G$366,MATCH(DA$13,DebtPerm!$M$9:$M$366,0)),0),0)</f>
        <v>0</v>
      </c>
      <c r="DB165" s="531">
        <f>IFERROR(IF(AND(DB$13&gt;($F165+$G$159),DB$13&lt;=Assumptions!$L$17),INDEX(DebtPerm!$G$9:$G$366,MATCH(DB$13,DebtPerm!$M$9:$M$366,0)),0),0)</f>
        <v>0</v>
      </c>
      <c r="DC165" s="531">
        <f>IFERROR(IF(AND(DC$13&gt;($F165+$G$159),DC$13&lt;=Assumptions!$L$17),INDEX(DebtPerm!$G$9:$G$366,MATCH(DC$13,DebtPerm!$M$9:$M$366,0)),0),0)</f>
        <v>0</v>
      </c>
      <c r="DD165" s="531">
        <f>IFERROR(IF(AND(DD$13&gt;($F165+$G$159),DD$13&lt;=Assumptions!$L$17),INDEX(DebtPerm!$G$9:$G$366,MATCH(DD$13,DebtPerm!$M$9:$M$366,0)),0),0)</f>
        <v>0</v>
      </c>
      <c r="DE165" s="531">
        <f>IFERROR(IF(AND(DE$13&gt;($F165+$G$159),DE$13&lt;=Assumptions!$L$17),INDEX(DebtPerm!$G$9:$G$366,MATCH(DE$13,DebtPerm!$M$9:$M$366,0)),0),0)</f>
        <v>0</v>
      </c>
      <c r="DF165" s="531">
        <f>IFERROR(IF(AND(DF$13&gt;($F165+$G$159),DF$13&lt;=Assumptions!$L$17),INDEX(DebtPerm!$G$9:$G$366,MATCH(DF$13,DebtPerm!$M$9:$M$366,0)),0),0)</f>
        <v>0</v>
      </c>
      <c r="DG165" s="531">
        <f>IFERROR(IF(AND(DG$13&gt;($F165+$G$159),DG$13&lt;=Assumptions!$L$17),INDEX(DebtPerm!$G$9:$G$366,MATCH(DG$13,DebtPerm!$M$9:$M$366,0)),0),0)</f>
        <v>0</v>
      </c>
      <c r="DH165" s="531">
        <f>IFERROR(IF(AND(DH$13&gt;($F165+$G$159),DH$13&lt;=Assumptions!$L$17),INDEX(DebtPerm!$G$9:$G$366,MATCH(DH$13,DebtPerm!$M$9:$M$366,0)),0),0)</f>
        <v>0</v>
      </c>
      <c r="DI165" s="531">
        <f>IFERROR(IF(AND(DI$13&gt;($F165+$G$159),DI$13&lt;=Assumptions!$L$17),INDEX(DebtPerm!$G$9:$G$366,MATCH(DI$13,DebtPerm!$M$9:$M$366,0)),0),0)</f>
        <v>0</v>
      </c>
      <c r="DJ165" s="531">
        <f>IFERROR(IF(AND(DJ$13&gt;($F165+$G$159),DJ$13&lt;=Assumptions!$L$17),INDEX(DebtPerm!$G$9:$G$366,MATCH(DJ$13,DebtPerm!$M$9:$M$366,0)),0),0)</f>
        <v>0</v>
      </c>
      <c r="DK165" s="531">
        <f>IFERROR(IF(AND(DK$13&gt;($F165+$G$159),DK$13&lt;=Assumptions!$L$17),INDEX(DebtPerm!$G$9:$G$366,MATCH(DK$13,DebtPerm!$M$9:$M$366,0)),0),0)</f>
        <v>0</v>
      </c>
      <c r="DL165" s="531">
        <f>IFERROR(IF(AND(DL$13&gt;($F165+$G$159),DL$13&lt;=Assumptions!$L$17),INDEX(DebtPerm!$G$9:$G$366,MATCH(DL$13,DebtPerm!$M$9:$M$366,0)),0),0)</f>
        <v>0</v>
      </c>
      <c r="DM165" s="531">
        <f>IFERROR(IF(AND(DM$13&gt;($F165+$G$159),DM$13&lt;=Assumptions!$L$17),INDEX(DebtPerm!$G$9:$G$366,MATCH(DM$13,DebtPerm!$M$9:$M$366,0)),0),0)</f>
        <v>0</v>
      </c>
      <c r="DN165" s="531">
        <f>IFERROR(IF(AND(DN$13&gt;($F165+$G$159),DN$13&lt;=Assumptions!$L$17),INDEX(DebtPerm!$G$9:$G$366,MATCH(DN$13,DebtPerm!$M$9:$M$366,0)),0),0)</f>
        <v>0</v>
      </c>
      <c r="DO165" s="531">
        <f>IFERROR(IF(AND(DO$13&gt;($F165+$G$159),DO$13&lt;=Assumptions!$L$17),INDEX(DebtPerm!$G$9:$G$366,MATCH(DO$13,DebtPerm!$M$9:$M$366,0)),0),0)</f>
        <v>0</v>
      </c>
      <c r="DP165" s="531">
        <f>IFERROR(IF(AND(DP$13&gt;($F165+$G$159),DP$13&lt;=Assumptions!$L$17),INDEX(DebtPerm!$G$9:$G$366,MATCH(DP$13,DebtPerm!$M$9:$M$366,0)),0),0)</f>
        <v>0</v>
      </c>
      <c r="DQ165" s="531">
        <f>IFERROR(IF(AND(DQ$13&gt;($F165+$G$159),DQ$13&lt;=Assumptions!$L$17),INDEX(DebtPerm!$G$9:$G$366,MATCH(DQ$13,DebtPerm!$M$9:$M$366,0)),0),0)</f>
        <v>0</v>
      </c>
      <c r="DR165" s="531">
        <f>IFERROR(IF(AND(DR$13&gt;($F165+$G$159),DR$13&lt;=Assumptions!$L$17),INDEX(DebtPerm!$G$9:$G$366,MATCH(DR$13,DebtPerm!$M$9:$M$366,0)),0),0)</f>
        <v>0</v>
      </c>
      <c r="DS165" s="531">
        <f>IFERROR(IF(AND(DS$13&gt;($F165+$G$159),DS$13&lt;=Assumptions!$L$17),INDEX(DebtPerm!$G$9:$G$366,MATCH(DS$13,DebtPerm!$M$9:$M$366,0)),0),0)</f>
        <v>0</v>
      </c>
      <c r="DT165" s="531">
        <f>IFERROR(IF(AND(DT$13&gt;($F165+$G$159),DT$13&lt;=Assumptions!$L$17),INDEX(DebtPerm!$G$9:$G$366,MATCH(DT$13,DebtPerm!$M$9:$M$366,0)),0),0)</f>
        <v>0</v>
      </c>
      <c r="DU165" s="531">
        <f>IFERROR(IF(AND(DU$13&gt;($F165+$G$159),DU$13&lt;=Assumptions!$L$17),INDEX(DebtPerm!$G$9:$G$366,MATCH(DU$13,DebtPerm!$M$9:$M$366,0)),0),0)</f>
        <v>0</v>
      </c>
      <c r="DV165" s="531">
        <f>IFERROR(IF(AND(DV$13&gt;($F165+$G$159),DV$13&lt;=Assumptions!$L$17),INDEX(DebtPerm!$G$9:$G$366,MATCH(DV$13,DebtPerm!$M$9:$M$366,0)),0),0)</f>
        <v>0</v>
      </c>
      <c r="DW165" s="531">
        <f>IFERROR(IF(AND(DW$13&gt;($F165+$G$159),DW$13&lt;=Assumptions!$L$17),INDEX(DebtPerm!$G$9:$G$366,MATCH(DW$13,DebtPerm!$M$9:$M$366,0)),0),0)</f>
        <v>0</v>
      </c>
      <c r="DX165" s="531">
        <f>IFERROR(IF(AND(DX$13&gt;($F165+$G$159),DX$13&lt;=Assumptions!$L$17),INDEX(DebtPerm!$G$9:$G$366,MATCH(DX$13,DebtPerm!$M$9:$M$366,0)),0),0)</f>
        <v>0</v>
      </c>
      <c r="DY165" s="531">
        <f>IFERROR(IF(AND(DY$13&gt;($F165+$G$159),DY$13&lt;=Assumptions!$L$17),INDEX(DebtPerm!$G$9:$G$366,MATCH(DY$13,DebtPerm!$M$9:$M$366,0)),0),0)</f>
        <v>0</v>
      </c>
      <c r="DZ165" s="531">
        <f>IFERROR(IF(AND(DZ$13&gt;($F165+$G$159),DZ$13&lt;=Assumptions!$L$17),INDEX(DebtPerm!$G$9:$G$366,MATCH(DZ$13,DebtPerm!$M$9:$M$366,0)),0),0)</f>
        <v>0</v>
      </c>
      <c r="EA165" s="531">
        <f>IFERROR(IF(AND(EA$13&gt;($F165+$G$159),EA$13&lt;=Assumptions!$L$17),INDEX(DebtPerm!$G$9:$G$366,MATCH(EA$13,DebtPerm!$M$9:$M$366,0)),0),0)</f>
        <v>0</v>
      </c>
      <c r="EB165" s="531">
        <f>IFERROR(IF(AND(EB$13&gt;($F165+$G$159),EB$13&lt;=Assumptions!$L$17),INDEX(DebtPerm!$G$9:$G$366,MATCH(EB$13,DebtPerm!$M$9:$M$366,0)),0),0)</f>
        <v>0</v>
      </c>
      <c r="EC165" s="531">
        <f>IFERROR(IF(AND(EC$13&gt;($F165+$G$159),EC$13&lt;=Assumptions!$L$17),INDEX(DebtPerm!$G$9:$G$366,MATCH(EC$13,DebtPerm!$M$9:$M$366,0)),0),0)</f>
        <v>0</v>
      </c>
      <c r="ED165" s="531">
        <f>IFERROR(IF(AND(ED$13&gt;($F165+$G$159),ED$13&lt;=Assumptions!$L$17),INDEX(DebtPerm!$G$9:$G$366,MATCH(ED$13,DebtPerm!$M$9:$M$366,0)),0),0)</f>
        <v>0</v>
      </c>
      <c r="EE165" s="531">
        <f>IFERROR(IF(AND(EE$13&gt;($F165+$G$159),EE$13&lt;=Assumptions!$L$17),INDEX(DebtPerm!$G$9:$G$366,MATCH(EE$13,DebtPerm!$M$9:$M$366,0)),0),0)</f>
        <v>0</v>
      </c>
      <c r="EF165" s="531">
        <f>IFERROR(IF(AND(EF$13&gt;($F165+$G$159),EF$13&lt;=Assumptions!$L$17),INDEX(DebtPerm!$G$9:$G$366,MATCH(EF$13,DebtPerm!$M$9:$M$366,0)),0),0)</f>
        <v>0</v>
      </c>
      <c r="EG165" s="531">
        <f>IFERROR(IF(AND(EG$13&gt;($F165+$G$159),EG$13&lt;=Assumptions!$L$17),INDEX(DebtPerm!$G$9:$G$366,MATCH(EG$13,DebtPerm!$M$9:$M$366,0)),0),0)</f>
        <v>0</v>
      </c>
      <c r="EH165" s="531">
        <f>IFERROR(IF(AND(EH$13&gt;($F165+$G$159),EH$13&lt;=Assumptions!$L$17),INDEX(DebtPerm!$G$9:$G$366,MATCH(EH$13,DebtPerm!$M$9:$M$366,0)),0),0)</f>
        <v>0</v>
      </c>
      <c r="EI165" s="531">
        <f>IFERROR(IF(AND(EI$13&gt;($F165+$G$159),EI$13&lt;=Assumptions!$L$17),INDEX(DebtPerm!$G$9:$G$366,MATCH(EI$13,DebtPerm!$M$9:$M$366,0)),0),0)</f>
        <v>0</v>
      </c>
      <c r="EJ165" s="531">
        <f>IFERROR(IF(AND(EJ$13&gt;($F165+$G$159),EJ$13&lt;=Assumptions!$L$17),INDEX(DebtPerm!$G$9:$G$366,MATCH(EJ$13,DebtPerm!$M$9:$M$366,0)),0),0)</f>
        <v>0</v>
      </c>
      <c r="EK165" s="531">
        <f>IFERROR(IF(AND(EK$13&gt;($F165+$G$159),EK$13&lt;=Assumptions!$L$17),INDEX(DebtPerm!$G$9:$G$366,MATCH(EK$13,DebtPerm!$M$9:$M$366,0)),0),0)</f>
        <v>0</v>
      </c>
      <c r="EL165" s="531">
        <f>IFERROR(IF(AND(EL$13&gt;($F165+$G$159),EL$13&lt;=Assumptions!$L$17),INDEX(DebtPerm!$G$9:$G$366,MATCH(EL$13,DebtPerm!$M$9:$M$366,0)),0),0)</f>
        <v>0</v>
      </c>
      <c r="EM165" s="531">
        <f>IFERROR(IF(AND(EM$13&gt;($F165+$G$159),EM$13&lt;=Assumptions!$L$17),INDEX(DebtPerm!$G$9:$G$366,MATCH(EM$13,DebtPerm!$M$9:$M$366,0)),0),0)</f>
        <v>0</v>
      </c>
      <c r="EN165" s="531">
        <f>IFERROR(IF(AND(EN$13&gt;($F165+$G$159),EN$13&lt;=Assumptions!$L$17),INDEX(DebtPerm!$G$9:$G$366,MATCH(EN$13,DebtPerm!$M$9:$M$366,0)),0),0)</f>
        <v>0</v>
      </c>
      <c r="EO165" s="531">
        <f>IFERROR(IF(AND(EO$13&gt;($F165+$G$159),EO$13&lt;=Assumptions!$L$17),INDEX(DebtPerm!$G$9:$G$366,MATCH(EO$13,DebtPerm!$M$9:$M$366,0)),0),0)</f>
        <v>0</v>
      </c>
      <c r="EP165" s="531">
        <f>IFERROR(IF(AND(EP$13&gt;($F165+$G$159),EP$13&lt;=Assumptions!$L$17),INDEX(DebtPerm!$G$9:$G$366,MATCH(EP$13,DebtPerm!$M$9:$M$366,0)),0),0)</f>
        <v>0</v>
      </c>
      <c r="EQ165" s="531">
        <f>IFERROR(IF(AND(EQ$13&gt;($F165+$G$159),EQ$13&lt;=Assumptions!$L$17),INDEX(DebtPerm!$G$9:$G$366,MATCH(EQ$13,DebtPerm!$M$9:$M$366,0)),0),0)</f>
        <v>0</v>
      </c>
      <c r="ER165" s="531">
        <f>IFERROR(IF(AND(ER$13&gt;($F165+$G$159),ER$13&lt;=Assumptions!$L$17),INDEX(DebtPerm!$G$9:$G$366,MATCH(ER$13,DebtPerm!$M$9:$M$366,0)),0),0)</f>
        <v>0</v>
      </c>
      <c r="ES165" s="531">
        <f>IFERROR(IF(AND(ES$13&gt;($F165+$G$159),ES$13&lt;=Assumptions!$L$17),INDEX(DebtPerm!$G$9:$G$366,MATCH(ES$13,DebtPerm!$M$9:$M$366,0)),0),0)</f>
        <v>0</v>
      </c>
      <c r="ET165" s="531">
        <f>IFERROR(IF(AND(ET$13&gt;($F165+$G$159),ET$13&lt;=Assumptions!$L$17),INDEX(DebtPerm!$G$9:$G$366,MATCH(ET$13,DebtPerm!$M$9:$M$366,0)),0),0)</f>
        <v>0</v>
      </c>
      <c r="EU165" s="531">
        <f>IFERROR(IF(AND(EU$13&gt;($F165+$G$159),EU$13&lt;=Assumptions!$L$17),INDEX(DebtPerm!$G$9:$G$366,MATCH(EU$13,DebtPerm!$M$9:$M$366,0)),0),0)</f>
        <v>0</v>
      </c>
      <c r="EV165" s="531">
        <f>IFERROR(IF(AND(EV$13&gt;($F165+$G$159),EV$13&lt;=Assumptions!$L$17),INDEX(DebtPerm!$G$9:$G$366,MATCH(EV$13,DebtPerm!$M$9:$M$366,0)),0),0)</f>
        <v>0</v>
      </c>
      <c r="EW165" s="531">
        <f>IFERROR(IF(AND(EW$13&gt;($F165+$G$159),EW$13&lt;=Assumptions!$L$17),INDEX(DebtPerm!$G$9:$G$366,MATCH(EW$13,DebtPerm!$M$9:$M$366,0)),0),0)</f>
        <v>0</v>
      </c>
      <c r="EX165" s="531">
        <f>IFERROR(IF(AND(EX$13&gt;($F165+$G$159),EX$13&lt;=Assumptions!$L$17),INDEX(DebtPerm!$G$9:$G$366,MATCH(EX$13,DebtPerm!$M$9:$M$366,0)),0),0)</f>
        <v>0</v>
      </c>
      <c r="EY165" s="531">
        <f>IFERROR(IF(AND(EY$13&gt;($F165+$G$159),EY$13&lt;=Assumptions!$L$17),INDEX(DebtPerm!$G$9:$G$366,MATCH(EY$13,DebtPerm!$M$9:$M$366,0)),0),0)</f>
        <v>0</v>
      </c>
      <c r="EZ165" s="531">
        <f>IFERROR(IF(AND(EZ$13&gt;($F165+$G$159),EZ$13&lt;=Assumptions!$L$17),INDEX(DebtPerm!$G$9:$G$366,MATCH(EZ$13,DebtPerm!$M$9:$M$366,0)),0),0)</f>
        <v>0</v>
      </c>
      <c r="FA165" s="531">
        <f>IFERROR(IF(AND(FA$13&gt;($F165+$G$159),FA$13&lt;=Assumptions!$L$17),INDEX(DebtPerm!$G$9:$G$366,MATCH(FA$13,DebtPerm!$M$9:$M$366,0)),0),0)</f>
        <v>0</v>
      </c>
      <c r="FB165" s="531">
        <f>IFERROR(IF(AND(FB$13&gt;($F165+$G$159),FB$13&lt;=Assumptions!$L$17),INDEX(DebtPerm!$G$9:$G$366,MATCH(FB$13,DebtPerm!$M$9:$M$366,0)),0),0)</f>
        <v>0</v>
      </c>
      <c r="FC165" s="531">
        <f>IFERROR(IF(AND(FC$13&gt;($F165+$G$159),FC$13&lt;=Assumptions!$L$17),INDEX(DebtPerm!$G$9:$G$366,MATCH(FC$13,DebtPerm!$M$9:$M$366,0)),0),0)</f>
        <v>0</v>
      </c>
      <c r="FD165" s="531">
        <f>IFERROR(IF(AND(FD$13&gt;($F165+$G$159),FD$13&lt;=Assumptions!$L$17),INDEX(DebtPerm!$G$9:$G$366,MATCH(FD$13,DebtPerm!$M$9:$M$366,0)),0),0)</f>
        <v>0</v>
      </c>
      <c r="FE165" s="531">
        <f>IFERROR(IF(AND(FE$13&gt;($F165+$G$159),FE$13&lt;=Assumptions!$L$17),INDEX(DebtPerm!$G$9:$G$366,MATCH(FE$13,DebtPerm!$M$9:$M$366,0)),0),0)</f>
        <v>0</v>
      </c>
      <c r="FF165" s="531">
        <f>IFERROR(IF(AND(FF$13&gt;($F165+$G$159),FF$13&lt;=Assumptions!$L$17),INDEX(DebtPerm!$G$9:$G$366,MATCH(FF$13,DebtPerm!$M$9:$M$366,0)),0),0)</f>
        <v>0</v>
      </c>
      <c r="FG165" s="531">
        <f>IFERROR(IF(AND(FG$13&gt;($F165+$G$159),FG$13&lt;=Assumptions!$L$17),INDEX(DebtPerm!$G$9:$G$366,MATCH(FG$13,DebtPerm!$M$9:$M$366,0)),0),0)</f>
        <v>0</v>
      </c>
      <c r="FH165" s="531">
        <f>IFERROR(IF(AND(FH$13&gt;($F165+$G$159),FH$13&lt;=Assumptions!$L$17),INDEX(DebtPerm!$G$9:$G$366,MATCH(FH$13,DebtPerm!$M$9:$M$366,0)),0),0)</f>
        <v>0</v>
      </c>
      <c r="FI165" s="531">
        <f>IFERROR(IF(AND(FI$13&gt;($F165+$G$159),FI$13&lt;=Assumptions!$L$17),INDEX(DebtPerm!$G$9:$G$366,MATCH(FI$13,DebtPerm!$M$9:$M$366,0)),0),0)</f>
        <v>0</v>
      </c>
      <c r="FJ165" s="531">
        <f>IFERROR(IF(AND(FJ$13&gt;($F165+$G$159),FJ$13&lt;=Assumptions!$L$17),INDEX(DebtPerm!$G$9:$G$366,MATCH(FJ$13,DebtPerm!$M$9:$M$366,0)),0),0)</f>
        <v>0</v>
      </c>
      <c r="FK165" s="531">
        <f>IFERROR(IF(AND(FK$13&gt;($F165+$G$159),FK$13&lt;=Assumptions!$L$17),INDEX(DebtPerm!$G$9:$G$366,MATCH(FK$13,DebtPerm!$M$9:$M$366,0)),0),0)</f>
        <v>0</v>
      </c>
      <c r="FL165" s="531">
        <f>IFERROR(IF(AND(FL$13&gt;($F165+$G$159),FL$13&lt;=Assumptions!$L$17),INDEX(DebtPerm!$G$9:$G$366,MATCH(FL$13,DebtPerm!$M$9:$M$366,0)),0),0)</f>
        <v>0</v>
      </c>
      <c r="FM165" s="531">
        <f>IFERROR(IF(AND(FM$13&gt;($F165+$G$159),FM$13&lt;=Assumptions!$L$17),INDEX(DebtPerm!$G$9:$G$366,MATCH(FM$13,DebtPerm!$M$9:$M$366,0)),0),0)</f>
        <v>0</v>
      </c>
      <c r="FN165" s="531">
        <f>IFERROR(IF(AND(FN$13&gt;($F165+$G$159),FN$13&lt;=Assumptions!$L$17),INDEX(DebtPerm!$G$9:$G$366,MATCH(FN$13,DebtPerm!$M$9:$M$366,0)),0),0)</f>
        <v>0</v>
      </c>
      <c r="FO165" s="531">
        <f>IFERROR(IF(AND(FO$13&gt;($F165+$G$159),FO$13&lt;=Assumptions!$L$17),INDEX(DebtPerm!$G$9:$G$366,MATCH(FO$13,DebtPerm!$M$9:$M$366,0)),0),0)</f>
        <v>0</v>
      </c>
      <c r="FP165" s="531">
        <f>IFERROR(IF(AND(FP$13&gt;($F165+$G$159),FP$13&lt;=Assumptions!$L$17),INDEX(DebtPerm!$G$9:$G$366,MATCH(FP$13,DebtPerm!$M$9:$M$366,0)),0),0)</f>
        <v>0</v>
      </c>
      <c r="FQ165" s="531">
        <f>IFERROR(IF(AND(FQ$13&gt;($F165+$G$159),FQ$13&lt;=Assumptions!$L$17),INDEX(DebtPerm!$G$9:$G$366,MATCH(FQ$13,DebtPerm!$M$9:$M$366,0)),0),0)</f>
        <v>0</v>
      </c>
      <c r="FR165" s="531">
        <f>IFERROR(IF(AND(FR$13&gt;($F165+$G$159),FR$13&lt;=Assumptions!$L$17),INDEX(DebtPerm!$G$9:$G$366,MATCH(FR$13,DebtPerm!$M$9:$M$366,0)),0),0)</f>
        <v>0</v>
      </c>
      <c r="FS165" s="531">
        <f>IFERROR(IF(AND(FS$13&gt;($F165+$G$159),FS$13&lt;=Assumptions!$L$17),INDEX(DebtPerm!$G$9:$G$366,MATCH(FS$13,DebtPerm!$M$9:$M$366,0)),0),0)</f>
        <v>0</v>
      </c>
      <c r="FT165" s="531">
        <f>IFERROR(IF(AND(FT$13&gt;($F165+$G$159),FT$13&lt;=Assumptions!$L$17),INDEX(DebtPerm!$G$9:$G$366,MATCH(FT$13,DebtPerm!$M$9:$M$366,0)),0),0)</f>
        <v>0</v>
      </c>
      <c r="FU165" s="531">
        <f>IFERROR(IF(AND(FU$13&gt;($F165+$G$159),FU$13&lt;=Assumptions!$L$17),INDEX(DebtPerm!$G$9:$G$366,MATCH(FU$13,DebtPerm!$M$9:$M$366,0)),0),0)</f>
        <v>0</v>
      </c>
      <c r="FV165" s="531">
        <f>IFERROR(IF(AND(FV$13&gt;($F165+$G$159),FV$13&lt;=Assumptions!$L$17),INDEX(DebtPerm!$G$9:$G$366,MATCH(FV$13,DebtPerm!$M$9:$M$366,0)),0),0)</f>
        <v>0</v>
      </c>
      <c r="FW165" s="531">
        <f>IFERROR(IF(AND(FW$13&gt;($F165+$G$159),FW$13&lt;=Assumptions!$L$17),INDEX(DebtPerm!$G$9:$G$366,MATCH(FW$13,DebtPerm!$M$9:$M$366,0)),0),0)</f>
        <v>0</v>
      </c>
      <c r="FX165" s="531">
        <f>IFERROR(IF(AND(FX$13&gt;($F165+$G$159),FX$13&lt;=Assumptions!$L$17),INDEX(DebtPerm!$G$9:$G$366,MATCH(FX$13,DebtPerm!$M$9:$M$366,0)),0),0)</f>
        <v>0</v>
      </c>
      <c r="FY165" s="531">
        <f>IFERROR(IF(AND(FY$13&gt;($F165+$G$159),FY$13&lt;=Assumptions!$L$17),INDEX(DebtPerm!$G$9:$G$366,MATCH(FY$13,DebtPerm!$M$9:$M$366,0)),0),0)</f>
        <v>0</v>
      </c>
      <c r="FZ165" s="531">
        <f>IFERROR(IF(AND(FZ$13&gt;($F165+$G$159),FZ$13&lt;=Assumptions!$L$17),INDEX(DebtPerm!$G$9:$G$366,MATCH(FZ$13,DebtPerm!$M$9:$M$366,0)),0),0)</f>
        <v>0</v>
      </c>
      <c r="GA165" s="531">
        <f>IFERROR(IF(AND(GA$13&gt;($F165+$G$159),GA$13&lt;=Assumptions!$L$17),INDEX(DebtPerm!$G$9:$G$366,MATCH(GA$13,DebtPerm!$M$9:$M$366,0)),0),0)</f>
        <v>0</v>
      </c>
      <c r="GB165" s="531">
        <f>IFERROR(IF(AND(GB$13&gt;($F165+$G$159),GB$13&lt;=Assumptions!$L$17),INDEX(DebtPerm!$G$9:$G$366,MATCH(GB$13,DebtPerm!$M$9:$M$366,0)),0),0)</f>
        <v>0</v>
      </c>
      <c r="GC165" s="531">
        <f>IFERROR(IF(AND(GC$13&gt;($F165+$G$159),GC$13&lt;=Assumptions!$L$17),INDEX(DebtPerm!$G$9:$G$366,MATCH(GC$13,DebtPerm!$M$9:$M$366,0)),0),0)</f>
        <v>0</v>
      </c>
      <c r="GD165" s="531"/>
      <c r="GE165" s="531"/>
      <c r="GF165" s="531"/>
      <c r="GG165" s="531"/>
      <c r="GH165" s="531"/>
      <c r="GI165" s="531"/>
      <c r="GJ165" s="531"/>
      <c r="GK165" s="531"/>
      <c r="GL165" s="531"/>
      <c r="GM165" s="531"/>
      <c r="GN165" s="531"/>
      <c r="GO165" s="531"/>
      <c r="GP165" s="531">
        <f>IFERROR(IF(AND(GP$13&gt;($F165+$G$159),GP$13&lt;=Assumptions!$L$17),INDEX(DebtPerm!$G$9:$G$366,MATCH(GP$13,DebtPerm!$M$9:$M$366,0)),0),0)</f>
        <v>0</v>
      </c>
      <c r="GQ165" s="531">
        <f>IFERROR(IF(AND(GQ$13&gt;($F165+$G$159),GQ$13&lt;=Assumptions!$L$17),INDEX(DebtPerm!$G$9:$G$366,MATCH(GQ$13,DebtPerm!$M$9:$M$366,0)),0),0)</f>
        <v>0</v>
      </c>
      <c r="GR165" s="531">
        <f>IFERROR(IF(AND(GR$13&gt;($F165+$G$159),GR$13&lt;=Assumptions!$L$17),INDEX(DebtPerm!$G$9:$G$366,MATCH(GR$13,DebtPerm!$M$9:$M$366,0)),0),0)</f>
        <v>0</v>
      </c>
      <c r="GS165" s="531">
        <f>IFERROR(IF(AND(GS$13&gt;($F165+$G$159),GS$13&lt;=Assumptions!$L$17),INDEX(DebtPerm!$G$9:$G$366,MATCH(GS$13,DebtPerm!$M$9:$M$366,0)),0),0)</f>
        <v>0</v>
      </c>
      <c r="GT165" s="531">
        <f>IFERROR(IF(AND(GT$13&gt;($F165+$G$159),GT$13&lt;=Assumptions!$L$17),INDEX(DebtPerm!$G$9:$G$366,MATCH(GT$13,DebtPerm!$M$9:$M$366,0)),0),0)</f>
        <v>0</v>
      </c>
      <c r="GU165" s="531"/>
      <c r="GV165" s="531"/>
      <c r="GW165" s="531"/>
      <c r="GX165" s="531"/>
      <c r="GY165" s="531"/>
      <c r="GZ165" s="531"/>
      <c r="HA165" s="531"/>
      <c r="HB165" s="531"/>
      <c r="HC165" s="531"/>
      <c r="HD165" s="531"/>
      <c r="HE165" s="531"/>
      <c r="HF165" s="1" t="s">
        <v>212</v>
      </c>
      <c r="HH165" s="13" t="str">
        <f t="shared" si="1059"/>
        <v>Amortization</v>
      </c>
      <c r="HI165" s="34"/>
      <c r="HJ165" s="34"/>
      <c r="HK165" s="34"/>
      <c r="HL165" s="132">
        <f t="shared" si="1123"/>
        <v>0</v>
      </c>
      <c r="HM165" s="18"/>
      <c r="HN165" s="133">
        <f t="shared" si="1124"/>
        <v>0</v>
      </c>
      <c r="HO165" s="26">
        <f t="shared" si="1124"/>
        <v>0</v>
      </c>
      <c r="HP165" s="26">
        <f t="shared" si="1124"/>
        <v>0</v>
      </c>
      <c r="HQ165" s="26">
        <f t="shared" si="1124"/>
        <v>0</v>
      </c>
      <c r="HR165" s="26">
        <f t="shared" si="1124"/>
        <v>0</v>
      </c>
      <c r="HS165" s="26">
        <f t="shared" si="1124"/>
        <v>0</v>
      </c>
      <c r="HT165" s="26">
        <f t="shared" si="1124"/>
        <v>0</v>
      </c>
      <c r="HU165" s="26">
        <f t="shared" si="1124"/>
        <v>0</v>
      </c>
      <c r="HV165" s="26">
        <f t="shared" si="1124"/>
        <v>0</v>
      </c>
      <c r="HW165"/>
    </row>
    <row r="166" spans="1:231" ht="15" outlineLevel="1">
      <c r="B166" s="1533" t="s">
        <v>89</v>
      </c>
      <c r="C166" s="13"/>
      <c r="I166" s="132">
        <f ca="1">SUMIF($K$13:$GT$13,"&lt;="&amp;Assumptions!$L$17,'Monthly Cash Flow'!K166:GT166)</f>
        <v>5431.113393638143</v>
      </c>
      <c r="K166" s="947">
        <v>0</v>
      </c>
      <c r="L166" s="1594">
        <v>0</v>
      </c>
      <c r="M166" s="1594">
        <v>0</v>
      </c>
      <c r="N166" s="1594">
        <v>0</v>
      </c>
      <c r="O166" s="1594">
        <v>0</v>
      </c>
      <c r="P166" s="1594">
        <v>0</v>
      </c>
      <c r="Q166" s="1594">
        <v>0</v>
      </c>
      <c r="R166" s="1594">
        <v>0</v>
      </c>
      <c r="S166" s="1594">
        <v>0</v>
      </c>
      <c r="T166" s="1594">
        <v>0</v>
      </c>
      <c r="U166" s="1594">
        <v>0</v>
      </c>
      <c r="V166" s="1594">
        <v>0</v>
      </c>
      <c r="W166" s="1594">
        <v>0</v>
      </c>
      <c r="X166" s="1594">
        <v>0</v>
      </c>
      <c r="Y166" s="1594">
        <v>0</v>
      </c>
      <c r="Z166" s="1594">
        <v>0</v>
      </c>
      <c r="AA166" s="1594">
        <v>0</v>
      </c>
      <c r="AB166" s="1594">
        <v>0</v>
      </c>
      <c r="AC166" s="1594">
        <v>0</v>
      </c>
      <c r="AD166" s="1594">
        <v>0</v>
      </c>
      <c r="AE166" s="1594">
        <v>0</v>
      </c>
      <c r="AF166" s="1594">
        <v>0</v>
      </c>
      <c r="AG166" s="1594">
        <v>0</v>
      </c>
      <c r="AH166" s="1594">
        <v>0</v>
      </c>
      <c r="AI166" s="1594">
        <v>0</v>
      </c>
      <c r="AJ166" s="1594">
        <v>0</v>
      </c>
      <c r="AK166" s="1594">
        <v>0</v>
      </c>
      <c r="AL166" s="1594">
        <v>0</v>
      </c>
      <c r="AM166" s="1594">
        <v>0</v>
      </c>
      <c r="AN166" s="1594">
        <v>0</v>
      </c>
      <c r="AO166" s="1594">
        <v>0</v>
      </c>
      <c r="AP166" s="1594">
        <v>0</v>
      </c>
      <c r="AQ166" s="1594">
        <v>0</v>
      </c>
      <c r="AR166" s="1594">
        <v>0</v>
      </c>
      <c r="AS166" s="1594">
        <v>0</v>
      </c>
      <c r="AT166" s="1594">
        <v>0</v>
      </c>
      <c r="AU166" s="1594">
        <v>0</v>
      </c>
      <c r="AV166" s="1594">
        <v>0</v>
      </c>
      <c r="AW166" s="1594">
        <v>0</v>
      </c>
      <c r="AX166" s="1594">
        <v>0</v>
      </c>
      <c r="AY166" s="1594">
        <v>0</v>
      </c>
      <c r="AZ166" s="1594">
        <v>0</v>
      </c>
      <c r="BA166" s="1594">
        <v>0</v>
      </c>
      <c r="BB166" s="1594">
        <v>0</v>
      </c>
      <c r="BC166" s="1594">
        <v>0</v>
      </c>
      <c r="BD166" s="1594">
        <v>0</v>
      </c>
      <c r="BE166" s="1594">
        <v>0</v>
      </c>
      <c r="BF166" s="1594">
        <v>0</v>
      </c>
      <c r="BG166" s="1594">
        <v>0</v>
      </c>
      <c r="BH166" s="1594">
        <v>0</v>
      </c>
      <c r="BI166" s="1594">
        <v>0</v>
      </c>
      <c r="BJ166" s="1594">
        <v>0</v>
      </c>
      <c r="BK166" s="1594">
        <v>0</v>
      </c>
      <c r="BL166" s="1594">
        <v>0</v>
      </c>
      <c r="BM166" s="1594">
        <v>0</v>
      </c>
      <c r="BN166" s="1594">
        <v>0</v>
      </c>
      <c r="BO166" s="1594">
        <v>0</v>
      </c>
      <c r="BP166" s="1594">
        <v>0</v>
      </c>
      <c r="BQ166" s="1594">
        <v>0</v>
      </c>
      <c r="BR166" s="1594">
        <v>0</v>
      </c>
      <c r="BS166" s="215">
        <f>IF(Assumptions!$E$1=0,0,IF(BS$13&gt;Assumptions!$L$20,0,BS160*'Monthly Cash Flow'!BS157*('Monthly Cash Flow'!BS$15-'Monthly Cash Flow'!BR$15)/360))</f>
        <v>0</v>
      </c>
      <c r="BT166" s="1595">
        <f>Historicals!BL25</f>
        <v>99.109529999999992</v>
      </c>
      <c r="BU166" s="1595">
        <f>Historicals!BM25</f>
        <v>99.109520000000003</v>
      </c>
      <c r="BV166" s="1595">
        <f>Historicals!BN25</f>
        <v>95.912440000000004</v>
      </c>
      <c r="BW166" s="1595">
        <f>Historicals!BO25</f>
        <v>99.10951</v>
      </c>
      <c r="BX166" s="1595">
        <f>Historicals!BP25</f>
        <v>96.316159999999996</v>
      </c>
      <c r="BY166" s="1595">
        <f>Historicals!BQ25</f>
        <v>100.07224000000001</v>
      </c>
      <c r="BZ166" s="1595">
        <f>Historicals!BR25</f>
        <v>100.07224000000001</v>
      </c>
      <c r="CA166" s="1595">
        <f>Historicals!BS25</f>
        <v>90.387830000000008</v>
      </c>
      <c r="CB166" s="1595">
        <f>Historicals!BT25</f>
        <v>101.28278999999999</v>
      </c>
      <c r="CC166" s="1595">
        <f>Historicals!BU25</f>
        <v>100.18088</v>
      </c>
      <c r="CD166" s="1595">
        <f>Historicals!BV25</f>
        <v>110.84980999999999</v>
      </c>
      <c r="CE166" s="1595">
        <f>Historicals!BW25</f>
        <v>108.56345</v>
      </c>
      <c r="CF166" s="1595">
        <f>Historicals!BX25</f>
        <v>133.17430999999999</v>
      </c>
      <c r="CG166" s="1595">
        <f>Historicals!BY25</f>
        <v>141.79045000000002</v>
      </c>
      <c r="CH166" s="1595">
        <f>Historicals!BZ25</f>
        <v>112.83533</v>
      </c>
      <c r="CI166" s="215">
        <f ca="1">IF(Assumptions!$E$1=0,0,IF(CI$13&gt;Assumptions!$L$20,0,CI160*'Monthly Cash Flow'!CI157*('Monthly Cash Flow'!CI$15-'Monthly Cash Flow'!CH$15)/360))</f>
        <v>103.28730200935985</v>
      </c>
      <c r="CJ166" s="215">
        <f ca="1">IF(Assumptions!$E$1=0,0,IF(CJ$13&gt;Assumptions!$L$20,0,CJ160*'Monthly Cash Flow'!CJ157*('Monthly Cash Flow'!CJ$15-'Monthly Cash Flow'!CI$15)/360))</f>
        <v>121.23113973333334</v>
      </c>
      <c r="CK166" s="215">
        <f ca="1">IF(Assumptions!$E$1=0,0,IF(CK$13&gt;Assumptions!$L$20,0,CK160*'Monthly Cash Flow'!CK157*('Monthly Cash Flow'!CK$15-'Monthly Cash Flow'!CJ$15)/360))</f>
        <v>125.27217772444443</v>
      </c>
      <c r="CL166" s="215">
        <f ca="1">IF(Assumptions!$E$1=0,0,IF(CL$13&gt;Assumptions!$L$20,0,CL160*'Monthly Cash Flow'!CL157*('Monthly Cash Flow'!CL$15-'Monthly Cash Flow'!CK$15)/360))</f>
        <v>125.27217772444443</v>
      </c>
      <c r="CM166" s="215">
        <f ca="1">IF(Assumptions!$E$1=0,0,IF(CM$13&gt;Assumptions!$L$20,0,CM160*'Monthly Cash Flow'!CM157*('Monthly Cash Flow'!CM$15-'Monthly Cash Flow'!CL$15)/360))</f>
        <v>113.14906375111111</v>
      </c>
      <c r="CN166" s="215">
        <f ca="1">IF(Assumptions!$E$1=0,0,IF(CN$13&gt;Assumptions!$L$20,0,CN160*'Monthly Cash Flow'!CN157*('Monthly Cash Flow'!CN$15-'Monthly Cash Flow'!CM$15)/360))</f>
        <v>125.64866096959435</v>
      </c>
      <c r="CO166" s="215">
        <f ca="1">IF(Assumptions!$E$1=0,0,IF(CO$13&gt;Assumptions!$L$20,0,CO160*'Monthly Cash Flow'!CO157*('Monthly Cash Flow'!CO$15-'Monthly Cash Flow'!CN$15)/360))</f>
        <v>121.95981698201059</v>
      </c>
      <c r="CP166" s="215">
        <f ca="1">IF(Assumptions!$E$1=0,0,IF(CP$13&gt;Assumptions!$L$20,0,CP160*'Monthly Cash Flow'!CP157*('Monthly Cash Flow'!CP$15-'Monthly Cash Flow'!CO$15)/360))</f>
        <v>126.40162745989417</v>
      </c>
      <c r="CQ166" s="215">
        <f ca="1">IF(Assumptions!$E$1=0,0,IF(CQ$13&gt;Assumptions!$L$20,0,CQ160*'Monthly Cash Flow'!CQ157*('Monthly Cash Flow'!CQ$15-'Monthly Cash Flow'!CP$15)/360))</f>
        <v>123.1840088973545</v>
      </c>
      <c r="CR166" s="215">
        <f ca="1">IF(Assumptions!$E$1=0,0,IF(CR$13&gt;Assumptions!$L$20,0,CR160*'Monthly Cash Flow'!CR157*('Monthly Cash Flow'!CR$15-'Monthly Cash Flow'!CQ$15)/360))</f>
        <v>147.57470966046733</v>
      </c>
      <c r="CS166" s="215">
        <f ca="1">IF(Assumptions!$E$1=0,0,IF(CS$13&gt;Assumptions!$L$20,0,CS160*'Monthly Cash Flow'!CS157*('Monthly Cash Flow'!CS$15-'Monthly Cash Flow'!CR$15)/360))</f>
        <v>147.97019202378303</v>
      </c>
      <c r="CT166" s="215">
        <f ca="1">IF(Assumptions!$E$1=0,0,IF(CT$13&gt;Assumptions!$L$20,0,CT160*'Monthly Cash Flow'!CT157*('Monthly Cash Flow'!CT$15-'Monthly Cash Flow'!CS$15)/360))</f>
        <v>144.65023055740738</v>
      </c>
      <c r="CU166" s="215">
        <f ca="1">IF(Assumptions!$E$1=0,0,IF(CU$13&gt;Assumptions!$L$20,0,CU160*'Monthly Cash Flow'!CU157*('Monthly Cash Flow'!CU$15-'Monthly Cash Flow'!CT$15)/360))</f>
        <v>151.36256731549378</v>
      </c>
      <c r="CV166" s="215">
        <f ca="1">IF(Assumptions!$E$1=0,0,IF(CV$13&gt;Assumptions!$L$20,0,CV160*'Monthly Cash Flow'!CV157*('Monthly Cash Flow'!CV$15-'Monthly Cash Flow'!CU$15)/360))</f>
        <v>146.65120014999997</v>
      </c>
      <c r="CW166" s="215">
        <f ca="1">IF(Assumptions!$E$1=0,0,IF(CW$13&gt;Assumptions!$L$20,0,CW160*'Monthly Cash Flow'!CW157*('Monthly Cash Flow'!CW$15-'Monthly Cash Flow'!CV$15)/360))</f>
        <v>151.5395734883333</v>
      </c>
      <c r="CX166" s="215">
        <f ca="1">IF(Assumptions!$E$1=0,0,IF(CX$13&gt;Assumptions!$L$20,0,CX160*'Monthly Cash Flow'!CX157*('Monthly Cash Flow'!CX$15-'Monthly Cash Flow'!CW$15)/360))</f>
        <v>151.5395734883333</v>
      </c>
      <c r="CY166" s="215">
        <f ca="1">IF(Assumptions!$E$1=0,0,IF(CY$13&gt;Assumptions!$L$20,0,CY160*'Monthly Cash Flow'!CY157*('Monthly Cash Flow'!CY$15-'Monthly Cash Flow'!CX$15)/360))</f>
        <v>141.76282681166663</v>
      </c>
      <c r="CZ166" s="215">
        <f ca="1">IF(Assumptions!$E$1=0,0,IF(CZ$13&gt;Assumptions!$L$20,0,CZ160*'Monthly Cash Flow'!CZ157*('Monthly Cash Flow'!CZ$15-'Monthly Cash Flow'!CY$15)/360))</f>
        <v>152.65547067166662</v>
      </c>
      <c r="DA166" s="215">
        <f ca="1">IF(Assumptions!$E$1=0,0,IF(DA$13&gt;Assumptions!$L$20,0,DA160*'Monthly Cash Flow'!DA157*('Monthly Cash Flow'!DA$15-'Monthly Cash Flow'!CZ$15)/360))</f>
        <v>147.73110064999995</v>
      </c>
      <c r="DB166" s="215">
        <f ca="1">IF(Assumptions!$E$1=0,0,IF(DB$13&gt;Assumptions!$L$20,0,DB160*'Monthly Cash Flow'!DB157*('Monthly Cash Flow'!DB$15-'Monthly Cash Flow'!DA$15)/360))</f>
        <v>153.63753844388884</v>
      </c>
      <c r="DC166" s="215">
        <f ca="1">IF(Assumptions!$E$1=0,0,IF(DC$13&gt;Assumptions!$L$20,0,DC160*'Monthly Cash Flow'!DC157*('Monthly Cash Flow'!DC$15-'Monthly Cash Flow'!DB$15)/360))</f>
        <v>155.96828731666662</v>
      </c>
      <c r="DD166" s="215">
        <f ca="1">IF(Assumptions!$E$1=0,0,IF(DD$13&gt;Assumptions!$L$20,0,DD160*'Monthly Cash Flow'!DD157*('Monthly Cash Flow'!DD$15-'Monthly Cash Flow'!DC$15)/360))</f>
        <v>162.39580104388884</v>
      </c>
      <c r="DE166" s="215">
        <f ca="1">IF(Assumptions!$E$1=0,0,IF(DE$13&gt;Assumptions!$L$20,0,DE160*'Monthly Cash Flow'!DE157*('Monthly Cash Flow'!DE$15-'Monthly Cash Flow'!DD$15)/360))</f>
        <v>162.39580104388884</v>
      </c>
      <c r="DF166" s="215">
        <f ca="1">IF(Assumptions!$E$1=0,0,IF(DF$13&gt;Assumptions!$L$20,0,DF160*'Monthly Cash Flow'!DF157*('Monthly Cash Flow'!DF$15-'Monthly Cash Flow'!DE$15)/360))</f>
        <v>157.15722681666662</v>
      </c>
      <c r="DG166" s="215">
        <f ca="1">IF(Assumptions!$E$1=0,0,IF(DG$13&gt;Assumptions!$L$20,0,DG160*'Monthly Cash Flow'!DG157*('Monthly Cash Flow'!DG$15-'Monthly Cash Flow'!DF$15)/360))</f>
        <v>162.39580104388884</v>
      </c>
      <c r="DH166" s="215">
        <f ca="1">IF(Assumptions!$E$1=0,0,IF(DH$13&gt;Assumptions!$L$20,0,DH160*'Monthly Cash Flow'!DH157*('Monthly Cash Flow'!DH$15-'Monthly Cash Flow'!DG$15)/360))</f>
        <v>157.15722681666662</v>
      </c>
      <c r="DI166" s="215">
        <f ca="1">IF(Assumptions!$E$1=0,0,IF(DI$13&gt;Assumptions!$L$20,0,DI160*'Monthly Cash Flow'!DI157*('Monthly Cash Flow'!DI$15-'Monthly Cash Flow'!DH$15)/360))</f>
        <v>162.39580104388884</v>
      </c>
      <c r="DJ166" s="215">
        <f>IF(Assumptions!$E$1=0,0,IF(DJ$13&gt;Assumptions!$L$20,0,DJ160*'Monthly Cash Flow'!DJ157*('Monthly Cash Flow'!DJ$15-'Monthly Cash Flow'!DI$15)/360))</f>
        <v>0</v>
      </c>
      <c r="DK166" s="215">
        <f>IF(Assumptions!$E$1=0,0,IF(DK$13&gt;Assumptions!$L$20,0,DK160*'Monthly Cash Flow'!DK157*('Monthly Cash Flow'!DK$15-'Monthly Cash Flow'!DJ$15)/360))</f>
        <v>0</v>
      </c>
      <c r="DL166" s="215">
        <f>IF(Assumptions!$E$1=0,0,IF(DL$13&gt;Assumptions!$L$20,0,DL160*'Monthly Cash Flow'!DL157*('Monthly Cash Flow'!DL$15-'Monthly Cash Flow'!DK$15)/360))</f>
        <v>0</v>
      </c>
      <c r="DM166" s="215">
        <f>IF(Assumptions!$E$1=0,0,IF(DM$13&gt;Assumptions!$L$20,0,DM160*'Monthly Cash Flow'!DM157*('Monthly Cash Flow'!DM$15-'Monthly Cash Flow'!DL$15)/360))</f>
        <v>0</v>
      </c>
      <c r="DN166" s="215">
        <f>IF(Assumptions!$E$1=0,0,IF(DN$13&gt;Assumptions!$L$20,0,DN160*'Monthly Cash Flow'!DN157*('Monthly Cash Flow'!DN$15-'Monthly Cash Flow'!DM$15)/360))</f>
        <v>0</v>
      </c>
      <c r="DO166" s="215">
        <f>IF(Assumptions!$E$1=0,0,IF(DO$13&gt;Assumptions!$L$20,0,DO160*'Monthly Cash Flow'!DO157*('Monthly Cash Flow'!DO$15-'Monthly Cash Flow'!DN$15)/360))</f>
        <v>0</v>
      </c>
      <c r="DP166" s="215">
        <f>IF(Assumptions!$E$1=0,0,IF(DP$13&gt;Assumptions!$L$20,0,DP160*'Monthly Cash Flow'!DP157*('Monthly Cash Flow'!DP$15-'Monthly Cash Flow'!DO$15)/360))</f>
        <v>0</v>
      </c>
      <c r="DQ166" s="215">
        <f>IF(Assumptions!$E$1=0,0,IF(DQ$13&gt;Assumptions!$L$20,0,DQ160*'Monthly Cash Flow'!DQ157*('Monthly Cash Flow'!DQ$15-'Monthly Cash Flow'!DP$15)/360))</f>
        <v>0</v>
      </c>
      <c r="DR166" s="215">
        <f>IF(Assumptions!$E$1=0,0,IF(DR$13&gt;Assumptions!$L$20,0,DR160*'Monthly Cash Flow'!DR157*('Monthly Cash Flow'!DR$15-'Monthly Cash Flow'!DQ$15)/360))</f>
        <v>0</v>
      </c>
      <c r="DS166" s="215">
        <f>IF(Assumptions!$E$1=0,0,IF(DS$13&gt;Assumptions!$L$20,0,DS160*'Monthly Cash Flow'!DS157*('Monthly Cash Flow'!DS$15-'Monthly Cash Flow'!DR$15)/360))</f>
        <v>0</v>
      </c>
      <c r="DT166" s="215">
        <f>IF(Assumptions!$E$1=0,0,IF(DT$13&gt;Assumptions!$L$20,0,DT160*'Monthly Cash Flow'!DT157*('Monthly Cash Flow'!DT$15-'Monthly Cash Flow'!DS$15)/360))</f>
        <v>0</v>
      </c>
      <c r="DU166" s="215">
        <f>IF(Assumptions!$E$1=0,0,IF(DU$13&gt;Assumptions!$L$20,0,DU160*'Monthly Cash Flow'!DU157*('Monthly Cash Flow'!DU$15-'Monthly Cash Flow'!DT$15)/360))</f>
        <v>0</v>
      </c>
      <c r="DV166" s="215">
        <f>IF(Assumptions!$E$1=0,0,IF(DV$13&gt;Assumptions!$L$20,0,DV160*'Monthly Cash Flow'!DV157*('Monthly Cash Flow'!DV$15-'Monthly Cash Flow'!DU$15)/360))</f>
        <v>0</v>
      </c>
      <c r="DW166" s="215">
        <f>IF(Assumptions!$E$1=0,0,IF(DW$13&gt;Assumptions!$L$20,0,DW160*'Monthly Cash Flow'!DW157*('Monthly Cash Flow'!DW$15-'Monthly Cash Flow'!DV$15)/360))</f>
        <v>0</v>
      </c>
      <c r="DX166" s="215">
        <f>IF(Assumptions!$E$1=0,0,IF(DX$13&gt;Assumptions!$L$20,0,DX160*'Monthly Cash Flow'!DX157*('Monthly Cash Flow'!DX$15-'Monthly Cash Flow'!DW$15)/360))</f>
        <v>0</v>
      </c>
      <c r="DY166" s="215">
        <f>IF(Assumptions!$E$1=0,0,IF(DY$13&gt;Assumptions!$L$20,0,DY160*'Monthly Cash Flow'!DY157*('Monthly Cash Flow'!DY$15-'Monthly Cash Flow'!DX$15)/360))</f>
        <v>0</v>
      </c>
      <c r="DZ166" s="215">
        <f>IF(Assumptions!$E$1=0,0,IF(DZ$13&gt;Assumptions!$L$20,0,DZ160*'Monthly Cash Flow'!DZ157*('Monthly Cash Flow'!DZ$15-'Monthly Cash Flow'!DY$15)/360))</f>
        <v>0</v>
      </c>
      <c r="EA166" s="215">
        <f>IF(Assumptions!$E$1=0,0,IF(EA$13&gt;Assumptions!$L$20,0,EA160*'Monthly Cash Flow'!EA157*('Monthly Cash Flow'!EA$15-'Monthly Cash Flow'!DZ$15)/360))</f>
        <v>0</v>
      </c>
      <c r="EB166" s="215">
        <f>IF(Assumptions!$E$1=0,0,IF(EB$13&gt;Assumptions!$L$20,0,EB160*'Monthly Cash Flow'!EB157*('Monthly Cash Flow'!EB$15-'Monthly Cash Flow'!EA$15)/360))</f>
        <v>0</v>
      </c>
      <c r="EC166" s="215">
        <f>IF(Assumptions!$E$1=0,0,IF(EC$13&gt;Assumptions!$L$20,0,EC160*'Monthly Cash Flow'!EC157*('Monthly Cash Flow'!EC$15-'Monthly Cash Flow'!EB$15)/360))</f>
        <v>0</v>
      </c>
      <c r="ED166" s="215">
        <f>IF(Assumptions!$E$1=0,0,IF(ED$13&gt;Assumptions!$L$20,0,ED160*'Monthly Cash Flow'!ED157*('Monthly Cash Flow'!ED$15-'Monthly Cash Flow'!EC$15)/360))</f>
        <v>0</v>
      </c>
      <c r="EE166" s="215">
        <f>IF(Assumptions!$E$1=0,0,IF(EE$13&gt;Assumptions!$L$20,0,EE160*'Monthly Cash Flow'!EE157*('Monthly Cash Flow'!EE$15-'Monthly Cash Flow'!ED$15)/360))</f>
        <v>0</v>
      </c>
      <c r="EF166" s="215">
        <f>IF(Assumptions!$E$1=0,0,IF(EF$13&gt;Assumptions!$L$20,0,EF160*'Monthly Cash Flow'!EF157*('Monthly Cash Flow'!EF$15-'Monthly Cash Flow'!EE$15)/360))</f>
        <v>0</v>
      </c>
      <c r="EG166" s="215">
        <f>IF(Assumptions!$E$1=0,0,IF(EG$13&gt;Assumptions!$L$20,0,EG160*'Monthly Cash Flow'!EG157*('Monthly Cash Flow'!EG$15-'Monthly Cash Flow'!EF$15)/360))</f>
        <v>0</v>
      </c>
      <c r="EH166" s="215">
        <f>IF(Assumptions!$E$1=0,0,IF(EH$13&gt;Assumptions!$L$20,0,EH160*'Monthly Cash Flow'!EH157*('Monthly Cash Flow'!EH$15-'Monthly Cash Flow'!EG$15)/360))</f>
        <v>0</v>
      </c>
      <c r="EI166" s="215">
        <f>IF(Assumptions!$E$1=0,0,IF(EI$13&gt;Assumptions!$L$20,0,EI160*'Monthly Cash Flow'!EI157*('Monthly Cash Flow'!EI$15-'Monthly Cash Flow'!EH$15)/360))</f>
        <v>0</v>
      </c>
      <c r="EJ166" s="215">
        <f>IF(Assumptions!$E$1=0,0,IF(EJ$13&gt;Assumptions!$L$20,0,EJ160*'Monthly Cash Flow'!EJ157*('Monthly Cash Flow'!EJ$15-'Monthly Cash Flow'!EI$15)/360))</f>
        <v>0</v>
      </c>
      <c r="EK166" s="215">
        <f>IF(Assumptions!$E$1=0,0,IF(EK$13&gt;Assumptions!$L$20,0,EK160*'Monthly Cash Flow'!EK157*('Monthly Cash Flow'!EK$15-'Monthly Cash Flow'!EJ$15)/360))</f>
        <v>0</v>
      </c>
      <c r="EL166" s="215">
        <f>IF(Assumptions!$E$1=0,0,IF(EL$13&gt;Assumptions!$L$20,0,EL160*'Monthly Cash Flow'!EL157*('Monthly Cash Flow'!EL$15-'Monthly Cash Flow'!EK$15)/360))</f>
        <v>0</v>
      </c>
      <c r="EM166" s="215">
        <f>IF(Assumptions!$E$1=0,0,IF(EM$13&gt;Assumptions!$L$20,0,EM160*'Monthly Cash Flow'!EM157*('Monthly Cash Flow'!EM$15-'Monthly Cash Flow'!EL$15)/360))</f>
        <v>0</v>
      </c>
      <c r="EN166" s="215">
        <f>IF(Assumptions!$E$1=0,0,IF(EN$13&gt;Assumptions!$L$20,0,EN160*'Monthly Cash Flow'!EN157*('Monthly Cash Flow'!EN$15-'Monthly Cash Flow'!EM$15)/360))</f>
        <v>0</v>
      </c>
      <c r="EO166" s="215">
        <f>IF(Assumptions!$E$1=0,0,IF(EO$13&gt;Assumptions!$L$20,0,EO160*'Monthly Cash Flow'!EO157*('Monthly Cash Flow'!EO$15-'Monthly Cash Flow'!EN$15)/360))</f>
        <v>0</v>
      </c>
      <c r="EP166" s="215">
        <f>IF(Assumptions!$E$1=0,0,IF(EP$13&gt;Assumptions!$L$20,0,EP160*'Monthly Cash Flow'!EP157*('Monthly Cash Flow'!EP$15-'Monthly Cash Flow'!EO$15)/360))</f>
        <v>0</v>
      </c>
      <c r="EQ166" s="215">
        <f>IF(Assumptions!$E$1=0,0,IF(EQ$13&gt;Assumptions!$L$20,0,EQ160*'Monthly Cash Flow'!EQ157*('Monthly Cash Flow'!EQ$15-'Monthly Cash Flow'!EP$15)/360))</f>
        <v>0</v>
      </c>
      <c r="ER166" s="215">
        <f>IF(Assumptions!$E$1=0,0,IF(ER$13&gt;Assumptions!$L$20,0,ER160*'Monthly Cash Flow'!ER157*('Monthly Cash Flow'!ER$15-'Monthly Cash Flow'!EQ$15)/360))</f>
        <v>0</v>
      </c>
      <c r="ES166" s="215">
        <f>IF(Assumptions!$E$1=0,0,IF(ES$13&gt;Assumptions!$L$20,0,ES160*'Monthly Cash Flow'!ES157*('Monthly Cash Flow'!ES$15-'Monthly Cash Flow'!ER$15)/360))</f>
        <v>0</v>
      </c>
      <c r="ET166" s="215">
        <f>IF(Assumptions!$E$1=0,0,IF(ET$13&gt;Assumptions!$L$20,0,ET160*'Monthly Cash Flow'!ET157*('Monthly Cash Flow'!ET$15-'Monthly Cash Flow'!ES$15)/360))</f>
        <v>0</v>
      </c>
      <c r="EU166" s="215">
        <f>IF(Assumptions!$E$1=0,0,IF(EU$13&gt;Assumptions!$L$20,0,EU160*'Monthly Cash Flow'!EU157*('Monthly Cash Flow'!EU$15-'Monthly Cash Flow'!ET$15)/360))</f>
        <v>0</v>
      </c>
      <c r="EV166" s="215">
        <f>IF(Assumptions!$E$1=0,0,IF(EV$13&gt;Assumptions!$L$20,0,EV160*'Monthly Cash Flow'!EV157*('Monthly Cash Flow'!EV$15-'Monthly Cash Flow'!EU$15)/360))</f>
        <v>0</v>
      </c>
      <c r="EW166" s="215">
        <f>IF(Assumptions!$E$1=0,0,IF(EW$13&gt;Assumptions!$L$20,0,EW160*'Monthly Cash Flow'!EW157*('Monthly Cash Flow'!EW$15-'Monthly Cash Flow'!EV$15)/360))</f>
        <v>0</v>
      </c>
      <c r="EX166" s="215">
        <f>IF(Assumptions!$E$1=0,0,IF(EX$13&gt;Assumptions!$L$20,0,EX160*'Monthly Cash Flow'!EX157*('Monthly Cash Flow'!EX$15-'Monthly Cash Flow'!EW$15)/360))</f>
        <v>0</v>
      </c>
      <c r="EY166" s="215">
        <f>IF(Assumptions!$E$1=0,0,IF(EY$13&gt;Assumptions!$L$20,0,EY160*'Monthly Cash Flow'!EY157*('Monthly Cash Flow'!EY$15-'Monthly Cash Flow'!EX$15)/360))</f>
        <v>0</v>
      </c>
      <c r="EZ166" s="215">
        <f>IF(Assumptions!$E$1=0,0,IF(EZ$13&gt;Assumptions!$L$20,0,EZ160*'Monthly Cash Flow'!EZ157*('Monthly Cash Flow'!EZ$15-'Monthly Cash Flow'!EY$15)/360))</f>
        <v>0</v>
      </c>
      <c r="FA166" s="215">
        <f>IF(Assumptions!$E$1=0,0,IF(FA$13&gt;Assumptions!$L$20,0,FA160*'Monthly Cash Flow'!FA157*('Monthly Cash Flow'!FA$15-'Monthly Cash Flow'!EZ$15)/360))</f>
        <v>0</v>
      </c>
      <c r="FB166" s="215">
        <f>IF(Assumptions!$E$1=0,0,IF(FB$13&gt;Assumptions!$L$20,0,FB160*'Monthly Cash Flow'!FB157*('Monthly Cash Flow'!FB$15-'Monthly Cash Flow'!FA$15)/360))</f>
        <v>0</v>
      </c>
      <c r="FC166" s="215">
        <f>IF(Assumptions!$E$1=0,0,IF(FC$13&gt;Assumptions!$L$20,0,FC160*'Monthly Cash Flow'!FC157*('Monthly Cash Flow'!FC$15-'Monthly Cash Flow'!FB$15)/360))</f>
        <v>0</v>
      </c>
      <c r="FD166" s="215">
        <f>IF(Assumptions!$E$1=0,0,IF(FD$13&gt;Assumptions!$L$20,0,FD160*'Monthly Cash Flow'!FD157*('Monthly Cash Flow'!FD$15-'Monthly Cash Flow'!FC$15)/360))</f>
        <v>0</v>
      </c>
      <c r="FE166" s="215">
        <f>IF(Assumptions!$E$1=0,0,IF(FE$13&gt;Assumptions!$L$20,0,FE160*'Monthly Cash Flow'!FE157*('Monthly Cash Flow'!FE$15-'Monthly Cash Flow'!FD$15)/360))</f>
        <v>0</v>
      </c>
      <c r="FF166" s="215">
        <f>IF(Assumptions!$E$1=0,0,IF(FF$13&gt;Assumptions!$L$20,0,FF160*'Monthly Cash Flow'!FF157*('Monthly Cash Flow'!FF$15-'Monthly Cash Flow'!FE$15)/360))</f>
        <v>0</v>
      </c>
      <c r="FG166" s="215">
        <f>IF(Assumptions!$E$1=0,0,IF(FG$13&gt;Assumptions!$L$20,0,FG160*'Monthly Cash Flow'!FG157*('Monthly Cash Flow'!FG$15-'Monthly Cash Flow'!FF$15)/360))</f>
        <v>0</v>
      </c>
      <c r="FH166" s="215">
        <f>IF(Assumptions!$E$1=0,0,IF(FH$13&gt;Assumptions!$L$20,0,FH160*'Monthly Cash Flow'!FH157*('Monthly Cash Flow'!FH$15-'Monthly Cash Flow'!FG$15)/360))</f>
        <v>0</v>
      </c>
      <c r="FI166" s="215">
        <f>IF(Assumptions!$E$1=0,0,IF(FI$13&gt;Assumptions!$L$20,0,FI160*'Monthly Cash Flow'!FI157*('Monthly Cash Flow'!FI$15-'Monthly Cash Flow'!FH$15)/360))</f>
        <v>0</v>
      </c>
      <c r="FJ166" s="215">
        <f>IF(Assumptions!$E$1=0,0,IF(FJ$13&gt;Assumptions!$L$20,0,FJ160*'Monthly Cash Flow'!FJ157*('Monthly Cash Flow'!FJ$15-'Monthly Cash Flow'!FI$15)/360))</f>
        <v>0</v>
      </c>
      <c r="FK166" s="215">
        <f>IF(Assumptions!$E$1=0,0,IF(FK$13&gt;Assumptions!$L$20,0,FK160*'Monthly Cash Flow'!FK157*('Monthly Cash Flow'!FK$15-'Monthly Cash Flow'!FJ$15)/360))</f>
        <v>0</v>
      </c>
      <c r="FL166" s="215">
        <f>IF(Assumptions!$E$1=0,0,IF(FL$13&gt;Assumptions!$L$20,0,FL160*'Monthly Cash Flow'!FL157*('Monthly Cash Flow'!FL$15-'Monthly Cash Flow'!FK$15)/360))</f>
        <v>0</v>
      </c>
      <c r="FM166" s="215">
        <f>IF(Assumptions!$E$1=0,0,IF(FM$13&gt;Assumptions!$L$20,0,FM160*'Monthly Cash Flow'!FM157*('Monthly Cash Flow'!FM$15-'Monthly Cash Flow'!FL$15)/360))</f>
        <v>0</v>
      </c>
      <c r="FN166" s="215">
        <f>IF(Assumptions!$E$1=0,0,IF(FN$13&gt;Assumptions!$L$20,0,FN160*'Monthly Cash Flow'!FN157*('Monthly Cash Flow'!FN$15-'Monthly Cash Flow'!FM$15)/360))</f>
        <v>0</v>
      </c>
      <c r="FO166" s="215">
        <f>IF(Assumptions!$E$1=0,0,IF(FO$13&gt;Assumptions!$L$20,0,FO160*'Monthly Cash Flow'!FO157*('Monthly Cash Flow'!FO$15-'Monthly Cash Flow'!FN$15)/360))</f>
        <v>0</v>
      </c>
      <c r="FP166" s="215">
        <f>IF(Assumptions!$E$1=0,0,IF(FP$13&gt;Assumptions!$L$20,0,FP160*'Monthly Cash Flow'!FP157*('Monthly Cash Flow'!FP$15-'Monthly Cash Flow'!FO$15)/360))</f>
        <v>0</v>
      </c>
      <c r="FQ166" s="215">
        <f>IF(Assumptions!$E$1=0,0,IF(FQ$13&gt;Assumptions!$L$20,0,FQ160*'Monthly Cash Flow'!FQ157*('Monthly Cash Flow'!FQ$15-'Monthly Cash Flow'!FP$15)/360))</f>
        <v>0</v>
      </c>
      <c r="FR166" s="215">
        <f>IF(Assumptions!$E$1=0,0,IF(FR$13&gt;Assumptions!$L$20,0,FR160*'Monthly Cash Flow'!FR157*('Monthly Cash Flow'!FR$15-'Monthly Cash Flow'!FQ$15)/360))</f>
        <v>0</v>
      </c>
      <c r="FS166" s="215">
        <f>IF(Assumptions!$E$1=0,0,IF(FS$13&gt;Assumptions!$L$20,0,FS160*'Monthly Cash Flow'!FS157*('Monthly Cash Flow'!FS$15-'Monthly Cash Flow'!FR$15)/360))</f>
        <v>0</v>
      </c>
      <c r="FT166" s="215">
        <f>IF(Assumptions!$E$1=0,0,IF(FT$13&gt;Assumptions!$L$20,0,FT160*'Monthly Cash Flow'!FT157*('Monthly Cash Flow'!FT$15-'Monthly Cash Flow'!FS$15)/360))</f>
        <v>0</v>
      </c>
      <c r="FU166" s="215">
        <f>IF(Assumptions!$E$1=0,0,IF(FU$13&gt;Assumptions!$L$20,0,FU160*'Monthly Cash Flow'!FU157*('Monthly Cash Flow'!FU$15-'Monthly Cash Flow'!FT$15)/360))</f>
        <v>0</v>
      </c>
      <c r="FV166" s="215">
        <f>IF(Assumptions!$E$1=0,0,IF(FV$13&gt;Assumptions!$L$20,0,FV160*'Monthly Cash Flow'!FV157*('Monthly Cash Flow'!FV$15-'Monthly Cash Flow'!FU$15)/360))</f>
        <v>0</v>
      </c>
      <c r="FW166" s="215">
        <f>IF(Assumptions!$E$1=0,0,IF(FW$13&gt;Assumptions!$L$20,0,FW160*'Monthly Cash Flow'!FW157*('Monthly Cash Flow'!FW$15-'Monthly Cash Flow'!FV$15)/360))</f>
        <v>0</v>
      </c>
      <c r="FX166" s="215">
        <f>IF(Assumptions!$E$1=0,0,IF(FX$13&gt;Assumptions!$L$20,0,FX160*'Monthly Cash Flow'!FX157*('Monthly Cash Flow'!FX$15-'Monthly Cash Flow'!FW$15)/360))</f>
        <v>0</v>
      </c>
      <c r="FY166" s="215">
        <f>IF(Assumptions!$E$1=0,0,IF(FY$13&gt;Assumptions!$L$20,0,FY160*'Monthly Cash Flow'!FY157*('Monthly Cash Flow'!FY$15-'Monthly Cash Flow'!FX$15)/360))</f>
        <v>0</v>
      </c>
      <c r="FZ166" s="215">
        <f>IF(Assumptions!$E$1=0,0,IF(FZ$13&gt;Assumptions!$L$20,0,FZ160*'Monthly Cash Flow'!FZ157*('Monthly Cash Flow'!FZ$15-'Monthly Cash Flow'!FY$15)/360))</f>
        <v>0</v>
      </c>
      <c r="GA166" s="215">
        <f>IF(Assumptions!$E$1=0,0,IF(GA$13&gt;Assumptions!$L$20,0,GA160*'Monthly Cash Flow'!GA157*('Monthly Cash Flow'!GA$15-'Monthly Cash Flow'!FZ$15)/360))</f>
        <v>0</v>
      </c>
      <c r="GB166" s="215">
        <f>IF(Assumptions!$E$1=0,0,IF(GB$13&gt;Assumptions!$L$20,0,GB160*'Monthly Cash Flow'!GB157*('Monthly Cash Flow'!GB$15-'Monthly Cash Flow'!GA$15)/360))</f>
        <v>0</v>
      </c>
      <c r="GC166" s="215">
        <f>IF(Assumptions!$E$1=0,0,IF(GC$13&gt;Assumptions!$L$20,0,GC160*'Monthly Cash Flow'!GC157*('Monthly Cash Flow'!GC$15-'Monthly Cash Flow'!GB$15)/360))</f>
        <v>0</v>
      </c>
      <c r="GD166" s="215"/>
      <c r="GE166" s="215"/>
      <c r="GF166" s="215"/>
      <c r="GG166" s="215"/>
      <c r="GH166" s="215"/>
      <c r="GI166" s="215"/>
      <c r="GJ166" s="215"/>
      <c r="GK166" s="215"/>
      <c r="GL166" s="215"/>
      <c r="GM166" s="215"/>
      <c r="GN166" s="215"/>
      <c r="GO166" s="215"/>
      <c r="GP166" s="215">
        <f>IF(Assumptions!$E$1=0,0,IF(GP$13&gt;Assumptions!$L$20,0,GP160*'Monthly Cash Flow'!GP157*('Monthly Cash Flow'!GP$15-'Monthly Cash Flow'!GC$15)/360))</f>
        <v>0</v>
      </c>
      <c r="GQ166" s="215">
        <f>IF(Assumptions!$E$1=0,0,IF(GQ$13&gt;Assumptions!$L$20,0,GQ160*'Monthly Cash Flow'!GQ157*('Monthly Cash Flow'!GQ$15-'Monthly Cash Flow'!GP$15)/360))</f>
        <v>0</v>
      </c>
      <c r="GR166" s="215">
        <f>IF(Assumptions!$E$1=0,0,IF(GR$13&gt;Assumptions!$L$20,0,GR160*'Monthly Cash Flow'!GR157*('Monthly Cash Flow'!GR$15-'Monthly Cash Flow'!GQ$15)/360))</f>
        <v>0</v>
      </c>
      <c r="GS166" s="215">
        <f>IF(Assumptions!$E$1=0,0,IF(GS$13&gt;Assumptions!$L$20,0,GS160*'Monthly Cash Flow'!GS157*('Monthly Cash Flow'!GS$15-'Monthly Cash Flow'!GR$15)/360))</f>
        <v>0</v>
      </c>
      <c r="GT166" s="215">
        <f>IF(Assumptions!$E$1=0,0,IF(GT$13&gt;Assumptions!$L$20,0,GT160*'Monthly Cash Flow'!GT157*('Monthly Cash Flow'!GT$15-'Monthly Cash Flow'!GS$15)/360))</f>
        <v>0</v>
      </c>
      <c r="GU166" s="215"/>
      <c r="GV166" s="215"/>
      <c r="GW166" s="215"/>
      <c r="GX166" s="215"/>
      <c r="GY166" s="215"/>
      <c r="GZ166" s="215"/>
      <c r="HA166" s="215"/>
      <c r="HB166" s="215"/>
      <c r="HC166" s="215"/>
      <c r="HD166" s="215"/>
      <c r="HE166" s="215"/>
      <c r="HF166" s="1" t="s">
        <v>212</v>
      </c>
      <c r="HH166" s="13" t="str">
        <f t="shared" si="1059"/>
        <v>Interest</v>
      </c>
      <c r="HI166" s="34"/>
      <c r="HJ166" s="34"/>
      <c r="HK166" s="34"/>
      <c r="HL166" s="132">
        <f t="shared" ca="1" si="1123"/>
        <v>4467.2157358292534</v>
      </c>
      <c r="HM166" s="18"/>
      <c r="HN166" s="133">
        <f t="shared" si="1124"/>
        <v>0</v>
      </c>
      <c r="HO166" s="215">
        <f t="shared" si="1124"/>
        <v>0</v>
      </c>
      <c r="HP166" s="215">
        <f t="shared" si="1124"/>
        <v>0</v>
      </c>
      <c r="HQ166" s="215">
        <f t="shared" si="1124"/>
        <v>0</v>
      </c>
      <c r="HR166" s="215">
        <f t="shared" si="1124"/>
        <v>0</v>
      </c>
      <c r="HS166" s="215">
        <f t="shared" si="1124"/>
        <v>0</v>
      </c>
      <c r="HT166" s="215">
        <f t="shared" si="1124"/>
        <v>1200.9664</v>
      </c>
      <c r="HU166" s="215">
        <f t="shared" ca="1" si="1124"/>
        <v>1473.2060652515468</v>
      </c>
      <c r="HV166" s="215">
        <f t="shared" ca="1" si="1124"/>
        <v>1793.0432705777066</v>
      </c>
      <c r="HW166"/>
    </row>
    <row r="167" spans="1:231" ht="15" outlineLevel="1">
      <c r="B167" s="210" t="s">
        <v>2292</v>
      </c>
      <c r="C167" s="210"/>
      <c r="D167" s="8"/>
      <c r="E167" s="8"/>
      <c r="F167" s="8"/>
      <c r="G167" s="8"/>
      <c r="H167" s="8"/>
      <c r="I167" s="216">
        <f ca="1">SUMIF($K$13:$GT$13,"&lt;="&amp;Assumptions!$L$17,'Monthly Cash Flow'!K167:GT167)</f>
        <v>5431.113393638143</v>
      </c>
      <c r="J167" s="8"/>
      <c r="K167" s="217">
        <f>SUM(K165:K166)</f>
        <v>0</v>
      </c>
      <c r="L167" s="30">
        <f t="shared" ref="L167:BW167" si="1129">SUM(L165:L166)</f>
        <v>0</v>
      </c>
      <c r="M167" s="30">
        <f t="shared" si="1129"/>
        <v>0</v>
      </c>
      <c r="N167" s="30">
        <f t="shared" si="1129"/>
        <v>0</v>
      </c>
      <c r="O167" s="30">
        <f t="shared" si="1129"/>
        <v>0</v>
      </c>
      <c r="P167" s="30">
        <f t="shared" si="1129"/>
        <v>0</v>
      </c>
      <c r="Q167" s="30">
        <f t="shared" si="1129"/>
        <v>0</v>
      </c>
      <c r="R167" s="30">
        <f t="shared" si="1129"/>
        <v>0</v>
      </c>
      <c r="S167" s="30">
        <f t="shared" si="1129"/>
        <v>0</v>
      </c>
      <c r="T167" s="30">
        <f t="shared" si="1129"/>
        <v>0</v>
      </c>
      <c r="U167" s="30">
        <f t="shared" si="1129"/>
        <v>0</v>
      </c>
      <c r="V167" s="30">
        <f t="shared" si="1129"/>
        <v>0</v>
      </c>
      <c r="W167" s="30">
        <f t="shared" si="1129"/>
        <v>0</v>
      </c>
      <c r="X167" s="30">
        <f t="shared" si="1129"/>
        <v>0</v>
      </c>
      <c r="Y167" s="30">
        <f t="shared" si="1129"/>
        <v>0</v>
      </c>
      <c r="Z167" s="30">
        <f t="shared" si="1129"/>
        <v>0</v>
      </c>
      <c r="AA167" s="30">
        <f t="shared" si="1129"/>
        <v>0</v>
      </c>
      <c r="AB167" s="30">
        <f t="shared" si="1129"/>
        <v>0</v>
      </c>
      <c r="AC167" s="30">
        <f t="shared" si="1129"/>
        <v>0</v>
      </c>
      <c r="AD167" s="30">
        <f t="shared" si="1129"/>
        <v>0</v>
      </c>
      <c r="AE167" s="30">
        <f t="shared" si="1129"/>
        <v>0</v>
      </c>
      <c r="AF167" s="30">
        <f t="shared" si="1129"/>
        <v>0</v>
      </c>
      <c r="AG167" s="30">
        <f t="shared" si="1129"/>
        <v>0</v>
      </c>
      <c r="AH167" s="30">
        <f t="shared" si="1129"/>
        <v>0</v>
      </c>
      <c r="AI167" s="30">
        <f t="shared" si="1129"/>
        <v>0</v>
      </c>
      <c r="AJ167" s="30">
        <f t="shared" si="1129"/>
        <v>0</v>
      </c>
      <c r="AK167" s="30">
        <f t="shared" si="1129"/>
        <v>0</v>
      </c>
      <c r="AL167" s="30">
        <f t="shared" si="1129"/>
        <v>0</v>
      </c>
      <c r="AM167" s="30">
        <f t="shared" si="1129"/>
        <v>0</v>
      </c>
      <c r="AN167" s="30">
        <f t="shared" si="1129"/>
        <v>0</v>
      </c>
      <c r="AO167" s="30">
        <f t="shared" si="1129"/>
        <v>0</v>
      </c>
      <c r="AP167" s="30">
        <f t="shared" si="1129"/>
        <v>0</v>
      </c>
      <c r="AQ167" s="30">
        <f t="shared" si="1129"/>
        <v>0</v>
      </c>
      <c r="AR167" s="30">
        <f t="shared" si="1129"/>
        <v>0</v>
      </c>
      <c r="AS167" s="30">
        <f t="shared" si="1129"/>
        <v>0</v>
      </c>
      <c r="AT167" s="30">
        <f t="shared" si="1129"/>
        <v>0</v>
      </c>
      <c r="AU167" s="30">
        <f t="shared" si="1129"/>
        <v>0</v>
      </c>
      <c r="AV167" s="30">
        <f t="shared" si="1129"/>
        <v>0</v>
      </c>
      <c r="AW167" s="30">
        <f t="shared" si="1129"/>
        <v>0</v>
      </c>
      <c r="AX167" s="30">
        <f t="shared" si="1129"/>
        <v>0</v>
      </c>
      <c r="AY167" s="30">
        <f t="shared" si="1129"/>
        <v>0</v>
      </c>
      <c r="AZ167" s="30">
        <f t="shared" si="1129"/>
        <v>0</v>
      </c>
      <c r="BA167" s="30">
        <f t="shared" si="1129"/>
        <v>0</v>
      </c>
      <c r="BB167" s="30">
        <f t="shared" si="1129"/>
        <v>0</v>
      </c>
      <c r="BC167" s="30">
        <f t="shared" si="1129"/>
        <v>0</v>
      </c>
      <c r="BD167" s="30">
        <f t="shared" si="1129"/>
        <v>0</v>
      </c>
      <c r="BE167" s="30">
        <f t="shared" si="1129"/>
        <v>0</v>
      </c>
      <c r="BF167" s="30">
        <f t="shared" si="1129"/>
        <v>0</v>
      </c>
      <c r="BG167" s="30">
        <f t="shared" si="1129"/>
        <v>0</v>
      </c>
      <c r="BH167" s="30">
        <f t="shared" si="1129"/>
        <v>0</v>
      </c>
      <c r="BI167" s="30">
        <f t="shared" si="1129"/>
        <v>0</v>
      </c>
      <c r="BJ167" s="30">
        <f t="shared" si="1129"/>
        <v>0</v>
      </c>
      <c r="BK167" s="30">
        <f t="shared" si="1129"/>
        <v>0</v>
      </c>
      <c r="BL167" s="30">
        <f t="shared" si="1129"/>
        <v>0</v>
      </c>
      <c r="BM167" s="30">
        <f t="shared" si="1129"/>
        <v>0</v>
      </c>
      <c r="BN167" s="30">
        <f t="shared" si="1129"/>
        <v>0</v>
      </c>
      <c r="BO167" s="30">
        <f t="shared" si="1129"/>
        <v>0</v>
      </c>
      <c r="BP167" s="30">
        <f t="shared" si="1129"/>
        <v>0</v>
      </c>
      <c r="BQ167" s="30">
        <f t="shared" si="1129"/>
        <v>0</v>
      </c>
      <c r="BR167" s="30">
        <f t="shared" si="1129"/>
        <v>0</v>
      </c>
      <c r="BS167" s="30">
        <f t="shared" si="1129"/>
        <v>0</v>
      </c>
      <c r="BT167" s="30">
        <f t="shared" si="1129"/>
        <v>99.109529999999992</v>
      </c>
      <c r="BU167" s="30">
        <f t="shared" si="1129"/>
        <v>99.109520000000003</v>
      </c>
      <c r="BV167" s="30">
        <f t="shared" si="1129"/>
        <v>95.912440000000004</v>
      </c>
      <c r="BW167" s="30">
        <f t="shared" si="1129"/>
        <v>99.10951</v>
      </c>
      <c r="BX167" s="30">
        <f t="shared" ref="BX167:CE167" si="1130">SUM(BX165:BX166)</f>
        <v>96.316159999999996</v>
      </c>
      <c r="BY167" s="30">
        <f t="shared" si="1130"/>
        <v>100.07224000000001</v>
      </c>
      <c r="BZ167" s="30">
        <f t="shared" si="1130"/>
        <v>100.07224000000001</v>
      </c>
      <c r="CA167" s="30">
        <f t="shared" si="1130"/>
        <v>90.387830000000008</v>
      </c>
      <c r="CB167" s="30">
        <f t="shared" si="1130"/>
        <v>101.28278999999999</v>
      </c>
      <c r="CC167" s="30">
        <f t="shared" si="1130"/>
        <v>100.18088</v>
      </c>
      <c r="CD167" s="30">
        <f t="shared" si="1130"/>
        <v>110.84980999999999</v>
      </c>
      <c r="CE167" s="30">
        <f t="shared" si="1130"/>
        <v>108.56345</v>
      </c>
      <c r="CF167" s="30">
        <f t="shared" ref="CF167:EL167" si="1131">SUM(CF165:CF166)</f>
        <v>133.17430999999999</v>
      </c>
      <c r="CG167" s="30">
        <f t="shared" si="1131"/>
        <v>141.79045000000002</v>
      </c>
      <c r="CH167" s="30">
        <f t="shared" si="1131"/>
        <v>112.83533</v>
      </c>
      <c r="CI167" s="30">
        <f t="shared" ca="1" si="1131"/>
        <v>103.28730200935985</v>
      </c>
      <c r="CJ167" s="30">
        <f t="shared" ca="1" si="1131"/>
        <v>121.23113973333334</v>
      </c>
      <c r="CK167" s="30">
        <f t="shared" ca="1" si="1131"/>
        <v>125.27217772444443</v>
      </c>
      <c r="CL167" s="30">
        <f t="shared" ca="1" si="1131"/>
        <v>125.27217772444443</v>
      </c>
      <c r="CM167" s="30">
        <f t="shared" ca="1" si="1131"/>
        <v>113.14906375111111</v>
      </c>
      <c r="CN167" s="30">
        <f t="shared" ca="1" si="1131"/>
        <v>125.64866096959435</v>
      </c>
      <c r="CO167" s="30">
        <f t="shared" ca="1" si="1131"/>
        <v>121.95981698201059</v>
      </c>
      <c r="CP167" s="30">
        <f t="shared" ca="1" si="1131"/>
        <v>126.40162745989417</v>
      </c>
      <c r="CQ167" s="30">
        <f t="shared" ca="1" si="1131"/>
        <v>123.1840088973545</v>
      </c>
      <c r="CR167" s="30">
        <f t="shared" ca="1" si="1131"/>
        <v>147.57470966046733</v>
      </c>
      <c r="CS167" s="30">
        <f t="shared" ca="1" si="1131"/>
        <v>147.97019202378303</v>
      </c>
      <c r="CT167" s="30">
        <f t="shared" ca="1" si="1131"/>
        <v>144.65023055740738</v>
      </c>
      <c r="CU167" s="30">
        <f t="shared" ca="1" si="1131"/>
        <v>151.36256731549378</v>
      </c>
      <c r="CV167" s="30">
        <f t="shared" ca="1" si="1131"/>
        <v>146.65120014999997</v>
      </c>
      <c r="CW167" s="30">
        <f t="shared" ca="1" si="1131"/>
        <v>151.5395734883333</v>
      </c>
      <c r="CX167" s="30">
        <f t="shared" ca="1" si="1131"/>
        <v>151.5395734883333</v>
      </c>
      <c r="CY167" s="30">
        <f t="shared" ca="1" si="1131"/>
        <v>141.76282681166663</v>
      </c>
      <c r="CZ167" s="30">
        <f t="shared" ca="1" si="1131"/>
        <v>152.65547067166662</v>
      </c>
      <c r="DA167" s="30">
        <f t="shared" ca="1" si="1131"/>
        <v>147.73110064999995</v>
      </c>
      <c r="DB167" s="30">
        <f t="shared" ca="1" si="1131"/>
        <v>153.63753844388884</v>
      </c>
      <c r="DC167" s="30">
        <f t="shared" ca="1" si="1131"/>
        <v>155.96828731666662</v>
      </c>
      <c r="DD167" s="30">
        <f t="shared" ca="1" si="1131"/>
        <v>162.39580104388884</v>
      </c>
      <c r="DE167" s="30">
        <f t="shared" ca="1" si="1131"/>
        <v>162.39580104388884</v>
      </c>
      <c r="DF167" s="30">
        <f t="shared" ca="1" si="1131"/>
        <v>157.15722681666662</v>
      </c>
      <c r="DG167" s="30">
        <f t="shared" ca="1" si="1131"/>
        <v>162.39580104388884</v>
      </c>
      <c r="DH167" s="30">
        <f t="shared" ca="1" si="1131"/>
        <v>157.15722681666662</v>
      </c>
      <c r="DI167" s="30">
        <f t="shared" ca="1" si="1131"/>
        <v>162.39580104388884</v>
      </c>
      <c r="DJ167" s="30">
        <f t="shared" si="1131"/>
        <v>0</v>
      </c>
      <c r="DK167" s="30">
        <f t="shared" si="1131"/>
        <v>0</v>
      </c>
      <c r="DL167" s="30">
        <f t="shared" si="1131"/>
        <v>0</v>
      </c>
      <c r="DM167" s="30">
        <f t="shared" si="1131"/>
        <v>0</v>
      </c>
      <c r="DN167" s="30">
        <f t="shared" si="1131"/>
        <v>0</v>
      </c>
      <c r="DO167" s="30">
        <f t="shared" si="1131"/>
        <v>0</v>
      </c>
      <c r="DP167" s="30">
        <f t="shared" si="1131"/>
        <v>0</v>
      </c>
      <c r="DQ167" s="30">
        <f t="shared" si="1131"/>
        <v>0</v>
      </c>
      <c r="DR167" s="30">
        <f t="shared" si="1131"/>
        <v>0</v>
      </c>
      <c r="DS167" s="30">
        <f t="shared" si="1131"/>
        <v>0</v>
      </c>
      <c r="DT167" s="30">
        <f t="shared" si="1131"/>
        <v>0</v>
      </c>
      <c r="DU167" s="30">
        <f t="shared" si="1131"/>
        <v>0</v>
      </c>
      <c r="DV167" s="30">
        <f t="shared" si="1131"/>
        <v>0</v>
      </c>
      <c r="DW167" s="30">
        <f t="shared" si="1131"/>
        <v>0</v>
      </c>
      <c r="DX167" s="30">
        <f t="shared" si="1131"/>
        <v>0</v>
      </c>
      <c r="DY167" s="30">
        <f t="shared" si="1131"/>
        <v>0</v>
      </c>
      <c r="DZ167" s="30">
        <f t="shared" si="1131"/>
        <v>0</v>
      </c>
      <c r="EA167" s="30">
        <f t="shared" si="1131"/>
        <v>0</v>
      </c>
      <c r="EB167" s="30">
        <f t="shared" si="1131"/>
        <v>0</v>
      </c>
      <c r="EC167" s="30">
        <f t="shared" si="1131"/>
        <v>0</v>
      </c>
      <c r="ED167" s="30">
        <f t="shared" si="1131"/>
        <v>0</v>
      </c>
      <c r="EE167" s="30">
        <f t="shared" si="1131"/>
        <v>0</v>
      </c>
      <c r="EF167" s="30">
        <f t="shared" si="1131"/>
        <v>0</v>
      </c>
      <c r="EG167" s="30">
        <f t="shared" si="1131"/>
        <v>0</v>
      </c>
      <c r="EH167" s="30">
        <f t="shared" si="1131"/>
        <v>0</v>
      </c>
      <c r="EI167" s="30">
        <f t="shared" si="1131"/>
        <v>0</v>
      </c>
      <c r="EJ167" s="30">
        <f t="shared" si="1131"/>
        <v>0</v>
      </c>
      <c r="EK167" s="30">
        <f t="shared" si="1131"/>
        <v>0</v>
      </c>
      <c r="EL167" s="30">
        <f t="shared" si="1131"/>
        <v>0</v>
      </c>
      <c r="EM167" s="30">
        <f t="shared" ref="EM167:FD167" si="1132">SUM(EM165:EM166)</f>
        <v>0</v>
      </c>
      <c r="EN167" s="30">
        <f t="shared" si="1132"/>
        <v>0</v>
      </c>
      <c r="EO167" s="30">
        <f t="shared" si="1132"/>
        <v>0</v>
      </c>
      <c r="EP167" s="30">
        <f t="shared" si="1132"/>
        <v>0</v>
      </c>
      <c r="EQ167" s="30">
        <f t="shared" si="1132"/>
        <v>0</v>
      </c>
      <c r="ER167" s="30">
        <f t="shared" si="1132"/>
        <v>0</v>
      </c>
      <c r="ES167" s="30">
        <f t="shared" si="1132"/>
        <v>0</v>
      </c>
      <c r="ET167" s="30">
        <f t="shared" si="1132"/>
        <v>0</v>
      </c>
      <c r="EU167" s="30">
        <f t="shared" si="1132"/>
        <v>0</v>
      </c>
      <c r="EV167" s="30">
        <f t="shared" si="1132"/>
        <v>0</v>
      </c>
      <c r="EW167" s="30">
        <f t="shared" si="1132"/>
        <v>0</v>
      </c>
      <c r="EX167" s="30">
        <f t="shared" si="1132"/>
        <v>0</v>
      </c>
      <c r="EY167" s="30">
        <f t="shared" si="1132"/>
        <v>0</v>
      </c>
      <c r="EZ167" s="30">
        <f t="shared" si="1132"/>
        <v>0</v>
      </c>
      <c r="FA167" s="30">
        <f t="shared" si="1132"/>
        <v>0</v>
      </c>
      <c r="FB167" s="30">
        <f t="shared" si="1132"/>
        <v>0</v>
      </c>
      <c r="FC167" s="30">
        <f t="shared" si="1132"/>
        <v>0</v>
      </c>
      <c r="FD167" s="30">
        <f t="shared" si="1132"/>
        <v>0</v>
      </c>
      <c r="FE167" s="30">
        <f t="shared" ref="FE167:FI167" si="1133">SUM(FE165:FE166)</f>
        <v>0</v>
      </c>
      <c r="FF167" s="30">
        <f t="shared" si="1133"/>
        <v>0</v>
      </c>
      <c r="FG167" s="30">
        <f t="shared" si="1133"/>
        <v>0</v>
      </c>
      <c r="FH167" s="30">
        <f t="shared" si="1133"/>
        <v>0</v>
      </c>
      <c r="FI167" s="30">
        <f t="shared" si="1133"/>
        <v>0</v>
      </c>
      <c r="FJ167" s="30">
        <f t="shared" ref="FJ167:GT167" si="1134">SUM(FJ165:FJ166)</f>
        <v>0</v>
      </c>
      <c r="FK167" s="30">
        <f t="shared" si="1134"/>
        <v>0</v>
      </c>
      <c r="FL167" s="30">
        <f t="shared" si="1134"/>
        <v>0</v>
      </c>
      <c r="FM167" s="30">
        <f t="shared" si="1134"/>
        <v>0</v>
      </c>
      <c r="FN167" s="30">
        <f t="shared" si="1134"/>
        <v>0</v>
      </c>
      <c r="FO167" s="30">
        <f t="shared" si="1134"/>
        <v>0</v>
      </c>
      <c r="FP167" s="30">
        <f t="shared" si="1134"/>
        <v>0</v>
      </c>
      <c r="FQ167" s="30">
        <f t="shared" si="1134"/>
        <v>0</v>
      </c>
      <c r="FR167" s="30">
        <f t="shared" si="1134"/>
        <v>0</v>
      </c>
      <c r="FS167" s="30">
        <f t="shared" si="1134"/>
        <v>0</v>
      </c>
      <c r="FT167" s="30">
        <f t="shared" si="1134"/>
        <v>0</v>
      </c>
      <c r="FU167" s="30">
        <f t="shared" si="1134"/>
        <v>0</v>
      </c>
      <c r="FV167" s="30">
        <f t="shared" si="1134"/>
        <v>0</v>
      </c>
      <c r="FW167" s="30">
        <f t="shared" si="1134"/>
        <v>0</v>
      </c>
      <c r="FX167" s="30">
        <f t="shared" si="1134"/>
        <v>0</v>
      </c>
      <c r="FY167" s="30">
        <f t="shared" si="1134"/>
        <v>0</v>
      </c>
      <c r="FZ167" s="30">
        <f t="shared" si="1134"/>
        <v>0</v>
      </c>
      <c r="GA167" s="30">
        <f t="shared" si="1134"/>
        <v>0</v>
      </c>
      <c r="GB167" s="30">
        <f t="shared" si="1134"/>
        <v>0</v>
      </c>
      <c r="GC167" s="30">
        <f t="shared" si="1134"/>
        <v>0</v>
      </c>
      <c r="GD167" s="30"/>
      <c r="GE167" s="30"/>
      <c r="GF167" s="30"/>
      <c r="GG167" s="30"/>
      <c r="GH167" s="30"/>
      <c r="GI167" s="30"/>
      <c r="GJ167" s="30"/>
      <c r="GK167" s="30"/>
      <c r="GL167" s="30"/>
      <c r="GM167" s="30"/>
      <c r="GN167" s="30"/>
      <c r="GO167" s="30"/>
      <c r="GP167" s="30">
        <f t="shared" si="1134"/>
        <v>0</v>
      </c>
      <c r="GQ167" s="30">
        <f t="shared" si="1134"/>
        <v>0</v>
      </c>
      <c r="GR167" s="30">
        <f t="shared" si="1134"/>
        <v>0</v>
      </c>
      <c r="GS167" s="30">
        <f t="shared" si="1134"/>
        <v>0</v>
      </c>
      <c r="GT167" s="30">
        <f t="shared" si="1134"/>
        <v>0</v>
      </c>
      <c r="GU167" s="26"/>
      <c r="GV167" s="26"/>
      <c r="GW167" s="26"/>
      <c r="GX167" s="26"/>
      <c r="GY167" s="26"/>
      <c r="GZ167" s="26"/>
      <c r="HA167" s="26"/>
      <c r="HB167" s="26"/>
      <c r="HC167" s="26"/>
      <c r="HD167" s="26"/>
      <c r="HE167" s="26"/>
      <c r="HF167" s="1" t="s">
        <v>212</v>
      </c>
      <c r="HH167" s="210" t="str">
        <f t="shared" si="1059"/>
        <v>Total Debt Service (Re-Fi)</v>
      </c>
      <c r="HI167" s="32"/>
      <c r="HJ167" s="32"/>
      <c r="HK167" s="32"/>
      <c r="HL167" s="216">
        <f t="shared" ca="1" si="1123"/>
        <v>4467.2157358292534</v>
      </c>
      <c r="HM167" s="207"/>
      <c r="HN167" s="217">
        <f t="shared" si="1124"/>
        <v>0</v>
      </c>
      <c r="HO167" s="30">
        <f t="shared" si="1124"/>
        <v>0</v>
      </c>
      <c r="HP167" s="30">
        <f t="shared" si="1124"/>
        <v>0</v>
      </c>
      <c r="HQ167" s="30">
        <f t="shared" si="1124"/>
        <v>0</v>
      </c>
      <c r="HR167" s="30">
        <f t="shared" si="1124"/>
        <v>0</v>
      </c>
      <c r="HS167" s="30">
        <f t="shared" si="1124"/>
        <v>0</v>
      </c>
      <c r="HT167" s="30">
        <f t="shared" si="1124"/>
        <v>1200.9664</v>
      </c>
      <c r="HU167" s="30">
        <f t="shared" ca="1" si="1124"/>
        <v>1473.2060652515468</v>
      </c>
      <c r="HV167" s="30">
        <f t="shared" ca="1" si="1124"/>
        <v>1793.0432705777066</v>
      </c>
      <c r="HW167"/>
    </row>
    <row r="168" spans="1:231" ht="15" outlineLevel="1">
      <c r="B168" s="13" t="s">
        <v>132</v>
      </c>
      <c r="C168" s="13"/>
      <c r="I168" s="132">
        <f ca="1">SUMIF($K$13:$GT$13,"&lt;="&amp;Assumptions!$L$17,'Monthly Cash Flow'!K168:GT168)</f>
        <v>-5194.1919377938921</v>
      </c>
      <c r="K168" s="133">
        <f t="shared" ref="K168:BV168" si="1135">-MIN(MAX(0,K100),K167)</f>
        <v>0</v>
      </c>
      <c r="L168" s="26">
        <f t="shared" si="1135"/>
        <v>0</v>
      </c>
      <c r="M168" s="26">
        <f t="shared" si="1135"/>
        <v>0</v>
      </c>
      <c r="N168" s="26">
        <f t="shared" si="1135"/>
        <v>0</v>
      </c>
      <c r="O168" s="26">
        <f t="shared" si="1135"/>
        <v>0</v>
      </c>
      <c r="P168" s="26">
        <f t="shared" si="1135"/>
        <v>0</v>
      </c>
      <c r="Q168" s="26">
        <f t="shared" si="1135"/>
        <v>0</v>
      </c>
      <c r="R168" s="26">
        <f t="shared" si="1135"/>
        <v>0</v>
      </c>
      <c r="S168" s="26">
        <f t="shared" si="1135"/>
        <v>0</v>
      </c>
      <c r="T168" s="26">
        <f t="shared" si="1135"/>
        <v>0</v>
      </c>
      <c r="U168" s="26">
        <f t="shared" si="1135"/>
        <v>0</v>
      </c>
      <c r="V168" s="26">
        <f t="shared" si="1135"/>
        <v>0</v>
      </c>
      <c r="W168" s="26">
        <f t="shared" si="1135"/>
        <v>0</v>
      </c>
      <c r="X168" s="26">
        <f t="shared" si="1135"/>
        <v>0</v>
      </c>
      <c r="Y168" s="26">
        <f t="shared" si="1135"/>
        <v>0</v>
      </c>
      <c r="Z168" s="26">
        <f t="shared" si="1135"/>
        <v>0</v>
      </c>
      <c r="AA168" s="26">
        <f t="shared" si="1135"/>
        <v>0</v>
      </c>
      <c r="AB168" s="26">
        <f t="shared" si="1135"/>
        <v>0</v>
      </c>
      <c r="AC168" s="26">
        <f t="shared" si="1135"/>
        <v>0</v>
      </c>
      <c r="AD168" s="26">
        <f t="shared" si="1135"/>
        <v>0</v>
      </c>
      <c r="AE168" s="26">
        <f t="shared" si="1135"/>
        <v>0</v>
      </c>
      <c r="AF168" s="26">
        <f t="shared" si="1135"/>
        <v>0</v>
      </c>
      <c r="AG168" s="26">
        <f t="shared" si="1135"/>
        <v>0</v>
      </c>
      <c r="AH168" s="26">
        <f t="shared" si="1135"/>
        <v>0</v>
      </c>
      <c r="AI168" s="26">
        <f t="shared" si="1135"/>
        <v>0</v>
      </c>
      <c r="AJ168" s="26">
        <f t="shared" si="1135"/>
        <v>0</v>
      </c>
      <c r="AK168" s="26">
        <f t="shared" si="1135"/>
        <v>0</v>
      </c>
      <c r="AL168" s="26">
        <f t="shared" si="1135"/>
        <v>0</v>
      </c>
      <c r="AM168" s="26">
        <f t="shared" si="1135"/>
        <v>0</v>
      </c>
      <c r="AN168" s="26">
        <f t="shared" si="1135"/>
        <v>0</v>
      </c>
      <c r="AO168" s="26">
        <f t="shared" si="1135"/>
        <v>0</v>
      </c>
      <c r="AP168" s="26">
        <f t="shared" si="1135"/>
        <v>0</v>
      </c>
      <c r="AQ168" s="26">
        <f t="shared" si="1135"/>
        <v>0</v>
      </c>
      <c r="AR168" s="26">
        <f t="shared" si="1135"/>
        <v>0</v>
      </c>
      <c r="AS168" s="26">
        <f t="shared" si="1135"/>
        <v>0</v>
      </c>
      <c r="AT168" s="26">
        <f t="shared" si="1135"/>
        <v>0</v>
      </c>
      <c r="AU168" s="26">
        <f t="shared" si="1135"/>
        <v>0</v>
      </c>
      <c r="AV168" s="26">
        <f t="shared" si="1135"/>
        <v>0</v>
      </c>
      <c r="AW168" s="26">
        <f t="shared" si="1135"/>
        <v>0</v>
      </c>
      <c r="AX168" s="26">
        <f t="shared" si="1135"/>
        <v>0</v>
      </c>
      <c r="AY168" s="26">
        <f t="shared" si="1135"/>
        <v>0</v>
      </c>
      <c r="AZ168" s="26">
        <f t="shared" si="1135"/>
        <v>0</v>
      </c>
      <c r="BA168" s="26">
        <f t="shared" si="1135"/>
        <v>0</v>
      </c>
      <c r="BB168" s="26">
        <f t="shared" si="1135"/>
        <v>0</v>
      </c>
      <c r="BC168" s="26">
        <f t="shared" si="1135"/>
        <v>0</v>
      </c>
      <c r="BD168" s="26">
        <f t="shared" si="1135"/>
        <v>0</v>
      </c>
      <c r="BE168" s="26">
        <f t="shared" si="1135"/>
        <v>0</v>
      </c>
      <c r="BF168" s="26">
        <f t="shared" si="1135"/>
        <v>0</v>
      </c>
      <c r="BG168" s="26">
        <f t="shared" si="1135"/>
        <v>0</v>
      </c>
      <c r="BH168" s="26">
        <f t="shared" si="1135"/>
        <v>0</v>
      </c>
      <c r="BI168" s="26">
        <f t="shared" si="1135"/>
        <v>0</v>
      </c>
      <c r="BJ168" s="26">
        <f t="shared" si="1135"/>
        <v>0</v>
      </c>
      <c r="BK168" s="26">
        <f t="shared" si="1135"/>
        <v>0</v>
      </c>
      <c r="BL168" s="26">
        <f t="shared" ca="1" si="1135"/>
        <v>0</v>
      </c>
      <c r="BM168" s="26">
        <f t="shared" ca="1" si="1135"/>
        <v>0</v>
      </c>
      <c r="BN168" s="26">
        <f t="shared" ca="1" si="1135"/>
        <v>0</v>
      </c>
      <c r="BO168" s="26">
        <f t="shared" ca="1" si="1135"/>
        <v>0</v>
      </c>
      <c r="BP168" s="26">
        <f t="shared" ca="1" si="1135"/>
        <v>0</v>
      </c>
      <c r="BQ168" s="26">
        <f t="shared" ca="1" si="1135"/>
        <v>0</v>
      </c>
      <c r="BR168" s="26">
        <f t="shared" ca="1" si="1135"/>
        <v>0</v>
      </c>
      <c r="BS168" s="26">
        <f t="shared" ca="1" si="1135"/>
        <v>0</v>
      </c>
      <c r="BT168" s="26">
        <f t="shared" ca="1" si="1135"/>
        <v>-59.065499999999986</v>
      </c>
      <c r="BU168" s="26">
        <f t="shared" ca="1" si="1135"/>
        <v>-68.98786000000004</v>
      </c>
      <c r="BV168" s="26">
        <f t="shared" ca="1" si="1135"/>
        <v>-95.912440000000004</v>
      </c>
      <c r="BW168" s="26">
        <f t="shared" ref="BW168:EH168" ca="1" si="1136">-MIN(MAX(0,BW100),BW167)</f>
        <v>-99.10951</v>
      </c>
      <c r="BX168" s="26">
        <f t="shared" ca="1" si="1136"/>
        <v>-90.894769999999937</v>
      </c>
      <c r="BY168" s="26">
        <f t="shared" ca="1" si="1136"/>
        <v>-100.07224000000001</v>
      </c>
      <c r="BZ168" s="26">
        <f t="shared" ca="1" si="1136"/>
        <v>-100.07224000000001</v>
      </c>
      <c r="CA168" s="26">
        <f t="shared" ca="1" si="1136"/>
        <v>-15.259610000000009</v>
      </c>
      <c r="CB168" s="26">
        <f t="shared" ca="1" si="1136"/>
        <v>-101.28278999999999</v>
      </c>
      <c r="CC168" s="26">
        <f t="shared" ca="1" si="1136"/>
        <v>-100.18088</v>
      </c>
      <c r="CD168" s="26">
        <f t="shared" ca="1" si="1136"/>
        <v>-97.98275000000001</v>
      </c>
      <c r="CE168" s="26">
        <f t="shared" ca="1" si="1136"/>
        <v>-100.20571000000004</v>
      </c>
      <c r="CF168" s="26">
        <f t="shared" ca="1" si="1136"/>
        <v>-133.17430999999999</v>
      </c>
      <c r="CG168" s="26">
        <f t="shared" ca="1" si="1136"/>
        <v>-129.90303999999998</v>
      </c>
      <c r="CH168" s="26">
        <f t="shared" ca="1" si="1136"/>
        <v>-112.83533</v>
      </c>
      <c r="CI168" s="26">
        <f t="shared" ca="1" si="1136"/>
        <v>-103.28730200935985</v>
      </c>
      <c r="CJ168" s="26">
        <f t="shared" ca="1" si="1136"/>
        <v>-121.23113973333334</v>
      </c>
      <c r="CK168" s="26">
        <f t="shared" ca="1" si="1136"/>
        <v>-125.27217772444443</v>
      </c>
      <c r="CL168" s="26">
        <f t="shared" ca="1" si="1136"/>
        <v>-125.27217772444443</v>
      </c>
      <c r="CM168" s="26">
        <f t="shared" ca="1" si="1136"/>
        <v>-113.14906375111111</v>
      </c>
      <c r="CN168" s="26">
        <f t="shared" ca="1" si="1136"/>
        <v>-125.64866096959435</v>
      </c>
      <c r="CO168" s="26">
        <f t="shared" ca="1" si="1136"/>
        <v>-121.95981698201059</v>
      </c>
      <c r="CP168" s="26">
        <f t="shared" ca="1" si="1136"/>
        <v>-126.40162745989417</v>
      </c>
      <c r="CQ168" s="26">
        <f t="shared" ca="1" si="1136"/>
        <v>-123.1840088973545</v>
      </c>
      <c r="CR168" s="26">
        <f t="shared" ca="1" si="1136"/>
        <v>-139.30799999999994</v>
      </c>
      <c r="CS168" s="26">
        <f t="shared" ca="1" si="1136"/>
        <v>-121.59599999999995</v>
      </c>
      <c r="CT168" s="26">
        <f t="shared" ca="1" si="1136"/>
        <v>-144.65023055740738</v>
      </c>
      <c r="CU168" s="26">
        <f t="shared" ca="1" si="1136"/>
        <v>-151.36256731549378</v>
      </c>
      <c r="CV168" s="26">
        <f t="shared" ca="1" si="1136"/>
        <v>-146.65120014999997</v>
      </c>
      <c r="CW168" s="26">
        <f t="shared" ca="1" si="1136"/>
        <v>-151.5395734883333</v>
      </c>
      <c r="CX168" s="26">
        <f t="shared" ca="1" si="1136"/>
        <v>-142.03799999999995</v>
      </c>
      <c r="CY168" s="26">
        <f t="shared" ca="1" si="1136"/>
        <v>-141.76282681166663</v>
      </c>
      <c r="CZ168" s="26">
        <f t="shared" ca="1" si="1136"/>
        <v>-143.70399999999995</v>
      </c>
      <c r="DA168" s="26">
        <f t="shared" ca="1" si="1136"/>
        <v>-147.73110064999995</v>
      </c>
      <c r="DB168" s="26">
        <f t="shared" ca="1" si="1136"/>
        <v>-153.63753844388884</v>
      </c>
      <c r="DC168" s="26">
        <f t="shared" ca="1" si="1136"/>
        <v>-155.96828731666662</v>
      </c>
      <c r="DD168" s="26">
        <f t="shared" ca="1" si="1136"/>
        <v>-162.39580104388884</v>
      </c>
      <c r="DE168" s="26">
        <f t="shared" ca="1" si="1136"/>
        <v>-162.39580104388884</v>
      </c>
      <c r="DF168" s="26">
        <f t="shared" ca="1" si="1136"/>
        <v>-157.15722681666662</v>
      </c>
      <c r="DG168" s="26">
        <f t="shared" ca="1" si="1136"/>
        <v>-162.39580104388884</v>
      </c>
      <c r="DH168" s="26">
        <f t="shared" ca="1" si="1136"/>
        <v>-157.15722681666662</v>
      </c>
      <c r="DI168" s="26">
        <f t="shared" ca="1" si="1136"/>
        <v>-162.39580104388884</v>
      </c>
      <c r="DJ168" s="26">
        <f t="shared" si="1136"/>
        <v>0</v>
      </c>
      <c r="DK168" s="26">
        <f t="shared" si="1136"/>
        <v>0</v>
      </c>
      <c r="DL168" s="26">
        <f t="shared" si="1136"/>
        <v>0</v>
      </c>
      <c r="DM168" s="26">
        <f t="shared" si="1136"/>
        <v>0</v>
      </c>
      <c r="DN168" s="26">
        <f t="shared" si="1136"/>
        <v>0</v>
      </c>
      <c r="DO168" s="26">
        <f t="shared" si="1136"/>
        <v>0</v>
      </c>
      <c r="DP168" s="26">
        <f t="shared" si="1136"/>
        <v>0</v>
      </c>
      <c r="DQ168" s="26">
        <f t="shared" si="1136"/>
        <v>0</v>
      </c>
      <c r="DR168" s="26">
        <f t="shared" si="1136"/>
        <v>0</v>
      </c>
      <c r="DS168" s="26">
        <f t="shared" si="1136"/>
        <v>0</v>
      </c>
      <c r="DT168" s="26">
        <f t="shared" si="1136"/>
        <v>0</v>
      </c>
      <c r="DU168" s="26">
        <f t="shared" si="1136"/>
        <v>0</v>
      </c>
      <c r="DV168" s="26">
        <f t="shared" si="1136"/>
        <v>0</v>
      </c>
      <c r="DW168" s="26">
        <f t="shared" si="1136"/>
        <v>0</v>
      </c>
      <c r="DX168" s="26">
        <f t="shared" si="1136"/>
        <v>0</v>
      </c>
      <c r="DY168" s="26">
        <f t="shared" si="1136"/>
        <v>0</v>
      </c>
      <c r="DZ168" s="26">
        <f t="shared" si="1136"/>
        <v>0</v>
      </c>
      <c r="EA168" s="26">
        <f t="shared" si="1136"/>
        <v>0</v>
      </c>
      <c r="EB168" s="26">
        <f t="shared" si="1136"/>
        <v>0</v>
      </c>
      <c r="EC168" s="26">
        <f t="shared" si="1136"/>
        <v>0</v>
      </c>
      <c r="ED168" s="26">
        <f t="shared" si="1136"/>
        <v>0</v>
      </c>
      <c r="EE168" s="26">
        <f t="shared" si="1136"/>
        <v>0</v>
      </c>
      <c r="EF168" s="26">
        <f t="shared" si="1136"/>
        <v>0</v>
      </c>
      <c r="EG168" s="26">
        <f t="shared" si="1136"/>
        <v>0</v>
      </c>
      <c r="EH168" s="26">
        <f t="shared" si="1136"/>
        <v>0</v>
      </c>
      <c r="EI168" s="26">
        <f t="shared" ref="EI168:GT168" si="1137">-MIN(MAX(0,EI100),EI167)</f>
        <v>0</v>
      </c>
      <c r="EJ168" s="26">
        <f t="shared" si="1137"/>
        <v>0</v>
      </c>
      <c r="EK168" s="26">
        <f t="shared" si="1137"/>
        <v>0</v>
      </c>
      <c r="EL168" s="26">
        <f t="shared" si="1137"/>
        <v>0</v>
      </c>
      <c r="EM168" s="26">
        <f t="shared" si="1137"/>
        <v>0</v>
      </c>
      <c r="EN168" s="26">
        <f t="shared" si="1137"/>
        <v>0</v>
      </c>
      <c r="EO168" s="26">
        <f t="shared" si="1137"/>
        <v>0</v>
      </c>
      <c r="EP168" s="26">
        <f t="shared" si="1137"/>
        <v>0</v>
      </c>
      <c r="EQ168" s="26">
        <f t="shared" si="1137"/>
        <v>0</v>
      </c>
      <c r="ER168" s="26">
        <f t="shared" si="1137"/>
        <v>0</v>
      </c>
      <c r="ES168" s="26">
        <f t="shared" si="1137"/>
        <v>0</v>
      </c>
      <c r="ET168" s="26">
        <f t="shared" si="1137"/>
        <v>0</v>
      </c>
      <c r="EU168" s="26">
        <f t="shared" si="1137"/>
        <v>0</v>
      </c>
      <c r="EV168" s="26">
        <f t="shared" si="1137"/>
        <v>0</v>
      </c>
      <c r="EW168" s="26">
        <f t="shared" si="1137"/>
        <v>0</v>
      </c>
      <c r="EX168" s="26">
        <f t="shared" si="1137"/>
        <v>0</v>
      </c>
      <c r="EY168" s="26">
        <f t="shared" si="1137"/>
        <v>0</v>
      </c>
      <c r="EZ168" s="26">
        <f t="shared" si="1137"/>
        <v>0</v>
      </c>
      <c r="FA168" s="26">
        <f t="shared" si="1137"/>
        <v>0</v>
      </c>
      <c r="FB168" s="26">
        <f t="shared" si="1137"/>
        <v>0</v>
      </c>
      <c r="FC168" s="26">
        <f t="shared" si="1137"/>
        <v>0</v>
      </c>
      <c r="FD168" s="26">
        <f t="shared" si="1137"/>
        <v>0</v>
      </c>
      <c r="FE168" s="26">
        <f t="shared" si="1137"/>
        <v>0</v>
      </c>
      <c r="FF168" s="26">
        <f t="shared" si="1137"/>
        <v>0</v>
      </c>
      <c r="FG168" s="26">
        <f t="shared" si="1137"/>
        <v>0</v>
      </c>
      <c r="FH168" s="26">
        <f t="shared" si="1137"/>
        <v>0</v>
      </c>
      <c r="FI168" s="26">
        <f t="shared" si="1137"/>
        <v>0</v>
      </c>
      <c r="FJ168" s="26">
        <f t="shared" si="1137"/>
        <v>0</v>
      </c>
      <c r="FK168" s="26">
        <f t="shared" si="1137"/>
        <v>0</v>
      </c>
      <c r="FL168" s="26">
        <f t="shared" si="1137"/>
        <v>0</v>
      </c>
      <c r="FM168" s="26">
        <f t="shared" si="1137"/>
        <v>0</v>
      </c>
      <c r="FN168" s="26">
        <f t="shared" si="1137"/>
        <v>0</v>
      </c>
      <c r="FO168" s="26">
        <f t="shared" si="1137"/>
        <v>0</v>
      </c>
      <c r="FP168" s="26">
        <f t="shared" si="1137"/>
        <v>0</v>
      </c>
      <c r="FQ168" s="26">
        <f t="shared" si="1137"/>
        <v>0</v>
      </c>
      <c r="FR168" s="26">
        <f t="shared" si="1137"/>
        <v>0</v>
      </c>
      <c r="FS168" s="26">
        <f t="shared" si="1137"/>
        <v>0</v>
      </c>
      <c r="FT168" s="26">
        <f t="shared" si="1137"/>
        <v>0</v>
      </c>
      <c r="FU168" s="26">
        <f t="shared" si="1137"/>
        <v>0</v>
      </c>
      <c r="FV168" s="26">
        <f t="shared" si="1137"/>
        <v>0</v>
      </c>
      <c r="FW168" s="26">
        <f t="shared" si="1137"/>
        <v>0</v>
      </c>
      <c r="FX168" s="26">
        <f t="shared" si="1137"/>
        <v>0</v>
      </c>
      <c r="FY168" s="26">
        <f t="shared" si="1137"/>
        <v>0</v>
      </c>
      <c r="FZ168" s="26">
        <f t="shared" si="1137"/>
        <v>0</v>
      </c>
      <c r="GA168" s="26">
        <f t="shared" si="1137"/>
        <v>0</v>
      </c>
      <c r="GB168" s="26">
        <f t="shared" si="1137"/>
        <v>0</v>
      </c>
      <c r="GC168" s="26">
        <f t="shared" si="1137"/>
        <v>0</v>
      </c>
      <c r="GD168" s="26">
        <f t="shared" si="1137"/>
        <v>0</v>
      </c>
      <c r="GE168" s="26">
        <f t="shared" si="1137"/>
        <v>0</v>
      </c>
      <c r="GF168" s="26">
        <f t="shared" si="1137"/>
        <v>0</v>
      </c>
      <c r="GG168" s="26">
        <f t="shared" si="1137"/>
        <v>0</v>
      </c>
      <c r="GH168" s="26">
        <f t="shared" si="1137"/>
        <v>0</v>
      </c>
      <c r="GI168" s="26">
        <f t="shared" si="1137"/>
        <v>0</v>
      </c>
      <c r="GJ168" s="26">
        <f t="shared" si="1137"/>
        <v>0</v>
      </c>
      <c r="GK168" s="26">
        <f t="shared" si="1137"/>
        <v>0</v>
      </c>
      <c r="GL168" s="26">
        <f t="shared" si="1137"/>
        <v>0</v>
      </c>
      <c r="GM168" s="26">
        <f t="shared" si="1137"/>
        <v>0</v>
      </c>
      <c r="GN168" s="26">
        <f t="shared" si="1137"/>
        <v>0</v>
      </c>
      <c r="GO168" s="26">
        <f t="shared" si="1137"/>
        <v>0</v>
      </c>
      <c r="GP168" s="26">
        <f t="shared" si="1137"/>
        <v>0</v>
      </c>
      <c r="GQ168" s="26">
        <f t="shared" si="1137"/>
        <v>0</v>
      </c>
      <c r="GR168" s="26">
        <f t="shared" si="1137"/>
        <v>0</v>
      </c>
      <c r="GS168" s="26">
        <f t="shared" si="1137"/>
        <v>0</v>
      </c>
      <c r="GT168" s="26">
        <f t="shared" si="1137"/>
        <v>0</v>
      </c>
      <c r="GU168" s="26">
        <f t="shared" ref="GU168:HE168" si="1138">-MIN(MAX(0,GU100),GU167)</f>
        <v>0</v>
      </c>
      <c r="GV168" s="26">
        <f t="shared" si="1138"/>
        <v>0</v>
      </c>
      <c r="GW168" s="26">
        <f t="shared" si="1138"/>
        <v>0</v>
      </c>
      <c r="GX168" s="26">
        <f t="shared" si="1138"/>
        <v>0</v>
      </c>
      <c r="GY168" s="26">
        <f t="shared" si="1138"/>
        <v>0</v>
      </c>
      <c r="GZ168" s="26">
        <f t="shared" si="1138"/>
        <v>0</v>
      </c>
      <c r="HA168" s="26">
        <f t="shared" si="1138"/>
        <v>0</v>
      </c>
      <c r="HB168" s="26">
        <f t="shared" si="1138"/>
        <v>0</v>
      </c>
      <c r="HC168" s="26">
        <f t="shared" si="1138"/>
        <v>0</v>
      </c>
      <c r="HD168" s="26">
        <f t="shared" si="1138"/>
        <v>0</v>
      </c>
      <c r="HE168" s="26">
        <f t="shared" si="1138"/>
        <v>0</v>
      </c>
      <c r="HF168" s="1" t="s">
        <v>212</v>
      </c>
      <c r="HH168" s="13" t="str">
        <f t="shared" si="1059"/>
        <v>Less: Debt Service Paid from NOI</v>
      </c>
      <c r="HI168" s="34"/>
      <c r="HJ168" s="34"/>
      <c r="HK168" s="34"/>
      <c r="HL168" s="132">
        <f t="shared" ca="1" si="1123"/>
        <v>-4230.2942799850025</v>
      </c>
      <c r="HM168" s="18"/>
      <c r="HN168" s="133">
        <f t="shared" si="1124"/>
        <v>0</v>
      </c>
      <c r="HO168" s="26">
        <f t="shared" si="1124"/>
        <v>0</v>
      </c>
      <c r="HP168" s="26">
        <f t="shared" si="1124"/>
        <v>0</v>
      </c>
      <c r="HQ168" s="26">
        <f t="shared" si="1124"/>
        <v>0</v>
      </c>
      <c r="HR168" s="26">
        <f t="shared" si="1124"/>
        <v>0</v>
      </c>
      <c r="HS168" s="26">
        <f t="shared" ca="1" si="1124"/>
        <v>0</v>
      </c>
      <c r="HT168" s="26">
        <f t="shared" ca="1" si="1124"/>
        <v>-1029.0263</v>
      </c>
      <c r="HU168" s="26">
        <f t="shared" ca="1" si="1124"/>
        <v>-1461.3186552515467</v>
      </c>
      <c r="HV168" s="26">
        <f t="shared" ca="1" si="1124"/>
        <v>-1739.9493247334563</v>
      </c>
      <c r="HW168"/>
    </row>
    <row r="169" spans="1:231" ht="15" outlineLevel="1">
      <c r="B169" s="218" t="s">
        <v>32</v>
      </c>
      <c r="C169" s="218"/>
      <c r="D169" s="8"/>
      <c r="E169" s="8"/>
      <c r="F169" s="8"/>
      <c r="G169" s="8"/>
      <c r="H169" s="8"/>
      <c r="I169" s="216">
        <f ca="1">SUMIF($K$13:$GT$13,"&lt;="&amp;Assumptions!$L$17,'Monthly Cash Flow'!K169:GT169)</f>
        <v>236.92145584425052</v>
      </c>
      <c r="J169" s="8"/>
      <c r="K169" s="217">
        <f>SUM(K167:K168)</f>
        <v>0</v>
      </c>
      <c r="L169" s="30">
        <f t="shared" ref="L169:BW169" si="1139">SUM(L167:L168)</f>
        <v>0</v>
      </c>
      <c r="M169" s="30">
        <f t="shared" si="1139"/>
        <v>0</v>
      </c>
      <c r="N169" s="30">
        <f t="shared" si="1139"/>
        <v>0</v>
      </c>
      <c r="O169" s="30">
        <f t="shared" si="1139"/>
        <v>0</v>
      </c>
      <c r="P169" s="30">
        <f t="shared" si="1139"/>
        <v>0</v>
      </c>
      <c r="Q169" s="30">
        <f t="shared" si="1139"/>
        <v>0</v>
      </c>
      <c r="R169" s="30">
        <f t="shared" si="1139"/>
        <v>0</v>
      </c>
      <c r="S169" s="30">
        <f t="shared" si="1139"/>
        <v>0</v>
      </c>
      <c r="T169" s="30">
        <f t="shared" si="1139"/>
        <v>0</v>
      </c>
      <c r="U169" s="30">
        <f t="shared" si="1139"/>
        <v>0</v>
      </c>
      <c r="V169" s="30">
        <f t="shared" si="1139"/>
        <v>0</v>
      </c>
      <c r="W169" s="30">
        <f t="shared" si="1139"/>
        <v>0</v>
      </c>
      <c r="X169" s="30">
        <f t="shared" si="1139"/>
        <v>0</v>
      </c>
      <c r="Y169" s="30">
        <f t="shared" si="1139"/>
        <v>0</v>
      </c>
      <c r="Z169" s="30">
        <f t="shared" si="1139"/>
        <v>0</v>
      </c>
      <c r="AA169" s="30">
        <f t="shared" si="1139"/>
        <v>0</v>
      </c>
      <c r="AB169" s="30">
        <f t="shared" si="1139"/>
        <v>0</v>
      </c>
      <c r="AC169" s="30">
        <f t="shared" si="1139"/>
        <v>0</v>
      </c>
      <c r="AD169" s="30">
        <f t="shared" si="1139"/>
        <v>0</v>
      </c>
      <c r="AE169" s="30">
        <f t="shared" si="1139"/>
        <v>0</v>
      </c>
      <c r="AF169" s="30">
        <f t="shared" si="1139"/>
        <v>0</v>
      </c>
      <c r="AG169" s="30">
        <f t="shared" si="1139"/>
        <v>0</v>
      </c>
      <c r="AH169" s="30">
        <f t="shared" si="1139"/>
        <v>0</v>
      </c>
      <c r="AI169" s="30">
        <f t="shared" si="1139"/>
        <v>0</v>
      </c>
      <c r="AJ169" s="30">
        <f t="shared" si="1139"/>
        <v>0</v>
      </c>
      <c r="AK169" s="30">
        <f t="shared" si="1139"/>
        <v>0</v>
      </c>
      <c r="AL169" s="30">
        <f t="shared" si="1139"/>
        <v>0</v>
      </c>
      <c r="AM169" s="30">
        <f t="shared" si="1139"/>
        <v>0</v>
      </c>
      <c r="AN169" s="30">
        <f t="shared" si="1139"/>
        <v>0</v>
      </c>
      <c r="AO169" s="30">
        <f t="shared" si="1139"/>
        <v>0</v>
      </c>
      <c r="AP169" s="30">
        <f t="shared" si="1139"/>
        <v>0</v>
      </c>
      <c r="AQ169" s="30">
        <f t="shared" si="1139"/>
        <v>0</v>
      </c>
      <c r="AR169" s="30">
        <f t="shared" si="1139"/>
        <v>0</v>
      </c>
      <c r="AS169" s="30">
        <f t="shared" si="1139"/>
        <v>0</v>
      </c>
      <c r="AT169" s="30">
        <f t="shared" si="1139"/>
        <v>0</v>
      </c>
      <c r="AU169" s="30">
        <f t="shared" si="1139"/>
        <v>0</v>
      </c>
      <c r="AV169" s="30">
        <f t="shared" si="1139"/>
        <v>0</v>
      </c>
      <c r="AW169" s="30">
        <f t="shared" si="1139"/>
        <v>0</v>
      </c>
      <c r="AX169" s="30">
        <f t="shared" si="1139"/>
        <v>0</v>
      </c>
      <c r="AY169" s="30">
        <f t="shared" si="1139"/>
        <v>0</v>
      </c>
      <c r="AZ169" s="30">
        <f t="shared" si="1139"/>
        <v>0</v>
      </c>
      <c r="BA169" s="30">
        <f t="shared" si="1139"/>
        <v>0</v>
      </c>
      <c r="BB169" s="30">
        <f t="shared" si="1139"/>
        <v>0</v>
      </c>
      <c r="BC169" s="30">
        <f t="shared" si="1139"/>
        <v>0</v>
      </c>
      <c r="BD169" s="30">
        <f t="shared" si="1139"/>
        <v>0</v>
      </c>
      <c r="BE169" s="30">
        <f t="shared" si="1139"/>
        <v>0</v>
      </c>
      <c r="BF169" s="30">
        <f t="shared" si="1139"/>
        <v>0</v>
      </c>
      <c r="BG169" s="30">
        <f t="shared" si="1139"/>
        <v>0</v>
      </c>
      <c r="BH169" s="30">
        <f t="shared" si="1139"/>
        <v>0</v>
      </c>
      <c r="BI169" s="30">
        <f t="shared" si="1139"/>
        <v>0</v>
      </c>
      <c r="BJ169" s="30">
        <f t="shared" si="1139"/>
        <v>0</v>
      </c>
      <c r="BK169" s="30">
        <f t="shared" si="1139"/>
        <v>0</v>
      </c>
      <c r="BL169" s="30">
        <f t="shared" ca="1" si="1139"/>
        <v>0</v>
      </c>
      <c r="BM169" s="30">
        <f t="shared" ca="1" si="1139"/>
        <v>0</v>
      </c>
      <c r="BN169" s="30">
        <f t="shared" ca="1" si="1139"/>
        <v>0</v>
      </c>
      <c r="BO169" s="30">
        <f t="shared" ca="1" si="1139"/>
        <v>0</v>
      </c>
      <c r="BP169" s="30">
        <f t="shared" ca="1" si="1139"/>
        <v>0</v>
      </c>
      <c r="BQ169" s="30">
        <f t="shared" ca="1" si="1139"/>
        <v>0</v>
      </c>
      <c r="BR169" s="30">
        <f t="shared" ca="1" si="1139"/>
        <v>0</v>
      </c>
      <c r="BS169" s="30">
        <f t="shared" ca="1" si="1139"/>
        <v>0</v>
      </c>
      <c r="BT169" s="30">
        <f t="shared" ca="1" si="1139"/>
        <v>40.044030000000006</v>
      </c>
      <c r="BU169" s="30">
        <f t="shared" ca="1" si="1139"/>
        <v>30.121659999999963</v>
      </c>
      <c r="BV169" s="30">
        <f t="shared" ca="1" si="1139"/>
        <v>0</v>
      </c>
      <c r="BW169" s="30">
        <f t="shared" ca="1" si="1139"/>
        <v>0</v>
      </c>
      <c r="BX169" s="30">
        <f t="shared" ref="BX169:EI169" ca="1" si="1140">SUM(BX167:BX168)</f>
        <v>5.4213900000000592</v>
      </c>
      <c r="BY169" s="30">
        <f t="shared" ca="1" si="1140"/>
        <v>0</v>
      </c>
      <c r="BZ169" s="30">
        <f t="shared" ca="1" si="1140"/>
        <v>0</v>
      </c>
      <c r="CA169" s="30">
        <f t="shared" ca="1" si="1140"/>
        <v>75.128219999999999</v>
      </c>
      <c r="CB169" s="30">
        <f t="shared" ca="1" si="1140"/>
        <v>0</v>
      </c>
      <c r="CC169" s="30">
        <f t="shared" ca="1" si="1140"/>
        <v>0</v>
      </c>
      <c r="CD169" s="30">
        <f t="shared" ca="1" si="1140"/>
        <v>12.867059999999981</v>
      </c>
      <c r="CE169" s="30">
        <f t="shared" ca="1" si="1140"/>
        <v>8.3577399999999642</v>
      </c>
      <c r="CF169" s="30">
        <f t="shared" ca="1" si="1140"/>
        <v>0</v>
      </c>
      <c r="CG169" s="30">
        <f t="shared" ca="1" si="1140"/>
        <v>11.887410000000045</v>
      </c>
      <c r="CH169" s="30">
        <f t="shared" ca="1" si="1140"/>
        <v>0</v>
      </c>
      <c r="CI169" s="30">
        <f t="shared" ca="1" si="1140"/>
        <v>0</v>
      </c>
      <c r="CJ169" s="30">
        <f t="shared" ca="1" si="1140"/>
        <v>0</v>
      </c>
      <c r="CK169" s="30">
        <f t="shared" ca="1" si="1140"/>
        <v>0</v>
      </c>
      <c r="CL169" s="30">
        <f t="shared" ca="1" si="1140"/>
        <v>0</v>
      </c>
      <c r="CM169" s="30">
        <f t="shared" ca="1" si="1140"/>
        <v>0</v>
      </c>
      <c r="CN169" s="30">
        <f t="shared" ca="1" si="1140"/>
        <v>0</v>
      </c>
      <c r="CO169" s="30">
        <f t="shared" ca="1" si="1140"/>
        <v>0</v>
      </c>
      <c r="CP169" s="30">
        <f t="shared" ca="1" si="1140"/>
        <v>0</v>
      </c>
      <c r="CQ169" s="30">
        <f t="shared" ca="1" si="1140"/>
        <v>0</v>
      </c>
      <c r="CR169" s="30">
        <f t="shared" ca="1" si="1140"/>
        <v>8.2667096604673986</v>
      </c>
      <c r="CS169" s="30">
        <f t="shared" ca="1" si="1140"/>
        <v>26.374192023783081</v>
      </c>
      <c r="CT169" s="30">
        <f t="shared" ca="1" si="1140"/>
        <v>0</v>
      </c>
      <c r="CU169" s="30">
        <f t="shared" ca="1" si="1140"/>
        <v>0</v>
      </c>
      <c r="CV169" s="30">
        <f t="shared" ca="1" si="1140"/>
        <v>0</v>
      </c>
      <c r="CW169" s="30">
        <f t="shared" ca="1" si="1140"/>
        <v>0</v>
      </c>
      <c r="CX169" s="30">
        <f t="shared" ca="1" si="1140"/>
        <v>9.5015734883333494</v>
      </c>
      <c r="CY169" s="30">
        <f t="shared" ca="1" si="1140"/>
        <v>0</v>
      </c>
      <c r="CZ169" s="30">
        <f t="shared" ca="1" si="1140"/>
        <v>8.9514706716666694</v>
      </c>
      <c r="DA169" s="30">
        <f t="shared" ca="1" si="1140"/>
        <v>0</v>
      </c>
      <c r="DB169" s="30">
        <f t="shared" ca="1" si="1140"/>
        <v>0</v>
      </c>
      <c r="DC169" s="30">
        <f t="shared" ca="1" si="1140"/>
        <v>0</v>
      </c>
      <c r="DD169" s="30">
        <f t="shared" ca="1" si="1140"/>
        <v>0</v>
      </c>
      <c r="DE169" s="30">
        <f t="shared" ca="1" si="1140"/>
        <v>0</v>
      </c>
      <c r="DF169" s="30">
        <f t="shared" ca="1" si="1140"/>
        <v>0</v>
      </c>
      <c r="DG169" s="30">
        <f t="shared" ca="1" si="1140"/>
        <v>0</v>
      </c>
      <c r="DH169" s="30">
        <f t="shared" ca="1" si="1140"/>
        <v>0</v>
      </c>
      <c r="DI169" s="30">
        <f t="shared" ca="1" si="1140"/>
        <v>0</v>
      </c>
      <c r="DJ169" s="30">
        <f t="shared" si="1140"/>
        <v>0</v>
      </c>
      <c r="DK169" s="30">
        <f t="shared" si="1140"/>
        <v>0</v>
      </c>
      <c r="DL169" s="30">
        <f t="shared" si="1140"/>
        <v>0</v>
      </c>
      <c r="DM169" s="30">
        <f t="shared" si="1140"/>
        <v>0</v>
      </c>
      <c r="DN169" s="30">
        <f t="shared" si="1140"/>
        <v>0</v>
      </c>
      <c r="DO169" s="30">
        <f t="shared" si="1140"/>
        <v>0</v>
      </c>
      <c r="DP169" s="30">
        <f t="shared" si="1140"/>
        <v>0</v>
      </c>
      <c r="DQ169" s="30">
        <f t="shared" si="1140"/>
        <v>0</v>
      </c>
      <c r="DR169" s="30">
        <f t="shared" si="1140"/>
        <v>0</v>
      </c>
      <c r="DS169" s="30">
        <f t="shared" si="1140"/>
        <v>0</v>
      </c>
      <c r="DT169" s="30">
        <f t="shared" si="1140"/>
        <v>0</v>
      </c>
      <c r="DU169" s="30">
        <f t="shared" si="1140"/>
        <v>0</v>
      </c>
      <c r="DV169" s="30">
        <f t="shared" si="1140"/>
        <v>0</v>
      </c>
      <c r="DW169" s="30">
        <f t="shared" si="1140"/>
        <v>0</v>
      </c>
      <c r="DX169" s="30">
        <f t="shared" si="1140"/>
        <v>0</v>
      </c>
      <c r="DY169" s="30">
        <f t="shared" si="1140"/>
        <v>0</v>
      </c>
      <c r="DZ169" s="30">
        <f t="shared" si="1140"/>
        <v>0</v>
      </c>
      <c r="EA169" s="30">
        <f t="shared" si="1140"/>
        <v>0</v>
      </c>
      <c r="EB169" s="30">
        <f t="shared" si="1140"/>
        <v>0</v>
      </c>
      <c r="EC169" s="30">
        <f t="shared" si="1140"/>
        <v>0</v>
      </c>
      <c r="ED169" s="30">
        <f t="shared" si="1140"/>
        <v>0</v>
      </c>
      <c r="EE169" s="30">
        <f t="shared" si="1140"/>
        <v>0</v>
      </c>
      <c r="EF169" s="30">
        <f t="shared" si="1140"/>
        <v>0</v>
      </c>
      <c r="EG169" s="30">
        <f t="shared" si="1140"/>
        <v>0</v>
      </c>
      <c r="EH169" s="30">
        <f t="shared" si="1140"/>
        <v>0</v>
      </c>
      <c r="EI169" s="30">
        <f t="shared" si="1140"/>
        <v>0</v>
      </c>
      <c r="EJ169" s="30">
        <f t="shared" ref="EJ169:GU169" si="1141">SUM(EJ167:EJ168)</f>
        <v>0</v>
      </c>
      <c r="EK169" s="30">
        <f t="shared" si="1141"/>
        <v>0</v>
      </c>
      <c r="EL169" s="30">
        <f t="shared" si="1141"/>
        <v>0</v>
      </c>
      <c r="EM169" s="30">
        <f t="shared" si="1141"/>
        <v>0</v>
      </c>
      <c r="EN169" s="30">
        <f t="shared" si="1141"/>
        <v>0</v>
      </c>
      <c r="EO169" s="30">
        <f t="shared" si="1141"/>
        <v>0</v>
      </c>
      <c r="EP169" s="30">
        <f t="shared" si="1141"/>
        <v>0</v>
      </c>
      <c r="EQ169" s="30">
        <f t="shared" si="1141"/>
        <v>0</v>
      </c>
      <c r="ER169" s="30">
        <f t="shared" si="1141"/>
        <v>0</v>
      </c>
      <c r="ES169" s="30">
        <f t="shared" si="1141"/>
        <v>0</v>
      </c>
      <c r="ET169" s="30">
        <f t="shared" si="1141"/>
        <v>0</v>
      </c>
      <c r="EU169" s="30">
        <f t="shared" si="1141"/>
        <v>0</v>
      </c>
      <c r="EV169" s="30">
        <f t="shared" si="1141"/>
        <v>0</v>
      </c>
      <c r="EW169" s="30">
        <f t="shared" si="1141"/>
        <v>0</v>
      </c>
      <c r="EX169" s="30">
        <f t="shared" si="1141"/>
        <v>0</v>
      </c>
      <c r="EY169" s="30">
        <f t="shared" si="1141"/>
        <v>0</v>
      </c>
      <c r="EZ169" s="30">
        <f t="shared" si="1141"/>
        <v>0</v>
      </c>
      <c r="FA169" s="30">
        <f t="shared" si="1141"/>
        <v>0</v>
      </c>
      <c r="FB169" s="30">
        <f t="shared" si="1141"/>
        <v>0</v>
      </c>
      <c r="FC169" s="30">
        <f t="shared" si="1141"/>
        <v>0</v>
      </c>
      <c r="FD169" s="30">
        <f t="shared" si="1141"/>
        <v>0</v>
      </c>
      <c r="FE169" s="30">
        <f t="shared" si="1141"/>
        <v>0</v>
      </c>
      <c r="FF169" s="30">
        <f t="shared" si="1141"/>
        <v>0</v>
      </c>
      <c r="FG169" s="30">
        <f t="shared" si="1141"/>
        <v>0</v>
      </c>
      <c r="FH169" s="30">
        <f t="shared" si="1141"/>
        <v>0</v>
      </c>
      <c r="FI169" s="30">
        <f t="shared" si="1141"/>
        <v>0</v>
      </c>
      <c r="FJ169" s="30">
        <f t="shared" si="1141"/>
        <v>0</v>
      </c>
      <c r="FK169" s="30">
        <f t="shared" si="1141"/>
        <v>0</v>
      </c>
      <c r="FL169" s="30">
        <f t="shared" si="1141"/>
        <v>0</v>
      </c>
      <c r="FM169" s="30">
        <f t="shared" si="1141"/>
        <v>0</v>
      </c>
      <c r="FN169" s="30">
        <f t="shared" si="1141"/>
        <v>0</v>
      </c>
      <c r="FO169" s="30">
        <f t="shared" si="1141"/>
        <v>0</v>
      </c>
      <c r="FP169" s="30">
        <f t="shared" si="1141"/>
        <v>0</v>
      </c>
      <c r="FQ169" s="30">
        <f t="shared" si="1141"/>
        <v>0</v>
      </c>
      <c r="FR169" s="30">
        <f t="shared" si="1141"/>
        <v>0</v>
      </c>
      <c r="FS169" s="30">
        <f t="shared" si="1141"/>
        <v>0</v>
      </c>
      <c r="FT169" s="30">
        <f t="shared" si="1141"/>
        <v>0</v>
      </c>
      <c r="FU169" s="30">
        <f t="shared" si="1141"/>
        <v>0</v>
      </c>
      <c r="FV169" s="30">
        <f t="shared" si="1141"/>
        <v>0</v>
      </c>
      <c r="FW169" s="30">
        <f t="shared" si="1141"/>
        <v>0</v>
      </c>
      <c r="FX169" s="30">
        <f t="shared" si="1141"/>
        <v>0</v>
      </c>
      <c r="FY169" s="30">
        <f t="shared" si="1141"/>
        <v>0</v>
      </c>
      <c r="FZ169" s="30">
        <f t="shared" si="1141"/>
        <v>0</v>
      </c>
      <c r="GA169" s="30">
        <f t="shared" si="1141"/>
        <v>0</v>
      </c>
      <c r="GB169" s="30">
        <f t="shared" si="1141"/>
        <v>0</v>
      </c>
      <c r="GC169" s="30">
        <f t="shared" si="1141"/>
        <v>0</v>
      </c>
      <c r="GD169" s="30">
        <f t="shared" si="1141"/>
        <v>0</v>
      </c>
      <c r="GE169" s="30">
        <f t="shared" si="1141"/>
        <v>0</v>
      </c>
      <c r="GF169" s="30">
        <f t="shared" si="1141"/>
        <v>0</v>
      </c>
      <c r="GG169" s="30">
        <f t="shared" si="1141"/>
        <v>0</v>
      </c>
      <c r="GH169" s="30">
        <f t="shared" si="1141"/>
        <v>0</v>
      </c>
      <c r="GI169" s="30">
        <f t="shared" si="1141"/>
        <v>0</v>
      </c>
      <c r="GJ169" s="30">
        <f t="shared" si="1141"/>
        <v>0</v>
      </c>
      <c r="GK169" s="30">
        <f t="shared" si="1141"/>
        <v>0</v>
      </c>
      <c r="GL169" s="30">
        <f t="shared" si="1141"/>
        <v>0</v>
      </c>
      <c r="GM169" s="30">
        <f t="shared" si="1141"/>
        <v>0</v>
      </c>
      <c r="GN169" s="30">
        <f t="shared" si="1141"/>
        <v>0</v>
      </c>
      <c r="GO169" s="30">
        <f t="shared" si="1141"/>
        <v>0</v>
      </c>
      <c r="GP169" s="30">
        <f t="shared" si="1141"/>
        <v>0</v>
      </c>
      <c r="GQ169" s="30">
        <f t="shared" si="1141"/>
        <v>0</v>
      </c>
      <c r="GR169" s="30">
        <f t="shared" si="1141"/>
        <v>0</v>
      </c>
      <c r="GS169" s="30">
        <f t="shared" si="1141"/>
        <v>0</v>
      </c>
      <c r="GT169" s="30">
        <f t="shared" si="1141"/>
        <v>0</v>
      </c>
      <c r="GU169" s="30">
        <f t="shared" si="1141"/>
        <v>0</v>
      </c>
      <c r="GV169" s="30">
        <f t="shared" ref="GV169:HE169" si="1142">SUM(GV167:GV168)</f>
        <v>0</v>
      </c>
      <c r="GW169" s="30">
        <f t="shared" si="1142"/>
        <v>0</v>
      </c>
      <c r="GX169" s="30">
        <f t="shared" si="1142"/>
        <v>0</v>
      </c>
      <c r="GY169" s="30">
        <f t="shared" si="1142"/>
        <v>0</v>
      </c>
      <c r="GZ169" s="30">
        <f t="shared" si="1142"/>
        <v>0</v>
      </c>
      <c r="HA169" s="30">
        <f t="shared" si="1142"/>
        <v>0</v>
      </c>
      <c r="HB169" s="30">
        <f t="shared" si="1142"/>
        <v>0</v>
      </c>
      <c r="HC169" s="30">
        <f t="shared" si="1142"/>
        <v>0</v>
      </c>
      <c r="HD169" s="30">
        <f t="shared" si="1142"/>
        <v>0</v>
      </c>
      <c r="HE169" s="30">
        <f t="shared" si="1142"/>
        <v>0</v>
      </c>
      <c r="HF169" s="1" t="s">
        <v>212</v>
      </c>
      <c r="HH169" s="218" t="str">
        <f t="shared" si="1059"/>
        <v>Capitalized Interest</v>
      </c>
      <c r="HI169" s="32"/>
      <c r="HJ169" s="32"/>
      <c r="HK169" s="32"/>
      <c r="HL169" s="216">
        <f t="shared" ca="1" si="1123"/>
        <v>236.92145584425052</v>
      </c>
      <c r="HM169" s="207"/>
      <c r="HN169" s="217">
        <f t="shared" si="1124"/>
        <v>0</v>
      </c>
      <c r="HO169" s="30">
        <f t="shared" si="1124"/>
        <v>0</v>
      </c>
      <c r="HP169" s="30">
        <f t="shared" si="1124"/>
        <v>0</v>
      </c>
      <c r="HQ169" s="30">
        <f t="shared" si="1124"/>
        <v>0</v>
      </c>
      <c r="HR169" s="30">
        <f t="shared" si="1124"/>
        <v>0</v>
      </c>
      <c r="HS169" s="30">
        <f t="shared" ca="1" si="1124"/>
        <v>0</v>
      </c>
      <c r="HT169" s="30">
        <f t="shared" ca="1" si="1124"/>
        <v>171.94009999999997</v>
      </c>
      <c r="HU169" s="30">
        <f t="shared" ca="1" si="1124"/>
        <v>11.887410000000045</v>
      </c>
      <c r="HV169" s="30">
        <f t="shared" ca="1" si="1124"/>
        <v>53.093945844250499</v>
      </c>
      <c r="HW169"/>
    </row>
    <row r="170" spans="1:231" ht="15" outlineLevel="1">
      <c r="B170" s="9" t="s">
        <v>131</v>
      </c>
      <c r="C170" s="9"/>
      <c r="I170" s="132">
        <f ca="1">SUMIF($K$13:$GT$13,"&lt;="&amp;Assumptions!$L$17,'Monthly Cash Flow'!K170:GT170)</f>
        <v>-25484.955699999991</v>
      </c>
      <c r="K170" s="133">
        <f>IF(K$13=Assumptions!$L$20,-MIN(K$160+K$161-K165,K92),0)</f>
        <v>0</v>
      </c>
      <c r="L170" s="26">
        <f>IF(L$13=Assumptions!$L$20,-MIN(L$160+L$161-L165,L92),0)</f>
        <v>0</v>
      </c>
      <c r="M170" s="26">
        <f>IF(M$13=Assumptions!$L$20,-MIN(M$160+M$161-M165,M92),0)</f>
        <v>0</v>
      </c>
      <c r="N170" s="26">
        <f>IF(N$13=Assumptions!$L$20,-MIN(N$160+N$161-N165,N92),0)</f>
        <v>0</v>
      </c>
      <c r="O170" s="26">
        <f>IF(O$13=Assumptions!$L$20,-MIN(O$160+O$161-O165,O92),0)</f>
        <v>0</v>
      </c>
      <c r="P170" s="26">
        <f>IF(P$13=Assumptions!$L$20,-MIN(P$160+P$161-P165,P92),0)</f>
        <v>0</v>
      </c>
      <c r="Q170" s="26">
        <f>IF(Q$13=Assumptions!$L$20,-MIN(Q$160+Q$161-Q165,Q92),0)</f>
        <v>0</v>
      </c>
      <c r="R170" s="26">
        <f>IF(R$13=Assumptions!$L$20,-MIN(R$160+R$161-R165,R92),0)</f>
        <v>0</v>
      </c>
      <c r="S170" s="26">
        <f>IF(S$13=Assumptions!$L$20,-MIN(S$160+S$161-S165,S92),0)</f>
        <v>0</v>
      </c>
      <c r="T170" s="26">
        <f>IF(T$13=Assumptions!$L$20,-MIN(T$160+T$161-T165,T92),0)</f>
        <v>0</v>
      </c>
      <c r="U170" s="26">
        <f>IF(U$13=Assumptions!$L$20,-MIN(U$160+U$161-U165,U92),0)</f>
        <v>0</v>
      </c>
      <c r="V170" s="26">
        <f>IF(V$13=Assumptions!$L$20,-MIN(V$160+V$161-V165,V92),0)</f>
        <v>0</v>
      </c>
      <c r="W170" s="26">
        <f>IF(W$13=Assumptions!$L$20,-MIN(W$160+W$161-W165,W92),0)</f>
        <v>0</v>
      </c>
      <c r="X170" s="26">
        <f>IF(X$13=Assumptions!$L$20,-MIN(X$160+X$161-X165,X92),0)</f>
        <v>0</v>
      </c>
      <c r="Y170" s="26">
        <f>IF(Y$13=Assumptions!$L$20,-MIN(Y$160+Y$161-Y165,Y92),0)</f>
        <v>0</v>
      </c>
      <c r="Z170" s="26">
        <f>IF(Z$13=Assumptions!$L$20,-MIN(Z$160+Z$161-Z165,Z92),0)</f>
        <v>0</v>
      </c>
      <c r="AA170" s="26">
        <f>IF(AA$13=Assumptions!$L$20,-MIN(AA$160+AA$161-AA165,AA92),0)</f>
        <v>0</v>
      </c>
      <c r="AB170" s="26">
        <f>IF(AB$13=Assumptions!$L$20,-MIN(AB$160+AB$161-AB165,AB92),0)</f>
        <v>0</v>
      </c>
      <c r="AC170" s="26">
        <f>IF(AC$13=Assumptions!$L$20,-MIN(AC$160+AC$161-AC165,AC92),0)</f>
        <v>0</v>
      </c>
      <c r="AD170" s="26">
        <f>IF(AD$13=Assumptions!$L$20,-MIN(AD$160+AD$161-AD165,AD92),0)</f>
        <v>0</v>
      </c>
      <c r="AE170" s="26">
        <f>IF(AE$13=Assumptions!$L$20,-MIN(AE$160+AE$161-AE165,AE92),0)</f>
        <v>0</v>
      </c>
      <c r="AF170" s="26">
        <f>IF(AF$13=Assumptions!$L$20,-MIN(AF$160+AF$161-AF165,AF92),0)</f>
        <v>0</v>
      </c>
      <c r="AG170" s="26">
        <f>IF(AG$13=Assumptions!$L$20,-MIN(AG$160+AG$161-AG165,AG92),0)</f>
        <v>0</v>
      </c>
      <c r="AH170" s="26">
        <f>IF(AH$13=Assumptions!$L$20,-MIN(AH$160+AH$161-AH165,AH92),0)</f>
        <v>0</v>
      </c>
      <c r="AI170" s="26">
        <f>IF(AI$13=Assumptions!$L$20,-MIN(AI$160+AI$161-AI165,AI92),0)</f>
        <v>0</v>
      </c>
      <c r="AJ170" s="26">
        <f>IF(AJ$13=Assumptions!$L$20,-MIN(AJ$160+AJ$161-AJ165,AJ92),0)</f>
        <v>0</v>
      </c>
      <c r="AK170" s="26">
        <f>IF(AK$13=Assumptions!$L$20,-MIN(AK$160+AK$161-AK165,AK92),0)</f>
        <v>0</v>
      </c>
      <c r="AL170" s="26">
        <f>IF(AL$13=Assumptions!$L$20,-MIN(AL$160+AL$161-AL165,AL92),0)</f>
        <v>0</v>
      </c>
      <c r="AM170" s="26">
        <f>IF(AM$13=Assumptions!$L$20,-MIN(AM$160+AM$161-AM165,AM92),0)</f>
        <v>0</v>
      </c>
      <c r="AN170" s="26">
        <f>IF(AN$13=Assumptions!$L$20,-MIN(AN$160+AN$161-AN165,AN92),0)</f>
        <v>0</v>
      </c>
      <c r="AO170" s="26">
        <f>IF(AO$13=Assumptions!$L$20,-MIN(AO$160+AO$161-AO165,AO92),0)</f>
        <v>0</v>
      </c>
      <c r="AP170" s="26">
        <f>IF(AP$13=Assumptions!$L$20,-MIN(AP$160+AP$161-AP165,AP92),0)</f>
        <v>0</v>
      </c>
      <c r="AQ170" s="26">
        <f>IF(AQ$13=Assumptions!$L$20,-MIN(AQ$160+AQ$161-AQ165,AQ92),0)</f>
        <v>0</v>
      </c>
      <c r="AR170" s="26">
        <f>IF(AR$13=Assumptions!$L$20,-MIN(AR$160+AR$161-AR165,AR92),0)</f>
        <v>0</v>
      </c>
      <c r="AS170" s="26">
        <f>IF(AS$13=Assumptions!$L$20,-MIN(AS$160+AS$161-AS165,AS92),0)</f>
        <v>0</v>
      </c>
      <c r="AT170" s="26">
        <f>IF(AT$13=Assumptions!$L$20,-MIN(AT$160+AT$161-AT165,AT92),0)</f>
        <v>0</v>
      </c>
      <c r="AU170" s="26">
        <f>IF(AU$13=Assumptions!$L$20,-MIN(AU$160+AU$161-AU165,AU92),0)</f>
        <v>0</v>
      </c>
      <c r="AV170" s="26">
        <f>IF(AV$13=Assumptions!$L$20,-MIN(AV$160+AV$161-AV165,AV92),0)</f>
        <v>0</v>
      </c>
      <c r="AW170" s="26">
        <f>IF(AW$13=Assumptions!$L$20,-MIN(AW$160+AW$161-AW165,AW92),0)</f>
        <v>0</v>
      </c>
      <c r="AX170" s="26">
        <f>IF(AX$13=Assumptions!$L$20,-MIN(AX$160+AX$161-AX165,AX92),0)</f>
        <v>0</v>
      </c>
      <c r="AY170" s="26">
        <f>IF(AY$13=Assumptions!$L$20,-MIN(AY$160+AY$161-AY165,AY92),0)</f>
        <v>0</v>
      </c>
      <c r="AZ170" s="26">
        <f>IF(AZ$13=Assumptions!$L$20,-MIN(AZ$160+AZ$161-AZ165,AZ92),0)</f>
        <v>0</v>
      </c>
      <c r="BA170" s="26">
        <f>IF(BA$13=Assumptions!$L$20,-MIN(BA$160+BA$161-BA165,BA92),0)</f>
        <v>0</v>
      </c>
      <c r="BB170" s="26">
        <f>IF(BB$13=Assumptions!$L$20,-MIN(BB$160+BB$161-BB165,BB92),0)</f>
        <v>0</v>
      </c>
      <c r="BC170" s="26">
        <f>IF(BC$13=Assumptions!$L$20,-MIN(BC$160+BC$161-BC165,BC92),0)</f>
        <v>0</v>
      </c>
      <c r="BD170" s="26">
        <f>IF(BD$13=Assumptions!$L$20,-MIN(BD$160+BD$161-BD165,BD92),0)</f>
        <v>0</v>
      </c>
      <c r="BE170" s="26">
        <f>IF(BE$13=Assumptions!$L$20,-MIN(BE$160+BE$161-BE165,BE92),0)</f>
        <v>0</v>
      </c>
      <c r="BF170" s="26">
        <f>IF(BF$13=Assumptions!$L$20,-MIN(BF$160+BF$161-BF165,BF92),0)</f>
        <v>0</v>
      </c>
      <c r="BG170" s="26">
        <f>IF(BG$13=Assumptions!$L$20,-MIN(BG$160+BG$161-BG165,BG92),0)</f>
        <v>0</v>
      </c>
      <c r="BH170" s="26">
        <f>IF(BH$13=Assumptions!$L$20,-MIN(BH$160+BH$161-BH165,BH92),0)</f>
        <v>0</v>
      </c>
      <c r="BI170" s="26">
        <f>IF(BI$13=Assumptions!$L$20,-MIN(BI$160+BI$161-BI165,BI92),0)</f>
        <v>0</v>
      </c>
      <c r="BJ170" s="26">
        <f>IF(BJ$13=Assumptions!$L$20,-MIN(BJ$160+BJ$161-BJ165,BJ92),0)</f>
        <v>0</v>
      </c>
      <c r="BK170" s="26">
        <f>IF(BK$13=Assumptions!$L$20,-MIN(BK$160+BK$161-BK165,BK92),0)</f>
        <v>0</v>
      </c>
      <c r="BL170" s="26">
        <f>IF(BL$13=Assumptions!$L$20,-MIN(BL$160+BL$161-BL165,BL92),0)</f>
        <v>0</v>
      </c>
      <c r="BM170" s="26">
        <f>IF(BM$13=Assumptions!$L$20,-MIN(BM$160+BM$161-BM165,BM92),0)</f>
        <v>0</v>
      </c>
      <c r="BN170" s="26">
        <f>IF(BN$13=Assumptions!$L$20,-MIN(BN$160+BN$161-BN165,BN92),0)</f>
        <v>0</v>
      </c>
      <c r="BO170" s="26">
        <f>IF(BO$13=Assumptions!$L$20,-MIN(BO$160+BO$161-BO165,BO92),0)</f>
        <v>0</v>
      </c>
      <c r="BP170" s="26">
        <f>IF(BP$13=Assumptions!$L$20,-MIN(BP$160+BP$161-BP165,BP92),0)</f>
        <v>0</v>
      </c>
      <c r="BQ170" s="26">
        <f>IF(BQ$13=Assumptions!$L$20,-MIN(BQ$160+BQ$161-BQ165,BQ92),0)</f>
        <v>0</v>
      </c>
      <c r="BR170" s="26">
        <f>IF(BR$13=Assumptions!$L$20,-MIN(BR$160+BR$161-BR165,BR92),0)</f>
        <v>0</v>
      </c>
      <c r="BS170" s="26">
        <f>IF(BS$13=Assumptions!$L$20,-MIN(BS$160+BS$161-BS165,BS92),0)</f>
        <v>0</v>
      </c>
      <c r="BT170" s="26">
        <f>IF(BT$13=Assumptions!$L$20,-MIN(BT$160+BT$161-BT165,BT92),0)</f>
        <v>0</v>
      </c>
      <c r="BU170" s="26">
        <f>IF(BU$13=Assumptions!$L$20,-MIN(BU$160+BU$161-BU165,BU92),0)</f>
        <v>0</v>
      </c>
      <c r="BV170" s="26">
        <f>IF(BV$13=Assumptions!$L$20,-MIN(BV$160+BV$161-BV165,BV92),0)</f>
        <v>0</v>
      </c>
      <c r="BW170" s="26">
        <f>IF(BW$13=Assumptions!$L$20,-MIN(BW$160+BW$161-BW165,BW92),0)</f>
        <v>0</v>
      </c>
      <c r="BX170" s="26">
        <f>IF(BX$13=Assumptions!$L$20,-MIN(BX$160+BX$161-BX165,BX92),0)</f>
        <v>0</v>
      </c>
      <c r="BY170" s="26">
        <f>IF(BY$13=Assumptions!$L$20,-MIN(BY$160+BY$161-BY165,BY92),0)</f>
        <v>0</v>
      </c>
      <c r="BZ170" s="26">
        <f>IF(BZ$13=Assumptions!$L$20,-MIN(BZ$160+BZ$161-BZ165,BZ92),0)</f>
        <v>0</v>
      </c>
      <c r="CA170" s="26">
        <f>IF(CA$13=Assumptions!$L$20,-MIN(CA$160+CA$161-CA165,CA92),0)</f>
        <v>0</v>
      </c>
      <c r="CB170" s="26">
        <f>IF(CB$13=Assumptions!$L$20,-MIN(CB$160+CB$161-CB165,CB92),0)</f>
        <v>0</v>
      </c>
      <c r="CC170" s="26">
        <f>IF(CC$13=Assumptions!$L$20,-MIN(CC$160+CC$161-CC165,CC92),0)</f>
        <v>0</v>
      </c>
      <c r="CD170" s="26">
        <f>IF(CD$13=Assumptions!$L$20,-MIN(CD$160+CD$161-CD165,CD92),0)</f>
        <v>0</v>
      </c>
      <c r="CE170" s="26">
        <f>IF(CE$13=Assumptions!$L$20,-MIN(CE$160+CE$161-CE165,CE92),0)</f>
        <v>0</v>
      </c>
      <c r="CF170" s="26">
        <f>IF(CF$13=Assumptions!$L$20,-MIN(CF$160+CF$161-CF165,CF92),0)</f>
        <v>0</v>
      </c>
      <c r="CG170" s="26">
        <f>IF(CG$13=Assumptions!$L$20,-MIN(CG$160+CG$161-CG165,CG92),0)</f>
        <v>0</v>
      </c>
      <c r="CH170" s="26">
        <f>IF(CH$13=Assumptions!$L$20,-MIN(CH$160+CH$161-CH165,CH92),0)</f>
        <v>0</v>
      </c>
      <c r="CI170" s="26">
        <f>IF(CI$13=Assumptions!$L$20,-MIN(CI$160+CI$161-CI165,CI92),0)</f>
        <v>0</v>
      </c>
      <c r="CJ170" s="26">
        <f>IF(CJ$13=Assumptions!$L$20,-MIN(CJ$160+CJ$161-CJ165,CJ92),0)</f>
        <v>0</v>
      </c>
      <c r="CK170" s="26">
        <f>IF(CK$13=Assumptions!$L$20,-MIN(CK$160+CK$161-CK165,CK92),0)</f>
        <v>0</v>
      </c>
      <c r="CL170" s="26">
        <f>IF(CL$13=Assumptions!$L$20,-MIN(CL$160+CL$161-CL165,CL92),0)</f>
        <v>0</v>
      </c>
      <c r="CM170" s="26">
        <f>IF(CM$13=Assumptions!$L$20,-MIN(CM$160+CM$161-CM165,CM92),0)</f>
        <v>0</v>
      </c>
      <c r="CN170" s="26">
        <f>IF(CN$13=Assumptions!$L$20,-MIN(CN$160+CN$161-CN165,CN92),0)</f>
        <v>0</v>
      </c>
      <c r="CO170" s="26">
        <f>IF(CO$13=Assumptions!$L$20,-MIN(CO$160+CO$161-CO165,CO92),0)</f>
        <v>0</v>
      </c>
      <c r="CP170" s="26">
        <f>IF(CP$13=Assumptions!$L$20,-MIN(CP$160+CP$161-CP165,CP92),0)</f>
        <v>0</v>
      </c>
      <c r="CQ170" s="26">
        <f>IF(CQ$13=Assumptions!$L$20,-MIN(CQ$160+CQ$161-CQ165,CQ92),0)</f>
        <v>0</v>
      </c>
      <c r="CR170" s="26">
        <f>IF(CR$13=Assumptions!$L$20,-MIN(CR$160+CR$161-CR165,CR92),0)</f>
        <v>0</v>
      </c>
      <c r="CS170" s="26">
        <f>IF(CS$13=Assumptions!$L$20,-MIN(CS$160+CS$161-CS165,CS92),0)</f>
        <v>0</v>
      </c>
      <c r="CT170" s="26">
        <f>IF(CT$13=Assumptions!$L$20,-MIN(CT$160+CT$161-CT165,CT92),0)</f>
        <v>0</v>
      </c>
      <c r="CU170" s="26">
        <f>IF(CU$13=Assumptions!$L$20,-MIN(CU$160+CU$161-CU165,CU92),0)</f>
        <v>0</v>
      </c>
      <c r="CV170" s="26">
        <f>IF(CV$13=Assumptions!$L$20,-MIN(CV$160+CV$161-CV165,CV92),0)</f>
        <v>0</v>
      </c>
      <c r="CW170" s="26">
        <f>IF(CW$13=Assumptions!$L$20,-MIN(CW$160+CW$161-CW165,CW92),0)</f>
        <v>0</v>
      </c>
      <c r="CX170" s="26">
        <f>IF(CX$13=Assumptions!$L$20,-MIN(CX$160+CX$161-CX165,CX92),0)</f>
        <v>0</v>
      </c>
      <c r="CY170" s="26">
        <f>IF(CY$13=Assumptions!$L$20,-MIN(CY$160+CY$161-CY165,CY92),0)</f>
        <v>0</v>
      </c>
      <c r="CZ170" s="26">
        <f>IF(CZ$13=Assumptions!$L$20,-MIN(CZ$160+CZ$161-CZ165,CZ92),0)</f>
        <v>0</v>
      </c>
      <c r="DA170" s="26">
        <f>IF(DA$13=Assumptions!$L$20,-MIN(DA$160+DA$161-DA165,DA92),0)</f>
        <v>0</v>
      </c>
      <c r="DB170" s="26">
        <f>IF(DB$13=Assumptions!$L$20,-MIN(DB$160+DB$161-DB165,DB92),0)</f>
        <v>0</v>
      </c>
      <c r="DC170" s="26">
        <f>IF(DC$13=Assumptions!$L$20,-MIN(DC$160+DC$161-DC165,DC92),0)</f>
        <v>0</v>
      </c>
      <c r="DD170" s="26">
        <f>IF(DD$13=Assumptions!$L$20,-MIN(DD$160+DD$161-DD165,DD92),0)</f>
        <v>0</v>
      </c>
      <c r="DE170" s="26">
        <f>IF(DE$13=Assumptions!$L$20,-MIN(DE$160+DE$161-DE165,DE92),0)</f>
        <v>0</v>
      </c>
      <c r="DF170" s="26">
        <f>IF(DF$13=Assumptions!$L$20,-MIN(DF$160+DF$161-DF165,DF92),0)</f>
        <v>0</v>
      </c>
      <c r="DG170" s="26">
        <f>IF(DG$13=Assumptions!$L$20,-MIN(DG$160+DG$161-DG165,DG92),0)</f>
        <v>0</v>
      </c>
      <c r="DH170" s="26">
        <f>IF(DH$13=Assumptions!$L$20,-MIN(DH$160+DH$161-DH165,DH92),0)</f>
        <v>0</v>
      </c>
      <c r="DI170" s="26">
        <f ca="1">IF(DI$13=Assumptions!$L$20,-MIN(DI$160+DI$161-DI165,DI92),0)</f>
        <v>-25484.955699999991</v>
      </c>
      <c r="DJ170" s="26">
        <f>IF(DJ$13=Assumptions!$L$20,-MIN(DJ$160+DJ$161-DJ165,DJ92),0)</f>
        <v>0</v>
      </c>
      <c r="DK170" s="26">
        <f>IF(DK$13=Assumptions!$L$20,-MIN(DK$160+DK$161-DK165,DK92),0)</f>
        <v>0</v>
      </c>
      <c r="DL170" s="26">
        <f>IF(DL$13=Assumptions!$L$20,-MIN(DL$160+DL$161-DL165,DL92),0)</f>
        <v>0</v>
      </c>
      <c r="DM170" s="26">
        <f>IF(DM$13=Assumptions!$L$20,-MIN(DM$160+DM$161-DM165,DM92),0)</f>
        <v>0</v>
      </c>
      <c r="DN170" s="26">
        <f>IF(DN$13=Assumptions!$L$20,-MIN(DN$160+DN$161-DN165,DN92),0)</f>
        <v>0</v>
      </c>
      <c r="DO170" s="26">
        <f>IF(DO$13=Assumptions!$L$20,-MIN(DO$160+DO$161-DO165,DO92),0)</f>
        <v>0</v>
      </c>
      <c r="DP170" s="26">
        <f>IF(DP$13=Assumptions!$L$20,-MIN(DP$160+DP$161-DP165,DP92),0)</f>
        <v>0</v>
      </c>
      <c r="DQ170" s="26">
        <f>IF(DQ$13=Assumptions!$L$20,-MIN(DQ$160+DQ$161-DQ165,DQ92),0)</f>
        <v>0</v>
      </c>
      <c r="DR170" s="26">
        <f>IF(DR$13=Assumptions!$L$20,-MIN(DR$160+DR$161-DR165,DR92),0)</f>
        <v>0</v>
      </c>
      <c r="DS170" s="26">
        <f>IF(DS$13=Assumptions!$L$20,-MIN(DS$160+DS$161-DS165,DS92),0)</f>
        <v>0</v>
      </c>
      <c r="DT170" s="26">
        <f>IF(DT$13=Assumptions!$L$20,-MIN(DT$160+DT$161-DT165,DT92),0)</f>
        <v>0</v>
      </c>
      <c r="DU170" s="26">
        <f>IF(DU$13=Assumptions!$L$20,-MIN(DU$160+DU$161-DU165,DU92),0)</f>
        <v>0</v>
      </c>
      <c r="DV170" s="26">
        <f>IF(DV$13=Assumptions!$L$20,-MIN(DV$160+DV$161-DV165,DV92),0)</f>
        <v>0</v>
      </c>
      <c r="DW170" s="26">
        <f>IF(DW$13=Assumptions!$L$20,-MIN(DW$160+DW$161-DW165,DW92),0)</f>
        <v>0</v>
      </c>
      <c r="DX170" s="26">
        <f>IF(DX$13=Assumptions!$L$20,-MIN(DX$160+DX$161-DX165,DX92),0)</f>
        <v>0</v>
      </c>
      <c r="DY170" s="26">
        <f>IF(DY$13=Assumptions!$L$20,-MIN(DY$160+DY$161-DY165,DY92),0)</f>
        <v>0</v>
      </c>
      <c r="DZ170" s="26">
        <f>IF(DZ$13=Assumptions!$L$20,-MIN(DZ$160+DZ$161-DZ165,DZ92),0)</f>
        <v>0</v>
      </c>
      <c r="EA170" s="26">
        <f>IF(EA$13=Assumptions!$L$20,-MIN(EA$160+EA$161-EA165,EA92),0)</f>
        <v>0</v>
      </c>
      <c r="EB170" s="26">
        <f>IF(EB$13=Assumptions!$L$20,-MIN(EB$160+EB$161-EB165,EB92),0)</f>
        <v>0</v>
      </c>
      <c r="EC170" s="26">
        <f>IF(EC$13=Assumptions!$L$20,-MIN(EC$160+EC$161-EC165,EC92),0)</f>
        <v>0</v>
      </c>
      <c r="ED170" s="26">
        <f>IF(ED$13=Assumptions!$L$20,-MIN(ED$160+ED$161-ED165,ED92),0)</f>
        <v>0</v>
      </c>
      <c r="EE170" s="26">
        <f>IF(EE$13=Assumptions!$L$20,-MIN(EE$160+EE$161-EE165,EE92),0)</f>
        <v>0</v>
      </c>
      <c r="EF170" s="26">
        <f>IF(EF$13=Assumptions!$L$20,-MIN(EF$160+EF$161-EF165,EF92),0)</f>
        <v>0</v>
      </c>
      <c r="EG170" s="26">
        <f>IF(EG$13=Assumptions!$L$20,-MIN(EG$160+EG$161-EG165,EG92),0)</f>
        <v>0</v>
      </c>
      <c r="EH170" s="26">
        <f>IF(EH$13=Assumptions!$L$20,-MIN(EH$160+EH$161-EH165,EH92),0)</f>
        <v>0</v>
      </c>
      <c r="EI170" s="26">
        <f>IF(EI$13=Assumptions!$L$20,-MIN(EI$160+EI$161-EI165,EI92),0)</f>
        <v>0</v>
      </c>
      <c r="EJ170" s="26">
        <f>IF(EJ$13=Assumptions!$L$20,-MIN(EJ$160+EJ$161-EJ165,EJ92),0)</f>
        <v>0</v>
      </c>
      <c r="EK170" s="26">
        <f>IF(EK$13=Assumptions!$L$20,-MIN(EK$160+EK$161-EK165,EK92),0)</f>
        <v>0</v>
      </c>
      <c r="EL170" s="26">
        <f>IF(EL$13=Assumptions!$L$20,-MIN(EL$160+EL$161-EL165,EL92),0)</f>
        <v>0</v>
      </c>
      <c r="EM170" s="26">
        <f>IF(EM$13=Assumptions!$L$20,-MIN(EM$160+EM$161-EM165,EM92),0)</f>
        <v>0</v>
      </c>
      <c r="EN170" s="26">
        <f>IF(EN$13=Assumptions!$L$20,-MIN(EN$160+EN$161-EN165,EN92),0)</f>
        <v>0</v>
      </c>
      <c r="EO170" s="26">
        <f>IF(EO$13=Assumptions!$L$20,-MIN(EO$160+EO$161-EO165,EO92),0)</f>
        <v>0</v>
      </c>
      <c r="EP170" s="26">
        <f>IF(EP$13=Assumptions!$L$20,-MIN(EP$160+EP$161-EP165,EP92),0)</f>
        <v>0</v>
      </c>
      <c r="EQ170" s="26">
        <f>IF(EQ$13=Assumptions!$L$20,-MIN(EQ$160+EQ$161-EQ165,EQ92),0)</f>
        <v>0</v>
      </c>
      <c r="ER170" s="26">
        <f>IF(ER$13=Assumptions!$L$20,-MIN(ER$160+ER$161-ER165,ER92),0)</f>
        <v>0</v>
      </c>
      <c r="ES170" s="26">
        <f>IF(ES$13=Assumptions!$L$20,-MIN(ES$160+ES$161-ES165,ES92),0)</f>
        <v>0</v>
      </c>
      <c r="ET170" s="26">
        <f>IF(ET$13=Assumptions!$L$20,-MIN(ET$160+ET$161-ET165,ET92),0)</f>
        <v>0</v>
      </c>
      <c r="EU170" s="26">
        <f>IF(EU$13=Assumptions!$L$20,-MIN(EU$160+EU$161-EU165,EU92),0)</f>
        <v>0</v>
      </c>
      <c r="EV170" s="26">
        <f>IF(EV$13=Assumptions!$L$20,-MIN(EV$160+EV$161-EV165,EV92),0)</f>
        <v>0</v>
      </c>
      <c r="EW170" s="26">
        <f>IF(EW$13=Assumptions!$L$20,-MIN(EW$160+EW$161-EW165,EW92),0)</f>
        <v>0</v>
      </c>
      <c r="EX170" s="26">
        <f>IF(EX$13=Assumptions!$L$20,-MIN(EX$160+EX$161-EX165,EX92),0)</f>
        <v>0</v>
      </c>
      <c r="EY170" s="26">
        <f>IF(EY$13=Assumptions!$L$20,-MIN(EY$160+EY$161-EY165,EY92),0)</f>
        <v>0</v>
      </c>
      <c r="EZ170" s="26">
        <f>IF(EZ$13=Assumptions!$L$20,-MIN(EZ$160+EZ$161-EZ165,EZ92),0)</f>
        <v>0</v>
      </c>
      <c r="FA170" s="26">
        <f>IF(FA$13=Assumptions!$L$20,-MIN(FA$160+FA$161-FA165,FA92),0)</f>
        <v>0</v>
      </c>
      <c r="FB170" s="26">
        <f>IF(FB$13=Assumptions!$L$20,-MIN(FB$160+FB$161-FB165,FB92),0)</f>
        <v>0</v>
      </c>
      <c r="FC170" s="26">
        <f>IF(FC$13=Assumptions!$L$20,-MIN(FC$160+FC$161-FC165,FC92),0)</f>
        <v>0</v>
      </c>
      <c r="FD170" s="26">
        <f>IF(FD$13=Assumptions!$L$20,-MIN(FD$160+FD$161-FD165,FD92),0)</f>
        <v>0</v>
      </c>
      <c r="FE170" s="26">
        <f>IF(FE$13=Assumptions!$L$20,-MIN(FE$160+FE$161-FE165,FE92),0)</f>
        <v>0</v>
      </c>
      <c r="FF170" s="26">
        <f>IF(FF$13=Assumptions!$L$20,-MIN(FF$160+FF$161-FF165,FF92),0)</f>
        <v>0</v>
      </c>
      <c r="FG170" s="26">
        <f>IF(FG$13=Assumptions!$L$20,-MIN(FG$160+FG$161-FG165,FG92),0)</f>
        <v>0</v>
      </c>
      <c r="FH170" s="26">
        <f>IF(FH$13=Assumptions!$L$20,-MIN(FH$160+FH$161-FH165,FH92),0)</f>
        <v>0</v>
      </c>
      <c r="FI170" s="26">
        <f>IF(FI$13=Assumptions!$L$20,-MIN(FI$160+FI$161-FI165,FI92),0)</f>
        <v>0</v>
      </c>
      <c r="FJ170" s="26">
        <f>IF(FJ$13=Assumptions!$L$20,-MIN(FJ$160+FJ$161-FJ165,FJ92),0)</f>
        <v>0</v>
      </c>
      <c r="FK170" s="26">
        <f>IF(FK$13=Assumptions!$L$20,-MIN(FK$160+FK$161-FK165,FK92),0)</f>
        <v>0</v>
      </c>
      <c r="FL170" s="26">
        <f>IF(FL$13=Assumptions!$L$20,-MIN(FL$160+FL$161-FL165,FL92),0)</f>
        <v>0</v>
      </c>
      <c r="FM170" s="26">
        <f>IF(FM$13=Assumptions!$L$20,-MIN(FM$160+FM$161-FM165,FM92),0)</f>
        <v>0</v>
      </c>
      <c r="FN170" s="26">
        <f>IF(FN$13=Assumptions!$L$20,-MIN(FN$160+FN$161-FN165,FN92),0)</f>
        <v>0</v>
      </c>
      <c r="FO170" s="26">
        <f>IF(FO$13=Assumptions!$L$20,-MIN(FO$160+FO$161-FO165,FO92),0)</f>
        <v>0</v>
      </c>
      <c r="FP170" s="26">
        <f>IF(FP$13=Assumptions!$L$20,-MIN(FP$160+FP$161-FP165,FP92),0)</f>
        <v>0</v>
      </c>
      <c r="FQ170" s="26">
        <f>IF(FQ$13=Assumptions!$L$20,-MIN(FQ$160+FQ$161-FQ165,FQ92),0)</f>
        <v>0</v>
      </c>
      <c r="FR170" s="26">
        <f>IF(FR$13=Assumptions!$L$20,-MIN(FR$160+FR$161-FR165,FR92),0)</f>
        <v>0</v>
      </c>
      <c r="FS170" s="26">
        <f>IF(FS$13=Assumptions!$L$20,-MIN(FS$160+FS$161-FS165,FS92),0)</f>
        <v>0</v>
      </c>
      <c r="FT170" s="26">
        <f>IF(FT$13=Assumptions!$L$20,-MIN(FT$160+FT$161-FT165,FT92),0)</f>
        <v>0</v>
      </c>
      <c r="FU170" s="26">
        <f>IF(FU$13=Assumptions!$L$20,-MIN(FU$160+FU$161-FU165,FU92),0)</f>
        <v>0</v>
      </c>
      <c r="FV170" s="26">
        <f>IF(FV$13=Assumptions!$L$20,-MIN(FV$160+FV$161-FV165,FV92),0)</f>
        <v>0</v>
      </c>
      <c r="FW170" s="26">
        <f>IF(FW$13=Assumptions!$L$20,-MIN(FW$160+FW$161-FW165,FW92),0)</f>
        <v>0</v>
      </c>
      <c r="FX170" s="26">
        <f>IF(FX$13=Assumptions!$L$20,-MIN(FX$160+FX$161-FX165,FX92),0)</f>
        <v>0</v>
      </c>
      <c r="FY170" s="26">
        <f>IF(FY$13=Assumptions!$L$20,-MIN(FY$160+FY$161-FY165,FY92),0)</f>
        <v>0</v>
      </c>
      <c r="FZ170" s="26">
        <f>IF(FZ$13=Assumptions!$L$20,-MIN(FZ$160+FZ$161-FZ165,FZ92),0)</f>
        <v>0</v>
      </c>
      <c r="GA170" s="26">
        <f>IF(GA$13=Assumptions!$L$20,-MIN(GA$160+GA$161-GA165,GA92),0)</f>
        <v>0</v>
      </c>
      <c r="GB170" s="26">
        <f>IF(GB$13=Assumptions!$L$20,-MIN(GB$160+GB$161-GB165,GB92),0)</f>
        <v>0</v>
      </c>
      <c r="GC170" s="26">
        <f>IF(GC$13=Assumptions!$L$20,-MIN(GC$160+GC$161-GC165,GC92),0)</f>
        <v>0</v>
      </c>
      <c r="GD170" s="26"/>
      <c r="GE170" s="26"/>
      <c r="GF170" s="26"/>
      <c r="GG170" s="26"/>
      <c r="GH170" s="26"/>
      <c r="GI170" s="26"/>
      <c r="GJ170" s="26"/>
      <c r="GK170" s="26"/>
      <c r="GL170" s="26"/>
      <c r="GM170" s="26"/>
      <c r="GN170" s="26"/>
      <c r="GO170" s="26"/>
      <c r="GP170" s="26">
        <f>IF(GP$13=Assumptions!$L$20,-MIN(GP$160+GP$161-GP165,GP92),0)</f>
        <v>0</v>
      </c>
      <c r="GQ170" s="26">
        <f>IF(GQ$13=Assumptions!$L$20,-MIN(GQ$160+GQ$161-GQ165,GQ92),0)</f>
        <v>0</v>
      </c>
      <c r="GR170" s="26">
        <f>IF(GR$13=Assumptions!$L$20,-MIN(GR$160+GR$161-GR165,GR92),0)</f>
        <v>0</v>
      </c>
      <c r="GS170" s="26">
        <f>IF(GS$13=Assumptions!$L$20,-MIN(GS$160+GS$161-GS165,GS92),0)</f>
        <v>0</v>
      </c>
      <c r="GT170" s="26">
        <f>IF(GT$13=Assumptions!$L$20,-MIN(GT$160+GT$161-GT165,GT92),0)</f>
        <v>0</v>
      </c>
      <c r="GU170" s="26"/>
      <c r="GV170" s="26"/>
      <c r="GW170" s="26"/>
      <c r="GX170" s="26"/>
      <c r="GY170" s="26"/>
      <c r="GZ170" s="26"/>
      <c r="HA170" s="26"/>
      <c r="HB170" s="26"/>
      <c r="HC170" s="26"/>
      <c r="HD170" s="26"/>
      <c r="HE170" s="26"/>
      <c r="HF170" s="1" t="s">
        <v>212</v>
      </c>
      <c r="HH170" s="9" t="str">
        <f t="shared" si="1059"/>
        <v>Principal Paydown</v>
      </c>
      <c r="HI170" s="34"/>
      <c r="HJ170" s="34"/>
      <c r="HK170" s="34"/>
      <c r="HL170" s="132">
        <f t="shared" si="1123"/>
        <v>0</v>
      </c>
      <c r="HM170" s="18"/>
      <c r="HN170" s="133">
        <f t="shared" si="1124"/>
        <v>0</v>
      </c>
      <c r="HO170" s="26">
        <f t="shared" si="1124"/>
        <v>0</v>
      </c>
      <c r="HP170" s="26">
        <f t="shared" si="1124"/>
        <v>0</v>
      </c>
      <c r="HQ170" s="26">
        <f t="shared" si="1124"/>
        <v>0</v>
      </c>
      <c r="HR170" s="26">
        <f t="shared" si="1124"/>
        <v>0</v>
      </c>
      <c r="HS170" s="26">
        <f t="shared" si="1124"/>
        <v>0</v>
      </c>
      <c r="HT170" s="26">
        <f t="shared" si="1124"/>
        <v>0</v>
      </c>
      <c r="HU170" s="26">
        <f t="shared" si="1124"/>
        <v>0</v>
      </c>
      <c r="HV170" s="26">
        <f t="shared" si="1124"/>
        <v>0</v>
      </c>
      <c r="HW170"/>
    </row>
    <row r="171" spans="1:231" ht="15" outlineLevel="1">
      <c r="B171" s="162" t="s">
        <v>123</v>
      </c>
      <c r="C171" s="162"/>
      <c r="D171" s="162"/>
      <c r="E171" s="162"/>
      <c r="F171" s="162"/>
      <c r="G171" s="162"/>
      <c r="H171" s="162"/>
      <c r="I171" s="219"/>
      <c r="J171" s="162"/>
      <c r="K171" s="163">
        <f>K160+K161+K170-K165</f>
        <v>0</v>
      </c>
      <c r="L171" s="211">
        <f t="shared" ref="L171:BR171" si="1143">L160+L161+L170-L165</f>
        <v>0</v>
      </c>
      <c r="M171" s="211">
        <f t="shared" si="1143"/>
        <v>0</v>
      </c>
      <c r="N171" s="211">
        <f t="shared" si="1143"/>
        <v>0</v>
      </c>
      <c r="O171" s="211">
        <f t="shared" si="1143"/>
        <v>0</v>
      </c>
      <c r="P171" s="211">
        <f t="shared" si="1143"/>
        <v>0</v>
      </c>
      <c r="Q171" s="211">
        <f t="shared" si="1143"/>
        <v>0</v>
      </c>
      <c r="R171" s="211">
        <f t="shared" si="1143"/>
        <v>0</v>
      </c>
      <c r="S171" s="211">
        <f t="shared" si="1143"/>
        <v>0</v>
      </c>
      <c r="T171" s="211">
        <f t="shared" si="1143"/>
        <v>0</v>
      </c>
      <c r="U171" s="211">
        <f t="shared" si="1143"/>
        <v>0</v>
      </c>
      <c r="V171" s="211">
        <f t="shared" si="1143"/>
        <v>0</v>
      </c>
      <c r="W171" s="211">
        <f t="shared" si="1143"/>
        <v>0</v>
      </c>
      <c r="X171" s="211">
        <f t="shared" si="1143"/>
        <v>0</v>
      </c>
      <c r="Y171" s="211">
        <f t="shared" si="1143"/>
        <v>0</v>
      </c>
      <c r="Z171" s="211">
        <f t="shared" si="1143"/>
        <v>0</v>
      </c>
      <c r="AA171" s="211">
        <f t="shared" si="1143"/>
        <v>0</v>
      </c>
      <c r="AB171" s="211">
        <f t="shared" si="1143"/>
        <v>0</v>
      </c>
      <c r="AC171" s="211">
        <f t="shared" si="1143"/>
        <v>0</v>
      </c>
      <c r="AD171" s="211">
        <f t="shared" si="1143"/>
        <v>0</v>
      </c>
      <c r="AE171" s="211">
        <f t="shared" si="1143"/>
        <v>0</v>
      </c>
      <c r="AF171" s="211">
        <f t="shared" si="1143"/>
        <v>0</v>
      </c>
      <c r="AG171" s="211">
        <f t="shared" si="1143"/>
        <v>0</v>
      </c>
      <c r="AH171" s="211">
        <f t="shared" si="1143"/>
        <v>0</v>
      </c>
      <c r="AI171" s="211">
        <f t="shared" si="1143"/>
        <v>0</v>
      </c>
      <c r="AJ171" s="211">
        <f t="shared" si="1143"/>
        <v>0</v>
      </c>
      <c r="AK171" s="211">
        <f t="shared" si="1143"/>
        <v>0</v>
      </c>
      <c r="AL171" s="211">
        <f t="shared" si="1143"/>
        <v>0</v>
      </c>
      <c r="AM171" s="211">
        <f t="shared" si="1143"/>
        <v>0</v>
      </c>
      <c r="AN171" s="211">
        <f t="shared" si="1143"/>
        <v>0</v>
      </c>
      <c r="AO171" s="211">
        <f t="shared" si="1143"/>
        <v>0</v>
      </c>
      <c r="AP171" s="211">
        <f t="shared" si="1143"/>
        <v>0</v>
      </c>
      <c r="AQ171" s="211">
        <f t="shared" si="1143"/>
        <v>0</v>
      </c>
      <c r="AR171" s="211">
        <f t="shared" si="1143"/>
        <v>0</v>
      </c>
      <c r="AS171" s="211">
        <f t="shared" si="1143"/>
        <v>0</v>
      </c>
      <c r="AT171" s="211">
        <f t="shared" si="1143"/>
        <v>0</v>
      </c>
      <c r="AU171" s="211">
        <f t="shared" si="1143"/>
        <v>0</v>
      </c>
      <c r="AV171" s="211">
        <f t="shared" si="1143"/>
        <v>0</v>
      </c>
      <c r="AW171" s="211">
        <f t="shared" si="1143"/>
        <v>0</v>
      </c>
      <c r="AX171" s="211">
        <f t="shared" si="1143"/>
        <v>0</v>
      </c>
      <c r="AY171" s="211">
        <f t="shared" si="1143"/>
        <v>0</v>
      </c>
      <c r="AZ171" s="211">
        <f t="shared" si="1143"/>
        <v>0</v>
      </c>
      <c r="BA171" s="211">
        <f t="shared" si="1143"/>
        <v>0</v>
      </c>
      <c r="BB171" s="211">
        <f t="shared" si="1143"/>
        <v>0</v>
      </c>
      <c r="BC171" s="211">
        <f t="shared" si="1143"/>
        <v>0</v>
      </c>
      <c r="BD171" s="211">
        <f t="shared" si="1143"/>
        <v>0</v>
      </c>
      <c r="BE171" s="211">
        <f t="shared" si="1143"/>
        <v>0</v>
      </c>
      <c r="BF171" s="211">
        <f t="shared" si="1143"/>
        <v>0</v>
      </c>
      <c r="BG171" s="211">
        <f t="shared" si="1143"/>
        <v>0</v>
      </c>
      <c r="BH171" s="211">
        <f t="shared" si="1143"/>
        <v>0</v>
      </c>
      <c r="BI171" s="211">
        <f t="shared" si="1143"/>
        <v>0</v>
      </c>
      <c r="BJ171" s="211">
        <f t="shared" si="1143"/>
        <v>0</v>
      </c>
      <c r="BK171" s="211">
        <f t="shared" si="1143"/>
        <v>0</v>
      </c>
      <c r="BL171" s="211">
        <f t="shared" si="1143"/>
        <v>0</v>
      </c>
      <c r="BM171" s="211">
        <f t="shared" si="1143"/>
        <v>0</v>
      </c>
      <c r="BN171" s="211">
        <f t="shared" si="1143"/>
        <v>0</v>
      </c>
      <c r="BO171" s="211">
        <f t="shared" si="1143"/>
        <v>0</v>
      </c>
      <c r="BP171" s="211">
        <f t="shared" si="1143"/>
        <v>0</v>
      </c>
      <c r="BQ171" s="211">
        <f t="shared" si="1143"/>
        <v>0</v>
      </c>
      <c r="BR171" s="211">
        <f t="shared" si="1143"/>
        <v>0</v>
      </c>
      <c r="BS171" s="211">
        <f ca="1">BS160+BS164+BS170-BS165</f>
        <v>22133.63997</v>
      </c>
      <c r="BT171" s="211">
        <f t="shared" ref="BT171:EE171" ca="1" si="1144">BT160+BT164+BT170-BT165</f>
        <v>22133.63997</v>
      </c>
      <c r="BU171" s="211">
        <f t="shared" ca="1" si="1144"/>
        <v>22133.63997</v>
      </c>
      <c r="BV171" s="211">
        <f t="shared" ca="1" si="1144"/>
        <v>22133.63997</v>
      </c>
      <c r="BW171" s="211">
        <f t="shared" ca="1" si="1144"/>
        <v>22142.98516</v>
      </c>
      <c r="BX171" s="211">
        <f t="shared" ca="1" si="1144"/>
        <v>22170.19944</v>
      </c>
      <c r="BY171" s="211">
        <f t="shared" ca="1" si="1144"/>
        <v>22257.53327</v>
      </c>
      <c r="BZ171" s="211">
        <f t="shared" ca="1" si="1144"/>
        <v>22257.53327</v>
      </c>
      <c r="CA171" s="211">
        <f t="shared" ca="1" si="1144"/>
        <v>22356.948270000001</v>
      </c>
      <c r="CB171" s="211">
        <f t="shared" ca="1" si="1144"/>
        <v>22361.948270000001</v>
      </c>
      <c r="CC171" s="211">
        <f t="shared" ca="1" si="1144"/>
        <v>22361.948270000001</v>
      </c>
      <c r="CD171" s="211">
        <f t="shared" ca="1" si="1144"/>
        <v>22641.602269999999</v>
      </c>
      <c r="CE171" s="211">
        <f t="shared" ca="1" si="1144"/>
        <v>22641.602269999999</v>
      </c>
      <c r="CF171" s="211">
        <f t="shared" ca="1" si="1144"/>
        <v>22708.552230000001</v>
      </c>
      <c r="CG171" s="211">
        <f t="shared" ca="1" si="1144"/>
        <v>22708.552230000001</v>
      </c>
      <c r="CH171" s="211">
        <f t="shared" ca="1" si="1144"/>
        <v>22730.8387</v>
      </c>
      <c r="CI171" s="211">
        <f t="shared" ca="1" si="1144"/>
        <v>22730.8387</v>
      </c>
      <c r="CJ171" s="211">
        <f t="shared" ca="1" si="1144"/>
        <v>22730.8387</v>
      </c>
      <c r="CK171" s="211">
        <f t="shared" ca="1" si="1144"/>
        <v>22730.8387</v>
      </c>
      <c r="CL171" s="211">
        <f t="shared" ca="1" si="1144"/>
        <v>22730.8387</v>
      </c>
      <c r="CM171" s="211">
        <f t="shared" ca="1" si="1144"/>
        <v>22799.152192063491</v>
      </c>
      <c r="CN171" s="211">
        <f t="shared" ca="1" si="1144"/>
        <v>22867.465684126983</v>
      </c>
      <c r="CO171" s="211">
        <f t="shared" ca="1" si="1144"/>
        <v>22935.779176190474</v>
      </c>
      <c r="CP171" s="211">
        <f t="shared" ca="1" si="1144"/>
        <v>23097.001668253964</v>
      </c>
      <c r="CQ171" s="211">
        <f t="shared" ca="1" si="1144"/>
        <v>23159.065160317456</v>
      </c>
      <c r="CR171" s="211">
        <f t="shared" ca="1" si="1144"/>
        <v>23221.128652380947</v>
      </c>
      <c r="CS171" s="211">
        <f t="shared" ca="1" si="1144"/>
        <v>23456.79414444444</v>
      </c>
      <c r="CT171" s="211">
        <f t="shared" ca="1" si="1144"/>
        <v>23753.497922222217</v>
      </c>
      <c r="CU171" s="211">
        <f t="shared" ca="1" si="1144"/>
        <v>23781.275699999995</v>
      </c>
      <c r="CV171" s="211">
        <f t="shared" ca="1" si="1144"/>
        <v>23781.275699999995</v>
      </c>
      <c r="CW171" s="211">
        <f t="shared" ca="1" si="1144"/>
        <v>23781.275699999995</v>
      </c>
      <c r="CX171" s="211">
        <f t="shared" ca="1" si="1144"/>
        <v>23781.275699999995</v>
      </c>
      <c r="CY171" s="211">
        <f t="shared" ca="1" si="1144"/>
        <v>23956.394699999993</v>
      </c>
      <c r="CZ171" s="211">
        <f t="shared" ca="1" si="1144"/>
        <v>23956.394699999993</v>
      </c>
      <c r="DA171" s="211">
        <f t="shared" ca="1" si="1144"/>
        <v>24110.511699999992</v>
      </c>
      <c r="DB171" s="211">
        <f t="shared" ca="1" si="1144"/>
        <v>25292.154699999992</v>
      </c>
      <c r="DC171" s="211">
        <f t="shared" ca="1" si="1144"/>
        <v>25484.955699999991</v>
      </c>
      <c r="DD171" s="211">
        <f t="shared" ca="1" si="1144"/>
        <v>25484.955699999991</v>
      </c>
      <c r="DE171" s="211">
        <f t="shared" ca="1" si="1144"/>
        <v>25484.955699999991</v>
      </c>
      <c r="DF171" s="211">
        <f t="shared" ca="1" si="1144"/>
        <v>25484.955699999991</v>
      </c>
      <c r="DG171" s="211">
        <f t="shared" ca="1" si="1144"/>
        <v>25484.955699999991</v>
      </c>
      <c r="DH171" s="211">
        <f t="shared" ca="1" si="1144"/>
        <v>25484.955699999991</v>
      </c>
      <c r="DI171" s="211">
        <f t="shared" ca="1" si="1144"/>
        <v>0</v>
      </c>
      <c r="DJ171" s="211">
        <f t="shared" ca="1" si="1144"/>
        <v>0</v>
      </c>
      <c r="DK171" s="211">
        <f t="shared" ca="1" si="1144"/>
        <v>0</v>
      </c>
      <c r="DL171" s="211">
        <f t="shared" ca="1" si="1144"/>
        <v>0</v>
      </c>
      <c r="DM171" s="211">
        <f t="shared" ca="1" si="1144"/>
        <v>0</v>
      </c>
      <c r="DN171" s="211">
        <f t="shared" ca="1" si="1144"/>
        <v>0</v>
      </c>
      <c r="DO171" s="211">
        <f t="shared" ca="1" si="1144"/>
        <v>0</v>
      </c>
      <c r="DP171" s="211">
        <f t="shared" ca="1" si="1144"/>
        <v>0</v>
      </c>
      <c r="DQ171" s="211">
        <f t="shared" ca="1" si="1144"/>
        <v>0</v>
      </c>
      <c r="DR171" s="211">
        <f t="shared" ca="1" si="1144"/>
        <v>0</v>
      </c>
      <c r="DS171" s="211">
        <f t="shared" ca="1" si="1144"/>
        <v>0</v>
      </c>
      <c r="DT171" s="211">
        <f t="shared" ca="1" si="1144"/>
        <v>0</v>
      </c>
      <c r="DU171" s="211">
        <f t="shared" ca="1" si="1144"/>
        <v>0</v>
      </c>
      <c r="DV171" s="211">
        <f t="shared" ca="1" si="1144"/>
        <v>0</v>
      </c>
      <c r="DW171" s="211">
        <f t="shared" ca="1" si="1144"/>
        <v>0</v>
      </c>
      <c r="DX171" s="211">
        <f t="shared" ca="1" si="1144"/>
        <v>0</v>
      </c>
      <c r="DY171" s="211">
        <f t="shared" ca="1" si="1144"/>
        <v>0</v>
      </c>
      <c r="DZ171" s="211">
        <f t="shared" ca="1" si="1144"/>
        <v>0</v>
      </c>
      <c r="EA171" s="211">
        <f t="shared" ca="1" si="1144"/>
        <v>0</v>
      </c>
      <c r="EB171" s="211">
        <f t="shared" ca="1" si="1144"/>
        <v>0</v>
      </c>
      <c r="EC171" s="211">
        <f t="shared" ca="1" si="1144"/>
        <v>0</v>
      </c>
      <c r="ED171" s="211">
        <f t="shared" ca="1" si="1144"/>
        <v>0</v>
      </c>
      <c r="EE171" s="211">
        <f t="shared" ca="1" si="1144"/>
        <v>0</v>
      </c>
      <c r="EF171" s="211">
        <f t="shared" ref="EF171:GQ171" ca="1" si="1145">EF160+EF164+EF170-EF165</f>
        <v>0</v>
      </c>
      <c r="EG171" s="211">
        <f t="shared" ca="1" si="1145"/>
        <v>0</v>
      </c>
      <c r="EH171" s="211">
        <f t="shared" ca="1" si="1145"/>
        <v>0</v>
      </c>
      <c r="EI171" s="211">
        <f t="shared" ca="1" si="1145"/>
        <v>0</v>
      </c>
      <c r="EJ171" s="211">
        <f t="shared" ca="1" si="1145"/>
        <v>0</v>
      </c>
      <c r="EK171" s="211">
        <f t="shared" ca="1" si="1145"/>
        <v>0</v>
      </c>
      <c r="EL171" s="211">
        <f t="shared" ca="1" si="1145"/>
        <v>0</v>
      </c>
      <c r="EM171" s="211">
        <f t="shared" ca="1" si="1145"/>
        <v>0</v>
      </c>
      <c r="EN171" s="211">
        <f t="shared" ca="1" si="1145"/>
        <v>0</v>
      </c>
      <c r="EO171" s="211">
        <f t="shared" ca="1" si="1145"/>
        <v>0</v>
      </c>
      <c r="EP171" s="211">
        <f t="shared" ca="1" si="1145"/>
        <v>0</v>
      </c>
      <c r="EQ171" s="211">
        <f t="shared" ca="1" si="1145"/>
        <v>0</v>
      </c>
      <c r="ER171" s="211">
        <f t="shared" ca="1" si="1145"/>
        <v>0</v>
      </c>
      <c r="ES171" s="211">
        <f t="shared" ca="1" si="1145"/>
        <v>0</v>
      </c>
      <c r="ET171" s="211">
        <f t="shared" ca="1" si="1145"/>
        <v>0</v>
      </c>
      <c r="EU171" s="211">
        <f t="shared" ca="1" si="1145"/>
        <v>0</v>
      </c>
      <c r="EV171" s="211">
        <f t="shared" ca="1" si="1145"/>
        <v>0</v>
      </c>
      <c r="EW171" s="211">
        <f t="shared" ca="1" si="1145"/>
        <v>0</v>
      </c>
      <c r="EX171" s="211">
        <f t="shared" ca="1" si="1145"/>
        <v>0</v>
      </c>
      <c r="EY171" s="211">
        <f t="shared" ca="1" si="1145"/>
        <v>0</v>
      </c>
      <c r="EZ171" s="211">
        <f t="shared" ca="1" si="1145"/>
        <v>0</v>
      </c>
      <c r="FA171" s="211">
        <f t="shared" ca="1" si="1145"/>
        <v>0</v>
      </c>
      <c r="FB171" s="211">
        <f t="shared" ca="1" si="1145"/>
        <v>0</v>
      </c>
      <c r="FC171" s="211">
        <f t="shared" ca="1" si="1145"/>
        <v>0</v>
      </c>
      <c r="FD171" s="211">
        <f t="shared" ca="1" si="1145"/>
        <v>0</v>
      </c>
      <c r="FE171" s="211">
        <f t="shared" ca="1" si="1145"/>
        <v>0</v>
      </c>
      <c r="FF171" s="211">
        <f t="shared" ca="1" si="1145"/>
        <v>0</v>
      </c>
      <c r="FG171" s="211">
        <f t="shared" ca="1" si="1145"/>
        <v>0</v>
      </c>
      <c r="FH171" s="211">
        <f t="shared" ca="1" si="1145"/>
        <v>0</v>
      </c>
      <c r="FI171" s="211">
        <f t="shared" ca="1" si="1145"/>
        <v>0</v>
      </c>
      <c r="FJ171" s="211">
        <f t="shared" ca="1" si="1145"/>
        <v>0</v>
      </c>
      <c r="FK171" s="211">
        <f t="shared" ca="1" si="1145"/>
        <v>0</v>
      </c>
      <c r="FL171" s="211">
        <f t="shared" ca="1" si="1145"/>
        <v>0</v>
      </c>
      <c r="FM171" s="211">
        <f t="shared" ca="1" si="1145"/>
        <v>0</v>
      </c>
      <c r="FN171" s="211">
        <f t="shared" ca="1" si="1145"/>
        <v>0</v>
      </c>
      <c r="FO171" s="211">
        <f t="shared" ca="1" si="1145"/>
        <v>0</v>
      </c>
      <c r="FP171" s="211">
        <f t="shared" ca="1" si="1145"/>
        <v>0</v>
      </c>
      <c r="FQ171" s="211">
        <f t="shared" ca="1" si="1145"/>
        <v>0</v>
      </c>
      <c r="FR171" s="211">
        <f t="shared" ca="1" si="1145"/>
        <v>0</v>
      </c>
      <c r="FS171" s="211">
        <f t="shared" ca="1" si="1145"/>
        <v>0</v>
      </c>
      <c r="FT171" s="211">
        <f t="shared" ca="1" si="1145"/>
        <v>0</v>
      </c>
      <c r="FU171" s="211">
        <f t="shared" ca="1" si="1145"/>
        <v>0</v>
      </c>
      <c r="FV171" s="211">
        <f t="shared" ca="1" si="1145"/>
        <v>0</v>
      </c>
      <c r="FW171" s="211">
        <f t="shared" ca="1" si="1145"/>
        <v>0</v>
      </c>
      <c r="FX171" s="211">
        <f t="shared" ca="1" si="1145"/>
        <v>0</v>
      </c>
      <c r="FY171" s="211">
        <f t="shared" ca="1" si="1145"/>
        <v>0</v>
      </c>
      <c r="FZ171" s="211">
        <f t="shared" ca="1" si="1145"/>
        <v>0</v>
      </c>
      <c r="GA171" s="211">
        <f t="shared" ca="1" si="1145"/>
        <v>0</v>
      </c>
      <c r="GB171" s="211">
        <f t="shared" ca="1" si="1145"/>
        <v>0</v>
      </c>
      <c r="GC171" s="211">
        <f t="shared" ca="1" si="1145"/>
        <v>0</v>
      </c>
      <c r="GD171" s="211">
        <f t="shared" ca="1" si="1145"/>
        <v>0</v>
      </c>
      <c r="GE171" s="211">
        <f t="shared" ca="1" si="1145"/>
        <v>0</v>
      </c>
      <c r="GF171" s="211">
        <f t="shared" ca="1" si="1145"/>
        <v>0</v>
      </c>
      <c r="GG171" s="211">
        <f t="shared" ca="1" si="1145"/>
        <v>0</v>
      </c>
      <c r="GH171" s="211">
        <f t="shared" ca="1" si="1145"/>
        <v>0</v>
      </c>
      <c r="GI171" s="211">
        <f t="shared" ca="1" si="1145"/>
        <v>0</v>
      </c>
      <c r="GJ171" s="211">
        <f t="shared" ca="1" si="1145"/>
        <v>0</v>
      </c>
      <c r="GK171" s="211">
        <f t="shared" ca="1" si="1145"/>
        <v>0</v>
      </c>
      <c r="GL171" s="211">
        <f t="shared" ca="1" si="1145"/>
        <v>0</v>
      </c>
      <c r="GM171" s="211">
        <f t="shared" ca="1" si="1145"/>
        <v>0</v>
      </c>
      <c r="GN171" s="211">
        <f t="shared" ca="1" si="1145"/>
        <v>0</v>
      </c>
      <c r="GO171" s="211">
        <f t="shared" ca="1" si="1145"/>
        <v>0</v>
      </c>
      <c r="GP171" s="211">
        <f t="shared" ca="1" si="1145"/>
        <v>0</v>
      </c>
      <c r="GQ171" s="211">
        <f t="shared" ca="1" si="1145"/>
        <v>0</v>
      </c>
      <c r="GR171" s="211">
        <f t="shared" ref="GR171:HE171" ca="1" si="1146">GR160+GR164+GR170-GR165</f>
        <v>0</v>
      </c>
      <c r="GS171" s="211">
        <f t="shared" ca="1" si="1146"/>
        <v>0</v>
      </c>
      <c r="GT171" s="211">
        <f t="shared" ca="1" si="1146"/>
        <v>0</v>
      </c>
      <c r="GU171" s="211">
        <f t="shared" si="1146"/>
        <v>0</v>
      </c>
      <c r="GV171" s="211">
        <f t="shared" si="1146"/>
        <v>0</v>
      </c>
      <c r="GW171" s="211">
        <f t="shared" si="1146"/>
        <v>0</v>
      </c>
      <c r="GX171" s="211">
        <f t="shared" si="1146"/>
        <v>0</v>
      </c>
      <c r="GY171" s="211">
        <f t="shared" si="1146"/>
        <v>0</v>
      </c>
      <c r="GZ171" s="211">
        <f t="shared" si="1146"/>
        <v>0</v>
      </c>
      <c r="HA171" s="211">
        <f t="shared" si="1146"/>
        <v>0</v>
      </c>
      <c r="HB171" s="211">
        <f t="shared" si="1146"/>
        <v>0</v>
      </c>
      <c r="HC171" s="211">
        <f t="shared" si="1146"/>
        <v>0</v>
      </c>
      <c r="HD171" s="211">
        <f t="shared" si="1146"/>
        <v>0</v>
      </c>
      <c r="HE171" s="211">
        <f t="shared" si="1146"/>
        <v>0</v>
      </c>
      <c r="HF171" s="1" t="s">
        <v>212</v>
      </c>
      <c r="HH171" s="162" t="str">
        <f t="shared" si="1059"/>
        <v>Ending Balance</v>
      </c>
      <c r="HI171" s="147"/>
      <c r="HJ171" s="147"/>
      <c r="HK171" s="147"/>
      <c r="HL171" s="219">
        <f t="shared" ca="1" si="1123"/>
        <v>852013.55722999992</v>
      </c>
      <c r="HM171" s="212"/>
      <c r="HN171" s="163">
        <f t="shared" si="1124"/>
        <v>0</v>
      </c>
      <c r="HO171" s="211">
        <f t="shared" si="1124"/>
        <v>0</v>
      </c>
      <c r="HP171" s="211">
        <f t="shared" si="1124"/>
        <v>0</v>
      </c>
      <c r="HQ171" s="211">
        <f t="shared" si="1124"/>
        <v>0</v>
      </c>
      <c r="HR171" s="211">
        <f t="shared" si="1124"/>
        <v>0</v>
      </c>
      <c r="HS171" s="211">
        <f t="shared" ca="1" si="1124"/>
        <v>22133.63997</v>
      </c>
      <c r="HT171" s="211">
        <f t="shared" ca="1" si="1124"/>
        <v>267593.22039999999</v>
      </c>
      <c r="HU171" s="211">
        <f t="shared" ca="1" si="1124"/>
        <v>273929.76184095233</v>
      </c>
      <c r="HV171" s="211">
        <f t="shared" ca="1" si="1124"/>
        <v>288356.93501904758</v>
      </c>
      <c r="HW171"/>
    </row>
    <row r="172" spans="1:231" ht="15" outlineLevel="1">
      <c r="B172" s="33"/>
      <c r="I172" s="123"/>
      <c r="J172" s="34"/>
      <c r="K172" s="12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c r="BA172" s="34"/>
      <c r="BB172" s="34"/>
      <c r="BC172" s="34"/>
      <c r="BD172" s="34"/>
      <c r="BE172" s="34"/>
      <c r="BF172" s="34"/>
      <c r="BG172" s="34"/>
      <c r="BH172" s="34"/>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c r="CK172" s="34"/>
      <c r="CL172" s="34"/>
      <c r="CM172" s="34"/>
      <c r="CN172" s="34"/>
      <c r="CO172" s="34"/>
      <c r="CP172" s="34"/>
      <c r="CQ172" s="34"/>
      <c r="CR172" s="34"/>
      <c r="CS172" s="34"/>
      <c r="CT172" s="34"/>
      <c r="CU172" s="34"/>
      <c r="CV172" s="34"/>
      <c r="CW172" s="34"/>
      <c r="CX172" s="34"/>
      <c r="CY172" s="34"/>
      <c r="CZ172" s="34"/>
      <c r="DA172" s="34"/>
      <c r="DB172" s="34"/>
      <c r="DC172" s="34"/>
      <c r="DD172" s="34"/>
      <c r="DE172" s="34"/>
      <c r="DF172" s="34"/>
      <c r="DG172" s="34"/>
      <c r="DH172" s="34"/>
      <c r="DI172" s="34"/>
      <c r="DJ172" s="34"/>
      <c r="DK172" s="34"/>
      <c r="DL172" s="34"/>
      <c r="DM172" s="34"/>
      <c r="DN172" s="34"/>
      <c r="DO172" s="34"/>
      <c r="DP172" s="34"/>
      <c r="DQ172" s="34"/>
      <c r="DR172" s="34"/>
      <c r="DS172" s="34"/>
      <c r="DT172" s="34"/>
      <c r="DU172" s="34"/>
      <c r="DV172" s="34"/>
      <c r="DW172" s="34"/>
      <c r="DX172" s="34"/>
      <c r="DY172" s="34"/>
      <c r="DZ172" s="34"/>
      <c r="EA172" s="34"/>
      <c r="EB172" s="34"/>
      <c r="EC172" s="34"/>
      <c r="ED172" s="34"/>
      <c r="EE172" s="34"/>
      <c r="EF172" s="34"/>
      <c r="EG172" s="34"/>
      <c r="EH172" s="34"/>
      <c r="EI172" s="34"/>
      <c r="EJ172" s="34"/>
      <c r="EK172" s="34"/>
      <c r="EL172" s="34"/>
      <c r="EM172" s="34"/>
      <c r="EN172" s="34"/>
      <c r="EO172" s="34"/>
      <c r="EP172" s="34"/>
      <c r="EQ172" s="34"/>
      <c r="ER172" s="34"/>
      <c r="ES172" s="34"/>
      <c r="ET172" s="34"/>
      <c r="EU172" s="34"/>
      <c r="EV172" s="34"/>
      <c r="EW172" s="34"/>
      <c r="EX172" s="34"/>
      <c r="EY172" s="34"/>
      <c r="EZ172" s="34"/>
      <c r="FA172" s="34"/>
      <c r="FB172" s="34"/>
      <c r="FC172" s="34"/>
      <c r="FD172" s="34"/>
      <c r="FE172" s="34"/>
      <c r="FF172" s="34"/>
      <c r="FG172" s="34"/>
      <c r="FH172" s="34"/>
      <c r="FI172" s="34"/>
      <c r="FJ172" s="34"/>
      <c r="FK172" s="34"/>
      <c r="FL172" s="34"/>
      <c r="FM172" s="34"/>
      <c r="FN172" s="34"/>
      <c r="FO172" s="34"/>
      <c r="FP172" s="34"/>
      <c r="FQ172" s="34"/>
      <c r="FR172" s="34"/>
      <c r="FS172" s="34"/>
      <c r="FT172" s="34"/>
      <c r="FU172" s="34"/>
      <c r="FV172" s="34"/>
      <c r="FW172" s="34"/>
      <c r="FX172" s="34"/>
      <c r="FY172" s="34"/>
      <c r="FZ172" s="34"/>
      <c r="GA172" s="34"/>
      <c r="GB172" s="34"/>
      <c r="GC172" s="34"/>
      <c r="GD172" s="34"/>
      <c r="GE172" s="34"/>
      <c r="GF172" s="34"/>
      <c r="GG172" s="34"/>
      <c r="GH172" s="34"/>
      <c r="GI172" s="34"/>
      <c r="GJ172" s="34"/>
      <c r="GK172" s="34"/>
      <c r="GL172" s="34"/>
      <c r="GM172" s="34"/>
      <c r="GN172" s="34"/>
      <c r="GO172" s="34"/>
      <c r="GP172" s="34"/>
      <c r="GQ172" s="34"/>
      <c r="GR172" s="34"/>
      <c r="GS172" s="34"/>
      <c r="GT172" s="34"/>
      <c r="GU172" s="34"/>
      <c r="GV172" s="34"/>
      <c r="GW172" s="34"/>
      <c r="GX172" s="34"/>
      <c r="GY172" s="34"/>
      <c r="GZ172" s="34"/>
      <c r="HA172" s="34"/>
      <c r="HB172" s="34"/>
      <c r="HC172" s="34"/>
      <c r="HD172" s="34"/>
      <c r="HE172" s="34"/>
      <c r="HF172" s="1" t="s">
        <v>212</v>
      </c>
      <c r="HH172" s="33"/>
      <c r="HI172" s="34"/>
      <c r="HJ172" s="34"/>
      <c r="HK172" s="34"/>
      <c r="HL172" s="123"/>
      <c r="HM172" s="34"/>
      <c r="HN172" s="124"/>
      <c r="HO172" s="34"/>
      <c r="HP172" s="34"/>
      <c r="HQ172" s="34"/>
      <c r="HR172" s="34"/>
      <c r="HS172" s="34"/>
      <c r="HT172" s="34"/>
      <c r="HU172" s="34"/>
      <c r="HV172" s="34"/>
      <c r="HW172"/>
    </row>
    <row r="173" spans="1:231" ht="15" outlineLevel="1">
      <c r="I173" s="97"/>
      <c r="K173" s="124"/>
      <c r="HF173" s="1" t="s">
        <v>212</v>
      </c>
      <c r="HL173" s="97"/>
      <c r="HN173" s="124"/>
      <c r="HW173"/>
    </row>
    <row r="174" spans="1:231" ht="15">
      <c r="B174" s="44" t="s">
        <v>133</v>
      </c>
      <c r="I174" s="116">
        <f ca="1">SUMIF($K$13:$GT$13,"&lt;="&amp;Assumptions!$L$17,'Monthly Cash Flow'!K174:GT174)</f>
        <v>23029.704325000006</v>
      </c>
      <c r="J174" s="18"/>
      <c r="K174" s="131">
        <f t="shared" ref="K174:Q174" si="1147">-K20+K85</f>
        <v>-30206</v>
      </c>
      <c r="L174" s="18">
        <f t="shared" si="1147"/>
        <v>0</v>
      </c>
      <c r="M174" s="18">
        <f t="shared" si="1147"/>
        <v>0</v>
      </c>
      <c r="N174" s="18">
        <f t="shared" si="1147"/>
        <v>0</v>
      </c>
      <c r="O174" s="18">
        <f t="shared" si="1147"/>
        <v>0</v>
      </c>
      <c r="P174" s="18">
        <f t="shared" si="1147"/>
        <v>0</v>
      </c>
      <c r="Q174" s="18">
        <f t="shared" si="1147"/>
        <v>0</v>
      </c>
      <c r="R174" s="18" t="s">
        <v>141</v>
      </c>
      <c r="S174" s="18">
        <f t="shared" ref="S174:AX174" si="1148">-S20+S85</f>
        <v>0</v>
      </c>
      <c r="T174" s="18">
        <f t="shared" si="1148"/>
        <v>0</v>
      </c>
      <c r="U174" s="18">
        <f t="shared" si="1148"/>
        <v>0</v>
      </c>
      <c r="V174" s="18">
        <f t="shared" si="1148"/>
        <v>0</v>
      </c>
      <c r="W174" s="18">
        <f t="shared" si="1148"/>
        <v>0</v>
      </c>
      <c r="X174" s="18">
        <f t="shared" si="1148"/>
        <v>0</v>
      </c>
      <c r="Y174" s="18">
        <f t="shared" si="1148"/>
        <v>0</v>
      </c>
      <c r="Z174" s="18">
        <f t="shared" si="1148"/>
        <v>0</v>
      </c>
      <c r="AA174" s="18">
        <f t="shared" si="1148"/>
        <v>0</v>
      </c>
      <c r="AB174" s="18">
        <f t="shared" si="1148"/>
        <v>0</v>
      </c>
      <c r="AC174" s="18">
        <f t="shared" si="1148"/>
        <v>0</v>
      </c>
      <c r="AD174" s="18">
        <f t="shared" si="1148"/>
        <v>0</v>
      </c>
      <c r="AE174" s="18">
        <f t="shared" si="1148"/>
        <v>0</v>
      </c>
      <c r="AF174" s="18">
        <f t="shared" si="1148"/>
        <v>0</v>
      </c>
      <c r="AG174" s="18">
        <f t="shared" si="1148"/>
        <v>0</v>
      </c>
      <c r="AH174" s="18">
        <f t="shared" si="1148"/>
        <v>0</v>
      </c>
      <c r="AI174" s="18">
        <f t="shared" si="1148"/>
        <v>0</v>
      </c>
      <c r="AJ174" s="18">
        <f t="shared" si="1148"/>
        <v>0</v>
      </c>
      <c r="AK174" s="18">
        <f t="shared" si="1148"/>
        <v>0</v>
      </c>
      <c r="AL174" s="18">
        <f t="shared" si="1148"/>
        <v>0</v>
      </c>
      <c r="AM174" s="18">
        <f t="shared" si="1148"/>
        <v>0</v>
      </c>
      <c r="AN174" s="18">
        <f t="shared" si="1148"/>
        <v>0</v>
      </c>
      <c r="AO174" s="18">
        <f t="shared" si="1148"/>
        <v>0</v>
      </c>
      <c r="AP174" s="18">
        <f t="shared" si="1148"/>
        <v>0</v>
      </c>
      <c r="AQ174" s="18">
        <f t="shared" si="1148"/>
        <v>0</v>
      </c>
      <c r="AR174" s="18">
        <f t="shared" si="1148"/>
        <v>0</v>
      </c>
      <c r="AS174" s="18">
        <f t="shared" si="1148"/>
        <v>0</v>
      </c>
      <c r="AT174" s="18">
        <f t="shared" si="1148"/>
        <v>0</v>
      </c>
      <c r="AU174" s="18">
        <f t="shared" si="1148"/>
        <v>0</v>
      </c>
      <c r="AV174" s="18">
        <f t="shared" si="1148"/>
        <v>0</v>
      </c>
      <c r="AW174" s="18">
        <f t="shared" si="1148"/>
        <v>0</v>
      </c>
      <c r="AX174" s="18">
        <f t="shared" si="1148"/>
        <v>0</v>
      </c>
      <c r="AY174" s="18">
        <f t="shared" ref="AY174:CD174" si="1149">-AY20+AY85</f>
        <v>0</v>
      </c>
      <c r="AZ174" s="18">
        <f t="shared" si="1149"/>
        <v>0</v>
      </c>
      <c r="BA174" s="18">
        <f t="shared" si="1149"/>
        <v>0</v>
      </c>
      <c r="BB174" s="18">
        <f t="shared" si="1149"/>
        <v>0</v>
      </c>
      <c r="BC174" s="18">
        <f t="shared" si="1149"/>
        <v>0</v>
      </c>
      <c r="BD174" s="18">
        <f t="shared" si="1149"/>
        <v>0</v>
      </c>
      <c r="BE174" s="18">
        <f t="shared" si="1149"/>
        <v>0</v>
      </c>
      <c r="BF174" s="18">
        <f t="shared" si="1149"/>
        <v>0</v>
      </c>
      <c r="BG174" s="18">
        <f t="shared" si="1149"/>
        <v>0</v>
      </c>
      <c r="BH174" s="18">
        <f t="shared" si="1149"/>
        <v>0</v>
      </c>
      <c r="BI174" s="18">
        <f t="shared" si="1149"/>
        <v>0</v>
      </c>
      <c r="BJ174" s="18">
        <f t="shared" si="1149"/>
        <v>0</v>
      </c>
      <c r="BK174" s="18">
        <f t="shared" si="1149"/>
        <v>0</v>
      </c>
      <c r="BL174" s="18">
        <f t="shared" si="1149"/>
        <v>0</v>
      </c>
      <c r="BM174" s="18">
        <f t="shared" si="1149"/>
        <v>0</v>
      </c>
      <c r="BN174" s="18">
        <f t="shared" si="1149"/>
        <v>0</v>
      </c>
      <c r="BO174" s="18">
        <f t="shared" si="1149"/>
        <v>0</v>
      </c>
      <c r="BP174" s="18">
        <f t="shared" si="1149"/>
        <v>0</v>
      </c>
      <c r="BQ174" s="18">
        <f t="shared" si="1149"/>
        <v>0</v>
      </c>
      <c r="BR174" s="18">
        <f t="shared" si="1149"/>
        <v>0</v>
      </c>
      <c r="BS174" s="18">
        <f t="shared" si="1149"/>
        <v>0</v>
      </c>
      <c r="BT174" s="18">
        <f t="shared" si="1149"/>
        <v>0</v>
      </c>
      <c r="BU174" s="18">
        <f t="shared" si="1149"/>
        <v>0</v>
      </c>
      <c r="BV174" s="18">
        <f t="shared" si="1149"/>
        <v>0</v>
      </c>
      <c r="BW174" s="18">
        <f t="shared" si="1149"/>
        <v>0</v>
      </c>
      <c r="BX174" s="18">
        <f t="shared" si="1149"/>
        <v>0</v>
      </c>
      <c r="BY174" s="18">
        <f t="shared" si="1149"/>
        <v>0</v>
      </c>
      <c r="BZ174" s="18">
        <f t="shared" si="1149"/>
        <v>0</v>
      </c>
      <c r="CA174" s="18">
        <f t="shared" si="1149"/>
        <v>0</v>
      </c>
      <c r="CB174" s="18">
        <f t="shared" si="1149"/>
        <v>0</v>
      </c>
      <c r="CC174" s="18">
        <f t="shared" si="1149"/>
        <v>0</v>
      </c>
      <c r="CD174" s="18">
        <f t="shared" si="1149"/>
        <v>0</v>
      </c>
      <c r="CE174" s="18">
        <f t="shared" ref="CE174:DJ174" si="1150">-CE20+CE85</f>
        <v>0</v>
      </c>
      <c r="CF174" s="18">
        <f t="shared" si="1150"/>
        <v>0</v>
      </c>
      <c r="CG174" s="18">
        <f t="shared" si="1150"/>
        <v>0</v>
      </c>
      <c r="CH174" s="18">
        <f t="shared" si="1150"/>
        <v>0</v>
      </c>
      <c r="CI174" s="18">
        <f t="shared" si="1150"/>
        <v>0</v>
      </c>
      <c r="CJ174" s="18">
        <f t="shared" si="1150"/>
        <v>0</v>
      </c>
      <c r="CK174" s="18">
        <f t="shared" si="1150"/>
        <v>0</v>
      </c>
      <c r="CL174" s="18">
        <f t="shared" si="1150"/>
        <v>0</v>
      </c>
      <c r="CM174" s="18">
        <f t="shared" si="1150"/>
        <v>0</v>
      </c>
      <c r="CN174" s="18">
        <f t="shared" si="1150"/>
        <v>0</v>
      </c>
      <c r="CO174" s="18">
        <f t="shared" si="1150"/>
        <v>0</v>
      </c>
      <c r="CP174" s="18">
        <f t="shared" si="1150"/>
        <v>0</v>
      </c>
      <c r="CQ174" s="18">
        <f t="shared" si="1150"/>
        <v>0</v>
      </c>
      <c r="CR174" s="18">
        <f t="shared" si="1150"/>
        <v>0</v>
      </c>
      <c r="CS174" s="18">
        <f t="shared" si="1150"/>
        <v>0</v>
      </c>
      <c r="CT174" s="18">
        <f t="shared" si="1150"/>
        <v>0</v>
      </c>
      <c r="CU174" s="18">
        <f t="shared" si="1150"/>
        <v>0</v>
      </c>
      <c r="CV174" s="18">
        <f t="shared" si="1150"/>
        <v>0</v>
      </c>
      <c r="CW174" s="18">
        <f t="shared" si="1150"/>
        <v>0</v>
      </c>
      <c r="CX174" s="18">
        <f t="shared" si="1150"/>
        <v>0</v>
      </c>
      <c r="CY174" s="18">
        <f t="shared" si="1150"/>
        <v>0</v>
      </c>
      <c r="CZ174" s="18">
        <f t="shared" si="1150"/>
        <v>0</v>
      </c>
      <c r="DA174" s="18">
        <f t="shared" si="1150"/>
        <v>0</v>
      </c>
      <c r="DB174" s="18">
        <f t="shared" si="1150"/>
        <v>0</v>
      </c>
      <c r="DC174" s="18">
        <f t="shared" si="1150"/>
        <v>0</v>
      </c>
      <c r="DD174" s="18">
        <f t="shared" si="1150"/>
        <v>0</v>
      </c>
      <c r="DE174" s="18">
        <f t="shared" si="1150"/>
        <v>0</v>
      </c>
      <c r="DF174" s="18">
        <f t="shared" si="1150"/>
        <v>0</v>
      </c>
      <c r="DG174" s="18">
        <f t="shared" si="1150"/>
        <v>0</v>
      </c>
      <c r="DH174" s="18">
        <f t="shared" si="1150"/>
        <v>0</v>
      </c>
      <c r="DI174" s="18">
        <f t="shared" ca="1" si="1150"/>
        <v>53235.704325000006</v>
      </c>
      <c r="DJ174" s="18">
        <f t="shared" si="1150"/>
        <v>0</v>
      </c>
      <c r="DK174" s="18">
        <f t="shared" ref="DK174:EP174" si="1151">-DK20+DK85</f>
        <v>0</v>
      </c>
      <c r="DL174" s="18">
        <f t="shared" si="1151"/>
        <v>0</v>
      </c>
      <c r="DM174" s="18">
        <f t="shared" si="1151"/>
        <v>0</v>
      </c>
      <c r="DN174" s="18">
        <f t="shared" si="1151"/>
        <v>0</v>
      </c>
      <c r="DO174" s="18">
        <f t="shared" si="1151"/>
        <v>0</v>
      </c>
      <c r="DP174" s="18">
        <f t="shared" si="1151"/>
        <v>0</v>
      </c>
      <c r="DQ174" s="18">
        <f t="shared" si="1151"/>
        <v>0</v>
      </c>
      <c r="DR174" s="18">
        <f t="shared" si="1151"/>
        <v>0</v>
      </c>
      <c r="DS174" s="18">
        <f t="shared" si="1151"/>
        <v>0</v>
      </c>
      <c r="DT174" s="18">
        <f t="shared" si="1151"/>
        <v>0</v>
      </c>
      <c r="DU174" s="18">
        <f t="shared" si="1151"/>
        <v>0</v>
      </c>
      <c r="DV174" s="18">
        <f t="shared" si="1151"/>
        <v>0</v>
      </c>
      <c r="DW174" s="18">
        <f t="shared" si="1151"/>
        <v>0</v>
      </c>
      <c r="DX174" s="18">
        <f t="shared" si="1151"/>
        <v>0</v>
      </c>
      <c r="DY174" s="18">
        <f t="shared" si="1151"/>
        <v>0</v>
      </c>
      <c r="DZ174" s="18">
        <f t="shared" si="1151"/>
        <v>0</v>
      </c>
      <c r="EA174" s="18">
        <f t="shared" si="1151"/>
        <v>0</v>
      </c>
      <c r="EB174" s="18">
        <f t="shared" si="1151"/>
        <v>0</v>
      </c>
      <c r="EC174" s="18">
        <f t="shared" si="1151"/>
        <v>0</v>
      </c>
      <c r="ED174" s="18">
        <f t="shared" si="1151"/>
        <v>0</v>
      </c>
      <c r="EE174" s="18">
        <f t="shared" si="1151"/>
        <v>0</v>
      </c>
      <c r="EF174" s="18">
        <f t="shared" si="1151"/>
        <v>0</v>
      </c>
      <c r="EG174" s="18">
        <f t="shared" si="1151"/>
        <v>0</v>
      </c>
      <c r="EH174" s="18">
        <f t="shared" si="1151"/>
        <v>0</v>
      </c>
      <c r="EI174" s="18">
        <f t="shared" si="1151"/>
        <v>0</v>
      </c>
      <c r="EJ174" s="18">
        <f t="shared" si="1151"/>
        <v>0</v>
      </c>
      <c r="EK174" s="18">
        <f t="shared" si="1151"/>
        <v>0</v>
      </c>
      <c r="EL174" s="18">
        <f t="shared" si="1151"/>
        <v>0</v>
      </c>
      <c r="EM174" s="18">
        <f t="shared" si="1151"/>
        <v>0</v>
      </c>
      <c r="EN174" s="18">
        <f t="shared" si="1151"/>
        <v>0</v>
      </c>
      <c r="EO174" s="18">
        <f t="shared" si="1151"/>
        <v>0</v>
      </c>
      <c r="EP174" s="18">
        <f t="shared" si="1151"/>
        <v>0</v>
      </c>
      <c r="EQ174" s="18">
        <f t="shared" ref="EQ174:FV174" si="1152">-EQ20+EQ85</f>
        <v>0</v>
      </c>
      <c r="ER174" s="18">
        <f t="shared" si="1152"/>
        <v>0</v>
      </c>
      <c r="ES174" s="18">
        <f t="shared" si="1152"/>
        <v>0</v>
      </c>
      <c r="ET174" s="18">
        <f t="shared" si="1152"/>
        <v>0</v>
      </c>
      <c r="EU174" s="18">
        <f t="shared" si="1152"/>
        <v>0</v>
      </c>
      <c r="EV174" s="18">
        <f t="shared" si="1152"/>
        <v>0</v>
      </c>
      <c r="EW174" s="18">
        <f t="shared" si="1152"/>
        <v>0</v>
      </c>
      <c r="EX174" s="18">
        <f t="shared" si="1152"/>
        <v>0</v>
      </c>
      <c r="EY174" s="18">
        <f t="shared" si="1152"/>
        <v>0</v>
      </c>
      <c r="EZ174" s="18">
        <f t="shared" si="1152"/>
        <v>0</v>
      </c>
      <c r="FA174" s="18">
        <f t="shared" si="1152"/>
        <v>0</v>
      </c>
      <c r="FB174" s="18">
        <f t="shared" si="1152"/>
        <v>0</v>
      </c>
      <c r="FC174" s="18">
        <f t="shared" si="1152"/>
        <v>0</v>
      </c>
      <c r="FD174" s="18">
        <f t="shared" si="1152"/>
        <v>0</v>
      </c>
      <c r="FE174" s="18">
        <f t="shared" si="1152"/>
        <v>0</v>
      </c>
      <c r="FF174" s="18">
        <f t="shared" si="1152"/>
        <v>0</v>
      </c>
      <c r="FG174" s="18">
        <f t="shared" si="1152"/>
        <v>0</v>
      </c>
      <c r="FH174" s="18">
        <f t="shared" si="1152"/>
        <v>0</v>
      </c>
      <c r="FI174" s="18">
        <f t="shared" si="1152"/>
        <v>0</v>
      </c>
      <c r="FJ174" s="18">
        <f t="shared" si="1152"/>
        <v>0</v>
      </c>
      <c r="FK174" s="18">
        <f t="shared" si="1152"/>
        <v>0</v>
      </c>
      <c r="FL174" s="18">
        <f t="shared" si="1152"/>
        <v>0</v>
      </c>
      <c r="FM174" s="18">
        <f t="shared" si="1152"/>
        <v>0</v>
      </c>
      <c r="FN174" s="18">
        <f t="shared" si="1152"/>
        <v>0</v>
      </c>
      <c r="FO174" s="18">
        <f t="shared" si="1152"/>
        <v>0</v>
      </c>
      <c r="FP174" s="18">
        <f t="shared" si="1152"/>
        <v>0</v>
      </c>
      <c r="FQ174" s="18">
        <f t="shared" si="1152"/>
        <v>0</v>
      </c>
      <c r="FR174" s="18">
        <f t="shared" si="1152"/>
        <v>0</v>
      </c>
      <c r="FS174" s="18">
        <f t="shared" si="1152"/>
        <v>0</v>
      </c>
      <c r="FT174" s="18">
        <f t="shared" si="1152"/>
        <v>0</v>
      </c>
      <c r="FU174" s="18">
        <f t="shared" si="1152"/>
        <v>0</v>
      </c>
      <c r="FV174" s="18">
        <f t="shared" si="1152"/>
        <v>0</v>
      </c>
      <c r="FW174" s="18">
        <f t="shared" ref="FW174:GC174" si="1153">-FW20+FW85</f>
        <v>0</v>
      </c>
      <c r="FX174" s="18">
        <f t="shared" si="1153"/>
        <v>0</v>
      </c>
      <c r="FY174" s="18">
        <f t="shared" si="1153"/>
        <v>0</v>
      </c>
      <c r="FZ174" s="18">
        <f t="shared" si="1153"/>
        <v>0</v>
      </c>
      <c r="GA174" s="18">
        <f t="shared" si="1153"/>
        <v>0</v>
      </c>
      <c r="GB174" s="18">
        <f t="shared" si="1153"/>
        <v>0</v>
      </c>
      <c r="GC174" s="18">
        <f t="shared" si="1153"/>
        <v>0</v>
      </c>
      <c r="GD174" s="18">
        <f t="shared" ref="GD174:GO174" si="1154">-GD20+GD85</f>
        <v>0</v>
      </c>
      <c r="GE174" s="18">
        <f t="shared" si="1154"/>
        <v>0</v>
      </c>
      <c r="GF174" s="18">
        <f t="shared" si="1154"/>
        <v>0</v>
      </c>
      <c r="GG174" s="18">
        <f t="shared" si="1154"/>
        <v>0</v>
      </c>
      <c r="GH174" s="18">
        <f t="shared" si="1154"/>
        <v>0</v>
      </c>
      <c r="GI174" s="18">
        <f t="shared" si="1154"/>
        <v>0</v>
      </c>
      <c r="GJ174" s="18">
        <f t="shared" si="1154"/>
        <v>0</v>
      </c>
      <c r="GK174" s="18">
        <f t="shared" si="1154"/>
        <v>0</v>
      </c>
      <c r="GL174" s="18">
        <f t="shared" si="1154"/>
        <v>0</v>
      </c>
      <c r="GM174" s="18">
        <f t="shared" si="1154"/>
        <v>0</v>
      </c>
      <c r="GN174" s="18">
        <f t="shared" si="1154"/>
        <v>0</v>
      </c>
      <c r="GO174" s="18">
        <f t="shared" si="1154"/>
        <v>0</v>
      </c>
      <c r="GP174" s="18">
        <f>-GP20+GP85</f>
        <v>0</v>
      </c>
      <c r="GQ174" s="18">
        <f>-GQ20+GQ85</f>
        <v>0</v>
      </c>
      <c r="GR174" s="18">
        <f>-GR20+GR85</f>
        <v>0</v>
      </c>
      <c r="GS174" s="18">
        <f>-GS20+GS85</f>
        <v>0</v>
      </c>
      <c r="GT174" s="18">
        <f>-GT20+GT85</f>
        <v>0</v>
      </c>
      <c r="GU174" s="18">
        <f t="shared" ref="GU174:HE174" si="1155">-GU20+GU85</f>
        <v>0</v>
      </c>
      <c r="GV174" s="18">
        <f t="shared" si="1155"/>
        <v>0</v>
      </c>
      <c r="GW174" s="18">
        <f t="shared" si="1155"/>
        <v>0</v>
      </c>
      <c r="GX174" s="18">
        <f t="shared" si="1155"/>
        <v>0</v>
      </c>
      <c r="GY174" s="18">
        <f t="shared" si="1155"/>
        <v>0</v>
      </c>
      <c r="GZ174" s="18">
        <f t="shared" si="1155"/>
        <v>0</v>
      </c>
      <c r="HA174" s="18">
        <f t="shared" si="1155"/>
        <v>0</v>
      </c>
      <c r="HB174" s="18">
        <f t="shared" si="1155"/>
        <v>0</v>
      </c>
      <c r="HC174" s="18">
        <f t="shared" si="1155"/>
        <v>0</v>
      </c>
      <c r="HD174" s="18">
        <f t="shared" si="1155"/>
        <v>0</v>
      </c>
      <c r="HE174" s="18">
        <f t="shared" si="1155"/>
        <v>0</v>
      </c>
      <c r="HF174" s="1" t="s">
        <v>212</v>
      </c>
      <c r="HH174" s="44" t="str">
        <f>B174</f>
        <v>(+/-) Acquisition and Disposition</v>
      </c>
      <c r="HI174" s="18"/>
      <c r="HJ174" s="18"/>
      <c r="HK174" s="18"/>
      <c r="HL174" s="116">
        <f t="shared" ref="HL174:HL196" si="1156">SUM(HN174:HV174)</f>
        <v>-30206</v>
      </c>
      <c r="HM174" s="18"/>
      <c r="HN174" s="131">
        <f t="shared" ref="HN174:HV186" si="1157">SUMIF($K$14:$GT$14,HN$14,$K174:$GT174)</f>
        <v>-30206</v>
      </c>
      <c r="HO174" s="18">
        <f t="shared" si="1157"/>
        <v>0</v>
      </c>
      <c r="HP174" s="18">
        <f t="shared" si="1157"/>
        <v>0</v>
      </c>
      <c r="HQ174" s="18">
        <f t="shared" si="1157"/>
        <v>0</v>
      </c>
      <c r="HR174" s="18">
        <f t="shared" si="1157"/>
        <v>0</v>
      </c>
      <c r="HS174" s="18">
        <f t="shared" si="1157"/>
        <v>0</v>
      </c>
      <c r="HT174" s="18">
        <f t="shared" si="1157"/>
        <v>0</v>
      </c>
      <c r="HU174" s="18">
        <f t="shared" si="1157"/>
        <v>0</v>
      </c>
      <c r="HV174" s="18">
        <f t="shared" si="1157"/>
        <v>0</v>
      </c>
      <c r="HW174"/>
    </row>
    <row r="175" spans="1:231" ht="15">
      <c r="B175" s="44" t="s">
        <v>134</v>
      </c>
      <c r="I175" s="132">
        <f ca="1">SUMIF($K$13:$GT$13,"&lt;="&amp;Assumptions!$L$17,'Monthly Cash Flow'!K175:GT175)</f>
        <v>-3137.6327592499997</v>
      </c>
      <c r="J175" s="18"/>
      <c r="K175" s="133">
        <f t="shared" ref="K175:AP175" si="1158">-SUM(K26,K29,K30)-K39</f>
        <v>0</v>
      </c>
      <c r="L175" s="26">
        <f t="shared" ca="1" si="1158"/>
        <v>0</v>
      </c>
      <c r="M175" s="26">
        <f t="shared" ca="1" si="1158"/>
        <v>0</v>
      </c>
      <c r="N175" s="26">
        <f t="shared" ca="1" si="1158"/>
        <v>0</v>
      </c>
      <c r="O175" s="26">
        <f t="shared" ca="1" si="1158"/>
        <v>0</v>
      </c>
      <c r="P175" s="26">
        <f t="shared" ca="1" si="1158"/>
        <v>0</v>
      </c>
      <c r="Q175" s="26">
        <f t="shared" ca="1" si="1158"/>
        <v>0</v>
      </c>
      <c r="R175" s="26">
        <f t="shared" ca="1" si="1158"/>
        <v>0</v>
      </c>
      <c r="S175" s="26">
        <f t="shared" ca="1" si="1158"/>
        <v>0</v>
      </c>
      <c r="T175" s="26">
        <f t="shared" ca="1" si="1158"/>
        <v>0</v>
      </c>
      <c r="U175" s="26">
        <f t="shared" ca="1" si="1158"/>
        <v>-174.81583000000001</v>
      </c>
      <c r="V175" s="26">
        <f t="shared" ca="1" si="1158"/>
        <v>0</v>
      </c>
      <c r="W175" s="26">
        <f t="shared" ca="1" si="1158"/>
        <v>-47.94</v>
      </c>
      <c r="X175" s="26">
        <f t="shared" ca="1" si="1158"/>
        <v>0</v>
      </c>
      <c r="Y175" s="26">
        <f t="shared" ca="1" si="1158"/>
        <v>0</v>
      </c>
      <c r="Z175" s="26">
        <f t="shared" ca="1" si="1158"/>
        <v>-458.99031000000002</v>
      </c>
      <c r="AA175" s="26">
        <f t="shared" ca="1" si="1158"/>
        <v>0</v>
      </c>
      <c r="AB175" s="26">
        <f t="shared" ca="1" si="1158"/>
        <v>-448.77878999999996</v>
      </c>
      <c r="AC175" s="26">
        <f t="shared" ca="1" si="1158"/>
        <v>0</v>
      </c>
      <c r="AD175" s="26">
        <f t="shared" ca="1" si="1158"/>
        <v>0</v>
      </c>
      <c r="AE175" s="26">
        <f t="shared" ca="1" si="1158"/>
        <v>-487.53904</v>
      </c>
      <c r="AF175" s="26">
        <f t="shared" ca="1" si="1158"/>
        <v>-147.02029924999999</v>
      </c>
      <c r="AG175" s="26">
        <f t="shared" ca="1" si="1158"/>
        <v>-194.63195999999999</v>
      </c>
      <c r="AH175" s="26">
        <f t="shared" ca="1" si="1158"/>
        <v>0</v>
      </c>
      <c r="AI175" s="26">
        <f t="shared" ca="1" si="1158"/>
        <v>-4.3650000000000002</v>
      </c>
      <c r="AJ175" s="26">
        <f t="shared" ca="1" si="1158"/>
        <v>0</v>
      </c>
      <c r="AK175" s="26">
        <f t="shared" ca="1" si="1158"/>
        <v>0</v>
      </c>
      <c r="AL175" s="26">
        <f t="shared" ca="1" si="1158"/>
        <v>-7.4290000000000003</v>
      </c>
      <c r="AM175" s="26">
        <f t="shared" ca="1" si="1158"/>
        <v>0</v>
      </c>
      <c r="AN175" s="26">
        <f t="shared" ca="1" si="1158"/>
        <v>-27.944649999999999</v>
      </c>
      <c r="AO175" s="26">
        <f t="shared" ca="1" si="1158"/>
        <v>0</v>
      </c>
      <c r="AP175" s="26">
        <f t="shared" ca="1" si="1158"/>
        <v>0</v>
      </c>
      <c r="AQ175" s="26">
        <f t="shared" ref="AQ175:BV175" ca="1" si="1159">-SUM(AQ26,AQ29,AQ30)-AQ39</f>
        <v>-9.5250000000000004</v>
      </c>
      <c r="AR175" s="26">
        <f t="shared" ca="1" si="1159"/>
        <v>0</v>
      </c>
      <c r="AS175" s="26">
        <f t="shared" ca="1" si="1159"/>
        <v>0</v>
      </c>
      <c r="AT175" s="26">
        <f t="shared" ca="1" si="1159"/>
        <v>0</v>
      </c>
      <c r="AU175" s="26">
        <f t="shared" ca="1" si="1159"/>
        <v>0</v>
      </c>
      <c r="AV175" s="26">
        <f t="shared" ca="1" si="1159"/>
        <v>0</v>
      </c>
      <c r="AW175" s="26">
        <f t="shared" ca="1" si="1159"/>
        <v>0</v>
      </c>
      <c r="AX175" s="26">
        <f t="shared" ca="1" si="1159"/>
        <v>0</v>
      </c>
      <c r="AY175" s="26">
        <f t="shared" ca="1" si="1159"/>
        <v>-15.5</v>
      </c>
      <c r="AZ175" s="26">
        <f t="shared" ca="1" si="1159"/>
        <v>0</v>
      </c>
      <c r="BA175" s="26">
        <f t="shared" ca="1" si="1159"/>
        <v>0</v>
      </c>
      <c r="BB175" s="26">
        <f t="shared" ca="1" si="1159"/>
        <v>0</v>
      </c>
      <c r="BC175" s="26">
        <f t="shared" ca="1" si="1159"/>
        <v>-142.10000000000002</v>
      </c>
      <c r="BD175" s="26">
        <f t="shared" ca="1" si="1159"/>
        <v>-23.257999999999999</v>
      </c>
      <c r="BE175" s="26">
        <f t="shared" ca="1" si="1159"/>
        <v>0</v>
      </c>
      <c r="BF175" s="26">
        <f t="shared" ca="1" si="1159"/>
        <v>0</v>
      </c>
      <c r="BG175" s="26">
        <f t="shared" ca="1" si="1159"/>
        <v>0</v>
      </c>
      <c r="BH175" s="26">
        <f t="shared" ca="1" si="1159"/>
        <v>0</v>
      </c>
      <c r="BI175" s="26">
        <f t="shared" ca="1" si="1159"/>
        <v>0</v>
      </c>
      <c r="BJ175" s="26">
        <f t="shared" ca="1" si="1159"/>
        <v>0</v>
      </c>
      <c r="BK175" s="26">
        <f t="shared" ca="1" si="1159"/>
        <v>0</v>
      </c>
      <c r="BL175" s="26">
        <f t="shared" ca="1" si="1159"/>
        <v>0</v>
      </c>
      <c r="BM175" s="26">
        <f t="shared" ca="1" si="1159"/>
        <v>0</v>
      </c>
      <c r="BN175" s="26">
        <f t="shared" ca="1" si="1159"/>
        <v>0</v>
      </c>
      <c r="BO175" s="26">
        <f t="shared" ca="1" si="1159"/>
        <v>0</v>
      </c>
      <c r="BP175" s="26">
        <f t="shared" ca="1" si="1159"/>
        <v>0</v>
      </c>
      <c r="BQ175" s="26">
        <f t="shared" ca="1" si="1159"/>
        <v>0</v>
      </c>
      <c r="BR175" s="26">
        <f t="shared" ca="1" si="1159"/>
        <v>-65.924000000000007</v>
      </c>
      <c r="BS175" s="26">
        <f t="shared" ca="1" si="1159"/>
        <v>0</v>
      </c>
      <c r="BT175" s="26">
        <f t="shared" ca="1" si="1159"/>
        <v>0</v>
      </c>
      <c r="BU175" s="26">
        <f t="shared" ca="1" si="1159"/>
        <v>0</v>
      </c>
      <c r="BV175" s="26">
        <f t="shared" ca="1" si="1159"/>
        <v>0</v>
      </c>
      <c r="BW175" s="26">
        <f t="shared" ref="BW175:DB175" ca="1" si="1160">-SUM(BW26,BW29,BW30)-BW39</f>
        <v>0</v>
      </c>
      <c r="BX175" s="26">
        <f t="shared" ca="1" si="1160"/>
        <v>-5.5066199999999998</v>
      </c>
      <c r="BY175" s="26">
        <f t="shared" ca="1" si="1160"/>
        <v>-87.333829999999992</v>
      </c>
      <c r="BZ175" s="26">
        <f t="shared" ca="1" si="1160"/>
        <v>0</v>
      </c>
      <c r="CA175" s="26">
        <f t="shared" ca="1" si="1160"/>
        <v>-2.5</v>
      </c>
      <c r="CB175" s="26">
        <f t="shared" ca="1" si="1160"/>
        <v>-5</v>
      </c>
      <c r="CC175" s="26">
        <f t="shared" ca="1" si="1160"/>
        <v>0</v>
      </c>
      <c r="CD175" s="26">
        <f t="shared" ca="1" si="1160"/>
        <v>-177.29399999999998</v>
      </c>
      <c r="CE175" s="26">
        <f t="shared" ca="1" si="1160"/>
        <v>0</v>
      </c>
      <c r="CF175" s="26">
        <f t="shared" ca="1" si="1160"/>
        <v>-66.949960000000004</v>
      </c>
      <c r="CG175" s="26">
        <f t="shared" ca="1" si="1160"/>
        <v>0</v>
      </c>
      <c r="CH175" s="26">
        <f t="shared" ca="1" si="1160"/>
        <v>-22.286470000000001</v>
      </c>
      <c r="CI175" s="26">
        <f t="shared" ca="1" si="1160"/>
        <v>0</v>
      </c>
      <c r="CJ175" s="26">
        <f t="shared" ca="1" si="1160"/>
        <v>0</v>
      </c>
      <c r="CK175" s="26">
        <f t="shared" ca="1" si="1160"/>
        <v>0</v>
      </c>
      <c r="CL175" s="26">
        <f t="shared" ca="1" si="1160"/>
        <v>0</v>
      </c>
      <c r="CM175" s="26">
        <f t="shared" ca="1" si="1160"/>
        <v>-68.313492063492063</v>
      </c>
      <c r="CN175" s="26">
        <f t="shared" ca="1" si="1160"/>
        <v>-68.313492063492063</v>
      </c>
      <c r="CO175" s="26">
        <f t="shared" ca="1" si="1160"/>
        <v>-68.313492063492077</v>
      </c>
      <c r="CP175" s="26">
        <f t="shared" ca="1" si="1160"/>
        <v>-68.313492063492063</v>
      </c>
      <c r="CQ175" s="26">
        <f t="shared" ca="1" si="1160"/>
        <v>-62.063492063492063</v>
      </c>
      <c r="CR175" s="26">
        <f t="shared" ca="1" si="1160"/>
        <v>-62.06349206349207</v>
      </c>
      <c r="CS175" s="26">
        <f t="shared" ca="1" si="1160"/>
        <v>-62.063492063492063</v>
      </c>
      <c r="CT175" s="26">
        <f t="shared" ca="1" si="1160"/>
        <v>-27.777777777777786</v>
      </c>
      <c r="CU175" s="26">
        <f t="shared" ca="1" si="1160"/>
        <v>-27.777777777777771</v>
      </c>
      <c r="CV175" s="26">
        <f t="shared" ca="1" si="1160"/>
        <v>0</v>
      </c>
      <c r="CW175" s="26">
        <f t="shared" ca="1" si="1160"/>
        <v>0</v>
      </c>
      <c r="CX175" s="26">
        <f t="shared" ca="1" si="1160"/>
        <v>0</v>
      </c>
      <c r="CY175" s="26">
        <f t="shared" ca="1" si="1160"/>
        <v>0</v>
      </c>
      <c r="CZ175" s="26">
        <f t="shared" ca="1" si="1160"/>
        <v>0</v>
      </c>
      <c r="DA175" s="26">
        <f t="shared" ca="1" si="1160"/>
        <v>0</v>
      </c>
      <c r="DB175" s="26">
        <f t="shared" ca="1" si="1160"/>
        <v>0</v>
      </c>
      <c r="DC175" s="26">
        <f t="shared" ref="DC175:EH175" ca="1" si="1161">-SUM(DC26,DC29,DC30)-DC39</f>
        <v>0</v>
      </c>
      <c r="DD175" s="26">
        <f t="shared" ca="1" si="1161"/>
        <v>0</v>
      </c>
      <c r="DE175" s="26">
        <f t="shared" ca="1" si="1161"/>
        <v>0</v>
      </c>
      <c r="DF175" s="26">
        <f t="shared" ca="1" si="1161"/>
        <v>0</v>
      </c>
      <c r="DG175" s="26">
        <f t="shared" ca="1" si="1161"/>
        <v>0</v>
      </c>
      <c r="DH175" s="26">
        <f t="shared" ca="1" si="1161"/>
        <v>0</v>
      </c>
      <c r="DI175" s="26">
        <f t="shared" ca="1" si="1161"/>
        <v>0</v>
      </c>
      <c r="DJ175" s="26">
        <f t="shared" ca="1" si="1161"/>
        <v>0</v>
      </c>
      <c r="DK175" s="26">
        <f t="shared" ca="1" si="1161"/>
        <v>0</v>
      </c>
      <c r="DL175" s="26">
        <f t="shared" ca="1" si="1161"/>
        <v>0</v>
      </c>
      <c r="DM175" s="26">
        <f t="shared" ca="1" si="1161"/>
        <v>0</v>
      </c>
      <c r="DN175" s="26">
        <f t="shared" ca="1" si="1161"/>
        <v>0</v>
      </c>
      <c r="DO175" s="26">
        <f t="shared" ca="1" si="1161"/>
        <v>0</v>
      </c>
      <c r="DP175" s="26">
        <f t="shared" ca="1" si="1161"/>
        <v>0</v>
      </c>
      <c r="DQ175" s="26">
        <f t="shared" ca="1" si="1161"/>
        <v>0</v>
      </c>
      <c r="DR175" s="26">
        <f t="shared" ca="1" si="1161"/>
        <v>0</v>
      </c>
      <c r="DS175" s="26">
        <f t="shared" ca="1" si="1161"/>
        <v>0</v>
      </c>
      <c r="DT175" s="26">
        <f t="shared" ca="1" si="1161"/>
        <v>0</v>
      </c>
      <c r="DU175" s="26">
        <f t="shared" ca="1" si="1161"/>
        <v>0</v>
      </c>
      <c r="DV175" s="26">
        <f t="shared" ca="1" si="1161"/>
        <v>0</v>
      </c>
      <c r="DW175" s="26">
        <f t="shared" ca="1" si="1161"/>
        <v>0</v>
      </c>
      <c r="DX175" s="26">
        <f t="shared" ca="1" si="1161"/>
        <v>0</v>
      </c>
      <c r="DY175" s="26">
        <f t="shared" ca="1" si="1161"/>
        <v>0</v>
      </c>
      <c r="DZ175" s="26">
        <f t="shared" ca="1" si="1161"/>
        <v>0</v>
      </c>
      <c r="EA175" s="26">
        <f t="shared" ca="1" si="1161"/>
        <v>0</v>
      </c>
      <c r="EB175" s="26">
        <f t="shared" ca="1" si="1161"/>
        <v>0</v>
      </c>
      <c r="EC175" s="26">
        <f t="shared" ca="1" si="1161"/>
        <v>0</v>
      </c>
      <c r="ED175" s="26">
        <f t="shared" ca="1" si="1161"/>
        <v>0</v>
      </c>
      <c r="EE175" s="26">
        <f t="shared" ca="1" si="1161"/>
        <v>0</v>
      </c>
      <c r="EF175" s="26">
        <f t="shared" ca="1" si="1161"/>
        <v>0</v>
      </c>
      <c r="EG175" s="26">
        <f t="shared" ca="1" si="1161"/>
        <v>0</v>
      </c>
      <c r="EH175" s="26">
        <f t="shared" ca="1" si="1161"/>
        <v>0</v>
      </c>
      <c r="EI175" s="26">
        <f t="shared" ref="EI175:FN175" ca="1" si="1162">-SUM(EI26,EI29,EI30)-EI39</f>
        <v>0</v>
      </c>
      <c r="EJ175" s="26">
        <f t="shared" ca="1" si="1162"/>
        <v>0</v>
      </c>
      <c r="EK175" s="26">
        <f t="shared" ca="1" si="1162"/>
        <v>0</v>
      </c>
      <c r="EL175" s="26">
        <f t="shared" ca="1" si="1162"/>
        <v>0</v>
      </c>
      <c r="EM175" s="26">
        <f t="shared" ca="1" si="1162"/>
        <v>0</v>
      </c>
      <c r="EN175" s="26">
        <f t="shared" ca="1" si="1162"/>
        <v>0</v>
      </c>
      <c r="EO175" s="26">
        <f t="shared" ca="1" si="1162"/>
        <v>0</v>
      </c>
      <c r="EP175" s="26">
        <f t="shared" ca="1" si="1162"/>
        <v>0</v>
      </c>
      <c r="EQ175" s="26">
        <f t="shared" ca="1" si="1162"/>
        <v>0</v>
      </c>
      <c r="ER175" s="26">
        <f t="shared" ca="1" si="1162"/>
        <v>0</v>
      </c>
      <c r="ES175" s="26">
        <f t="shared" ca="1" si="1162"/>
        <v>0</v>
      </c>
      <c r="ET175" s="26">
        <f t="shared" ca="1" si="1162"/>
        <v>0</v>
      </c>
      <c r="EU175" s="26">
        <f t="shared" ca="1" si="1162"/>
        <v>0</v>
      </c>
      <c r="EV175" s="26">
        <f t="shared" ca="1" si="1162"/>
        <v>0</v>
      </c>
      <c r="EW175" s="26">
        <f t="shared" ca="1" si="1162"/>
        <v>0</v>
      </c>
      <c r="EX175" s="26">
        <f t="shared" ca="1" si="1162"/>
        <v>0</v>
      </c>
      <c r="EY175" s="26">
        <f t="shared" ca="1" si="1162"/>
        <v>0</v>
      </c>
      <c r="EZ175" s="26">
        <f t="shared" ca="1" si="1162"/>
        <v>0</v>
      </c>
      <c r="FA175" s="26">
        <f t="shared" ca="1" si="1162"/>
        <v>0</v>
      </c>
      <c r="FB175" s="26">
        <f t="shared" ca="1" si="1162"/>
        <v>0</v>
      </c>
      <c r="FC175" s="26">
        <f t="shared" ca="1" si="1162"/>
        <v>0</v>
      </c>
      <c r="FD175" s="26">
        <f t="shared" ca="1" si="1162"/>
        <v>0</v>
      </c>
      <c r="FE175" s="26">
        <f t="shared" ca="1" si="1162"/>
        <v>0</v>
      </c>
      <c r="FF175" s="26">
        <f t="shared" ca="1" si="1162"/>
        <v>0</v>
      </c>
      <c r="FG175" s="26">
        <f t="shared" ca="1" si="1162"/>
        <v>0</v>
      </c>
      <c r="FH175" s="26">
        <f t="shared" ca="1" si="1162"/>
        <v>0</v>
      </c>
      <c r="FI175" s="26">
        <f t="shared" ca="1" si="1162"/>
        <v>0</v>
      </c>
      <c r="FJ175" s="26">
        <f t="shared" ca="1" si="1162"/>
        <v>0</v>
      </c>
      <c r="FK175" s="26">
        <f t="shared" ca="1" si="1162"/>
        <v>0</v>
      </c>
      <c r="FL175" s="26">
        <f t="shared" ca="1" si="1162"/>
        <v>0</v>
      </c>
      <c r="FM175" s="26">
        <f t="shared" ca="1" si="1162"/>
        <v>0</v>
      </c>
      <c r="FN175" s="26">
        <f t="shared" ca="1" si="1162"/>
        <v>0</v>
      </c>
      <c r="FO175" s="26">
        <f t="shared" ref="FO175:GC175" ca="1" si="1163">-SUM(FO26,FO29,FO30)-FO39</f>
        <v>0</v>
      </c>
      <c r="FP175" s="26">
        <f t="shared" ca="1" si="1163"/>
        <v>0</v>
      </c>
      <c r="FQ175" s="26">
        <f t="shared" ca="1" si="1163"/>
        <v>0</v>
      </c>
      <c r="FR175" s="26">
        <f t="shared" ca="1" si="1163"/>
        <v>0</v>
      </c>
      <c r="FS175" s="26">
        <f t="shared" ca="1" si="1163"/>
        <v>0</v>
      </c>
      <c r="FT175" s="26">
        <f t="shared" ca="1" si="1163"/>
        <v>0</v>
      </c>
      <c r="FU175" s="26">
        <f t="shared" ca="1" si="1163"/>
        <v>0</v>
      </c>
      <c r="FV175" s="26">
        <f t="shared" ca="1" si="1163"/>
        <v>0</v>
      </c>
      <c r="FW175" s="26">
        <f t="shared" ca="1" si="1163"/>
        <v>0</v>
      </c>
      <c r="FX175" s="26">
        <f t="shared" ca="1" si="1163"/>
        <v>0</v>
      </c>
      <c r="FY175" s="26">
        <f t="shared" ca="1" si="1163"/>
        <v>0</v>
      </c>
      <c r="FZ175" s="26">
        <f t="shared" ca="1" si="1163"/>
        <v>0</v>
      </c>
      <c r="GA175" s="26">
        <f t="shared" ca="1" si="1163"/>
        <v>0</v>
      </c>
      <c r="GB175" s="26">
        <f t="shared" ca="1" si="1163"/>
        <v>0</v>
      </c>
      <c r="GC175" s="26">
        <f t="shared" ca="1" si="1163"/>
        <v>0</v>
      </c>
      <c r="GD175" s="26">
        <f t="shared" ref="GD175:GO175" ca="1" si="1164">-SUM(GD26,GD29,GD30)-GD39</f>
        <v>0</v>
      </c>
      <c r="GE175" s="26">
        <f t="shared" ca="1" si="1164"/>
        <v>0</v>
      </c>
      <c r="GF175" s="26">
        <f t="shared" ca="1" si="1164"/>
        <v>0</v>
      </c>
      <c r="GG175" s="26">
        <f t="shared" ca="1" si="1164"/>
        <v>0</v>
      </c>
      <c r="GH175" s="26">
        <f t="shared" ca="1" si="1164"/>
        <v>0</v>
      </c>
      <c r="GI175" s="26">
        <f t="shared" ca="1" si="1164"/>
        <v>0</v>
      </c>
      <c r="GJ175" s="26">
        <f t="shared" ca="1" si="1164"/>
        <v>0</v>
      </c>
      <c r="GK175" s="26">
        <f t="shared" ca="1" si="1164"/>
        <v>0</v>
      </c>
      <c r="GL175" s="26">
        <f t="shared" ca="1" si="1164"/>
        <v>0</v>
      </c>
      <c r="GM175" s="26">
        <f t="shared" ca="1" si="1164"/>
        <v>0</v>
      </c>
      <c r="GN175" s="26">
        <f t="shared" ca="1" si="1164"/>
        <v>0</v>
      </c>
      <c r="GO175" s="26">
        <f t="shared" ca="1" si="1164"/>
        <v>0</v>
      </c>
      <c r="GP175" s="26">
        <f ca="1">-SUM(GP26,GP29,GP30)-GP39</f>
        <v>0</v>
      </c>
      <c r="GQ175" s="26">
        <f ca="1">-SUM(GQ26,GQ29,GQ30)-GQ39</f>
        <v>0</v>
      </c>
      <c r="GR175" s="26">
        <f ca="1">-SUM(GR26,GR29,GR30)-GR39</f>
        <v>0</v>
      </c>
      <c r="GS175" s="26">
        <f ca="1">-SUM(GS26,GS29,GS30)-GS39</f>
        <v>0</v>
      </c>
      <c r="GT175" s="26">
        <f ca="1">-SUM(GT26,GT29,GT30)-GT39</f>
        <v>0</v>
      </c>
      <c r="GU175" s="26">
        <f t="shared" ref="GU175:HE175" si="1165">-SUM(GU26,GU29,GU30)-GU39</f>
        <v>0</v>
      </c>
      <c r="GV175" s="26">
        <f t="shared" si="1165"/>
        <v>0</v>
      </c>
      <c r="GW175" s="26">
        <f t="shared" si="1165"/>
        <v>0</v>
      </c>
      <c r="GX175" s="26">
        <f t="shared" si="1165"/>
        <v>0</v>
      </c>
      <c r="GY175" s="26">
        <f t="shared" si="1165"/>
        <v>0</v>
      </c>
      <c r="GZ175" s="26">
        <f t="shared" si="1165"/>
        <v>0</v>
      </c>
      <c r="HA175" s="26">
        <f t="shared" si="1165"/>
        <v>0</v>
      </c>
      <c r="HB175" s="26">
        <f t="shared" si="1165"/>
        <v>0</v>
      </c>
      <c r="HC175" s="26">
        <f t="shared" si="1165"/>
        <v>0</v>
      </c>
      <c r="HD175" s="26">
        <f t="shared" si="1165"/>
        <v>0</v>
      </c>
      <c r="HE175" s="26">
        <f t="shared" si="1165"/>
        <v>0</v>
      </c>
      <c r="HF175" s="1" t="s">
        <v>212</v>
      </c>
      <c r="HH175" s="44" t="s">
        <v>134</v>
      </c>
      <c r="HI175" s="18"/>
      <c r="HJ175" s="18"/>
      <c r="HK175" s="18"/>
      <c r="HL175" s="132">
        <f t="shared" ca="1" si="1156"/>
        <v>-3137.6327592500002</v>
      </c>
      <c r="HM175" s="26"/>
      <c r="HN175" s="133">
        <f t="shared" si="1157"/>
        <v>0</v>
      </c>
      <c r="HO175" s="26">
        <f t="shared" ca="1" si="1157"/>
        <v>-222.75583</v>
      </c>
      <c r="HP175" s="26">
        <f t="shared" ca="1" si="1157"/>
        <v>-1741.3253992499999</v>
      </c>
      <c r="HQ175" s="26">
        <f t="shared" ca="1" si="1157"/>
        <v>-44.898649999999996</v>
      </c>
      <c r="HR175" s="26">
        <f t="shared" ca="1" si="1157"/>
        <v>-180.85800000000003</v>
      </c>
      <c r="HS175" s="26">
        <f t="shared" ca="1" si="1157"/>
        <v>-65.924000000000007</v>
      </c>
      <c r="HT175" s="26">
        <f t="shared" ca="1" si="1157"/>
        <v>-277.63444999999996</v>
      </c>
      <c r="HU175" s="26">
        <f t="shared" ca="1" si="1157"/>
        <v>-424.55389031746029</v>
      </c>
      <c r="HV175" s="26">
        <f t="shared" ca="1" si="1157"/>
        <v>-179.6825396825397</v>
      </c>
      <c r="HW175"/>
    </row>
    <row r="176" spans="1:231" ht="15">
      <c r="B176" s="44" t="s">
        <v>135</v>
      </c>
      <c r="I176" s="132">
        <f ca="1">SUMIF($K$13:$GT$13,"&lt;="&amp;Assumptions!$L$17,'Monthly Cash Flow'!K176:GT176)</f>
        <v>-3692.9387452004266</v>
      </c>
      <c r="J176" s="26"/>
      <c r="K176" s="133">
        <f t="shared" ref="K176:AP176" si="1166">-SUM(K34,K37)</f>
        <v>0</v>
      </c>
      <c r="L176" s="26">
        <f t="shared" si="1166"/>
        <v>0</v>
      </c>
      <c r="M176" s="26">
        <f t="shared" si="1166"/>
        <v>0</v>
      </c>
      <c r="N176" s="26">
        <f t="shared" si="1166"/>
        <v>0</v>
      </c>
      <c r="O176" s="26">
        <f t="shared" si="1166"/>
        <v>0</v>
      </c>
      <c r="P176" s="26">
        <f t="shared" si="1166"/>
        <v>0</v>
      </c>
      <c r="Q176" s="26">
        <f t="shared" si="1166"/>
        <v>0</v>
      </c>
      <c r="R176" s="26">
        <f t="shared" si="1166"/>
        <v>0</v>
      </c>
      <c r="S176" s="26">
        <f t="shared" si="1166"/>
        <v>0</v>
      </c>
      <c r="T176" s="26">
        <f t="shared" si="1166"/>
        <v>0</v>
      </c>
      <c r="U176" s="26">
        <f t="shared" si="1166"/>
        <v>-10.160909999999999</v>
      </c>
      <c r="V176" s="26">
        <f t="shared" si="1166"/>
        <v>0</v>
      </c>
      <c r="W176" s="26">
        <f t="shared" si="1166"/>
        <v>-60.828589999999998</v>
      </c>
      <c r="X176" s="26">
        <f t="shared" si="1166"/>
        <v>-3.6021399999999999</v>
      </c>
      <c r="Y176" s="26">
        <f t="shared" si="1166"/>
        <v>0</v>
      </c>
      <c r="Z176" s="26">
        <f t="shared" si="1166"/>
        <v>-3.2014699999999996</v>
      </c>
      <c r="AA176" s="26">
        <f t="shared" si="1166"/>
        <v>0</v>
      </c>
      <c r="AB176" s="26">
        <f t="shared" si="1166"/>
        <v>-9.5476799999999997</v>
      </c>
      <c r="AC176" s="26">
        <f t="shared" si="1166"/>
        <v>0</v>
      </c>
      <c r="AD176" s="26">
        <f t="shared" si="1166"/>
        <v>-2.28E-15</v>
      </c>
      <c r="AE176" s="26">
        <f t="shared" si="1166"/>
        <v>0</v>
      </c>
      <c r="AF176" s="26">
        <f t="shared" si="1166"/>
        <v>-60.946201595428299</v>
      </c>
      <c r="AG176" s="26">
        <f t="shared" si="1166"/>
        <v>-73.629000000000005</v>
      </c>
      <c r="AH176" s="26">
        <f t="shared" si="1166"/>
        <v>0</v>
      </c>
      <c r="AI176" s="26">
        <f t="shared" si="1166"/>
        <v>-78.125880000000009</v>
      </c>
      <c r="AJ176" s="26">
        <f t="shared" si="1166"/>
        <v>0</v>
      </c>
      <c r="AK176" s="26">
        <f t="shared" si="1166"/>
        <v>0</v>
      </c>
      <c r="AL176" s="26">
        <f t="shared" si="1166"/>
        <v>-211.84488000000002</v>
      </c>
      <c r="AM176" s="26">
        <f t="shared" si="1166"/>
        <v>0</v>
      </c>
      <c r="AN176" s="26">
        <f t="shared" si="1166"/>
        <v>-4.166999999999998</v>
      </c>
      <c r="AO176" s="26">
        <f t="shared" si="1166"/>
        <v>0</v>
      </c>
      <c r="AP176" s="26">
        <f t="shared" si="1166"/>
        <v>-158.75653402388377</v>
      </c>
      <c r="AQ176" s="26">
        <f t="shared" ref="AQ176:BV176" si="1167">-SUM(AQ34,AQ37)</f>
        <v>-32.401150000000001</v>
      </c>
      <c r="AR176" s="26">
        <f t="shared" si="1167"/>
        <v>0</v>
      </c>
      <c r="AS176" s="26">
        <f t="shared" si="1167"/>
        <v>0</v>
      </c>
      <c r="AT176" s="26">
        <f t="shared" si="1167"/>
        <v>0</v>
      </c>
      <c r="AU176" s="26">
        <f t="shared" si="1167"/>
        <v>0</v>
      </c>
      <c r="AV176" s="26">
        <f t="shared" si="1167"/>
        <v>0</v>
      </c>
      <c r="AW176" s="26">
        <f t="shared" si="1167"/>
        <v>-257.02499999999998</v>
      </c>
      <c r="AX176" s="26">
        <f t="shared" si="1167"/>
        <v>0</v>
      </c>
      <c r="AY176" s="26">
        <f t="shared" si="1167"/>
        <v>19</v>
      </c>
      <c r="AZ176" s="26">
        <f t="shared" si="1167"/>
        <v>-128.82645958111405</v>
      </c>
      <c r="BA176" s="26">
        <f t="shared" si="1167"/>
        <v>-149.43100000000001</v>
      </c>
      <c r="BB176" s="26">
        <f t="shared" si="1167"/>
        <v>0</v>
      </c>
      <c r="BC176" s="26">
        <f t="shared" si="1167"/>
        <v>0</v>
      </c>
      <c r="BD176" s="26">
        <f t="shared" si="1167"/>
        <v>0</v>
      </c>
      <c r="BE176" s="26">
        <f t="shared" si="1167"/>
        <v>0</v>
      </c>
      <c r="BF176" s="26">
        <f t="shared" si="1167"/>
        <v>0</v>
      </c>
      <c r="BG176" s="26">
        <f t="shared" si="1167"/>
        <v>0</v>
      </c>
      <c r="BH176" s="26">
        <f t="shared" si="1167"/>
        <v>0</v>
      </c>
      <c r="BI176" s="26">
        <f t="shared" si="1167"/>
        <v>0</v>
      </c>
      <c r="BJ176" s="26">
        <f t="shared" si="1167"/>
        <v>0</v>
      </c>
      <c r="BK176" s="26">
        <f t="shared" si="1167"/>
        <v>0</v>
      </c>
      <c r="BL176" s="26">
        <f t="shared" ca="1" si="1167"/>
        <v>0</v>
      </c>
      <c r="BM176" s="26">
        <f t="shared" ca="1" si="1167"/>
        <v>0</v>
      </c>
      <c r="BN176" s="26">
        <f t="shared" ca="1" si="1167"/>
        <v>0</v>
      </c>
      <c r="BO176" s="26">
        <f t="shared" ca="1" si="1167"/>
        <v>0</v>
      </c>
      <c r="BP176" s="26">
        <f t="shared" ca="1" si="1167"/>
        <v>0</v>
      </c>
      <c r="BQ176" s="26">
        <f t="shared" ca="1" si="1167"/>
        <v>0</v>
      </c>
      <c r="BR176" s="26">
        <f t="shared" ca="1" si="1167"/>
        <v>0</v>
      </c>
      <c r="BS176" s="26">
        <f t="shared" ca="1" si="1167"/>
        <v>0</v>
      </c>
      <c r="BT176" s="26">
        <f t="shared" ca="1" si="1167"/>
        <v>0</v>
      </c>
      <c r="BU176" s="26">
        <f t="shared" ca="1" si="1167"/>
        <v>0</v>
      </c>
      <c r="BV176" s="26">
        <f t="shared" ca="1" si="1167"/>
        <v>0</v>
      </c>
      <c r="BW176" s="26">
        <f t="shared" ref="BW176:DB176" ca="1" si="1168">-SUM(BW34,BW37)</f>
        <v>-9.3451900000000006</v>
      </c>
      <c r="BX176" s="26">
        <f t="shared" ca="1" si="1168"/>
        <v>-21.707660000000001</v>
      </c>
      <c r="BY176" s="26">
        <f t="shared" ca="1" si="1168"/>
        <v>0</v>
      </c>
      <c r="BZ176" s="26">
        <f t="shared" ca="1" si="1168"/>
        <v>0</v>
      </c>
      <c r="CA176" s="26">
        <f t="shared" ca="1" si="1168"/>
        <v>-96.915000000000006</v>
      </c>
      <c r="CB176" s="26">
        <f t="shared" ca="1" si="1168"/>
        <v>0</v>
      </c>
      <c r="CC176" s="26">
        <f t="shared" ca="1" si="1168"/>
        <v>0</v>
      </c>
      <c r="CD176" s="26">
        <f t="shared" ca="1" si="1168"/>
        <v>-102.36</v>
      </c>
      <c r="CE176" s="26">
        <f t="shared" ca="1" si="1168"/>
        <v>0</v>
      </c>
      <c r="CF176" s="26">
        <f t="shared" ca="1" si="1168"/>
        <v>0</v>
      </c>
      <c r="CG176" s="26">
        <f t="shared" ca="1" si="1168"/>
        <v>0</v>
      </c>
      <c r="CH176" s="26">
        <f t="shared" ca="1" si="1168"/>
        <v>0</v>
      </c>
      <c r="CI176" s="26">
        <f t="shared" ca="1" si="1168"/>
        <v>0</v>
      </c>
      <c r="CJ176" s="26">
        <f t="shared" ca="1" si="1168"/>
        <v>0</v>
      </c>
      <c r="CK176" s="26">
        <f t="shared" ca="1" si="1168"/>
        <v>0</v>
      </c>
      <c r="CL176" s="26">
        <f t="shared" ca="1" si="1168"/>
        <v>0</v>
      </c>
      <c r="CM176" s="26">
        <f t="shared" ca="1" si="1168"/>
        <v>0</v>
      </c>
      <c r="CN176" s="26">
        <f t="shared" ca="1" si="1168"/>
        <v>0</v>
      </c>
      <c r="CO176" s="26">
        <f t="shared" ca="1" si="1168"/>
        <v>0</v>
      </c>
      <c r="CP176" s="26">
        <f t="shared" ca="1" si="1168"/>
        <v>-92.909000000000006</v>
      </c>
      <c r="CQ176" s="26">
        <f t="shared" ca="1" si="1168"/>
        <v>0</v>
      </c>
      <c r="CR176" s="26">
        <f t="shared" ca="1" si="1168"/>
        <v>0</v>
      </c>
      <c r="CS176" s="26">
        <f t="shared" ca="1" si="1168"/>
        <v>-173.60199999999998</v>
      </c>
      <c r="CT176" s="26">
        <f t="shared" ca="1" si="1168"/>
        <v>-268.92599999999999</v>
      </c>
      <c r="CU176" s="26">
        <f t="shared" ca="1" si="1168"/>
        <v>0</v>
      </c>
      <c r="CV176" s="26">
        <f t="shared" ca="1" si="1168"/>
        <v>0</v>
      </c>
      <c r="CW176" s="26">
        <f t="shared" ca="1" si="1168"/>
        <v>0</v>
      </c>
      <c r="CX176" s="26">
        <f t="shared" ca="1" si="1168"/>
        <v>0</v>
      </c>
      <c r="CY176" s="26">
        <f t="shared" ca="1" si="1168"/>
        <v>-175.119</v>
      </c>
      <c r="CZ176" s="26">
        <f t="shared" ca="1" si="1168"/>
        <v>0</v>
      </c>
      <c r="DA176" s="26">
        <f t="shared" ca="1" si="1168"/>
        <v>-154.11699999999999</v>
      </c>
      <c r="DB176" s="26">
        <f t="shared" ca="1" si="1168"/>
        <v>-1181.643</v>
      </c>
      <c r="DC176" s="26">
        <f t="shared" ref="DC176:EH176" ca="1" si="1169">-SUM(DC34,DC37)</f>
        <v>-192.80099999999999</v>
      </c>
      <c r="DD176" s="26">
        <f t="shared" ca="1" si="1169"/>
        <v>0</v>
      </c>
      <c r="DE176" s="26">
        <f t="shared" ca="1" si="1169"/>
        <v>0</v>
      </c>
      <c r="DF176" s="26">
        <f t="shared" ca="1" si="1169"/>
        <v>0</v>
      </c>
      <c r="DG176" s="26">
        <f t="shared" ca="1" si="1169"/>
        <v>0</v>
      </c>
      <c r="DH176" s="26">
        <f t="shared" ca="1" si="1169"/>
        <v>0</v>
      </c>
      <c r="DI176" s="26">
        <f t="shared" ca="1" si="1169"/>
        <v>0</v>
      </c>
      <c r="DJ176" s="26">
        <f t="shared" si="1169"/>
        <v>0</v>
      </c>
      <c r="DK176" s="26">
        <f t="shared" si="1169"/>
        <v>0</v>
      </c>
      <c r="DL176" s="26">
        <f t="shared" si="1169"/>
        <v>0</v>
      </c>
      <c r="DM176" s="26">
        <f t="shared" si="1169"/>
        <v>0</v>
      </c>
      <c r="DN176" s="26">
        <f t="shared" si="1169"/>
        <v>0</v>
      </c>
      <c r="DO176" s="26">
        <f t="shared" si="1169"/>
        <v>0</v>
      </c>
      <c r="DP176" s="26">
        <f t="shared" si="1169"/>
        <v>0</v>
      </c>
      <c r="DQ176" s="26">
        <f t="shared" si="1169"/>
        <v>0</v>
      </c>
      <c r="DR176" s="26">
        <f t="shared" si="1169"/>
        <v>0</v>
      </c>
      <c r="DS176" s="26">
        <f t="shared" si="1169"/>
        <v>0</v>
      </c>
      <c r="DT176" s="26">
        <f t="shared" si="1169"/>
        <v>0</v>
      </c>
      <c r="DU176" s="26">
        <f t="shared" si="1169"/>
        <v>0</v>
      </c>
      <c r="DV176" s="26">
        <f t="shared" si="1169"/>
        <v>0</v>
      </c>
      <c r="DW176" s="26">
        <f t="shared" si="1169"/>
        <v>0</v>
      </c>
      <c r="DX176" s="26">
        <f t="shared" si="1169"/>
        <v>0</v>
      </c>
      <c r="DY176" s="26">
        <f t="shared" si="1169"/>
        <v>0</v>
      </c>
      <c r="DZ176" s="26">
        <f t="shared" si="1169"/>
        <v>0</v>
      </c>
      <c r="EA176" s="26">
        <f t="shared" si="1169"/>
        <v>0</v>
      </c>
      <c r="EB176" s="26">
        <f t="shared" si="1169"/>
        <v>0</v>
      </c>
      <c r="EC176" s="26">
        <f t="shared" si="1169"/>
        <v>0</v>
      </c>
      <c r="ED176" s="26">
        <f t="shared" si="1169"/>
        <v>0</v>
      </c>
      <c r="EE176" s="26">
        <f t="shared" si="1169"/>
        <v>0</v>
      </c>
      <c r="EF176" s="26">
        <f t="shared" si="1169"/>
        <v>0</v>
      </c>
      <c r="EG176" s="26">
        <f t="shared" si="1169"/>
        <v>0</v>
      </c>
      <c r="EH176" s="26">
        <f t="shared" si="1169"/>
        <v>0</v>
      </c>
      <c r="EI176" s="26">
        <f t="shared" ref="EI176:FN176" si="1170">-SUM(EI34,EI37)</f>
        <v>0</v>
      </c>
      <c r="EJ176" s="26">
        <f t="shared" si="1170"/>
        <v>0</v>
      </c>
      <c r="EK176" s="26">
        <f t="shared" si="1170"/>
        <v>0</v>
      </c>
      <c r="EL176" s="26">
        <f t="shared" si="1170"/>
        <v>0</v>
      </c>
      <c r="EM176" s="26">
        <f t="shared" si="1170"/>
        <v>0</v>
      </c>
      <c r="EN176" s="26">
        <f t="shared" si="1170"/>
        <v>0</v>
      </c>
      <c r="EO176" s="26">
        <f t="shared" si="1170"/>
        <v>0</v>
      </c>
      <c r="EP176" s="26">
        <f t="shared" si="1170"/>
        <v>0</v>
      </c>
      <c r="EQ176" s="26">
        <f t="shared" si="1170"/>
        <v>0</v>
      </c>
      <c r="ER176" s="26">
        <f t="shared" si="1170"/>
        <v>0</v>
      </c>
      <c r="ES176" s="26">
        <f t="shared" si="1170"/>
        <v>0</v>
      </c>
      <c r="ET176" s="26">
        <f t="shared" si="1170"/>
        <v>0</v>
      </c>
      <c r="EU176" s="26">
        <f t="shared" si="1170"/>
        <v>0</v>
      </c>
      <c r="EV176" s="26">
        <f t="shared" si="1170"/>
        <v>0</v>
      </c>
      <c r="EW176" s="26">
        <f t="shared" si="1170"/>
        <v>0</v>
      </c>
      <c r="EX176" s="26">
        <f t="shared" si="1170"/>
        <v>0</v>
      </c>
      <c r="EY176" s="26">
        <f t="shared" si="1170"/>
        <v>0</v>
      </c>
      <c r="EZ176" s="26">
        <f t="shared" si="1170"/>
        <v>0</v>
      </c>
      <c r="FA176" s="26">
        <f t="shared" si="1170"/>
        <v>0</v>
      </c>
      <c r="FB176" s="26">
        <f t="shared" si="1170"/>
        <v>0</v>
      </c>
      <c r="FC176" s="26">
        <f t="shared" si="1170"/>
        <v>0</v>
      </c>
      <c r="FD176" s="26">
        <f t="shared" si="1170"/>
        <v>0</v>
      </c>
      <c r="FE176" s="26">
        <f t="shared" si="1170"/>
        <v>0</v>
      </c>
      <c r="FF176" s="26">
        <f t="shared" si="1170"/>
        <v>0</v>
      </c>
      <c r="FG176" s="26">
        <f t="shared" si="1170"/>
        <v>0</v>
      </c>
      <c r="FH176" s="26">
        <f t="shared" si="1170"/>
        <v>0</v>
      </c>
      <c r="FI176" s="26">
        <f t="shared" si="1170"/>
        <v>0</v>
      </c>
      <c r="FJ176" s="26">
        <f t="shared" si="1170"/>
        <v>0</v>
      </c>
      <c r="FK176" s="26">
        <f t="shared" si="1170"/>
        <v>0</v>
      </c>
      <c r="FL176" s="26">
        <f t="shared" si="1170"/>
        <v>0</v>
      </c>
      <c r="FM176" s="26">
        <f t="shared" si="1170"/>
        <v>0</v>
      </c>
      <c r="FN176" s="26">
        <f t="shared" si="1170"/>
        <v>0</v>
      </c>
      <c r="FO176" s="26">
        <f t="shared" ref="FO176:GC176" si="1171">-SUM(FO34,FO37)</f>
        <v>0</v>
      </c>
      <c r="FP176" s="26">
        <f t="shared" si="1171"/>
        <v>0</v>
      </c>
      <c r="FQ176" s="26">
        <f t="shared" si="1171"/>
        <v>0</v>
      </c>
      <c r="FR176" s="26">
        <f t="shared" si="1171"/>
        <v>0</v>
      </c>
      <c r="FS176" s="26">
        <f t="shared" si="1171"/>
        <v>0</v>
      </c>
      <c r="FT176" s="26">
        <f t="shared" si="1171"/>
        <v>0</v>
      </c>
      <c r="FU176" s="26">
        <f t="shared" si="1171"/>
        <v>0</v>
      </c>
      <c r="FV176" s="26">
        <f t="shared" si="1171"/>
        <v>0</v>
      </c>
      <c r="FW176" s="26">
        <f t="shared" si="1171"/>
        <v>0</v>
      </c>
      <c r="FX176" s="26">
        <f t="shared" si="1171"/>
        <v>0</v>
      </c>
      <c r="FY176" s="26">
        <f t="shared" si="1171"/>
        <v>0</v>
      </c>
      <c r="FZ176" s="26">
        <f t="shared" si="1171"/>
        <v>0</v>
      </c>
      <c r="GA176" s="26">
        <f t="shared" si="1171"/>
        <v>0</v>
      </c>
      <c r="GB176" s="26">
        <f t="shared" si="1171"/>
        <v>0</v>
      </c>
      <c r="GC176" s="26">
        <f t="shared" si="1171"/>
        <v>0</v>
      </c>
      <c r="GD176" s="26">
        <f t="shared" ref="GD176:GO176" si="1172">-SUM(GD34,GD37)</f>
        <v>0</v>
      </c>
      <c r="GE176" s="26">
        <f t="shared" si="1172"/>
        <v>0</v>
      </c>
      <c r="GF176" s="26">
        <f t="shared" si="1172"/>
        <v>0</v>
      </c>
      <c r="GG176" s="26">
        <f t="shared" si="1172"/>
        <v>0</v>
      </c>
      <c r="GH176" s="26">
        <f t="shared" si="1172"/>
        <v>0</v>
      </c>
      <c r="GI176" s="26">
        <f t="shared" si="1172"/>
        <v>0</v>
      </c>
      <c r="GJ176" s="26">
        <f t="shared" si="1172"/>
        <v>0</v>
      </c>
      <c r="GK176" s="26">
        <f t="shared" si="1172"/>
        <v>0</v>
      </c>
      <c r="GL176" s="26">
        <f t="shared" si="1172"/>
        <v>0</v>
      </c>
      <c r="GM176" s="26">
        <f t="shared" si="1172"/>
        <v>0</v>
      </c>
      <c r="GN176" s="26">
        <f t="shared" si="1172"/>
        <v>0</v>
      </c>
      <c r="GO176" s="26">
        <f t="shared" si="1172"/>
        <v>0</v>
      </c>
      <c r="GP176" s="26">
        <f>-SUM(GP34,GP37)</f>
        <v>0</v>
      </c>
      <c r="GQ176" s="26">
        <f>-SUM(GQ34,GQ37)</f>
        <v>0</v>
      </c>
      <c r="GR176" s="26">
        <f>-SUM(GR34,GR37)</f>
        <v>0</v>
      </c>
      <c r="GS176" s="26">
        <f>-SUM(GS34,GS37)</f>
        <v>0</v>
      </c>
      <c r="GT176" s="26">
        <f>-SUM(GT34,GT37)</f>
        <v>0</v>
      </c>
      <c r="GU176" s="26">
        <f t="shared" ref="GU176:HE176" si="1173">-SUM(GU34,GU37)</f>
        <v>0</v>
      </c>
      <c r="GV176" s="26">
        <f t="shared" si="1173"/>
        <v>0</v>
      </c>
      <c r="GW176" s="26">
        <f t="shared" si="1173"/>
        <v>0</v>
      </c>
      <c r="GX176" s="26">
        <f t="shared" si="1173"/>
        <v>0</v>
      </c>
      <c r="GY176" s="26">
        <f t="shared" si="1173"/>
        <v>0</v>
      </c>
      <c r="GZ176" s="26">
        <f t="shared" si="1173"/>
        <v>0</v>
      </c>
      <c r="HA176" s="26">
        <f t="shared" si="1173"/>
        <v>0</v>
      </c>
      <c r="HB176" s="26">
        <f t="shared" si="1173"/>
        <v>0</v>
      </c>
      <c r="HC176" s="26">
        <f t="shared" si="1173"/>
        <v>0</v>
      </c>
      <c r="HD176" s="26">
        <f t="shared" si="1173"/>
        <v>0</v>
      </c>
      <c r="HE176" s="26">
        <f t="shared" si="1173"/>
        <v>0</v>
      </c>
      <c r="HF176" s="1" t="s">
        <v>212</v>
      </c>
      <c r="HH176" s="44" t="str">
        <f t="shared" ref="HH176:HH186" si="1174">B176</f>
        <v>(-) TI/LCs/Leasing Legal</v>
      </c>
      <c r="HI176" s="26"/>
      <c r="HJ176" s="26"/>
      <c r="HK176" s="26"/>
      <c r="HL176" s="132">
        <f t="shared" ca="1" si="1156"/>
        <v>-3692.9387452004266</v>
      </c>
      <c r="HM176" s="26"/>
      <c r="HN176" s="133">
        <f t="shared" si="1157"/>
        <v>0</v>
      </c>
      <c r="HO176" s="26">
        <f t="shared" si="1157"/>
        <v>-70.989499999999992</v>
      </c>
      <c r="HP176" s="26">
        <f t="shared" si="1157"/>
        <v>-229.05237159542833</v>
      </c>
      <c r="HQ176" s="26">
        <f t="shared" si="1157"/>
        <v>-407.16956402388382</v>
      </c>
      <c r="HR176" s="26">
        <f t="shared" si="1157"/>
        <v>-516.28245958111404</v>
      </c>
      <c r="HS176" s="26">
        <f t="shared" ca="1" si="1157"/>
        <v>0</v>
      </c>
      <c r="HT176" s="26">
        <f t="shared" ca="1" si="1157"/>
        <v>-230.32785000000001</v>
      </c>
      <c r="HU176" s="26">
        <f t="shared" ca="1" si="1157"/>
        <v>-92.909000000000006</v>
      </c>
      <c r="HV176" s="26">
        <f t="shared" ca="1" si="1157"/>
        <v>-2146.2080000000001</v>
      </c>
      <c r="HW176"/>
    </row>
    <row r="177" spans="1:231" ht="15">
      <c r="B177" s="220" t="s">
        <v>136</v>
      </c>
      <c r="C177" s="84"/>
      <c r="D177" s="84"/>
      <c r="E177" s="84"/>
      <c r="F177" s="84"/>
      <c r="G177" s="84"/>
      <c r="H177" s="84"/>
      <c r="I177" s="119">
        <f ca="1">SUMIF($K$13:$GT$13,"&lt;="&amp;Assumptions!$L$17,'Monthly Cash Flow'!K177:GT177)</f>
        <v>11582.533260000006</v>
      </c>
      <c r="J177" s="120"/>
      <c r="K177" s="140">
        <f t="shared" ref="K177:AP177" si="1175">K80</f>
        <v>0</v>
      </c>
      <c r="L177" s="120">
        <f t="shared" si="1175"/>
        <v>58.588409999999996</v>
      </c>
      <c r="M177" s="120">
        <f t="shared" si="1175"/>
        <v>39.424859999999995</v>
      </c>
      <c r="N177" s="120">
        <f t="shared" si="1175"/>
        <v>62.164510000000007</v>
      </c>
      <c r="O177" s="120">
        <f t="shared" si="1175"/>
        <v>23.673310000000015</v>
      </c>
      <c r="P177" s="120">
        <f t="shared" si="1175"/>
        <v>69.427840000000003</v>
      </c>
      <c r="Q177" s="120">
        <f t="shared" si="1175"/>
        <v>53.221360000000018</v>
      </c>
      <c r="R177" s="120">
        <f t="shared" si="1175"/>
        <v>66.139569999999992</v>
      </c>
      <c r="S177" s="120">
        <f t="shared" si="1175"/>
        <v>136.26360000000003</v>
      </c>
      <c r="T177" s="120">
        <f t="shared" si="1175"/>
        <v>66.867030000000028</v>
      </c>
      <c r="U177" s="120">
        <f t="shared" si="1175"/>
        <v>154.67081000000002</v>
      </c>
      <c r="V177" s="120">
        <f t="shared" si="1175"/>
        <v>239.07783999999998</v>
      </c>
      <c r="W177" s="120">
        <f t="shared" si="1175"/>
        <v>-129.80023</v>
      </c>
      <c r="X177" s="120">
        <f t="shared" si="1175"/>
        <v>81.805930000000018</v>
      </c>
      <c r="Y177" s="120">
        <f t="shared" si="1175"/>
        <v>-5.0317100000000039</v>
      </c>
      <c r="Z177" s="120">
        <f t="shared" si="1175"/>
        <v>73.826150000000041</v>
      </c>
      <c r="AA177" s="120">
        <f t="shared" si="1175"/>
        <v>118.62709000000004</v>
      </c>
      <c r="AB177" s="120">
        <f t="shared" si="1175"/>
        <v>60.287239999999997</v>
      </c>
      <c r="AC177" s="120">
        <f t="shared" si="1175"/>
        <v>26.828859999999992</v>
      </c>
      <c r="AD177" s="120">
        <f t="shared" si="1175"/>
        <v>119.66310999999999</v>
      </c>
      <c r="AE177" s="120">
        <f t="shared" si="1175"/>
        <v>105.07043000000002</v>
      </c>
      <c r="AF177" s="120">
        <f t="shared" si="1175"/>
        <v>94.892400000000038</v>
      </c>
      <c r="AG177" s="120">
        <f t="shared" si="1175"/>
        <v>86.470220000000012</v>
      </c>
      <c r="AH177" s="120">
        <f t="shared" si="1175"/>
        <v>113.23488</v>
      </c>
      <c r="AI177" s="120">
        <f t="shared" si="1175"/>
        <v>93.738080000000011</v>
      </c>
      <c r="AJ177" s="120">
        <f t="shared" si="1175"/>
        <v>73.349319999999992</v>
      </c>
      <c r="AK177" s="120">
        <f t="shared" si="1175"/>
        <v>58.081759999999974</v>
      </c>
      <c r="AL177" s="120">
        <f t="shared" si="1175"/>
        <v>99.803760000000025</v>
      </c>
      <c r="AM177" s="120">
        <f t="shared" si="1175"/>
        <v>118.04129</v>
      </c>
      <c r="AN177" s="120">
        <f t="shared" si="1175"/>
        <v>101.45357000000001</v>
      </c>
      <c r="AO177" s="120">
        <f t="shared" si="1175"/>
        <v>81.414159999999995</v>
      </c>
      <c r="AP177" s="120">
        <f t="shared" si="1175"/>
        <v>135.38081</v>
      </c>
      <c r="AQ177" s="120">
        <f t="shared" ref="AQ177:BV177" si="1176">AQ80</f>
        <v>131.88220999999999</v>
      </c>
      <c r="AR177" s="120">
        <f t="shared" si="1176"/>
        <v>106.14256</v>
      </c>
      <c r="AS177" s="120">
        <f t="shared" si="1176"/>
        <v>134.99206999999998</v>
      </c>
      <c r="AT177" s="120">
        <f t="shared" si="1176"/>
        <v>116.68306999999999</v>
      </c>
      <c r="AU177" s="120">
        <f t="shared" si="1176"/>
        <v>134.19099000000003</v>
      </c>
      <c r="AV177" s="120">
        <f t="shared" si="1176"/>
        <v>137.95124999999999</v>
      </c>
      <c r="AW177" s="120">
        <f t="shared" si="1176"/>
        <v>129.61628999999999</v>
      </c>
      <c r="AX177" s="120">
        <f t="shared" si="1176"/>
        <v>117.20541999999998</v>
      </c>
      <c r="AY177" s="120">
        <f t="shared" si="1176"/>
        <v>115.52426000000003</v>
      </c>
      <c r="AZ177" s="120">
        <f t="shared" si="1176"/>
        <v>51.822730000000007</v>
      </c>
      <c r="BA177" s="120">
        <f t="shared" si="1176"/>
        <v>131.91952999999998</v>
      </c>
      <c r="BB177" s="120">
        <f t="shared" si="1176"/>
        <v>111.86949000000001</v>
      </c>
      <c r="BC177" s="120">
        <f t="shared" si="1176"/>
        <v>104.50782999999998</v>
      </c>
      <c r="BD177" s="120">
        <f t="shared" si="1176"/>
        <v>110.20179000000002</v>
      </c>
      <c r="BE177" s="120">
        <f t="shared" si="1176"/>
        <v>142.38238000000001</v>
      </c>
      <c r="BF177" s="120">
        <f t="shared" si="1176"/>
        <v>154.56266999999997</v>
      </c>
      <c r="BG177" s="120">
        <f t="shared" si="1176"/>
        <v>137.96525999999997</v>
      </c>
      <c r="BH177" s="120">
        <f t="shared" si="1176"/>
        <v>131.58776999999998</v>
      </c>
      <c r="BI177" s="120">
        <f t="shared" si="1176"/>
        <v>114.46233999999998</v>
      </c>
      <c r="BJ177" s="120">
        <f t="shared" si="1176"/>
        <v>-364.37422000000004</v>
      </c>
      <c r="BK177" s="120">
        <f t="shared" si="1176"/>
        <v>147.14487</v>
      </c>
      <c r="BL177" s="120">
        <f t="shared" ca="1" si="1176"/>
        <v>112.02141999999999</v>
      </c>
      <c r="BM177" s="120">
        <f t="shared" ca="1" si="1176"/>
        <v>9.8311400000000617</v>
      </c>
      <c r="BN177" s="120">
        <f t="shared" ca="1" si="1176"/>
        <v>105.67253000000004</v>
      </c>
      <c r="BO177" s="120">
        <f t="shared" ca="1" si="1176"/>
        <v>107.25182000000001</v>
      </c>
      <c r="BP177" s="120">
        <f t="shared" ca="1" si="1176"/>
        <v>19.220650000000006</v>
      </c>
      <c r="BQ177" s="120">
        <f t="shared" ca="1" si="1176"/>
        <v>112.32699999999997</v>
      </c>
      <c r="BR177" s="120">
        <f t="shared" ca="1" si="1176"/>
        <v>59.421770000000009</v>
      </c>
      <c r="BS177" s="120">
        <f t="shared" ca="1" si="1176"/>
        <v>188.27978999999999</v>
      </c>
      <c r="BT177" s="120">
        <f t="shared" ca="1" si="1176"/>
        <v>59.065499999999986</v>
      </c>
      <c r="BU177" s="120">
        <f t="shared" ca="1" si="1176"/>
        <v>68.98786000000004</v>
      </c>
      <c r="BV177" s="120">
        <f t="shared" ca="1" si="1176"/>
        <v>104.43064999999999</v>
      </c>
      <c r="BW177" s="120">
        <f t="shared" ref="BW177:DB177" ca="1" si="1177">BW80</f>
        <v>175.25096999999997</v>
      </c>
      <c r="BX177" s="120">
        <f t="shared" ca="1" si="1177"/>
        <v>90.894769999999937</v>
      </c>
      <c r="BY177" s="120">
        <f t="shared" ca="1" si="1177"/>
        <v>127.74132000000003</v>
      </c>
      <c r="BZ177" s="120">
        <f t="shared" ca="1" si="1177"/>
        <v>182.24637999999999</v>
      </c>
      <c r="CA177" s="120">
        <f t="shared" ca="1" si="1177"/>
        <v>15.259610000000009</v>
      </c>
      <c r="CB177" s="120">
        <f t="shared" ca="1" si="1177"/>
        <v>127.26703999999998</v>
      </c>
      <c r="CC177" s="120">
        <f t="shared" ca="1" si="1177"/>
        <v>134.62045999999998</v>
      </c>
      <c r="CD177" s="120">
        <f t="shared" ca="1" si="1177"/>
        <v>97.98275000000001</v>
      </c>
      <c r="CE177" s="120">
        <f t="shared" ca="1" si="1177"/>
        <v>100.20571000000004</v>
      </c>
      <c r="CF177" s="120">
        <f t="shared" ca="1" si="1177"/>
        <v>158.74802999999994</v>
      </c>
      <c r="CG177" s="120">
        <f t="shared" ca="1" si="1177"/>
        <v>129.90303999999998</v>
      </c>
      <c r="CH177" s="120">
        <f t="shared" ca="1" si="1177"/>
        <v>127.58223000000001</v>
      </c>
      <c r="CI177" s="120">
        <f t="shared" ca="1" si="1177"/>
        <v>117.577</v>
      </c>
      <c r="CJ177" s="120">
        <f t="shared" ca="1" si="1177"/>
        <v>145.029</v>
      </c>
      <c r="CK177" s="120">
        <f t="shared" ca="1" si="1177"/>
        <v>145.029</v>
      </c>
      <c r="CL177" s="120">
        <f t="shared" ca="1" si="1177"/>
        <v>145.42499999999995</v>
      </c>
      <c r="CM177" s="120">
        <f t="shared" ca="1" si="1177"/>
        <v>145.42499999999995</v>
      </c>
      <c r="CN177" s="120">
        <f t="shared" ca="1" si="1177"/>
        <v>145.905</v>
      </c>
      <c r="CO177" s="120">
        <f t="shared" ca="1" si="1177"/>
        <v>145.905</v>
      </c>
      <c r="CP177" s="120">
        <f t="shared" ca="1" si="1177"/>
        <v>158.25599999999997</v>
      </c>
      <c r="CQ177" s="120">
        <f t="shared" ca="1" si="1177"/>
        <v>159.27499999999998</v>
      </c>
      <c r="CR177" s="120">
        <f t="shared" ca="1" si="1177"/>
        <v>139.30799999999994</v>
      </c>
      <c r="CS177" s="120">
        <f t="shared" ca="1" si="1177"/>
        <v>121.59599999999995</v>
      </c>
      <c r="CT177" s="120">
        <f t="shared" ca="1" si="1177"/>
        <v>167.08699999999996</v>
      </c>
      <c r="CU177" s="120">
        <f t="shared" ca="1" si="1177"/>
        <v>163.53899999999999</v>
      </c>
      <c r="CV177" s="120">
        <f t="shared" ca="1" si="1177"/>
        <v>170.98599999999996</v>
      </c>
      <c r="CW177" s="120">
        <f t="shared" ca="1" si="1177"/>
        <v>170.98599999999996</v>
      </c>
      <c r="CX177" s="120">
        <f t="shared" ca="1" si="1177"/>
        <v>142.03799999999995</v>
      </c>
      <c r="CY177" s="120">
        <f t="shared" ca="1" si="1177"/>
        <v>169.083</v>
      </c>
      <c r="CZ177" s="120">
        <f t="shared" ca="1" si="1177"/>
        <v>143.70399999999995</v>
      </c>
      <c r="DA177" s="120">
        <f t="shared" ca="1" si="1177"/>
        <v>168.303</v>
      </c>
      <c r="DB177" s="120">
        <f t="shared" ca="1" si="1177"/>
        <v>186.80699999999999</v>
      </c>
      <c r="DC177" s="120">
        <f t="shared" ref="DC177:EH177" ca="1" si="1178">DC80</f>
        <v>218.85199999999992</v>
      </c>
      <c r="DD177" s="120">
        <f t="shared" ca="1" si="1178"/>
        <v>218.85199999999992</v>
      </c>
      <c r="DE177" s="120">
        <f t="shared" ca="1" si="1178"/>
        <v>219.39599999999993</v>
      </c>
      <c r="DF177" s="120">
        <f t="shared" ca="1" si="1178"/>
        <v>220.27699999999993</v>
      </c>
      <c r="DG177" s="120">
        <f t="shared" ca="1" si="1178"/>
        <v>220.81699999999995</v>
      </c>
      <c r="DH177" s="120">
        <f t="shared" ca="1" si="1178"/>
        <v>221.69200000000001</v>
      </c>
      <c r="DI177" s="120">
        <f t="shared" ca="1" si="1178"/>
        <v>222.27499999999998</v>
      </c>
      <c r="DJ177" s="120">
        <f t="shared" si="1178"/>
        <v>0</v>
      </c>
      <c r="DK177" s="120">
        <f t="shared" si="1178"/>
        <v>0</v>
      </c>
      <c r="DL177" s="120">
        <f t="shared" si="1178"/>
        <v>0</v>
      </c>
      <c r="DM177" s="120">
        <f t="shared" si="1178"/>
        <v>0</v>
      </c>
      <c r="DN177" s="120">
        <f t="shared" si="1178"/>
        <v>0</v>
      </c>
      <c r="DO177" s="120">
        <f t="shared" si="1178"/>
        <v>0</v>
      </c>
      <c r="DP177" s="120">
        <f t="shared" si="1178"/>
        <v>0</v>
      </c>
      <c r="DQ177" s="120">
        <f t="shared" si="1178"/>
        <v>0</v>
      </c>
      <c r="DR177" s="120">
        <f t="shared" si="1178"/>
        <v>0</v>
      </c>
      <c r="DS177" s="120">
        <f t="shared" si="1178"/>
        <v>0</v>
      </c>
      <c r="DT177" s="120">
        <f t="shared" si="1178"/>
        <v>0</v>
      </c>
      <c r="DU177" s="120">
        <f t="shared" si="1178"/>
        <v>0</v>
      </c>
      <c r="DV177" s="120">
        <f t="shared" si="1178"/>
        <v>0</v>
      </c>
      <c r="DW177" s="120">
        <f t="shared" si="1178"/>
        <v>0</v>
      </c>
      <c r="DX177" s="120">
        <f t="shared" si="1178"/>
        <v>0</v>
      </c>
      <c r="DY177" s="120">
        <f t="shared" si="1178"/>
        <v>0</v>
      </c>
      <c r="DZ177" s="120">
        <f t="shared" si="1178"/>
        <v>0</v>
      </c>
      <c r="EA177" s="120">
        <f t="shared" si="1178"/>
        <v>0</v>
      </c>
      <c r="EB177" s="120">
        <f t="shared" si="1178"/>
        <v>0</v>
      </c>
      <c r="EC177" s="120">
        <f t="shared" si="1178"/>
        <v>0</v>
      </c>
      <c r="ED177" s="120">
        <f t="shared" si="1178"/>
        <v>0</v>
      </c>
      <c r="EE177" s="120">
        <f t="shared" si="1178"/>
        <v>0</v>
      </c>
      <c r="EF177" s="120">
        <f t="shared" si="1178"/>
        <v>0</v>
      </c>
      <c r="EG177" s="120">
        <f t="shared" si="1178"/>
        <v>0</v>
      </c>
      <c r="EH177" s="120">
        <f t="shared" si="1178"/>
        <v>0</v>
      </c>
      <c r="EI177" s="120">
        <f t="shared" ref="EI177:FN177" si="1179">EI80</f>
        <v>0</v>
      </c>
      <c r="EJ177" s="120">
        <f t="shared" si="1179"/>
        <v>0</v>
      </c>
      <c r="EK177" s="120">
        <f t="shared" si="1179"/>
        <v>0</v>
      </c>
      <c r="EL177" s="120">
        <f t="shared" si="1179"/>
        <v>0</v>
      </c>
      <c r="EM177" s="120">
        <f t="shared" si="1179"/>
        <v>0</v>
      </c>
      <c r="EN177" s="120">
        <f t="shared" si="1179"/>
        <v>0</v>
      </c>
      <c r="EO177" s="120">
        <f t="shared" si="1179"/>
        <v>0</v>
      </c>
      <c r="EP177" s="120">
        <f t="shared" si="1179"/>
        <v>0</v>
      </c>
      <c r="EQ177" s="120">
        <f t="shared" si="1179"/>
        <v>0</v>
      </c>
      <c r="ER177" s="120">
        <f t="shared" si="1179"/>
        <v>0</v>
      </c>
      <c r="ES177" s="120">
        <f t="shared" si="1179"/>
        <v>0</v>
      </c>
      <c r="ET177" s="120">
        <f t="shared" si="1179"/>
        <v>0</v>
      </c>
      <c r="EU177" s="120">
        <f t="shared" si="1179"/>
        <v>0</v>
      </c>
      <c r="EV177" s="120">
        <f t="shared" si="1179"/>
        <v>0</v>
      </c>
      <c r="EW177" s="120">
        <f t="shared" si="1179"/>
        <v>0</v>
      </c>
      <c r="EX177" s="120">
        <f t="shared" si="1179"/>
        <v>0</v>
      </c>
      <c r="EY177" s="120">
        <f t="shared" si="1179"/>
        <v>0</v>
      </c>
      <c r="EZ177" s="120">
        <f t="shared" si="1179"/>
        <v>0</v>
      </c>
      <c r="FA177" s="120">
        <f t="shared" si="1179"/>
        <v>0</v>
      </c>
      <c r="FB177" s="120">
        <f t="shared" si="1179"/>
        <v>0</v>
      </c>
      <c r="FC177" s="120">
        <f t="shared" si="1179"/>
        <v>0</v>
      </c>
      <c r="FD177" s="120">
        <f t="shared" si="1179"/>
        <v>0</v>
      </c>
      <c r="FE177" s="120">
        <f t="shared" si="1179"/>
        <v>0</v>
      </c>
      <c r="FF177" s="120">
        <f t="shared" si="1179"/>
        <v>0</v>
      </c>
      <c r="FG177" s="120">
        <f t="shared" si="1179"/>
        <v>0</v>
      </c>
      <c r="FH177" s="120">
        <f t="shared" si="1179"/>
        <v>0</v>
      </c>
      <c r="FI177" s="120">
        <f t="shared" si="1179"/>
        <v>0</v>
      </c>
      <c r="FJ177" s="120">
        <f t="shared" si="1179"/>
        <v>0</v>
      </c>
      <c r="FK177" s="120">
        <f t="shared" si="1179"/>
        <v>0</v>
      </c>
      <c r="FL177" s="120">
        <f t="shared" si="1179"/>
        <v>0</v>
      </c>
      <c r="FM177" s="120">
        <f t="shared" si="1179"/>
        <v>0</v>
      </c>
      <c r="FN177" s="120">
        <f t="shared" si="1179"/>
        <v>0</v>
      </c>
      <c r="FO177" s="120">
        <f t="shared" ref="FO177:GC177" si="1180">FO80</f>
        <v>0</v>
      </c>
      <c r="FP177" s="120">
        <f t="shared" si="1180"/>
        <v>0</v>
      </c>
      <c r="FQ177" s="120">
        <f t="shared" si="1180"/>
        <v>0</v>
      </c>
      <c r="FR177" s="120">
        <f t="shared" si="1180"/>
        <v>0</v>
      </c>
      <c r="FS177" s="120">
        <f t="shared" si="1180"/>
        <v>0</v>
      </c>
      <c r="FT177" s="120">
        <f t="shared" si="1180"/>
        <v>0</v>
      </c>
      <c r="FU177" s="120">
        <f t="shared" si="1180"/>
        <v>0</v>
      </c>
      <c r="FV177" s="120">
        <f t="shared" si="1180"/>
        <v>0</v>
      </c>
      <c r="FW177" s="120">
        <f t="shared" si="1180"/>
        <v>0</v>
      </c>
      <c r="FX177" s="120">
        <f t="shared" si="1180"/>
        <v>0</v>
      </c>
      <c r="FY177" s="120">
        <f t="shared" si="1180"/>
        <v>0</v>
      </c>
      <c r="FZ177" s="120">
        <f t="shared" si="1180"/>
        <v>0</v>
      </c>
      <c r="GA177" s="120">
        <f t="shared" si="1180"/>
        <v>0</v>
      </c>
      <c r="GB177" s="120">
        <f t="shared" si="1180"/>
        <v>0</v>
      </c>
      <c r="GC177" s="120">
        <f t="shared" si="1180"/>
        <v>0</v>
      </c>
      <c r="GD177" s="120">
        <f t="shared" ref="GD177:GO177" si="1181">GD80</f>
        <v>0</v>
      </c>
      <c r="GE177" s="120">
        <f t="shared" si="1181"/>
        <v>0</v>
      </c>
      <c r="GF177" s="120">
        <f t="shared" si="1181"/>
        <v>0</v>
      </c>
      <c r="GG177" s="120">
        <f t="shared" si="1181"/>
        <v>0</v>
      </c>
      <c r="GH177" s="120">
        <f t="shared" si="1181"/>
        <v>0</v>
      </c>
      <c r="GI177" s="120">
        <f t="shared" si="1181"/>
        <v>0</v>
      </c>
      <c r="GJ177" s="120">
        <f t="shared" si="1181"/>
        <v>0</v>
      </c>
      <c r="GK177" s="120">
        <f t="shared" si="1181"/>
        <v>0</v>
      </c>
      <c r="GL177" s="120">
        <f t="shared" si="1181"/>
        <v>0</v>
      </c>
      <c r="GM177" s="120">
        <f t="shared" si="1181"/>
        <v>0</v>
      </c>
      <c r="GN177" s="120">
        <f t="shared" si="1181"/>
        <v>0</v>
      </c>
      <c r="GO177" s="120">
        <f t="shared" si="1181"/>
        <v>0</v>
      </c>
      <c r="GP177" s="120">
        <f>GP80</f>
        <v>0</v>
      </c>
      <c r="GQ177" s="120">
        <f>GQ80</f>
        <v>0</v>
      </c>
      <c r="GR177" s="120">
        <f>GR80</f>
        <v>0</v>
      </c>
      <c r="GS177" s="120">
        <f>GS80</f>
        <v>0</v>
      </c>
      <c r="GT177" s="26">
        <f>GT80</f>
        <v>0</v>
      </c>
      <c r="GU177" s="26">
        <f t="shared" ref="GU177:HE177" si="1182">GU80</f>
        <v>0</v>
      </c>
      <c r="GV177" s="26">
        <f t="shared" si="1182"/>
        <v>0</v>
      </c>
      <c r="GW177" s="26">
        <f t="shared" si="1182"/>
        <v>0</v>
      </c>
      <c r="GX177" s="26">
        <f t="shared" si="1182"/>
        <v>0</v>
      </c>
      <c r="GY177" s="26">
        <f t="shared" si="1182"/>
        <v>0</v>
      </c>
      <c r="GZ177" s="26">
        <f t="shared" si="1182"/>
        <v>0</v>
      </c>
      <c r="HA177" s="26">
        <f t="shared" si="1182"/>
        <v>0</v>
      </c>
      <c r="HB177" s="26">
        <f t="shared" si="1182"/>
        <v>0</v>
      </c>
      <c r="HC177" s="26">
        <f t="shared" si="1182"/>
        <v>0</v>
      </c>
      <c r="HD177" s="26">
        <f t="shared" si="1182"/>
        <v>0</v>
      </c>
      <c r="HE177" s="26">
        <f t="shared" si="1182"/>
        <v>0</v>
      </c>
      <c r="HF177" s="1" t="s">
        <v>212</v>
      </c>
      <c r="HH177" s="220" t="str">
        <f t="shared" si="1174"/>
        <v xml:space="preserve">(+) NOI </v>
      </c>
      <c r="HI177" s="120"/>
      <c r="HJ177" s="120"/>
      <c r="HK177" s="120"/>
      <c r="HL177" s="119">
        <f t="shared" ca="1" si="1156"/>
        <v>10259.224259999999</v>
      </c>
      <c r="HM177" s="120"/>
      <c r="HN177" s="140">
        <f t="shared" si="1157"/>
        <v>0</v>
      </c>
      <c r="HO177" s="120">
        <f t="shared" si="1157"/>
        <v>839.71890999999982</v>
      </c>
      <c r="HP177" s="120">
        <f t="shared" si="1157"/>
        <v>969.41268000000002</v>
      </c>
      <c r="HQ177" s="120">
        <f t="shared" si="1157"/>
        <v>1291.4155700000001</v>
      </c>
      <c r="HR177" s="120">
        <f t="shared" si="1157"/>
        <v>1445.5289</v>
      </c>
      <c r="HS177" s="120">
        <f t="shared" ca="1" si="1157"/>
        <v>742.84688000000006</v>
      </c>
      <c r="HT177" s="120">
        <f t="shared" ca="1" si="1157"/>
        <v>1283.9530200000002</v>
      </c>
      <c r="HU177" s="120">
        <f t="shared" ca="1" si="1157"/>
        <v>1724.0592999999999</v>
      </c>
      <c r="HV177" s="120">
        <f t="shared" ca="1" si="1157"/>
        <v>1962.2889999999995</v>
      </c>
      <c r="HW177"/>
    </row>
    <row r="178" spans="1:231" ht="15">
      <c r="A178" s="442"/>
      <c r="B178" s="221" t="s">
        <v>111</v>
      </c>
      <c r="I178" s="123">
        <f ca="1">SUMIF($K$13:$GT$13,"&lt;="&amp;Assumptions!$L$17,'Monthly Cash Flow'!K178:GT178)</f>
        <v>27781.666080549578</v>
      </c>
      <c r="J178" s="34"/>
      <c r="K178" s="124">
        <f>SUM(K174:K177)</f>
        <v>-30206</v>
      </c>
      <c r="L178" s="34">
        <f ca="1">SUM(L174:L177)</f>
        <v>58.588409999999996</v>
      </c>
      <c r="M178" s="34">
        <f t="shared" ref="M178:AP178" ca="1" si="1183">SUM(M174:M177)</f>
        <v>39.424859999999995</v>
      </c>
      <c r="N178" s="34">
        <f t="shared" ca="1" si="1183"/>
        <v>62.164510000000007</v>
      </c>
      <c r="O178" s="34">
        <f t="shared" ca="1" si="1183"/>
        <v>23.673310000000015</v>
      </c>
      <c r="P178" s="34">
        <f t="shared" ca="1" si="1183"/>
        <v>69.427840000000003</v>
      </c>
      <c r="Q178" s="34">
        <f t="shared" ca="1" si="1183"/>
        <v>53.221360000000018</v>
      </c>
      <c r="R178" s="34">
        <f t="shared" ca="1" si="1183"/>
        <v>66.139569999999992</v>
      </c>
      <c r="S178" s="34">
        <f t="shared" ca="1" si="1183"/>
        <v>136.26360000000003</v>
      </c>
      <c r="T178" s="34">
        <f t="shared" ca="1" si="1183"/>
        <v>66.867030000000028</v>
      </c>
      <c r="U178" s="34">
        <f t="shared" ca="1" si="1183"/>
        <v>-30.305929999999989</v>
      </c>
      <c r="V178" s="34">
        <f t="shared" ca="1" si="1183"/>
        <v>239.07783999999998</v>
      </c>
      <c r="W178" s="34">
        <f t="shared" ca="1" si="1183"/>
        <v>-238.56881999999999</v>
      </c>
      <c r="X178" s="34">
        <f t="shared" ca="1" si="1183"/>
        <v>78.203790000000012</v>
      </c>
      <c r="Y178" s="34">
        <f t="shared" ca="1" si="1183"/>
        <v>-5.0317100000000039</v>
      </c>
      <c r="Z178" s="34">
        <f t="shared" ca="1" si="1183"/>
        <v>-388.36562999999995</v>
      </c>
      <c r="AA178" s="34">
        <f t="shared" ca="1" si="1183"/>
        <v>118.62709000000004</v>
      </c>
      <c r="AB178" s="34">
        <f t="shared" ca="1" si="1183"/>
        <v>-398.03922999999998</v>
      </c>
      <c r="AC178" s="34">
        <f t="shared" ca="1" si="1183"/>
        <v>26.828859999999992</v>
      </c>
      <c r="AD178" s="34">
        <f t="shared" ca="1" si="1183"/>
        <v>119.66310999999999</v>
      </c>
      <c r="AE178" s="34">
        <f t="shared" ca="1" si="1183"/>
        <v>-382.46861000000001</v>
      </c>
      <c r="AF178" s="34">
        <f t="shared" ca="1" si="1183"/>
        <v>-113.07410084542826</v>
      </c>
      <c r="AG178" s="34">
        <f t="shared" ca="1" si="1183"/>
        <v>-181.79074</v>
      </c>
      <c r="AH178" s="34">
        <f t="shared" ca="1" si="1183"/>
        <v>113.23488</v>
      </c>
      <c r="AI178" s="34">
        <f t="shared" ca="1" si="1183"/>
        <v>11.247200000000007</v>
      </c>
      <c r="AJ178" s="34">
        <f t="shared" ca="1" si="1183"/>
        <v>73.349319999999992</v>
      </c>
      <c r="AK178" s="34">
        <f t="shared" ca="1" si="1183"/>
        <v>58.081759999999974</v>
      </c>
      <c r="AL178" s="34">
        <f t="shared" ca="1" si="1183"/>
        <v>-119.47011999999999</v>
      </c>
      <c r="AM178" s="34">
        <f t="shared" ca="1" si="1183"/>
        <v>118.04129</v>
      </c>
      <c r="AN178" s="34">
        <f t="shared" ca="1" si="1183"/>
        <v>69.341920000000016</v>
      </c>
      <c r="AO178" s="34">
        <f t="shared" ca="1" si="1183"/>
        <v>81.414159999999995</v>
      </c>
      <c r="AP178" s="34">
        <f t="shared" ca="1" si="1183"/>
        <v>-23.375724023883777</v>
      </c>
      <c r="AQ178" s="34">
        <f t="shared" ref="AQ178:BV178" ca="1" si="1184">SUM(AQ174:AQ177)</f>
        <v>89.956059999999979</v>
      </c>
      <c r="AR178" s="34">
        <f t="shared" ca="1" si="1184"/>
        <v>106.14256</v>
      </c>
      <c r="AS178" s="34">
        <f t="shared" ca="1" si="1184"/>
        <v>134.99206999999998</v>
      </c>
      <c r="AT178" s="34">
        <f t="shared" ca="1" si="1184"/>
        <v>116.68306999999999</v>
      </c>
      <c r="AU178" s="34">
        <f t="shared" ca="1" si="1184"/>
        <v>134.19099000000003</v>
      </c>
      <c r="AV178" s="34">
        <f t="shared" ca="1" si="1184"/>
        <v>137.95124999999999</v>
      </c>
      <c r="AW178" s="34">
        <f t="shared" ca="1" si="1184"/>
        <v>-127.40870999999999</v>
      </c>
      <c r="AX178" s="34">
        <f t="shared" ca="1" si="1184"/>
        <v>117.20541999999998</v>
      </c>
      <c r="AY178" s="34">
        <f t="shared" ca="1" si="1184"/>
        <v>119.02426000000003</v>
      </c>
      <c r="AZ178" s="34">
        <f t="shared" ca="1" si="1184"/>
        <v>-77.003729581114044</v>
      </c>
      <c r="BA178" s="34">
        <f t="shared" ca="1" si="1184"/>
        <v>-17.511470000000031</v>
      </c>
      <c r="BB178" s="34">
        <f t="shared" ca="1" si="1184"/>
        <v>111.86949000000001</v>
      </c>
      <c r="BC178" s="34">
        <f t="shared" ca="1" si="1184"/>
        <v>-37.592170000000038</v>
      </c>
      <c r="BD178" s="34">
        <f t="shared" ca="1" si="1184"/>
        <v>86.943790000000021</v>
      </c>
      <c r="BE178" s="34">
        <f t="shared" ca="1" si="1184"/>
        <v>142.38238000000001</v>
      </c>
      <c r="BF178" s="34">
        <f t="shared" ca="1" si="1184"/>
        <v>154.56266999999997</v>
      </c>
      <c r="BG178" s="34">
        <f t="shared" ca="1" si="1184"/>
        <v>137.96525999999997</v>
      </c>
      <c r="BH178" s="34">
        <f t="shared" ca="1" si="1184"/>
        <v>131.58776999999998</v>
      </c>
      <c r="BI178" s="34">
        <f t="shared" ca="1" si="1184"/>
        <v>114.46233999999998</v>
      </c>
      <c r="BJ178" s="34">
        <f t="shared" ca="1" si="1184"/>
        <v>-364.37422000000004</v>
      </c>
      <c r="BK178" s="34">
        <f t="shared" ca="1" si="1184"/>
        <v>147.14487</v>
      </c>
      <c r="BL178" s="34">
        <f t="shared" ca="1" si="1184"/>
        <v>112.02141999999999</v>
      </c>
      <c r="BM178" s="34">
        <f t="shared" ca="1" si="1184"/>
        <v>9.8311400000000617</v>
      </c>
      <c r="BN178" s="34">
        <f t="shared" ca="1" si="1184"/>
        <v>105.67253000000004</v>
      </c>
      <c r="BO178" s="34">
        <f t="shared" ca="1" si="1184"/>
        <v>107.25182000000001</v>
      </c>
      <c r="BP178" s="34">
        <f t="shared" ca="1" si="1184"/>
        <v>19.220650000000006</v>
      </c>
      <c r="BQ178" s="34">
        <f t="shared" ca="1" si="1184"/>
        <v>112.32699999999997</v>
      </c>
      <c r="BR178" s="34">
        <f t="shared" ca="1" si="1184"/>
        <v>-6.5022299999999973</v>
      </c>
      <c r="BS178" s="34">
        <f t="shared" ca="1" si="1184"/>
        <v>188.27978999999999</v>
      </c>
      <c r="BT178" s="34">
        <f t="shared" ca="1" si="1184"/>
        <v>59.065499999999986</v>
      </c>
      <c r="BU178" s="34">
        <f t="shared" ca="1" si="1184"/>
        <v>68.98786000000004</v>
      </c>
      <c r="BV178" s="34">
        <f t="shared" ca="1" si="1184"/>
        <v>104.43064999999999</v>
      </c>
      <c r="BW178" s="34">
        <f t="shared" ref="BW178:DB178" ca="1" si="1185">SUM(BW174:BW177)</f>
        <v>165.90577999999996</v>
      </c>
      <c r="BX178" s="34">
        <f t="shared" ca="1" si="1185"/>
        <v>63.680489999999935</v>
      </c>
      <c r="BY178" s="34">
        <f t="shared" ca="1" si="1185"/>
        <v>40.407490000000038</v>
      </c>
      <c r="BZ178" s="34">
        <f t="shared" ca="1" si="1185"/>
        <v>182.24637999999999</v>
      </c>
      <c r="CA178" s="34">
        <f t="shared" ca="1" si="1185"/>
        <v>-84.155389999999997</v>
      </c>
      <c r="CB178" s="34">
        <f t="shared" ca="1" si="1185"/>
        <v>122.26703999999998</v>
      </c>
      <c r="CC178" s="34">
        <f t="shared" ca="1" si="1185"/>
        <v>134.62045999999998</v>
      </c>
      <c r="CD178" s="34">
        <f t="shared" ca="1" si="1185"/>
        <v>-181.67124999999999</v>
      </c>
      <c r="CE178" s="34">
        <f t="shared" ca="1" si="1185"/>
        <v>100.20571000000004</v>
      </c>
      <c r="CF178" s="34">
        <f t="shared" ca="1" si="1185"/>
        <v>91.798069999999939</v>
      </c>
      <c r="CG178" s="34">
        <f t="shared" ca="1" si="1185"/>
        <v>129.90303999999998</v>
      </c>
      <c r="CH178" s="34">
        <f t="shared" ca="1" si="1185"/>
        <v>105.29576</v>
      </c>
      <c r="CI178" s="34">
        <f t="shared" ca="1" si="1185"/>
        <v>117.577</v>
      </c>
      <c r="CJ178" s="34">
        <f t="shared" ca="1" si="1185"/>
        <v>145.029</v>
      </c>
      <c r="CK178" s="34">
        <f t="shared" ca="1" si="1185"/>
        <v>145.029</v>
      </c>
      <c r="CL178" s="34">
        <f t="shared" ca="1" si="1185"/>
        <v>145.42499999999995</v>
      </c>
      <c r="CM178" s="34">
        <f t="shared" ca="1" si="1185"/>
        <v>77.111507936507891</v>
      </c>
      <c r="CN178" s="34">
        <f t="shared" ca="1" si="1185"/>
        <v>77.591507936507938</v>
      </c>
      <c r="CO178" s="34">
        <f t="shared" ca="1" si="1185"/>
        <v>77.591507936507924</v>
      </c>
      <c r="CP178" s="34">
        <f t="shared" ca="1" si="1185"/>
        <v>-2.9664920634920975</v>
      </c>
      <c r="CQ178" s="34">
        <f t="shared" ca="1" si="1185"/>
        <v>97.211507936507914</v>
      </c>
      <c r="CR178" s="34">
        <f t="shared" ca="1" si="1185"/>
        <v>77.244507936507858</v>
      </c>
      <c r="CS178" s="34">
        <f t="shared" ca="1" si="1185"/>
        <v>-114.06949206349208</v>
      </c>
      <c r="CT178" s="34">
        <f t="shared" ca="1" si="1185"/>
        <v>-129.6167777777778</v>
      </c>
      <c r="CU178" s="34">
        <f t="shared" ca="1" si="1185"/>
        <v>135.76122222222222</v>
      </c>
      <c r="CV178" s="34">
        <f t="shared" ca="1" si="1185"/>
        <v>170.98599999999996</v>
      </c>
      <c r="CW178" s="34">
        <f t="shared" ca="1" si="1185"/>
        <v>170.98599999999996</v>
      </c>
      <c r="CX178" s="34">
        <f t="shared" ca="1" si="1185"/>
        <v>142.03799999999995</v>
      </c>
      <c r="CY178" s="34">
        <f t="shared" ca="1" si="1185"/>
        <v>-6.0360000000000014</v>
      </c>
      <c r="CZ178" s="34">
        <f t="shared" ca="1" si="1185"/>
        <v>143.70399999999995</v>
      </c>
      <c r="DA178" s="34">
        <f t="shared" ca="1" si="1185"/>
        <v>14.186000000000007</v>
      </c>
      <c r="DB178" s="34">
        <f t="shared" ca="1" si="1185"/>
        <v>-994.83600000000001</v>
      </c>
      <c r="DC178" s="34">
        <f t="shared" ref="DC178:EH178" ca="1" si="1186">SUM(DC174:DC177)</f>
        <v>26.050999999999931</v>
      </c>
      <c r="DD178" s="34">
        <f t="shared" ca="1" si="1186"/>
        <v>218.85199999999992</v>
      </c>
      <c r="DE178" s="34">
        <f t="shared" ca="1" si="1186"/>
        <v>219.39599999999993</v>
      </c>
      <c r="DF178" s="34">
        <f t="shared" ca="1" si="1186"/>
        <v>220.27699999999993</v>
      </c>
      <c r="DG178" s="34">
        <f t="shared" ca="1" si="1186"/>
        <v>220.81699999999995</v>
      </c>
      <c r="DH178" s="34">
        <f t="shared" ca="1" si="1186"/>
        <v>221.69200000000001</v>
      </c>
      <c r="DI178" s="34">
        <f t="shared" ca="1" si="1186"/>
        <v>53457.979325000008</v>
      </c>
      <c r="DJ178" s="34">
        <f t="shared" ca="1" si="1186"/>
        <v>0</v>
      </c>
      <c r="DK178" s="34">
        <f t="shared" ca="1" si="1186"/>
        <v>0</v>
      </c>
      <c r="DL178" s="34">
        <f t="shared" ca="1" si="1186"/>
        <v>0</v>
      </c>
      <c r="DM178" s="34">
        <f t="shared" ca="1" si="1186"/>
        <v>0</v>
      </c>
      <c r="DN178" s="34">
        <f t="shared" ca="1" si="1186"/>
        <v>0</v>
      </c>
      <c r="DO178" s="34">
        <f t="shared" ca="1" si="1186"/>
        <v>0</v>
      </c>
      <c r="DP178" s="34">
        <f t="shared" ca="1" si="1186"/>
        <v>0</v>
      </c>
      <c r="DQ178" s="34">
        <f t="shared" ca="1" si="1186"/>
        <v>0</v>
      </c>
      <c r="DR178" s="34">
        <f t="shared" ca="1" si="1186"/>
        <v>0</v>
      </c>
      <c r="DS178" s="34">
        <f t="shared" ca="1" si="1186"/>
        <v>0</v>
      </c>
      <c r="DT178" s="34">
        <f t="shared" ca="1" si="1186"/>
        <v>0</v>
      </c>
      <c r="DU178" s="34">
        <f t="shared" ca="1" si="1186"/>
        <v>0</v>
      </c>
      <c r="DV178" s="34">
        <f t="shared" ca="1" si="1186"/>
        <v>0</v>
      </c>
      <c r="DW178" s="34">
        <f t="shared" ca="1" si="1186"/>
        <v>0</v>
      </c>
      <c r="DX178" s="34">
        <f t="shared" ca="1" si="1186"/>
        <v>0</v>
      </c>
      <c r="DY178" s="34">
        <f t="shared" ca="1" si="1186"/>
        <v>0</v>
      </c>
      <c r="DZ178" s="34">
        <f t="shared" ca="1" si="1186"/>
        <v>0</v>
      </c>
      <c r="EA178" s="34">
        <f t="shared" ca="1" si="1186"/>
        <v>0</v>
      </c>
      <c r="EB178" s="34">
        <f t="shared" ca="1" si="1186"/>
        <v>0</v>
      </c>
      <c r="EC178" s="34">
        <f t="shared" ca="1" si="1186"/>
        <v>0</v>
      </c>
      <c r="ED178" s="34">
        <f t="shared" ca="1" si="1186"/>
        <v>0</v>
      </c>
      <c r="EE178" s="34">
        <f t="shared" ca="1" si="1186"/>
        <v>0</v>
      </c>
      <c r="EF178" s="34">
        <f t="shared" ca="1" si="1186"/>
        <v>0</v>
      </c>
      <c r="EG178" s="34">
        <f t="shared" ca="1" si="1186"/>
        <v>0</v>
      </c>
      <c r="EH178" s="34">
        <f t="shared" ca="1" si="1186"/>
        <v>0</v>
      </c>
      <c r="EI178" s="34">
        <f t="shared" ref="EI178:EL178" ca="1" si="1187">SUM(EI174:EI177)</f>
        <v>0</v>
      </c>
      <c r="EJ178" s="34">
        <f t="shared" ca="1" si="1187"/>
        <v>0</v>
      </c>
      <c r="EK178" s="34">
        <f t="shared" ca="1" si="1187"/>
        <v>0</v>
      </c>
      <c r="EL178" s="34">
        <f t="shared" ca="1" si="1187"/>
        <v>0</v>
      </c>
      <c r="EM178" s="34">
        <f t="shared" ref="EM178:FD178" ca="1" si="1188">SUM(EM174:EM177)</f>
        <v>0</v>
      </c>
      <c r="EN178" s="34">
        <f t="shared" ca="1" si="1188"/>
        <v>0</v>
      </c>
      <c r="EO178" s="34">
        <f t="shared" ca="1" si="1188"/>
        <v>0</v>
      </c>
      <c r="EP178" s="34">
        <f t="shared" ca="1" si="1188"/>
        <v>0</v>
      </c>
      <c r="EQ178" s="34">
        <f t="shared" ca="1" si="1188"/>
        <v>0</v>
      </c>
      <c r="ER178" s="34">
        <f t="shared" ca="1" si="1188"/>
        <v>0</v>
      </c>
      <c r="ES178" s="34">
        <f t="shared" ca="1" si="1188"/>
        <v>0</v>
      </c>
      <c r="ET178" s="34">
        <f t="shared" ca="1" si="1188"/>
        <v>0</v>
      </c>
      <c r="EU178" s="34">
        <f t="shared" ca="1" si="1188"/>
        <v>0</v>
      </c>
      <c r="EV178" s="34">
        <f t="shared" ca="1" si="1188"/>
        <v>0</v>
      </c>
      <c r="EW178" s="34">
        <f t="shared" ca="1" si="1188"/>
        <v>0</v>
      </c>
      <c r="EX178" s="34">
        <f t="shared" ca="1" si="1188"/>
        <v>0</v>
      </c>
      <c r="EY178" s="34">
        <f t="shared" ca="1" si="1188"/>
        <v>0</v>
      </c>
      <c r="EZ178" s="34">
        <f t="shared" ca="1" si="1188"/>
        <v>0</v>
      </c>
      <c r="FA178" s="34">
        <f t="shared" ca="1" si="1188"/>
        <v>0</v>
      </c>
      <c r="FB178" s="34">
        <f t="shared" ca="1" si="1188"/>
        <v>0</v>
      </c>
      <c r="FC178" s="34">
        <f t="shared" ca="1" si="1188"/>
        <v>0</v>
      </c>
      <c r="FD178" s="34">
        <f t="shared" ca="1" si="1188"/>
        <v>0</v>
      </c>
      <c r="FE178" s="34">
        <f t="shared" ref="FE178:FI178" ca="1" si="1189">SUM(FE174:FE177)</f>
        <v>0</v>
      </c>
      <c r="FF178" s="34">
        <f t="shared" ca="1" si="1189"/>
        <v>0</v>
      </c>
      <c r="FG178" s="34">
        <f t="shared" ca="1" si="1189"/>
        <v>0</v>
      </c>
      <c r="FH178" s="34">
        <f t="shared" ca="1" si="1189"/>
        <v>0</v>
      </c>
      <c r="FI178" s="34">
        <f t="shared" ca="1" si="1189"/>
        <v>0</v>
      </c>
      <c r="FJ178" s="34">
        <f t="shared" ref="FJ178:HE178" ca="1" si="1190">SUM(FJ174:FJ177)</f>
        <v>0</v>
      </c>
      <c r="FK178" s="34">
        <f t="shared" ca="1" si="1190"/>
        <v>0</v>
      </c>
      <c r="FL178" s="34">
        <f t="shared" ca="1" si="1190"/>
        <v>0</v>
      </c>
      <c r="FM178" s="34">
        <f t="shared" ca="1" si="1190"/>
        <v>0</v>
      </c>
      <c r="FN178" s="34">
        <f t="shared" ca="1" si="1190"/>
        <v>0</v>
      </c>
      <c r="FO178" s="34">
        <f t="shared" ca="1" si="1190"/>
        <v>0</v>
      </c>
      <c r="FP178" s="34">
        <f t="shared" ca="1" si="1190"/>
        <v>0</v>
      </c>
      <c r="FQ178" s="34">
        <f t="shared" ca="1" si="1190"/>
        <v>0</v>
      </c>
      <c r="FR178" s="34">
        <f t="shared" ca="1" si="1190"/>
        <v>0</v>
      </c>
      <c r="FS178" s="34">
        <f t="shared" ca="1" si="1190"/>
        <v>0</v>
      </c>
      <c r="FT178" s="34">
        <f t="shared" ca="1" si="1190"/>
        <v>0</v>
      </c>
      <c r="FU178" s="34">
        <f t="shared" ca="1" si="1190"/>
        <v>0</v>
      </c>
      <c r="FV178" s="34">
        <f t="shared" ca="1" si="1190"/>
        <v>0</v>
      </c>
      <c r="FW178" s="34">
        <f t="shared" ca="1" si="1190"/>
        <v>0</v>
      </c>
      <c r="FX178" s="34">
        <f t="shared" ca="1" si="1190"/>
        <v>0</v>
      </c>
      <c r="FY178" s="34">
        <f t="shared" ca="1" si="1190"/>
        <v>0</v>
      </c>
      <c r="FZ178" s="34">
        <f t="shared" ca="1" si="1190"/>
        <v>0</v>
      </c>
      <c r="GA178" s="34">
        <f t="shared" ca="1" si="1190"/>
        <v>0</v>
      </c>
      <c r="GB178" s="34">
        <f t="shared" ca="1" si="1190"/>
        <v>0</v>
      </c>
      <c r="GC178" s="34">
        <f t="shared" ca="1" si="1190"/>
        <v>0</v>
      </c>
      <c r="GD178" s="34">
        <f t="shared" ca="1" si="1190"/>
        <v>0</v>
      </c>
      <c r="GE178" s="34">
        <f t="shared" ca="1" si="1190"/>
        <v>0</v>
      </c>
      <c r="GF178" s="34">
        <f t="shared" ca="1" si="1190"/>
        <v>0</v>
      </c>
      <c r="GG178" s="34">
        <f t="shared" ca="1" si="1190"/>
        <v>0</v>
      </c>
      <c r="GH178" s="34">
        <f t="shared" ca="1" si="1190"/>
        <v>0</v>
      </c>
      <c r="GI178" s="34">
        <f t="shared" ca="1" si="1190"/>
        <v>0</v>
      </c>
      <c r="GJ178" s="34">
        <f t="shared" ca="1" si="1190"/>
        <v>0</v>
      </c>
      <c r="GK178" s="34">
        <f t="shared" ca="1" si="1190"/>
        <v>0</v>
      </c>
      <c r="GL178" s="34">
        <f t="shared" ca="1" si="1190"/>
        <v>0</v>
      </c>
      <c r="GM178" s="34">
        <f t="shared" ca="1" si="1190"/>
        <v>0</v>
      </c>
      <c r="GN178" s="34">
        <f t="shared" ca="1" si="1190"/>
        <v>0</v>
      </c>
      <c r="GO178" s="34">
        <f t="shared" ca="1" si="1190"/>
        <v>0</v>
      </c>
      <c r="GP178" s="34">
        <f t="shared" ca="1" si="1190"/>
        <v>0</v>
      </c>
      <c r="GQ178" s="34">
        <f t="shared" ca="1" si="1190"/>
        <v>0</v>
      </c>
      <c r="GR178" s="34">
        <f t="shared" ca="1" si="1190"/>
        <v>0</v>
      </c>
      <c r="GS178" s="34">
        <f t="shared" ca="1" si="1190"/>
        <v>0</v>
      </c>
      <c r="GT178" s="32">
        <f t="shared" ca="1" si="1190"/>
        <v>0</v>
      </c>
      <c r="GU178" s="32">
        <f t="shared" si="1190"/>
        <v>0</v>
      </c>
      <c r="GV178" s="32">
        <f t="shared" si="1190"/>
        <v>0</v>
      </c>
      <c r="GW178" s="32">
        <f t="shared" si="1190"/>
        <v>0</v>
      </c>
      <c r="GX178" s="32">
        <f t="shared" si="1190"/>
        <v>0</v>
      </c>
      <c r="GY178" s="32">
        <f t="shared" si="1190"/>
        <v>0</v>
      </c>
      <c r="GZ178" s="32">
        <f t="shared" si="1190"/>
        <v>0</v>
      </c>
      <c r="HA178" s="32">
        <f t="shared" si="1190"/>
        <v>0</v>
      </c>
      <c r="HB178" s="32">
        <f t="shared" si="1190"/>
        <v>0</v>
      </c>
      <c r="HC178" s="32">
        <f t="shared" si="1190"/>
        <v>0</v>
      </c>
      <c r="HD178" s="32">
        <f t="shared" si="1190"/>
        <v>0</v>
      </c>
      <c r="HE178" s="32">
        <f t="shared" si="1190"/>
        <v>0</v>
      </c>
      <c r="HF178" s="1" t="s">
        <v>212</v>
      </c>
      <c r="HH178" s="221" t="str">
        <f t="shared" si="1174"/>
        <v>Unleveraged Cash Flow</v>
      </c>
      <c r="HI178" s="34"/>
      <c r="HJ178" s="34"/>
      <c r="HK178" s="34"/>
      <c r="HL178" s="123">
        <f t="shared" ca="1" si="1156"/>
        <v>-26777.347244450422</v>
      </c>
      <c r="HM178" s="34"/>
      <c r="HN178" s="124">
        <f t="shared" si="1157"/>
        <v>-30206</v>
      </c>
      <c r="HO178" s="34">
        <f t="shared" ca="1" si="1157"/>
        <v>545.97358000000008</v>
      </c>
      <c r="HP178" s="34">
        <f t="shared" ca="1" si="1157"/>
        <v>-1000.9650908454282</v>
      </c>
      <c r="HQ178" s="34">
        <f t="shared" ca="1" si="1157"/>
        <v>839.34735597611621</v>
      </c>
      <c r="HR178" s="34">
        <f t="shared" ca="1" si="1157"/>
        <v>748.38844041888581</v>
      </c>
      <c r="HS178" s="34">
        <f t="shared" ca="1" si="1157"/>
        <v>676.92288000000008</v>
      </c>
      <c r="HT178" s="34">
        <f t="shared" ca="1" si="1157"/>
        <v>775.99072000000001</v>
      </c>
      <c r="HU178" s="34">
        <f t="shared" ca="1" si="1157"/>
        <v>1206.5964096825394</v>
      </c>
      <c r="HV178" s="34">
        <f t="shared" ca="1" si="1157"/>
        <v>-363.60153968253996</v>
      </c>
      <c r="HW178"/>
    </row>
    <row r="179" spans="1:231" ht="15">
      <c r="A179" s="443"/>
      <c r="B179" s="430" t="str">
        <f>"(+) "&amp; B142</f>
        <v>(+) Debt Draws (Acquisition Loan)</v>
      </c>
      <c r="C179" s="430"/>
      <c r="D179" s="430"/>
      <c r="E179" s="430"/>
      <c r="F179" s="430"/>
      <c r="G179" s="497">
        <f>+L179/0.65</f>
        <v>0</v>
      </c>
      <c r="H179" s="430"/>
      <c r="I179" s="501">
        <f ca="1">SUMIF($K$13:$GT$13,"&lt;="&amp;Assumptions!$L$17,'Monthly Cash Flow'!K179:GT179)</f>
        <v>21795.794000000002</v>
      </c>
      <c r="J179" s="215"/>
      <c r="K179" s="502">
        <f t="shared" ref="K179:AP179" si="1191">K142</f>
        <v>19541</v>
      </c>
      <c r="L179" s="215">
        <f t="shared" si="1191"/>
        <v>0</v>
      </c>
      <c r="M179" s="215">
        <f t="shared" si="1191"/>
        <v>0</v>
      </c>
      <c r="N179" s="215">
        <f t="shared" si="1191"/>
        <v>0</v>
      </c>
      <c r="O179" s="215">
        <f t="shared" si="1191"/>
        <v>0</v>
      </c>
      <c r="P179" s="215">
        <f t="shared" si="1191"/>
        <v>0</v>
      </c>
      <c r="Q179" s="215">
        <f t="shared" si="1191"/>
        <v>0</v>
      </c>
      <c r="R179" s="215">
        <f t="shared" si="1191"/>
        <v>0</v>
      </c>
      <c r="S179" s="215">
        <f t="shared" si="1191"/>
        <v>0</v>
      </c>
      <c r="T179" s="215">
        <f t="shared" si="1191"/>
        <v>0</v>
      </c>
      <c r="U179" s="215">
        <f t="shared" si="1191"/>
        <v>184.97674000000001</v>
      </c>
      <c r="V179" s="215">
        <f t="shared" si="1191"/>
        <v>0</v>
      </c>
      <c r="W179" s="215">
        <f t="shared" si="1191"/>
        <v>108.76858999999999</v>
      </c>
      <c r="X179" s="215">
        <f t="shared" si="1191"/>
        <v>3.6021399999999999</v>
      </c>
      <c r="Y179" s="215">
        <f t="shared" si="1191"/>
        <v>0</v>
      </c>
      <c r="Z179" s="215">
        <f t="shared" si="1191"/>
        <v>462.19177999999999</v>
      </c>
      <c r="AA179" s="215">
        <f t="shared" si="1191"/>
        <v>0</v>
      </c>
      <c r="AB179" s="215">
        <f t="shared" si="1191"/>
        <v>458.32646999999997</v>
      </c>
      <c r="AC179" s="215">
        <f t="shared" si="1191"/>
        <v>0</v>
      </c>
      <c r="AD179" s="215">
        <f t="shared" si="1191"/>
        <v>2.28E-15</v>
      </c>
      <c r="AE179" s="215">
        <f t="shared" si="1191"/>
        <v>487.53904</v>
      </c>
      <c r="AF179" s="215">
        <f t="shared" si="1191"/>
        <v>207.9665008454283</v>
      </c>
      <c r="AG179" s="215">
        <f t="shared" si="1191"/>
        <v>268.26096000000001</v>
      </c>
      <c r="AH179" s="215">
        <f t="shared" si="1191"/>
        <v>0</v>
      </c>
      <c r="AI179" s="215">
        <f t="shared" si="1191"/>
        <v>73.161779154574731</v>
      </c>
      <c r="AJ179" s="215">
        <f t="shared" si="1191"/>
        <v>0</v>
      </c>
      <c r="AK179" s="215">
        <f t="shared" si="1191"/>
        <v>0</v>
      </c>
      <c r="AL179" s="215">
        <f t="shared" si="1191"/>
        <v>-6.2527760746888816E-13</v>
      </c>
      <c r="AM179" s="215">
        <f t="shared" si="1191"/>
        <v>0</v>
      </c>
      <c r="AN179" s="215">
        <f t="shared" si="1191"/>
        <v>-2.5579538487363607E-12</v>
      </c>
      <c r="AO179" s="215">
        <f t="shared" si="1191"/>
        <v>3.637978807091713E-12</v>
      </c>
      <c r="AP179" s="215">
        <f t="shared" si="1191"/>
        <v>3.4106051316484809E-13</v>
      </c>
      <c r="AQ179" s="215">
        <f t="shared" ref="AQ179:BV179" si="1192">AQ142</f>
        <v>-2.9629632081196178E-12</v>
      </c>
      <c r="AR179" s="215">
        <f t="shared" si="1192"/>
        <v>3.637978807091713E-12</v>
      </c>
      <c r="AS179" s="215">
        <f t="shared" si="1192"/>
        <v>0</v>
      </c>
      <c r="AT179" s="215">
        <f t="shared" si="1192"/>
        <v>0</v>
      </c>
      <c r="AU179" s="215">
        <f t="shared" si="1192"/>
        <v>0</v>
      </c>
      <c r="AV179" s="215">
        <f t="shared" si="1192"/>
        <v>0</v>
      </c>
      <c r="AW179" s="215">
        <f t="shared" si="1192"/>
        <v>-1.4779288903810084E-12</v>
      </c>
      <c r="AX179" s="215">
        <f t="shared" si="1192"/>
        <v>0</v>
      </c>
      <c r="AY179" s="215">
        <f t="shared" si="1192"/>
        <v>-3.5</v>
      </c>
      <c r="AZ179" s="215">
        <f t="shared" si="1192"/>
        <v>3.50000000000162</v>
      </c>
      <c r="BA179" s="215">
        <f t="shared" si="1192"/>
        <v>-4.8316906031686813E-13</v>
      </c>
      <c r="BB179" s="215">
        <f t="shared" si="1192"/>
        <v>0</v>
      </c>
      <c r="BC179" s="215">
        <f t="shared" si="1192"/>
        <v>1.4779288903810084E-12</v>
      </c>
      <c r="BD179" s="215">
        <f t="shared" si="1192"/>
        <v>-1.6306955785694299E-12</v>
      </c>
      <c r="BE179" s="215">
        <f t="shared" si="1192"/>
        <v>0</v>
      </c>
      <c r="BF179" s="215">
        <f t="shared" si="1192"/>
        <v>0</v>
      </c>
      <c r="BG179" s="215">
        <f t="shared" si="1192"/>
        <v>0</v>
      </c>
      <c r="BH179" s="215">
        <f t="shared" si="1192"/>
        <v>0</v>
      </c>
      <c r="BI179" s="215">
        <f t="shared" si="1192"/>
        <v>0</v>
      </c>
      <c r="BJ179" s="215">
        <f t="shared" si="1192"/>
        <v>0</v>
      </c>
      <c r="BK179" s="215">
        <f t="shared" si="1192"/>
        <v>0</v>
      </c>
      <c r="BL179" s="215">
        <f t="shared" ca="1" si="1192"/>
        <v>0</v>
      </c>
      <c r="BM179" s="215">
        <f t="shared" ca="1" si="1192"/>
        <v>0</v>
      </c>
      <c r="BN179" s="215">
        <f t="shared" ca="1" si="1192"/>
        <v>0</v>
      </c>
      <c r="BO179" s="215">
        <f t="shared" ca="1" si="1192"/>
        <v>0</v>
      </c>
      <c r="BP179" s="215">
        <f t="shared" ca="1" si="1192"/>
        <v>0</v>
      </c>
      <c r="BQ179" s="215">
        <f t="shared" ca="1" si="1192"/>
        <v>0</v>
      </c>
      <c r="BR179" s="215">
        <f t="shared" ca="1" si="1192"/>
        <v>9.3791641120333225E-13</v>
      </c>
      <c r="BS179" s="215">
        <f t="shared" ca="1" si="1192"/>
        <v>0</v>
      </c>
      <c r="BT179" s="215">
        <f t="shared" ca="1" si="1192"/>
        <v>0</v>
      </c>
      <c r="BU179" s="215">
        <f t="shared" ca="1" si="1192"/>
        <v>0</v>
      </c>
      <c r="BV179" s="215">
        <f t="shared" ca="1" si="1192"/>
        <v>0</v>
      </c>
      <c r="BW179" s="215">
        <f t="shared" ref="BW179:DB179" ca="1" si="1193">BW142</f>
        <v>0</v>
      </c>
      <c r="BX179" s="215">
        <f t="shared" ca="1" si="1193"/>
        <v>0</v>
      </c>
      <c r="BY179" s="215">
        <f t="shared" ca="1" si="1193"/>
        <v>0</v>
      </c>
      <c r="BZ179" s="215">
        <f t="shared" ca="1" si="1193"/>
        <v>0</v>
      </c>
      <c r="CA179" s="215">
        <f t="shared" ca="1" si="1193"/>
        <v>0</v>
      </c>
      <c r="CB179" s="215">
        <f t="shared" ca="1" si="1193"/>
        <v>0</v>
      </c>
      <c r="CC179" s="215">
        <f t="shared" ca="1" si="1193"/>
        <v>0</v>
      </c>
      <c r="CD179" s="215">
        <f t="shared" ca="1" si="1193"/>
        <v>0</v>
      </c>
      <c r="CE179" s="215">
        <f t="shared" ca="1" si="1193"/>
        <v>0</v>
      </c>
      <c r="CF179" s="215">
        <f t="shared" ca="1" si="1193"/>
        <v>0</v>
      </c>
      <c r="CG179" s="215">
        <f t="shared" ca="1" si="1193"/>
        <v>0</v>
      </c>
      <c r="CH179" s="215">
        <f t="shared" ca="1" si="1193"/>
        <v>0</v>
      </c>
      <c r="CI179" s="215">
        <f t="shared" ca="1" si="1193"/>
        <v>0</v>
      </c>
      <c r="CJ179" s="215">
        <f t="shared" ca="1" si="1193"/>
        <v>0</v>
      </c>
      <c r="CK179" s="215">
        <f t="shared" ca="1" si="1193"/>
        <v>0</v>
      </c>
      <c r="CL179" s="215">
        <f t="shared" ca="1" si="1193"/>
        <v>0</v>
      </c>
      <c r="CM179" s="215">
        <f t="shared" ca="1" si="1193"/>
        <v>0</v>
      </c>
      <c r="CN179" s="215">
        <f t="shared" ca="1" si="1193"/>
        <v>0</v>
      </c>
      <c r="CO179" s="215">
        <f t="shared" ca="1" si="1193"/>
        <v>0</v>
      </c>
      <c r="CP179" s="215">
        <f t="shared" ca="1" si="1193"/>
        <v>0</v>
      </c>
      <c r="CQ179" s="215">
        <f t="shared" ca="1" si="1193"/>
        <v>0</v>
      </c>
      <c r="CR179" s="215">
        <f t="shared" ca="1" si="1193"/>
        <v>0</v>
      </c>
      <c r="CS179" s="215">
        <f t="shared" ca="1" si="1193"/>
        <v>0</v>
      </c>
      <c r="CT179" s="215">
        <f t="shared" ca="1" si="1193"/>
        <v>0</v>
      </c>
      <c r="CU179" s="215">
        <f t="shared" ca="1" si="1193"/>
        <v>0</v>
      </c>
      <c r="CV179" s="215">
        <f t="shared" ca="1" si="1193"/>
        <v>0</v>
      </c>
      <c r="CW179" s="215">
        <f t="shared" ca="1" si="1193"/>
        <v>0</v>
      </c>
      <c r="CX179" s="215">
        <f t="shared" ca="1" si="1193"/>
        <v>0</v>
      </c>
      <c r="CY179" s="215">
        <f t="shared" ca="1" si="1193"/>
        <v>0</v>
      </c>
      <c r="CZ179" s="215">
        <f t="shared" ca="1" si="1193"/>
        <v>0</v>
      </c>
      <c r="DA179" s="215">
        <f t="shared" ca="1" si="1193"/>
        <v>0</v>
      </c>
      <c r="DB179" s="215">
        <f t="shared" ca="1" si="1193"/>
        <v>0</v>
      </c>
      <c r="DC179" s="215">
        <f t="shared" ref="DC179:EH179" ca="1" si="1194">DC142</f>
        <v>0</v>
      </c>
      <c r="DD179" s="215">
        <f t="shared" ca="1" si="1194"/>
        <v>0</v>
      </c>
      <c r="DE179" s="215">
        <f t="shared" ca="1" si="1194"/>
        <v>0</v>
      </c>
      <c r="DF179" s="215">
        <f t="shared" ca="1" si="1194"/>
        <v>0</v>
      </c>
      <c r="DG179" s="215">
        <f t="shared" ca="1" si="1194"/>
        <v>0</v>
      </c>
      <c r="DH179" s="215">
        <f t="shared" ca="1" si="1194"/>
        <v>0</v>
      </c>
      <c r="DI179" s="215">
        <f t="shared" ca="1" si="1194"/>
        <v>0</v>
      </c>
      <c r="DJ179" s="215">
        <f t="shared" ca="1" si="1194"/>
        <v>0</v>
      </c>
      <c r="DK179" s="215">
        <f t="shared" ca="1" si="1194"/>
        <v>0</v>
      </c>
      <c r="DL179" s="215">
        <f t="shared" ca="1" si="1194"/>
        <v>0</v>
      </c>
      <c r="DM179" s="215">
        <f t="shared" ca="1" si="1194"/>
        <v>0</v>
      </c>
      <c r="DN179" s="215">
        <f t="shared" ca="1" si="1194"/>
        <v>0</v>
      </c>
      <c r="DO179" s="215">
        <f t="shared" ca="1" si="1194"/>
        <v>0</v>
      </c>
      <c r="DP179" s="215">
        <f t="shared" ca="1" si="1194"/>
        <v>0</v>
      </c>
      <c r="DQ179" s="215">
        <f t="shared" ca="1" si="1194"/>
        <v>0</v>
      </c>
      <c r="DR179" s="215">
        <f t="shared" ca="1" si="1194"/>
        <v>0</v>
      </c>
      <c r="DS179" s="215">
        <f t="shared" ca="1" si="1194"/>
        <v>0</v>
      </c>
      <c r="DT179" s="215">
        <f t="shared" ca="1" si="1194"/>
        <v>0</v>
      </c>
      <c r="DU179" s="215">
        <f t="shared" ca="1" si="1194"/>
        <v>0</v>
      </c>
      <c r="DV179" s="215">
        <f t="shared" ca="1" si="1194"/>
        <v>0</v>
      </c>
      <c r="DW179" s="215">
        <f t="shared" ca="1" si="1194"/>
        <v>0</v>
      </c>
      <c r="DX179" s="215">
        <f t="shared" ca="1" si="1194"/>
        <v>0</v>
      </c>
      <c r="DY179" s="215">
        <f t="shared" ca="1" si="1194"/>
        <v>0</v>
      </c>
      <c r="DZ179" s="215">
        <f t="shared" ca="1" si="1194"/>
        <v>0</v>
      </c>
      <c r="EA179" s="215">
        <f t="shared" ca="1" si="1194"/>
        <v>0</v>
      </c>
      <c r="EB179" s="215">
        <f t="shared" ca="1" si="1194"/>
        <v>0</v>
      </c>
      <c r="EC179" s="215">
        <f t="shared" ca="1" si="1194"/>
        <v>0</v>
      </c>
      <c r="ED179" s="215">
        <f t="shared" ca="1" si="1194"/>
        <v>0</v>
      </c>
      <c r="EE179" s="215">
        <f t="shared" ca="1" si="1194"/>
        <v>0</v>
      </c>
      <c r="EF179" s="215">
        <f t="shared" ca="1" si="1194"/>
        <v>0</v>
      </c>
      <c r="EG179" s="215">
        <f t="shared" ca="1" si="1194"/>
        <v>0</v>
      </c>
      <c r="EH179" s="215">
        <f t="shared" ca="1" si="1194"/>
        <v>0</v>
      </c>
      <c r="EI179" s="215">
        <f t="shared" ref="EI179:FN179" ca="1" si="1195">EI142</f>
        <v>0</v>
      </c>
      <c r="EJ179" s="215">
        <f t="shared" ca="1" si="1195"/>
        <v>0</v>
      </c>
      <c r="EK179" s="215">
        <f t="shared" ca="1" si="1195"/>
        <v>0</v>
      </c>
      <c r="EL179" s="215">
        <f t="shared" ca="1" si="1195"/>
        <v>0</v>
      </c>
      <c r="EM179" s="215">
        <f t="shared" ca="1" si="1195"/>
        <v>0</v>
      </c>
      <c r="EN179" s="215">
        <f t="shared" ca="1" si="1195"/>
        <v>0</v>
      </c>
      <c r="EO179" s="215">
        <f t="shared" ca="1" si="1195"/>
        <v>0</v>
      </c>
      <c r="EP179" s="215">
        <f t="shared" ca="1" si="1195"/>
        <v>0</v>
      </c>
      <c r="EQ179" s="215">
        <f t="shared" ca="1" si="1195"/>
        <v>0</v>
      </c>
      <c r="ER179" s="215">
        <f t="shared" ca="1" si="1195"/>
        <v>0</v>
      </c>
      <c r="ES179" s="215">
        <f t="shared" ca="1" si="1195"/>
        <v>0</v>
      </c>
      <c r="ET179" s="215">
        <f t="shared" ca="1" si="1195"/>
        <v>0</v>
      </c>
      <c r="EU179" s="215">
        <f t="shared" ca="1" si="1195"/>
        <v>0</v>
      </c>
      <c r="EV179" s="215">
        <f t="shared" ca="1" si="1195"/>
        <v>0</v>
      </c>
      <c r="EW179" s="215">
        <f t="shared" ca="1" si="1195"/>
        <v>0</v>
      </c>
      <c r="EX179" s="215">
        <f t="shared" ca="1" si="1195"/>
        <v>0</v>
      </c>
      <c r="EY179" s="215">
        <f t="shared" ca="1" si="1195"/>
        <v>0</v>
      </c>
      <c r="EZ179" s="215">
        <f t="shared" ca="1" si="1195"/>
        <v>0</v>
      </c>
      <c r="FA179" s="215">
        <f t="shared" ca="1" si="1195"/>
        <v>0</v>
      </c>
      <c r="FB179" s="215">
        <f t="shared" ca="1" si="1195"/>
        <v>0</v>
      </c>
      <c r="FC179" s="215">
        <f t="shared" ca="1" si="1195"/>
        <v>0</v>
      </c>
      <c r="FD179" s="215">
        <f t="shared" ca="1" si="1195"/>
        <v>0</v>
      </c>
      <c r="FE179" s="215">
        <f t="shared" ca="1" si="1195"/>
        <v>0</v>
      </c>
      <c r="FF179" s="215">
        <f t="shared" ca="1" si="1195"/>
        <v>0</v>
      </c>
      <c r="FG179" s="215">
        <f t="shared" ca="1" si="1195"/>
        <v>0</v>
      </c>
      <c r="FH179" s="215">
        <f t="shared" ca="1" si="1195"/>
        <v>0</v>
      </c>
      <c r="FI179" s="215">
        <f t="shared" ca="1" si="1195"/>
        <v>0</v>
      </c>
      <c r="FJ179" s="215">
        <f t="shared" ca="1" si="1195"/>
        <v>0</v>
      </c>
      <c r="FK179" s="215">
        <f t="shared" ca="1" si="1195"/>
        <v>0</v>
      </c>
      <c r="FL179" s="215">
        <f t="shared" ca="1" si="1195"/>
        <v>0</v>
      </c>
      <c r="FM179" s="215">
        <f t="shared" ca="1" si="1195"/>
        <v>0</v>
      </c>
      <c r="FN179" s="215">
        <f t="shared" ca="1" si="1195"/>
        <v>0</v>
      </c>
      <c r="FO179" s="215">
        <f t="shared" ref="FO179:GC179" ca="1" si="1196">FO142</f>
        <v>0</v>
      </c>
      <c r="FP179" s="215">
        <f t="shared" ca="1" si="1196"/>
        <v>0</v>
      </c>
      <c r="FQ179" s="215">
        <f t="shared" ca="1" si="1196"/>
        <v>0</v>
      </c>
      <c r="FR179" s="215">
        <f t="shared" ca="1" si="1196"/>
        <v>0</v>
      </c>
      <c r="FS179" s="215">
        <f t="shared" ca="1" si="1196"/>
        <v>0</v>
      </c>
      <c r="FT179" s="215">
        <f t="shared" ca="1" si="1196"/>
        <v>0</v>
      </c>
      <c r="FU179" s="215">
        <f t="shared" ca="1" si="1196"/>
        <v>0</v>
      </c>
      <c r="FV179" s="215">
        <f t="shared" ca="1" si="1196"/>
        <v>0</v>
      </c>
      <c r="FW179" s="215">
        <f t="shared" ca="1" si="1196"/>
        <v>0</v>
      </c>
      <c r="FX179" s="215">
        <f t="shared" ca="1" si="1196"/>
        <v>0</v>
      </c>
      <c r="FY179" s="215">
        <f t="shared" ca="1" si="1196"/>
        <v>0</v>
      </c>
      <c r="FZ179" s="215">
        <f t="shared" ca="1" si="1196"/>
        <v>0</v>
      </c>
      <c r="GA179" s="215">
        <f t="shared" ca="1" si="1196"/>
        <v>0</v>
      </c>
      <c r="GB179" s="215">
        <f t="shared" ca="1" si="1196"/>
        <v>0</v>
      </c>
      <c r="GC179" s="215">
        <f t="shared" ca="1" si="1196"/>
        <v>0</v>
      </c>
      <c r="GD179" s="215">
        <f t="shared" ref="GD179:HE179" si="1197">GD142</f>
        <v>0</v>
      </c>
      <c r="GE179" s="215">
        <f t="shared" si="1197"/>
        <v>0</v>
      </c>
      <c r="GF179" s="215">
        <f t="shared" si="1197"/>
        <v>0</v>
      </c>
      <c r="GG179" s="215">
        <f t="shared" si="1197"/>
        <v>0</v>
      </c>
      <c r="GH179" s="215">
        <f t="shared" si="1197"/>
        <v>0</v>
      </c>
      <c r="GI179" s="215">
        <f t="shared" si="1197"/>
        <v>0</v>
      </c>
      <c r="GJ179" s="215">
        <f t="shared" si="1197"/>
        <v>0</v>
      </c>
      <c r="GK179" s="215">
        <f t="shared" si="1197"/>
        <v>0</v>
      </c>
      <c r="GL179" s="215">
        <f t="shared" si="1197"/>
        <v>0</v>
      </c>
      <c r="GM179" s="215">
        <f t="shared" si="1197"/>
        <v>0</v>
      </c>
      <c r="GN179" s="215">
        <f t="shared" si="1197"/>
        <v>0</v>
      </c>
      <c r="GO179" s="215">
        <f t="shared" si="1197"/>
        <v>0</v>
      </c>
      <c r="GP179" s="215">
        <f t="shared" ca="1" si="1197"/>
        <v>0</v>
      </c>
      <c r="GQ179" s="215">
        <f t="shared" ca="1" si="1197"/>
        <v>0</v>
      </c>
      <c r="GR179" s="215">
        <f t="shared" ca="1" si="1197"/>
        <v>0</v>
      </c>
      <c r="GS179" s="215">
        <f t="shared" ca="1" si="1197"/>
        <v>0</v>
      </c>
      <c r="GT179" s="215">
        <f t="shared" ca="1" si="1197"/>
        <v>0</v>
      </c>
      <c r="GU179" s="215">
        <f t="shared" si="1197"/>
        <v>0</v>
      </c>
      <c r="GV179" s="215">
        <f t="shared" si="1197"/>
        <v>0</v>
      </c>
      <c r="GW179" s="215">
        <f t="shared" si="1197"/>
        <v>0</v>
      </c>
      <c r="GX179" s="215">
        <f t="shared" si="1197"/>
        <v>0</v>
      </c>
      <c r="GY179" s="215">
        <f t="shared" si="1197"/>
        <v>0</v>
      </c>
      <c r="GZ179" s="215">
        <f t="shared" si="1197"/>
        <v>0</v>
      </c>
      <c r="HA179" s="215">
        <f t="shared" si="1197"/>
        <v>0</v>
      </c>
      <c r="HB179" s="215">
        <f t="shared" si="1197"/>
        <v>0</v>
      </c>
      <c r="HC179" s="215">
        <f t="shared" si="1197"/>
        <v>0</v>
      </c>
      <c r="HD179" s="215">
        <f t="shared" si="1197"/>
        <v>0</v>
      </c>
      <c r="HE179" s="215">
        <f t="shared" si="1197"/>
        <v>0</v>
      </c>
      <c r="HF179" s="1" t="s">
        <v>212</v>
      </c>
      <c r="HH179" s="1" t="str">
        <f t="shared" si="1174"/>
        <v>(+) Debt Draws (Acquisition Loan)</v>
      </c>
      <c r="HI179" s="26"/>
      <c r="HJ179" s="26"/>
      <c r="HK179" s="26"/>
      <c r="HL179" s="132">
        <f t="shared" ca="1" si="1156"/>
        <v>21795.794000000005</v>
      </c>
      <c r="HM179" s="26"/>
      <c r="HN179" s="133">
        <f t="shared" si="1157"/>
        <v>19541</v>
      </c>
      <c r="HO179" s="26">
        <f t="shared" si="1157"/>
        <v>293.74532999999997</v>
      </c>
      <c r="HP179" s="26">
        <f t="shared" si="1157"/>
        <v>1961.0486700000033</v>
      </c>
      <c r="HQ179" s="26">
        <f t="shared" si="1157"/>
        <v>1.4708234630234074E-12</v>
      </c>
      <c r="HR179" s="26">
        <f t="shared" si="1157"/>
        <v>-4.9382720135326963E-13</v>
      </c>
      <c r="HS179" s="26">
        <f t="shared" ca="1" si="1157"/>
        <v>9.3791641120333225E-13</v>
      </c>
      <c r="HT179" s="26">
        <f t="shared" ca="1" si="1157"/>
        <v>0</v>
      </c>
      <c r="HU179" s="26">
        <f t="shared" ca="1" si="1157"/>
        <v>0</v>
      </c>
      <c r="HV179" s="26">
        <f t="shared" ca="1" si="1157"/>
        <v>0</v>
      </c>
      <c r="HW179"/>
    </row>
    <row r="180" spans="1:231" ht="15">
      <c r="A180" s="443"/>
      <c r="B180" s="1105" t="s">
        <v>1535</v>
      </c>
      <c r="C180" s="430"/>
      <c r="D180" s="430"/>
      <c r="E180" s="430"/>
      <c r="F180" s="430"/>
      <c r="G180" s="497"/>
      <c r="H180" s="430"/>
      <c r="I180" s="501">
        <f>SUMIF($K$13:$GT$13,"&lt;="&amp;Assumptions!$L$17,'Monthly Cash Flow'!K180:GT180)</f>
        <v>-2473</v>
      </c>
      <c r="J180" s="215"/>
      <c r="K180" s="1104">
        <v>-2473</v>
      </c>
      <c r="L180" s="973">
        <v>0</v>
      </c>
      <c r="M180" s="973">
        <v>0</v>
      </c>
      <c r="N180" s="973">
        <v>0</v>
      </c>
      <c r="O180" s="973">
        <v>0</v>
      </c>
      <c r="P180" s="973">
        <v>0</v>
      </c>
      <c r="Q180" s="973">
        <v>0</v>
      </c>
      <c r="R180" s="973">
        <v>0</v>
      </c>
      <c r="S180" s="973">
        <v>0</v>
      </c>
      <c r="T180" s="973">
        <v>0</v>
      </c>
      <c r="U180" s="973">
        <v>0</v>
      </c>
      <c r="V180" s="973">
        <v>0</v>
      </c>
      <c r="W180" s="973">
        <v>0</v>
      </c>
      <c r="X180" s="973">
        <v>0</v>
      </c>
      <c r="Y180" s="973">
        <v>0</v>
      </c>
      <c r="Z180" s="973">
        <v>0</v>
      </c>
      <c r="AA180" s="973">
        <v>0</v>
      </c>
      <c r="AB180" s="973">
        <v>0</v>
      </c>
      <c r="AC180" s="973">
        <v>0</v>
      </c>
      <c r="AD180" s="973">
        <v>0</v>
      </c>
      <c r="AE180" s="973">
        <v>0</v>
      </c>
      <c r="AF180" s="973">
        <v>0</v>
      </c>
      <c r="AG180" s="973">
        <v>0</v>
      </c>
      <c r="AH180" s="973">
        <v>0</v>
      </c>
      <c r="AI180" s="973">
        <v>0</v>
      </c>
      <c r="AJ180" s="973">
        <v>0</v>
      </c>
      <c r="AK180" s="973">
        <v>0</v>
      </c>
      <c r="AL180" s="973">
        <v>0</v>
      </c>
      <c r="AM180" s="973">
        <v>0</v>
      </c>
      <c r="AN180" s="973">
        <v>0</v>
      </c>
      <c r="AO180" s="973">
        <v>0</v>
      </c>
      <c r="AP180" s="973">
        <v>0</v>
      </c>
      <c r="AQ180" s="973">
        <v>0</v>
      </c>
      <c r="AR180" s="973">
        <v>0</v>
      </c>
      <c r="AS180" s="973">
        <v>0</v>
      </c>
      <c r="AT180" s="973">
        <v>0</v>
      </c>
      <c r="AU180" s="973">
        <v>0</v>
      </c>
      <c r="AV180" s="973">
        <v>0</v>
      </c>
      <c r="AW180" s="973">
        <v>0</v>
      </c>
      <c r="AX180" s="973">
        <v>0</v>
      </c>
      <c r="AY180" s="973">
        <v>0</v>
      </c>
      <c r="AZ180" s="973">
        <v>0</v>
      </c>
      <c r="BA180" s="973">
        <v>0</v>
      </c>
      <c r="BB180" s="973">
        <v>0</v>
      </c>
      <c r="BC180" s="973">
        <v>0</v>
      </c>
      <c r="BD180" s="973">
        <v>0</v>
      </c>
      <c r="BE180" s="973">
        <v>0</v>
      </c>
      <c r="BF180" s="973">
        <v>0</v>
      </c>
      <c r="BG180" s="973">
        <v>0</v>
      </c>
      <c r="BH180" s="973">
        <v>0</v>
      </c>
      <c r="BI180" s="973">
        <v>0</v>
      </c>
      <c r="BJ180" s="973">
        <v>0</v>
      </c>
      <c r="BK180" s="973">
        <v>0</v>
      </c>
      <c r="BL180" s="973">
        <v>0</v>
      </c>
      <c r="BM180" s="973">
        <v>0</v>
      </c>
      <c r="BN180" s="973">
        <v>0</v>
      </c>
      <c r="BO180" s="973">
        <v>0</v>
      </c>
      <c r="BP180" s="973">
        <v>0</v>
      </c>
      <c r="BQ180" s="973">
        <v>0</v>
      </c>
      <c r="BR180" s="973">
        <v>0</v>
      </c>
      <c r="BS180" s="973">
        <v>0</v>
      </c>
      <c r="BT180" s="973">
        <v>0</v>
      </c>
      <c r="BU180" s="973">
        <v>0</v>
      </c>
      <c r="BV180" s="973">
        <v>0</v>
      </c>
      <c r="BW180" s="973">
        <v>0</v>
      </c>
      <c r="BX180" s="973">
        <v>0</v>
      </c>
      <c r="BY180" s="973">
        <v>0</v>
      </c>
      <c r="BZ180" s="973">
        <v>0</v>
      </c>
      <c r="CA180" s="973">
        <v>0</v>
      </c>
      <c r="CB180" s="973">
        <v>0</v>
      </c>
      <c r="CC180" s="973">
        <v>0</v>
      </c>
      <c r="CD180" s="973">
        <v>0</v>
      </c>
      <c r="CE180" s="973">
        <v>0</v>
      </c>
      <c r="CF180" s="973">
        <v>0</v>
      </c>
      <c r="CG180" s="973">
        <v>0</v>
      </c>
      <c r="CH180" s="973">
        <v>0</v>
      </c>
      <c r="CI180" s="973">
        <v>0</v>
      </c>
      <c r="CJ180" s="973">
        <v>0</v>
      </c>
      <c r="CK180" s="973">
        <v>0</v>
      </c>
      <c r="CL180" s="973">
        <v>0</v>
      </c>
      <c r="CM180" s="973">
        <v>0</v>
      </c>
      <c r="CN180" s="973">
        <v>0</v>
      </c>
      <c r="CO180" s="973">
        <v>0</v>
      </c>
      <c r="CP180" s="973">
        <v>0</v>
      </c>
      <c r="CQ180" s="973">
        <v>0</v>
      </c>
      <c r="CR180" s="973">
        <v>0</v>
      </c>
      <c r="CS180" s="973">
        <v>0</v>
      </c>
      <c r="CT180" s="973">
        <v>0</v>
      </c>
      <c r="CU180" s="973">
        <v>0</v>
      </c>
      <c r="CV180" s="973">
        <v>0</v>
      </c>
      <c r="CW180" s="973">
        <v>0</v>
      </c>
      <c r="CX180" s="973">
        <v>0</v>
      </c>
      <c r="CY180" s="973">
        <v>0</v>
      </c>
      <c r="CZ180" s="973">
        <v>0</v>
      </c>
      <c r="DA180" s="973">
        <v>0</v>
      </c>
      <c r="DB180" s="973">
        <v>0</v>
      </c>
      <c r="DC180" s="973">
        <v>0</v>
      </c>
      <c r="DD180" s="973">
        <v>0</v>
      </c>
      <c r="DE180" s="973">
        <v>0</v>
      </c>
      <c r="DF180" s="973">
        <v>0</v>
      </c>
      <c r="DG180" s="973">
        <v>0</v>
      </c>
      <c r="DH180" s="973">
        <v>0</v>
      </c>
      <c r="DI180" s="973">
        <v>0</v>
      </c>
      <c r="DJ180" s="973">
        <v>0</v>
      </c>
      <c r="DK180" s="973">
        <v>0</v>
      </c>
      <c r="DL180" s="973">
        <v>0</v>
      </c>
      <c r="DM180" s="973">
        <v>0</v>
      </c>
      <c r="DN180" s="973">
        <v>0</v>
      </c>
      <c r="DO180" s="973">
        <v>0</v>
      </c>
      <c r="DP180" s="973">
        <v>0</v>
      </c>
      <c r="DQ180" s="973">
        <v>0</v>
      </c>
      <c r="DR180" s="973">
        <v>0</v>
      </c>
      <c r="DS180" s="973">
        <v>0</v>
      </c>
      <c r="DT180" s="973">
        <v>0</v>
      </c>
      <c r="DU180" s="973">
        <v>0</v>
      </c>
      <c r="DV180" s="973">
        <v>0</v>
      </c>
      <c r="DW180" s="973">
        <v>0</v>
      </c>
      <c r="DX180" s="973">
        <v>0</v>
      </c>
      <c r="DY180" s="973">
        <v>0</v>
      </c>
      <c r="DZ180" s="973">
        <v>0</v>
      </c>
      <c r="EA180" s="973">
        <v>0</v>
      </c>
      <c r="EB180" s="973">
        <v>0</v>
      </c>
      <c r="EC180" s="973">
        <v>0</v>
      </c>
      <c r="ED180" s="973">
        <v>0</v>
      </c>
      <c r="EE180" s="973">
        <v>0</v>
      </c>
      <c r="EF180" s="973">
        <v>0</v>
      </c>
      <c r="EG180" s="973">
        <v>0</v>
      </c>
      <c r="EH180" s="973">
        <v>0</v>
      </c>
      <c r="EI180" s="973">
        <v>0</v>
      </c>
      <c r="EJ180" s="973">
        <v>0</v>
      </c>
      <c r="EK180" s="973">
        <v>0</v>
      </c>
      <c r="EL180" s="973">
        <v>0</v>
      </c>
      <c r="EM180" s="973">
        <v>0</v>
      </c>
      <c r="EN180" s="973">
        <v>0</v>
      </c>
      <c r="EO180" s="973">
        <v>0</v>
      </c>
      <c r="EP180" s="973">
        <v>0</v>
      </c>
      <c r="EQ180" s="973">
        <v>0</v>
      </c>
      <c r="ER180" s="973">
        <v>0</v>
      </c>
      <c r="ES180" s="973">
        <v>0</v>
      </c>
      <c r="ET180" s="973">
        <v>0</v>
      </c>
      <c r="EU180" s="973">
        <v>0</v>
      </c>
      <c r="EV180" s="973">
        <v>0</v>
      </c>
      <c r="EW180" s="973">
        <v>0</v>
      </c>
      <c r="EX180" s="973">
        <v>0</v>
      </c>
      <c r="EY180" s="973">
        <v>0</v>
      </c>
      <c r="EZ180" s="973">
        <v>0</v>
      </c>
      <c r="FA180" s="973">
        <v>0</v>
      </c>
      <c r="FB180" s="973">
        <v>0</v>
      </c>
      <c r="FC180" s="973">
        <v>0</v>
      </c>
      <c r="FD180" s="973">
        <v>0</v>
      </c>
      <c r="FE180" s="973">
        <v>0</v>
      </c>
      <c r="FF180" s="973">
        <v>0</v>
      </c>
      <c r="FG180" s="973">
        <v>0</v>
      </c>
      <c r="FH180" s="973">
        <v>0</v>
      </c>
      <c r="FI180" s="973">
        <v>0</v>
      </c>
      <c r="FJ180" s="973">
        <v>0</v>
      </c>
      <c r="FK180" s="973">
        <v>0</v>
      </c>
      <c r="FL180" s="973">
        <v>0</v>
      </c>
      <c r="FM180" s="973">
        <v>0</v>
      </c>
      <c r="FN180" s="973">
        <v>0</v>
      </c>
      <c r="FO180" s="973">
        <v>0</v>
      </c>
      <c r="FP180" s="973">
        <v>0</v>
      </c>
      <c r="FQ180" s="973">
        <v>0</v>
      </c>
      <c r="FR180" s="973">
        <v>0</v>
      </c>
      <c r="FS180" s="973">
        <v>0</v>
      </c>
      <c r="FT180" s="973">
        <v>0</v>
      </c>
      <c r="FU180" s="973">
        <v>0</v>
      </c>
      <c r="FV180" s="973">
        <v>0</v>
      </c>
      <c r="FW180" s="973">
        <v>0</v>
      </c>
      <c r="FX180" s="973">
        <v>0</v>
      </c>
      <c r="FY180" s="973">
        <v>0</v>
      </c>
      <c r="FZ180" s="973">
        <v>0</v>
      </c>
      <c r="GA180" s="973">
        <v>0</v>
      </c>
      <c r="GB180" s="973">
        <v>0</v>
      </c>
      <c r="GC180" s="973">
        <v>0</v>
      </c>
      <c r="GD180" s="973">
        <v>0</v>
      </c>
      <c r="GE180" s="973">
        <v>0</v>
      </c>
      <c r="GF180" s="973">
        <v>0</v>
      </c>
      <c r="GG180" s="973">
        <v>0</v>
      </c>
      <c r="GH180" s="973">
        <v>0</v>
      </c>
      <c r="GI180" s="973">
        <v>0</v>
      </c>
      <c r="GJ180" s="973">
        <v>0</v>
      </c>
      <c r="GK180" s="973">
        <v>0</v>
      </c>
      <c r="GL180" s="973">
        <v>0</v>
      </c>
      <c r="GM180" s="973">
        <v>0</v>
      </c>
      <c r="GN180" s="973">
        <v>0</v>
      </c>
      <c r="GO180" s="973">
        <v>0</v>
      </c>
      <c r="GP180" s="973">
        <v>0</v>
      </c>
      <c r="GQ180" s="973">
        <v>0</v>
      </c>
      <c r="GR180" s="973">
        <v>0</v>
      </c>
      <c r="GS180" s="973">
        <v>0</v>
      </c>
      <c r="GT180" s="973">
        <v>0</v>
      </c>
      <c r="GU180" s="973">
        <v>0</v>
      </c>
      <c r="GV180" s="973">
        <v>0</v>
      </c>
      <c r="GW180" s="973">
        <v>0</v>
      </c>
      <c r="GX180" s="973">
        <v>0</v>
      </c>
      <c r="GY180" s="973">
        <v>0</v>
      </c>
      <c r="GZ180" s="973">
        <v>0</v>
      </c>
      <c r="HA180" s="973">
        <v>0</v>
      </c>
      <c r="HB180" s="973">
        <v>0</v>
      </c>
      <c r="HC180" s="973">
        <v>0</v>
      </c>
      <c r="HD180" s="973">
        <v>0</v>
      </c>
      <c r="HE180" s="973">
        <v>0</v>
      </c>
      <c r="HF180" s="1112" t="s">
        <v>212</v>
      </c>
      <c r="HH180" s="1" t="str">
        <f t="shared" si="1174"/>
        <v>(-) Additional Reserves Funded at Close</v>
      </c>
      <c r="HI180" s="26"/>
      <c r="HJ180" s="26"/>
      <c r="HK180" s="26"/>
      <c r="HL180" s="132">
        <f t="shared" ref="HL180" si="1198">SUM(HN180:HV180)</f>
        <v>-2473</v>
      </c>
      <c r="HM180" s="26"/>
      <c r="HN180" s="133">
        <f t="shared" si="1157"/>
        <v>-2473</v>
      </c>
      <c r="HO180" s="26">
        <f t="shared" si="1157"/>
        <v>0</v>
      </c>
      <c r="HP180" s="26">
        <f t="shared" si="1157"/>
        <v>0</v>
      </c>
      <c r="HQ180" s="26">
        <f t="shared" si="1157"/>
        <v>0</v>
      </c>
      <c r="HR180" s="26">
        <f t="shared" si="1157"/>
        <v>0</v>
      </c>
      <c r="HS180" s="26">
        <f t="shared" si="1157"/>
        <v>0</v>
      </c>
      <c r="HT180" s="26">
        <f t="shared" si="1157"/>
        <v>0</v>
      </c>
      <c r="HU180" s="26">
        <f t="shared" si="1157"/>
        <v>0</v>
      </c>
      <c r="HV180" s="26">
        <f t="shared" si="1157"/>
        <v>0</v>
      </c>
      <c r="HW180"/>
    </row>
    <row r="181" spans="1:231" ht="15" outlineLevel="1">
      <c r="B181" s="430" t="str">
        <f>"(+) "&amp; B164</f>
        <v>(+) Total Debt Draws (Re-Fi)</v>
      </c>
      <c r="C181" s="430"/>
      <c r="D181" s="430"/>
      <c r="E181" s="430"/>
      <c r="F181" s="430"/>
      <c r="G181" s="430"/>
      <c r="H181" s="430"/>
      <c r="I181" s="501">
        <f ca="1">SUMIF($K$13:$GT$13,"&lt;="&amp;Assumptions!$L$17,'Monthly Cash Flow'!K181:GT181)</f>
        <v>25484.955699999991</v>
      </c>
      <c r="J181" s="215"/>
      <c r="K181" s="502">
        <f>K164</f>
        <v>0</v>
      </c>
      <c r="L181" s="215">
        <f>L164</f>
        <v>0</v>
      </c>
      <c r="M181" s="215">
        <f>M164</f>
        <v>0</v>
      </c>
      <c r="N181" s="215">
        <f t="shared" ref="N181:BY181" si="1199">N164</f>
        <v>0</v>
      </c>
      <c r="O181" s="215">
        <f t="shared" si="1199"/>
        <v>0</v>
      </c>
      <c r="P181" s="215">
        <f t="shared" si="1199"/>
        <v>0</v>
      </c>
      <c r="Q181" s="215">
        <f t="shared" si="1199"/>
        <v>0</v>
      </c>
      <c r="R181" s="215">
        <f t="shared" si="1199"/>
        <v>0</v>
      </c>
      <c r="S181" s="215">
        <f t="shared" si="1199"/>
        <v>0</v>
      </c>
      <c r="T181" s="215">
        <f t="shared" si="1199"/>
        <v>0</v>
      </c>
      <c r="U181" s="215">
        <f t="shared" si="1199"/>
        <v>0</v>
      </c>
      <c r="V181" s="215">
        <f t="shared" si="1199"/>
        <v>0</v>
      </c>
      <c r="W181" s="215">
        <f t="shared" si="1199"/>
        <v>0</v>
      </c>
      <c r="X181" s="215">
        <f t="shared" si="1199"/>
        <v>0</v>
      </c>
      <c r="Y181" s="215">
        <f t="shared" si="1199"/>
        <v>0</v>
      </c>
      <c r="Z181" s="215">
        <f t="shared" si="1199"/>
        <v>0</v>
      </c>
      <c r="AA181" s="215">
        <f t="shared" si="1199"/>
        <v>0</v>
      </c>
      <c r="AB181" s="215">
        <f t="shared" si="1199"/>
        <v>0</v>
      </c>
      <c r="AC181" s="215">
        <f t="shared" si="1199"/>
        <v>0</v>
      </c>
      <c r="AD181" s="215">
        <f t="shared" si="1199"/>
        <v>0</v>
      </c>
      <c r="AE181" s="215">
        <f t="shared" si="1199"/>
        <v>0</v>
      </c>
      <c r="AF181" s="215">
        <f t="shared" si="1199"/>
        <v>0</v>
      </c>
      <c r="AG181" s="215">
        <f t="shared" si="1199"/>
        <v>0</v>
      </c>
      <c r="AH181" s="215">
        <f t="shared" si="1199"/>
        <v>0</v>
      </c>
      <c r="AI181" s="215">
        <f t="shared" si="1199"/>
        <v>0</v>
      </c>
      <c r="AJ181" s="215">
        <f t="shared" si="1199"/>
        <v>0</v>
      </c>
      <c r="AK181" s="215">
        <f t="shared" si="1199"/>
        <v>0</v>
      </c>
      <c r="AL181" s="215">
        <f t="shared" si="1199"/>
        <v>0</v>
      </c>
      <c r="AM181" s="215">
        <f t="shared" si="1199"/>
        <v>0</v>
      </c>
      <c r="AN181" s="215">
        <f t="shared" si="1199"/>
        <v>0</v>
      </c>
      <c r="AO181" s="215">
        <f t="shared" si="1199"/>
        <v>0</v>
      </c>
      <c r="AP181" s="215">
        <f t="shared" si="1199"/>
        <v>0</v>
      </c>
      <c r="AQ181" s="215">
        <f t="shared" si="1199"/>
        <v>0</v>
      </c>
      <c r="AR181" s="215">
        <f t="shared" si="1199"/>
        <v>0</v>
      </c>
      <c r="AS181" s="215">
        <f t="shared" si="1199"/>
        <v>0</v>
      </c>
      <c r="AT181" s="215">
        <f t="shared" si="1199"/>
        <v>0</v>
      </c>
      <c r="AU181" s="215">
        <f t="shared" si="1199"/>
        <v>0</v>
      </c>
      <c r="AV181" s="215">
        <f t="shared" si="1199"/>
        <v>0</v>
      </c>
      <c r="AW181" s="215">
        <f t="shared" si="1199"/>
        <v>0</v>
      </c>
      <c r="AX181" s="215">
        <f t="shared" si="1199"/>
        <v>0</v>
      </c>
      <c r="AY181" s="215">
        <f t="shared" si="1199"/>
        <v>0</v>
      </c>
      <c r="AZ181" s="215">
        <f t="shared" si="1199"/>
        <v>0</v>
      </c>
      <c r="BA181" s="215">
        <f t="shared" si="1199"/>
        <v>0</v>
      </c>
      <c r="BB181" s="215">
        <f t="shared" si="1199"/>
        <v>0</v>
      </c>
      <c r="BC181" s="215">
        <f t="shared" si="1199"/>
        <v>0</v>
      </c>
      <c r="BD181" s="215">
        <f t="shared" si="1199"/>
        <v>0</v>
      </c>
      <c r="BE181" s="215">
        <f t="shared" si="1199"/>
        <v>0</v>
      </c>
      <c r="BF181" s="215">
        <f t="shared" si="1199"/>
        <v>0</v>
      </c>
      <c r="BG181" s="215">
        <f t="shared" si="1199"/>
        <v>0</v>
      </c>
      <c r="BH181" s="215">
        <f t="shared" si="1199"/>
        <v>0</v>
      </c>
      <c r="BI181" s="215">
        <f t="shared" si="1199"/>
        <v>0</v>
      </c>
      <c r="BJ181" s="215">
        <f t="shared" si="1199"/>
        <v>0</v>
      </c>
      <c r="BK181" s="215">
        <f t="shared" si="1199"/>
        <v>0</v>
      </c>
      <c r="BL181" s="215">
        <f t="shared" si="1199"/>
        <v>0</v>
      </c>
      <c r="BM181" s="215">
        <f t="shared" si="1199"/>
        <v>0</v>
      </c>
      <c r="BN181" s="215">
        <f t="shared" si="1199"/>
        <v>0</v>
      </c>
      <c r="BO181" s="215">
        <f t="shared" si="1199"/>
        <v>0</v>
      </c>
      <c r="BP181" s="215">
        <f t="shared" si="1199"/>
        <v>0</v>
      </c>
      <c r="BQ181" s="215">
        <f t="shared" si="1199"/>
        <v>0</v>
      </c>
      <c r="BR181" s="215">
        <f t="shared" si="1199"/>
        <v>0</v>
      </c>
      <c r="BS181" s="215">
        <f t="shared" ca="1" si="1199"/>
        <v>22133.63997</v>
      </c>
      <c r="BT181" s="215">
        <f t="shared" ca="1" si="1199"/>
        <v>0</v>
      </c>
      <c r="BU181" s="215">
        <f t="shared" ca="1" si="1199"/>
        <v>0</v>
      </c>
      <c r="BV181" s="215">
        <f t="shared" ca="1" si="1199"/>
        <v>0</v>
      </c>
      <c r="BW181" s="215">
        <f t="shared" ca="1" si="1199"/>
        <v>9.3451900000000006</v>
      </c>
      <c r="BX181" s="215">
        <f t="shared" ca="1" si="1199"/>
        <v>27.214280000000002</v>
      </c>
      <c r="BY181" s="215">
        <f t="shared" ca="1" si="1199"/>
        <v>87.333829999999992</v>
      </c>
      <c r="BZ181" s="215">
        <f t="shared" ref="BZ181:EK181" ca="1" si="1200">BZ164</f>
        <v>0</v>
      </c>
      <c r="CA181" s="215">
        <f t="shared" ca="1" si="1200"/>
        <v>99.415000000000006</v>
      </c>
      <c r="CB181" s="215">
        <f t="shared" ca="1" si="1200"/>
        <v>5</v>
      </c>
      <c r="CC181" s="215">
        <f t="shared" ca="1" si="1200"/>
        <v>0</v>
      </c>
      <c r="CD181" s="215">
        <f t="shared" ca="1" si="1200"/>
        <v>279.654</v>
      </c>
      <c r="CE181" s="215">
        <f t="shared" ca="1" si="1200"/>
        <v>0</v>
      </c>
      <c r="CF181" s="215">
        <f t="shared" ca="1" si="1200"/>
        <v>66.949960000000004</v>
      </c>
      <c r="CG181" s="215">
        <f t="shared" ca="1" si="1200"/>
        <v>0</v>
      </c>
      <c r="CH181" s="215">
        <f t="shared" ca="1" si="1200"/>
        <v>22.286470000000001</v>
      </c>
      <c r="CI181" s="215">
        <f t="shared" ca="1" si="1200"/>
        <v>0</v>
      </c>
      <c r="CJ181" s="215">
        <f t="shared" ca="1" si="1200"/>
        <v>0</v>
      </c>
      <c r="CK181" s="215">
        <f t="shared" ca="1" si="1200"/>
        <v>0</v>
      </c>
      <c r="CL181" s="215">
        <f t="shared" ca="1" si="1200"/>
        <v>0</v>
      </c>
      <c r="CM181" s="215">
        <f t="shared" ca="1" si="1200"/>
        <v>68.313492063492063</v>
      </c>
      <c r="CN181" s="215">
        <f t="shared" ca="1" si="1200"/>
        <v>68.313492063492063</v>
      </c>
      <c r="CO181" s="215">
        <f t="shared" ca="1" si="1200"/>
        <v>68.313492063492077</v>
      </c>
      <c r="CP181" s="215">
        <f t="shared" ca="1" si="1200"/>
        <v>161.22249206349207</v>
      </c>
      <c r="CQ181" s="215">
        <f t="shared" ca="1" si="1200"/>
        <v>62.063492063492063</v>
      </c>
      <c r="CR181" s="215">
        <f t="shared" ca="1" si="1200"/>
        <v>62.06349206349207</v>
      </c>
      <c r="CS181" s="215">
        <f t="shared" ca="1" si="1200"/>
        <v>235.66549206349202</v>
      </c>
      <c r="CT181" s="215">
        <f t="shared" ca="1" si="1200"/>
        <v>296.70377777777776</v>
      </c>
      <c r="CU181" s="215">
        <f t="shared" ca="1" si="1200"/>
        <v>27.777777777777771</v>
      </c>
      <c r="CV181" s="215">
        <f t="shared" ca="1" si="1200"/>
        <v>0</v>
      </c>
      <c r="CW181" s="215">
        <f t="shared" ca="1" si="1200"/>
        <v>0</v>
      </c>
      <c r="CX181" s="215">
        <f t="shared" ca="1" si="1200"/>
        <v>0</v>
      </c>
      <c r="CY181" s="215">
        <f t="shared" ca="1" si="1200"/>
        <v>175.119</v>
      </c>
      <c r="CZ181" s="215">
        <f t="shared" ca="1" si="1200"/>
        <v>0</v>
      </c>
      <c r="DA181" s="215">
        <f t="shared" ca="1" si="1200"/>
        <v>154.11699999999999</v>
      </c>
      <c r="DB181" s="215">
        <f t="shared" ca="1" si="1200"/>
        <v>1181.643</v>
      </c>
      <c r="DC181" s="215">
        <f t="shared" ca="1" si="1200"/>
        <v>192.80099999999999</v>
      </c>
      <c r="DD181" s="215">
        <f t="shared" ca="1" si="1200"/>
        <v>0</v>
      </c>
      <c r="DE181" s="215">
        <f t="shared" ca="1" si="1200"/>
        <v>0</v>
      </c>
      <c r="DF181" s="215">
        <f t="shared" ca="1" si="1200"/>
        <v>0</v>
      </c>
      <c r="DG181" s="215">
        <f t="shared" ca="1" si="1200"/>
        <v>0</v>
      </c>
      <c r="DH181" s="215">
        <f t="shared" ca="1" si="1200"/>
        <v>0</v>
      </c>
      <c r="DI181" s="215">
        <f t="shared" ca="1" si="1200"/>
        <v>0</v>
      </c>
      <c r="DJ181" s="215">
        <f t="shared" si="1200"/>
        <v>0</v>
      </c>
      <c r="DK181" s="215">
        <f t="shared" si="1200"/>
        <v>0</v>
      </c>
      <c r="DL181" s="215">
        <f t="shared" si="1200"/>
        <v>0</v>
      </c>
      <c r="DM181" s="215">
        <f t="shared" si="1200"/>
        <v>0</v>
      </c>
      <c r="DN181" s="215">
        <f t="shared" si="1200"/>
        <v>0</v>
      </c>
      <c r="DO181" s="215">
        <f t="shared" si="1200"/>
        <v>0</v>
      </c>
      <c r="DP181" s="215">
        <f t="shared" si="1200"/>
        <v>0</v>
      </c>
      <c r="DQ181" s="215">
        <f t="shared" si="1200"/>
        <v>0</v>
      </c>
      <c r="DR181" s="215">
        <f t="shared" si="1200"/>
        <v>0</v>
      </c>
      <c r="DS181" s="215">
        <f t="shared" si="1200"/>
        <v>0</v>
      </c>
      <c r="DT181" s="215">
        <f t="shared" si="1200"/>
        <v>0</v>
      </c>
      <c r="DU181" s="215">
        <f t="shared" si="1200"/>
        <v>0</v>
      </c>
      <c r="DV181" s="215">
        <f t="shared" si="1200"/>
        <v>0</v>
      </c>
      <c r="DW181" s="215">
        <f t="shared" si="1200"/>
        <v>0</v>
      </c>
      <c r="DX181" s="215">
        <f t="shared" si="1200"/>
        <v>0</v>
      </c>
      <c r="DY181" s="215">
        <f t="shared" si="1200"/>
        <v>0</v>
      </c>
      <c r="DZ181" s="215">
        <f t="shared" si="1200"/>
        <v>0</v>
      </c>
      <c r="EA181" s="215">
        <f t="shared" si="1200"/>
        <v>0</v>
      </c>
      <c r="EB181" s="215">
        <f t="shared" si="1200"/>
        <v>0</v>
      </c>
      <c r="EC181" s="215">
        <f t="shared" si="1200"/>
        <v>0</v>
      </c>
      <c r="ED181" s="215">
        <f t="shared" si="1200"/>
        <v>0</v>
      </c>
      <c r="EE181" s="215">
        <f t="shared" si="1200"/>
        <v>0</v>
      </c>
      <c r="EF181" s="215">
        <f t="shared" si="1200"/>
        <v>0</v>
      </c>
      <c r="EG181" s="215">
        <f t="shared" si="1200"/>
        <v>0</v>
      </c>
      <c r="EH181" s="215">
        <f t="shared" si="1200"/>
        <v>0</v>
      </c>
      <c r="EI181" s="215">
        <f t="shared" si="1200"/>
        <v>0</v>
      </c>
      <c r="EJ181" s="215">
        <f t="shared" si="1200"/>
        <v>0</v>
      </c>
      <c r="EK181" s="215">
        <f t="shared" si="1200"/>
        <v>0</v>
      </c>
      <c r="EL181" s="215">
        <f t="shared" ref="EL181:GW181" si="1201">EL164</f>
        <v>0</v>
      </c>
      <c r="EM181" s="215">
        <f t="shared" si="1201"/>
        <v>0</v>
      </c>
      <c r="EN181" s="215">
        <f t="shared" si="1201"/>
        <v>0</v>
      </c>
      <c r="EO181" s="215">
        <f t="shared" si="1201"/>
        <v>0</v>
      </c>
      <c r="EP181" s="215">
        <f t="shared" si="1201"/>
        <v>0</v>
      </c>
      <c r="EQ181" s="215">
        <f t="shared" si="1201"/>
        <v>0</v>
      </c>
      <c r="ER181" s="215">
        <f t="shared" si="1201"/>
        <v>0</v>
      </c>
      <c r="ES181" s="215">
        <f t="shared" si="1201"/>
        <v>0</v>
      </c>
      <c r="ET181" s="215">
        <f t="shared" si="1201"/>
        <v>0</v>
      </c>
      <c r="EU181" s="215">
        <f t="shared" si="1201"/>
        <v>0</v>
      </c>
      <c r="EV181" s="215">
        <f t="shared" si="1201"/>
        <v>0</v>
      </c>
      <c r="EW181" s="215">
        <f t="shared" si="1201"/>
        <v>0</v>
      </c>
      <c r="EX181" s="215">
        <f t="shared" si="1201"/>
        <v>0</v>
      </c>
      <c r="EY181" s="215">
        <f t="shared" si="1201"/>
        <v>0</v>
      </c>
      <c r="EZ181" s="215">
        <f t="shared" si="1201"/>
        <v>0</v>
      </c>
      <c r="FA181" s="215">
        <f t="shared" si="1201"/>
        <v>0</v>
      </c>
      <c r="FB181" s="215">
        <f t="shared" si="1201"/>
        <v>0</v>
      </c>
      <c r="FC181" s="215">
        <f t="shared" si="1201"/>
        <v>0</v>
      </c>
      <c r="FD181" s="215">
        <f t="shared" si="1201"/>
        <v>0</v>
      </c>
      <c r="FE181" s="215">
        <f t="shared" si="1201"/>
        <v>0</v>
      </c>
      <c r="FF181" s="215">
        <f t="shared" si="1201"/>
        <v>0</v>
      </c>
      <c r="FG181" s="215">
        <f t="shared" si="1201"/>
        <v>0</v>
      </c>
      <c r="FH181" s="215">
        <f t="shared" si="1201"/>
        <v>0</v>
      </c>
      <c r="FI181" s="215">
        <f t="shared" si="1201"/>
        <v>0</v>
      </c>
      <c r="FJ181" s="215">
        <f t="shared" si="1201"/>
        <v>0</v>
      </c>
      <c r="FK181" s="215">
        <f t="shared" si="1201"/>
        <v>0</v>
      </c>
      <c r="FL181" s="215">
        <f t="shared" si="1201"/>
        <v>0</v>
      </c>
      <c r="FM181" s="215">
        <f t="shared" si="1201"/>
        <v>0</v>
      </c>
      <c r="FN181" s="215">
        <f t="shared" si="1201"/>
        <v>0</v>
      </c>
      <c r="FO181" s="215">
        <f t="shared" si="1201"/>
        <v>0</v>
      </c>
      <c r="FP181" s="215">
        <f t="shared" si="1201"/>
        <v>0</v>
      </c>
      <c r="FQ181" s="215">
        <f t="shared" si="1201"/>
        <v>0</v>
      </c>
      <c r="FR181" s="215">
        <f t="shared" si="1201"/>
        <v>0</v>
      </c>
      <c r="FS181" s="215">
        <f t="shared" si="1201"/>
        <v>0</v>
      </c>
      <c r="FT181" s="215">
        <f t="shared" si="1201"/>
        <v>0</v>
      </c>
      <c r="FU181" s="215">
        <f t="shared" si="1201"/>
        <v>0</v>
      </c>
      <c r="FV181" s="215">
        <f t="shared" si="1201"/>
        <v>0</v>
      </c>
      <c r="FW181" s="215">
        <f t="shared" si="1201"/>
        <v>0</v>
      </c>
      <c r="FX181" s="215">
        <f t="shared" si="1201"/>
        <v>0</v>
      </c>
      <c r="FY181" s="215">
        <f t="shared" si="1201"/>
        <v>0</v>
      </c>
      <c r="FZ181" s="215">
        <f t="shared" si="1201"/>
        <v>0</v>
      </c>
      <c r="GA181" s="215">
        <f t="shared" si="1201"/>
        <v>0</v>
      </c>
      <c r="GB181" s="215">
        <f t="shared" si="1201"/>
        <v>0</v>
      </c>
      <c r="GC181" s="215">
        <f t="shared" si="1201"/>
        <v>0</v>
      </c>
      <c r="GD181" s="215">
        <f t="shared" si="1201"/>
        <v>0</v>
      </c>
      <c r="GE181" s="215">
        <f t="shared" si="1201"/>
        <v>0</v>
      </c>
      <c r="GF181" s="215">
        <f t="shared" si="1201"/>
        <v>0</v>
      </c>
      <c r="GG181" s="215">
        <f t="shared" si="1201"/>
        <v>0</v>
      </c>
      <c r="GH181" s="215">
        <f t="shared" si="1201"/>
        <v>0</v>
      </c>
      <c r="GI181" s="215">
        <f t="shared" si="1201"/>
        <v>0</v>
      </c>
      <c r="GJ181" s="215">
        <f t="shared" si="1201"/>
        <v>0</v>
      </c>
      <c r="GK181" s="215">
        <f t="shared" si="1201"/>
        <v>0</v>
      </c>
      <c r="GL181" s="215">
        <f t="shared" si="1201"/>
        <v>0</v>
      </c>
      <c r="GM181" s="215">
        <f t="shared" si="1201"/>
        <v>0</v>
      </c>
      <c r="GN181" s="215">
        <f t="shared" si="1201"/>
        <v>0</v>
      </c>
      <c r="GO181" s="215">
        <f t="shared" si="1201"/>
        <v>0</v>
      </c>
      <c r="GP181" s="215">
        <f t="shared" si="1201"/>
        <v>0</v>
      </c>
      <c r="GQ181" s="215">
        <f t="shared" si="1201"/>
        <v>0</v>
      </c>
      <c r="GR181" s="215">
        <f t="shared" si="1201"/>
        <v>0</v>
      </c>
      <c r="GS181" s="215">
        <f t="shared" si="1201"/>
        <v>0</v>
      </c>
      <c r="GT181" s="215">
        <f t="shared" si="1201"/>
        <v>0</v>
      </c>
      <c r="GU181" s="215">
        <f t="shared" si="1201"/>
        <v>0</v>
      </c>
      <c r="GV181" s="215">
        <f t="shared" si="1201"/>
        <v>0</v>
      </c>
      <c r="GW181" s="215">
        <f t="shared" si="1201"/>
        <v>0</v>
      </c>
      <c r="GX181" s="215">
        <f t="shared" ref="GX181:HE181" si="1202">GX164</f>
        <v>0</v>
      </c>
      <c r="GY181" s="215">
        <f t="shared" si="1202"/>
        <v>0</v>
      </c>
      <c r="GZ181" s="215">
        <f t="shared" si="1202"/>
        <v>0</v>
      </c>
      <c r="HA181" s="215">
        <f t="shared" si="1202"/>
        <v>0</v>
      </c>
      <c r="HB181" s="215">
        <f t="shared" si="1202"/>
        <v>0</v>
      </c>
      <c r="HC181" s="215">
        <f t="shared" si="1202"/>
        <v>0</v>
      </c>
      <c r="HD181" s="215">
        <f t="shared" si="1202"/>
        <v>0</v>
      </c>
      <c r="HE181" s="215">
        <f t="shared" si="1202"/>
        <v>0</v>
      </c>
      <c r="HF181" s="1" t="s">
        <v>212</v>
      </c>
      <c r="HH181" s="1" t="str">
        <f t="shared" si="1174"/>
        <v>(+) Total Debt Draws (Re-Fi)</v>
      </c>
      <c r="HI181" s="26"/>
      <c r="HJ181" s="26"/>
      <c r="HK181" s="26"/>
      <c r="HL181" s="132">
        <f t="shared" ca="1" si="1156"/>
        <v>25484.955699999999</v>
      </c>
      <c r="HM181" s="26"/>
      <c r="HN181" s="133">
        <f t="shared" si="1157"/>
        <v>0</v>
      </c>
      <c r="HO181" s="26">
        <f t="shared" si="1157"/>
        <v>0</v>
      </c>
      <c r="HP181" s="26">
        <f t="shared" si="1157"/>
        <v>0</v>
      </c>
      <c r="HQ181" s="26">
        <f t="shared" si="1157"/>
        <v>0</v>
      </c>
      <c r="HR181" s="26">
        <f t="shared" si="1157"/>
        <v>0</v>
      </c>
      <c r="HS181" s="26">
        <f t="shared" ca="1" si="1157"/>
        <v>22133.63997</v>
      </c>
      <c r="HT181" s="26">
        <f t="shared" ca="1" si="1157"/>
        <v>507.96230000000003</v>
      </c>
      <c r="HU181" s="26">
        <f t="shared" ca="1" si="1157"/>
        <v>517.46289031746028</v>
      </c>
      <c r="HV181" s="26">
        <f t="shared" ca="1" si="1157"/>
        <v>2325.8905396825394</v>
      </c>
      <c r="HW181"/>
    </row>
    <row r="182" spans="1:231" s="50" customFormat="1" ht="15">
      <c r="A182" s="455"/>
      <c r="B182" s="430" t="str">
        <f>"(-) "&amp; B148</f>
        <v xml:space="preserve">(-) Total Debt Service </v>
      </c>
      <c r="C182" s="430"/>
      <c r="D182" s="430"/>
      <c r="E182" s="430"/>
      <c r="F182" s="430"/>
      <c r="G182" s="430"/>
      <c r="H182" s="430"/>
      <c r="I182" s="501">
        <f ca="1">SUMIF($K$13:$GT$13,"&lt;="&amp;Assumptions!$L$17,'Monthly Cash Flow'!K182:GT182)</f>
        <v>-7149.863159999999</v>
      </c>
      <c r="J182" s="215"/>
      <c r="K182" s="502">
        <f>-K148</f>
        <v>0</v>
      </c>
      <c r="L182" s="215">
        <f t="shared" ref="L182:AQ182" si="1203">+-L148</f>
        <v>-99.817880000000002</v>
      </c>
      <c r="M182" s="215">
        <f t="shared" si="1203"/>
        <v>-107.07263</v>
      </c>
      <c r="N182" s="215">
        <f t="shared" si="1203"/>
        <v>-93.756550000000004</v>
      </c>
      <c r="O182" s="215">
        <f t="shared" si="1203"/>
        <v>-97.477069999999998</v>
      </c>
      <c r="P182" s="215">
        <f t="shared" si="1203"/>
        <v>-93.802399999999992</v>
      </c>
      <c r="Q182" s="215">
        <f t="shared" si="1203"/>
        <v>-97.247420000000005</v>
      </c>
      <c r="R182" s="215">
        <f t="shared" si="1203"/>
        <v>-97.714269999999985</v>
      </c>
      <c r="S182" s="215">
        <f t="shared" si="1203"/>
        <v>-94.318039999999996</v>
      </c>
      <c r="T182" s="215">
        <f t="shared" si="1203"/>
        <v>-101.34725</v>
      </c>
      <c r="U182" s="215">
        <f t="shared" si="1203"/>
        <v>-100.38728000000002</v>
      </c>
      <c r="V182" s="215">
        <f t="shared" si="1203"/>
        <v>-106.00931999999999</v>
      </c>
      <c r="W182" s="215">
        <f t="shared" si="1203"/>
        <v>-102.52549</v>
      </c>
      <c r="X182" s="215">
        <f t="shared" si="1203"/>
        <v>-109.64747</v>
      </c>
      <c r="Y182" s="215">
        <f t="shared" si="1203"/>
        <v>-110.21392</v>
      </c>
      <c r="Z182" s="215">
        <f t="shared" si="1203"/>
        <v>-106.67487</v>
      </c>
      <c r="AA182" s="215">
        <f t="shared" si="1203"/>
        <v>-113.30676000000001</v>
      </c>
      <c r="AB182" s="215">
        <f t="shared" si="1203"/>
        <v>-109.32448000000001</v>
      </c>
      <c r="AC182" s="215">
        <f t="shared" si="1203"/>
        <v>-113.17747</v>
      </c>
      <c r="AD182" s="215">
        <f t="shared" si="1203"/>
        <v>-126.27515</v>
      </c>
      <c r="AE182" s="215">
        <f t="shared" si="1203"/>
        <v>-116.49860000000001</v>
      </c>
      <c r="AF182" s="215">
        <f t="shared" si="1203"/>
        <v>-128.33968999999999</v>
      </c>
      <c r="AG182" s="215">
        <f t="shared" si="1203"/>
        <v>-127.63253999999999</v>
      </c>
      <c r="AH182" s="215">
        <f t="shared" si="1203"/>
        <v>-134.13919000000001</v>
      </c>
      <c r="AI182" s="215">
        <f t="shared" si="1203"/>
        <v>-130.21171000000001</v>
      </c>
      <c r="AJ182" s="215">
        <f t="shared" si="1203"/>
        <v>-137.46123</v>
      </c>
      <c r="AK182" s="215">
        <f t="shared" si="1203"/>
        <v>-137.42370000000003</v>
      </c>
      <c r="AL182" s="215">
        <f t="shared" si="1203"/>
        <v>-147.13461999999998</v>
      </c>
      <c r="AM182" s="215">
        <f t="shared" si="1203"/>
        <v>-128.02465000000001</v>
      </c>
      <c r="AN182" s="215">
        <f t="shared" si="1203"/>
        <v>-162.54771999999997</v>
      </c>
      <c r="AO182" s="215">
        <f t="shared" si="1203"/>
        <v>-161.53258000000002</v>
      </c>
      <c r="AP182" s="215">
        <f t="shared" si="1203"/>
        <v>-152.23414</v>
      </c>
      <c r="AQ182" s="215">
        <f t="shared" si="1203"/>
        <v>-132.09123000000002</v>
      </c>
      <c r="AR182" s="215">
        <f t="shared" ref="AR182:BS182" si="1204">+-AR148</f>
        <v>-146.26062999999999</v>
      </c>
      <c r="AS182" s="215">
        <f t="shared" si="1204"/>
        <v>-141.18404000000001</v>
      </c>
      <c r="AT182" s="215">
        <f t="shared" si="1204"/>
        <v>-144.95245</v>
      </c>
      <c r="AU182" s="215">
        <f t="shared" si="1204"/>
        <v>-139.98539000000002</v>
      </c>
      <c r="AV182" s="215">
        <f t="shared" si="1204"/>
        <v>-143.52170999999998</v>
      </c>
      <c r="AW182" s="215">
        <f t="shared" si="1204"/>
        <v>-142.16876999999999</v>
      </c>
      <c r="AX182" s="215">
        <f t="shared" si="1204"/>
        <v>-135.25839999999999</v>
      </c>
      <c r="AY182" s="215">
        <f t="shared" si="1204"/>
        <v>-136.60156000000001</v>
      </c>
      <c r="AZ182" s="215">
        <f t="shared" si="1204"/>
        <v>-130.12090000000001</v>
      </c>
      <c r="BA182" s="215">
        <f t="shared" si="1204"/>
        <v>-131.68058000000002</v>
      </c>
      <c r="BB182" s="215">
        <f t="shared" si="1204"/>
        <v>-131.19252</v>
      </c>
      <c r="BC182" s="215">
        <f t="shared" si="1204"/>
        <v>-121.62235000000001</v>
      </c>
      <c r="BD182" s="215">
        <f t="shared" si="1204"/>
        <v>-129.67227</v>
      </c>
      <c r="BE182" s="215">
        <f t="shared" si="1204"/>
        <v>-108.16163</v>
      </c>
      <c r="BF182" s="215">
        <f t="shared" si="1204"/>
        <v>-113.81280000000001</v>
      </c>
      <c r="BG182" s="215">
        <f t="shared" si="1204"/>
        <v>-104.43817999999999</v>
      </c>
      <c r="BH182" s="215">
        <f t="shared" si="1204"/>
        <v>-107.91946</v>
      </c>
      <c r="BI182" s="215">
        <f t="shared" si="1204"/>
        <v>-107.91946</v>
      </c>
      <c r="BJ182" s="215">
        <f t="shared" si="1204"/>
        <v>-104.43817999999999</v>
      </c>
      <c r="BK182" s="215">
        <f t="shared" si="1204"/>
        <v>-107.91946</v>
      </c>
      <c r="BL182" s="215">
        <f t="shared" si="1204"/>
        <v>-104.43817999999999</v>
      </c>
      <c r="BM182" s="215">
        <f t="shared" si="1204"/>
        <v>-107.91946</v>
      </c>
      <c r="BN182" s="215">
        <f t="shared" si="1204"/>
        <v>-107.91945</v>
      </c>
      <c r="BO182" s="215">
        <f t="shared" si="1204"/>
        <v>-97.47563000000001</v>
      </c>
      <c r="BP182" s="215">
        <f t="shared" si="1204"/>
        <v>-107.91945</v>
      </c>
      <c r="BQ182" s="215">
        <f t="shared" si="1204"/>
        <v>-104.43817999999999</v>
      </c>
      <c r="BR182" s="215">
        <f t="shared" si="1204"/>
        <v>-107.91946</v>
      </c>
      <c r="BS182" s="215">
        <f t="shared" si="1204"/>
        <v>-107.63529</v>
      </c>
      <c r="BT182" s="215">
        <v>0</v>
      </c>
      <c r="BU182" s="215">
        <v>0</v>
      </c>
      <c r="BV182" s="215">
        <v>0</v>
      </c>
      <c r="BW182" s="215">
        <v>0</v>
      </c>
      <c r="BX182" s="215">
        <v>0</v>
      </c>
      <c r="BY182" s="215">
        <v>0</v>
      </c>
      <c r="BZ182" s="215">
        <v>0</v>
      </c>
      <c r="CA182" s="215">
        <v>0</v>
      </c>
      <c r="CB182" s="215">
        <v>0</v>
      </c>
      <c r="CC182" s="215">
        <v>0</v>
      </c>
      <c r="CD182" s="215">
        <v>0</v>
      </c>
      <c r="CE182" s="215">
        <v>0</v>
      </c>
      <c r="CF182" s="215">
        <v>0</v>
      </c>
      <c r="CG182" s="215">
        <v>0</v>
      </c>
      <c r="CH182" s="215">
        <v>0</v>
      </c>
      <c r="CI182" s="215">
        <v>0</v>
      </c>
      <c r="CJ182" s="215">
        <v>0</v>
      </c>
      <c r="CK182" s="215">
        <v>0</v>
      </c>
      <c r="CL182" s="215">
        <f t="shared" ref="CL182:DQ182" ca="1" si="1205">+-CL148</f>
        <v>0</v>
      </c>
      <c r="CM182" s="215">
        <f t="shared" ca="1" si="1205"/>
        <v>0</v>
      </c>
      <c r="CN182" s="215">
        <f t="shared" ca="1" si="1205"/>
        <v>0</v>
      </c>
      <c r="CO182" s="215">
        <f t="shared" ca="1" si="1205"/>
        <v>0</v>
      </c>
      <c r="CP182" s="215">
        <f t="shared" ca="1" si="1205"/>
        <v>0</v>
      </c>
      <c r="CQ182" s="215">
        <f t="shared" ca="1" si="1205"/>
        <v>0</v>
      </c>
      <c r="CR182" s="215">
        <f t="shared" ca="1" si="1205"/>
        <v>0</v>
      </c>
      <c r="CS182" s="215">
        <f t="shared" ca="1" si="1205"/>
        <v>0</v>
      </c>
      <c r="CT182" s="215">
        <f t="shared" ca="1" si="1205"/>
        <v>0</v>
      </c>
      <c r="CU182" s="215">
        <f t="shared" ca="1" si="1205"/>
        <v>0</v>
      </c>
      <c r="CV182" s="215">
        <f t="shared" ca="1" si="1205"/>
        <v>0</v>
      </c>
      <c r="CW182" s="215">
        <f t="shared" ca="1" si="1205"/>
        <v>0</v>
      </c>
      <c r="CX182" s="215">
        <f t="shared" ca="1" si="1205"/>
        <v>0</v>
      </c>
      <c r="CY182" s="215">
        <f t="shared" ca="1" si="1205"/>
        <v>0</v>
      </c>
      <c r="CZ182" s="215">
        <f t="shared" ca="1" si="1205"/>
        <v>0</v>
      </c>
      <c r="DA182" s="215">
        <f t="shared" ca="1" si="1205"/>
        <v>0</v>
      </c>
      <c r="DB182" s="215">
        <f t="shared" ca="1" si="1205"/>
        <v>0</v>
      </c>
      <c r="DC182" s="215">
        <f t="shared" ca="1" si="1205"/>
        <v>0</v>
      </c>
      <c r="DD182" s="215">
        <f t="shared" ca="1" si="1205"/>
        <v>0</v>
      </c>
      <c r="DE182" s="215">
        <f t="shared" ca="1" si="1205"/>
        <v>0</v>
      </c>
      <c r="DF182" s="215">
        <f t="shared" ca="1" si="1205"/>
        <v>0</v>
      </c>
      <c r="DG182" s="215">
        <f t="shared" ca="1" si="1205"/>
        <v>0</v>
      </c>
      <c r="DH182" s="215">
        <f t="shared" ca="1" si="1205"/>
        <v>0</v>
      </c>
      <c r="DI182" s="215">
        <f t="shared" ca="1" si="1205"/>
        <v>0</v>
      </c>
      <c r="DJ182" s="215">
        <f t="shared" si="1205"/>
        <v>0</v>
      </c>
      <c r="DK182" s="215">
        <f t="shared" si="1205"/>
        <v>0</v>
      </c>
      <c r="DL182" s="215">
        <f t="shared" si="1205"/>
        <v>0</v>
      </c>
      <c r="DM182" s="215">
        <f t="shared" si="1205"/>
        <v>0</v>
      </c>
      <c r="DN182" s="215">
        <f t="shared" si="1205"/>
        <v>0</v>
      </c>
      <c r="DO182" s="215">
        <f t="shared" si="1205"/>
        <v>0</v>
      </c>
      <c r="DP182" s="215">
        <f t="shared" si="1205"/>
        <v>0</v>
      </c>
      <c r="DQ182" s="215">
        <f t="shared" si="1205"/>
        <v>0</v>
      </c>
      <c r="DR182" s="215">
        <f t="shared" ref="DR182:EW182" si="1206">+-DR148</f>
        <v>0</v>
      </c>
      <c r="DS182" s="215">
        <f t="shared" si="1206"/>
        <v>0</v>
      </c>
      <c r="DT182" s="215">
        <f t="shared" si="1206"/>
        <v>0</v>
      </c>
      <c r="DU182" s="215">
        <f t="shared" si="1206"/>
        <v>0</v>
      </c>
      <c r="DV182" s="215">
        <f t="shared" si="1206"/>
        <v>0</v>
      </c>
      <c r="DW182" s="215">
        <f t="shared" si="1206"/>
        <v>0</v>
      </c>
      <c r="DX182" s="215">
        <f t="shared" si="1206"/>
        <v>0</v>
      </c>
      <c r="DY182" s="215">
        <f t="shared" si="1206"/>
        <v>0</v>
      </c>
      <c r="DZ182" s="215">
        <f t="shared" si="1206"/>
        <v>0</v>
      </c>
      <c r="EA182" s="215">
        <f t="shared" si="1206"/>
        <v>0</v>
      </c>
      <c r="EB182" s="215">
        <f t="shared" si="1206"/>
        <v>0</v>
      </c>
      <c r="EC182" s="215">
        <f t="shared" si="1206"/>
        <v>0</v>
      </c>
      <c r="ED182" s="215">
        <f t="shared" si="1206"/>
        <v>0</v>
      </c>
      <c r="EE182" s="215">
        <f t="shared" si="1206"/>
        <v>0</v>
      </c>
      <c r="EF182" s="215">
        <f t="shared" si="1206"/>
        <v>0</v>
      </c>
      <c r="EG182" s="215">
        <f t="shared" si="1206"/>
        <v>0</v>
      </c>
      <c r="EH182" s="215">
        <f t="shared" si="1206"/>
        <v>0</v>
      </c>
      <c r="EI182" s="215">
        <f t="shared" si="1206"/>
        <v>0</v>
      </c>
      <c r="EJ182" s="215">
        <f t="shared" si="1206"/>
        <v>0</v>
      </c>
      <c r="EK182" s="215">
        <f t="shared" si="1206"/>
        <v>0</v>
      </c>
      <c r="EL182" s="215">
        <f t="shared" si="1206"/>
        <v>0</v>
      </c>
      <c r="EM182" s="215">
        <f t="shared" si="1206"/>
        <v>0</v>
      </c>
      <c r="EN182" s="215">
        <f t="shared" si="1206"/>
        <v>0</v>
      </c>
      <c r="EO182" s="215">
        <f t="shared" si="1206"/>
        <v>0</v>
      </c>
      <c r="EP182" s="215">
        <f t="shared" si="1206"/>
        <v>0</v>
      </c>
      <c r="EQ182" s="215">
        <f t="shared" si="1206"/>
        <v>0</v>
      </c>
      <c r="ER182" s="215">
        <f t="shared" si="1206"/>
        <v>0</v>
      </c>
      <c r="ES182" s="215">
        <f t="shared" si="1206"/>
        <v>0</v>
      </c>
      <c r="ET182" s="215">
        <f t="shared" si="1206"/>
        <v>0</v>
      </c>
      <c r="EU182" s="215">
        <f t="shared" si="1206"/>
        <v>0</v>
      </c>
      <c r="EV182" s="215">
        <f t="shared" si="1206"/>
        <v>0</v>
      </c>
      <c r="EW182" s="215">
        <f t="shared" si="1206"/>
        <v>0</v>
      </c>
      <c r="EX182" s="215">
        <f t="shared" ref="EX182:GC182" si="1207">+-EX148</f>
        <v>0</v>
      </c>
      <c r="EY182" s="215">
        <f t="shared" si="1207"/>
        <v>0</v>
      </c>
      <c r="EZ182" s="215">
        <f t="shared" si="1207"/>
        <v>0</v>
      </c>
      <c r="FA182" s="215">
        <f t="shared" si="1207"/>
        <v>0</v>
      </c>
      <c r="FB182" s="215">
        <f t="shared" si="1207"/>
        <v>0</v>
      </c>
      <c r="FC182" s="215">
        <f t="shared" si="1207"/>
        <v>0</v>
      </c>
      <c r="FD182" s="215">
        <f t="shared" si="1207"/>
        <v>0</v>
      </c>
      <c r="FE182" s="215">
        <f t="shared" si="1207"/>
        <v>0</v>
      </c>
      <c r="FF182" s="215">
        <f t="shared" si="1207"/>
        <v>0</v>
      </c>
      <c r="FG182" s="215">
        <f t="shared" si="1207"/>
        <v>0</v>
      </c>
      <c r="FH182" s="215">
        <f t="shared" si="1207"/>
        <v>0</v>
      </c>
      <c r="FI182" s="215">
        <f t="shared" si="1207"/>
        <v>0</v>
      </c>
      <c r="FJ182" s="215">
        <f t="shared" si="1207"/>
        <v>0</v>
      </c>
      <c r="FK182" s="215">
        <f t="shared" si="1207"/>
        <v>0</v>
      </c>
      <c r="FL182" s="215">
        <f t="shared" si="1207"/>
        <v>0</v>
      </c>
      <c r="FM182" s="215">
        <f t="shared" si="1207"/>
        <v>0</v>
      </c>
      <c r="FN182" s="215">
        <f t="shared" si="1207"/>
        <v>0</v>
      </c>
      <c r="FO182" s="215">
        <f t="shared" si="1207"/>
        <v>0</v>
      </c>
      <c r="FP182" s="215">
        <f t="shared" si="1207"/>
        <v>0</v>
      </c>
      <c r="FQ182" s="215">
        <f t="shared" si="1207"/>
        <v>0</v>
      </c>
      <c r="FR182" s="215">
        <f t="shared" si="1207"/>
        <v>0</v>
      </c>
      <c r="FS182" s="215">
        <f t="shared" si="1207"/>
        <v>0</v>
      </c>
      <c r="FT182" s="215">
        <f t="shared" si="1207"/>
        <v>0</v>
      </c>
      <c r="FU182" s="215">
        <f t="shared" si="1207"/>
        <v>0</v>
      </c>
      <c r="FV182" s="215">
        <f t="shared" si="1207"/>
        <v>0</v>
      </c>
      <c r="FW182" s="215">
        <f t="shared" si="1207"/>
        <v>0</v>
      </c>
      <c r="FX182" s="215">
        <f t="shared" si="1207"/>
        <v>0</v>
      </c>
      <c r="FY182" s="215">
        <f t="shared" si="1207"/>
        <v>0</v>
      </c>
      <c r="FZ182" s="215">
        <f t="shared" si="1207"/>
        <v>0</v>
      </c>
      <c r="GA182" s="215">
        <f t="shared" si="1207"/>
        <v>0</v>
      </c>
      <c r="GB182" s="215">
        <f t="shared" si="1207"/>
        <v>0</v>
      </c>
      <c r="GC182" s="215">
        <f t="shared" si="1207"/>
        <v>0</v>
      </c>
      <c r="GD182" s="215">
        <f t="shared" ref="GD182:HE182" si="1208">+-GD148</f>
        <v>0</v>
      </c>
      <c r="GE182" s="215">
        <f t="shared" si="1208"/>
        <v>0</v>
      </c>
      <c r="GF182" s="215">
        <f t="shared" si="1208"/>
        <v>0</v>
      </c>
      <c r="GG182" s="215">
        <f t="shared" si="1208"/>
        <v>0</v>
      </c>
      <c r="GH182" s="215">
        <f t="shared" si="1208"/>
        <v>0</v>
      </c>
      <c r="GI182" s="215">
        <f t="shared" si="1208"/>
        <v>0</v>
      </c>
      <c r="GJ182" s="215">
        <f t="shared" si="1208"/>
        <v>0</v>
      </c>
      <c r="GK182" s="215">
        <f t="shared" si="1208"/>
        <v>0</v>
      </c>
      <c r="GL182" s="215">
        <f t="shared" si="1208"/>
        <v>0</v>
      </c>
      <c r="GM182" s="215">
        <f t="shared" si="1208"/>
        <v>0</v>
      </c>
      <c r="GN182" s="215">
        <f t="shared" si="1208"/>
        <v>0</v>
      </c>
      <c r="GO182" s="215">
        <f t="shared" si="1208"/>
        <v>0</v>
      </c>
      <c r="GP182" s="215">
        <f t="shared" si="1208"/>
        <v>0</v>
      </c>
      <c r="GQ182" s="215">
        <f t="shared" si="1208"/>
        <v>0</v>
      </c>
      <c r="GR182" s="215">
        <f t="shared" si="1208"/>
        <v>0</v>
      </c>
      <c r="GS182" s="215">
        <f t="shared" si="1208"/>
        <v>0</v>
      </c>
      <c r="GT182" s="215">
        <f t="shared" si="1208"/>
        <v>0</v>
      </c>
      <c r="GU182" s="215">
        <f t="shared" si="1208"/>
        <v>0</v>
      </c>
      <c r="GV182" s="215">
        <f t="shared" si="1208"/>
        <v>0</v>
      </c>
      <c r="GW182" s="215">
        <f t="shared" si="1208"/>
        <v>0</v>
      </c>
      <c r="GX182" s="215">
        <f t="shared" si="1208"/>
        <v>0</v>
      </c>
      <c r="GY182" s="215">
        <f t="shared" si="1208"/>
        <v>0</v>
      </c>
      <c r="GZ182" s="215">
        <f t="shared" si="1208"/>
        <v>0</v>
      </c>
      <c r="HA182" s="215">
        <f t="shared" si="1208"/>
        <v>0</v>
      </c>
      <c r="HB182" s="215">
        <f t="shared" si="1208"/>
        <v>0</v>
      </c>
      <c r="HC182" s="215">
        <f t="shared" si="1208"/>
        <v>0</v>
      </c>
      <c r="HD182" s="215">
        <f t="shared" si="1208"/>
        <v>0</v>
      </c>
      <c r="HE182" s="215">
        <f t="shared" si="1208"/>
        <v>0</v>
      </c>
      <c r="HF182" s="1" t="s">
        <v>212</v>
      </c>
      <c r="HH182" s="50" t="str">
        <f t="shared" si="1174"/>
        <v xml:space="preserve">(-) Total Debt Service </v>
      </c>
      <c r="HI182" s="457"/>
      <c r="HJ182" s="457"/>
      <c r="HK182" s="457"/>
      <c r="HL182" s="456">
        <f t="shared" ca="1" si="1156"/>
        <v>-7149.8631599999999</v>
      </c>
      <c r="HM182" s="457"/>
      <c r="HN182" s="458">
        <f t="shared" si="1157"/>
        <v>0</v>
      </c>
      <c r="HO182" s="457">
        <f t="shared" si="1157"/>
        <v>-1191.4756</v>
      </c>
      <c r="HP182" s="457">
        <f t="shared" si="1157"/>
        <v>-1425.4418500000002</v>
      </c>
      <c r="HQ182" s="457">
        <f t="shared" si="1157"/>
        <v>-1730.8323800000003</v>
      </c>
      <c r="HR182" s="457">
        <f t="shared" si="1157"/>
        <v>-1528.2516700000001</v>
      </c>
      <c r="HS182" s="457">
        <f t="shared" si="1157"/>
        <v>-1273.8616599999998</v>
      </c>
      <c r="HT182" s="457">
        <f t="shared" si="1157"/>
        <v>0</v>
      </c>
      <c r="HU182" s="457">
        <f t="shared" ca="1" si="1157"/>
        <v>0</v>
      </c>
      <c r="HV182" s="457">
        <f t="shared" ca="1" si="1157"/>
        <v>0</v>
      </c>
      <c r="HW182" s="459"/>
    </row>
    <row r="183" spans="1:231" ht="15" outlineLevel="1">
      <c r="B183" s="430" t="str">
        <f>"(-) "&amp; B167</f>
        <v>(-) Total Debt Service (Re-Fi)</v>
      </c>
      <c r="C183" s="430"/>
      <c r="D183" s="430"/>
      <c r="E183" s="430"/>
      <c r="F183" s="430"/>
      <c r="G183" s="430"/>
      <c r="H183" s="430"/>
      <c r="I183" s="501">
        <f ca="1">SUMIF($K$13:$GT$13,"&lt;="&amp;Assumptions!$L$17,'Monthly Cash Flow'!K183:GT183)</f>
        <v>-5431.113393638143</v>
      </c>
      <c r="J183" s="215"/>
      <c r="K183" s="502">
        <f t="shared" ref="K183:AP183" si="1209">-K167</f>
        <v>0</v>
      </c>
      <c r="L183" s="215">
        <f t="shared" si="1209"/>
        <v>0</v>
      </c>
      <c r="M183" s="215">
        <f t="shared" si="1209"/>
        <v>0</v>
      </c>
      <c r="N183" s="215">
        <f t="shared" si="1209"/>
        <v>0</v>
      </c>
      <c r="O183" s="215">
        <f t="shared" si="1209"/>
        <v>0</v>
      </c>
      <c r="P183" s="215">
        <f t="shared" si="1209"/>
        <v>0</v>
      </c>
      <c r="Q183" s="215">
        <f t="shared" si="1209"/>
        <v>0</v>
      </c>
      <c r="R183" s="215">
        <f t="shared" si="1209"/>
        <v>0</v>
      </c>
      <c r="S183" s="215">
        <f t="shared" si="1209"/>
        <v>0</v>
      </c>
      <c r="T183" s="215">
        <f t="shared" si="1209"/>
        <v>0</v>
      </c>
      <c r="U183" s="215">
        <f t="shared" si="1209"/>
        <v>0</v>
      </c>
      <c r="V183" s="215">
        <f t="shared" si="1209"/>
        <v>0</v>
      </c>
      <c r="W183" s="215">
        <f t="shared" si="1209"/>
        <v>0</v>
      </c>
      <c r="X183" s="215">
        <f t="shared" si="1209"/>
        <v>0</v>
      </c>
      <c r="Y183" s="215">
        <f t="shared" si="1209"/>
        <v>0</v>
      </c>
      <c r="Z183" s="215">
        <f t="shared" si="1209"/>
        <v>0</v>
      </c>
      <c r="AA183" s="215">
        <f t="shared" si="1209"/>
        <v>0</v>
      </c>
      <c r="AB183" s="215">
        <f t="shared" si="1209"/>
        <v>0</v>
      </c>
      <c r="AC183" s="215">
        <f t="shared" si="1209"/>
        <v>0</v>
      </c>
      <c r="AD183" s="215">
        <f t="shared" si="1209"/>
        <v>0</v>
      </c>
      <c r="AE183" s="215">
        <f t="shared" si="1209"/>
        <v>0</v>
      </c>
      <c r="AF183" s="215">
        <f t="shared" si="1209"/>
        <v>0</v>
      </c>
      <c r="AG183" s="215">
        <f t="shared" si="1209"/>
        <v>0</v>
      </c>
      <c r="AH183" s="215">
        <f t="shared" si="1209"/>
        <v>0</v>
      </c>
      <c r="AI183" s="215">
        <f t="shared" si="1209"/>
        <v>0</v>
      </c>
      <c r="AJ183" s="215">
        <f t="shared" si="1209"/>
        <v>0</v>
      </c>
      <c r="AK183" s="215">
        <f t="shared" si="1209"/>
        <v>0</v>
      </c>
      <c r="AL183" s="215">
        <f t="shared" si="1209"/>
        <v>0</v>
      </c>
      <c r="AM183" s="215">
        <f t="shared" si="1209"/>
        <v>0</v>
      </c>
      <c r="AN183" s="215">
        <f t="shared" si="1209"/>
        <v>0</v>
      </c>
      <c r="AO183" s="215">
        <f t="shared" si="1209"/>
        <v>0</v>
      </c>
      <c r="AP183" s="215">
        <f t="shared" si="1209"/>
        <v>0</v>
      </c>
      <c r="AQ183" s="215">
        <f t="shared" ref="AQ183:BV183" si="1210">-AQ167</f>
        <v>0</v>
      </c>
      <c r="AR183" s="215">
        <f t="shared" si="1210"/>
        <v>0</v>
      </c>
      <c r="AS183" s="215">
        <f t="shared" si="1210"/>
        <v>0</v>
      </c>
      <c r="AT183" s="215">
        <f t="shared" si="1210"/>
        <v>0</v>
      </c>
      <c r="AU183" s="215">
        <f t="shared" si="1210"/>
        <v>0</v>
      </c>
      <c r="AV183" s="215">
        <f t="shared" si="1210"/>
        <v>0</v>
      </c>
      <c r="AW183" s="215">
        <f t="shared" si="1210"/>
        <v>0</v>
      </c>
      <c r="AX183" s="215">
        <f t="shared" si="1210"/>
        <v>0</v>
      </c>
      <c r="AY183" s="215">
        <f t="shared" si="1210"/>
        <v>0</v>
      </c>
      <c r="AZ183" s="215">
        <f t="shared" si="1210"/>
        <v>0</v>
      </c>
      <c r="BA183" s="215">
        <f t="shared" si="1210"/>
        <v>0</v>
      </c>
      <c r="BB183" s="215">
        <f t="shared" si="1210"/>
        <v>0</v>
      </c>
      <c r="BC183" s="215">
        <f t="shared" si="1210"/>
        <v>0</v>
      </c>
      <c r="BD183" s="215">
        <f t="shared" si="1210"/>
        <v>0</v>
      </c>
      <c r="BE183" s="215">
        <f t="shared" si="1210"/>
        <v>0</v>
      </c>
      <c r="BF183" s="215">
        <f t="shared" si="1210"/>
        <v>0</v>
      </c>
      <c r="BG183" s="215">
        <f t="shared" si="1210"/>
        <v>0</v>
      </c>
      <c r="BH183" s="215">
        <f t="shared" si="1210"/>
        <v>0</v>
      </c>
      <c r="BI183" s="215">
        <f t="shared" si="1210"/>
        <v>0</v>
      </c>
      <c r="BJ183" s="215">
        <f t="shared" si="1210"/>
        <v>0</v>
      </c>
      <c r="BK183" s="215">
        <f t="shared" si="1210"/>
        <v>0</v>
      </c>
      <c r="BL183" s="215">
        <f t="shared" si="1210"/>
        <v>0</v>
      </c>
      <c r="BM183" s="215">
        <f t="shared" si="1210"/>
        <v>0</v>
      </c>
      <c r="BN183" s="215">
        <f t="shared" si="1210"/>
        <v>0</v>
      </c>
      <c r="BO183" s="215">
        <f t="shared" si="1210"/>
        <v>0</v>
      </c>
      <c r="BP183" s="215">
        <f t="shared" si="1210"/>
        <v>0</v>
      </c>
      <c r="BQ183" s="215">
        <f t="shared" si="1210"/>
        <v>0</v>
      </c>
      <c r="BR183" s="215">
        <f t="shared" si="1210"/>
        <v>0</v>
      </c>
      <c r="BS183" s="215">
        <f t="shared" si="1210"/>
        <v>0</v>
      </c>
      <c r="BT183" s="215">
        <f t="shared" si="1210"/>
        <v>-99.109529999999992</v>
      </c>
      <c r="BU183" s="215">
        <f t="shared" si="1210"/>
        <v>-99.109520000000003</v>
      </c>
      <c r="BV183" s="215">
        <f t="shared" si="1210"/>
        <v>-95.912440000000004</v>
      </c>
      <c r="BW183" s="215">
        <f t="shared" ref="BW183:DB183" si="1211">-BW167</f>
        <v>-99.10951</v>
      </c>
      <c r="BX183" s="215">
        <f t="shared" si="1211"/>
        <v>-96.316159999999996</v>
      </c>
      <c r="BY183" s="215">
        <f t="shared" si="1211"/>
        <v>-100.07224000000001</v>
      </c>
      <c r="BZ183" s="215">
        <f t="shared" si="1211"/>
        <v>-100.07224000000001</v>
      </c>
      <c r="CA183" s="215">
        <f t="shared" si="1211"/>
        <v>-90.387830000000008</v>
      </c>
      <c r="CB183" s="215">
        <f t="shared" si="1211"/>
        <v>-101.28278999999999</v>
      </c>
      <c r="CC183" s="215">
        <f t="shared" si="1211"/>
        <v>-100.18088</v>
      </c>
      <c r="CD183" s="215">
        <f t="shared" si="1211"/>
        <v>-110.84980999999999</v>
      </c>
      <c r="CE183" s="215">
        <f t="shared" si="1211"/>
        <v>-108.56345</v>
      </c>
      <c r="CF183" s="215">
        <f t="shared" si="1211"/>
        <v>-133.17430999999999</v>
      </c>
      <c r="CG183" s="215">
        <f t="shared" si="1211"/>
        <v>-141.79045000000002</v>
      </c>
      <c r="CH183" s="215">
        <f t="shared" si="1211"/>
        <v>-112.83533</v>
      </c>
      <c r="CI183" s="215">
        <f t="shared" ca="1" si="1211"/>
        <v>-103.28730200935985</v>
      </c>
      <c r="CJ183" s="215">
        <f t="shared" ca="1" si="1211"/>
        <v>-121.23113973333334</v>
      </c>
      <c r="CK183" s="215">
        <f t="shared" ca="1" si="1211"/>
        <v>-125.27217772444443</v>
      </c>
      <c r="CL183" s="215">
        <f t="shared" ca="1" si="1211"/>
        <v>-125.27217772444443</v>
      </c>
      <c r="CM183" s="215">
        <f t="shared" ca="1" si="1211"/>
        <v>-113.14906375111111</v>
      </c>
      <c r="CN183" s="215">
        <f t="shared" ca="1" si="1211"/>
        <v>-125.64866096959435</v>
      </c>
      <c r="CO183" s="215">
        <f t="shared" ca="1" si="1211"/>
        <v>-121.95981698201059</v>
      </c>
      <c r="CP183" s="215">
        <f t="shared" ca="1" si="1211"/>
        <v>-126.40162745989417</v>
      </c>
      <c r="CQ183" s="215">
        <f t="shared" ca="1" si="1211"/>
        <v>-123.1840088973545</v>
      </c>
      <c r="CR183" s="215">
        <f t="shared" ca="1" si="1211"/>
        <v>-147.57470966046733</v>
      </c>
      <c r="CS183" s="215">
        <f t="shared" ca="1" si="1211"/>
        <v>-147.97019202378303</v>
      </c>
      <c r="CT183" s="215">
        <f t="shared" ca="1" si="1211"/>
        <v>-144.65023055740738</v>
      </c>
      <c r="CU183" s="215">
        <f t="shared" ca="1" si="1211"/>
        <v>-151.36256731549378</v>
      </c>
      <c r="CV183" s="215">
        <f t="shared" ca="1" si="1211"/>
        <v>-146.65120014999997</v>
      </c>
      <c r="CW183" s="215">
        <f t="shared" ca="1" si="1211"/>
        <v>-151.5395734883333</v>
      </c>
      <c r="CX183" s="215">
        <f t="shared" ca="1" si="1211"/>
        <v>-151.5395734883333</v>
      </c>
      <c r="CY183" s="215">
        <f t="shared" ca="1" si="1211"/>
        <v>-141.76282681166663</v>
      </c>
      <c r="CZ183" s="215">
        <f t="shared" ca="1" si="1211"/>
        <v>-152.65547067166662</v>
      </c>
      <c r="DA183" s="215">
        <f t="shared" ca="1" si="1211"/>
        <v>-147.73110064999995</v>
      </c>
      <c r="DB183" s="215">
        <f t="shared" ca="1" si="1211"/>
        <v>-153.63753844388884</v>
      </c>
      <c r="DC183" s="215">
        <f t="shared" ref="DC183:EH183" ca="1" si="1212">-DC167</f>
        <v>-155.96828731666662</v>
      </c>
      <c r="DD183" s="215">
        <f t="shared" ca="1" si="1212"/>
        <v>-162.39580104388884</v>
      </c>
      <c r="DE183" s="215">
        <f t="shared" ca="1" si="1212"/>
        <v>-162.39580104388884</v>
      </c>
      <c r="DF183" s="215">
        <f t="shared" ca="1" si="1212"/>
        <v>-157.15722681666662</v>
      </c>
      <c r="DG183" s="215">
        <f t="shared" ca="1" si="1212"/>
        <v>-162.39580104388884</v>
      </c>
      <c r="DH183" s="215">
        <f t="shared" ca="1" si="1212"/>
        <v>-157.15722681666662</v>
      </c>
      <c r="DI183" s="215">
        <f t="shared" ca="1" si="1212"/>
        <v>-162.39580104388884</v>
      </c>
      <c r="DJ183" s="215">
        <f t="shared" si="1212"/>
        <v>0</v>
      </c>
      <c r="DK183" s="215">
        <f t="shared" si="1212"/>
        <v>0</v>
      </c>
      <c r="DL183" s="215">
        <f t="shared" si="1212"/>
        <v>0</v>
      </c>
      <c r="DM183" s="215">
        <f t="shared" si="1212"/>
        <v>0</v>
      </c>
      <c r="DN183" s="215">
        <f t="shared" si="1212"/>
        <v>0</v>
      </c>
      <c r="DO183" s="215">
        <f t="shared" si="1212"/>
        <v>0</v>
      </c>
      <c r="DP183" s="215">
        <f t="shared" si="1212"/>
        <v>0</v>
      </c>
      <c r="DQ183" s="215">
        <f t="shared" si="1212"/>
        <v>0</v>
      </c>
      <c r="DR183" s="215">
        <f t="shared" si="1212"/>
        <v>0</v>
      </c>
      <c r="DS183" s="215">
        <f t="shared" si="1212"/>
        <v>0</v>
      </c>
      <c r="DT183" s="215">
        <f t="shared" si="1212"/>
        <v>0</v>
      </c>
      <c r="DU183" s="215">
        <f t="shared" si="1212"/>
        <v>0</v>
      </c>
      <c r="DV183" s="215">
        <f t="shared" si="1212"/>
        <v>0</v>
      </c>
      <c r="DW183" s="215">
        <f t="shared" si="1212"/>
        <v>0</v>
      </c>
      <c r="DX183" s="215">
        <f t="shared" si="1212"/>
        <v>0</v>
      </c>
      <c r="DY183" s="215">
        <f t="shared" si="1212"/>
        <v>0</v>
      </c>
      <c r="DZ183" s="215">
        <f t="shared" si="1212"/>
        <v>0</v>
      </c>
      <c r="EA183" s="215">
        <f t="shared" si="1212"/>
        <v>0</v>
      </c>
      <c r="EB183" s="215">
        <f t="shared" si="1212"/>
        <v>0</v>
      </c>
      <c r="EC183" s="215">
        <f t="shared" si="1212"/>
        <v>0</v>
      </c>
      <c r="ED183" s="215">
        <f t="shared" si="1212"/>
        <v>0</v>
      </c>
      <c r="EE183" s="215">
        <f t="shared" si="1212"/>
        <v>0</v>
      </c>
      <c r="EF183" s="215">
        <f t="shared" si="1212"/>
        <v>0</v>
      </c>
      <c r="EG183" s="215">
        <f t="shared" si="1212"/>
        <v>0</v>
      </c>
      <c r="EH183" s="215">
        <f t="shared" si="1212"/>
        <v>0</v>
      </c>
      <c r="EI183" s="215">
        <f t="shared" ref="EI183:FN183" si="1213">-EI167</f>
        <v>0</v>
      </c>
      <c r="EJ183" s="215">
        <f t="shared" si="1213"/>
        <v>0</v>
      </c>
      <c r="EK183" s="215">
        <f t="shared" si="1213"/>
        <v>0</v>
      </c>
      <c r="EL183" s="215">
        <f t="shared" si="1213"/>
        <v>0</v>
      </c>
      <c r="EM183" s="215">
        <f t="shared" si="1213"/>
        <v>0</v>
      </c>
      <c r="EN183" s="215">
        <f t="shared" si="1213"/>
        <v>0</v>
      </c>
      <c r="EO183" s="215">
        <f t="shared" si="1213"/>
        <v>0</v>
      </c>
      <c r="EP183" s="215">
        <f t="shared" si="1213"/>
        <v>0</v>
      </c>
      <c r="EQ183" s="215">
        <f t="shared" si="1213"/>
        <v>0</v>
      </c>
      <c r="ER183" s="215">
        <f t="shared" si="1213"/>
        <v>0</v>
      </c>
      <c r="ES183" s="215">
        <f t="shared" si="1213"/>
        <v>0</v>
      </c>
      <c r="ET183" s="215">
        <f t="shared" si="1213"/>
        <v>0</v>
      </c>
      <c r="EU183" s="215">
        <f t="shared" si="1213"/>
        <v>0</v>
      </c>
      <c r="EV183" s="215">
        <f t="shared" si="1213"/>
        <v>0</v>
      </c>
      <c r="EW183" s="215">
        <f t="shared" si="1213"/>
        <v>0</v>
      </c>
      <c r="EX183" s="215">
        <f t="shared" si="1213"/>
        <v>0</v>
      </c>
      <c r="EY183" s="215">
        <f t="shared" si="1213"/>
        <v>0</v>
      </c>
      <c r="EZ183" s="215">
        <f t="shared" si="1213"/>
        <v>0</v>
      </c>
      <c r="FA183" s="215">
        <f t="shared" si="1213"/>
        <v>0</v>
      </c>
      <c r="FB183" s="215">
        <f t="shared" si="1213"/>
        <v>0</v>
      </c>
      <c r="FC183" s="215">
        <f t="shared" si="1213"/>
        <v>0</v>
      </c>
      <c r="FD183" s="215">
        <f t="shared" si="1213"/>
        <v>0</v>
      </c>
      <c r="FE183" s="215">
        <f t="shared" si="1213"/>
        <v>0</v>
      </c>
      <c r="FF183" s="215">
        <f t="shared" si="1213"/>
        <v>0</v>
      </c>
      <c r="FG183" s="215">
        <f t="shared" si="1213"/>
        <v>0</v>
      </c>
      <c r="FH183" s="215">
        <f t="shared" si="1213"/>
        <v>0</v>
      </c>
      <c r="FI183" s="215">
        <f t="shared" si="1213"/>
        <v>0</v>
      </c>
      <c r="FJ183" s="215">
        <f t="shared" si="1213"/>
        <v>0</v>
      </c>
      <c r="FK183" s="215">
        <f t="shared" si="1213"/>
        <v>0</v>
      </c>
      <c r="FL183" s="215">
        <f t="shared" si="1213"/>
        <v>0</v>
      </c>
      <c r="FM183" s="215">
        <f t="shared" si="1213"/>
        <v>0</v>
      </c>
      <c r="FN183" s="215">
        <f t="shared" si="1213"/>
        <v>0</v>
      </c>
      <c r="FO183" s="215">
        <f t="shared" ref="FO183:GC183" si="1214">-FO167</f>
        <v>0</v>
      </c>
      <c r="FP183" s="215">
        <f t="shared" si="1214"/>
        <v>0</v>
      </c>
      <c r="FQ183" s="215">
        <f t="shared" si="1214"/>
        <v>0</v>
      </c>
      <c r="FR183" s="215">
        <f t="shared" si="1214"/>
        <v>0</v>
      </c>
      <c r="FS183" s="215">
        <f t="shared" si="1214"/>
        <v>0</v>
      </c>
      <c r="FT183" s="215">
        <f t="shared" si="1214"/>
        <v>0</v>
      </c>
      <c r="FU183" s="215">
        <f t="shared" si="1214"/>
        <v>0</v>
      </c>
      <c r="FV183" s="215">
        <f t="shared" si="1214"/>
        <v>0</v>
      </c>
      <c r="FW183" s="215">
        <f t="shared" si="1214"/>
        <v>0</v>
      </c>
      <c r="FX183" s="215">
        <f t="shared" si="1214"/>
        <v>0</v>
      </c>
      <c r="FY183" s="215">
        <f t="shared" si="1214"/>
        <v>0</v>
      </c>
      <c r="FZ183" s="215">
        <f t="shared" si="1214"/>
        <v>0</v>
      </c>
      <c r="GA183" s="215">
        <f t="shared" si="1214"/>
        <v>0</v>
      </c>
      <c r="GB183" s="215">
        <f t="shared" si="1214"/>
        <v>0</v>
      </c>
      <c r="GC183" s="215">
        <f t="shared" si="1214"/>
        <v>0</v>
      </c>
      <c r="GD183" s="215">
        <f t="shared" ref="GD183:HE183" si="1215">-GD167</f>
        <v>0</v>
      </c>
      <c r="GE183" s="215">
        <f t="shared" si="1215"/>
        <v>0</v>
      </c>
      <c r="GF183" s="215">
        <f t="shared" si="1215"/>
        <v>0</v>
      </c>
      <c r="GG183" s="215">
        <f t="shared" si="1215"/>
        <v>0</v>
      </c>
      <c r="GH183" s="215">
        <f t="shared" si="1215"/>
        <v>0</v>
      </c>
      <c r="GI183" s="215">
        <f t="shared" si="1215"/>
        <v>0</v>
      </c>
      <c r="GJ183" s="215">
        <f t="shared" si="1215"/>
        <v>0</v>
      </c>
      <c r="GK183" s="215">
        <f t="shared" si="1215"/>
        <v>0</v>
      </c>
      <c r="GL183" s="215">
        <f t="shared" si="1215"/>
        <v>0</v>
      </c>
      <c r="GM183" s="215">
        <f t="shared" si="1215"/>
        <v>0</v>
      </c>
      <c r="GN183" s="215">
        <f t="shared" si="1215"/>
        <v>0</v>
      </c>
      <c r="GO183" s="215">
        <f t="shared" si="1215"/>
        <v>0</v>
      </c>
      <c r="GP183" s="215">
        <f t="shared" si="1215"/>
        <v>0</v>
      </c>
      <c r="GQ183" s="215">
        <f t="shared" si="1215"/>
        <v>0</v>
      </c>
      <c r="GR183" s="215">
        <f t="shared" si="1215"/>
        <v>0</v>
      </c>
      <c r="GS183" s="215">
        <f t="shared" si="1215"/>
        <v>0</v>
      </c>
      <c r="GT183" s="215">
        <f t="shared" si="1215"/>
        <v>0</v>
      </c>
      <c r="GU183" s="215">
        <f t="shared" si="1215"/>
        <v>0</v>
      </c>
      <c r="GV183" s="215">
        <f t="shared" si="1215"/>
        <v>0</v>
      </c>
      <c r="GW183" s="215">
        <f t="shared" si="1215"/>
        <v>0</v>
      </c>
      <c r="GX183" s="215">
        <f t="shared" si="1215"/>
        <v>0</v>
      </c>
      <c r="GY183" s="215">
        <f t="shared" si="1215"/>
        <v>0</v>
      </c>
      <c r="GZ183" s="215">
        <f t="shared" si="1215"/>
        <v>0</v>
      </c>
      <c r="HA183" s="215">
        <f t="shared" si="1215"/>
        <v>0</v>
      </c>
      <c r="HB183" s="215">
        <f t="shared" si="1215"/>
        <v>0</v>
      </c>
      <c r="HC183" s="215">
        <f t="shared" si="1215"/>
        <v>0</v>
      </c>
      <c r="HD183" s="215">
        <f t="shared" si="1215"/>
        <v>0</v>
      </c>
      <c r="HE183" s="215">
        <f t="shared" si="1215"/>
        <v>0</v>
      </c>
      <c r="HF183" s="1" t="s">
        <v>212</v>
      </c>
      <c r="HH183" s="1" t="str">
        <f t="shared" si="1174"/>
        <v>(-) Total Debt Service (Re-Fi)</v>
      </c>
      <c r="HI183" s="26"/>
      <c r="HJ183" s="26"/>
      <c r="HK183" s="26"/>
      <c r="HL183" s="132">
        <f t="shared" ca="1" si="1156"/>
        <v>-4467.2157358292534</v>
      </c>
      <c r="HM183" s="26"/>
      <c r="HN183" s="133">
        <f t="shared" si="1157"/>
        <v>0</v>
      </c>
      <c r="HO183" s="26">
        <f t="shared" si="1157"/>
        <v>0</v>
      </c>
      <c r="HP183" s="26">
        <f t="shared" si="1157"/>
        <v>0</v>
      </c>
      <c r="HQ183" s="26">
        <f t="shared" si="1157"/>
        <v>0</v>
      </c>
      <c r="HR183" s="26">
        <f t="shared" si="1157"/>
        <v>0</v>
      </c>
      <c r="HS183" s="26">
        <f t="shared" si="1157"/>
        <v>0</v>
      </c>
      <c r="HT183" s="26">
        <f t="shared" si="1157"/>
        <v>-1200.9664</v>
      </c>
      <c r="HU183" s="26">
        <f t="shared" ca="1" si="1157"/>
        <v>-1473.2060652515468</v>
      </c>
      <c r="HV183" s="26">
        <f t="shared" ca="1" si="1157"/>
        <v>-1793.0432705777066</v>
      </c>
      <c r="HW183"/>
    </row>
    <row r="184" spans="1:231" ht="15">
      <c r="B184" s="430" t="str">
        <f>"(-) "&amp;B107</f>
        <v>(-) Loan Fees</v>
      </c>
      <c r="C184" s="430"/>
      <c r="D184" s="430"/>
      <c r="E184" s="430"/>
      <c r="F184" s="430"/>
      <c r="G184" s="430"/>
      <c r="H184" s="430"/>
      <c r="I184" s="501">
        <f ca="1">SUMIF($K$13:$GT$13,"&lt;="&amp;Assumptions!$L$17,'Monthly Cash Flow'!K184:GT184)</f>
        <v>-1234.20794</v>
      </c>
      <c r="J184" s="215"/>
      <c r="K184" s="502">
        <f t="shared" ref="K184:BV184" si="1216">-K107-K110-K108</f>
        <v>-570</v>
      </c>
      <c r="L184" s="215">
        <f t="shared" si="1216"/>
        <v>0</v>
      </c>
      <c r="M184" s="215">
        <f t="shared" si="1216"/>
        <v>0</v>
      </c>
      <c r="N184" s="215">
        <f t="shared" si="1216"/>
        <v>0</v>
      </c>
      <c r="O184" s="215">
        <f t="shared" si="1216"/>
        <v>0</v>
      </c>
      <c r="P184" s="215">
        <f t="shared" si="1216"/>
        <v>0</v>
      </c>
      <c r="Q184" s="215">
        <f t="shared" si="1216"/>
        <v>0</v>
      </c>
      <c r="R184" s="215">
        <f t="shared" si="1216"/>
        <v>0</v>
      </c>
      <c r="S184" s="215">
        <f t="shared" si="1216"/>
        <v>0</v>
      </c>
      <c r="T184" s="215">
        <f t="shared" si="1216"/>
        <v>0</v>
      </c>
      <c r="U184" s="215">
        <f t="shared" si="1216"/>
        <v>0</v>
      </c>
      <c r="V184" s="215">
        <f t="shared" si="1216"/>
        <v>0</v>
      </c>
      <c r="W184" s="215">
        <f t="shared" si="1216"/>
        <v>0</v>
      </c>
      <c r="X184" s="215">
        <f t="shared" si="1216"/>
        <v>0</v>
      </c>
      <c r="Y184" s="215">
        <f t="shared" si="1216"/>
        <v>0</v>
      </c>
      <c r="Z184" s="215">
        <f t="shared" si="1216"/>
        <v>0</v>
      </c>
      <c r="AA184" s="215">
        <f t="shared" si="1216"/>
        <v>0</v>
      </c>
      <c r="AB184" s="215">
        <f t="shared" si="1216"/>
        <v>0</v>
      </c>
      <c r="AC184" s="215">
        <f t="shared" si="1216"/>
        <v>0</v>
      </c>
      <c r="AD184" s="215">
        <f t="shared" si="1216"/>
        <v>0</v>
      </c>
      <c r="AE184" s="215">
        <f t="shared" si="1216"/>
        <v>0</v>
      </c>
      <c r="AF184" s="215">
        <f t="shared" si="1216"/>
        <v>0</v>
      </c>
      <c r="AG184" s="215">
        <f t="shared" si="1216"/>
        <v>0</v>
      </c>
      <c r="AH184" s="215">
        <f t="shared" si="1216"/>
        <v>0</v>
      </c>
      <c r="AI184" s="215">
        <f t="shared" si="1216"/>
        <v>0</v>
      </c>
      <c r="AJ184" s="215">
        <f t="shared" si="1216"/>
        <v>0</v>
      </c>
      <c r="AK184" s="215">
        <f t="shared" si="1216"/>
        <v>0</v>
      </c>
      <c r="AL184" s="215">
        <f t="shared" si="1216"/>
        <v>0</v>
      </c>
      <c r="AM184" s="215">
        <f t="shared" si="1216"/>
        <v>0</v>
      </c>
      <c r="AN184" s="215">
        <f t="shared" si="1216"/>
        <v>0</v>
      </c>
      <c r="AO184" s="215">
        <f t="shared" si="1216"/>
        <v>0</v>
      </c>
      <c r="AP184" s="215">
        <f t="shared" si="1216"/>
        <v>0</v>
      </c>
      <c r="AQ184" s="215">
        <f t="shared" si="1216"/>
        <v>0</v>
      </c>
      <c r="AR184" s="215">
        <f t="shared" si="1216"/>
        <v>0</v>
      </c>
      <c r="AS184" s="215">
        <f t="shared" si="1216"/>
        <v>0</v>
      </c>
      <c r="AT184" s="215">
        <f t="shared" si="1216"/>
        <v>0</v>
      </c>
      <c r="AU184" s="215">
        <f t="shared" si="1216"/>
        <v>0</v>
      </c>
      <c r="AV184" s="215">
        <f t="shared" si="1216"/>
        <v>0</v>
      </c>
      <c r="AW184" s="215">
        <f t="shared" si="1216"/>
        <v>0</v>
      </c>
      <c r="AX184" s="215">
        <f t="shared" si="1216"/>
        <v>0</v>
      </c>
      <c r="AY184" s="215">
        <f t="shared" si="1216"/>
        <v>0</v>
      </c>
      <c r="AZ184" s="215">
        <f t="shared" si="1216"/>
        <v>0</v>
      </c>
      <c r="BA184" s="215">
        <f t="shared" si="1216"/>
        <v>0</v>
      </c>
      <c r="BB184" s="215">
        <f t="shared" si="1216"/>
        <v>0</v>
      </c>
      <c r="BC184" s="215">
        <f t="shared" si="1216"/>
        <v>0</v>
      </c>
      <c r="BD184" s="215">
        <f t="shared" si="1216"/>
        <v>0</v>
      </c>
      <c r="BE184" s="215">
        <f t="shared" si="1216"/>
        <v>0</v>
      </c>
      <c r="BF184" s="215">
        <f t="shared" si="1216"/>
        <v>0</v>
      </c>
      <c r="BG184" s="215">
        <f t="shared" si="1216"/>
        <v>-108.97897</v>
      </c>
      <c r="BH184" s="215">
        <f t="shared" si="1216"/>
        <v>0</v>
      </c>
      <c r="BI184" s="215">
        <f t="shared" si="1216"/>
        <v>0</v>
      </c>
      <c r="BJ184" s="215">
        <f t="shared" si="1216"/>
        <v>0</v>
      </c>
      <c r="BK184" s="215">
        <f t="shared" si="1216"/>
        <v>0</v>
      </c>
      <c r="BL184" s="215">
        <f t="shared" si="1216"/>
        <v>0</v>
      </c>
      <c r="BM184" s="215">
        <f t="shared" ca="1" si="1216"/>
        <v>0</v>
      </c>
      <c r="BN184" s="215">
        <f t="shared" ca="1" si="1216"/>
        <v>0</v>
      </c>
      <c r="BO184" s="215">
        <f t="shared" ca="1" si="1216"/>
        <v>0</v>
      </c>
      <c r="BP184" s="215">
        <f t="shared" ca="1" si="1216"/>
        <v>0</v>
      </c>
      <c r="BQ184" s="215">
        <f t="shared" ca="1" si="1216"/>
        <v>0</v>
      </c>
      <c r="BR184" s="215">
        <f t="shared" ca="1" si="1216"/>
        <v>0</v>
      </c>
      <c r="BS184" s="215">
        <f t="shared" si="1216"/>
        <v>-555.22897</v>
      </c>
      <c r="BT184" s="215">
        <f t="shared" si="1216"/>
        <v>0</v>
      </c>
      <c r="BU184" s="215">
        <f t="shared" si="1216"/>
        <v>0</v>
      </c>
      <c r="BV184" s="215">
        <f t="shared" si="1216"/>
        <v>0</v>
      </c>
      <c r="BW184" s="215">
        <f t="shared" ref="BW184:EH184" si="1217">-BW107-BW110-BW108</f>
        <v>0</v>
      </c>
      <c r="BX184" s="215">
        <f t="shared" si="1217"/>
        <v>0</v>
      </c>
      <c r="BY184" s="215">
        <f t="shared" si="1217"/>
        <v>0</v>
      </c>
      <c r="BZ184" s="215">
        <f t="shared" si="1217"/>
        <v>0</v>
      </c>
      <c r="CA184" s="215">
        <f t="shared" si="1217"/>
        <v>0</v>
      </c>
      <c r="CB184" s="215">
        <f t="shared" si="1217"/>
        <v>0</v>
      </c>
      <c r="CC184" s="215">
        <f t="shared" si="1217"/>
        <v>0</v>
      </c>
      <c r="CD184" s="215">
        <f t="shared" si="1217"/>
        <v>0</v>
      </c>
      <c r="CE184" s="215">
        <f t="shared" si="1217"/>
        <v>0</v>
      </c>
      <c r="CF184" s="215">
        <f t="shared" si="1217"/>
        <v>0</v>
      </c>
      <c r="CG184" s="215">
        <f t="shared" si="1217"/>
        <v>0</v>
      </c>
      <c r="CH184" s="215">
        <f t="shared" si="1217"/>
        <v>0</v>
      </c>
      <c r="CI184" s="215">
        <f t="shared" si="1217"/>
        <v>0</v>
      </c>
      <c r="CJ184" s="215">
        <f t="shared" si="1217"/>
        <v>0</v>
      </c>
      <c r="CK184" s="215">
        <f t="shared" si="1217"/>
        <v>0</v>
      </c>
      <c r="CL184" s="215">
        <f t="shared" si="1217"/>
        <v>0</v>
      </c>
      <c r="CM184" s="215">
        <f t="shared" si="1217"/>
        <v>0</v>
      </c>
      <c r="CN184" s="215">
        <f t="shared" si="1217"/>
        <v>0</v>
      </c>
      <c r="CO184" s="215">
        <f t="shared" si="1217"/>
        <v>0</v>
      </c>
      <c r="CP184" s="215">
        <f t="shared" si="1217"/>
        <v>0</v>
      </c>
      <c r="CQ184" s="215">
        <f t="shared" si="1217"/>
        <v>0</v>
      </c>
      <c r="CR184" s="215">
        <f t="shared" si="1217"/>
        <v>0</v>
      </c>
      <c r="CS184" s="215">
        <f t="shared" si="1217"/>
        <v>0</v>
      </c>
      <c r="CT184" s="215">
        <f t="shared" si="1217"/>
        <v>0</v>
      </c>
      <c r="CU184" s="215">
        <f t="shared" si="1217"/>
        <v>0</v>
      </c>
      <c r="CV184" s="215">
        <f t="shared" si="1217"/>
        <v>0</v>
      </c>
      <c r="CW184" s="215">
        <f t="shared" si="1217"/>
        <v>0</v>
      </c>
      <c r="CX184" s="215">
        <f t="shared" si="1217"/>
        <v>0</v>
      </c>
      <c r="CY184" s="215">
        <f t="shared" si="1217"/>
        <v>0</v>
      </c>
      <c r="CZ184" s="215">
        <f t="shared" si="1217"/>
        <v>0</v>
      </c>
      <c r="DA184" s="215">
        <f t="shared" si="1217"/>
        <v>0</v>
      </c>
      <c r="DB184" s="215">
        <f t="shared" si="1217"/>
        <v>0</v>
      </c>
      <c r="DC184" s="215">
        <f t="shared" si="1217"/>
        <v>0</v>
      </c>
      <c r="DD184" s="215">
        <f t="shared" si="1217"/>
        <v>0</v>
      </c>
      <c r="DE184" s="215">
        <f t="shared" si="1217"/>
        <v>0</v>
      </c>
      <c r="DF184" s="215">
        <f t="shared" si="1217"/>
        <v>0</v>
      </c>
      <c r="DG184" s="215">
        <f t="shared" si="1217"/>
        <v>0</v>
      </c>
      <c r="DH184" s="215">
        <f t="shared" si="1217"/>
        <v>0</v>
      </c>
      <c r="DI184" s="215">
        <f t="shared" si="1217"/>
        <v>0</v>
      </c>
      <c r="DJ184" s="215">
        <f t="shared" si="1217"/>
        <v>0</v>
      </c>
      <c r="DK184" s="215">
        <f t="shared" si="1217"/>
        <v>0</v>
      </c>
      <c r="DL184" s="215">
        <f t="shared" si="1217"/>
        <v>0</v>
      </c>
      <c r="DM184" s="215">
        <f t="shared" si="1217"/>
        <v>0</v>
      </c>
      <c r="DN184" s="215">
        <f t="shared" si="1217"/>
        <v>0</v>
      </c>
      <c r="DO184" s="215">
        <f t="shared" si="1217"/>
        <v>0</v>
      </c>
      <c r="DP184" s="215">
        <f t="shared" si="1217"/>
        <v>0</v>
      </c>
      <c r="DQ184" s="215">
        <f t="shared" si="1217"/>
        <v>0</v>
      </c>
      <c r="DR184" s="215">
        <f t="shared" si="1217"/>
        <v>0</v>
      </c>
      <c r="DS184" s="215">
        <f t="shared" si="1217"/>
        <v>0</v>
      </c>
      <c r="DT184" s="215">
        <f t="shared" si="1217"/>
        <v>0</v>
      </c>
      <c r="DU184" s="215">
        <f t="shared" si="1217"/>
        <v>0</v>
      </c>
      <c r="DV184" s="215">
        <f t="shared" si="1217"/>
        <v>0</v>
      </c>
      <c r="DW184" s="215">
        <f t="shared" si="1217"/>
        <v>0</v>
      </c>
      <c r="DX184" s="215">
        <f t="shared" si="1217"/>
        <v>0</v>
      </c>
      <c r="DY184" s="215">
        <f t="shared" si="1217"/>
        <v>0</v>
      </c>
      <c r="DZ184" s="215">
        <f t="shared" si="1217"/>
        <v>0</v>
      </c>
      <c r="EA184" s="215">
        <f t="shared" si="1217"/>
        <v>0</v>
      </c>
      <c r="EB184" s="215">
        <f t="shared" si="1217"/>
        <v>0</v>
      </c>
      <c r="EC184" s="215">
        <f t="shared" si="1217"/>
        <v>0</v>
      </c>
      <c r="ED184" s="215">
        <f t="shared" si="1217"/>
        <v>0</v>
      </c>
      <c r="EE184" s="215">
        <f t="shared" si="1217"/>
        <v>0</v>
      </c>
      <c r="EF184" s="215">
        <f t="shared" si="1217"/>
        <v>0</v>
      </c>
      <c r="EG184" s="215">
        <f t="shared" si="1217"/>
        <v>0</v>
      </c>
      <c r="EH184" s="215">
        <f t="shared" si="1217"/>
        <v>0</v>
      </c>
      <c r="EI184" s="215">
        <f t="shared" ref="EI184:GT184" si="1218">-EI107-EI110-EI108</f>
        <v>0</v>
      </c>
      <c r="EJ184" s="215">
        <f t="shared" si="1218"/>
        <v>0</v>
      </c>
      <c r="EK184" s="215">
        <f t="shared" si="1218"/>
        <v>0</v>
      </c>
      <c r="EL184" s="215">
        <f t="shared" si="1218"/>
        <v>0</v>
      </c>
      <c r="EM184" s="215">
        <f t="shared" si="1218"/>
        <v>0</v>
      </c>
      <c r="EN184" s="215">
        <f t="shared" si="1218"/>
        <v>0</v>
      </c>
      <c r="EO184" s="215">
        <f t="shared" si="1218"/>
        <v>0</v>
      </c>
      <c r="EP184" s="215">
        <f t="shared" si="1218"/>
        <v>0</v>
      </c>
      <c r="EQ184" s="215">
        <f t="shared" si="1218"/>
        <v>0</v>
      </c>
      <c r="ER184" s="215">
        <f t="shared" si="1218"/>
        <v>0</v>
      </c>
      <c r="ES184" s="215">
        <f t="shared" si="1218"/>
        <v>0</v>
      </c>
      <c r="ET184" s="215">
        <f t="shared" si="1218"/>
        <v>0</v>
      </c>
      <c r="EU184" s="215">
        <f t="shared" si="1218"/>
        <v>0</v>
      </c>
      <c r="EV184" s="215">
        <f t="shared" si="1218"/>
        <v>0</v>
      </c>
      <c r="EW184" s="215">
        <f t="shared" si="1218"/>
        <v>0</v>
      </c>
      <c r="EX184" s="215">
        <f t="shared" si="1218"/>
        <v>0</v>
      </c>
      <c r="EY184" s="215">
        <f t="shared" si="1218"/>
        <v>0</v>
      </c>
      <c r="EZ184" s="215">
        <f t="shared" si="1218"/>
        <v>0</v>
      </c>
      <c r="FA184" s="215">
        <f t="shared" si="1218"/>
        <v>0</v>
      </c>
      <c r="FB184" s="215">
        <f t="shared" si="1218"/>
        <v>0</v>
      </c>
      <c r="FC184" s="215">
        <f t="shared" si="1218"/>
        <v>0</v>
      </c>
      <c r="FD184" s="215">
        <f t="shared" si="1218"/>
        <v>0</v>
      </c>
      <c r="FE184" s="215">
        <f t="shared" si="1218"/>
        <v>0</v>
      </c>
      <c r="FF184" s="215">
        <f t="shared" si="1218"/>
        <v>0</v>
      </c>
      <c r="FG184" s="215">
        <f t="shared" si="1218"/>
        <v>0</v>
      </c>
      <c r="FH184" s="215">
        <f t="shared" si="1218"/>
        <v>0</v>
      </c>
      <c r="FI184" s="215">
        <f t="shared" si="1218"/>
        <v>0</v>
      </c>
      <c r="FJ184" s="215">
        <f t="shared" si="1218"/>
        <v>0</v>
      </c>
      <c r="FK184" s="215">
        <f t="shared" si="1218"/>
        <v>0</v>
      </c>
      <c r="FL184" s="215">
        <f t="shared" si="1218"/>
        <v>0</v>
      </c>
      <c r="FM184" s="215">
        <f t="shared" si="1218"/>
        <v>0</v>
      </c>
      <c r="FN184" s="215">
        <f t="shared" si="1218"/>
        <v>0</v>
      </c>
      <c r="FO184" s="215">
        <f t="shared" si="1218"/>
        <v>0</v>
      </c>
      <c r="FP184" s="215">
        <f t="shared" si="1218"/>
        <v>0</v>
      </c>
      <c r="FQ184" s="215">
        <f t="shared" si="1218"/>
        <v>0</v>
      </c>
      <c r="FR184" s="215">
        <f t="shared" si="1218"/>
        <v>0</v>
      </c>
      <c r="FS184" s="215">
        <f t="shared" si="1218"/>
        <v>0</v>
      </c>
      <c r="FT184" s="215">
        <f t="shared" si="1218"/>
        <v>0</v>
      </c>
      <c r="FU184" s="215">
        <f t="shared" si="1218"/>
        <v>0</v>
      </c>
      <c r="FV184" s="215">
        <f t="shared" si="1218"/>
        <v>0</v>
      </c>
      <c r="FW184" s="215">
        <f t="shared" si="1218"/>
        <v>0</v>
      </c>
      <c r="FX184" s="215">
        <f t="shared" si="1218"/>
        <v>0</v>
      </c>
      <c r="FY184" s="215">
        <f t="shared" si="1218"/>
        <v>0</v>
      </c>
      <c r="FZ184" s="215">
        <f t="shared" si="1218"/>
        <v>0</v>
      </c>
      <c r="GA184" s="215">
        <f t="shared" si="1218"/>
        <v>0</v>
      </c>
      <c r="GB184" s="215">
        <f t="shared" si="1218"/>
        <v>0</v>
      </c>
      <c r="GC184" s="215">
        <f t="shared" si="1218"/>
        <v>0</v>
      </c>
      <c r="GD184" s="215">
        <f t="shared" si="1218"/>
        <v>0</v>
      </c>
      <c r="GE184" s="215">
        <f t="shared" si="1218"/>
        <v>0</v>
      </c>
      <c r="GF184" s="215">
        <f t="shared" si="1218"/>
        <v>0</v>
      </c>
      <c r="GG184" s="215">
        <f t="shared" si="1218"/>
        <v>0</v>
      </c>
      <c r="GH184" s="215">
        <f t="shared" si="1218"/>
        <v>0</v>
      </c>
      <c r="GI184" s="215">
        <f t="shared" si="1218"/>
        <v>0</v>
      </c>
      <c r="GJ184" s="215">
        <f t="shared" si="1218"/>
        <v>0</v>
      </c>
      <c r="GK184" s="215">
        <f t="shared" si="1218"/>
        <v>0</v>
      </c>
      <c r="GL184" s="215">
        <f t="shared" si="1218"/>
        <v>0</v>
      </c>
      <c r="GM184" s="215">
        <f t="shared" si="1218"/>
        <v>0</v>
      </c>
      <c r="GN184" s="215">
        <f t="shared" si="1218"/>
        <v>0</v>
      </c>
      <c r="GO184" s="215">
        <f t="shared" si="1218"/>
        <v>0</v>
      </c>
      <c r="GP184" s="215">
        <f t="shared" si="1218"/>
        <v>0</v>
      </c>
      <c r="GQ184" s="215">
        <f t="shared" si="1218"/>
        <v>0</v>
      </c>
      <c r="GR184" s="215">
        <f t="shared" si="1218"/>
        <v>0</v>
      </c>
      <c r="GS184" s="215">
        <f t="shared" si="1218"/>
        <v>0</v>
      </c>
      <c r="GT184" s="215">
        <f t="shared" si="1218"/>
        <v>0</v>
      </c>
      <c r="GU184" s="215">
        <f t="shared" ref="GU184:HE184" si="1219">-GU107-GU110-GU108</f>
        <v>0</v>
      </c>
      <c r="GV184" s="215">
        <f t="shared" si="1219"/>
        <v>0</v>
      </c>
      <c r="GW184" s="215">
        <f t="shared" si="1219"/>
        <v>0</v>
      </c>
      <c r="GX184" s="215">
        <f t="shared" si="1219"/>
        <v>0</v>
      </c>
      <c r="GY184" s="215">
        <f t="shared" si="1219"/>
        <v>0</v>
      </c>
      <c r="GZ184" s="215">
        <f t="shared" si="1219"/>
        <v>0</v>
      </c>
      <c r="HA184" s="215">
        <f t="shared" si="1219"/>
        <v>0</v>
      </c>
      <c r="HB184" s="215">
        <f t="shared" si="1219"/>
        <v>0</v>
      </c>
      <c r="HC184" s="215">
        <f t="shared" si="1219"/>
        <v>0</v>
      </c>
      <c r="HD184" s="215">
        <f t="shared" si="1219"/>
        <v>0</v>
      </c>
      <c r="HE184" s="215">
        <f t="shared" si="1219"/>
        <v>0</v>
      </c>
      <c r="HF184" s="1" t="s">
        <v>212</v>
      </c>
      <c r="HH184" s="1" t="str">
        <f t="shared" si="1174"/>
        <v>(-) Loan Fees</v>
      </c>
      <c r="HI184" s="26"/>
      <c r="HJ184" s="26"/>
      <c r="HK184" s="26"/>
      <c r="HL184" s="132">
        <f t="shared" ca="1" si="1156"/>
        <v>-1234.20794</v>
      </c>
      <c r="HM184" s="26"/>
      <c r="HN184" s="133">
        <f t="shared" si="1157"/>
        <v>-570</v>
      </c>
      <c r="HO184" s="26">
        <f t="shared" si="1157"/>
        <v>0</v>
      </c>
      <c r="HP184" s="26">
        <f t="shared" si="1157"/>
        <v>0</v>
      </c>
      <c r="HQ184" s="26">
        <f t="shared" si="1157"/>
        <v>0</v>
      </c>
      <c r="HR184" s="26">
        <f t="shared" si="1157"/>
        <v>-108.97897</v>
      </c>
      <c r="HS184" s="26">
        <f t="shared" ca="1" si="1157"/>
        <v>-555.22897</v>
      </c>
      <c r="HT184" s="26">
        <f t="shared" si="1157"/>
        <v>0</v>
      </c>
      <c r="HU184" s="26">
        <f t="shared" si="1157"/>
        <v>0</v>
      </c>
      <c r="HV184" s="26">
        <f t="shared" si="1157"/>
        <v>0</v>
      </c>
      <c r="HW184"/>
    </row>
    <row r="185" spans="1:231" ht="15">
      <c r="B185" s="430" t="str">
        <f>"(-) "&amp;B109</f>
        <v>(-) Loan Closing Costs</v>
      </c>
      <c r="C185" s="430"/>
      <c r="D185" s="430"/>
      <c r="E185" s="430"/>
      <c r="F185" s="430"/>
      <c r="G185" s="430"/>
      <c r="H185" s="430"/>
      <c r="I185" s="501">
        <f>SUMIF($K$13:$GT$13,"&lt;="&amp;Assumptions!$L$17,'Monthly Cash Flow'!K185:GT185)</f>
        <v>-364.88266999999996</v>
      </c>
      <c r="J185" s="215"/>
      <c r="K185" s="502">
        <f t="shared" ref="K185:BV185" si="1220">-K109</f>
        <v>0</v>
      </c>
      <c r="L185" s="215">
        <f t="shared" si="1220"/>
        <v>0</v>
      </c>
      <c r="M185" s="215">
        <f t="shared" si="1220"/>
        <v>0</v>
      </c>
      <c r="N185" s="215">
        <f t="shared" si="1220"/>
        <v>0</v>
      </c>
      <c r="O185" s="215">
        <f t="shared" si="1220"/>
        <v>0</v>
      </c>
      <c r="P185" s="215">
        <f t="shared" si="1220"/>
        <v>0</v>
      </c>
      <c r="Q185" s="215">
        <f t="shared" si="1220"/>
        <v>0</v>
      </c>
      <c r="R185" s="215">
        <f t="shared" si="1220"/>
        <v>0</v>
      </c>
      <c r="S185" s="215">
        <f t="shared" si="1220"/>
        <v>0</v>
      </c>
      <c r="T185" s="215">
        <f t="shared" si="1220"/>
        <v>0</v>
      </c>
      <c r="U185" s="215">
        <f t="shared" si="1220"/>
        <v>0</v>
      </c>
      <c r="V185" s="215">
        <f t="shared" si="1220"/>
        <v>0</v>
      </c>
      <c r="W185" s="215">
        <f t="shared" si="1220"/>
        <v>0</v>
      </c>
      <c r="X185" s="215">
        <f t="shared" si="1220"/>
        <v>0</v>
      </c>
      <c r="Y185" s="215">
        <f t="shared" si="1220"/>
        <v>0</v>
      </c>
      <c r="Z185" s="215">
        <f t="shared" si="1220"/>
        <v>0</v>
      </c>
      <c r="AA185" s="215">
        <f t="shared" si="1220"/>
        <v>0</v>
      </c>
      <c r="AB185" s="215">
        <f t="shared" si="1220"/>
        <v>0</v>
      </c>
      <c r="AC185" s="215">
        <f t="shared" si="1220"/>
        <v>0</v>
      </c>
      <c r="AD185" s="215">
        <f t="shared" si="1220"/>
        <v>0</v>
      </c>
      <c r="AE185" s="215">
        <f t="shared" si="1220"/>
        <v>0</v>
      </c>
      <c r="AF185" s="215">
        <f t="shared" si="1220"/>
        <v>0</v>
      </c>
      <c r="AG185" s="215">
        <f t="shared" si="1220"/>
        <v>0</v>
      </c>
      <c r="AH185" s="215">
        <f t="shared" si="1220"/>
        <v>0</v>
      </c>
      <c r="AI185" s="215">
        <f t="shared" si="1220"/>
        <v>0</v>
      </c>
      <c r="AJ185" s="215">
        <f t="shared" si="1220"/>
        <v>0</v>
      </c>
      <c r="AK185" s="215">
        <f t="shared" si="1220"/>
        <v>0</v>
      </c>
      <c r="AL185" s="215">
        <f t="shared" si="1220"/>
        <v>0</v>
      </c>
      <c r="AM185" s="215">
        <f t="shared" si="1220"/>
        <v>0</v>
      </c>
      <c r="AN185" s="215">
        <f t="shared" si="1220"/>
        <v>0</v>
      </c>
      <c r="AO185" s="215">
        <f t="shared" si="1220"/>
        <v>0</v>
      </c>
      <c r="AP185" s="215">
        <f t="shared" si="1220"/>
        <v>0</v>
      </c>
      <c r="AQ185" s="215">
        <f t="shared" si="1220"/>
        <v>0</v>
      </c>
      <c r="AR185" s="215">
        <f t="shared" si="1220"/>
        <v>0</v>
      </c>
      <c r="AS185" s="215">
        <f t="shared" si="1220"/>
        <v>0</v>
      </c>
      <c r="AT185" s="215">
        <f t="shared" si="1220"/>
        <v>0</v>
      </c>
      <c r="AU185" s="215">
        <f t="shared" si="1220"/>
        <v>0</v>
      </c>
      <c r="AV185" s="215">
        <f t="shared" si="1220"/>
        <v>0</v>
      </c>
      <c r="AW185" s="215">
        <f t="shared" si="1220"/>
        <v>0</v>
      </c>
      <c r="AX185" s="215">
        <f t="shared" si="1220"/>
        <v>0</v>
      </c>
      <c r="AY185" s="215">
        <f t="shared" si="1220"/>
        <v>0</v>
      </c>
      <c r="AZ185" s="215">
        <f t="shared" si="1220"/>
        <v>0</v>
      </c>
      <c r="BA185" s="215">
        <f t="shared" si="1220"/>
        <v>0</v>
      </c>
      <c r="BB185" s="215">
        <f t="shared" si="1220"/>
        <v>0</v>
      </c>
      <c r="BC185" s="215">
        <f t="shared" si="1220"/>
        <v>0</v>
      </c>
      <c r="BD185" s="215">
        <f t="shared" si="1220"/>
        <v>0</v>
      </c>
      <c r="BE185" s="215">
        <f t="shared" si="1220"/>
        <v>0</v>
      </c>
      <c r="BF185" s="215">
        <f t="shared" si="1220"/>
        <v>0</v>
      </c>
      <c r="BG185" s="215">
        <f t="shared" si="1220"/>
        <v>0</v>
      </c>
      <c r="BH185" s="215">
        <f t="shared" si="1220"/>
        <v>0</v>
      </c>
      <c r="BI185" s="215">
        <f t="shared" si="1220"/>
        <v>0</v>
      </c>
      <c r="BJ185" s="215">
        <f t="shared" si="1220"/>
        <v>0</v>
      </c>
      <c r="BK185" s="215">
        <f t="shared" si="1220"/>
        <v>0</v>
      </c>
      <c r="BL185" s="215">
        <f t="shared" si="1220"/>
        <v>0</v>
      </c>
      <c r="BM185" s="215">
        <f t="shared" si="1220"/>
        <v>0</v>
      </c>
      <c r="BN185" s="215">
        <f t="shared" si="1220"/>
        <v>0</v>
      </c>
      <c r="BO185" s="215">
        <f t="shared" si="1220"/>
        <v>0</v>
      </c>
      <c r="BP185" s="215">
        <f t="shared" si="1220"/>
        <v>0</v>
      </c>
      <c r="BQ185" s="215">
        <f t="shared" si="1220"/>
        <v>0</v>
      </c>
      <c r="BR185" s="215">
        <f t="shared" si="1220"/>
        <v>0</v>
      </c>
      <c r="BS185" s="215">
        <f t="shared" si="1220"/>
        <v>-364.88266999999996</v>
      </c>
      <c r="BT185" s="215">
        <f t="shared" si="1220"/>
        <v>0</v>
      </c>
      <c r="BU185" s="215">
        <f t="shared" si="1220"/>
        <v>0</v>
      </c>
      <c r="BV185" s="215">
        <f t="shared" si="1220"/>
        <v>0</v>
      </c>
      <c r="BW185" s="215">
        <f t="shared" ref="BW185:EH185" si="1221">-BW109</f>
        <v>0</v>
      </c>
      <c r="BX185" s="215">
        <f t="shared" si="1221"/>
        <v>0</v>
      </c>
      <c r="BY185" s="215">
        <f t="shared" si="1221"/>
        <v>0</v>
      </c>
      <c r="BZ185" s="215">
        <f t="shared" si="1221"/>
        <v>0</v>
      </c>
      <c r="CA185" s="215">
        <f t="shared" si="1221"/>
        <v>0</v>
      </c>
      <c r="CB185" s="215">
        <f t="shared" si="1221"/>
        <v>0</v>
      </c>
      <c r="CC185" s="215">
        <f t="shared" si="1221"/>
        <v>0</v>
      </c>
      <c r="CD185" s="215">
        <f t="shared" si="1221"/>
        <v>0</v>
      </c>
      <c r="CE185" s="215">
        <f t="shared" si="1221"/>
        <v>0</v>
      </c>
      <c r="CF185" s="215">
        <f t="shared" si="1221"/>
        <v>0</v>
      </c>
      <c r="CG185" s="215">
        <f t="shared" si="1221"/>
        <v>0</v>
      </c>
      <c r="CH185" s="215">
        <f t="shared" si="1221"/>
        <v>0</v>
      </c>
      <c r="CI185" s="215">
        <f t="shared" si="1221"/>
        <v>0</v>
      </c>
      <c r="CJ185" s="215">
        <f t="shared" si="1221"/>
        <v>0</v>
      </c>
      <c r="CK185" s="215">
        <f t="shared" si="1221"/>
        <v>0</v>
      </c>
      <c r="CL185" s="215">
        <f t="shared" si="1221"/>
        <v>0</v>
      </c>
      <c r="CM185" s="215">
        <f t="shared" si="1221"/>
        <v>0</v>
      </c>
      <c r="CN185" s="215">
        <f t="shared" si="1221"/>
        <v>0</v>
      </c>
      <c r="CO185" s="215">
        <f t="shared" si="1221"/>
        <v>0</v>
      </c>
      <c r="CP185" s="215">
        <f t="shared" si="1221"/>
        <v>0</v>
      </c>
      <c r="CQ185" s="215">
        <f t="shared" si="1221"/>
        <v>0</v>
      </c>
      <c r="CR185" s="215">
        <f t="shared" si="1221"/>
        <v>0</v>
      </c>
      <c r="CS185" s="215">
        <f t="shared" si="1221"/>
        <v>0</v>
      </c>
      <c r="CT185" s="215">
        <f t="shared" si="1221"/>
        <v>0</v>
      </c>
      <c r="CU185" s="215">
        <f t="shared" si="1221"/>
        <v>0</v>
      </c>
      <c r="CV185" s="215">
        <f t="shared" si="1221"/>
        <v>0</v>
      </c>
      <c r="CW185" s="215">
        <f t="shared" si="1221"/>
        <v>0</v>
      </c>
      <c r="CX185" s="215">
        <f t="shared" si="1221"/>
        <v>0</v>
      </c>
      <c r="CY185" s="215">
        <f t="shared" si="1221"/>
        <v>0</v>
      </c>
      <c r="CZ185" s="215">
        <f t="shared" si="1221"/>
        <v>0</v>
      </c>
      <c r="DA185" s="215">
        <f t="shared" si="1221"/>
        <v>0</v>
      </c>
      <c r="DB185" s="215">
        <f t="shared" si="1221"/>
        <v>0</v>
      </c>
      <c r="DC185" s="215">
        <f t="shared" si="1221"/>
        <v>0</v>
      </c>
      <c r="DD185" s="215">
        <f t="shared" si="1221"/>
        <v>0</v>
      </c>
      <c r="DE185" s="215">
        <f t="shared" si="1221"/>
        <v>0</v>
      </c>
      <c r="DF185" s="215">
        <f t="shared" si="1221"/>
        <v>0</v>
      </c>
      <c r="DG185" s="215">
        <f t="shared" si="1221"/>
        <v>0</v>
      </c>
      <c r="DH185" s="215">
        <f t="shared" si="1221"/>
        <v>0</v>
      </c>
      <c r="DI185" s="215">
        <f t="shared" si="1221"/>
        <v>0</v>
      </c>
      <c r="DJ185" s="215">
        <f t="shared" si="1221"/>
        <v>0</v>
      </c>
      <c r="DK185" s="215">
        <f t="shared" si="1221"/>
        <v>0</v>
      </c>
      <c r="DL185" s="215">
        <f t="shared" si="1221"/>
        <v>0</v>
      </c>
      <c r="DM185" s="215">
        <f t="shared" si="1221"/>
        <v>0</v>
      </c>
      <c r="DN185" s="215">
        <f t="shared" si="1221"/>
        <v>0</v>
      </c>
      <c r="DO185" s="215">
        <f t="shared" si="1221"/>
        <v>0</v>
      </c>
      <c r="DP185" s="215">
        <f t="shared" si="1221"/>
        <v>0</v>
      </c>
      <c r="DQ185" s="215">
        <f t="shared" si="1221"/>
        <v>0</v>
      </c>
      <c r="DR185" s="215">
        <f t="shared" si="1221"/>
        <v>0</v>
      </c>
      <c r="DS185" s="215">
        <f t="shared" si="1221"/>
        <v>0</v>
      </c>
      <c r="DT185" s="215">
        <f t="shared" si="1221"/>
        <v>0</v>
      </c>
      <c r="DU185" s="215">
        <f t="shared" si="1221"/>
        <v>0</v>
      </c>
      <c r="DV185" s="215">
        <f t="shared" si="1221"/>
        <v>0</v>
      </c>
      <c r="DW185" s="215">
        <f t="shared" si="1221"/>
        <v>0</v>
      </c>
      <c r="DX185" s="215">
        <f t="shared" si="1221"/>
        <v>0</v>
      </c>
      <c r="DY185" s="215">
        <f t="shared" si="1221"/>
        <v>0</v>
      </c>
      <c r="DZ185" s="215">
        <f t="shared" si="1221"/>
        <v>0</v>
      </c>
      <c r="EA185" s="215">
        <f t="shared" si="1221"/>
        <v>0</v>
      </c>
      <c r="EB185" s="215">
        <f t="shared" si="1221"/>
        <v>0</v>
      </c>
      <c r="EC185" s="215">
        <f t="shared" si="1221"/>
        <v>0</v>
      </c>
      <c r="ED185" s="215">
        <f t="shared" si="1221"/>
        <v>0</v>
      </c>
      <c r="EE185" s="215">
        <f t="shared" si="1221"/>
        <v>0</v>
      </c>
      <c r="EF185" s="215">
        <f t="shared" si="1221"/>
        <v>0</v>
      </c>
      <c r="EG185" s="215">
        <f t="shared" si="1221"/>
        <v>0</v>
      </c>
      <c r="EH185" s="215">
        <f t="shared" si="1221"/>
        <v>0</v>
      </c>
      <c r="EI185" s="215">
        <f t="shared" ref="EI185:GT185" si="1222">-EI109</f>
        <v>0</v>
      </c>
      <c r="EJ185" s="215">
        <f t="shared" si="1222"/>
        <v>0</v>
      </c>
      <c r="EK185" s="215">
        <f t="shared" si="1222"/>
        <v>0</v>
      </c>
      <c r="EL185" s="215">
        <f t="shared" si="1222"/>
        <v>0</v>
      </c>
      <c r="EM185" s="215">
        <f t="shared" si="1222"/>
        <v>0</v>
      </c>
      <c r="EN185" s="215">
        <f t="shared" si="1222"/>
        <v>0</v>
      </c>
      <c r="EO185" s="215">
        <f t="shared" si="1222"/>
        <v>0</v>
      </c>
      <c r="EP185" s="215">
        <f t="shared" si="1222"/>
        <v>0</v>
      </c>
      <c r="EQ185" s="215">
        <f t="shared" si="1222"/>
        <v>0</v>
      </c>
      <c r="ER185" s="215">
        <f t="shared" si="1222"/>
        <v>0</v>
      </c>
      <c r="ES185" s="215">
        <f t="shared" si="1222"/>
        <v>0</v>
      </c>
      <c r="ET185" s="215">
        <f t="shared" si="1222"/>
        <v>0</v>
      </c>
      <c r="EU185" s="215">
        <f t="shared" si="1222"/>
        <v>0</v>
      </c>
      <c r="EV185" s="215">
        <f t="shared" si="1222"/>
        <v>0</v>
      </c>
      <c r="EW185" s="215">
        <f t="shared" si="1222"/>
        <v>0</v>
      </c>
      <c r="EX185" s="215">
        <f t="shared" si="1222"/>
        <v>0</v>
      </c>
      <c r="EY185" s="215">
        <f t="shared" si="1222"/>
        <v>0</v>
      </c>
      <c r="EZ185" s="215">
        <f t="shared" si="1222"/>
        <v>0</v>
      </c>
      <c r="FA185" s="215">
        <f t="shared" si="1222"/>
        <v>0</v>
      </c>
      <c r="FB185" s="215">
        <f t="shared" si="1222"/>
        <v>0</v>
      </c>
      <c r="FC185" s="215">
        <f t="shared" si="1222"/>
        <v>0</v>
      </c>
      <c r="FD185" s="215">
        <f t="shared" si="1222"/>
        <v>0</v>
      </c>
      <c r="FE185" s="215">
        <f t="shared" si="1222"/>
        <v>0</v>
      </c>
      <c r="FF185" s="215">
        <f t="shared" si="1222"/>
        <v>0</v>
      </c>
      <c r="FG185" s="215">
        <f t="shared" si="1222"/>
        <v>0</v>
      </c>
      <c r="FH185" s="215">
        <f t="shared" si="1222"/>
        <v>0</v>
      </c>
      <c r="FI185" s="215">
        <f t="shared" si="1222"/>
        <v>0</v>
      </c>
      <c r="FJ185" s="215">
        <f t="shared" si="1222"/>
        <v>0</v>
      </c>
      <c r="FK185" s="215">
        <f t="shared" si="1222"/>
        <v>0</v>
      </c>
      <c r="FL185" s="215">
        <f t="shared" si="1222"/>
        <v>0</v>
      </c>
      <c r="FM185" s="215">
        <f t="shared" si="1222"/>
        <v>0</v>
      </c>
      <c r="FN185" s="215">
        <f t="shared" si="1222"/>
        <v>0</v>
      </c>
      <c r="FO185" s="215">
        <f t="shared" si="1222"/>
        <v>0</v>
      </c>
      <c r="FP185" s="215">
        <f t="shared" si="1222"/>
        <v>0</v>
      </c>
      <c r="FQ185" s="215">
        <f t="shared" si="1222"/>
        <v>0</v>
      </c>
      <c r="FR185" s="215">
        <f t="shared" si="1222"/>
        <v>0</v>
      </c>
      <c r="FS185" s="215">
        <f t="shared" si="1222"/>
        <v>0</v>
      </c>
      <c r="FT185" s="215">
        <f t="shared" si="1222"/>
        <v>0</v>
      </c>
      <c r="FU185" s="215">
        <f t="shared" si="1222"/>
        <v>0</v>
      </c>
      <c r="FV185" s="215">
        <f t="shared" si="1222"/>
        <v>0</v>
      </c>
      <c r="FW185" s="215">
        <f t="shared" si="1222"/>
        <v>0</v>
      </c>
      <c r="FX185" s="215">
        <f t="shared" si="1222"/>
        <v>0</v>
      </c>
      <c r="FY185" s="215">
        <f t="shared" si="1222"/>
        <v>0</v>
      </c>
      <c r="FZ185" s="215">
        <f t="shared" si="1222"/>
        <v>0</v>
      </c>
      <c r="GA185" s="215">
        <f t="shared" si="1222"/>
        <v>0</v>
      </c>
      <c r="GB185" s="215">
        <f t="shared" si="1222"/>
        <v>0</v>
      </c>
      <c r="GC185" s="215">
        <f t="shared" si="1222"/>
        <v>0</v>
      </c>
      <c r="GD185" s="215">
        <f t="shared" si="1222"/>
        <v>0</v>
      </c>
      <c r="GE185" s="215">
        <f t="shared" si="1222"/>
        <v>0</v>
      </c>
      <c r="GF185" s="215">
        <f t="shared" si="1222"/>
        <v>0</v>
      </c>
      <c r="GG185" s="215">
        <f t="shared" si="1222"/>
        <v>0</v>
      </c>
      <c r="GH185" s="215">
        <f t="shared" si="1222"/>
        <v>0</v>
      </c>
      <c r="GI185" s="215">
        <f t="shared" si="1222"/>
        <v>0</v>
      </c>
      <c r="GJ185" s="215">
        <f t="shared" si="1222"/>
        <v>0</v>
      </c>
      <c r="GK185" s="215">
        <f t="shared" si="1222"/>
        <v>0</v>
      </c>
      <c r="GL185" s="215">
        <f t="shared" si="1222"/>
        <v>0</v>
      </c>
      <c r="GM185" s="215">
        <f t="shared" si="1222"/>
        <v>0</v>
      </c>
      <c r="GN185" s="215">
        <f t="shared" si="1222"/>
        <v>0</v>
      </c>
      <c r="GO185" s="215">
        <f t="shared" si="1222"/>
        <v>0</v>
      </c>
      <c r="GP185" s="215">
        <f t="shared" si="1222"/>
        <v>0</v>
      </c>
      <c r="GQ185" s="215">
        <f t="shared" si="1222"/>
        <v>0</v>
      </c>
      <c r="GR185" s="215">
        <f t="shared" si="1222"/>
        <v>0</v>
      </c>
      <c r="GS185" s="215">
        <f t="shared" si="1222"/>
        <v>0</v>
      </c>
      <c r="GT185" s="215">
        <f t="shared" si="1222"/>
        <v>0</v>
      </c>
      <c r="GU185" s="215">
        <f t="shared" ref="GU185:HE185" si="1223">-GU109</f>
        <v>0</v>
      </c>
      <c r="GV185" s="215">
        <f t="shared" si="1223"/>
        <v>0</v>
      </c>
      <c r="GW185" s="215">
        <f t="shared" si="1223"/>
        <v>0</v>
      </c>
      <c r="GX185" s="215">
        <f t="shared" si="1223"/>
        <v>0</v>
      </c>
      <c r="GY185" s="215">
        <f t="shared" si="1223"/>
        <v>0</v>
      </c>
      <c r="GZ185" s="215">
        <f t="shared" si="1223"/>
        <v>0</v>
      </c>
      <c r="HA185" s="215">
        <f t="shared" si="1223"/>
        <v>0</v>
      </c>
      <c r="HB185" s="215">
        <f t="shared" si="1223"/>
        <v>0</v>
      </c>
      <c r="HC185" s="215">
        <f t="shared" si="1223"/>
        <v>0</v>
      </c>
      <c r="HD185" s="215">
        <f t="shared" si="1223"/>
        <v>0</v>
      </c>
      <c r="HE185" s="215">
        <f t="shared" si="1223"/>
        <v>0</v>
      </c>
      <c r="HF185" s="1" t="s">
        <v>212</v>
      </c>
      <c r="HH185" s="1" t="str">
        <f t="shared" si="1174"/>
        <v>(-) Loan Closing Costs</v>
      </c>
      <c r="HI185" s="26"/>
      <c r="HJ185" s="26"/>
      <c r="HK185" s="26"/>
      <c r="HL185" s="132">
        <f t="shared" si="1156"/>
        <v>-364.88266999999996</v>
      </c>
      <c r="HM185" s="26"/>
      <c r="HN185" s="133">
        <f t="shared" si="1157"/>
        <v>0</v>
      </c>
      <c r="HO185" s="26">
        <f t="shared" si="1157"/>
        <v>0</v>
      </c>
      <c r="HP185" s="26">
        <f t="shared" si="1157"/>
        <v>0</v>
      </c>
      <c r="HQ185" s="26">
        <f t="shared" si="1157"/>
        <v>0</v>
      </c>
      <c r="HR185" s="26">
        <f t="shared" si="1157"/>
        <v>0</v>
      </c>
      <c r="HS185" s="26">
        <f t="shared" si="1157"/>
        <v>-364.88266999999996</v>
      </c>
      <c r="HT185" s="26">
        <f t="shared" si="1157"/>
        <v>0</v>
      </c>
      <c r="HU185" s="26">
        <f t="shared" si="1157"/>
        <v>0</v>
      </c>
      <c r="HV185" s="26">
        <f t="shared" si="1157"/>
        <v>0</v>
      </c>
      <c r="HW185"/>
    </row>
    <row r="186" spans="1:231" ht="15">
      <c r="B186" s="84" t="str">
        <f>"(-) "&amp;B151</f>
        <v>(-) Principal Paydown</v>
      </c>
      <c r="C186" s="84"/>
      <c r="D186" s="84"/>
      <c r="E186" s="84"/>
      <c r="F186" s="84"/>
      <c r="G186" s="84"/>
      <c r="H186" s="84"/>
      <c r="I186" s="119">
        <f ca="1">SUMIF($K$13:$GT$13,"&lt;="&amp;Assumptions!$L$17,'Monthly Cash Flow'!K186:GT186)</f>
        <v>-47280.749699999993</v>
      </c>
      <c r="J186" s="120"/>
      <c r="K186" s="140">
        <f t="shared" ref="K186:AP186" si="1224">K151+K170</f>
        <v>0</v>
      </c>
      <c r="L186" s="120">
        <f t="shared" si="1224"/>
        <v>0</v>
      </c>
      <c r="M186" s="120">
        <f t="shared" si="1224"/>
        <v>0</v>
      </c>
      <c r="N186" s="120">
        <f t="shared" si="1224"/>
        <v>0</v>
      </c>
      <c r="O186" s="120">
        <f t="shared" si="1224"/>
        <v>0</v>
      </c>
      <c r="P186" s="120">
        <f t="shared" si="1224"/>
        <v>0</v>
      </c>
      <c r="Q186" s="120">
        <f t="shared" si="1224"/>
        <v>0</v>
      </c>
      <c r="R186" s="120">
        <f t="shared" si="1224"/>
        <v>0</v>
      </c>
      <c r="S186" s="120">
        <f t="shared" si="1224"/>
        <v>0</v>
      </c>
      <c r="T186" s="120">
        <f t="shared" si="1224"/>
        <v>0</v>
      </c>
      <c r="U186" s="120">
        <f t="shared" si="1224"/>
        <v>0</v>
      </c>
      <c r="V186" s="120">
        <f t="shared" si="1224"/>
        <v>0</v>
      </c>
      <c r="W186" s="120">
        <f t="shared" si="1224"/>
        <v>0</v>
      </c>
      <c r="X186" s="120">
        <f t="shared" si="1224"/>
        <v>0</v>
      </c>
      <c r="Y186" s="120">
        <f t="shared" si="1224"/>
        <v>0</v>
      </c>
      <c r="Z186" s="120">
        <f t="shared" si="1224"/>
        <v>0</v>
      </c>
      <c r="AA186" s="120">
        <f t="shared" si="1224"/>
        <v>0</v>
      </c>
      <c r="AB186" s="120">
        <f t="shared" si="1224"/>
        <v>0</v>
      </c>
      <c r="AC186" s="120">
        <f t="shared" si="1224"/>
        <v>0</v>
      </c>
      <c r="AD186" s="120">
        <f t="shared" si="1224"/>
        <v>0</v>
      </c>
      <c r="AE186" s="120">
        <f t="shared" si="1224"/>
        <v>0</v>
      </c>
      <c r="AF186" s="120">
        <f t="shared" si="1224"/>
        <v>0</v>
      </c>
      <c r="AG186" s="120">
        <f t="shared" si="1224"/>
        <v>0</v>
      </c>
      <c r="AH186" s="120">
        <f t="shared" si="1224"/>
        <v>0</v>
      </c>
      <c r="AI186" s="120">
        <f t="shared" si="1224"/>
        <v>0</v>
      </c>
      <c r="AJ186" s="120">
        <f t="shared" si="1224"/>
        <v>0</v>
      </c>
      <c r="AK186" s="120">
        <f t="shared" si="1224"/>
        <v>0</v>
      </c>
      <c r="AL186" s="120">
        <f t="shared" si="1224"/>
        <v>0</v>
      </c>
      <c r="AM186" s="120">
        <f t="shared" si="1224"/>
        <v>0</v>
      </c>
      <c r="AN186" s="120">
        <f t="shared" si="1224"/>
        <v>0</v>
      </c>
      <c r="AO186" s="120">
        <f t="shared" si="1224"/>
        <v>0</v>
      </c>
      <c r="AP186" s="120">
        <f t="shared" si="1224"/>
        <v>0</v>
      </c>
      <c r="AQ186" s="120">
        <f t="shared" ref="AQ186:BV186" si="1225">AQ151+AQ170</f>
        <v>0</v>
      </c>
      <c r="AR186" s="120">
        <f t="shared" si="1225"/>
        <v>0</v>
      </c>
      <c r="AS186" s="120">
        <f t="shared" si="1225"/>
        <v>0</v>
      </c>
      <c r="AT186" s="120">
        <f t="shared" si="1225"/>
        <v>0</v>
      </c>
      <c r="AU186" s="120">
        <f t="shared" si="1225"/>
        <v>0</v>
      </c>
      <c r="AV186" s="120">
        <f t="shared" si="1225"/>
        <v>0</v>
      </c>
      <c r="AW186" s="120">
        <f t="shared" si="1225"/>
        <v>0</v>
      </c>
      <c r="AX186" s="120">
        <f t="shared" si="1225"/>
        <v>0</v>
      </c>
      <c r="AY186" s="120">
        <f t="shared" si="1225"/>
        <v>0</v>
      </c>
      <c r="AZ186" s="120">
        <f t="shared" si="1225"/>
        <v>0</v>
      </c>
      <c r="BA186" s="120">
        <f t="shared" si="1225"/>
        <v>0</v>
      </c>
      <c r="BB186" s="120">
        <f t="shared" si="1225"/>
        <v>0</v>
      </c>
      <c r="BC186" s="120">
        <f t="shared" si="1225"/>
        <v>0</v>
      </c>
      <c r="BD186" s="120">
        <f t="shared" si="1225"/>
        <v>0</v>
      </c>
      <c r="BE186" s="120">
        <f t="shared" si="1225"/>
        <v>0</v>
      </c>
      <c r="BF186" s="120">
        <f t="shared" si="1225"/>
        <v>0</v>
      </c>
      <c r="BG186" s="120">
        <f t="shared" si="1225"/>
        <v>0</v>
      </c>
      <c r="BH186" s="120">
        <f t="shared" si="1225"/>
        <v>0</v>
      </c>
      <c r="BI186" s="120">
        <f t="shared" si="1225"/>
        <v>0</v>
      </c>
      <c r="BJ186" s="120">
        <f t="shared" si="1225"/>
        <v>0</v>
      </c>
      <c r="BK186" s="120">
        <f t="shared" si="1225"/>
        <v>0</v>
      </c>
      <c r="BL186" s="120">
        <f t="shared" si="1225"/>
        <v>0</v>
      </c>
      <c r="BM186" s="120">
        <f t="shared" si="1225"/>
        <v>0</v>
      </c>
      <c r="BN186" s="120">
        <f t="shared" si="1225"/>
        <v>0</v>
      </c>
      <c r="BO186" s="120">
        <f t="shared" si="1225"/>
        <v>0</v>
      </c>
      <c r="BP186" s="120">
        <f t="shared" si="1225"/>
        <v>0</v>
      </c>
      <c r="BQ186" s="120">
        <f t="shared" si="1225"/>
        <v>0</v>
      </c>
      <c r="BR186" s="120">
        <f t="shared" si="1225"/>
        <v>0</v>
      </c>
      <c r="BS186" s="120">
        <f t="shared" ca="1" si="1225"/>
        <v>-21795.794000000002</v>
      </c>
      <c r="BT186" s="120">
        <f t="shared" si="1225"/>
        <v>0</v>
      </c>
      <c r="BU186" s="120">
        <f t="shared" si="1225"/>
        <v>0</v>
      </c>
      <c r="BV186" s="120">
        <f t="shared" si="1225"/>
        <v>0</v>
      </c>
      <c r="BW186" s="120">
        <f t="shared" ref="BW186:DB186" si="1226">BW151+BW170</f>
        <v>0</v>
      </c>
      <c r="BX186" s="120">
        <f t="shared" si="1226"/>
        <v>0</v>
      </c>
      <c r="BY186" s="120">
        <f t="shared" si="1226"/>
        <v>0</v>
      </c>
      <c r="BZ186" s="120">
        <f t="shared" si="1226"/>
        <v>0</v>
      </c>
      <c r="CA186" s="120">
        <f t="shared" si="1226"/>
        <v>0</v>
      </c>
      <c r="CB186" s="120">
        <f t="shared" si="1226"/>
        <v>0</v>
      </c>
      <c r="CC186" s="120">
        <f t="shared" si="1226"/>
        <v>0</v>
      </c>
      <c r="CD186" s="120">
        <f t="shared" si="1226"/>
        <v>0</v>
      </c>
      <c r="CE186" s="120">
        <f t="shared" si="1226"/>
        <v>0</v>
      </c>
      <c r="CF186" s="120">
        <f t="shared" si="1226"/>
        <v>0</v>
      </c>
      <c r="CG186" s="120">
        <f t="shared" si="1226"/>
        <v>0</v>
      </c>
      <c r="CH186" s="120">
        <f t="shared" si="1226"/>
        <v>0</v>
      </c>
      <c r="CI186" s="120">
        <f t="shared" si="1226"/>
        <v>0</v>
      </c>
      <c r="CJ186" s="120">
        <f t="shared" si="1226"/>
        <v>0</v>
      </c>
      <c r="CK186" s="120">
        <f t="shared" si="1226"/>
        <v>0</v>
      </c>
      <c r="CL186" s="120">
        <f t="shared" si="1226"/>
        <v>0</v>
      </c>
      <c r="CM186" s="120">
        <f t="shared" si="1226"/>
        <v>0</v>
      </c>
      <c r="CN186" s="120">
        <f t="shared" si="1226"/>
        <v>0</v>
      </c>
      <c r="CO186" s="120">
        <f t="shared" si="1226"/>
        <v>0</v>
      </c>
      <c r="CP186" s="120">
        <f t="shared" si="1226"/>
        <v>0</v>
      </c>
      <c r="CQ186" s="120">
        <f t="shared" si="1226"/>
        <v>0</v>
      </c>
      <c r="CR186" s="120">
        <f t="shared" si="1226"/>
        <v>0</v>
      </c>
      <c r="CS186" s="120">
        <f t="shared" si="1226"/>
        <v>0</v>
      </c>
      <c r="CT186" s="120">
        <f t="shared" si="1226"/>
        <v>0</v>
      </c>
      <c r="CU186" s="120">
        <f t="shared" si="1226"/>
        <v>0</v>
      </c>
      <c r="CV186" s="120">
        <f t="shared" si="1226"/>
        <v>0</v>
      </c>
      <c r="CW186" s="120">
        <f t="shared" si="1226"/>
        <v>0</v>
      </c>
      <c r="CX186" s="120">
        <f t="shared" si="1226"/>
        <v>0</v>
      </c>
      <c r="CY186" s="120">
        <f t="shared" si="1226"/>
        <v>0</v>
      </c>
      <c r="CZ186" s="120">
        <f t="shared" si="1226"/>
        <v>0</v>
      </c>
      <c r="DA186" s="120">
        <f t="shared" si="1226"/>
        <v>0</v>
      </c>
      <c r="DB186" s="120">
        <f t="shared" si="1226"/>
        <v>0</v>
      </c>
      <c r="DC186" s="120">
        <f t="shared" ref="DC186:EH186" si="1227">DC151+DC170</f>
        <v>0</v>
      </c>
      <c r="DD186" s="120">
        <f t="shared" si="1227"/>
        <v>0</v>
      </c>
      <c r="DE186" s="120">
        <f t="shared" si="1227"/>
        <v>0</v>
      </c>
      <c r="DF186" s="120">
        <f t="shared" si="1227"/>
        <v>0</v>
      </c>
      <c r="DG186" s="120">
        <f t="shared" si="1227"/>
        <v>0</v>
      </c>
      <c r="DH186" s="120">
        <f t="shared" si="1227"/>
        <v>0</v>
      </c>
      <c r="DI186" s="120">
        <f t="shared" ca="1" si="1227"/>
        <v>-25484.955699999991</v>
      </c>
      <c r="DJ186" s="120">
        <f t="shared" si="1227"/>
        <v>0</v>
      </c>
      <c r="DK186" s="120">
        <f t="shared" si="1227"/>
        <v>0</v>
      </c>
      <c r="DL186" s="120">
        <f t="shared" si="1227"/>
        <v>0</v>
      </c>
      <c r="DM186" s="120">
        <f t="shared" si="1227"/>
        <v>0</v>
      </c>
      <c r="DN186" s="120">
        <f t="shared" si="1227"/>
        <v>0</v>
      </c>
      <c r="DO186" s="120">
        <f t="shared" si="1227"/>
        <v>0</v>
      </c>
      <c r="DP186" s="120">
        <f t="shared" si="1227"/>
        <v>0</v>
      </c>
      <c r="DQ186" s="120">
        <f t="shared" si="1227"/>
        <v>0</v>
      </c>
      <c r="DR186" s="120">
        <f t="shared" si="1227"/>
        <v>0</v>
      </c>
      <c r="DS186" s="120">
        <f t="shared" si="1227"/>
        <v>0</v>
      </c>
      <c r="DT186" s="120">
        <f t="shared" si="1227"/>
        <v>0</v>
      </c>
      <c r="DU186" s="120">
        <f t="shared" si="1227"/>
        <v>0</v>
      </c>
      <c r="DV186" s="120">
        <f t="shared" si="1227"/>
        <v>0</v>
      </c>
      <c r="DW186" s="120">
        <f t="shared" si="1227"/>
        <v>0</v>
      </c>
      <c r="DX186" s="120">
        <f t="shared" si="1227"/>
        <v>0</v>
      </c>
      <c r="DY186" s="120">
        <f t="shared" si="1227"/>
        <v>0</v>
      </c>
      <c r="DZ186" s="120">
        <f t="shared" si="1227"/>
        <v>0</v>
      </c>
      <c r="EA186" s="120">
        <f t="shared" si="1227"/>
        <v>0</v>
      </c>
      <c r="EB186" s="120">
        <f t="shared" si="1227"/>
        <v>0</v>
      </c>
      <c r="EC186" s="120">
        <f t="shared" si="1227"/>
        <v>0</v>
      </c>
      <c r="ED186" s="120">
        <f t="shared" si="1227"/>
        <v>0</v>
      </c>
      <c r="EE186" s="120">
        <f t="shared" si="1227"/>
        <v>0</v>
      </c>
      <c r="EF186" s="120">
        <f t="shared" si="1227"/>
        <v>0</v>
      </c>
      <c r="EG186" s="120">
        <f t="shared" si="1227"/>
        <v>0</v>
      </c>
      <c r="EH186" s="120">
        <f t="shared" si="1227"/>
        <v>0</v>
      </c>
      <c r="EI186" s="120">
        <f t="shared" ref="EI186:FN186" si="1228">EI151+EI170</f>
        <v>0</v>
      </c>
      <c r="EJ186" s="120">
        <f t="shared" si="1228"/>
        <v>0</v>
      </c>
      <c r="EK186" s="120">
        <f t="shared" si="1228"/>
        <v>0</v>
      </c>
      <c r="EL186" s="120">
        <f t="shared" si="1228"/>
        <v>0</v>
      </c>
      <c r="EM186" s="120">
        <f t="shared" si="1228"/>
        <v>0</v>
      </c>
      <c r="EN186" s="120">
        <f t="shared" si="1228"/>
        <v>0</v>
      </c>
      <c r="EO186" s="120">
        <f t="shared" si="1228"/>
        <v>0</v>
      </c>
      <c r="EP186" s="120">
        <f t="shared" si="1228"/>
        <v>0</v>
      </c>
      <c r="EQ186" s="120">
        <f t="shared" si="1228"/>
        <v>0</v>
      </c>
      <c r="ER186" s="120">
        <f t="shared" si="1228"/>
        <v>0</v>
      </c>
      <c r="ES186" s="120">
        <f t="shared" si="1228"/>
        <v>0</v>
      </c>
      <c r="ET186" s="120">
        <f t="shared" si="1228"/>
        <v>0</v>
      </c>
      <c r="EU186" s="120">
        <f t="shared" si="1228"/>
        <v>0</v>
      </c>
      <c r="EV186" s="120">
        <f t="shared" si="1228"/>
        <v>0</v>
      </c>
      <c r="EW186" s="120">
        <f t="shared" si="1228"/>
        <v>0</v>
      </c>
      <c r="EX186" s="120">
        <f t="shared" si="1228"/>
        <v>0</v>
      </c>
      <c r="EY186" s="120">
        <f t="shared" si="1228"/>
        <v>0</v>
      </c>
      <c r="EZ186" s="120">
        <f t="shared" si="1228"/>
        <v>0</v>
      </c>
      <c r="FA186" s="120">
        <f t="shared" si="1228"/>
        <v>0</v>
      </c>
      <c r="FB186" s="120">
        <f t="shared" si="1228"/>
        <v>0</v>
      </c>
      <c r="FC186" s="120">
        <f t="shared" si="1228"/>
        <v>0</v>
      </c>
      <c r="FD186" s="120">
        <f t="shared" si="1228"/>
        <v>0</v>
      </c>
      <c r="FE186" s="120">
        <f t="shared" si="1228"/>
        <v>0</v>
      </c>
      <c r="FF186" s="120">
        <f t="shared" si="1228"/>
        <v>0</v>
      </c>
      <c r="FG186" s="120">
        <f t="shared" si="1228"/>
        <v>0</v>
      </c>
      <c r="FH186" s="120">
        <f t="shared" si="1228"/>
        <v>0</v>
      </c>
      <c r="FI186" s="120">
        <f t="shared" si="1228"/>
        <v>0</v>
      </c>
      <c r="FJ186" s="120">
        <f t="shared" si="1228"/>
        <v>0</v>
      </c>
      <c r="FK186" s="120">
        <f t="shared" si="1228"/>
        <v>0</v>
      </c>
      <c r="FL186" s="120">
        <f t="shared" si="1228"/>
        <v>0</v>
      </c>
      <c r="FM186" s="120">
        <f t="shared" si="1228"/>
        <v>0</v>
      </c>
      <c r="FN186" s="120">
        <f t="shared" si="1228"/>
        <v>0</v>
      </c>
      <c r="FO186" s="120">
        <f t="shared" ref="FO186:GC186" si="1229">FO151+FO170</f>
        <v>0</v>
      </c>
      <c r="FP186" s="120">
        <f t="shared" si="1229"/>
        <v>0</v>
      </c>
      <c r="FQ186" s="120">
        <f t="shared" si="1229"/>
        <v>0</v>
      </c>
      <c r="FR186" s="120">
        <f t="shared" si="1229"/>
        <v>0</v>
      </c>
      <c r="FS186" s="120">
        <f t="shared" si="1229"/>
        <v>0</v>
      </c>
      <c r="FT186" s="120">
        <f t="shared" si="1229"/>
        <v>0</v>
      </c>
      <c r="FU186" s="120">
        <f t="shared" si="1229"/>
        <v>0</v>
      </c>
      <c r="FV186" s="120">
        <f t="shared" si="1229"/>
        <v>0</v>
      </c>
      <c r="FW186" s="120">
        <f t="shared" si="1229"/>
        <v>0</v>
      </c>
      <c r="FX186" s="120">
        <f t="shared" si="1229"/>
        <v>0</v>
      </c>
      <c r="FY186" s="120">
        <f t="shared" si="1229"/>
        <v>0</v>
      </c>
      <c r="FZ186" s="120">
        <f t="shared" si="1229"/>
        <v>0</v>
      </c>
      <c r="GA186" s="120">
        <f t="shared" si="1229"/>
        <v>0</v>
      </c>
      <c r="GB186" s="120">
        <f t="shared" si="1229"/>
        <v>0</v>
      </c>
      <c r="GC186" s="120">
        <f t="shared" si="1229"/>
        <v>0</v>
      </c>
      <c r="GD186" s="120"/>
      <c r="GE186" s="120"/>
      <c r="GF186" s="120"/>
      <c r="GG186" s="120"/>
      <c r="GH186" s="120"/>
      <c r="GI186" s="120"/>
      <c r="GJ186" s="120"/>
      <c r="GK186" s="120"/>
      <c r="GL186" s="120"/>
      <c r="GM186" s="120"/>
      <c r="GN186" s="120"/>
      <c r="GO186" s="120"/>
      <c r="GP186" s="120">
        <f>GP151+GP170</f>
        <v>0</v>
      </c>
      <c r="GQ186" s="120">
        <f>GQ151+GQ170</f>
        <v>0</v>
      </c>
      <c r="GR186" s="120">
        <f>GR151+GR170</f>
        <v>0</v>
      </c>
      <c r="GS186" s="26">
        <f>GS151+GS170</f>
        <v>0</v>
      </c>
      <c r="GT186" s="26">
        <f>GT151+GT170</f>
        <v>0</v>
      </c>
      <c r="GU186" s="26"/>
      <c r="GV186" s="26"/>
      <c r="GW186" s="26"/>
      <c r="GX186" s="26"/>
      <c r="GY186" s="26"/>
      <c r="GZ186" s="26"/>
      <c r="HA186" s="26"/>
      <c r="HB186" s="26"/>
      <c r="HC186" s="26"/>
      <c r="HD186" s="26"/>
      <c r="HE186" s="26"/>
      <c r="HF186" s="1" t="s">
        <v>212</v>
      </c>
      <c r="HH186" s="84" t="str">
        <f t="shared" si="1174"/>
        <v>(-) Principal Paydown</v>
      </c>
      <c r="HI186" s="120"/>
      <c r="HJ186" s="120"/>
      <c r="HK186" s="120"/>
      <c r="HL186" s="119">
        <f t="shared" ca="1" si="1156"/>
        <v>-21795.794000000002</v>
      </c>
      <c r="HM186" s="120"/>
      <c r="HN186" s="140">
        <f t="shared" si="1157"/>
        <v>0</v>
      </c>
      <c r="HO186" s="120">
        <f t="shared" si="1157"/>
        <v>0</v>
      </c>
      <c r="HP186" s="120">
        <f t="shared" si="1157"/>
        <v>0</v>
      </c>
      <c r="HQ186" s="120">
        <f t="shared" si="1157"/>
        <v>0</v>
      </c>
      <c r="HR186" s="120">
        <f t="shared" si="1157"/>
        <v>0</v>
      </c>
      <c r="HS186" s="120">
        <f t="shared" ca="1" si="1157"/>
        <v>-21795.794000000002</v>
      </c>
      <c r="HT186" s="120">
        <f t="shared" si="1157"/>
        <v>0</v>
      </c>
      <c r="HU186" s="120">
        <f t="shared" si="1157"/>
        <v>0</v>
      </c>
      <c r="HV186" s="120">
        <f t="shared" si="1157"/>
        <v>0</v>
      </c>
      <c r="HW186"/>
    </row>
    <row r="187" spans="1:231" ht="16" thickBot="1">
      <c r="B187" s="33" t="s">
        <v>2500</v>
      </c>
      <c r="I187" s="134">
        <f ca="1">SUMIF($K$13:$GT$13,"&lt;="&amp;Assumptions!$L$17,'Monthly Cash Flow'!K187:GT187)</f>
        <v>11128.598916911458</v>
      </c>
      <c r="J187" s="26"/>
      <c r="K187" s="470">
        <f>SUM(K178:K186)</f>
        <v>-13708</v>
      </c>
      <c r="L187" s="209">
        <f ca="1">SUM(L178:L186)</f>
        <v>-41.229470000000006</v>
      </c>
      <c r="M187" s="209">
        <f ca="1">SUM(M178:M186)</f>
        <v>-67.647770000000008</v>
      </c>
      <c r="N187" s="209">
        <f t="shared" ref="N187:BY187" ca="1" si="1230">SUM(N178:N186)</f>
        <v>-31.592039999999997</v>
      </c>
      <c r="O187" s="209">
        <f t="shared" ca="1" si="1230"/>
        <v>-73.803759999999983</v>
      </c>
      <c r="P187" s="209">
        <f t="shared" ca="1" si="1230"/>
        <v>-24.374559999999988</v>
      </c>
      <c r="Q187" s="209">
        <f t="shared" ca="1" si="1230"/>
        <v>-44.026059999999987</v>
      </c>
      <c r="R187" s="209">
        <f t="shared" ca="1" si="1230"/>
        <v>-31.574699999999993</v>
      </c>
      <c r="S187" s="209">
        <f t="shared" ca="1" si="1230"/>
        <v>41.945560000000029</v>
      </c>
      <c r="T187" s="209">
        <f t="shared" ca="1" si="1230"/>
        <v>-34.480219999999974</v>
      </c>
      <c r="U187" s="209">
        <f t="shared" ca="1" si="1230"/>
        <v>54.283529999999999</v>
      </c>
      <c r="V187" s="209">
        <f t="shared" ca="1" si="1230"/>
        <v>133.06851999999998</v>
      </c>
      <c r="W187" s="209">
        <f t="shared" ca="1" si="1230"/>
        <v>-232.32571999999999</v>
      </c>
      <c r="X187" s="209">
        <f t="shared" ca="1" si="1230"/>
        <v>-27.841539999999981</v>
      </c>
      <c r="Y187" s="209">
        <f t="shared" ca="1" si="1230"/>
        <v>-115.24563000000001</v>
      </c>
      <c r="Z187" s="209">
        <f t="shared" ca="1" si="1230"/>
        <v>-32.848719999999958</v>
      </c>
      <c r="AA187" s="209">
        <f t="shared" ca="1" si="1230"/>
        <v>5.3203300000000269</v>
      </c>
      <c r="AB187" s="209">
        <f t="shared" ca="1" si="1230"/>
        <v>-49.037240000000011</v>
      </c>
      <c r="AC187" s="209">
        <f t="shared" ca="1" si="1230"/>
        <v>-86.348610000000008</v>
      </c>
      <c r="AD187" s="209">
        <f t="shared" ca="1" si="1230"/>
        <v>-6.6120400000000075</v>
      </c>
      <c r="AE187" s="209">
        <f t="shared" ca="1" si="1230"/>
        <v>-11.428170000000023</v>
      </c>
      <c r="AF187" s="209">
        <f t="shared" ca="1" si="1230"/>
        <v>-33.447289999999953</v>
      </c>
      <c r="AG187" s="209">
        <f t="shared" ca="1" si="1230"/>
        <v>-41.16231999999998</v>
      </c>
      <c r="AH187" s="209">
        <f t="shared" ca="1" si="1230"/>
        <v>-20.904310000000009</v>
      </c>
      <c r="AI187" s="209">
        <f t="shared" ca="1" si="1230"/>
        <v>-45.802730845425273</v>
      </c>
      <c r="AJ187" s="209">
        <f t="shared" ca="1" si="1230"/>
        <v>-64.111910000000009</v>
      </c>
      <c r="AK187" s="209">
        <f t="shared" ca="1" si="1230"/>
        <v>-79.341940000000051</v>
      </c>
      <c r="AL187" s="209">
        <f t="shared" ca="1" si="1230"/>
        <v>-266.60474000000062</v>
      </c>
      <c r="AM187" s="209">
        <f t="shared" ca="1" si="1230"/>
        <v>-9.9833600000000047</v>
      </c>
      <c r="AN187" s="209">
        <f t="shared" ca="1" si="1230"/>
        <v>-93.205800000002512</v>
      </c>
      <c r="AO187" s="209">
        <f t="shared" ca="1" si="1230"/>
        <v>-80.118419999996391</v>
      </c>
      <c r="AP187" s="209">
        <f t="shared" ca="1" si="1230"/>
        <v>-175.60986402388343</v>
      </c>
      <c r="AQ187" s="209">
        <f t="shared" ca="1" si="1230"/>
        <v>-42.135170000003001</v>
      </c>
      <c r="AR187" s="209">
        <f t="shared" ca="1" si="1230"/>
        <v>-40.118069999996351</v>
      </c>
      <c r="AS187" s="209">
        <f t="shared" ca="1" si="1230"/>
        <v>-6.1919700000000262</v>
      </c>
      <c r="AT187" s="209">
        <f t="shared" ca="1" si="1230"/>
        <v>-28.269380000000012</v>
      </c>
      <c r="AU187" s="209">
        <f t="shared" ca="1" si="1230"/>
        <v>-5.794399999999996</v>
      </c>
      <c r="AV187" s="209">
        <f t="shared" ca="1" si="1230"/>
        <v>-5.5704599999999971</v>
      </c>
      <c r="AW187" s="209">
        <f t="shared" ca="1" si="1230"/>
        <v>-269.57748000000146</v>
      </c>
      <c r="AX187" s="209">
        <f t="shared" ca="1" si="1230"/>
        <v>-18.052980000000019</v>
      </c>
      <c r="AY187" s="209">
        <f t="shared" ca="1" si="1230"/>
        <v>-21.07729999999998</v>
      </c>
      <c r="AZ187" s="209">
        <f t="shared" ca="1" si="1230"/>
        <v>-203.62462958111243</v>
      </c>
      <c r="BA187" s="209">
        <f t="shared" ca="1" si="1230"/>
        <v>-149.19205000000053</v>
      </c>
      <c r="BB187" s="209">
        <f t="shared" ca="1" si="1230"/>
        <v>-19.323029999999989</v>
      </c>
      <c r="BC187" s="209">
        <f t="shared" ca="1" si="1230"/>
        <v>-159.21451999999857</v>
      </c>
      <c r="BD187" s="209">
        <f t="shared" ca="1" si="1230"/>
        <v>-42.728480000001611</v>
      </c>
      <c r="BE187" s="209">
        <f t="shared" ca="1" si="1230"/>
        <v>34.22075000000001</v>
      </c>
      <c r="BF187" s="209">
        <f t="shared" ca="1" si="1230"/>
        <v>40.749869999999959</v>
      </c>
      <c r="BG187" s="209">
        <f t="shared" ca="1" si="1230"/>
        <v>-75.45189000000002</v>
      </c>
      <c r="BH187" s="209">
        <f t="shared" ca="1" si="1230"/>
        <v>23.668309999999977</v>
      </c>
      <c r="BI187" s="209">
        <f t="shared" ca="1" si="1230"/>
        <v>6.5428799999999825</v>
      </c>
      <c r="BJ187" s="209">
        <f t="shared" ca="1" si="1230"/>
        <v>-468.81240000000003</v>
      </c>
      <c r="BK187" s="209">
        <f t="shared" ca="1" si="1230"/>
        <v>39.225409999999997</v>
      </c>
      <c r="BL187" s="209">
        <f t="shared" ca="1" si="1230"/>
        <v>7.5832400000000035</v>
      </c>
      <c r="BM187" s="209">
        <f t="shared" ca="1" si="1230"/>
        <v>-98.088319999999939</v>
      </c>
      <c r="BN187" s="209">
        <f t="shared" ca="1" si="1230"/>
        <v>-2.2469199999999603</v>
      </c>
      <c r="BO187" s="209">
        <f t="shared" ca="1" si="1230"/>
        <v>9.7761899999999997</v>
      </c>
      <c r="BP187" s="209">
        <f t="shared" ca="1" si="1230"/>
        <v>-88.698799999999991</v>
      </c>
      <c r="BQ187" s="209">
        <f t="shared" ca="1" si="1230"/>
        <v>7.8888199999999813</v>
      </c>
      <c r="BR187" s="209">
        <f t="shared" ca="1" si="1230"/>
        <v>-114.42168999999906</v>
      </c>
      <c r="BS187" s="209">
        <f t="shared" ca="1" si="1230"/>
        <v>-501.62116999999853</v>
      </c>
      <c r="BT187" s="209">
        <f t="shared" ca="1" si="1230"/>
        <v>-40.044030000000006</v>
      </c>
      <c r="BU187" s="209">
        <f t="shared" ca="1" si="1230"/>
        <v>-30.121659999999963</v>
      </c>
      <c r="BV187" s="209">
        <f t="shared" ca="1" si="1230"/>
        <v>8.5182099999999821</v>
      </c>
      <c r="BW187" s="209">
        <f t="shared" ca="1" si="1230"/>
        <v>76.141459999999967</v>
      </c>
      <c r="BX187" s="209">
        <f t="shared" ca="1" si="1230"/>
        <v>-5.4213900000000592</v>
      </c>
      <c r="BY187" s="209">
        <f t="shared" ca="1" si="1230"/>
        <v>27.669080000000022</v>
      </c>
      <c r="BZ187" s="209">
        <f t="shared" ref="BZ187:EK187" ca="1" si="1231">SUM(BZ178:BZ186)</f>
        <v>82.17413999999998</v>
      </c>
      <c r="CA187" s="209">
        <f t="shared" ca="1" si="1231"/>
        <v>-75.128219999999999</v>
      </c>
      <c r="CB187" s="209">
        <f t="shared" ca="1" si="1231"/>
        <v>25.984249999999989</v>
      </c>
      <c r="CC187" s="209">
        <f t="shared" ca="1" si="1231"/>
        <v>34.439579999999978</v>
      </c>
      <c r="CD187" s="209">
        <f t="shared" ca="1" si="1231"/>
        <v>-12.867059999999981</v>
      </c>
      <c r="CE187" s="209">
        <f t="shared" ca="1" si="1231"/>
        <v>-8.3577399999999642</v>
      </c>
      <c r="CF187" s="209">
        <f t="shared" ca="1" si="1231"/>
        <v>25.573719999999952</v>
      </c>
      <c r="CG187" s="209">
        <f t="shared" ca="1" si="1231"/>
        <v>-11.887410000000045</v>
      </c>
      <c r="CH187" s="209">
        <f t="shared" ca="1" si="1231"/>
        <v>14.746900000000011</v>
      </c>
      <c r="CI187" s="209">
        <f t="shared" ca="1" si="1231"/>
        <v>14.28969799064015</v>
      </c>
      <c r="CJ187" s="209">
        <f t="shared" ca="1" si="1231"/>
        <v>23.79786026666666</v>
      </c>
      <c r="CK187" s="209">
        <f t="shared" ca="1" si="1231"/>
        <v>19.756822275555564</v>
      </c>
      <c r="CL187" s="209">
        <f t="shared" ca="1" si="1231"/>
        <v>20.152822275555522</v>
      </c>
      <c r="CM187" s="209">
        <f t="shared" ca="1" si="1231"/>
        <v>32.27593624888884</v>
      </c>
      <c r="CN187" s="209">
        <f t="shared" ca="1" si="1231"/>
        <v>20.256339030405655</v>
      </c>
      <c r="CO187" s="209">
        <f t="shared" ca="1" si="1231"/>
        <v>23.945183017989407</v>
      </c>
      <c r="CP187" s="209">
        <f t="shared" ca="1" si="1231"/>
        <v>31.8543725401058</v>
      </c>
      <c r="CQ187" s="209">
        <f t="shared" ca="1" si="1231"/>
        <v>36.090991102645475</v>
      </c>
      <c r="CR187" s="209">
        <f t="shared" ca="1" si="1231"/>
        <v>-8.2667096604673986</v>
      </c>
      <c r="CS187" s="209">
        <f t="shared" ca="1" si="1231"/>
        <v>-26.374192023783081</v>
      </c>
      <c r="CT187" s="209">
        <f t="shared" ca="1" si="1231"/>
        <v>22.436769442592578</v>
      </c>
      <c r="CU187" s="209">
        <f t="shared" ca="1" si="1231"/>
        <v>12.17643268450621</v>
      </c>
      <c r="CV187" s="209">
        <f t="shared" ca="1" si="1231"/>
        <v>24.334799849999996</v>
      </c>
      <c r="CW187" s="209">
        <f t="shared" ca="1" si="1231"/>
        <v>19.446426511666658</v>
      </c>
      <c r="CX187" s="209">
        <f t="shared" ca="1" si="1231"/>
        <v>-9.5015734883333494</v>
      </c>
      <c r="CY187" s="209">
        <f t="shared" ca="1" si="1231"/>
        <v>27.320173188333371</v>
      </c>
      <c r="CZ187" s="209">
        <f t="shared" ca="1" si="1231"/>
        <v>-8.9514706716666694</v>
      </c>
      <c r="DA187" s="209">
        <f t="shared" ca="1" si="1231"/>
        <v>20.571899350000052</v>
      </c>
      <c r="DB187" s="209">
        <f t="shared" ca="1" si="1231"/>
        <v>33.169461556111173</v>
      </c>
      <c r="DC187" s="209">
        <f t="shared" ca="1" si="1231"/>
        <v>62.8837126833333</v>
      </c>
      <c r="DD187" s="209">
        <f t="shared" ca="1" si="1231"/>
        <v>56.456198956111081</v>
      </c>
      <c r="DE187" s="209">
        <f t="shared" ca="1" si="1231"/>
        <v>57.000198956111092</v>
      </c>
      <c r="DF187" s="209">
        <f t="shared" ca="1" si="1231"/>
        <v>63.119773183333308</v>
      </c>
      <c r="DG187" s="209">
        <f t="shared" ca="1" si="1231"/>
        <v>58.421198956111112</v>
      </c>
      <c r="DH187" s="209">
        <f t="shared" ca="1" si="1231"/>
        <v>64.534773183333385</v>
      </c>
      <c r="DI187" s="209">
        <f t="shared" ca="1" si="1231"/>
        <v>27810.627823956129</v>
      </c>
      <c r="DJ187" s="209">
        <f t="shared" ca="1" si="1231"/>
        <v>0</v>
      </c>
      <c r="DK187" s="209">
        <f t="shared" ca="1" si="1231"/>
        <v>0</v>
      </c>
      <c r="DL187" s="209">
        <f t="shared" ca="1" si="1231"/>
        <v>0</v>
      </c>
      <c r="DM187" s="209">
        <f t="shared" ca="1" si="1231"/>
        <v>0</v>
      </c>
      <c r="DN187" s="209">
        <f t="shared" ca="1" si="1231"/>
        <v>0</v>
      </c>
      <c r="DO187" s="209">
        <f t="shared" ca="1" si="1231"/>
        <v>0</v>
      </c>
      <c r="DP187" s="209">
        <f t="shared" ca="1" si="1231"/>
        <v>0</v>
      </c>
      <c r="DQ187" s="209">
        <f t="shared" ca="1" si="1231"/>
        <v>0</v>
      </c>
      <c r="DR187" s="209">
        <f t="shared" ca="1" si="1231"/>
        <v>0</v>
      </c>
      <c r="DS187" s="209">
        <f t="shared" ca="1" si="1231"/>
        <v>0</v>
      </c>
      <c r="DT187" s="209">
        <f t="shared" ca="1" si="1231"/>
        <v>0</v>
      </c>
      <c r="DU187" s="209">
        <f t="shared" ca="1" si="1231"/>
        <v>0</v>
      </c>
      <c r="DV187" s="209">
        <f t="shared" ca="1" si="1231"/>
        <v>0</v>
      </c>
      <c r="DW187" s="209">
        <f t="shared" ca="1" si="1231"/>
        <v>0</v>
      </c>
      <c r="DX187" s="209">
        <f t="shared" ca="1" si="1231"/>
        <v>0</v>
      </c>
      <c r="DY187" s="209">
        <f t="shared" ca="1" si="1231"/>
        <v>0</v>
      </c>
      <c r="DZ187" s="209">
        <f t="shared" ca="1" si="1231"/>
        <v>0</v>
      </c>
      <c r="EA187" s="209">
        <f t="shared" ca="1" si="1231"/>
        <v>0</v>
      </c>
      <c r="EB187" s="209">
        <f t="shared" ca="1" si="1231"/>
        <v>0</v>
      </c>
      <c r="EC187" s="209">
        <f t="shared" ca="1" si="1231"/>
        <v>0</v>
      </c>
      <c r="ED187" s="209">
        <f t="shared" ca="1" si="1231"/>
        <v>0</v>
      </c>
      <c r="EE187" s="209">
        <f t="shared" ca="1" si="1231"/>
        <v>0</v>
      </c>
      <c r="EF187" s="209">
        <f t="shared" ca="1" si="1231"/>
        <v>0</v>
      </c>
      <c r="EG187" s="209">
        <f t="shared" ca="1" si="1231"/>
        <v>0</v>
      </c>
      <c r="EH187" s="209">
        <f t="shared" ca="1" si="1231"/>
        <v>0</v>
      </c>
      <c r="EI187" s="209">
        <f t="shared" ca="1" si="1231"/>
        <v>0</v>
      </c>
      <c r="EJ187" s="209">
        <f t="shared" ca="1" si="1231"/>
        <v>0</v>
      </c>
      <c r="EK187" s="209">
        <f t="shared" ca="1" si="1231"/>
        <v>0</v>
      </c>
      <c r="EL187" s="209">
        <f t="shared" ref="EL187:GW187" ca="1" si="1232">SUM(EL178:EL186)</f>
        <v>0</v>
      </c>
      <c r="EM187" s="209">
        <f t="shared" ca="1" si="1232"/>
        <v>0</v>
      </c>
      <c r="EN187" s="209">
        <f t="shared" ca="1" si="1232"/>
        <v>0</v>
      </c>
      <c r="EO187" s="209">
        <f t="shared" ca="1" si="1232"/>
        <v>0</v>
      </c>
      <c r="EP187" s="209">
        <f t="shared" ca="1" si="1232"/>
        <v>0</v>
      </c>
      <c r="EQ187" s="209">
        <f t="shared" ca="1" si="1232"/>
        <v>0</v>
      </c>
      <c r="ER187" s="209">
        <f t="shared" ca="1" si="1232"/>
        <v>0</v>
      </c>
      <c r="ES187" s="209">
        <f t="shared" ca="1" si="1232"/>
        <v>0</v>
      </c>
      <c r="ET187" s="209">
        <f t="shared" ca="1" si="1232"/>
        <v>0</v>
      </c>
      <c r="EU187" s="209">
        <f t="shared" ca="1" si="1232"/>
        <v>0</v>
      </c>
      <c r="EV187" s="209">
        <f t="shared" ca="1" si="1232"/>
        <v>0</v>
      </c>
      <c r="EW187" s="209">
        <f t="shared" ca="1" si="1232"/>
        <v>0</v>
      </c>
      <c r="EX187" s="209">
        <f t="shared" ca="1" si="1232"/>
        <v>0</v>
      </c>
      <c r="EY187" s="209">
        <f t="shared" ca="1" si="1232"/>
        <v>0</v>
      </c>
      <c r="EZ187" s="209">
        <f t="shared" ca="1" si="1232"/>
        <v>0</v>
      </c>
      <c r="FA187" s="209">
        <f t="shared" ca="1" si="1232"/>
        <v>0</v>
      </c>
      <c r="FB187" s="209">
        <f t="shared" ca="1" si="1232"/>
        <v>0</v>
      </c>
      <c r="FC187" s="209">
        <f t="shared" ca="1" si="1232"/>
        <v>0</v>
      </c>
      <c r="FD187" s="209">
        <f t="shared" ca="1" si="1232"/>
        <v>0</v>
      </c>
      <c r="FE187" s="209">
        <f t="shared" ca="1" si="1232"/>
        <v>0</v>
      </c>
      <c r="FF187" s="209">
        <f t="shared" ca="1" si="1232"/>
        <v>0</v>
      </c>
      <c r="FG187" s="209">
        <f t="shared" ca="1" si="1232"/>
        <v>0</v>
      </c>
      <c r="FH187" s="209">
        <f t="shared" ca="1" si="1232"/>
        <v>0</v>
      </c>
      <c r="FI187" s="209">
        <f t="shared" ca="1" si="1232"/>
        <v>0</v>
      </c>
      <c r="FJ187" s="209">
        <f t="shared" ca="1" si="1232"/>
        <v>0</v>
      </c>
      <c r="FK187" s="209">
        <f t="shared" ca="1" si="1232"/>
        <v>0</v>
      </c>
      <c r="FL187" s="209">
        <f t="shared" ca="1" si="1232"/>
        <v>0</v>
      </c>
      <c r="FM187" s="209">
        <f t="shared" ca="1" si="1232"/>
        <v>0</v>
      </c>
      <c r="FN187" s="209">
        <f t="shared" ca="1" si="1232"/>
        <v>0</v>
      </c>
      <c r="FO187" s="209">
        <f t="shared" ca="1" si="1232"/>
        <v>0</v>
      </c>
      <c r="FP187" s="209">
        <f t="shared" ca="1" si="1232"/>
        <v>0</v>
      </c>
      <c r="FQ187" s="209">
        <f t="shared" ca="1" si="1232"/>
        <v>0</v>
      </c>
      <c r="FR187" s="209">
        <f t="shared" ca="1" si="1232"/>
        <v>0</v>
      </c>
      <c r="FS187" s="209">
        <f t="shared" ca="1" si="1232"/>
        <v>0</v>
      </c>
      <c r="FT187" s="209">
        <f t="shared" ca="1" si="1232"/>
        <v>0</v>
      </c>
      <c r="FU187" s="209">
        <f t="shared" ca="1" si="1232"/>
        <v>0</v>
      </c>
      <c r="FV187" s="209">
        <f t="shared" ca="1" si="1232"/>
        <v>0</v>
      </c>
      <c r="FW187" s="209">
        <f t="shared" ca="1" si="1232"/>
        <v>0</v>
      </c>
      <c r="FX187" s="209">
        <f t="shared" ca="1" si="1232"/>
        <v>0</v>
      </c>
      <c r="FY187" s="209">
        <f t="shared" ca="1" si="1232"/>
        <v>0</v>
      </c>
      <c r="FZ187" s="209">
        <f t="shared" ca="1" si="1232"/>
        <v>0</v>
      </c>
      <c r="GA187" s="209">
        <f t="shared" ca="1" si="1232"/>
        <v>0</v>
      </c>
      <c r="GB187" s="209">
        <f t="shared" ca="1" si="1232"/>
        <v>0</v>
      </c>
      <c r="GC187" s="209">
        <f t="shared" ca="1" si="1232"/>
        <v>0</v>
      </c>
      <c r="GD187" s="209">
        <f t="shared" ca="1" si="1232"/>
        <v>0</v>
      </c>
      <c r="GE187" s="209">
        <f t="shared" ca="1" si="1232"/>
        <v>0</v>
      </c>
      <c r="GF187" s="209">
        <f t="shared" ca="1" si="1232"/>
        <v>0</v>
      </c>
      <c r="GG187" s="209">
        <f t="shared" ca="1" si="1232"/>
        <v>0</v>
      </c>
      <c r="GH187" s="209">
        <f t="shared" ca="1" si="1232"/>
        <v>0</v>
      </c>
      <c r="GI187" s="209">
        <f t="shared" ca="1" si="1232"/>
        <v>0</v>
      </c>
      <c r="GJ187" s="209">
        <f t="shared" ca="1" si="1232"/>
        <v>0</v>
      </c>
      <c r="GK187" s="209">
        <f t="shared" ca="1" si="1232"/>
        <v>0</v>
      </c>
      <c r="GL187" s="209">
        <f t="shared" ca="1" si="1232"/>
        <v>0</v>
      </c>
      <c r="GM187" s="209">
        <f t="shared" ca="1" si="1232"/>
        <v>0</v>
      </c>
      <c r="GN187" s="209">
        <f t="shared" ca="1" si="1232"/>
        <v>0</v>
      </c>
      <c r="GO187" s="209">
        <f t="shared" ca="1" si="1232"/>
        <v>0</v>
      </c>
      <c r="GP187" s="209">
        <f t="shared" ca="1" si="1232"/>
        <v>0</v>
      </c>
      <c r="GQ187" s="209">
        <f t="shared" ca="1" si="1232"/>
        <v>0</v>
      </c>
      <c r="GR187" s="209">
        <f t="shared" ca="1" si="1232"/>
        <v>0</v>
      </c>
      <c r="GS187" s="1587">
        <f t="shared" ca="1" si="1232"/>
        <v>0</v>
      </c>
      <c r="GT187" s="30">
        <f t="shared" ca="1" si="1232"/>
        <v>0</v>
      </c>
      <c r="GU187" s="30">
        <f t="shared" si="1232"/>
        <v>0</v>
      </c>
      <c r="GV187" s="30">
        <f t="shared" si="1232"/>
        <v>0</v>
      </c>
      <c r="GW187" s="30">
        <f t="shared" si="1232"/>
        <v>0</v>
      </c>
      <c r="GX187" s="30">
        <f t="shared" ref="GX187:HE187" si="1233">SUM(GX178:GX186)</f>
        <v>0</v>
      </c>
      <c r="GY187" s="30">
        <f t="shared" si="1233"/>
        <v>0</v>
      </c>
      <c r="GZ187" s="30">
        <f t="shared" si="1233"/>
        <v>0</v>
      </c>
      <c r="HA187" s="30">
        <f t="shared" si="1233"/>
        <v>0</v>
      </c>
      <c r="HB187" s="30">
        <f t="shared" si="1233"/>
        <v>0</v>
      </c>
      <c r="HC187" s="30">
        <f t="shared" si="1233"/>
        <v>0</v>
      </c>
      <c r="HD187" s="30">
        <f t="shared" si="1233"/>
        <v>0</v>
      </c>
      <c r="HE187" s="30">
        <f t="shared" si="1233"/>
        <v>0</v>
      </c>
      <c r="HF187" s="1" t="s">
        <v>212</v>
      </c>
      <c r="HI187" s="26"/>
      <c r="HJ187" s="26"/>
      <c r="HK187" s="26"/>
      <c r="HL187" s="132"/>
      <c r="HM187" s="26"/>
      <c r="HN187" s="133"/>
      <c r="HO187" s="26"/>
      <c r="HP187" s="26"/>
      <c r="HQ187" s="26"/>
      <c r="HR187" s="26"/>
      <c r="HS187" s="26"/>
      <c r="HT187" s="26"/>
      <c r="HU187" s="26"/>
      <c r="HV187" s="26"/>
      <c r="HW187"/>
    </row>
    <row r="188" spans="1:231" ht="15">
      <c r="B188" s="171" t="s">
        <v>5</v>
      </c>
      <c r="C188" s="6"/>
      <c r="D188" s="6"/>
      <c r="E188" s="6"/>
      <c r="F188" s="6"/>
      <c r="G188" s="6"/>
      <c r="H188" s="6"/>
      <c r="I188" s="173">
        <f ca="1">I187</f>
        <v>11128.598916911458</v>
      </c>
      <c r="J188" s="26"/>
      <c r="K188" s="133"/>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c r="GG188" s="26"/>
      <c r="GH188" s="26"/>
      <c r="GI188" s="26"/>
      <c r="GJ188" s="26"/>
      <c r="GK188" s="26"/>
      <c r="GL188" s="26"/>
      <c r="GM188" s="26"/>
      <c r="GN188" s="26"/>
      <c r="GO188" s="26"/>
      <c r="GP188" s="26"/>
      <c r="GQ188" s="26"/>
      <c r="GR188" s="26"/>
      <c r="GS188" s="26"/>
      <c r="GT188" s="26"/>
      <c r="GU188" s="26"/>
      <c r="GV188" s="26"/>
      <c r="GW188" s="26"/>
      <c r="GX188" s="26"/>
      <c r="GY188" s="26"/>
      <c r="GZ188" s="26"/>
      <c r="HA188" s="26"/>
      <c r="HB188" s="26"/>
      <c r="HC188" s="26"/>
      <c r="HD188" s="26"/>
      <c r="HE188" s="26"/>
      <c r="HF188" s="1" t="s">
        <v>212</v>
      </c>
      <c r="HI188" s="26"/>
      <c r="HJ188" s="26"/>
      <c r="HK188" s="26"/>
      <c r="HL188" s="132"/>
      <c r="HM188" s="26"/>
      <c r="HN188" s="133"/>
      <c r="HO188" s="26"/>
      <c r="HP188" s="26"/>
      <c r="HQ188" s="26"/>
      <c r="HR188" s="26"/>
      <c r="HS188" s="26"/>
      <c r="HT188" s="26"/>
      <c r="HU188" s="26"/>
      <c r="HV188" s="26"/>
      <c r="HW188"/>
    </row>
    <row r="189" spans="1:231" ht="15">
      <c r="B189" s="174" t="s">
        <v>7</v>
      </c>
      <c r="I189" s="175">
        <f ca="1">-SUMIF(K187:HE187,"&lt;0")</f>
        <v>18125.841500294671</v>
      </c>
      <c r="J189" s="26"/>
      <c r="K189" s="133"/>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26"/>
      <c r="BJ189" s="26"/>
      <c r="BK189" s="26"/>
      <c r="BL189" s="26"/>
      <c r="BM189" s="26"/>
      <c r="BN189" s="26"/>
      <c r="BO189" s="26"/>
      <c r="BP189" s="26"/>
      <c r="BQ189" s="26"/>
      <c r="BR189" s="26"/>
      <c r="BS189" s="26"/>
      <c r="BT189" s="26"/>
      <c r="BU189" s="26"/>
      <c r="BV189" s="26"/>
      <c r="BW189" s="26"/>
      <c r="BX189" s="26"/>
      <c r="BY189" s="26"/>
      <c r="BZ189" s="26"/>
      <c r="CA189" s="26"/>
      <c r="CB189" s="26"/>
      <c r="CC189" s="26"/>
      <c r="CD189" s="26"/>
      <c r="CE189" s="26"/>
      <c r="CF189" s="26"/>
      <c r="CG189" s="26"/>
      <c r="CH189" s="26"/>
      <c r="CI189" s="26"/>
      <c r="CJ189" s="26"/>
      <c r="CK189" s="26"/>
      <c r="CL189" s="26"/>
      <c r="CM189" s="26"/>
      <c r="CN189" s="26"/>
      <c r="CO189" s="26"/>
      <c r="CP189" s="26"/>
      <c r="CQ189" s="26"/>
      <c r="CR189" s="26"/>
      <c r="CS189" s="26"/>
      <c r="CT189" s="26"/>
      <c r="CU189" s="26"/>
      <c r="CV189" s="26"/>
      <c r="CW189" s="26"/>
      <c r="CX189" s="26"/>
      <c r="CY189" s="26"/>
      <c r="CZ189" s="26"/>
      <c r="DA189" s="26"/>
      <c r="DB189" s="26"/>
      <c r="DC189" s="26"/>
      <c r="DD189" s="26"/>
      <c r="DE189" s="26"/>
      <c r="DF189" s="26"/>
      <c r="DG189" s="26"/>
      <c r="DH189" s="26"/>
      <c r="DI189" s="26"/>
      <c r="DJ189" s="26"/>
      <c r="DK189" s="26"/>
      <c r="DL189" s="26"/>
      <c r="DM189" s="26"/>
      <c r="DN189" s="26"/>
      <c r="DO189" s="26"/>
      <c r="DP189" s="26"/>
      <c r="DQ189" s="26"/>
      <c r="DR189" s="26"/>
      <c r="DS189" s="26"/>
      <c r="DT189" s="26"/>
      <c r="DU189" s="26"/>
      <c r="DV189" s="26"/>
      <c r="DW189" s="26"/>
      <c r="DX189" s="26"/>
      <c r="DY189" s="26"/>
      <c r="DZ189" s="26"/>
      <c r="EA189" s="26"/>
      <c r="EB189" s="26"/>
      <c r="EC189" s="26"/>
      <c r="ED189" s="26"/>
      <c r="EE189" s="26"/>
      <c r="EF189" s="26"/>
      <c r="EG189" s="26"/>
      <c r="EH189" s="26"/>
      <c r="EI189" s="26"/>
      <c r="EJ189" s="26"/>
      <c r="EK189" s="26"/>
      <c r="EL189" s="26"/>
      <c r="EM189" s="26"/>
      <c r="EN189" s="26"/>
      <c r="EO189" s="26"/>
      <c r="EP189" s="26"/>
      <c r="EQ189" s="26"/>
      <c r="ER189" s="26"/>
      <c r="ES189" s="26"/>
      <c r="ET189" s="26"/>
      <c r="EU189" s="26"/>
      <c r="EV189" s="26"/>
      <c r="EW189" s="26"/>
      <c r="EX189" s="26"/>
      <c r="EY189" s="26"/>
      <c r="EZ189" s="26"/>
      <c r="FA189" s="26"/>
      <c r="FB189" s="26"/>
      <c r="FC189" s="26"/>
      <c r="FD189" s="26"/>
      <c r="FE189" s="26"/>
      <c r="FF189" s="26"/>
      <c r="FG189" s="26"/>
      <c r="FH189" s="26"/>
      <c r="FI189" s="26"/>
      <c r="FJ189" s="26"/>
      <c r="FK189" s="26"/>
      <c r="FL189" s="26"/>
      <c r="FM189" s="26"/>
      <c r="FN189" s="26"/>
      <c r="FO189" s="26"/>
      <c r="FP189" s="26"/>
      <c r="FQ189" s="26"/>
      <c r="FR189" s="26"/>
      <c r="FS189" s="26"/>
      <c r="FT189" s="26"/>
      <c r="FU189" s="26"/>
      <c r="FV189" s="26"/>
      <c r="FW189" s="26"/>
      <c r="FX189" s="26"/>
      <c r="FY189" s="26"/>
      <c r="FZ189" s="26"/>
      <c r="GA189" s="26"/>
      <c r="GB189" s="26"/>
      <c r="GC189" s="26"/>
      <c r="GD189" s="26"/>
      <c r="GE189" s="26"/>
      <c r="GF189" s="26"/>
      <c r="GG189" s="26"/>
      <c r="GH189" s="26"/>
      <c r="GI189" s="26"/>
      <c r="GJ189" s="26"/>
      <c r="GK189" s="26"/>
      <c r="GL189" s="26"/>
      <c r="GM189" s="26"/>
      <c r="GN189" s="26"/>
      <c r="GO189" s="26"/>
      <c r="GP189" s="26"/>
      <c r="GQ189" s="26"/>
      <c r="GR189" s="26"/>
      <c r="GS189" s="26"/>
      <c r="GT189" s="26"/>
      <c r="GU189" s="26"/>
      <c r="GV189" s="26"/>
      <c r="GW189" s="26"/>
      <c r="GX189" s="26"/>
      <c r="GY189" s="26"/>
      <c r="GZ189" s="26"/>
      <c r="HA189" s="26"/>
      <c r="HB189" s="26"/>
      <c r="HC189" s="26"/>
      <c r="HD189" s="26"/>
      <c r="HE189" s="26"/>
      <c r="HI189" s="26"/>
      <c r="HJ189" s="26"/>
      <c r="HK189" s="26"/>
      <c r="HL189" s="132"/>
      <c r="HM189" s="26"/>
      <c r="HN189" s="133"/>
      <c r="HO189" s="26"/>
      <c r="HP189" s="26"/>
      <c r="HQ189" s="26"/>
      <c r="HR189" s="26"/>
      <c r="HS189" s="26"/>
      <c r="HT189" s="26"/>
      <c r="HU189" s="26"/>
      <c r="HV189" s="26"/>
      <c r="HW189"/>
    </row>
    <row r="190" spans="1:231" ht="15">
      <c r="B190" s="174" t="s">
        <v>9</v>
      </c>
      <c r="I190" s="177">
        <f ca="1">I188/I189+1</f>
        <v>1.6139631595438226</v>
      </c>
      <c r="J190" s="26"/>
      <c r="K190" s="133"/>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26"/>
      <c r="BH190" s="26"/>
      <c r="BI190" s="26"/>
      <c r="BJ190" s="26"/>
      <c r="BK190" s="26"/>
      <c r="BL190" s="26"/>
      <c r="BM190" s="26"/>
      <c r="BN190" s="26"/>
      <c r="BO190" s="26"/>
      <c r="BP190" s="26"/>
      <c r="BQ190" s="26"/>
      <c r="BR190" s="26"/>
      <c r="BS190" s="26"/>
      <c r="BT190" s="26"/>
      <c r="BU190" s="26"/>
      <c r="BV190" s="26"/>
      <c r="BW190" s="26"/>
      <c r="BX190" s="26"/>
      <c r="BY190" s="26"/>
      <c r="BZ190" s="26"/>
      <c r="CA190" s="26"/>
      <c r="CB190" s="26"/>
      <c r="CC190" s="26"/>
      <c r="CD190" s="26"/>
      <c r="CE190" s="26"/>
      <c r="CF190" s="26"/>
      <c r="CG190" s="26"/>
      <c r="CH190" s="26"/>
      <c r="CI190" s="26"/>
      <c r="CJ190" s="26"/>
      <c r="CK190" s="26"/>
      <c r="CL190" s="26"/>
      <c r="CM190" s="26"/>
      <c r="CN190" s="26"/>
      <c r="CO190" s="26"/>
      <c r="CP190" s="26"/>
      <c r="CQ190" s="26"/>
      <c r="CR190" s="26"/>
      <c r="CS190" s="26"/>
      <c r="CT190" s="26"/>
      <c r="CU190" s="26"/>
      <c r="CV190" s="26"/>
      <c r="CW190" s="26"/>
      <c r="CX190" s="26"/>
      <c r="CY190" s="26"/>
      <c r="CZ190" s="26"/>
      <c r="DA190" s="26"/>
      <c r="DB190" s="26"/>
      <c r="DC190" s="26"/>
      <c r="DD190" s="26"/>
      <c r="DE190" s="26"/>
      <c r="DF190" s="26"/>
      <c r="DG190" s="26"/>
      <c r="DH190" s="26"/>
      <c r="DI190" s="26"/>
      <c r="DJ190" s="26"/>
      <c r="DK190" s="26"/>
      <c r="DL190" s="26"/>
      <c r="DM190" s="26"/>
      <c r="DN190" s="26"/>
      <c r="DO190" s="26"/>
      <c r="DP190" s="26"/>
      <c r="DQ190" s="26"/>
      <c r="DR190" s="26"/>
      <c r="DS190" s="26"/>
      <c r="DT190" s="26"/>
      <c r="DU190" s="26"/>
      <c r="DV190" s="26"/>
      <c r="DW190" s="26"/>
      <c r="DX190" s="26"/>
      <c r="DY190" s="26"/>
      <c r="DZ190" s="26"/>
      <c r="EA190" s="26"/>
      <c r="EB190" s="26"/>
      <c r="EC190" s="26"/>
      <c r="ED190" s="26"/>
      <c r="EE190" s="26"/>
      <c r="EF190" s="26"/>
      <c r="EG190" s="26"/>
      <c r="EH190" s="26"/>
      <c r="EI190" s="26"/>
      <c r="EJ190" s="26"/>
      <c r="EK190" s="26"/>
      <c r="EL190" s="26"/>
      <c r="EM190" s="26"/>
      <c r="EN190" s="26"/>
      <c r="EO190" s="26"/>
      <c r="EP190" s="26"/>
      <c r="EQ190" s="26"/>
      <c r="ER190" s="26"/>
      <c r="ES190" s="26"/>
      <c r="ET190" s="26"/>
      <c r="EU190" s="26"/>
      <c r="EV190" s="26"/>
      <c r="EW190" s="26"/>
      <c r="EX190" s="26"/>
      <c r="EY190" s="26"/>
      <c r="EZ190" s="26"/>
      <c r="FA190" s="26"/>
      <c r="FB190" s="26"/>
      <c r="FC190" s="26"/>
      <c r="FD190" s="26"/>
      <c r="FE190" s="26"/>
      <c r="FF190" s="26"/>
      <c r="FG190" s="26"/>
      <c r="FH190" s="26"/>
      <c r="FI190" s="26"/>
      <c r="FJ190" s="26"/>
      <c r="FK190" s="26"/>
      <c r="FL190" s="26"/>
      <c r="FM190" s="26"/>
      <c r="FN190" s="26"/>
      <c r="FO190" s="26"/>
      <c r="FP190" s="26"/>
      <c r="FQ190" s="26"/>
      <c r="FR190" s="26"/>
      <c r="FS190" s="26"/>
      <c r="FT190" s="26"/>
      <c r="FU190" s="26"/>
      <c r="FV190" s="26"/>
      <c r="FW190" s="26"/>
      <c r="FX190" s="26"/>
      <c r="FY190" s="26"/>
      <c r="FZ190" s="26"/>
      <c r="GA190" s="26"/>
      <c r="GB190" s="26"/>
      <c r="GC190" s="26"/>
      <c r="GD190" s="26"/>
      <c r="GE190" s="26"/>
      <c r="GF190" s="26"/>
      <c r="GG190" s="26"/>
      <c r="GH190" s="26"/>
      <c r="GI190" s="26"/>
      <c r="GJ190" s="26"/>
      <c r="GK190" s="26"/>
      <c r="GL190" s="26"/>
      <c r="GM190" s="26"/>
      <c r="GN190" s="26"/>
      <c r="GO190" s="26"/>
      <c r="GP190" s="26"/>
      <c r="GQ190" s="26"/>
      <c r="GR190" s="26"/>
      <c r="GS190" s="26"/>
      <c r="GT190" s="26"/>
      <c r="GU190" s="26"/>
      <c r="GV190" s="26"/>
      <c r="GW190" s="26"/>
      <c r="GX190" s="26"/>
      <c r="GY190" s="26"/>
      <c r="GZ190" s="26"/>
      <c r="HA190" s="26"/>
      <c r="HB190" s="26"/>
      <c r="HC190" s="26"/>
      <c r="HD190" s="26"/>
      <c r="HE190" s="26"/>
      <c r="HI190" s="26"/>
      <c r="HJ190" s="26"/>
      <c r="HK190" s="26"/>
      <c r="HL190" s="132"/>
      <c r="HM190" s="26"/>
      <c r="HN190" s="133"/>
      <c r="HO190" s="26"/>
      <c r="HP190" s="26"/>
      <c r="HQ190" s="26"/>
      <c r="HR190" s="26"/>
      <c r="HS190" s="26"/>
      <c r="HT190" s="26"/>
      <c r="HU190" s="26"/>
      <c r="HV190" s="26"/>
      <c r="HW190"/>
    </row>
    <row r="191" spans="1:231" ht="16" thickBot="1">
      <c r="B191" s="178" t="s">
        <v>10</v>
      </c>
      <c r="C191" s="3"/>
      <c r="D191" s="3"/>
      <c r="E191" s="3"/>
      <c r="F191" s="3"/>
      <c r="G191" s="3"/>
      <c r="H191" s="3"/>
      <c r="I191" s="179">
        <f ca="1">XIRR(K187:GT187,$K$15:$GT$15)</f>
        <v>6.4570459723472612E-2</v>
      </c>
      <c r="J191" s="26"/>
      <c r="K191" s="133"/>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26"/>
      <c r="BH191" s="26"/>
      <c r="BI191" s="26"/>
      <c r="BJ191" s="26"/>
      <c r="BK191" s="26"/>
      <c r="BL191" s="26"/>
      <c r="BM191" s="26"/>
      <c r="BN191" s="26"/>
      <c r="BO191" s="26"/>
      <c r="BP191" s="26"/>
      <c r="BQ191" s="26"/>
      <c r="BR191" s="26"/>
      <c r="BS191" s="26"/>
      <c r="BT191" s="26"/>
      <c r="BU191" s="26"/>
      <c r="BV191" s="26"/>
      <c r="BW191" s="26"/>
      <c r="BX191" s="26"/>
      <c r="BY191" s="26"/>
      <c r="BZ191" s="26"/>
      <c r="CA191" s="26"/>
      <c r="CB191" s="26"/>
      <c r="CC191" s="26"/>
      <c r="CD191" s="26"/>
      <c r="CE191" s="26"/>
      <c r="CF191" s="26"/>
      <c r="CG191" s="26"/>
      <c r="CH191" s="26"/>
      <c r="CI191" s="26"/>
      <c r="CJ191" s="26"/>
      <c r="CK191" s="26"/>
      <c r="CL191" s="26"/>
      <c r="CM191" s="26"/>
      <c r="CN191" s="26"/>
      <c r="CO191" s="26"/>
      <c r="CP191" s="26"/>
      <c r="CQ191" s="26"/>
      <c r="CR191" s="26"/>
      <c r="CS191" s="26"/>
      <c r="CT191" s="26"/>
      <c r="CU191" s="26"/>
      <c r="CV191" s="26"/>
      <c r="CW191" s="26"/>
      <c r="CX191" s="26"/>
      <c r="CY191" s="26"/>
      <c r="CZ191" s="26"/>
      <c r="DA191" s="26"/>
      <c r="DB191" s="26"/>
      <c r="DC191" s="26"/>
      <c r="DD191" s="26"/>
      <c r="DE191" s="26"/>
      <c r="DF191" s="26"/>
      <c r="DG191" s="26"/>
      <c r="DH191" s="26"/>
      <c r="DI191" s="26"/>
      <c r="DJ191" s="26"/>
      <c r="DK191" s="26"/>
      <c r="DL191" s="26"/>
      <c r="DM191" s="26"/>
      <c r="DN191" s="26"/>
      <c r="DO191" s="26"/>
      <c r="DP191" s="26"/>
      <c r="DQ191" s="26"/>
      <c r="DR191" s="26"/>
      <c r="DS191" s="26"/>
      <c r="DT191" s="26"/>
      <c r="DU191" s="26"/>
      <c r="DV191" s="26"/>
      <c r="DW191" s="26"/>
      <c r="DX191" s="26"/>
      <c r="DY191" s="26"/>
      <c r="DZ191" s="26"/>
      <c r="EA191" s="26"/>
      <c r="EB191" s="26"/>
      <c r="EC191" s="26"/>
      <c r="ED191" s="26"/>
      <c r="EE191" s="26"/>
      <c r="EF191" s="26"/>
      <c r="EG191" s="26"/>
      <c r="EH191" s="26"/>
      <c r="EI191" s="26"/>
      <c r="EJ191" s="26"/>
      <c r="EK191" s="26"/>
      <c r="EL191" s="26"/>
      <c r="EM191" s="26"/>
      <c r="EN191" s="26"/>
      <c r="EO191" s="26"/>
      <c r="EP191" s="26"/>
      <c r="EQ191" s="26"/>
      <c r="ER191" s="26"/>
      <c r="ES191" s="26"/>
      <c r="ET191" s="26"/>
      <c r="EU191" s="26"/>
      <c r="EV191" s="26"/>
      <c r="EW191" s="26"/>
      <c r="EX191" s="26"/>
      <c r="EY191" s="26"/>
      <c r="EZ191" s="26"/>
      <c r="FA191" s="26"/>
      <c r="FB191" s="26"/>
      <c r="FC191" s="26"/>
      <c r="FD191" s="26"/>
      <c r="FE191" s="26"/>
      <c r="FF191" s="26"/>
      <c r="FG191" s="26"/>
      <c r="FH191" s="26"/>
      <c r="FI191" s="26"/>
      <c r="FJ191" s="26"/>
      <c r="FK191" s="26"/>
      <c r="FL191" s="26"/>
      <c r="FM191" s="26"/>
      <c r="FN191" s="26"/>
      <c r="FO191" s="26"/>
      <c r="FP191" s="26"/>
      <c r="FQ191" s="26"/>
      <c r="FR191" s="26"/>
      <c r="FS191" s="26"/>
      <c r="FT191" s="26"/>
      <c r="FU191" s="26"/>
      <c r="FV191" s="26"/>
      <c r="FW191" s="26"/>
      <c r="FX191" s="26"/>
      <c r="FY191" s="26"/>
      <c r="FZ191" s="26"/>
      <c r="GA191" s="26"/>
      <c r="GB191" s="26"/>
      <c r="GC191" s="26"/>
      <c r="GD191" s="26"/>
      <c r="GE191" s="26"/>
      <c r="GF191" s="26"/>
      <c r="GG191" s="26"/>
      <c r="GH191" s="26"/>
      <c r="GI191" s="26"/>
      <c r="GJ191" s="26"/>
      <c r="GK191" s="26"/>
      <c r="GL191" s="26"/>
      <c r="GM191" s="26"/>
      <c r="GN191" s="26"/>
      <c r="GO191" s="26"/>
      <c r="GP191" s="26"/>
      <c r="GQ191" s="26"/>
      <c r="GR191" s="26"/>
      <c r="GS191" s="26"/>
      <c r="GT191" s="26"/>
      <c r="GU191" s="26"/>
      <c r="GV191" s="26"/>
      <c r="GW191" s="26"/>
      <c r="GX191" s="26"/>
      <c r="GY191" s="26"/>
      <c r="GZ191" s="26"/>
      <c r="HA191" s="26"/>
      <c r="HB191" s="26"/>
      <c r="HC191" s="26"/>
      <c r="HD191" s="26"/>
      <c r="HE191" s="26"/>
      <c r="HI191" s="26"/>
      <c r="HJ191" s="26"/>
      <c r="HK191" s="26"/>
      <c r="HL191" s="132"/>
      <c r="HM191" s="26"/>
      <c r="HN191" s="133"/>
      <c r="HO191" s="26"/>
      <c r="HP191" s="26"/>
      <c r="HQ191" s="26"/>
      <c r="HR191" s="26"/>
      <c r="HS191" s="26"/>
      <c r="HT191" s="26"/>
      <c r="HU191" s="26"/>
      <c r="HV191" s="26"/>
      <c r="HW191"/>
    </row>
    <row r="192" spans="1:231" ht="15">
      <c r="I192" s="132"/>
      <c r="J192" s="26"/>
      <c r="K192" s="133"/>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26"/>
      <c r="BH192" s="26"/>
      <c r="BI192" s="26"/>
      <c r="BJ192" s="26"/>
      <c r="BK192" s="26"/>
      <c r="BL192" s="26"/>
      <c r="BM192" s="26"/>
      <c r="BN192" s="26"/>
      <c r="BO192" s="26"/>
      <c r="BP192" s="26"/>
      <c r="BQ192" s="26"/>
      <c r="BR192" s="26"/>
      <c r="BS192" s="26"/>
      <c r="BT192" s="26"/>
      <c r="BU192" s="26"/>
      <c r="BV192" s="26"/>
      <c r="BW192" s="26"/>
      <c r="BX192" s="26"/>
      <c r="BY192" s="26"/>
      <c r="BZ192" s="26"/>
      <c r="CA192" s="26"/>
      <c r="CB192" s="26"/>
      <c r="CC192" s="26"/>
      <c r="CD192" s="26"/>
      <c r="CE192" s="26"/>
      <c r="CF192" s="26"/>
      <c r="CG192" s="26"/>
      <c r="CH192" s="26"/>
      <c r="CI192" s="26"/>
      <c r="CJ192" s="26"/>
      <c r="CK192" s="26"/>
      <c r="CL192" s="26"/>
      <c r="CM192" s="26"/>
      <c r="CN192" s="26"/>
      <c r="CO192" s="26"/>
      <c r="CP192" s="26"/>
      <c r="CQ192" s="26"/>
      <c r="CR192" s="26"/>
      <c r="CS192" s="26"/>
      <c r="CT192" s="26"/>
      <c r="CU192" s="26"/>
      <c r="CV192" s="26"/>
      <c r="CW192" s="26"/>
      <c r="CX192" s="26"/>
      <c r="CY192" s="26"/>
      <c r="CZ192" s="26"/>
      <c r="DA192" s="26"/>
      <c r="DB192" s="26"/>
      <c r="DC192" s="26"/>
      <c r="DD192" s="26"/>
      <c r="DE192" s="26"/>
      <c r="DF192" s="26"/>
      <c r="DG192" s="26"/>
      <c r="DH192" s="26"/>
      <c r="DI192" s="26"/>
      <c r="DJ192" s="26"/>
      <c r="DK192" s="26"/>
      <c r="DL192" s="26"/>
      <c r="DM192" s="26"/>
      <c r="DN192" s="26"/>
      <c r="DO192" s="26"/>
      <c r="DP192" s="26"/>
      <c r="DQ192" s="26"/>
      <c r="DR192" s="26"/>
      <c r="DS192" s="26"/>
      <c r="DT192" s="26"/>
      <c r="DU192" s="26"/>
      <c r="DV192" s="26"/>
      <c r="DW192" s="26"/>
      <c r="DX192" s="26"/>
      <c r="DY192" s="26"/>
      <c r="DZ192" s="26"/>
      <c r="EA192" s="26"/>
      <c r="EB192" s="26"/>
      <c r="EC192" s="26"/>
      <c r="ED192" s="26"/>
      <c r="EE192" s="26"/>
      <c r="EF192" s="26"/>
      <c r="EG192" s="26"/>
      <c r="EH192" s="26"/>
      <c r="EI192" s="26"/>
      <c r="EJ192" s="26"/>
      <c r="EK192" s="26"/>
      <c r="EL192" s="26"/>
      <c r="EM192" s="26"/>
      <c r="EN192" s="26"/>
      <c r="EO192" s="26"/>
      <c r="EP192" s="26"/>
      <c r="EQ192" s="26"/>
      <c r="ER192" s="26"/>
      <c r="ES192" s="26"/>
      <c r="ET192" s="26"/>
      <c r="EU192" s="26"/>
      <c r="EV192" s="26"/>
      <c r="EW192" s="26"/>
      <c r="EX192" s="26"/>
      <c r="EY192" s="26"/>
      <c r="EZ192" s="26"/>
      <c r="FA192" s="26"/>
      <c r="FB192" s="26"/>
      <c r="FC192" s="26"/>
      <c r="FD192" s="26"/>
      <c r="FE192" s="26"/>
      <c r="FF192" s="26"/>
      <c r="FG192" s="26"/>
      <c r="FH192" s="26"/>
      <c r="FI192" s="26"/>
      <c r="FJ192" s="26"/>
      <c r="FK192" s="26"/>
      <c r="FL192" s="26"/>
      <c r="FM192" s="26"/>
      <c r="FN192" s="26"/>
      <c r="FO192" s="26"/>
      <c r="FP192" s="26"/>
      <c r="FQ192" s="26"/>
      <c r="FR192" s="26"/>
      <c r="FS192" s="26"/>
      <c r="FT192" s="26"/>
      <c r="FU192" s="26"/>
      <c r="FV192" s="26"/>
      <c r="FW192" s="26"/>
      <c r="FX192" s="26"/>
      <c r="FY192" s="26"/>
      <c r="FZ192" s="26"/>
      <c r="GA192" s="26"/>
      <c r="GB192" s="26"/>
      <c r="GC192" s="26"/>
      <c r="GD192" s="26"/>
      <c r="GE192" s="26"/>
      <c r="GF192" s="26"/>
      <c r="GG192" s="26"/>
      <c r="GH192" s="26"/>
      <c r="GI192" s="26"/>
      <c r="GJ192" s="26"/>
      <c r="GK192" s="26"/>
      <c r="GL192" s="26"/>
      <c r="GM192" s="26"/>
      <c r="GN192" s="26"/>
      <c r="GO192" s="26"/>
      <c r="GP192" s="26"/>
      <c r="GQ192" s="26"/>
      <c r="GR192" s="26"/>
      <c r="GS192" s="26"/>
      <c r="GT192" s="26"/>
      <c r="GU192" s="26"/>
      <c r="GV192" s="26"/>
      <c r="GW192" s="26"/>
      <c r="GX192" s="26"/>
      <c r="GY192" s="26"/>
      <c r="GZ192" s="26"/>
      <c r="HA192" s="26"/>
      <c r="HB192" s="26"/>
      <c r="HC192" s="26"/>
      <c r="HD192" s="26"/>
      <c r="HE192" s="26"/>
      <c r="HI192" s="26"/>
      <c r="HJ192" s="26"/>
      <c r="HK192" s="26"/>
      <c r="HL192" s="132"/>
      <c r="HM192" s="26"/>
      <c r="HN192" s="133"/>
      <c r="HO192" s="26"/>
      <c r="HP192" s="26"/>
      <c r="HQ192" s="26"/>
      <c r="HR192" s="26"/>
      <c r="HS192" s="26"/>
      <c r="HT192" s="26"/>
      <c r="HU192" s="26"/>
      <c r="HV192" s="26"/>
      <c r="HW192"/>
    </row>
    <row r="193" spans="2:231" ht="15">
      <c r="I193" s="132"/>
      <c r="J193" s="26"/>
      <c r="K193" s="133"/>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6"/>
      <c r="AZ193" s="26"/>
      <c r="BA193" s="26"/>
      <c r="BB193" s="26"/>
      <c r="BC193" s="26"/>
      <c r="BD193" s="26"/>
      <c r="BE193" s="26"/>
      <c r="BF193" s="26"/>
      <c r="BG193" s="26"/>
      <c r="BH193" s="26"/>
      <c r="BI193" s="26"/>
      <c r="BJ193" s="26"/>
      <c r="BK193" s="26"/>
      <c r="BL193" s="26"/>
      <c r="BM193" s="26"/>
      <c r="BN193" s="26"/>
      <c r="BO193" s="26"/>
      <c r="BP193" s="26"/>
      <c r="BQ193" s="26"/>
      <c r="BR193" s="26"/>
      <c r="BS193" s="26"/>
      <c r="BT193" s="26"/>
      <c r="BU193" s="26"/>
      <c r="BV193" s="26"/>
      <c r="BW193" s="26"/>
      <c r="BX193" s="26"/>
      <c r="BY193" s="26"/>
      <c r="BZ193" s="26"/>
      <c r="CA193" s="26"/>
      <c r="CB193" s="26"/>
      <c r="CC193" s="26"/>
      <c r="CD193" s="26"/>
      <c r="CE193" s="26"/>
      <c r="CF193" s="26"/>
      <c r="CG193" s="26"/>
      <c r="CH193" s="26"/>
      <c r="CI193" s="26"/>
      <c r="CJ193" s="26"/>
      <c r="CK193" s="26"/>
      <c r="CL193" s="26"/>
      <c r="CM193" s="26"/>
      <c r="CN193" s="26"/>
      <c r="CO193" s="26"/>
      <c r="CP193" s="26"/>
      <c r="CQ193" s="26"/>
      <c r="CR193" s="26"/>
      <c r="CS193" s="26"/>
      <c r="CT193" s="26"/>
      <c r="CU193" s="26"/>
      <c r="CV193" s="26"/>
      <c r="CW193" s="26"/>
      <c r="CX193" s="26"/>
      <c r="CY193" s="26"/>
      <c r="CZ193" s="26"/>
      <c r="DA193" s="26"/>
      <c r="DB193" s="26"/>
      <c r="DC193" s="26"/>
      <c r="DD193" s="26"/>
      <c r="DE193" s="26"/>
      <c r="DF193" s="26"/>
      <c r="DG193" s="26"/>
      <c r="DH193" s="26"/>
      <c r="DI193" s="26"/>
      <c r="DJ193" s="26"/>
      <c r="DK193" s="26"/>
      <c r="DL193" s="26"/>
      <c r="DM193" s="26"/>
      <c r="DN193" s="26"/>
      <c r="DO193" s="26"/>
      <c r="DP193" s="26"/>
      <c r="DQ193" s="26"/>
      <c r="DR193" s="26"/>
      <c r="DS193" s="26"/>
      <c r="DT193" s="26"/>
      <c r="DU193" s="26"/>
      <c r="DV193" s="26"/>
      <c r="DW193" s="26"/>
      <c r="DX193" s="26"/>
      <c r="DY193" s="26"/>
      <c r="DZ193" s="26"/>
      <c r="EA193" s="26"/>
      <c r="EB193" s="26"/>
      <c r="EC193" s="26"/>
      <c r="ED193" s="26"/>
      <c r="EE193" s="26"/>
      <c r="EF193" s="26"/>
      <c r="EG193" s="26"/>
      <c r="EH193" s="26"/>
      <c r="EI193" s="26"/>
      <c r="EJ193" s="26"/>
      <c r="EK193" s="26"/>
      <c r="EL193" s="26"/>
      <c r="EM193" s="26"/>
      <c r="EN193" s="26"/>
      <c r="EO193" s="26"/>
      <c r="EP193" s="26"/>
      <c r="EQ193" s="26"/>
      <c r="ER193" s="26"/>
      <c r="ES193" s="26"/>
      <c r="ET193" s="26"/>
      <c r="EU193" s="26"/>
      <c r="EV193" s="26"/>
      <c r="EW193" s="26"/>
      <c r="EX193" s="26"/>
      <c r="EY193" s="26"/>
      <c r="EZ193" s="26"/>
      <c r="FA193" s="26"/>
      <c r="FB193" s="26"/>
      <c r="FC193" s="26"/>
      <c r="FD193" s="26"/>
      <c r="FE193" s="26"/>
      <c r="FF193" s="26"/>
      <c r="FG193" s="26"/>
      <c r="FH193" s="26"/>
      <c r="FI193" s="26"/>
      <c r="FJ193" s="26"/>
      <c r="FK193" s="26"/>
      <c r="FL193" s="26"/>
      <c r="FM193" s="26"/>
      <c r="FN193" s="26"/>
      <c r="FO193" s="26"/>
      <c r="FP193" s="26"/>
      <c r="FQ193" s="26"/>
      <c r="FR193" s="26"/>
      <c r="FS193" s="26"/>
      <c r="FT193" s="26"/>
      <c r="FU193" s="26"/>
      <c r="FV193" s="26"/>
      <c r="FW193" s="26"/>
      <c r="FX193" s="26"/>
      <c r="FY193" s="26"/>
      <c r="FZ193" s="26"/>
      <c r="GA193" s="26"/>
      <c r="GB193" s="26"/>
      <c r="GC193" s="26"/>
      <c r="GD193" s="26"/>
      <c r="GE193" s="26"/>
      <c r="GF193" s="26"/>
      <c r="GG193" s="26"/>
      <c r="GH193" s="26"/>
      <c r="GI193" s="26"/>
      <c r="GJ193" s="26"/>
      <c r="GK193" s="26"/>
      <c r="GL193" s="26"/>
      <c r="GM193" s="26"/>
      <c r="GN193" s="26"/>
      <c r="GO193" s="26"/>
      <c r="GP193" s="26"/>
      <c r="GQ193" s="26"/>
      <c r="GR193" s="26"/>
      <c r="GS193" s="26"/>
      <c r="GT193" s="26"/>
      <c r="GU193" s="26"/>
      <c r="GV193" s="26"/>
      <c r="GW193" s="26"/>
      <c r="GX193" s="26"/>
      <c r="GY193" s="26"/>
      <c r="GZ193" s="26"/>
      <c r="HA193" s="26"/>
      <c r="HB193" s="26"/>
      <c r="HC193" s="26"/>
      <c r="HD193" s="26"/>
      <c r="HE193" s="26"/>
      <c r="HI193" s="26"/>
      <c r="HJ193" s="26"/>
      <c r="HK193" s="26"/>
      <c r="HL193" s="132"/>
      <c r="HM193" s="26"/>
      <c r="HN193" s="133"/>
      <c r="HO193" s="26"/>
      <c r="HP193" s="26"/>
      <c r="HQ193" s="26"/>
      <c r="HR193" s="26"/>
      <c r="HS193" s="26"/>
      <c r="HT193" s="26"/>
      <c r="HU193" s="26"/>
      <c r="HV193" s="26"/>
      <c r="HW193"/>
    </row>
    <row r="194" spans="2:231" ht="15">
      <c r="B194" s="1" t="s">
        <v>1539</v>
      </c>
      <c r="I194" s="132">
        <f>SUMIF($K$13:$GT$13,"&lt;="&amp;Assumptions!$L$17,'Monthly Cash Flow'!K194:GT194)</f>
        <v>-2174.232</v>
      </c>
      <c r="J194" s="26"/>
      <c r="K194" s="133"/>
      <c r="L194" s="26">
        <f t="shared" ref="L194:AQ194" si="1234">-SUM(L123:L124)</f>
        <v>0</v>
      </c>
      <c r="M194" s="26">
        <f t="shared" si="1234"/>
        <v>0</v>
      </c>
      <c r="N194" s="26">
        <f t="shared" si="1234"/>
        <v>0</v>
      </c>
      <c r="O194" s="26">
        <f t="shared" si="1234"/>
        <v>0</v>
      </c>
      <c r="P194" s="26">
        <f t="shared" si="1234"/>
        <v>-150.82499999999999</v>
      </c>
      <c r="Q194" s="26">
        <f t="shared" si="1234"/>
        <v>0</v>
      </c>
      <c r="R194" s="26">
        <f t="shared" si="1234"/>
        <v>0</v>
      </c>
      <c r="S194" s="26">
        <f t="shared" si="1234"/>
        <v>0</v>
      </c>
      <c r="T194" s="26">
        <f t="shared" si="1234"/>
        <v>0</v>
      </c>
      <c r="U194" s="26">
        <f t="shared" si="1234"/>
        <v>0</v>
      </c>
      <c r="V194" s="26">
        <f t="shared" si="1234"/>
        <v>0</v>
      </c>
      <c r="W194" s="26">
        <f t="shared" si="1234"/>
        <v>0</v>
      </c>
      <c r="X194" s="26">
        <f t="shared" si="1234"/>
        <v>-79.174999999999997</v>
      </c>
      <c r="Y194" s="26">
        <f t="shared" si="1234"/>
        <v>0</v>
      </c>
      <c r="Z194" s="26">
        <f t="shared" si="1234"/>
        <v>0</v>
      </c>
      <c r="AA194" s="26">
        <f t="shared" si="1234"/>
        <v>0</v>
      </c>
      <c r="AB194" s="26">
        <f t="shared" si="1234"/>
        <v>0</v>
      </c>
      <c r="AC194" s="26">
        <f t="shared" si="1234"/>
        <v>0</v>
      </c>
      <c r="AD194" s="26">
        <f t="shared" si="1234"/>
        <v>0</v>
      </c>
      <c r="AE194" s="26">
        <f t="shared" si="1234"/>
        <v>0</v>
      </c>
      <c r="AF194" s="26">
        <f t="shared" si="1234"/>
        <v>0</v>
      </c>
      <c r="AG194" s="26">
        <f t="shared" si="1234"/>
        <v>-310</v>
      </c>
      <c r="AH194" s="26">
        <f t="shared" si="1234"/>
        <v>0</v>
      </c>
      <c r="AI194" s="26">
        <f t="shared" si="1234"/>
        <v>0</v>
      </c>
      <c r="AJ194" s="26">
        <f t="shared" si="1234"/>
        <v>0</v>
      </c>
      <c r="AK194" s="26">
        <f t="shared" si="1234"/>
        <v>0</v>
      </c>
      <c r="AL194" s="26">
        <f t="shared" si="1234"/>
        <v>0</v>
      </c>
      <c r="AM194" s="26">
        <f t="shared" si="1234"/>
        <v>0</v>
      </c>
      <c r="AN194" s="26">
        <f t="shared" si="1234"/>
        <v>0</v>
      </c>
      <c r="AO194" s="26">
        <f t="shared" si="1234"/>
        <v>0</v>
      </c>
      <c r="AP194" s="26">
        <f t="shared" si="1234"/>
        <v>0</v>
      </c>
      <c r="AQ194" s="26">
        <f t="shared" si="1234"/>
        <v>0</v>
      </c>
      <c r="AR194" s="26">
        <f t="shared" ref="AR194:BV194" si="1235">-SUM(AR123:AR124)</f>
        <v>0</v>
      </c>
      <c r="AS194" s="26">
        <f t="shared" si="1235"/>
        <v>0</v>
      </c>
      <c r="AT194" s="26">
        <f t="shared" si="1235"/>
        <v>0</v>
      </c>
      <c r="AU194" s="26">
        <f t="shared" si="1235"/>
        <v>0</v>
      </c>
      <c r="AV194" s="26">
        <f t="shared" si="1235"/>
        <v>0</v>
      </c>
      <c r="AW194" s="26">
        <f t="shared" si="1235"/>
        <v>0</v>
      </c>
      <c r="AX194" s="26">
        <f t="shared" si="1235"/>
        <v>0</v>
      </c>
      <c r="AY194" s="26">
        <f t="shared" si="1235"/>
        <v>0</v>
      </c>
      <c r="AZ194" s="26">
        <f t="shared" si="1235"/>
        <v>0</v>
      </c>
      <c r="BA194" s="26">
        <f t="shared" si="1235"/>
        <v>-141.08000000000001</v>
      </c>
      <c r="BB194" s="26">
        <f t="shared" si="1235"/>
        <v>0</v>
      </c>
      <c r="BC194" s="26">
        <f t="shared" si="1235"/>
        <v>-248.2</v>
      </c>
      <c r="BD194" s="26">
        <f t="shared" si="1235"/>
        <v>-320</v>
      </c>
      <c r="BE194" s="26">
        <f t="shared" si="1235"/>
        <v>0</v>
      </c>
      <c r="BF194" s="26">
        <f t="shared" si="1235"/>
        <v>0</v>
      </c>
      <c r="BG194" s="26">
        <f t="shared" si="1235"/>
        <v>-617</v>
      </c>
      <c r="BH194" s="26">
        <f t="shared" si="1235"/>
        <v>0</v>
      </c>
      <c r="BI194" s="26">
        <f t="shared" si="1235"/>
        <v>0</v>
      </c>
      <c r="BJ194" s="26">
        <f t="shared" si="1235"/>
        <v>0</v>
      </c>
      <c r="BK194" s="26">
        <f t="shared" si="1235"/>
        <v>0</v>
      </c>
      <c r="BL194" s="26">
        <f t="shared" si="1235"/>
        <v>0</v>
      </c>
      <c r="BM194" s="26">
        <f t="shared" si="1235"/>
        <v>0</v>
      </c>
      <c r="BN194" s="26">
        <f t="shared" si="1235"/>
        <v>-219.452</v>
      </c>
      <c r="BO194" s="26">
        <f t="shared" si="1235"/>
        <v>0</v>
      </c>
      <c r="BP194" s="26">
        <f t="shared" si="1235"/>
        <v>0</v>
      </c>
      <c r="BQ194" s="26">
        <f t="shared" si="1235"/>
        <v>0</v>
      </c>
      <c r="BR194" s="26">
        <f t="shared" si="1235"/>
        <v>-88.5</v>
      </c>
      <c r="BS194" s="26">
        <f t="shared" si="1235"/>
        <v>0</v>
      </c>
      <c r="BT194" s="26">
        <f t="shared" si="1235"/>
        <v>0</v>
      </c>
      <c r="BU194" s="26">
        <f t="shared" si="1235"/>
        <v>0</v>
      </c>
      <c r="BV194" s="26">
        <f t="shared" si="1235"/>
        <v>0</v>
      </c>
      <c r="BW194" s="26">
        <f t="shared" ref="BW194:EH194" si="1236">-SUM(BW123:BW124)</f>
        <v>0</v>
      </c>
      <c r="BX194" s="26">
        <f t="shared" si="1236"/>
        <v>0</v>
      </c>
      <c r="BY194" s="26">
        <f t="shared" si="1236"/>
        <v>0</v>
      </c>
      <c r="BZ194" s="26">
        <f t="shared" si="1236"/>
        <v>0</v>
      </c>
      <c r="CA194" s="26">
        <f t="shared" si="1236"/>
        <v>0</v>
      </c>
      <c r="CB194" s="26">
        <f t="shared" si="1236"/>
        <v>0</v>
      </c>
      <c r="CC194" s="26">
        <f t="shared" si="1236"/>
        <v>0</v>
      </c>
      <c r="CD194" s="26">
        <f t="shared" si="1236"/>
        <v>0</v>
      </c>
      <c r="CE194" s="26">
        <f t="shared" si="1236"/>
        <v>0</v>
      </c>
      <c r="CF194" s="26">
        <f t="shared" si="1236"/>
        <v>0</v>
      </c>
      <c r="CG194" s="26">
        <f t="shared" si="1236"/>
        <v>0</v>
      </c>
      <c r="CH194" s="26">
        <f t="shared" si="1236"/>
        <v>0</v>
      </c>
      <c r="CI194" s="26">
        <f t="shared" si="1236"/>
        <v>0</v>
      </c>
      <c r="CJ194" s="26">
        <f t="shared" si="1236"/>
        <v>0</v>
      </c>
      <c r="CK194" s="26">
        <f t="shared" si="1236"/>
        <v>0</v>
      </c>
      <c r="CL194" s="26">
        <f t="shared" si="1236"/>
        <v>0</v>
      </c>
      <c r="CM194" s="26">
        <f t="shared" si="1236"/>
        <v>0</v>
      </c>
      <c r="CN194" s="26">
        <f t="shared" si="1236"/>
        <v>0</v>
      </c>
      <c r="CO194" s="26">
        <f t="shared" si="1236"/>
        <v>0</v>
      </c>
      <c r="CP194" s="26">
        <f t="shared" si="1236"/>
        <v>0</v>
      </c>
      <c r="CQ194" s="26">
        <f t="shared" si="1236"/>
        <v>0</v>
      </c>
      <c r="CR194" s="26">
        <f t="shared" si="1236"/>
        <v>0</v>
      </c>
      <c r="CS194" s="26">
        <f t="shared" si="1236"/>
        <v>0</v>
      </c>
      <c r="CT194" s="26">
        <f t="shared" si="1236"/>
        <v>0</v>
      </c>
      <c r="CU194" s="26">
        <f t="shared" si="1236"/>
        <v>0</v>
      </c>
      <c r="CV194" s="26">
        <f t="shared" si="1236"/>
        <v>0</v>
      </c>
      <c r="CW194" s="26">
        <f t="shared" si="1236"/>
        <v>0</v>
      </c>
      <c r="CX194" s="26">
        <f t="shared" si="1236"/>
        <v>0</v>
      </c>
      <c r="CY194" s="26">
        <f t="shared" si="1236"/>
        <v>0</v>
      </c>
      <c r="CZ194" s="26">
        <f t="shared" si="1236"/>
        <v>0</v>
      </c>
      <c r="DA194" s="26">
        <f t="shared" si="1236"/>
        <v>0</v>
      </c>
      <c r="DB194" s="26">
        <f t="shared" si="1236"/>
        <v>0</v>
      </c>
      <c r="DC194" s="26">
        <f t="shared" si="1236"/>
        <v>0</v>
      </c>
      <c r="DD194" s="26">
        <f t="shared" si="1236"/>
        <v>0</v>
      </c>
      <c r="DE194" s="26">
        <f t="shared" si="1236"/>
        <v>0</v>
      </c>
      <c r="DF194" s="26">
        <f t="shared" si="1236"/>
        <v>0</v>
      </c>
      <c r="DG194" s="26">
        <f t="shared" si="1236"/>
        <v>0</v>
      </c>
      <c r="DH194" s="26">
        <f t="shared" si="1236"/>
        <v>0</v>
      </c>
      <c r="DI194" s="26">
        <f t="shared" si="1236"/>
        <v>0</v>
      </c>
      <c r="DJ194" s="26">
        <f t="shared" si="1236"/>
        <v>0</v>
      </c>
      <c r="DK194" s="26">
        <f t="shared" si="1236"/>
        <v>0</v>
      </c>
      <c r="DL194" s="26">
        <f t="shared" si="1236"/>
        <v>0</v>
      </c>
      <c r="DM194" s="26">
        <f t="shared" si="1236"/>
        <v>0</v>
      </c>
      <c r="DN194" s="26">
        <f t="shared" si="1236"/>
        <v>0</v>
      </c>
      <c r="DO194" s="26">
        <f t="shared" si="1236"/>
        <v>0</v>
      </c>
      <c r="DP194" s="26">
        <f t="shared" si="1236"/>
        <v>0</v>
      </c>
      <c r="DQ194" s="26">
        <f t="shared" si="1236"/>
        <v>0</v>
      </c>
      <c r="DR194" s="26">
        <f t="shared" si="1236"/>
        <v>0</v>
      </c>
      <c r="DS194" s="26">
        <f t="shared" si="1236"/>
        <v>0</v>
      </c>
      <c r="DT194" s="26">
        <f t="shared" si="1236"/>
        <v>0</v>
      </c>
      <c r="DU194" s="26">
        <f t="shared" si="1236"/>
        <v>0</v>
      </c>
      <c r="DV194" s="26">
        <f t="shared" si="1236"/>
        <v>0</v>
      </c>
      <c r="DW194" s="26">
        <f t="shared" si="1236"/>
        <v>0</v>
      </c>
      <c r="DX194" s="26">
        <f t="shared" si="1236"/>
        <v>0</v>
      </c>
      <c r="DY194" s="26">
        <f t="shared" si="1236"/>
        <v>0</v>
      </c>
      <c r="DZ194" s="26">
        <f t="shared" si="1236"/>
        <v>0</v>
      </c>
      <c r="EA194" s="26">
        <f t="shared" si="1236"/>
        <v>0</v>
      </c>
      <c r="EB194" s="26">
        <f t="shared" si="1236"/>
        <v>0</v>
      </c>
      <c r="EC194" s="26">
        <f t="shared" si="1236"/>
        <v>0</v>
      </c>
      <c r="ED194" s="26">
        <f t="shared" si="1236"/>
        <v>0</v>
      </c>
      <c r="EE194" s="26">
        <f t="shared" si="1236"/>
        <v>0</v>
      </c>
      <c r="EF194" s="26">
        <f t="shared" si="1236"/>
        <v>0</v>
      </c>
      <c r="EG194" s="26">
        <f t="shared" si="1236"/>
        <v>0</v>
      </c>
      <c r="EH194" s="26">
        <f t="shared" si="1236"/>
        <v>0</v>
      </c>
      <c r="EI194" s="26">
        <f t="shared" ref="EI194:GT194" si="1237">-SUM(EI123:EI124)</f>
        <v>0</v>
      </c>
      <c r="EJ194" s="26">
        <f t="shared" si="1237"/>
        <v>0</v>
      </c>
      <c r="EK194" s="26">
        <f t="shared" si="1237"/>
        <v>0</v>
      </c>
      <c r="EL194" s="26">
        <f t="shared" si="1237"/>
        <v>0</v>
      </c>
      <c r="EM194" s="26">
        <f t="shared" si="1237"/>
        <v>0</v>
      </c>
      <c r="EN194" s="26">
        <f t="shared" si="1237"/>
        <v>0</v>
      </c>
      <c r="EO194" s="26">
        <f t="shared" si="1237"/>
        <v>0</v>
      </c>
      <c r="EP194" s="26">
        <f t="shared" si="1237"/>
        <v>0</v>
      </c>
      <c r="EQ194" s="26">
        <f t="shared" si="1237"/>
        <v>0</v>
      </c>
      <c r="ER194" s="26">
        <f t="shared" si="1237"/>
        <v>0</v>
      </c>
      <c r="ES194" s="26">
        <f t="shared" si="1237"/>
        <v>0</v>
      </c>
      <c r="ET194" s="26">
        <f t="shared" si="1237"/>
        <v>0</v>
      </c>
      <c r="EU194" s="26">
        <f t="shared" si="1237"/>
        <v>0</v>
      </c>
      <c r="EV194" s="26">
        <f t="shared" si="1237"/>
        <v>0</v>
      </c>
      <c r="EW194" s="26">
        <f t="shared" si="1237"/>
        <v>0</v>
      </c>
      <c r="EX194" s="26">
        <f t="shared" si="1237"/>
        <v>0</v>
      </c>
      <c r="EY194" s="26">
        <f t="shared" si="1237"/>
        <v>0</v>
      </c>
      <c r="EZ194" s="26">
        <f t="shared" si="1237"/>
        <v>0</v>
      </c>
      <c r="FA194" s="26">
        <f t="shared" si="1237"/>
        <v>0</v>
      </c>
      <c r="FB194" s="26">
        <f t="shared" si="1237"/>
        <v>0</v>
      </c>
      <c r="FC194" s="26">
        <f t="shared" si="1237"/>
        <v>0</v>
      </c>
      <c r="FD194" s="26">
        <f t="shared" si="1237"/>
        <v>0</v>
      </c>
      <c r="FE194" s="26">
        <f t="shared" si="1237"/>
        <v>0</v>
      </c>
      <c r="FF194" s="26">
        <f t="shared" si="1237"/>
        <v>0</v>
      </c>
      <c r="FG194" s="26">
        <f t="shared" si="1237"/>
        <v>0</v>
      </c>
      <c r="FH194" s="26">
        <f t="shared" si="1237"/>
        <v>0</v>
      </c>
      <c r="FI194" s="26">
        <f t="shared" si="1237"/>
        <v>0</v>
      </c>
      <c r="FJ194" s="26">
        <f t="shared" si="1237"/>
        <v>0</v>
      </c>
      <c r="FK194" s="26">
        <f t="shared" si="1237"/>
        <v>0</v>
      </c>
      <c r="FL194" s="26">
        <f t="shared" si="1237"/>
        <v>0</v>
      </c>
      <c r="FM194" s="26">
        <f t="shared" si="1237"/>
        <v>0</v>
      </c>
      <c r="FN194" s="26">
        <f t="shared" si="1237"/>
        <v>0</v>
      </c>
      <c r="FO194" s="26">
        <f t="shared" si="1237"/>
        <v>0</v>
      </c>
      <c r="FP194" s="26">
        <f t="shared" si="1237"/>
        <v>0</v>
      </c>
      <c r="FQ194" s="26">
        <f t="shared" si="1237"/>
        <v>0</v>
      </c>
      <c r="FR194" s="26">
        <f t="shared" si="1237"/>
        <v>0</v>
      </c>
      <c r="FS194" s="26">
        <f t="shared" si="1237"/>
        <v>0</v>
      </c>
      <c r="FT194" s="26">
        <f t="shared" si="1237"/>
        <v>0</v>
      </c>
      <c r="FU194" s="26">
        <f t="shared" si="1237"/>
        <v>0</v>
      </c>
      <c r="FV194" s="26">
        <f t="shared" si="1237"/>
        <v>0</v>
      </c>
      <c r="FW194" s="26">
        <f t="shared" si="1237"/>
        <v>0</v>
      </c>
      <c r="FX194" s="26">
        <f t="shared" si="1237"/>
        <v>0</v>
      </c>
      <c r="FY194" s="26">
        <f t="shared" si="1237"/>
        <v>0</v>
      </c>
      <c r="FZ194" s="26">
        <f t="shared" si="1237"/>
        <v>0</v>
      </c>
      <c r="GA194" s="26">
        <f t="shared" si="1237"/>
        <v>0</v>
      </c>
      <c r="GB194" s="26">
        <f t="shared" si="1237"/>
        <v>0</v>
      </c>
      <c r="GC194" s="26">
        <f t="shared" si="1237"/>
        <v>0</v>
      </c>
      <c r="GD194" s="26">
        <f t="shared" si="1237"/>
        <v>0</v>
      </c>
      <c r="GE194" s="26">
        <f t="shared" si="1237"/>
        <v>0</v>
      </c>
      <c r="GF194" s="26">
        <f t="shared" si="1237"/>
        <v>0</v>
      </c>
      <c r="GG194" s="26">
        <f t="shared" si="1237"/>
        <v>0</v>
      </c>
      <c r="GH194" s="26">
        <f t="shared" si="1237"/>
        <v>0</v>
      </c>
      <c r="GI194" s="26">
        <f t="shared" si="1237"/>
        <v>0</v>
      </c>
      <c r="GJ194" s="26">
        <f t="shared" si="1237"/>
        <v>0</v>
      </c>
      <c r="GK194" s="26">
        <f t="shared" si="1237"/>
        <v>0</v>
      </c>
      <c r="GL194" s="26">
        <f t="shared" si="1237"/>
        <v>0</v>
      </c>
      <c r="GM194" s="26">
        <f t="shared" si="1237"/>
        <v>0</v>
      </c>
      <c r="GN194" s="26">
        <f t="shared" si="1237"/>
        <v>0</v>
      </c>
      <c r="GO194" s="26">
        <f t="shared" si="1237"/>
        <v>0</v>
      </c>
      <c r="GP194" s="26">
        <f t="shared" si="1237"/>
        <v>0</v>
      </c>
      <c r="GQ194" s="26">
        <f t="shared" si="1237"/>
        <v>0</v>
      </c>
      <c r="GR194" s="26">
        <f t="shared" si="1237"/>
        <v>0</v>
      </c>
      <c r="GS194" s="26">
        <f t="shared" si="1237"/>
        <v>0</v>
      </c>
      <c r="GT194" s="26">
        <f t="shared" si="1237"/>
        <v>0</v>
      </c>
      <c r="GU194" s="26">
        <f t="shared" ref="GU194:HE194" si="1238">-SUM(GU123:GU124)</f>
        <v>0</v>
      </c>
      <c r="GV194" s="26">
        <f t="shared" si="1238"/>
        <v>0</v>
      </c>
      <c r="GW194" s="26">
        <f t="shared" si="1238"/>
        <v>0</v>
      </c>
      <c r="GX194" s="26">
        <f t="shared" si="1238"/>
        <v>0</v>
      </c>
      <c r="GY194" s="26">
        <f t="shared" si="1238"/>
        <v>0</v>
      </c>
      <c r="GZ194" s="26">
        <f t="shared" si="1238"/>
        <v>0</v>
      </c>
      <c r="HA194" s="26">
        <f t="shared" si="1238"/>
        <v>0</v>
      </c>
      <c r="HB194" s="26">
        <f t="shared" si="1238"/>
        <v>0</v>
      </c>
      <c r="HC194" s="26">
        <f t="shared" si="1238"/>
        <v>0</v>
      </c>
      <c r="HD194" s="26">
        <f t="shared" si="1238"/>
        <v>0</v>
      </c>
      <c r="HE194" s="26">
        <f t="shared" si="1238"/>
        <v>0</v>
      </c>
      <c r="HF194" s="1" t="s">
        <v>212</v>
      </c>
      <c r="HI194" s="26"/>
      <c r="HJ194" s="26"/>
      <c r="HK194" s="26"/>
      <c r="HL194" s="132"/>
      <c r="HM194" s="26"/>
      <c r="HN194" s="133"/>
      <c r="HO194" s="26"/>
      <c r="HP194" s="26"/>
      <c r="HQ194" s="26"/>
      <c r="HR194" s="26"/>
      <c r="HS194" s="26"/>
      <c r="HT194" s="26"/>
      <c r="HU194" s="26"/>
      <c r="HV194" s="26"/>
      <c r="HW194"/>
    </row>
    <row r="195" spans="2:231" ht="15">
      <c r="B195" s="1" t="s">
        <v>1536</v>
      </c>
      <c r="I195" s="132">
        <f ca="1">SUMIF($K$13:$GT$13,"&lt;="&amp;Assumptions!$L$17,'Monthly Cash Flow'!K195:GT195)</f>
        <v>30784.656731000799</v>
      </c>
      <c r="J195" s="26"/>
      <c r="K195" s="133"/>
      <c r="L195" s="26">
        <f ca="1">IF(L13=Assumptions!$L$17,'Monthly Cash Flow'!L187,-SUM(L178:L186))</f>
        <v>41.229470000000006</v>
      </c>
      <c r="M195" s="26">
        <f ca="1">IF(M13=Assumptions!$L$17,'Monthly Cash Flow'!M187,-SUM(M178:M186))</f>
        <v>67.647770000000008</v>
      </c>
      <c r="N195" s="26">
        <f ca="1">IF(N13=Assumptions!$L$17,'Monthly Cash Flow'!N187,-SUM(N178:N186))</f>
        <v>31.592039999999997</v>
      </c>
      <c r="O195" s="26">
        <f ca="1">IF(O13=Assumptions!$L$17,'Monthly Cash Flow'!O187,-SUM(O178:O186))</f>
        <v>73.803759999999983</v>
      </c>
      <c r="P195" s="26">
        <f ca="1">IF(P13=Assumptions!$L$17,'Monthly Cash Flow'!P187,-SUM(P178:P186))</f>
        <v>24.374559999999988</v>
      </c>
      <c r="Q195" s="26">
        <f ca="1">IF(Q13=Assumptions!$L$17,'Monthly Cash Flow'!Q187,-SUM(Q178:Q186))</f>
        <v>44.026059999999987</v>
      </c>
      <c r="R195" s="26">
        <f ca="1">IF(R13=Assumptions!$L$17,'Monthly Cash Flow'!R187,-SUM(R178:R186))</f>
        <v>31.574699999999993</v>
      </c>
      <c r="S195" s="26">
        <f ca="1">IF(S13=Assumptions!$L$17,'Monthly Cash Flow'!S187,-SUM(S178:S186))</f>
        <v>-41.945560000000029</v>
      </c>
      <c r="T195" s="26">
        <f ca="1">IF(T13=Assumptions!$L$17,'Monthly Cash Flow'!T187,-SUM(T178:T186))</f>
        <v>34.480219999999974</v>
      </c>
      <c r="U195" s="26">
        <f ca="1">IF(U13=Assumptions!$L$17,'Monthly Cash Flow'!U187,-SUM(U178:U186))</f>
        <v>-54.283529999999999</v>
      </c>
      <c r="V195" s="26">
        <f ca="1">IF(V13=Assumptions!$L$17,'Monthly Cash Flow'!V187,-SUM(V178:V186))</f>
        <v>-133.06851999999998</v>
      </c>
      <c r="W195" s="26">
        <f ca="1">IF(W13=Assumptions!$L$17,'Monthly Cash Flow'!W187,-SUM(W178:W186))</f>
        <v>232.32571999999999</v>
      </c>
      <c r="X195" s="26">
        <f ca="1">IF(X13=Assumptions!$L$17,'Monthly Cash Flow'!X187,-SUM(X178:X186))</f>
        <v>27.841539999999981</v>
      </c>
      <c r="Y195" s="26">
        <f ca="1">IF(Y13=Assumptions!$L$17,'Monthly Cash Flow'!Y187,-SUM(Y178:Y186))</f>
        <v>115.24563000000001</v>
      </c>
      <c r="Z195" s="26">
        <f ca="1">IF(Z13=Assumptions!$L$17,'Monthly Cash Flow'!Z187,-SUM(Z178:Z186))</f>
        <v>32.848719999999958</v>
      </c>
      <c r="AA195" s="26">
        <f ca="1">IF(AA13=Assumptions!$L$17,'Monthly Cash Flow'!AA187,-SUM(AA178:AA186))</f>
        <v>-5.3203300000000269</v>
      </c>
      <c r="AB195" s="26">
        <f ca="1">IF(AB13=Assumptions!$L$17,'Monthly Cash Flow'!AB187,-SUM(AB178:AB186))</f>
        <v>49.037240000000011</v>
      </c>
      <c r="AC195" s="26">
        <f ca="1">IF(AC13=Assumptions!$L$17,'Monthly Cash Flow'!AC187,-SUM(AC178:AC186))</f>
        <v>86.348610000000008</v>
      </c>
      <c r="AD195" s="26">
        <f ca="1">IF(AD13=Assumptions!$L$17,'Monthly Cash Flow'!AD187,-SUM(AD178:AD186))</f>
        <v>6.6120400000000075</v>
      </c>
      <c r="AE195" s="26">
        <f ca="1">IF(AE13=Assumptions!$L$17,'Monthly Cash Flow'!AE187,-SUM(AE178:AE186))</f>
        <v>11.428170000000023</v>
      </c>
      <c r="AF195" s="26">
        <f ca="1">IF(AF13=Assumptions!$L$17,'Monthly Cash Flow'!AF187,-SUM(AF178:AF186))</f>
        <v>33.447289999999953</v>
      </c>
      <c r="AG195" s="26">
        <f ca="1">IF(AG13=Assumptions!$L$17,'Monthly Cash Flow'!AG187,-SUM(AG178:AG186))</f>
        <v>41.16231999999998</v>
      </c>
      <c r="AH195" s="26">
        <f ca="1">IF(AH13=Assumptions!$L$17,'Monthly Cash Flow'!AH187,-SUM(AH178:AH186))</f>
        <v>20.904310000000009</v>
      </c>
      <c r="AI195" s="26">
        <f ca="1">IF(AI13=Assumptions!$L$17,'Monthly Cash Flow'!AI187,-SUM(AI178:AI186))</f>
        <v>45.802730845425273</v>
      </c>
      <c r="AJ195" s="26">
        <f ca="1">IF(AJ13=Assumptions!$L$17,'Monthly Cash Flow'!AJ187,-SUM(AJ178:AJ186))</f>
        <v>64.111910000000009</v>
      </c>
      <c r="AK195" s="26">
        <f ca="1">IF(AK13=Assumptions!$L$17,'Monthly Cash Flow'!AK187,-SUM(AK178:AK186))</f>
        <v>79.341940000000051</v>
      </c>
      <c r="AL195" s="26">
        <f ca="1">IF(AL13=Assumptions!$L$17,'Monthly Cash Flow'!AL187,-SUM(AL178:AL186))</f>
        <v>266.60474000000062</v>
      </c>
      <c r="AM195" s="26">
        <f ca="1">IF(AM13=Assumptions!$L$17,'Monthly Cash Flow'!AM187,-SUM(AM178:AM186))</f>
        <v>9.9833600000000047</v>
      </c>
      <c r="AN195" s="26">
        <f ca="1">IF(AN13=Assumptions!$L$17,'Monthly Cash Flow'!AN187,-SUM(AN178:AN186))</f>
        <v>93.205800000002512</v>
      </c>
      <c r="AO195" s="26">
        <f ca="1">IF(AO13=Assumptions!$L$17,'Monthly Cash Flow'!AO187,-SUM(AO178:AO186))</f>
        <v>80.118419999996391</v>
      </c>
      <c r="AP195" s="26">
        <f ca="1">IF(AP13=Assumptions!$L$17,'Monthly Cash Flow'!AP187,-SUM(AP178:AP186))</f>
        <v>175.60986402388343</v>
      </c>
      <c r="AQ195" s="26">
        <f ca="1">IF(AQ13=Assumptions!$L$17,'Monthly Cash Flow'!AQ187,-SUM(AQ178:AQ186))</f>
        <v>42.135170000003001</v>
      </c>
      <c r="AR195" s="26">
        <f ca="1">IF(AR13=Assumptions!$L$17,'Monthly Cash Flow'!AR187,-SUM(AR178:AR186))</f>
        <v>40.118069999996351</v>
      </c>
      <c r="AS195" s="26">
        <f ca="1">IF(AS13=Assumptions!$L$17,'Monthly Cash Flow'!AS187,-SUM(AS178:AS186))</f>
        <v>6.1919700000000262</v>
      </c>
      <c r="AT195" s="26">
        <f ca="1">IF(AT13=Assumptions!$L$17,'Monthly Cash Flow'!AT187,-SUM(AT178:AT186))</f>
        <v>28.269380000000012</v>
      </c>
      <c r="AU195" s="26">
        <f ca="1">IF(AU13=Assumptions!$L$17,'Monthly Cash Flow'!AU187,-SUM(AU178:AU186))</f>
        <v>5.794399999999996</v>
      </c>
      <c r="AV195" s="26">
        <f ca="1">IF(AV13=Assumptions!$L$17,'Monthly Cash Flow'!AV187,-SUM(AV178:AV186))</f>
        <v>5.5704599999999971</v>
      </c>
      <c r="AW195" s="26">
        <f ca="1">IF(AW13=Assumptions!$L$17,'Monthly Cash Flow'!AW187,-SUM(AW178:AW186))</f>
        <v>269.57748000000146</v>
      </c>
      <c r="AX195" s="26">
        <f ca="1">IF(AX13=Assumptions!$L$17,'Monthly Cash Flow'!AX187,-SUM(AX178:AX186))</f>
        <v>18.052980000000019</v>
      </c>
      <c r="AY195" s="26">
        <f ca="1">IF(AY13=Assumptions!$L$17,'Monthly Cash Flow'!AY187,-SUM(AY178:AY186))</f>
        <v>21.07729999999998</v>
      </c>
      <c r="AZ195" s="26">
        <f ca="1">IF(AZ13=Assumptions!$L$17,'Monthly Cash Flow'!AZ187,-SUM(AZ178:AZ186))</f>
        <v>203.62462958111243</v>
      </c>
      <c r="BA195" s="26">
        <f ca="1">IF(BA13=Assumptions!$L$17,'Monthly Cash Flow'!BA187,-SUM(BA178:BA186))</f>
        <v>149.19205000000053</v>
      </c>
      <c r="BB195" s="26">
        <f ca="1">IF(BB13=Assumptions!$L$17,'Monthly Cash Flow'!BB187,-SUM(BB178:BB186))</f>
        <v>19.323029999999989</v>
      </c>
      <c r="BC195" s="26">
        <f ca="1">IF(BC13=Assumptions!$L$17,'Monthly Cash Flow'!BC187,-SUM(BC178:BC186))</f>
        <v>159.21451999999857</v>
      </c>
      <c r="BD195" s="26">
        <f ca="1">IF(BD13=Assumptions!$L$17,'Monthly Cash Flow'!BD187,-SUM(BD178:BD186))</f>
        <v>42.728480000001611</v>
      </c>
      <c r="BE195" s="26">
        <f ca="1">IF(BE13=Assumptions!$L$17,'Monthly Cash Flow'!BE187,-SUM(BE178:BE186))</f>
        <v>-34.22075000000001</v>
      </c>
      <c r="BF195" s="26">
        <f ca="1">IF(BF13=Assumptions!$L$17,'Monthly Cash Flow'!BF187,-SUM(BF178:BF186))</f>
        <v>-40.749869999999959</v>
      </c>
      <c r="BG195" s="26">
        <f ca="1">IF(BG13=Assumptions!$L$17,'Monthly Cash Flow'!BG187,-SUM(BG178:BG186))</f>
        <v>75.45189000000002</v>
      </c>
      <c r="BH195" s="26">
        <f ca="1">IF(BH13=Assumptions!$L$17,'Monthly Cash Flow'!BH187,-SUM(BH178:BH186))</f>
        <v>-23.668309999999977</v>
      </c>
      <c r="BI195" s="26">
        <f ca="1">IF(BI13=Assumptions!$L$17,'Monthly Cash Flow'!BI187,-SUM(BI178:BI186))</f>
        <v>-6.5428799999999825</v>
      </c>
      <c r="BJ195" s="26">
        <f ca="1">IF(BJ13=Assumptions!$L$17,'Monthly Cash Flow'!BJ187,-SUM(BJ178:BJ186))</f>
        <v>468.81240000000003</v>
      </c>
      <c r="BK195" s="26">
        <f ca="1">IF(BK13=Assumptions!$L$17,'Monthly Cash Flow'!BK187,-SUM(BK178:BK186))</f>
        <v>-39.225409999999997</v>
      </c>
      <c r="BL195" s="26">
        <f ca="1">IF(BL13=Assumptions!$L$17,'Monthly Cash Flow'!BL187,-SUM(BL178:BL186))</f>
        <v>-7.5832400000000035</v>
      </c>
      <c r="BM195" s="26">
        <f ca="1">IF(BM13=Assumptions!$L$17,'Monthly Cash Flow'!BM187,-SUM(BM178:BM186))</f>
        <v>98.088319999999939</v>
      </c>
      <c r="BN195" s="26">
        <f ca="1">IF(BN13=Assumptions!$L$17,'Monthly Cash Flow'!BN187,-SUM(BN178:BN186))</f>
        <v>2.2469199999999603</v>
      </c>
      <c r="BO195" s="26">
        <f ca="1">IF(BO13=Assumptions!$L$17,'Monthly Cash Flow'!BO187,-SUM(BO178:BO186))</f>
        <v>-9.7761899999999997</v>
      </c>
      <c r="BP195" s="26">
        <f ca="1">IF(BP13=Assumptions!$L$17,'Monthly Cash Flow'!BP187,-SUM(BP178:BP186))</f>
        <v>88.698799999999991</v>
      </c>
      <c r="BQ195" s="26">
        <f ca="1">IF(BQ13=Assumptions!$L$17,'Monthly Cash Flow'!BQ187,-SUM(BQ178:BQ186))</f>
        <v>-7.8888199999999813</v>
      </c>
      <c r="BR195" s="26">
        <f ca="1">IF(BR13=Assumptions!$L$17,'Monthly Cash Flow'!BR187,-SUM(BR178:BR186))</f>
        <v>114.42168999999906</v>
      </c>
      <c r="BS195" s="26">
        <f ca="1">IF(BS13=Assumptions!$L$17,'Monthly Cash Flow'!BS187,-SUM(BS178:BS186))</f>
        <v>501.62116999999853</v>
      </c>
      <c r="BT195" s="26">
        <f ca="1">IF(BT13=Assumptions!$L$17,'Monthly Cash Flow'!BT187,-SUM(BT178:BT186))</f>
        <v>40.044030000000006</v>
      </c>
      <c r="BU195" s="26">
        <f ca="1">IF(BU13=Assumptions!$L$17,'Monthly Cash Flow'!BU187,-SUM(BU178:BU186))</f>
        <v>30.121659999999963</v>
      </c>
      <c r="BV195" s="26">
        <f ca="1">IF(BV13=Assumptions!$L$17,'Monthly Cash Flow'!BV187,-SUM(BV178:BV186))</f>
        <v>-8.5182099999999821</v>
      </c>
      <c r="BW195" s="26">
        <f ca="1">IF(BW13=Assumptions!$L$17,'Monthly Cash Flow'!BW187,-SUM(BW178:BW186))</f>
        <v>-76.141459999999967</v>
      </c>
      <c r="BX195" s="26">
        <f ca="1">IF(BX13=Assumptions!$L$17,'Monthly Cash Flow'!BX187,-SUM(BX178:BX186))</f>
        <v>5.4213900000000592</v>
      </c>
      <c r="BY195" s="26">
        <f ca="1">IF(BY13=Assumptions!$L$17,'Monthly Cash Flow'!BY187,-SUM(BY178:BY186))</f>
        <v>-27.669080000000022</v>
      </c>
      <c r="BZ195" s="26">
        <f ca="1">IF(BZ13=Assumptions!$L$17,'Monthly Cash Flow'!BZ187,-SUM(BZ178:BZ186))</f>
        <v>-82.17413999999998</v>
      </c>
      <c r="CA195" s="26">
        <f ca="1">IF(CA13=Assumptions!$L$17,'Monthly Cash Flow'!CA187,-SUM(CA178:CA186))</f>
        <v>75.128219999999999</v>
      </c>
      <c r="CB195" s="26">
        <f ca="1">IF(CB13=Assumptions!$L$17,'Monthly Cash Flow'!CB187,-SUM(CB178:CB186))</f>
        <v>-25.984249999999989</v>
      </c>
      <c r="CC195" s="26">
        <f ca="1">IF(CC13=Assumptions!$L$17,'Monthly Cash Flow'!CC187,-SUM(CC178:CC186))</f>
        <v>-34.439579999999978</v>
      </c>
      <c r="CD195" s="26">
        <f ca="1">IF(CD13=Assumptions!$L$17,'Monthly Cash Flow'!CD187,-SUM(CD178:CD186))</f>
        <v>12.867059999999981</v>
      </c>
      <c r="CE195" s="26">
        <f ca="1">IF(CE13=Assumptions!$L$17,'Monthly Cash Flow'!CE187,-SUM(CE178:CE186))</f>
        <v>8.3577399999999642</v>
      </c>
      <c r="CF195" s="26">
        <f ca="1">IF(CF13=Assumptions!$L$17,'Monthly Cash Flow'!CF187,-SUM(CF178:CF186))</f>
        <v>-25.573719999999952</v>
      </c>
      <c r="CG195" s="26">
        <f ca="1">IF(CG13=Assumptions!$L$17,'Monthly Cash Flow'!CG187,-SUM(CG178:CG186))</f>
        <v>11.887410000000045</v>
      </c>
      <c r="CH195" s="26">
        <f ca="1">IF(CH13=Assumptions!$L$17,'Monthly Cash Flow'!CH187,-SUM(CH178:CH186))</f>
        <v>-14.746900000000011</v>
      </c>
      <c r="CI195" s="26">
        <f ca="1">IF(CI13=Assumptions!$L$17,'Monthly Cash Flow'!CI187,-SUM(CI178:CI186))</f>
        <v>-14.28969799064015</v>
      </c>
      <c r="CJ195" s="26">
        <f ca="1">IF(CJ13=Assumptions!$L$17,'Monthly Cash Flow'!CJ187,-SUM(CJ178:CJ186))</f>
        <v>-23.79786026666666</v>
      </c>
      <c r="CK195" s="26">
        <f ca="1">IF(CK13=Assumptions!$L$17,'Monthly Cash Flow'!CK187,-SUM(CK178:CK186))</f>
        <v>-19.756822275555564</v>
      </c>
      <c r="CL195" s="26">
        <f ca="1">IF(CL13=Assumptions!$L$17,'Monthly Cash Flow'!CL187,-SUM(CL178:CL186))</f>
        <v>-20.152822275555522</v>
      </c>
      <c r="CM195" s="26">
        <f ca="1">IF(CM13=Assumptions!$L$17,'Monthly Cash Flow'!CM187,-SUM(CM178:CM186))</f>
        <v>-32.27593624888884</v>
      </c>
      <c r="CN195" s="26">
        <f ca="1">IF(CN13=Assumptions!$L$17,'Monthly Cash Flow'!CN187,-SUM(CN178:CN186))</f>
        <v>-20.256339030405655</v>
      </c>
      <c r="CO195" s="26">
        <f ca="1">IF(CO13=Assumptions!$L$17,'Monthly Cash Flow'!CO187,-SUM(CO178:CO186))</f>
        <v>-23.945183017989407</v>
      </c>
      <c r="CP195" s="26">
        <f ca="1">IF(CP13=Assumptions!$L$17,'Monthly Cash Flow'!CP187,-SUM(CP178:CP186))</f>
        <v>-31.8543725401058</v>
      </c>
      <c r="CQ195" s="26">
        <f ca="1">IF(CQ13=Assumptions!$L$17,'Monthly Cash Flow'!CQ187,-SUM(CQ178:CQ186))</f>
        <v>-36.090991102645475</v>
      </c>
      <c r="CR195" s="26">
        <f ca="1">IF(CR13=Assumptions!$L$17,'Monthly Cash Flow'!CR187,-SUM(CR178:CR186))</f>
        <v>8.2667096604673986</v>
      </c>
      <c r="CS195" s="26">
        <f ca="1">IF(CS13=Assumptions!$L$17,'Monthly Cash Flow'!CS187,-SUM(CS178:CS186))</f>
        <v>26.374192023783081</v>
      </c>
      <c r="CT195" s="26">
        <f ca="1">IF(CT13=Assumptions!$L$17,'Monthly Cash Flow'!CT187,-SUM(CT178:CT186))</f>
        <v>-22.436769442592578</v>
      </c>
      <c r="CU195" s="26">
        <f ca="1">IF(CU13=Assumptions!$L$17,'Monthly Cash Flow'!CU187,-SUM(CU178:CU186))</f>
        <v>-12.17643268450621</v>
      </c>
      <c r="CV195" s="26">
        <f ca="1">IF(CV13=Assumptions!$L$17,'Monthly Cash Flow'!CV187,-SUM(CV178:CV186))</f>
        <v>-24.334799849999996</v>
      </c>
      <c r="CW195" s="26">
        <f ca="1">IF(CW13=Assumptions!$L$17,'Monthly Cash Flow'!CW187,-SUM(CW178:CW186))</f>
        <v>-19.446426511666658</v>
      </c>
      <c r="CX195" s="26">
        <f ca="1">IF(CX13=Assumptions!$L$17,'Monthly Cash Flow'!CX187,-SUM(CX178:CX186))</f>
        <v>9.5015734883333494</v>
      </c>
      <c r="CY195" s="26">
        <f ca="1">IF(CY13=Assumptions!$L$17,'Monthly Cash Flow'!CY187,-SUM(CY178:CY186))</f>
        <v>-27.320173188333371</v>
      </c>
      <c r="CZ195" s="26">
        <f ca="1">IF(CZ13=Assumptions!$L$17,'Monthly Cash Flow'!CZ187,-SUM(CZ178:CZ186))</f>
        <v>8.9514706716666694</v>
      </c>
      <c r="DA195" s="26">
        <f ca="1">IF(DA13=Assumptions!$L$17,'Monthly Cash Flow'!DA187,-SUM(DA178:DA186))</f>
        <v>-20.571899350000052</v>
      </c>
      <c r="DB195" s="26">
        <f ca="1">IF(DB13=Assumptions!$L$17,'Monthly Cash Flow'!DB187,-SUM(DB178:DB186))</f>
        <v>-33.169461556111173</v>
      </c>
      <c r="DC195" s="26">
        <f ca="1">IF(DC13=Assumptions!$L$17,'Monthly Cash Flow'!DC187,-SUM(DC178:DC186))</f>
        <v>-62.8837126833333</v>
      </c>
      <c r="DD195" s="26">
        <f ca="1">IF(DD13=Assumptions!$L$17,'Monthly Cash Flow'!DD187,-SUM(DD178:DD186))</f>
        <v>-56.456198956111081</v>
      </c>
      <c r="DE195" s="26">
        <f ca="1">IF(DE13=Assumptions!$L$17,'Monthly Cash Flow'!DE187,-SUM(DE178:DE186))</f>
        <v>-57.000198956111092</v>
      </c>
      <c r="DF195" s="26">
        <f ca="1">IF(DF13=Assumptions!$L$17,'Monthly Cash Flow'!DF187,-SUM(DF178:DF186))</f>
        <v>-63.119773183333308</v>
      </c>
      <c r="DG195" s="26">
        <f ca="1">IF(DG13=Assumptions!$L$17,'Monthly Cash Flow'!DG187,-SUM(DG178:DG186))</f>
        <v>-58.421198956111112</v>
      </c>
      <c r="DH195" s="26">
        <f ca="1">IF(DH13=Assumptions!$L$17,'Monthly Cash Flow'!DH187,-SUM(DH178:DH186))</f>
        <v>-64.534773183333385</v>
      </c>
      <c r="DI195" s="26">
        <f ca="1">IF(DI13=Assumptions!$L$17,'Monthly Cash Flow'!DI187,-SUM(DI178:DI186))</f>
        <v>27810.627823956129</v>
      </c>
      <c r="DJ195" s="26">
        <f ca="1">IF(DJ13=Assumptions!$L$17,'Monthly Cash Flow'!DJ187,-SUM(DJ178:DJ186))</f>
        <v>0</v>
      </c>
      <c r="DK195" s="26">
        <f ca="1">IF(DK13=Assumptions!$L$17,'Monthly Cash Flow'!DK187,-SUM(DK178:DK186))</f>
        <v>0</v>
      </c>
      <c r="DL195" s="26">
        <f ca="1">IF(DL13=Assumptions!$L$17,'Monthly Cash Flow'!DL187,-SUM(DL178:DL186))</f>
        <v>0</v>
      </c>
      <c r="DM195" s="26">
        <f ca="1">IF(DM13=Assumptions!$L$17,'Monthly Cash Flow'!DM187,-SUM(DM178:DM186))</f>
        <v>0</v>
      </c>
      <c r="DN195" s="26">
        <f ca="1">IF(DN13=Assumptions!$L$17,'Monthly Cash Flow'!DN187,-SUM(DN178:DN186))</f>
        <v>0</v>
      </c>
      <c r="DO195" s="26">
        <f ca="1">IF(DO13=Assumptions!$L$17,'Monthly Cash Flow'!DO187,-SUM(DO178:DO186))</f>
        <v>0</v>
      </c>
      <c r="DP195" s="26">
        <f ca="1">IF(DP13=Assumptions!$L$17,'Monthly Cash Flow'!DP187,-SUM(DP178:DP186))</f>
        <v>0</v>
      </c>
      <c r="DQ195" s="26">
        <f ca="1">IF(DQ13=Assumptions!$L$17,'Monthly Cash Flow'!DQ187,-SUM(DQ178:DQ186))</f>
        <v>0</v>
      </c>
      <c r="DR195" s="26">
        <f ca="1">IF(DR13=Assumptions!$L$17,'Monthly Cash Flow'!DR187,-SUM(DR178:DR186))</f>
        <v>0</v>
      </c>
      <c r="DS195" s="26">
        <f ca="1">IF(DS13=Assumptions!$L$17,'Monthly Cash Flow'!DS187,-SUM(DS178:DS186))</f>
        <v>0</v>
      </c>
      <c r="DT195" s="26">
        <f ca="1">IF(DT13=Assumptions!$L$17,'Monthly Cash Flow'!DT187,-SUM(DT178:DT186))</f>
        <v>0</v>
      </c>
      <c r="DU195" s="26">
        <f ca="1">IF(DU13=Assumptions!$L$17,'Monthly Cash Flow'!DU187,-SUM(DU178:DU186))</f>
        <v>0</v>
      </c>
      <c r="DV195" s="26">
        <f ca="1">IF(DV13=Assumptions!$L$17,'Monthly Cash Flow'!DV187,-SUM(DV178:DV186))</f>
        <v>0</v>
      </c>
      <c r="DW195" s="26">
        <f ca="1">IF(DW13=Assumptions!$L$17,'Monthly Cash Flow'!DW187,-SUM(DW178:DW186))</f>
        <v>0</v>
      </c>
      <c r="DX195" s="26">
        <f ca="1">IF(DX13=Assumptions!$L$17,'Monthly Cash Flow'!DX187,-SUM(DX178:DX186))</f>
        <v>0</v>
      </c>
      <c r="DY195" s="26">
        <f ca="1">IF(DY13=Assumptions!$L$17,'Monthly Cash Flow'!DY187,-SUM(DY178:DY186))</f>
        <v>0</v>
      </c>
      <c r="DZ195" s="26">
        <f ca="1">IF(DZ13=Assumptions!$L$17,'Monthly Cash Flow'!DZ187,-SUM(DZ178:DZ186))</f>
        <v>0</v>
      </c>
      <c r="EA195" s="26">
        <f ca="1">IF(EA13=Assumptions!$L$17,'Monthly Cash Flow'!EA187,-SUM(EA178:EA186))</f>
        <v>0</v>
      </c>
      <c r="EB195" s="26">
        <f ca="1">IF(EB13=Assumptions!$L$17,'Monthly Cash Flow'!EB187,-SUM(EB178:EB186))</f>
        <v>0</v>
      </c>
      <c r="EC195" s="26">
        <f ca="1">IF(EC13=Assumptions!$L$17,'Monthly Cash Flow'!EC187,-SUM(EC178:EC186))</f>
        <v>0</v>
      </c>
      <c r="ED195" s="26">
        <f ca="1">IF(ED13=Assumptions!$L$17,'Monthly Cash Flow'!ED187,-SUM(ED178:ED186))</f>
        <v>0</v>
      </c>
      <c r="EE195" s="26">
        <f ca="1">IF(EE13=Assumptions!$L$17,'Monthly Cash Flow'!EE187,-SUM(EE178:EE186))</f>
        <v>0</v>
      </c>
      <c r="EF195" s="26">
        <f ca="1">IF(EF13=Assumptions!$L$17,'Monthly Cash Flow'!EF187,-SUM(EF178:EF186))</f>
        <v>0</v>
      </c>
      <c r="EG195" s="26">
        <f ca="1">IF(EG13=Assumptions!$L$17,'Monthly Cash Flow'!EG187,-SUM(EG178:EG186))</f>
        <v>0</v>
      </c>
      <c r="EH195" s="26">
        <f ca="1">IF(EH13=Assumptions!$L$17,'Monthly Cash Flow'!EH187,-SUM(EH178:EH186))</f>
        <v>0</v>
      </c>
      <c r="EI195" s="26">
        <f ca="1">IF(EI13=Assumptions!$L$17,'Monthly Cash Flow'!EI187,-SUM(EI178:EI186))</f>
        <v>0</v>
      </c>
      <c r="EJ195" s="26">
        <f ca="1">IF(EJ13=Assumptions!$L$17,'Monthly Cash Flow'!EJ187,-SUM(EJ178:EJ186))</f>
        <v>0</v>
      </c>
      <c r="EK195" s="26">
        <f ca="1">IF(EK13=Assumptions!$L$17,'Monthly Cash Flow'!EK187,-SUM(EK178:EK186))</f>
        <v>0</v>
      </c>
      <c r="EL195" s="26">
        <f ca="1">IF(EL13=Assumptions!$L$17,'Monthly Cash Flow'!EL187,-SUM(EL178:EL186))</f>
        <v>0</v>
      </c>
      <c r="EM195" s="26">
        <f ca="1">IF(EM13=Assumptions!$L$17,'Monthly Cash Flow'!EM187,-SUM(EM178:EM186))</f>
        <v>0</v>
      </c>
      <c r="EN195" s="26">
        <f ca="1">IF(EN13=Assumptions!$L$17,'Monthly Cash Flow'!EN187,-SUM(EN178:EN186))</f>
        <v>0</v>
      </c>
      <c r="EO195" s="26">
        <f ca="1">IF(EO13=Assumptions!$L$17,'Monthly Cash Flow'!EO187,-SUM(EO178:EO186))</f>
        <v>0</v>
      </c>
      <c r="EP195" s="26">
        <f ca="1">IF(EP13=Assumptions!$L$17,'Monthly Cash Flow'!EP187,-SUM(EP178:EP186))</f>
        <v>0</v>
      </c>
      <c r="EQ195" s="26">
        <f ca="1">IF(EQ13=Assumptions!$L$17,'Monthly Cash Flow'!EQ187,-SUM(EQ178:EQ186))</f>
        <v>0</v>
      </c>
      <c r="ER195" s="26">
        <f ca="1">IF(ER13=Assumptions!$L$17,'Monthly Cash Flow'!ER187,-SUM(ER178:ER186))</f>
        <v>0</v>
      </c>
      <c r="ES195" s="26">
        <f ca="1">IF(ES13=Assumptions!$L$17,'Monthly Cash Flow'!ES187,-SUM(ES178:ES186))</f>
        <v>0</v>
      </c>
      <c r="ET195" s="26">
        <f ca="1">IF(ET13=Assumptions!$L$17,'Monthly Cash Flow'!ET187,-SUM(ET178:ET186))</f>
        <v>0</v>
      </c>
      <c r="EU195" s="26">
        <f ca="1">IF(EU13=Assumptions!$L$17,'Monthly Cash Flow'!EU187,-SUM(EU178:EU186))</f>
        <v>0</v>
      </c>
      <c r="EV195" s="26">
        <f ca="1">IF(EV13=Assumptions!$L$17,'Monthly Cash Flow'!EV187,-SUM(EV178:EV186))</f>
        <v>0</v>
      </c>
      <c r="EW195" s="26">
        <f ca="1">IF(EW13=Assumptions!$L$17,'Monthly Cash Flow'!EW187,-SUM(EW178:EW186))</f>
        <v>0</v>
      </c>
      <c r="EX195" s="26">
        <f ca="1">IF(EX13=Assumptions!$L$17,'Monthly Cash Flow'!EX187,-SUM(EX178:EX186))</f>
        <v>0</v>
      </c>
      <c r="EY195" s="26">
        <f ca="1">IF(EY13=Assumptions!$L$17,'Monthly Cash Flow'!EY187,-SUM(EY178:EY186))</f>
        <v>0</v>
      </c>
      <c r="EZ195" s="26">
        <f ca="1">IF(EZ13=Assumptions!$L$17,'Monthly Cash Flow'!EZ187,-SUM(EZ178:EZ186))</f>
        <v>0</v>
      </c>
      <c r="FA195" s="26">
        <f ca="1">IF(FA13=Assumptions!$L$17,'Monthly Cash Flow'!FA187,-SUM(FA178:FA186))</f>
        <v>0</v>
      </c>
      <c r="FB195" s="26">
        <f ca="1">IF(FB13=Assumptions!$L$17,'Monthly Cash Flow'!FB187,-SUM(FB178:FB186))</f>
        <v>0</v>
      </c>
      <c r="FC195" s="26">
        <f ca="1">IF(FC13=Assumptions!$L$17,'Monthly Cash Flow'!FC187,-SUM(FC178:FC186))</f>
        <v>0</v>
      </c>
      <c r="FD195" s="26">
        <f ca="1">IF(FD13=Assumptions!$L$17,'Monthly Cash Flow'!FD187,-SUM(FD178:FD186))</f>
        <v>0</v>
      </c>
      <c r="FE195" s="26">
        <f ca="1">IF(FE13=Assumptions!$L$17,'Monthly Cash Flow'!FE187,-SUM(FE178:FE186))</f>
        <v>0</v>
      </c>
      <c r="FF195" s="26">
        <f ca="1">IF(FF13=Assumptions!$L$17,'Monthly Cash Flow'!FF187,-SUM(FF178:FF186))</f>
        <v>0</v>
      </c>
      <c r="FG195" s="26">
        <f ca="1">IF(FG13=Assumptions!$L$17,'Monthly Cash Flow'!FG187,-SUM(FG178:FG186))</f>
        <v>0</v>
      </c>
      <c r="FH195" s="26">
        <f ca="1">IF(FH13=Assumptions!$L$17,'Monthly Cash Flow'!FH187,-SUM(FH178:FH186))</f>
        <v>0</v>
      </c>
      <c r="FI195" s="26">
        <f ca="1">IF(FI13=Assumptions!$L$17,'Monthly Cash Flow'!FI187,-SUM(FI178:FI186))</f>
        <v>0</v>
      </c>
      <c r="FJ195" s="26">
        <f ca="1">IF(FJ13=Assumptions!$L$17,'Monthly Cash Flow'!FJ187,-SUM(FJ178:FJ186))</f>
        <v>0</v>
      </c>
      <c r="FK195" s="26">
        <f ca="1">IF(FK13=Assumptions!$L$17,'Monthly Cash Flow'!FK187,-SUM(FK178:FK186))</f>
        <v>0</v>
      </c>
      <c r="FL195" s="26">
        <f ca="1">IF(FL13=Assumptions!$L$17,'Monthly Cash Flow'!FL187,-SUM(FL178:FL186))</f>
        <v>0</v>
      </c>
      <c r="FM195" s="26">
        <f ca="1">IF(FM13=Assumptions!$L$17,'Monthly Cash Flow'!FM187,-SUM(FM178:FM186))</f>
        <v>0</v>
      </c>
      <c r="FN195" s="26">
        <f ca="1">IF(FN13=Assumptions!$L$17,'Monthly Cash Flow'!FN187,-SUM(FN178:FN186))</f>
        <v>0</v>
      </c>
      <c r="FO195" s="26">
        <f ca="1">IF(FO13=Assumptions!$L$17,'Monthly Cash Flow'!FO187,-SUM(FO178:FO186))</f>
        <v>0</v>
      </c>
      <c r="FP195" s="26">
        <f ca="1">IF(FP13=Assumptions!$L$17,'Monthly Cash Flow'!FP187,-SUM(FP178:FP186))</f>
        <v>0</v>
      </c>
      <c r="FQ195" s="26">
        <f ca="1">IF(FQ13=Assumptions!$L$17,'Monthly Cash Flow'!FQ187,-SUM(FQ178:FQ186))</f>
        <v>0</v>
      </c>
      <c r="FR195" s="26">
        <f ca="1">IF(FR13=Assumptions!$L$17,'Monthly Cash Flow'!FR187,-SUM(FR178:FR186))</f>
        <v>0</v>
      </c>
      <c r="FS195" s="26">
        <f ca="1">IF(FS13=Assumptions!$L$17,'Monthly Cash Flow'!FS187,-SUM(FS178:FS186))</f>
        <v>0</v>
      </c>
      <c r="FT195" s="26">
        <f ca="1">IF(FT13=Assumptions!$L$17,'Monthly Cash Flow'!FT187,-SUM(FT178:FT186))</f>
        <v>0</v>
      </c>
      <c r="FU195" s="26">
        <f ca="1">IF(FU13=Assumptions!$L$17,'Monthly Cash Flow'!FU187,-SUM(FU178:FU186))</f>
        <v>0</v>
      </c>
      <c r="FV195" s="26">
        <f ca="1">IF(FV13=Assumptions!$L$17,'Monthly Cash Flow'!FV187,-SUM(FV178:FV186))</f>
        <v>0</v>
      </c>
      <c r="FW195" s="26">
        <f ca="1">IF(FW13=Assumptions!$L$17,'Monthly Cash Flow'!FW187,-SUM(FW178:FW186))</f>
        <v>0</v>
      </c>
      <c r="FX195" s="26">
        <f ca="1">IF(FX13=Assumptions!$L$17,'Monthly Cash Flow'!FX187,-SUM(FX178:FX186))</f>
        <v>0</v>
      </c>
      <c r="FY195" s="26">
        <f ca="1">IF(FY13=Assumptions!$L$17,'Monthly Cash Flow'!FY187,-SUM(FY178:FY186))</f>
        <v>0</v>
      </c>
      <c r="FZ195" s="26">
        <f ca="1">IF(FZ13=Assumptions!$L$17,'Monthly Cash Flow'!FZ187,-SUM(FZ178:FZ186))</f>
        <v>0</v>
      </c>
      <c r="GA195" s="26">
        <f ca="1">IF(GA13=Assumptions!$L$17,'Monthly Cash Flow'!GA187,-SUM(GA178:GA186))</f>
        <v>0</v>
      </c>
      <c r="GB195" s="26">
        <f ca="1">IF(GB13=Assumptions!$L$17,'Monthly Cash Flow'!GB187,-SUM(GB178:GB186))</f>
        <v>0</v>
      </c>
      <c r="GC195" s="26">
        <f ca="1">IF(GC13=Assumptions!$L$17,'Monthly Cash Flow'!GC187,-SUM(GC178:GC186))</f>
        <v>0</v>
      </c>
      <c r="GD195" s="26">
        <f ca="1">IF(GD13=Assumptions!$L$17,'Monthly Cash Flow'!GD187,-SUM(GD178:GD186))</f>
        <v>0</v>
      </c>
      <c r="GE195" s="26">
        <f ca="1">IF(GE13=Assumptions!$L$17,'Monthly Cash Flow'!GE187,-SUM(GE178:GE186))</f>
        <v>0</v>
      </c>
      <c r="GF195" s="26">
        <f ca="1">IF(GF13=Assumptions!$L$17,'Monthly Cash Flow'!GF187,-SUM(GF178:GF186))</f>
        <v>0</v>
      </c>
      <c r="GG195" s="26">
        <f ca="1">IF(GG13=Assumptions!$L$17,'Monthly Cash Flow'!GG187,-SUM(GG178:GG186))</f>
        <v>0</v>
      </c>
      <c r="GH195" s="26">
        <f ca="1">IF(GH13=Assumptions!$L$17,'Monthly Cash Flow'!GH187,-SUM(GH178:GH186))</f>
        <v>0</v>
      </c>
      <c r="GI195" s="26">
        <f ca="1">IF(GI13=Assumptions!$L$17,'Monthly Cash Flow'!GI187,-SUM(GI178:GI186))</f>
        <v>0</v>
      </c>
      <c r="GJ195" s="26">
        <f ca="1">IF(GJ13=Assumptions!$L$17,'Monthly Cash Flow'!GJ187,-SUM(GJ178:GJ186))</f>
        <v>0</v>
      </c>
      <c r="GK195" s="26">
        <f ca="1">IF(GK13=Assumptions!$L$17,'Monthly Cash Flow'!GK187,-SUM(GK178:GK186))</f>
        <v>0</v>
      </c>
      <c r="GL195" s="26">
        <f ca="1">IF(GL13=Assumptions!$L$17,'Monthly Cash Flow'!GL187,-SUM(GL178:GL186))</f>
        <v>0</v>
      </c>
      <c r="GM195" s="26">
        <f ca="1">IF(GM13=Assumptions!$L$17,'Monthly Cash Flow'!GM187,-SUM(GM178:GM186))</f>
        <v>0</v>
      </c>
      <c r="GN195" s="26">
        <f ca="1">IF(GN13=Assumptions!$L$17,'Monthly Cash Flow'!GN187,-SUM(GN178:GN186))</f>
        <v>0</v>
      </c>
      <c r="GO195" s="26">
        <f ca="1">IF(GO13=Assumptions!$L$17,'Monthly Cash Flow'!GO187,-SUM(GO178:GO186))</f>
        <v>0</v>
      </c>
      <c r="GP195" s="26">
        <f ca="1">IF(GP13=Assumptions!$L$17,'Monthly Cash Flow'!GP187,-SUM(GP178:GP186))</f>
        <v>0</v>
      </c>
      <c r="GQ195" s="26">
        <f ca="1">IF(GQ13=Assumptions!$L$17,'Monthly Cash Flow'!GQ187,-SUM(GQ178:GQ186))</f>
        <v>0</v>
      </c>
      <c r="GR195" s="26">
        <f ca="1">IF(GR13=Assumptions!$L$17,'Monthly Cash Flow'!GR187,-SUM(GR178:GR186))</f>
        <v>0</v>
      </c>
      <c r="GS195" s="26">
        <f ca="1">IF(GS13=Assumptions!$L$17,'Monthly Cash Flow'!GS187,-SUM(GS178:GS186))</f>
        <v>0</v>
      </c>
      <c r="GT195" s="26">
        <f ca="1">IF(GT13=Assumptions!$L$17,'Monthly Cash Flow'!GT187,-SUM(GT178:GT186))</f>
        <v>0</v>
      </c>
      <c r="GU195" s="26">
        <f>IF(GU13=Assumptions!$L$17,'Monthly Cash Flow'!GU187,-SUM(GU178:GU186))</f>
        <v>0</v>
      </c>
      <c r="GV195" s="26">
        <f>IF(GV13=Assumptions!$L$17,'Monthly Cash Flow'!GV187,-SUM(GV178:GV186))</f>
        <v>0</v>
      </c>
      <c r="GW195" s="26">
        <f>IF(GW13=Assumptions!$L$17,'Monthly Cash Flow'!GW187,-SUM(GW178:GW186))</f>
        <v>0</v>
      </c>
      <c r="GX195" s="26">
        <f>IF(GX13=Assumptions!$L$17,'Monthly Cash Flow'!GX187,-SUM(GX178:GX186))</f>
        <v>0</v>
      </c>
      <c r="GY195" s="26">
        <f>IF(GY13=Assumptions!$L$17,'Monthly Cash Flow'!GY187,-SUM(GY178:GY186))</f>
        <v>0</v>
      </c>
      <c r="GZ195" s="26">
        <f>IF(GZ13=Assumptions!$L$17,'Monthly Cash Flow'!GZ187,-SUM(GZ178:GZ186))</f>
        <v>0</v>
      </c>
      <c r="HA195" s="26">
        <f>IF(HA13=Assumptions!$L$17,'Monthly Cash Flow'!HA187,-SUM(HA178:HA186))</f>
        <v>0</v>
      </c>
      <c r="HB195" s="26">
        <f>IF(HB13=Assumptions!$L$17,'Monthly Cash Flow'!HB187,-SUM(HB178:HB186))</f>
        <v>0</v>
      </c>
      <c r="HC195" s="26">
        <f>IF(HC13=Assumptions!$L$17,'Monthly Cash Flow'!HC187,-SUM(HC178:HC186))</f>
        <v>0</v>
      </c>
      <c r="HD195" s="26">
        <f>IF(HD13=Assumptions!$L$17,'Monthly Cash Flow'!HD187,-SUM(HD178:HD186))</f>
        <v>0</v>
      </c>
      <c r="HE195" s="26">
        <f>IF(HE13=Assumptions!$L$17,'Monthly Cash Flow'!HE187,-SUM(HE178:HE186))</f>
        <v>0</v>
      </c>
      <c r="HF195" s="1" t="s">
        <v>212</v>
      </c>
      <c r="HI195" s="26"/>
      <c r="HJ195" s="26"/>
      <c r="HK195" s="26"/>
      <c r="HL195" s="132"/>
      <c r="HM195" s="26"/>
      <c r="HN195" s="133"/>
      <c r="HO195" s="26"/>
      <c r="HP195" s="26"/>
      <c r="HQ195" s="26"/>
      <c r="HR195" s="26"/>
      <c r="HS195" s="26"/>
      <c r="HT195" s="26"/>
      <c r="HU195" s="26"/>
      <c r="HV195" s="26"/>
      <c r="HW195"/>
    </row>
    <row r="196" spans="2:231" ht="16" thickBot="1">
      <c r="B196" s="1106" t="s">
        <v>1960</v>
      </c>
      <c r="C196" s="95"/>
      <c r="D196" s="95"/>
      <c r="E196" s="95"/>
      <c r="F196" s="95"/>
      <c r="G196" s="95"/>
      <c r="H196" s="95"/>
      <c r="I196" s="136">
        <f ca="1">SUMIF($K$13:$GT$13,"&lt;="&amp;Assumptions!$L$17,'Monthly Cash Flow'!K196:GT196)</f>
        <v>11928.395823956129</v>
      </c>
      <c r="J196" s="137"/>
      <c r="K196" s="138">
        <f>SUM(K178:K186)</f>
        <v>-13708</v>
      </c>
      <c r="L196" s="137">
        <f ca="1">IF(L$13&lt;Assumptions!$L$17,SUM(L178:L186)+L195+L194,IF(L$13=Assumptions!$L$17,'Monthly Cash Flow'!L195,0))</f>
        <v>0</v>
      </c>
      <c r="M196" s="137">
        <f ca="1">IF(M$13&lt;Assumptions!$L$17,SUM(M178:M186)+M195+M194,IF(M$13=Assumptions!$L$17,'Monthly Cash Flow'!M195,0))</f>
        <v>0</v>
      </c>
      <c r="N196" s="137">
        <f ca="1">IF(N$13&lt;Assumptions!$L$17,SUM(N178:N186)+N195+N194,IF(N$13=Assumptions!$L$17,'Monthly Cash Flow'!N195,0))</f>
        <v>0</v>
      </c>
      <c r="O196" s="137">
        <f ca="1">IF(O$13&lt;Assumptions!$L$17,SUM(O178:O186)+O195+O194,IF(O$13=Assumptions!$L$17,'Monthly Cash Flow'!O195,0))</f>
        <v>0</v>
      </c>
      <c r="P196" s="137">
        <f ca="1">IF(P$13&lt;Assumptions!$L$17,SUM(P178:P186)+P195+P194,IF(P$13=Assumptions!$L$17,'Monthly Cash Flow'!P195,0))</f>
        <v>-150.82499999999999</v>
      </c>
      <c r="Q196" s="137">
        <f ca="1">IF(Q$13&lt;Assumptions!$L$17,SUM(Q178:Q186)+Q195+Q194,IF(Q$13=Assumptions!$L$17,'Monthly Cash Flow'!Q195,0))</f>
        <v>0</v>
      </c>
      <c r="R196" s="137">
        <f ca="1">IF(R$13&lt;Assumptions!$L$17,SUM(R178:R186)+R195+R194,IF(R$13=Assumptions!$L$17,'Monthly Cash Flow'!R195,0))</f>
        <v>0</v>
      </c>
      <c r="S196" s="137">
        <f ca="1">IF(S$13&lt;Assumptions!$L$17,SUM(S178:S186)+S195+S194,IF(S$13=Assumptions!$L$17,'Monthly Cash Flow'!S195,0))</f>
        <v>0</v>
      </c>
      <c r="T196" s="137">
        <f ca="1">IF(T$13&lt;Assumptions!$L$17,SUM(T178:T186)+T195+T194,IF(T$13=Assumptions!$L$17,'Monthly Cash Flow'!T195,0))</f>
        <v>0</v>
      </c>
      <c r="U196" s="137">
        <f ca="1">IF(U$13&lt;Assumptions!$L$17,SUM(U178:U186)+U195+U194,IF(U$13=Assumptions!$L$17,'Monthly Cash Flow'!U195,0))</f>
        <v>0</v>
      </c>
      <c r="V196" s="137">
        <f ca="1">IF(V$13&lt;Assumptions!$L$17,SUM(V178:V186)+V195+V194,IF(V$13=Assumptions!$L$17,'Monthly Cash Flow'!V195,0))</f>
        <v>0</v>
      </c>
      <c r="W196" s="137">
        <f ca="1">IF(W$13&lt;Assumptions!$L$17,SUM(W178:W186)+W195+W194,IF(W$13=Assumptions!$L$17,'Monthly Cash Flow'!W195,0))</f>
        <v>0</v>
      </c>
      <c r="X196" s="137">
        <f ca="1">IF(X$13&lt;Assumptions!$L$17,SUM(X178:X186)+X195+X194,IF(X$13=Assumptions!$L$17,'Monthly Cash Flow'!X195,0))</f>
        <v>-79.174999999999997</v>
      </c>
      <c r="Y196" s="137">
        <f ca="1">IF(Y$13&lt;Assumptions!$L$17,SUM(Y178:Y186)+Y195+Y194,IF(Y$13=Assumptions!$L$17,'Monthly Cash Flow'!Y195,0))</f>
        <v>0</v>
      </c>
      <c r="Z196" s="137">
        <f ca="1">IF(Z$13&lt;Assumptions!$L$17,SUM(Z178:Z186)+Z195+Z194,IF(Z$13=Assumptions!$L$17,'Monthly Cash Flow'!Z195,0))</f>
        <v>0</v>
      </c>
      <c r="AA196" s="137">
        <f ca="1">IF(AA$13&lt;Assumptions!$L$17,SUM(AA178:AA186)+AA195+AA194,IF(AA$13=Assumptions!$L$17,'Monthly Cash Flow'!AA195,0))</f>
        <v>0</v>
      </c>
      <c r="AB196" s="137">
        <f ca="1">IF(AB$13&lt;Assumptions!$L$17,SUM(AB178:AB186)+AB195+AB194,IF(AB$13=Assumptions!$L$17,'Monthly Cash Flow'!AB195,0))</f>
        <v>0</v>
      </c>
      <c r="AC196" s="137">
        <f ca="1">IF(AC$13&lt;Assumptions!$L$17,SUM(AC178:AC186)+AC195+AC194,IF(AC$13=Assumptions!$L$17,'Monthly Cash Flow'!AC195,0))</f>
        <v>0</v>
      </c>
      <c r="AD196" s="137">
        <f ca="1">IF(AD$13&lt;Assumptions!$L$17,SUM(AD178:AD186)+AD195+AD194,IF(AD$13=Assumptions!$L$17,'Monthly Cash Flow'!AD195,0))</f>
        <v>0</v>
      </c>
      <c r="AE196" s="137">
        <f ca="1">IF(AE$13&lt;Assumptions!$L$17,SUM(AE178:AE186)+AE195+AE194,IF(AE$13=Assumptions!$L$17,'Monthly Cash Flow'!AE195,0))</f>
        <v>0</v>
      </c>
      <c r="AF196" s="137">
        <f ca="1">IF(AF$13&lt;Assumptions!$L$17,SUM(AF178:AF186)+AF195+AF194,IF(AF$13=Assumptions!$L$17,'Monthly Cash Flow'!AF195,0))</f>
        <v>0</v>
      </c>
      <c r="AG196" s="137">
        <f ca="1">IF(AG$13&lt;Assumptions!$L$17,SUM(AG178:AG186)+AG195+AG194,IF(AG$13=Assumptions!$L$17,'Monthly Cash Flow'!AG195,0))</f>
        <v>-310</v>
      </c>
      <c r="AH196" s="137">
        <f ca="1">IF(AH$13&lt;Assumptions!$L$17,SUM(AH178:AH186)+AH195+AH194,IF(AH$13=Assumptions!$L$17,'Monthly Cash Flow'!AH195,0))</f>
        <v>0</v>
      </c>
      <c r="AI196" s="137">
        <f ca="1">IF(AI$13&lt;Assumptions!$L$17,SUM(AI178:AI186)+AI195+AI194,IF(AI$13=Assumptions!$L$17,'Monthly Cash Flow'!AI195,0))</f>
        <v>0</v>
      </c>
      <c r="AJ196" s="137">
        <f ca="1">IF(AJ$13&lt;Assumptions!$L$17,SUM(AJ178:AJ186)+AJ195+AJ194,IF(AJ$13=Assumptions!$L$17,'Monthly Cash Flow'!AJ195,0))</f>
        <v>0</v>
      </c>
      <c r="AK196" s="137">
        <f ca="1">IF(AK$13&lt;Assumptions!$L$17,SUM(AK178:AK186)+AK195+AK194,IF(AK$13=Assumptions!$L$17,'Monthly Cash Flow'!AK195,0))</f>
        <v>0</v>
      </c>
      <c r="AL196" s="137">
        <f ca="1">IF(AL$13&lt;Assumptions!$L$17,SUM(AL178:AL186)+AL195+AL194,IF(AL$13=Assumptions!$L$17,'Monthly Cash Flow'!AL195,0))</f>
        <v>0</v>
      </c>
      <c r="AM196" s="137">
        <f ca="1">IF(AM$13&lt;Assumptions!$L$17,SUM(AM178:AM186)+AM195+AM194,IF(AM$13=Assumptions!$L$17,'Monthly Cash Flow'!AM195,0))</f>
        <v>0</v>
      </c>
      <c r="AN196" s="137">
        <f ca="1">IF(AN$13&lt;Assumptions!$L$17,SUM(AN178:AN186)+AN195+AN194,IF(AN$13=Assumptions!$L$17,'Monthly Cash Flow'!AN195,0))</f>
        <v>0</v>
      </c>
      <c r="AO196" s="137">
        <f ca="1">IF(AO$13&lt;Assumptions!$L$17,SUM(AO178:AO186)+AO195+AO194,IF(AO$13=Assumptions!$L$17,'Monthly Cash Flow'!AO195,0))</f>
        <v>0</v>
      </c>
      <c r="AP196" s="137">
        <f ca="1">IF(AP$13&lt;Assumptions!$L$17,SUM(AP178:AP186)+AP195+AP194,IF(AP$13=Assumptions!$L$17,'Monthly Cash Flow'!AP195,0))</f>
        <v>0</v>
      </c>
      <c r="AQ196" s="137">
        <f ca="1">IF(AQ$13&lt;Assumptions!$L$17,SUM(AQ178:AQ186)+AQ195+AQ194,IF(AQ$13=Assumptions!$L$17,'Monthly Cash Flow'!AQ195,0))</f>
        <v>0</v>
      </c>
      <c r="AR196" s="137">
        <f ca="1">IF(AR$13&lt;Assumptions!$L$17,SUM(AR178:AR186)+AR195+AR194,IF(AR$13=Assumptions!$L$17,'Monthly Cash Flow'!AR195,0))</f>
        <v>0</v>
      </c>
      <c r="AS196" s="137">
        <f ca="1">IF(AS$13&lt;Assumptions!$L$17,SUM(AS178:AS186)+AS195+AS194,IF(AS$13=Assumptions!$L$17,'Monthly Cash Flow'!AS195,0))</f>
        <v>0</v>
      </c>
      <c r="AT196" s="137">
        <f ca="1">IF(AT$13&lt;Assumptions!$L$17,SUM(AT178:AT186)+AT195+AT194,IF(AT$13=Assumptions!$L$17,'Monthly Cash Flow'!AT195,0))</f>
        <v>0</v>
      </c>
      <c r="AU196" s="137">
        <f ca="1">IF(AU$13&lt;Assumptions!$L$17,SUM(AU178:AU186)+AU195+AU194,IF(AU$13=Assumptions!$L$17,'Monthly Cash Flow'!AU195,0))</f>
        <v>0</v>
      </c>
      <c r="AV196" s="137">
        <f ca="1">IF(AV$13&lt;Assumptions!$L$17,SUM(AV178:AV186)+AV195+AV194,IF(AV$13=Assumptions!$L$17,'Monthly Cash Flow'!AV195,0))</f>
        <v>0</v>
      </c>
      <c r="AW196" s="137">
        <f ca="1">IF(AW$13&lt;Assumptions!$L$17,SUM(AW178:AW186)+AW195+AW194,IF(AW$13=Assumptions!$L$17,'Monthly Cash Flow'!AW195,0))</f>
        <v>0</v>
      </c>
      <c r="AX196" s="137">
        <f ca="1">IF(AX$13&lt;Assumptions!$L$17,SUM(AX178:AX186)+AX195+AX194,IF(AX$13=Assumptions!$L$17,'Monthly Cash Flow'!AX195,0))</f>
        <v>0</v>
      </c>
      <c r="AY196" s="137">
        <f ca="1">IF(AY$13&lt;Assumptions!$L$17,SUM(AY178:AY186)+AY195+AY194,IF(AY$13=Assumptions!$L$17,'Monthly Cash Flow'!AY195,0))</f>
        <v>0</v>
      </c>
      <c r="AZ196" s="137">
        <f ca="1">IF(AZ$13&lt;Assumptions!$L$17,SUM(AZ178:AZ186)+AZ195+AZ194,IF(AZ$13=Assumptions!$L$17,'Monthly Cash Flow'!AZ195,0))</f>
        <v>0</v>
      </c>
      <c r="BA196" s="137">
        <f ca="1">IF(BA$13&lt;Assumptions!$L$17,SUM(BA178:BA186)+BA195+BA194,IF(BA$13=Assumptions!$L$17,'Monthly Cash Flow'!BA195,0))</f>
        <v>-141.08000000000001</v>
      </c>
      <c r="BB196" s="137">
        <f ca="1">IF(BB$13&lt;Assumptions!$L$17,SUM(BB178:BB186)+BB195+BB194,IF(BB$13=Assumptions!$L$17,'Monthly Cash Flow'!BB195,0))</f>
        <v>0</v>
      </c>
      <c r="BC196" s="137">
        <f ca="1">IF(BC$13&lt;Assumptions!$L$17,SUM(BC178:BC186)+BC195+BC194,IF(BC$13=Assumptions!$L$17,'Monthly Cash Flow'!BC195,0))</f>
        <v>-248.2</v>
      </c>
      <c r="BD196" s="137">
        <f ca="1">IF(BD$13&lt;Assumptions!$L$17,SUM(BD178:BD186)+BD195+BD194,IF(BD$13=Assumptions!$L$17,'Monthly Cash Flow'!BD195,0))</f>
        <v>-320</v>
      </c>
      <c r="BE196" s="137">
        <f ca="1">IF(BE$13&lt;Assumptions!$L$17,SUM(BE178:BE186)+BE195+BE194,IF(BE$13=Assumptions!$L$17,'Monthly Cash Flow'!BE195,0))</f>
        <v>0</v>
      </c>
      <c r="BF196" s="137">
        <f ca="1">IF(BF$13&lt;Assumptions!$L$17,SUM(BF178:BF186)+BF195+BF194,IF(BF$13=Assumptions!$L$17,'Monthly Cash Flow'!BF195,0))</f>
        <v>0</v>
      </c>
      <c r="BG196" s="137">
        <f ca="1">IF(BG$13&lt;Assumptions!$L$17,SUM(BG178:BG186)+BG195+BG194,IF(BG$13=Assumptions!$L$17,'Monthly Cash Flow'!BG195,0))</f>
        <v>-617</v>
      </c>
      <c r="BH196" s="137">
        <f ca="1">IF(BH$13&lt;Assumptions!$L$17,SUM(BH178:BH186)+BH195+BH194,IF(BH$13=Assumptions!$L$17,'Monthly Cash Flow'!BH195,0))</f>
        <v>0</v>
      </c>
      <c r="BI196" s="137">
        <f ca="1">IF(BI$13&lt;Assumptions!$L$17,SUM(BI178:BI186)+BI195+BI194,IF(BI$13=Assumptions!$L$17,'Monthly Cash Flow'!BI195,0))</f>
        <v>0</v>
      </c>
      <c r="BJ196" s="137">
        <f ca="1">IF(BJ$13&lt;Assumptions!$L$17,SUM(BJ178:BJ186)+BJ195+BJ194,IF(BJ$13=Assumptions!$L$17,'Monthly Cash Flow'!BJ195,0))</f>
        <v>0</v>
      </c>
      <c r="BK196" s="137">
        <f ca="1">IF(BK$13&lt;Assumptions!$L$17,SUM(BK178:BK186)+BK195+BK194,IF(BK$13=Assumptions!$L$17,'Monthly Cash Flow'!BK195,0))</f>
        <v>0</v>
      </c>
      <c r="BL196" s="137">
        <f ca="1">IF(BL$13&lt;Assumptions!$L$17,SUM(BL178:BL186)+BL195+BL194,IF(BL$13=Assumptions!$L$17,'Monthly Cash Flow'!BL195,0))</f>
        <v>0</v>
      </c>
      <c r="BM196" s="137">
        <f ca="1">IF(BM$13&lt;Assumptions!$L$17,SUM(BM178:BM186)+BM195+BM194,IF(BM$13=Assumptions!$L$17,'Monthly Cash Flow'!BM195,0))</f>
        <v>0</v>
      </c>
      <c r="BN196" s="137">
        <f ca="1">IF(BN$13&lt;Assumptions!$L$17,SUM(BN178:BN186)+BN195+BN194,IF(BN$13=Assumptions!$L$17,'Monthly Cash Flow'!BN195,0))</f>
        <v>-219.452</v>
      </c>
      <c r="BO196" s="137">
        <f ca="1">IF(BO$13&lt;Assumptions!$L$17,SUM(BO178:BO186)+BO195+BO194,IF(BO$13=Assumptions!$L$17,'Monthly Cash Flow'!BO195,0))</f>
        <v>0</v>
      </c>
      <c r="BP196" s="137">
        <f ca="1">IF(BP$13&lt;Assumptions!$L$17,SUM(BP178:BP186)+BP195+BP194,IF(BP$13=Assumptions!$L$17,'Monthly Cash Flow'!BP195,0))</f>
        <v>0</v>
      </c>
      <c r="BQ196" s="137">
        <f ca="1">IF(BQ$13&lt;Assumptions!$L$17,SUM(BQ178:BQ186)+BQ195+BQ194,IF(BQ$13=Assumptions!$L$17,'Monthly Cash Flow'!BQ195,0))</f>
        <v>0</v>
      </c>
      <c r="BR196" s="137">
        <f ca="1">IF(BR$13&lt;Assumptions!$L$17,SUM(BR178:BR186)+BR195+BR194,IF(BR$13=Assumptions!$L$17,'Monthly Cash Flow'!BR195,0))</f>
        <v>-88.5</v>
      </c>
      <c r="BS196" s="137">
        <f ca="1">IF(BS$13&lt;Assumptions!$L$17,SUM(BS178:BS186)+BS195+BS194,IF(BS$13=Assumptions!$L$17,'Monthly Cash Flow'!BS195,0))</f>
        <v>0</v>
      </c>
      <c r="BT196" s="137">
        <f ca="1">IF(BT$13&lt;Assumptions!$L$17,SUM(BT178:BT186)+BT195+BT194,IF(BT$13=Assumptions!$L$17,'Monthly Cash Flow'!BT195,0))</f>
        <v>0</v>
      </c>
      <c r="BU196" s="137">
        <f ca="1">IF(BU$13&lt;Assumptions!$L$17,SUM(BU178:BU186)+BU195+BU194,IF(BU$13=Assumptions!$L$17,'Monthly Cash Flow'!BU195,0))</f>
        <v>0</v>
      </c>
      <c r="BV196" s="137">
        <f ca="1">IF(BV$13&lt;Assumptions!$L$17,SUM(BV178:BV186)+BV195+BV194,IF(BV$13=Assumptions!$L$17,'Monthly Cash Flow'!BV195,0))</f>
        <v>0</v>
      </c>
      <c r="BW196" s="137">
        <f ca="1">IF(BW$13&lt;Assumptions!$L$17,SUM(BW178:BW186)+BW195+BW194,IF(BW$13=Assumptions!$L$17,'Monthly Cash Flow'!BW195,0))</f>
        <v>0</v>
      </c>
      <c r="BX196" s="137">
        <f ca="1">IF(BX$13&lt;Assumptions!$L$17,SUM(BX178:BX186)+BX195+BX194,IF(BX$13=Assumptions!$L$17,'Monthly Cash Flow'!BX195,0))</f>
        <v>0</v>
      </c>
      <c r="BY196" s="137">
        <f ca="1">IF(BY$13&lt;Assumptions!$L$17,SUM(BY178:BY186)+BY195+BY194,IF(BY$13=Assumptions!$L$17,'Monthly Cash Flow'!BY195,0))</f>
        <v>0</v>
      </c>
      <c r="BZ196" s="137">
        <f ca="1">IF(BZ$13&lt;Assumptions!$L$17,SUM(BZ178:BZ186)+BZ195+BZ194,IF(BZ$13=Assumptions!$L$17,'Monthly Cash Flow'!BZ195,0))</f>
        <v>0</v>
      </c>
      <c r="CA196" s="137">
        <f ca="1">IF(CA$13&lt;Assumptions!$L$17,SUM(CA178:CA186)+CA195+CA194,IF(CA$13=Assumptions!$L$17,'Monthly Cash Flow'!CA195,0))</f>
        <v>0</v>
      </c>
      <c r="CB196" s="137">
        <f ca="1">IF(CB$13&lt;Assumptions!$L$17,SUM(CB178:CB186)+CB195+CB194,IF(CB$13=Assumptions!$L$17,'Monthly Cash Flow'!CB195,0))</f>
        <v>0</v>
      </c>
      <c r="CC196" s="137">
        <f ca="1">IF(CC$13&lt;Assumptions!$L$17,SUM(CC178:CC186)+CC195+CC194,IF(CC$13=Assumptions!$L$17,'Monthly Cash Flow'!CC195,0))</f>
        <v>0</v>
      </c>
      <c r="CD196" s="137">
        <f ca="1">IF(CD$13&lt;Assumptions!$L$17,SUM(CD178:CD186)+CD195+CD194,IF(CD$13=Assumptions!$L$17,'Monthly Cash Flow'!CD195,0))</f>
        <v>0</v>
      </c>
      <c r="CE196" s="137">
        <f ca="1">IF(CE$13&lt;Assumptions!$L$17,SUM(CE178:CE186)+CE195+CE194,IF(CE$13=Assumptions!$L$17,'Monthly Cash Flow'!CE195,0))</f>
        <v>0</v>
      </c>
      <c r="CF196" s="137">
        <f ca="1">IF(CF$13&lt;Assumptions!$L$17,SUM(CF178:CF186)+CF195+CF194,IF(CF$13=Assumptions!$L$17,'Monthly Cash Flow'!CF195,0))</f>
        <v>0</v>
      </c>
      <c r="CG196" s="137">
        <f ca="1">IF(CG$13&lt;Assumptions!$L$17,SUM(CG178:CG186)+CG195+CG194,IF(CG$13=Assumptions!$L$17,'Monthly Cash Flow'!CG195,0))</f>
        <v>0</v>
      </c>
      <c r="CH196" s="137">
        <f ca="1">IF(CH$13&lt;Assumptions!$L$17,SUM(CH178:CH186)+CH195+CH194,IF(CH$13=Assumptions!$L$17,'Monthly Cash Flow'!CH195,0))</f>
        <v>0</v>
      </c>
      <c r="CI196" s="137">
        <f ca="1">IF(CI$13&lt;Assumptions!$L$17,SUM(CI178:CI186)+CI195+CI194,IF(CI$13=Assumptions!$L$17,'Monthly Cash Flow'!CI195,0))</f>
        <v>0</v>
      </c>
      <c r="CJ196" s="137">
        <f ca="1">IF(CJ$13&lt;Assumptions!$L$17,SUM(CJ178:CJ186)+CJ195+CJ194,IF(CJ$13=Assumptions!$L$17,'Monthly Cash Flow'!CJ195,0))</f>
        <v>0</v>
      </c>
      <c r="CK196" s="137">
        <f ca="1">IF(CK$13&lt;Assumptions!$L$17,SUM(CK178:CK186)+CK195+CK194,IF(CK$13=Assumptions!$L$17,'Monthly Cash Flow'!CK195,0))</f>
        <v>0</v>
      </c>
      <c r="CL196" s="137">
        <f ca="1">IF(CL$13&lt;Assumptions!$L$17,SUM(CL178:CL186)+CL195+CL194,IF(CL$13=Assumptions!$L$17,'Monthly Cash Flow'!CL195,0))</f>
        <v>0</v>
      </c>
      <c r="CM196" s="137">
        <f ca="1">IF(CM$13&lt;Assumptions!$L$17,SUM(CM178:CM186)+CM195+CM194,IF(CM$13=Assumptions!$L$17,'Monthly Cash Flow'!CM195,0))</f>
        <v>0</v>
      </c>
      <c r="CN196" s="137">
        <f ca="1">IF(CN$13&lt;Assumptions!$L$17,SUM(CN178:CN186)+CN195+CN194,IF(CN$13=Assumptions!$L$17,'Monthly Cash Flow'!CN195,0))</f>
        <v>0</v>
      </c>
      <c r="CO196" s="137">
        <f ca="1">IF(CO$13&lt;Assumptions!$L$17,SUM(CO178:CO186)+CO195+CO194,IF(CO$13=Assumptions!$L$17,'Monthly Cash Flow'!CO195,0))</f>
        <v>0</v>
      </c>
      <c r="CP196" s="137">
        <f ca="1">IF(CP$13&lt;Assumptions!$L$17,SUM(CP178:CP186)+CP195+CP194,IF(CP$13=Assumptions!$L$17,'Monthly Cash Flow'!CP195,0))</f>
        <v>0</v>
      </c>
      <c r="CQ196" s="137">
        <f ca="1">IF(CQ$13&lt;Assumptions!$L$17,SUM(CQ178:CQ186)+CQ195+CQ194,IF(CQ$13=Assumptions!$L$17,'Monthly Cash Flow'!CQ195,0))</f>
        <v>0</v>
      </c>
      <c r="CR196" s="137">
        <f ca="1">IF(CR$13&lt;Assumptions!$L$17,SUM(CR178:CR186)+CR195+CR194,IF(CR$13=Assumptions!$L$17,'Monthly Cash Flow'!CR195,0))</f>
        <v>0</v>
      </c>
      <c r="CS196" s="137">
        <f ca="1">IF(CS$13&lt;Assumptions!$L$17,SUM(CS178:CS186)+CS195+CS194,IF(CS$13=Assumptions!$L$17,'Monthly Cash Flow'!CS195,0))</f>
        <v>0</v>
      </c>
      <c r="CT196" s="137">
        <f ca="1">IF(CT$13&lt;Assumptions!$L$17,SUM(CT178:CT186)+CT195+CT194,IF(CT$13=Assumptions!$L$17,'Monthly Cash Flow'!CT195,0))</f>
        <v>0</v>
      </c>
      <c r="CU196" s="137">
        <f ca="1">IF(CU$13&lt;Assumptions!$L$17,SUM(CU178:CU186)+CU195+CU194,IF(CU$13=Assumptions!$L$17,'Monthly Cash Flow'!CU195,0))</f>
        <v>0</v>
      </c>
      <c r="CV196" s="137">
        <f ca="1">IF(CV$13&lt;Assumptions!$L$17,SUM(CV178:CV186)+CV195+CV194,IF(CV$13=Assumptions!$L$17,'Monthly Cash Flow'!CV195,0))</f>
        <v>0</v>
      </c>
      <c r="CW196" s="137">
        <f ca="1">IF(CW$13&lt;Assumptions!$L$17,SUM(CW178:CW186)+CW195+CW194,IF(CW$13=Assumptions!$L$17,'Monthly Cash Flow'!CW195,0))</f>
        <v>0</v>
      </c>
      <c r="CX196" s="137">
        <f ca="1">IF(CX$13&lt;Assumptions!$L$17,SUM(CX178:CX186)+CX195+CX194,IF(CX$13=Assumptions!$L$17,'Monthly Cash Flow'!CX195,0))</f>
        <v>0</v>
      </c>
      <c r="CY196" s="137">
        <f ca="1">IF(CY$13&lt;Assumptions!$L$17,SUM(CY178:CY186)+CY195+CY194,IF(CY$13=Assumptions!$L$17,'Monthly Cash Flow'!CY195,0))</f>
        <v>0</v>
      </c>
      <c r="CZ196" s="137">
        <f ca="1">IF(CZ$13&lt;Assumptions!$L$17,SUM(CZ178:CZ186)+CZ195+CZ194,IF(CZ$13=Assumptions!$L$17,'Monthly Cash Flow'!CZ195,0))</f>
        <v>0</v>
      </c>
      <c r="DA196" s="137">
        <f ca="1">IF(DA$13&lt;Assumptions!$L$17,SUM(DA178:DA186)+DA195+DA194,IF(DA$13=Assumptions!$L$17,'Monthly Cash Flow'!DA195,0))</f>
        <v>0</v>
      </c>
      <c r="DB196" s="137">
        <f ca="1">IF(DB$13&lt;Assumptions!$L$17,SUM(DB178:DB186)+DB195+DB194,IF(DB$13=Assumptions!$L$17,'Monthly Cash Flow'!DB195,0))</f>
        <v>0</v>
      </c>
      <c r="DC196" s="137">
        <f ca="1">IF(DC$13&lt;Assumptions!$L$17,SUM(DC178:DC186)+DC195+DC194,IF(DC$13=Assumptions!$L$17,'Monthly Cash Flow'!DC195,0))</f>
        <v>0</v>
      </c>
      <c r="DD196" s="137">
        <f ca="1">IF(DD$13&lt;Assumptions!$L$17,SUM(DD178:DD186)+DD195+DD194,IF(DD$13=Assumptions!$L$17,'Monthly Cash Flow'!DD195,0))</f>
        <v>0</v>
      </c>
      <c r="DE196" s="137">
        <f ca="1">IF(DE$13&lt;Assumptions!$L$17,SUM(DE178:DE186)+DE195+DE194,IF(DE$13=Assumptions!$L$17,'Monthly Cash Flow'!DE195,0))</f>
        <v>0</v>
      </c>
      <c r="DF196" s="137">
        <f ca="1">IF(DF$13&lt;Assumptions!$L$17,SUM(DF178:DF186)+DF195+DF194,IF(DF$13=Assumptions!$L$17,'Monthly Cash Flow'!DF195,0))</f>
        <v>0</v>
      </c>
      <c r="DG196" s="137">
        <f ca="1">IF(DG$13&lt;Assumptions!$L$17,SUM(DG178:DG186)+DG195+DG194,IF(DG$13=Assumptions!$L$17,'Monthly Cash Flow'!DG195,0))</f>
        <v>0</v>
      </c>
      <c r="DH196" s="137">
        <f ca="1">IF(DH$13&lt;Assumptions!$L$17,SUM(DH178:DH186)+DH195+DH194,IF(DH$13=Assumptions!$L$17,'Monthly Cash Flow'!DH195,0))</f>
        <v>0</v>
      </c>
      <c r="DI196" s="137">
        <f ca="1">IF(DI$13&lt;Assumptions!$L$17,SUM(DI178:DI186)+DI195+DI194,IF(DI$13=Assumptions!$L$17,'Monthly Cash Flow'!DI195,0))</f>
        <v>27810.627823956129</v>
      </c>
      <c r="DJ196" s="137">
        <f>IF(DJ$13&lt;Assumptions!$L$17,SUM(DJ178:DJ186)+DJ195+DJ194,IF(DJ$13=Assumptions!$L$17,'Monthly Cash Flow'!DJ195,0))</f>
        <v>0</v>
      </c>
      <c r="DK196" s="137">
        <f>IF(DK$13&lt;Assumptions!$L$17,SUM(DK178:DK186)+DK195+DK194,IF(DK$13=Assumptions!$L$17,'Monthly Cash Flow'!DK195,0))</f>
        <v>0</v>
      </c>
      <c r="DL196" s="137">
        <f>IF(DL$13&lt;Assumptions!$L$17,SUM(DL178:DL186)+DL195+DL194,IF(DL$13=Assumptions!$L$17,'Monthly Cash Flow'!DL195,0))</f>
        <v>0</v>
      </c>
      <c r="DM196" s="137">
        <f>IF(DM$13&lt;Assumptions!$L$17,SUM(DM178:DM186)+DM195+DM194,IF(DM$13=Assumptions!$L$17,'Monthly Cash Flow'!DM195,0))</f>
        <v>0</v>
      </c>
      <c r="DN196" s="137">
        <f>IF(DN$13&lt;Assumptions!$L$17,SUM(DN178:DN186)+DN195+DN194,IF(DN$13=Assumptions!$L$17,'Monthly Cash Flow'!DN195,0))</f>
        <v>0</v>
      </c>
      <c r="DO196" s="137">
        <f>IF(DO$13&lt;Assumptions!$L$17,SUM(DO178:DO186)+DO195+DO194,IF(DO$13=Assumptions!$L$17,'Monthly Cash Flow'!DO195,0))</f>
        <v>0</v>
      </c>
      <c r="DP196" s="137">
        <f>IF(DP$13&lt;Assumptions!$L$17,SUM(DP178:DP186)+DP195+DP194,IF(DP$13=Assumptions!$L$17,'Monthly Cash Flow'!DP195,0))</f>
        <v>0</v>
      </c>
      <c r="DQ196" s="137">
        <f>IF(DQ$13&lt;Assumptions!$L$17,SUM(DQ178:DQ186)+DQ195+DQ194,IF(DQ$13=Assumptions!$L$17,'Monthly Cash Flow'!DQ195,0))</f>
        <v>0</v>
      </c>
      <c r="DR196" s="137">
        <f>IF(DR$13&lt;Assumptions!$L$17,SUM(DR178:DR186)+DR195+DR194,IF(DR$13=Assumptions!$L$17,'Monthly Cash Flow'!DR195,0))</f>
        <v>0</v>
      </c>
      <c r="DS196" s="137">
        <f>IF(DS$13&lt;Assumptions!$L$17,SUM(DS178:DS186)+DS195+DS194,IF(DS$13=Assumptions!$L$17,'Monthly Cash Flow'!DS195,0))</f>
        <v>0</v>
      </c>
      <c r="DT196" s="137">
        <f>IF(DT$13&lt;Assumptions!$L$17,SUM(DT178:DT186)+DT195+DT194,IF(DT$13=Assumptions!$L$17,'Monthly Cash Flow'!DT195,0))</f>
        <v>0</v>
      </c>
      <c r="DU196" s="137">
        <f>IF(DU$13&lt;Assumptions!$L$17,SUM(DU178:DU186)+DU195+DU194,IF(DU$13=Assumptions!$L$17,'Monthly Cash Flow'!DU195,0))</f>
        <v>0</v>
      </c>
      <c r="DV196" s="137">
        <f>IF(DV$13&lt;Assumptions!$L$17,SUM(DV178:DV186)+DV195+DV194,IF(DV$13=Assumptions!$L$17,'Monthly Cash Flow'!DV195,0))</f>
        <v>0</v>
      </c>
      <c r="DW196" s="137">
        <f>IF(DW$13&lt;Assumptions!$L$17,SUM(DW178:DW186)+DW195+DW194,IF(DW$13=Assumptions!$L$17,'Monthly Cash Flow'!DW195,0))</f>
        <v>0</v>
      </c>
      <c r="DX196" s="137">
        <f>IF(DX$13&lt;Assumptions!$L$17,SUM(DX178:DX186)+DX195+DX194,IF(DX$13=Assumptions!$L$17,'Monthly Cash Flow'!DX195,0))</f>
        <v>0</v>
      </c>
      <c r="DY196" s="137">
        <f>IF(DY$13&lt;Assumptions!$L$17,SUM(DY178:DY186)+DY195+DY194,IF(DY$13=Assumptions!$L$17,'Monthly Cash Flow'!DY195,0))</f>
        <v>0</v>
      </c>
      <c r="DZ196" s="137">
        <f>IF(DZ$13&lt;Assumptions!$L$17,SUM(DZ178:DZ186)+DZ195+DZ194,IF(DZ$13=Assumptions!$L$17,'Monthly Cash Flow'!DZ195,0))</f>
        <v>0</v>
      </c>
      <c r="EA196" s="137">
        <f>IF(EA$13&lt;Assumptions!$L$17,SUM(EA178:EA186)+EA195+EA194,IF(EA$13=Assumptions!$L$17,'Monthly Cash Flow'!EA195,0))</f>
        <v>0</v>
      </c>
      <c r="EB196" s="137">
        <f>IF(EB$13&lt;Assumptions!$L$17,SUM(EB178:EB186)+EB195+EB194,IF(EB$13=Assumptions!$L$17,'Monthly Cash Flow'!EB195,0))</f>
        <v>0</v>
      </c>
      <c r="EC196" s="137">
        <f>IF(EC$13&lt;Assumptions!$L$17,SUM(EC178:EC186)+EC195+EC194,IF(EC$13=Assumptions!$L$17,'Monthly Cash Flow'!EC195,0))</f>
        <v>0</v>
      </c>
      <c r="ED196" s="137">
        <f>IF(ED$13&lt;Assumptions!$L$17,SUM(ED178:ED186)+ED195+ED194,IF(ED$13=Assumptions!$L$17,'Monthly Cash Flow'!ED195,0))</f>
        <v>0</v>
      </c>
      <c r="EE196" s="137">
        <f>IF(EE$13&lt;Assumptions!$L$17,SUM(EE178:EE186)+EE195+EE194,IF(EE$13=Assumptions!$L$17,'Monthly Cash Flow'!EE195,0))</f>
        <v>0</v>
      </c>
      <c r="EF196" s="137">
        <f>IF(EF$13&lt;Assumptions!$L$17,SUM(EF178:EF186)+EF195+EF194,IF(EF$13=Assumptions!$L$17,'Monthly Cash Flow'!EF195,0))</f>
        <v>0</v>
      </c>
      <c r="EG196" s="137">
        <f>IF(EG$13&lt;Assumptions!$L$17,SUM(EG178:EG186)+EG195+EG194,IF(EG$13=Assumptions!$L$17,'Monthly Cash Flow'!EG195,0))</f>
        <v>0</v>
      </c>
      <c r="EH196" s="137">
        <f>IF(EH$13&lt;Assumptions!$L$17,SUM(EH178:EH186)+EH195+EH194,IF(EH$13=Assumptions!$L$17,'Monthly Cash Flow'!EH195,0))</f>
        <v>0</v>
      </c>
      <c r="EI196" s="137">
        <f>IF(EI$13&lt;Assumptions!$L$17,SUM(EI178:EI186)+EI195+EI194,IF(EI$13=Assumptions!$L$17,'Monthly Cash Flow'!EI195,0))</f>
        <v>0</v>
      </c>
      <c r="EJ196" s="137">
        <f>IF(EJ$13&lt;Assumptions!$L$17,SUM(EJ178:EJ186)+EJ195+EJ194,IF(EJ$13=Assumptions!$L$17,'Monthly Cash Flow'!EJ195,0))</f>
        <v>0</v>
      </c>
      <c r="EK196" s="137">
        <f>IF(EK$13&lt;Assumptions!$L$17,SUM(EK178:EK186)+EK195+EK194,IF(EK$13=Assumptions!$L$17,'Monthly Cash Flow'!EK195,0))</f>
        <v>0</v>
      </c>
      <c r="EL196" s="137">
        <f>IF(EL$13&lt;Assumptions!$L$17,SUM(EL178:EL186)+EL195+EL194,IF(EL$13=Assumptions!$L$17,'Monthly Cash Flow'!EL195,0))</f>
        <v>0</v>
      </c>
      <c r="EM196" s="137">
        <f>IF(EM$13&lt;Assumptions!$L$17,SUM(EM178:EM186)+EM195+EM194,IF(EM$13=Assumptions!$L$17,'Monthly Cash Flow'!EM195,0))</f>
        <v>0</v>
      </c>
      <c r="EN196" s="137">
        <f>IF(EN$13&lt;Assumptions!$L$17,SUM(EN178:EN186)+EN195+EN194,IF(EN$13=Assumptions!$L$17,'Monthly Cash Flow'!EN195,0))</f>
        <v>0</v>
      </c>
      <c r="EO196" s="137">
        <f>IF(EO$13&lt;Assumptions!$L$17,SUM(EO178:EO186)+EO195+EO194,IF(EO$13=Assumptions!$L$17,'Monthly Cash Flow'!EO195,0))</f>
        <v>0</v>
      </c>
      <c r="EP196" s="137">
        <f>IF(EP$13&lt;Assumptions!$L$17,SUM(EP178:EP186)+EP195+EP194,IF(EP$13=Assumptions!$L$17,'Monthly Cash Flow'!EP195,0))</f>
        <v>0</v>
      </c>
      <c r="EQ196" s="137">
        <f>IF(EQ$13&lt;Assumptions!$L$17,SUM(EQ178:EQ186)+EQ195+EQ194,IF(EQ$13=Assumptions!$L$17,'Monthly Cash Flow'!EQ195,0))</f>
        <v>0</v>
      </c>
      <c r="ER196" s="137">
        <f>IF(ER$13&lt;Assumptions!$L$17,SUM(ER178:ER186)+ER195+ER194,IF(ER$13=Assumptions!$L$17,'Monthly Cash Flow'!ER195,0))</f>
        <v>0</v>
      </c>
      <c r="ES196" s="137">
        <f>IF(ES$13&lt;Assumptions!$L$17,SUM(ES178:ES186)+ES195+ES194,IF(ES$13=Assumptions!$L$17,'Monthly Cash Flow'!ES195,0))</f>
        <v>0</v>
      </c>
      <c r="ET196" s="137">
        <f>IF(ET$13&lt;Assumptions!$L$17,SUM(ET178:ET186)+ET195+ET194,IF(ET$13=Assumptions!$L$17,'Monthly Cash Flow'!ET195,0))</f>
        <v>0</v>
      </c>
      <c r="EU196" s="137">
        <f>IF(EU$13&lt;Assumptions!$L$17,SUM(EU178:EU186)+EU195+EU194,IF(EU$13=Assumptions!$L$17,'Monthly Cash Flow'!EU195,0))</f>
        <v>0</v>
      </c>
      <c r="EV196" s="137">
        <f>IF(EV$13&lt;Assumptions!$L$17,SUM(EV178:EV186)+EV195+EV194,IF(EV$13=Assumptions!$L$17,'Monthly Cash Flow'!EV195,0))</f>
        <v>0</v>
      </c>
      <c r="EW196" s="137">
        <f>IF(EW$13&lt;Assumptions!$L$17,SUM(EW178:EW186)+EW195+EW194,IF(EW$13=Assumptions!$L$17,'Monthly Cash Flow'!EW195,0))</f>
        <v>0</v>
      </c>
      <c r="EX196" s="137">
        <f>IF(EX$13&lt;Assumptions!$L$17,SUM(EX178:EX186)+EX195+EX194,IF(EX$13=Assumptions!$L$17,'Monthly Cash Flow'!EX195,0))</f>
        <v>0</v>
      </c>
      <c r="EY196" s="137">
        <f>IF(EY$13&lt;Assumptions!$L$17,SUM(EY178:EY186)+EY195+EY194,IF(EY$13=Assumptions!$L$17,'Monthly Cash Flow'!EY195,0))</f>
        <v>0</v>
      </c>
      <c r="EZ196" s="137">
        <f>IF(EZ$13&lt;Assumptions!$L$17,SUM(EZ178:EZ186)+EZ195+EZ194,IF(EZ$13=Assumptions!$L$17,'Monthly Cash Flow'!EZ195,0))</f>
        <v>0</v>
      </c>
      <c r="FA196" s="137">
        <f>IF(FA$13&lt;Assumptions!$L$17,SUM(FA178:FA186)+FA195+FA194,IF(FA$13=Assumptions!$L$17,'Monthly Cash Flow'!FA195,0))</f>
        <v>0</v>
      </c>
      <c r="FB196" s="137">
        <f>IF(FB$13&lt;Assumptions!$L$17,SUM(FB178:FB186)+FB195+FB194,IF(FB$13=Assumptions!$L$17,'Monthly Cash Flow'!FB195,0))</f>
        <v>0</v>
      </c>
      <c r="FC196" s="137">
        <f>IF(FC$13&lt;Assumptions!$L$17,SUM(FC178:FC186)+FC195+FC194,IF(FC$13=Assumptions!$L$17,'Monthly Cash Flow'!FC195,0))</f>
        <v>0</v>
      </c>
      <c r="FD196" s="137">
        <f>IF(FD$13&lt;Assumptions!$L$17,SUM(FD178:FD186)+FD195+FD194,IF(FD$13=Assumptions!$L$17,'Monthly Cash Flow'!FD195,0))</f>
        <v>0</v>
      </c>
      <c r="FE196" s="137">
        <f>IF(FE$13&lt;Assumptions!$L$17,SUM(FE178:FE186)+FE195+FE194,IF(FE$13=Assumptions!$L$17,'Monthly Cash Flow'!FE195,0))</f>
        <v>0</v>
      </c>
      <c r="FF196" s="137">
        <f>IF(FF$13&lt;Assumptions!$L$17,SUM(FF178:FF186)+FF195+FF194,IF(FF$13=Assumptions!$L$17,'Monthly Cash Flow'!FF195,0))</f>
        <v>0</v>
      </c>
      <c r="FG196" s="137">
        <f>IF(FG$13&lt;Assumptions!$L$17,SUM(FG178:FG186)+FG195+FG194,IF(FG$13=Assumptions!$L$17,'Monthly Cash Flow'!FG195,0))</f>
        <v>0</v>
      </c>
      <c r="FH196" s="137">
        <f>IF(FH$13&lt;Assumptions!$L$17,SUM(FH178:FH186)+FH195+FH194,IF(FH$13=Assumptions!$L$17,'Monthly Cash Flow'!FH195,0))</f>
        <v>0</v>
      </c>
      <c r="FI196" s="137">
        <f>IF(FI$13&lt;Assumptions!$L$17,SUM(FI178:FI186)+FI195+FI194,IF(FI$13=Assumptions!$L$17,'Monthly Cash Flow'!FI195,0))</f>
        <v>0</v>
      </c>
      <c r="FJ196" s="137">
        <f>IF(FJ$13&lt;Assumptions!$L$17,SUM(FJ178:FJ186)+FJ195+FJ194,IF(FJ$13=Assumptions!$L$17,'Monthly Cash Flow'!FJ195,0))</f>
        <v>0</v>
      </c>
      <c r="FK196" s="137">
        <f>IF(FK$13&lt;Assumptions!$L$17,SUM(FK178:FK186)+FK195+FK194,IF(FK$13=Assumptions!$L$17,'Monthly Cash Flow'!FK195,0))</f>
        <v>0</v>
      </c>
      <c r="FL196" s="137">
        <f>IF(FL$13&lt;Assumptions!$L$17,SUM(FL178:FL186)+FL195+FL194,IF(FL$13=Assumptions!$L$17,'Monthly Cash Flow'!FL195,0))</f>
        <v>0</v>
      </c>
      <c r="FM196" s="137">
        <f>IF(FM$13&lt;Assumptions!$L$17,SUM(FM178:FM186)+FM195+FM194,IF(FM$13=Assumptions!$L$17,'Monthly Cash Flow'!FM195,0))</f>
        <v>0</v>
      </c>
      <c r="FN196" s="137">
        <f>IF(FN$13&lt;Assumptions!$L$17,SUM(FN178:FN186)+FN195+FN194,IF(FN$13=Assumptions!$L$17,'Monthly Cash Flow'!FN195,0))</f>
        <v>0</v>
      </c>
      <c r="FO196" s="137">
        <f>IF(FO$13&lt;Assumptions!$L$17,SUM(FO178:FO186)+FO195+FO194,IF(FO$13=Assumptions!$L$17,'Monthly Cash Flow'!FO195,0))</f>
        <v>0</v>
      </c>
      <c r="FP196" s="137">
        <f>IF(FP$13&lt;Assumptions!$L$17,SUM(FP178:FP186)+FP195+FP194,IF(FP$13=Assumptions!$L$17,'Monthly Cash Flow'!FP195,0))</f>
        <v>0</v>
      </c>
      <c r="FQ196" s="137">
        <f>IF(FQ$13&lt;Assumptions!$L$17,SUM(FQ178:FQ186)+FQ195+FQ194,IF(FQ$13=Assumptions!$L$17,'Monthly Cash Flow'!FQ195,0))</f>
        <v>0</v>
      </c>
      <c r="FR196" s="137">
        <f>IF(FR$13&lt;Assumptions!$L$17,SUM(FR178:FR186)+FR195+FR194,IF(FR$13=Assumptions!$L$17,'Monthly Cash Flow'!FR195,0))</f>
        <v>0</v>
      </c>
      <c r="FS196" s="137">
        <f>IF(FS$13&lt;Assumptions!$L$17,SUM(FS178:FS186)+FS195+FS194,IF(FS$13=Assumptions!$L$17,'Monthly Cash Flow'!FS195,0))</f>
        <v>0</v>
      </c>
      <c r="FT196" s="137">
        <f>IF(FT$13&lt;Assumptions!$L$17,SUM(FT178:FT186)+FT195+FT194,IF(FT$13=Assumptions!$L$17,'Monthly Cash Flow'!FT195,0))</f>
        <v>0</v>
      </c>
      <c r="FU196" s="137">
        <f>IF(FU$13&lt;Assumptions!$L$17,SUM(FU178:FU186)+FU195+FU194,IF(FU$13=Assumptions!$L$17,'Monthly Cash Flow'!FU195,0))</f>
        <v>0</v>
      </c>
      <c r="FV196" s="137">
        <f>IF(FV$13&lt;Assumptions!$L$17,SUM(FV178:FV186)+FV195+FV194,IF(FV$13=Assumptions!$L$17,'Monthly Cash Flow'!FV195,0))</f>
        <v>0</v>
      </c>
      <c r="FW196" s="137">
        <f>IF(FW$13&lt;Assumptions!$L$17,SUM(FW178:FW186)+FW195+FW194,IF(FW$13=Assumptions!$L$17,'Monthly Cash Flow'!FW195,0))</f>
        <v>0</v>
      </c>
      <c r="FX196" s="137">
        <f>IF(FX$13&lt;Assumptions!$L$17,SUM(FX178:FX186)+FX195+FX194,IF(FX$13=Assumptions!$L$17,'Monthly Cash Flow'!FX195,0))</f>
        <v>0</v>
      </c>
      <c r="FY196" s="137">
        <f>IF(FY$13&lt;Assumptions!$L$17,SUM(FY178:FY186)+FY195+FY194,IF(FY$13=Assumptions!$L$17,'Monthly Cash Flow'!FY195,0))</f>
        <v>0</v>
      </c>
      <c r="FZ196" s="137">
        <f>IF(FZ$13&lt;Assumptions!$L$17,SUM(FZ178:FZ186)+FZ195+FZ194,IF(FZ$13=Assumptions!$L$17,'Monthly Cash Flow'!FZ195,0))</f>
        <v>0</v>
      </c>
      <c r="GA196" s="137">
        <f>IF(GA$13&lt;Assumptions!$L$17,SUM(GA178:GA186)+GA195+GA194,IF(GA$13=Assumptions!$L$17,'Monthly Cash Flow'!GA195,0))</f>
        <v>0</v>
      </c>
      <c r="GB196" s="137">
        <f>IF(GB$13&lt;Assumptions!$L$17,SUM(GB178:GB186)+GB195+GB194,IF(GB$13=Assumptions!$L$17,'Monthly Cash Flow'!GB195,0))</f>
        <v>0</v>
      </c>
      <c r="GC196" s="137">
        <f>IF(GC$13&lt;Assumptions!$L$17,SUM(GC178:GC186)+GC195+GC194,IF(GC$13=Assumptions!$L$17,'Monthly Cash Flow'!GC195,0))</f>
        <v>0</v>
      </c>
      <c r="GD196" s="137">
        <f>IF(GD$13&lt;Assumptions!$L$17,SUM(GD178:GD186)+GD195+GD194,IF(GD$13=Assumptions!$L$17,'Monthly Cash Flow'!GD195,0))</f>
        <v>0</v>
      </c>
      <c r="GE196" s="137">
        <f>IF(GE$13&lt;Assumptions!$L$17,SUM(GE178:GE186)+GE195+GE194,IF(GE$13=Assumptions!$L$17,'Monthly Cash Flow'!GE195,0))</f>
        <v>0</v>
      </c>
      <c r="GF196" s="137">
        <f>IF(GF$13&lt;Assumptions!$L$17,SUM(GF178:GF186)+GF195+GF194,IF(GF$13=Assumptions!$L$17,'Monthly Cash Flow'!GF195,0))</f>
        <v>0</v>
      </c>
      <c r="GG196" s="137">
        <f>IF(GG$13&lt;Assumptions!$L$17,SUM(GG178:GG186)+GG195+GG194,IF(GG$13=Assumptions!$L$17,'Monthly Cash Flow'!GG195,0))</f>
        <v>0</v>
      </c>
      <c r="GH196" s="137">
        <f>IF(GH$13&lt;Assumptions!$L$17,SUM(GH178:GH186)+GH195+GH194,IF(GH$13=Assumptions!$L$17,'Monthly Cash Flow'!GH195,0))</f>
        <v>0</v>
      </c>
      <c r="GI196" s="137">
        <f>IF(GI$13&lt;Assumptions!$L$17,SUM(GI178:GI186)+GI195+GI194,IF(GI$13=Assumptions!$L$17,'Monthly Cash Flow'!GI195,0))</f>
        <v>0</v>
      </c>
      <c r="GJ196" s="137">
        <f>IF(GJ$13&lt;Assumptions!$L$17,SUM(GJ178:GJ186)+GJ195+GJ194,IF(GJ$13=Assumptions!$L$17,'Monthly Cash Flow'!GJ195,0))</f>
        <v>0</v>
      </c>
      <c r="GK196" s="137">
        <f>IF(GK$13&lt;Assumptions!$L$17,SUM(GK178:GK186)+GK195+GK194,IF(GK$13=Assumptions!$L$17,'Monthly Cash Flow'!GK195,0))</f>
        <v>0</v>
      </c>
      <c r="GL196" s="137">
        <f>IF(GL$13&lt;Assumptions!$L$17,SUM(GL178:GL186)+GL195+GL194,IF(GL$13=Assumptions!$L$17,'Monthly Cash Flow'!GL195,0))</f>
        <v>0</v>
      </c>
      <c r="GM196" s="137">
        <f>IF(GM$13&lt;Assumptions!$L$17,SUM(GM178:GM186)+GM195+GM194,IF(GM$13=Assumptions!$L$17,'Monthly Cash Flow'!GM195,0))</f>
        <v>0</v>
      </c>
      <c r="GN196" s="137">
        <f>IF(GN$13&lt;Assumptions!$L$17,SUM(GN178:GN186)+GN195+GN194,IF(GN$13=Assumptions!$L$17,'Monthly Cash Flow'!GN195,0))</f>
        <v>0</v>
      </c>
      <c r="GO196" s="137">
        <f>IF(GO$13&lt;Assumptions!$L$17,SUM(GO178:GO186)+GO195+GO194,IF(GO$13=Assumptions!$L$17,'Monthly Cash Flow'!GO195,0))</f>
        <v>0</v>
      </c>
      <c r="GP196" s="137">
        <f>IF(GP$13&lt;Assumptions!$L$17,SUM(GP178:GP186)+GP195+GP194,IF(GP$13=Assumptions!$L$17,'Monthly Cash Flow'!GP195,0))</f>
        <v>0</v>
      </c>
      <c r="GQ196" s="137">
        <f>IF(GQ$13&lt;Assumptions!$L$17,SUM(GQ178:GQ186)+GQ195+GQ194,IF(GQ$13=Assumptions!$L$17,'Monthly Cash Flow'!GQ195,0))</f>
        <v>0</v>
      </c>
      <c r="GR196" s="137">
        <f>IF(GR$13&lt;Assumptions!$L$17,SUM(GR178:GR186)+GR195+GR194,IF(GR$13=Assumptions!$L$17,'Monthly Cash Flow'!GR195,0))</f>
        <v>0</v>
      </c>
      <c r="GS196" s="137">
        <f>IF(GS$13&lt;Assumptions!$L$17,SUM(GS178:GS186)+GS195+GS194,IF(GS$13=Assumptions!$L$17,'Monthly Cash Flow'!GS195,0))</f>
        <v>0</v>
      </c>
      <c r="GT196" s="137">
        <f>IF(GT$13&lt;Assumptions!$L$17,SUM(GT178:GT186)+GT195+GT194,IF(GT$13=Assumptions!$L$17,'Monthly Cash Flow'!GT195,0))</f>
        <v>0</v>
      </c>
      <c r="GU196" s="137">
        <f>IF(GU$13&lt;Assumptions!$L$17,SUM(GU178:GU186)+GU195+GU194,IF(GU$13=Assumptions!$L$17,'Monthly Cash Flow'!GU195,0))</f>
        <v>0</v>
      </c>
      <c r="GV196" s="137">
        <f>IF(GV$13&lt;Assumptions!$L$17,SUM(GV178:GV186)+GV195+GV194,IF(GV$13=Assumptions!$L$17,'Monthly Cash Flow'!GV195,0))</f>
        <v>0</v>
      </c>
      <c r="GW196" s="137">
        <f>IF(GW$13&lt;Assumptions!$L$17,SUM(GW178:GW186)+GW195+GW194,IF(GW$13=Assumptions!$L$17,'Monthly Cash Flow'!GW195,0))</f>
        <v>0</v>
      </c>
      <c r="GX196" s="137">
        <f>IF(GX$13&lt;Assumptions!$L$17,SUM(GX178:GX186)+GX195+GX194,IF(GX$13=Assumptions!$L$17,'Monthly Cash Flow'!GX195,0))</f>
        <v>0</v>
      </c>
      <c r="GY196" s="137">
        <f>IF(GY$13&lt;Assumptions!$L$17,SUM(GY178:GY186)+GY195+GY194,IF(GY$13=Assumptions!$L$17,'Monthly Cash Flow'!GY195,0))</f>
        <v>0</v>
      </c>
      <c r="GZ196" s="137">
        <f>IF(GZ$13&lt;Assumptions!$L$17,SUM(GZ178:GZ186)+GZ195+GZ194,IF(GZ$13=Assumptions!$L$17,'Monthly Cash Flow'!GZ195,0))</f>
        <v>0</v>
      </c>
      <c r="HA196" s="137">
        <f>IF(HA$13&lt;Assumptions!$L$17,SUM(HA178:HA186)+HA195+HA194,IF(HA$13=Assumptions!$L$17,'Monthly Cash Flow'!HA195,0))</f>
        <v>0</v>
      </c>
      <c r="HB196" s="137">
        <f>IF(HB$13&lt;Assumptions!$L$17,SUM(HB178:HB186)+HB195+HB194,IF(HB$13=Assumptions!$L$17,'Monthly Cash Flow'!HB195,0))</f>
        <v>0</v>
      </c>
      <c r="HC196" s="137">
        <f>IF(HC$13&lt;Assumptions!$L$17,SUM(HC178:HC186)+HC195+HC194,IF(HC$13=Assumptions!$L$17,'Monthly Cash Flow'!HC195,0))</f>
        <v>0</v>
      </c>
      <c r="HD196" s="137">
        <f>IF(HD$13&lt;Assumptions!$L$17,SUM(HD178:HD186)+HD195+HD194,IF(HD$13=Assumptions!$L$17,'Monthly Cash Flow'!HD195,0))</f>
        <v>0</v>
      </c>
      <c r="HE196" s="137">
        <f>IF(HE$13&lt;Assumptions!$L$17,SUM(HE178:HE186)+HE195+HE194,IF(HE$13=Assumptions!$L$17,'Monthly Cash Flow'!HE195,0))</f>
        <v>0</v>
      </c>
      <c r="HF196" s="1" t="s">
        <v>212</v>
      </c>
      <c r="HH196" s="33" t="str">
        <f>B196</f>
        <v xml:space="preserve">Leveraged Cash Flow </v>
      </c>
      <c r="HI196" s="137"/>
      <c r="HJ196" s="137"/>
      <c r="HK196" s="137"/>
      <c r="HL196" s="136">
        <f t="shared" ca="1" si="1156"/>
        <v>-15882.232</v>
      </c>
      <c r="HM196" s="137"/>
      <c r="HN196" s="138">
        <f t="shared" ref="HN196:HV196" si="1239">SUMIF($K$14:$GT$14,HN$14,$K196:$GT196)</f>
        <v>-13708</v>
      </c>
      <c r="HO196" s="137">
        <f t="shared" ca="1" si="1239"/>
        <v>-150.82499999999999</v>
      </c>
      <c r="HP196" s="137">
        <f t="shared" ca="1" si="1239"/>
        <v>-389.17500000000001</v>
      </c>
      <c r="HQ196" s="137">
        <f t="shared" ca="1" si="1239"/>
        <v>0</v>
      </c>
      <c r="HR196" s="137">
        <f t="shared" ca="1" si="1239"/>
        <v>-1326.28</v>
      </c>
      <c r="HS196" s="137">
        <f t="shared" ca="1" si="1239"/>
        <v>-307.952</v>
      </c>
      <c r="HT196" s="137">
        <f t="shared" ca="1" si="1239"/>
        <v>0</v>
      </c>
      <c r="HU196" s="137">
        <f t="shared" ca="1" si="1239"/>
        <v>0</v>
      </c>
      <c r="HV196" s="137">
        <f t="shared" ca="1" si="1239"/>
        <v>0</v>
      </c>
      <c r="HW196"/>
    </row>
    <row r="197" spans="2:231">
      <c r="B197" s="171" t="s">
        <v>5</v>
      </c>
      <c r="C197" s="6"/>
      <c r="D197" s="6"/>
      <c r="E197" s="6"/>
      <c r="F197" s="6"/>
      <c r="G197" s="6"/>
      <c r="H197" s="6"/>
      <c r="I197" s="176">
        <f ca="1">I196</f>
        <v>11928.395823956129</v>
      </c>
      <c r="HF197" s="1" t="s">
        <v>212</v>
      </c>
      <c r="HH197" s="171" t="str">
        <f>B197</f>
        <v>Profit</v>
      </c>
      <c r="HL197" s="176">
        <f ca="1">HL196</f>
        <v>-15882.232</v>
      </c>
      <c r="HN197" s="102"/>
    </row>
    <row r="198" spans="2:231">
      <c r="B198" s="174" t="s">
        <v>7</v>
      </c>
      <c r="I198" s="175">
        <f ca="1">-SUMIF(K196:GT196,"&lt;0")</f>
        <v>15882.232</v>
      </c>
      <c r="K198" s="131"/>
      <c r="HF198" s="1" t="s">
        <v>212</v>
      </c>
      <c r="HH198" s="174" t="str">
        <f>B198</f>
        <v>Investment</v>
      </c>
      <c r="HL198" s="176">
        <f ca="1">-SUMIF(HN196:HV196,"&lt;0")</f>
        <v>15882.232</v>
      </c>
      <c r="HN198" s="102"/>
      <c r="HO198" s="403"/>
    </row>
    <row r="199" spans="2:231">
      <c r="B199" s="174" t="s">
        <v>9</v>
      </c>
      <c r="I199" s="177">
        <f ca="1">I197/I198+1</f>
        <v>1.7510528635997842</v>
      </c>
      <c r="K199" s="131"/>
      <c r="M199" s="18"/>
      <c r="HF199" s="1" t="s">
        <v>212</v>
      </c>
      <c r="HH199" s="174" t="str">
        <f>B199</f>
        <v>Multiple</v>
      </c>
      <c r="HL199" s="177">
        <f ca="1">HL197/HL198+1</f>
        <v>0</v>
      </c>
      <c r="HN199" s="102"/>
    </row>
    <row r="200" spans="2:231" ht="15" thickBot="1">
      <c r="B200" s="178" t="s">
        <v>10</v>
      </c>
      <c r="C200" s="3"/>
      <c r="D200" s="3"/>
      <c r="E200" s="3"/>
      <c r="F200" s="3"/>
      <c r="G200" s="3"/>
      <c r="H200" s="3"/>
      <c r="I200" s="179">
        <f ca="1">XIRR(K196:GT196,$K$15:$GT$15)</f>
        <v>7.1606448292732258E-2</v>
      </c>
      <c r="HF200" s="1" t="s">
        <v>212</v>
      </c>
      <c r="HH200" s="178" t="str">
        <f>B200</f>
        <v>IRR</v>
      </c>
      <c r="HI200" s="3"/>
      <c r="HJ200" s="3"/>
      <c r="HK200" s="3"/>
      <c r="HL200" s="179">
        <f ca="1">I200</f>
        <v>7.1606448292732258E-2</v>
      </c>
      <c r="HN200" s="102"/>
    </row>
    <row r="201" spans="2:231" ht="13.5" hidden="1" customHeight="1" outlineLevel="1">
      <c r="I201" s="25"/>
      <c r="K201" s="100"/>
      <c r="HF201" s="1" t="s">
        <v>212</v>
      </c>
    </row>
    <row r="202" spans="2:231" hidden="1" outlineLevel="1">
      <c r="B202" s="956" t="str">
        <f>"Cash Flows with Distribution Holdback for " &amp; $E$205 &amp; " months"</f>
        <v>Cash Flows with Distribution Holdback for 25 months</v>
      </c>
      <c r="C202" s="956"/>
      <c r="D202" s="956"/>
      <c r="E202" s="956"/>
      <c r="F202" s="956"/>
      <c r="G202" s="956"/>
      <c r="H202" s="956"/>
      <c r="I202" s="956"/>
      <c r="K202" s="222"/>
      <c r="L202" s="403"/>
      <c r="M202" s="403"/>
      <c r="N202" s="403"/>
      <c r="O202" s="403"/>
      <c r="P202" s="403"/>
      <c r="Q202" s="403"/>
      <c r="R202" s="403"/>
      <c r="S202" s="403"/>
      <c r="T202" s="403"/>
      <c r="U202" s="403"/>
      <c r="V202" s="403"/>
      <c r="W202" s="403"/>
      <c r="X202" s="403"/>
      <c r="Y202" s="403"/>
      <c r="Z202" s="403"/>
      <c r="AA202" s="403"/>
      <c r="AB202" s="403"/>
      <c r="AC202" s="403"/>
      <c r="AD202" s="403"/>
      <c r="AE202" s="403"/>
      <c r="AF202" s="403"/>
      <c r="AG202" s="403"/>
      <c r="AH202" s="403"/>
      <c r="AI202" s="403"/>
      <c r="AJ202" s="403"/>
      <c r="AK202" s="403"/>
      <c r="AL202" s="403"/>
      <c r="AM202" s="403"/>
      <c r="AN202" s="403"/>
      <c r="AO202" s="403"/>
      <c r="AP202" s="403"/>
      <c r="AQ202" s="403"/>
      <c r="AR202" s="403"/>
      <c r="AS202" s="403"/>
      <c r="AT202" s="403"/>
      <c r="AU202" s="403"/>
      <c r="AV202" s="403"/>
      <c r="AW202" s="403"/>
      <c r="AX202" s="403"/>
      <c r="AY202" s="403"/>
      <c r="AZ202" s="403"/>
      <c r="BA202" s="403"/>
      <c r="BB202" s="403"/>
      <c r="BC202" s="403"/>
      <c r="BD202" s="403"/>
      <c r="BE202" s="403"/>
      <c r="BF202" s="403"/>
      <c r="BG202" s="403"/>
      <c r="BH202" s="403"/>
      <c r="HF202" s="1" t="s">
        <v>212</v>
      </c>
    </row>
    <row r="203" spans="2:231" hidden="1" outlineLevel="1">
      <c r="B203" s="16"/>
      <c r="HF203" s="1" t="s">
        <v>212</v>
      </c>
    </row>
    <row r="204" spans="2:231" hidden="1" outlineLevel="1">
      <c r="D204" s="347" t="s">
        <v>22</v>
      </c>
      <c r="E204" s="347" t="s">
        <v>24</v>
      </c>
      <c r="L204" s="188"/>
      <c r="M204" s="188"/>
      <c r="N204" s="188"/>
      <c r="O204" s="188"/>
      <c r="P204" s="188"/>
      <c r="Q204" s="188"/>
      <c r="R204" s="188"/>
      <c r="S204" s="188"/>
      <c r="T204" s="188"/>
      <c r="U204" s="188"/>
      <c r="V204" s="188"/>
      <c r="W204" s="188"/>
      <c r="X204" s="188"/>
      <c r="Y204" s="188"/>
      <c r="Z204" s="188"/>
      <c r="AA204" s="188"/>
      <c r="AB204" s="188"/>
      <c r="AC204" s="188"/>
      <c r="AD204" s="188"/>
      <c r="AE204" s="188"/>
      <c r="AF204" s="188"/>
      <c r="AG204" s="188"/>
      <c r="AH204" s="188"/>
      <c r="AI204" s="188"/>
      <c r="AJ204" s="188"/>
      <c r="AK204" s="188"/>
      <c r="AL204" s="188"/>
      <c r="AM204" s="188"/>
      <c r="AN204" s="188"/>
      <c r="AO204" s="188"/>
      <c r="AP204" s="188"/>
      <c r="AQ204" s="188"/>
      <c r="AR204" s="188"/>
      <c r="AS204" s="188"/>
      <c r="AT204" s="188"/>
      <c r="AU204" s="188"/>
      <c r="AV204" s="188"/>
      <c r="AW204" s="188"/>
      <c r="AX204" s="188"/>
      <c r="AY204" s="188"/>
      <c r="AZ204" s="188"/>
      <c r="BA204" s="188"/>
      <c r="BB204" s="188"/>
      <c r="BC204" s="188"/>
      <c r="BD204" s="188"/>
      <c r="BE204" s="188"/>
      <c r="BF204" s="188"/>
      <c r="BG204" s="188"/>
      <c r="BH204" s="188"/>
      <c r="BI204" s="188"/>
      <c r="BJ204" s="188"/>
      <c r="BK204" s="188"/>
      <c r="BL204" s="188"/>
      <c r="BM204" s="188"/>
      <c r="BN204" s="188"/>
      <c r="BO204" s="188"/>
      <c r="BP204" s="188"/>
      <c r="BQ204" s="188"/>
      <c r="BR204" s="188"/>
      <c r="BS204" s="188"/>
      <c r="BT204" s="188"/>
      <c r="BU204" s="188"/>
      <c r="BV204" s="188"/>
      <c r="BW204" s="188"/>
      <c r="BX204" s="188"/>
      <c r="BY204" s="188"/>
      <c r="BZ204" s="188"/>
      <c r="CA204" s="188"/>
      <c r="CB204" s="188"/>
      <c r="CC204" s="188"/>
      <c r="CD204" s="188"/>
      <c r="CE204" s="188"/>
      <c r="CF204" s="188"/>
      <c r="CG204" s="188"/>
      <c r="CH204" s="188"/>
      <c r="CI204" s="188"/>
      <c r="CJ204" s="188"/>
      <c r="CK204" s="188"/>
      <c r="CL204" s="188"/>
      <c r="CM204" s="188"/>
      <c r="CN204" s="188"/>
      <c r="CO204" s="188"/>
      <c r="CP204" s="188"/>
      <c r="CQ204" s="188"/>
      <c r="CR204" s="188"/>
      <c r="CS204" s="188"/>
      <c r="CT204" s="188"/>
      <c r="CU204" s="188"/>
      <c r="CV204" s="188"/>
      <c r="CW204" s="188"/>
      <c r="CX204" s="188"/>
      <c r="CY204" s="188"/>
      <c r="CZ204" s="188"/>
      <c r="DA204" s="188"/>
      <c r="DB204" s="188"/>
      <c r="DC204" s="188"/>
      <c r="DD204" s="188"/>
      <c r="DE204" s="188"/>
      <c r="DF204" s="188"/>
      <c r="DG204" s="188"/>
      <c r="DH204" s="188"/>
      <c r="DI204" s="188"/>
      <c r="DJ204" s="188"/>
      <c r="DK204" s="188"/>
      <c r="DL204" s="188"/>
      <c r="DM204" s="188"/>
      <c r="DN204" s="188"/>
      <c r="DO204" s="188"/>
      <c r="DP204" s="188"/>
      <c r="DQ204" s="188"/>
      <c r="DR204" s="188"/>
      <c r="DS204" s="188"/>
      <c r="DT204" s="188"/>
      <c r="DU204" s="188"/>
      <c r="DV204" s="188"/>
      <c r="DW204" s="188"/>
      <c r="DX204" s="188"/>
      <c r="DY204" s="188"/>
      <c r="DZ204" s="188"/>
      <c r="EA204" s="188"/>
      <c r="EB204" s="188"/>
      <c r="EC204" s="188"/>
      <c r="ED204" s="188"/>
      <c r="EE204" s="188"/>
      <c r="EF204" s="188"/>
      <c r="EG204" s="188"/>
      <c r="EH204" s="188"/>
      <c r="EI204" s="188"/>
      <c r="EJ204" s="188"/>
      <c r="EK204" s="188"/>
      <c r="EL204" s="188"/>
      <c r="EM204" s="188"/>
      <c r="EN204" s="188"/>
      <c r="EO204" s="188"/>
      <c r="EP204" s="188"/>
      <c r="EQ204" s="188"/>
      <c r="ER204" s="188"/>
      <c r="ES204" s="188"/>
      <c r="ET204" s="188"/>
      <c r="EU204" s="188"/>
      <c r="EV204" s="188"/>
      <c r="EW204" s="188"/>
      <c r="EX204" s="188"/>
      <c r="EY204" s="188"/>
      <c r="EZ204" s="188"/>
      <c r="FA204" s="188"/>
      <c r="FB204" s="188"/>
      <c r="FC204" s="188"/>
      <c r="FD204" s="188"/>
      <c r="FE204" s="188"/>
      <c r="FF204" s="188"/>
      <c r="FG204" s="188"/>
      <c r="FH204" s="188"/>
      <c r="FI204" s="188"/>
      <c r="FJ204" s="188"/>
      <c r="FK204" s="188"/>
      <c r="FL204" s="188"/>
      <c r="FM204" s="188"/>
      <c r="FN204" s="188"/>
      <c r="FO204" s="188"/>
      <c r="FP204" s="188"/>
      <c r="FQ204" s="188"/>
      <c r="FR204" s="188"/>
      <c r="FS204" s="188"/>
      <c r="FT204" s="188"/>
      <c r="FU204" s="188"/>
      <c r="FV204" s="188"/>
      <c r="FW204" s="188"/>
      <c r="FX204" s="188"/>
      <c r="FY204" s="188"/>
      <c r="FZ204" s="188"/>
      <c r="GA204" s="188"/>
      <c r="GB204" s="188"/>
      <c r="GC204" s="188"/>
      <c r="GD204" s="188"/>
      <c r="GE204" s="188"/>
      <c r="GF204" s="188"/>
      <c r="GG204" s="188"/>
      <c r="GH204" s="188"/>
      <c r="GI204" s="188"/>
      <c r="GJ204" s="188"/>
      <c r="GK204" s="188"/>
      <c r="GL204" s="188"/>
      <c r="GM204" s="188"/>
      <c r="GN204" s="188"/>
      <c r="GO204" s="188"/>
      <c r="GP204" s="188"/>
      <c r="GQ204" s="188"/>
      <c r="GR204" s="188"/>
      <c r="GS204" s="188"/>
      <c r="GT204" s="188"/>
      <c r="GU204" s="188"/>
      <c r="GV204" s="188"/>
      <c r="GW204" s="188"/>
      <c r="GX204" s="188"/>
      <c r="GY204" s="188"/>
      <c r="GZ204" s="188"/>
      <c r="HA204" s="188"/>
      <c r="HB204" s="188"/>
      <c r="HC204" s="188"/>
      <c r="HD204" s="188"/>
      <c r="HE204" s="188"/>
      <c r="HF204" s="1" t="s">
        <v>212</v>
      </c>
    </row>
    <row r="205" spans="2:231" hidden="1" outlineLevel="1">
      <c r="B205" s="1" t="s">
        <v>1012</v>
      </c>
      <c r="D205" s="957">
        <v>1</v>
      </c>
      <c r="E205" s="958">
        <v>25</v>
      </c>
      <c r="I205" s="501">
        <f ca="1">SUMIF($K$13:$GT$13,"&lt;="&amp;Assumptions!$L$17,'Monthly Cash Flow'!K205:GT205)</f>
        <v>-234.61794000000003</v>
      </c>
      <c r="K205" s="502"/>
      <c r="L205" s="26">
        <f t="shared" ref="L205:AQ205" ca="1" si="1240">IF(AND(L$13&gt;=$D$205,L$13&lt;=$E$205),IF(SUM(L$178:L$186)&gt;0,-SUM(L$178:L$186),0),0)</f>
        <v>0</v>
      </c>
      <c r="M205" s="26">
        <f t="shared" ca="1" si="1240"/>
        <v>0</v>
      </c>
      <c r="N205" s="26">
        <f t="shared" ca="1" si="1240"/>
        <v>0</v>
      </c>
      <c r="O205" s="26">
        <f t="shared" ca="1" si="1240"/>
        <v>0</v>
      </c>
      <c r="P205" s="26">
        <f t="shared" ca="1" si="1240"/>
        <v>0</v>
      </c>
      <c r="Q205" s="26">
        <f t="shared" ca="1" si="1240"/>
        <v>0</v>
      </c>
      <c r="R205" s="26">
        <f t="shared" ca="1" si="1240"/>
        <v>0</v>
      </c>
      <c r="S205" s="26">
        <f t="shared" ca="1" si="1240"/>
        <v>-41.945560000000029</v>
      </c>
      <c r="T205" s="26">
        <f t="shared" ca="1" si="1240"/>
        <v>0</v>
      </c>
      <c r="U205" s="26">
        <f t="shared" ca="1" si="1240"/>
        <v>-54.283529999999999</v>
      </c>
      <c r="V205" s="26">
        <f t="shared" ca="1" si="1240"/>
        <v>-133.06851999999998</v>
      </c>
      <c r="W205" s="26">
        <f t="shared" ca="1" si="1240"/>
        <v>0</v>
      </c>
      <c r="X205" s="26">
        <f t="shared" ca="1" si="1240"/>
        <v>0</v>
      </c>
      <c r="Y205" s="26">
        <f t="shared" ca="1" si="1240"/>
        <v>0</v>
      </c>
      <c r="Z205" s="26">
        <f t="shared" ca="1" si="1240"/>
        <v>0</v>
      </c>
      <c r="AA205" s="26">
        <f t="shared" ca="1" si="1240"/>
        <v>-5.3203300000000269</v>
      </c>
      <c r="AB205" s="26">
        <f t="shared" ca="1" si="1240"/>
        <v>0</v>
      </c>
      <c r="AC205" s="26">
        <f t="shared" ca="1" si="1240"/>
        <v>0</v>
      </c>
      <c r="AD205" s="26">
        <f t="shared" ca="1" si="1240"/>
        <v>0</v>
      </c>
      <c r="AE205" s="26">
        <f t="shared" ca="1" si="1240"/>
        <v>0</v>
      </c>
      <c r="AF205" s="26">
        <f t="shared" ca="1" si="1240"/>
        <v>0</v>
      </c>
      <c r="AG205" s="26">
        <f t="shared" ca="1" si="1240"/>
        <v>0</v>
      </c>
      <c r="AH205" s="26">
        <f t="shared" ca="1" si="1240"/>
        <v>0</v>
      </c>
      <c r="AI205" s="26">
        <f t="shared" ca="1" si="1240"/>
        <v>0</v>
      </c>
      <c r="AJ205" s="26">
        <f t="shared" ca="1" si="1240"/>
        <v>0</v>
      </c>
      <c r="AK205" s="26">
        <f t="shared" si="1240"/>
        <v>0</v>
      </c>
      <c r="AL205" s="26">
        <f t="shared" si="1240"/>
        <v>0</v>
      </c>
      <c r="AM205" s="26">
        <f t="shared" si="1240"/>
        <v>0</v>
      </c>
      <c r="AN205" s="26">
        <f t="shared" si="1240"/>
        <v>0</v>
      </c>
      <c r="AO205" s="26">
        <f t="shared" si="1240"/>
        <v>0</v>
      </c>
      <c r="AP205" s="26">
        <f t="shared" si="1240"/>
        <v>0</v>
      </c>
      <c r="AQ205" s="26">
        <f t="shared" si="1240"/>
        <v>0</v>
      </c>
      <c r="AR205" s="26">
        <f t="shared" ref="AR205:BW205" si="1241">IF(AND(AR$13&gt;=$D$205,AR$13&lt;=$E$205),IF(SUM(AR$178:AR$186)&gt;0,-SUM(AR$178:AR$186),0),0)</f>
        <v>0</v>
      </c>
      <c r="AS205" s="26">
        <f t="shared" si="1241"/>
        <v>0</v>
      </c>
      <c r="AT205" s="26">
        <f t="shared" si="1241"/>
        <v>0</v>
      </c>
      <c r="AU205" s="26">
        <f t="shared" si="1241"/>
        <v>0</v>
      </c>
      <c r="AV205" s="26">
        <f t="shared" si="1241"/>
        <v>0</v>
      </c>
      <c r="AW205" s="26">
        <f t="shared" si="1241"/>
        <v>0</v>
      </c>
      <c r="AX205" s="26">
        <f t="shared" si="1241"/>
        <v>0</v>
      </c>
      <c r="AY205" s="26">
        <f t="shared" si="1241"/>
        <v>0</v>
      </c>
      <c r="AZ205" s="26">
        <f t="shared" si="1241"/>
        <v>0</v>
      </c>
      <c r="BA205" s="26">
        <f t="shared" si="1241"/>
        <v>0</v>
      </c>
      <c r="BB205" s="26">
        <f t="shared" si="1241"/>
        <v>0</v>
      </c>
      <c r="BC205" s="26">
        <f t="shared" si="1241"/>
        <v>0</v>
      </c>
      <c r="BD205" s="26">
        <f t="shared" si="1241"/>
        <v>0</v>
      </c>
      <c r="BE205" s="26">
        <f t="shared" si="1241"/>
        <v>0</v>
      </c>
      <c r="BF205" s="26">
        <f t="shared" si="1241"/>
        <v>0</v>
      </c>
      <c r="BG205" s="26">
        <f t="shared" si="1241"/>
        <v>0</v>
      </c>
      <c r="BH205" s="26">
        <f t="shared" si="1241"/>
        <v>0</v>
      </c>
      <c r="BI205" s="26">
        <f t="shared" si="1241"/>
        <v>0</v>
      </c>
      <c r="BJ205" s="26">
        <f t="shared" si="1241"/>
        <v>0</v>
      </c>
      <c r="BK205" s="26">
        <f t="shared" si="1241"/>
        <v>0</v>
      </c>
      <c r="BL205" s="26">
        <f t="shared" si="1241"/>
        <v>0</v>
      </c>
      <c r="BM205" s="26">
        <f t="shared" si="1241"/>
        <v>0</v>
      </c>
      <c r="BN205" s="26">
        <f t="shared" si="1241"/>
        <v>0</v>
      </c>
      <c r="BO205" s="26">
        <f t="shared" si="1241"/>
        <v>0</v>
      </c>
      <c r="BP205" s="26">
        <f t="shared" si="1241"/>
        <v>0</v>
      </c>
      <c r="BQ205" s="26">
        <f t="shared" si="1241"/>
        <v>0</v>
      </c>
      <c r="BR205" s="26">
        <f t="shared" si="1241"/>
        <v>0</v>
      </c>
      <c r="BS205" s="26">
        <f t="shared" si="1241"/>
        <v>0</v>
      </c>
      <c r="BT205" s="26">
        <f t="shared" si="1241"/>
        <v>0</v>
      </c>
      <c r="BU205" s="26">
        <f t="shared" si="1241"/>
        <v>0</v>
      </c>
      <c r="BV205" s="26">
        <f t="shared" si="1241"/>
        <v>0</v>
      </c>
      <c r="BW205" s="26">
        <f t="shared" si="1241"/>
        <v>0</v>
      </c>
      <c r="BX205" s="26">
        <f t="shared" ref="BX205:DC205" si="1242">IF(AND(BX$13&gt;=$D$205,BX$13&lt;=$E$205),IF(SUM(BX$178:BX$186)&gt;0,-SUM(BX$178:BX$186),0),0)</f>
        <v>0</v>
      </c>
      <c r="BY205" s="26">
        <f t="shared" si="1242"/>
        <v>0</v>
      </c>
      <c r="BZ205" s="26">
        <f t="shared" si="1242"/>
        <v>0</v>
      </c>
      <c r="CA205" s="26">
        <f t="shared" si="1242"/>
        <v>0</v>
      </c>
      <c r="CB205" s="26">
        <f t="shared" si="1242"/>
        <v>0</v>
      </c>
      <c r="CC205" s="26">
        <f t="shared" si="1242"/>
        <v>0</v>
      </c>
      <c r="CD205" s="26">
        <f t="shared" si="1242"/>
        <v>0</v>
      </c>
      <c r="CE205" s="26">
        <f t="shared" si="1242"/>
        <v>0</v>
      </c>
      <c r="CF205" s="26">
        <f t="shared" si="1242"/>
        <v>0</v>
      </c>
      <c r="CG205" s="26">
        <f t="shared" si="1242"/>
        <v>0</v>
      </c>
      <c r="CH205" s="26">
        <f t="shared" si="1242"/>
        <v>0</v>
      </c>
      <c r="CI205" s="26">
        <f t="shared" si="1242"/>
        <v>0</v>
      </c>
      <c r="CJ205" s="26">
        <f t="shared" si="1242"/>
        <v>0</v>
      </c>
      <c r="CK205" s="26">
        <f t="shared" si="1242"/>
        <v>0</v>
      </c>
      <c r="CL205" s="26">
        <f t="shared" si="1242"/>
        <v>0</v>
      </c>
      <c r="CM205" s="26">
        <f t="shared" si="1242"/>
        <v>0</v>
      </c>
      <c r="CN205" s="26">
        <f t="shared" si="1242"/>
        <v>0</v>
      </c>
      <c r="CO205" s="26">
        <f t="shared" si="1242"/>
        <v>0</v>
      </c>
      <c r="CP205" s="26">
        <f t="shared" si="1242"/>
        <v>0</v>
      </c>
      <c r="CQ205" s="26">
        <f t="shared" si="1242"/>
        <v>0</v>
      </c>
      <c r="CR205" s="26">
        <f t="shared" si="1242"/>
        <v>0</v>
      </c>
      <c r="CS205" s="26">
        <f t="shared" si="1242"/>
        <v>0</v>
      </c>
      <c r="CT205" s="26">
        <f t="shared" si="1242"/>
        <v>0</v>
      </c>
      <c r="CU205" s="26">
        <f t="shared" si="1242"/>
        <v>0</v>
      </c>
      <c r="CV205" s="26">
        <f t="shared" si="1242"/>
        <v>0</v>
      </c>
      <c r="CW205" s="26">
        <f t="shared" si="1242"/>
        <v>0</v>
      </c>
      <c r="CX205" s="26">
        <f t="shared" si="1242"/>
        <v>0</v>
      </c>
      <c r="CY205" s="26">
        <f t="shared" si="1242"/>
        <v>0</v>
      </c>
      <c r="CZ205" s="26">
        <f t="shared" si="1242"/>
        <v>0</v>
      </c>
      <c r="DA205" s="26">
        <f t="shared" si="1242"/>
        <v>0</v>
      </c>
      <c r="DB205" s="26">
        <f t="shared" si="1242"/>
        <v>0</v>
      </c>
      <c r="DC205" s="26">
        <f t="shared" si="1242"/>
        <v>0</v>
      </c>
      <c r="DD205" s="26">
        <f t="shared" ref="DD205:EL205" si="1243">IF(AND(DD$13&gt;=$D$205,DD$13&lt;=$E$205),IF(SUM(DD$178:DD$186)&gt;0,-SUM(DD$178:DD$186),0),0)</f>
        <v>0</v>
      </c>
      <c r="DE205" s="26">
        <f t="shared" si="1243"/>
        <v>0</v>
      </c>
      <c r="DF205" s="26">
        <f t="shared" si="1243"/>
        <v>0</v>
      </c>
      <c r="DG205" s="26">
        <f t="shared" si="1243"/>
        <v>0</v>
      </c>
      <c r="DH205" s="26">
        <f t="shared" si="1243"/>
        <v>0</v>
      </c>
      <c r="DI205" s="26">
        <f t="shared" si="1243"/>
        <v>0</v>
      </c>
      <c r="DJ205" s="26">
        <f t="shared" si="1243"/>
        <v>0</v>
      </c>
      <c r="DK205" s="26">
        <f t="shared" si="1243"/>
        <v>0</v>
      </c>
      <c r="DL205" s="26">
        <f t="shared" si="1243"/>
        <v>0</v>
      </c>
      <c r="DM205" s="26">
        <f t="shared" si="1243"/>
        <v>0</v>
      </c>
      <c r="DN205" s="26">
        <f t="shared" si="1243"/>
        <v>0</v>
      </c>
      <c r="DO205" s="26">
        <f t="shared" si="1243"/>
        <v>0</v>
      </c>
      <c r="DP205" s="26">
        <f t="shared" si="1243"/>
        <v>0</v>
      </c>
      <c r="DQ205" s="26">
        <f t="shared" si="1243"/>
        <v>0</v>
      </c>
      <c r="DR205" s="26">
        <f t="shared" si="1243"/>
        <v>0</v>
      </c>
      <c r="DS205" s="26">
        <f t="shared" si="1243"/>
        <v>0</v>
      </c>
      <c r="DT205" s="26">
        <f t="shared" si="1243"/>
        <v>0</v>
      </c>
      <c r="DU205" s="26">
        <f t="shared" si="1243"/>
        <v>0</v>
      </c>
      <c r="DV205" s="26">
        <f t="shared" si="1243"/>
        <v>0</v>
      </c>
      <c r="DW205" s="26">
        <f t="shared" si="1243"/>
        <v>0</v>
      </c>
      <c r="DX205" s="26">
        <f t="shared" si="1243"/>
        <v>0</v>
      </c>
      <c r="DY205" s="26">
        <f t="shared" si="1243"/>
        <v>0</v>
      </c>
      <c r="DZ205" s="26">
        <f t="shared" si="1243"/>
        <v>0</v>
      </c>
      <c r="EA205" s="26">
        <f t="shared" si="1243"/>
        <v>0</v>
      </c>
      <c r="EB205" s="26">
        <f t="shared" si="1243"/>
        <v>0</v>
      </c>
      <c r="EC205" s="26">
        <f t="shared" si="1243"/>
        <v>0</v>
      </c>
      <c r="ED205" s="26">
        <f t="shared" si="1243"/>
        <v>0</v>
      </c>
      <c r="EE205" s="26">
        <f t="shared" si="1243"/>
        <v>0</v>
      </c>
      <c r="EF205" s="26">
        <f t="shared" si="1243"/>
        <v>0</v>
      </c>
      <c r="EG205" s="26">
        <f t="shared" si="1243"/>
        <v>0</v>
      </c>
      <c r="EH205" s="26">
        <f t="shared" si="1243"/>
        <v>0</v>
      </c>
      <c r="EI205" s="26">
        <f t="shared" si="1243"/>
        <v>0</v>
      </c>
      <c r="EJ205" s="26">
        <f t="shared" si="1243"/>
        <v>0</v>
      </c>
      <c r="EK205" s="26">
        <f t="shared" si="1243"/>
        <v>0</v>
      </c>
      <c r="EL205" s="26">
        <f t="shared" si="1243"/>
        <v>0</v>
      </c>
      <c r="EM205" s="26"/>
      <c r="EN205" s="26"/>
      <c r="EO205" s="26"/>
      <c r="EP205" s="26"/>
      <c r="EQ205" s="26"/>
      <c r="ER205" s="26"/>
      <c r="ES205" s="26"/>
      <c r="ET205" s="26"/>
      <c r="EU205" s="26"/>
      <c r="EV205" s="26"/>
      <c r="EW205" s="26"/>
      <c r="EX205" s="26"/>
      <c r="EY205" s="26"/>
      <c r="EZ205" s="26"/>
      <c r="FA205" s="26"/>
      <c r="FB205" s="26"/>
      <c r="FC205" s="26"/>
      <c r="FD205" s="26"/>
      <c r="FE205" s="26"/>
      <c r="FF205" s="26"/>
      <c r="FG205" s="26"/>
      <c r="FH205" s="26"/>
      <c r="FI205" s="26"/>
      <c r="FJ205" s="26"/>
      <c r="FK205" s="26"/>
      <c r="FL205" s="26"/>
      <c r="FM205" s="26"/>
      <c r="FN205" s="26"/>
      <c r="FO205" s="26"/>
      <c r="FP205" s="26"/>
      <c r="FQ205" s="26"/>
      <c r="FR205" s="26"/>
      <c r="FS205" s="26"/>
      <c r="FT205" s="26"/>
      <c r="FU205" s="26"/>
      <c r="FV205" s="26"/>
      <c r="FW205" s="26"/>
      <c r="FX205" s="26"/>
      <c r="FY205" s="26"/>
      <c r="FZ205" s="26"/>
      <c r="GA205" s="26"/>
      <c r="GB205" s="26"/>
      <c r="GC205" s="26"/>
      <c r="GD205" s="26"/>
      <c r="GE205" s="26"/>
      <c r="GF205" s="26"/>
      <c r="GG205" s="26"/>
      <c r="GH205" s="26"/>
      <c r="GI205" s="26"/>
      <c r="GJ205" s="26"/>
      <c r="GK205" s="26"/>
      <c r="GL205" s="26"/>
      <c r="GM205" s="26"/>
      <c r="GN205" s="26"/>
      <c r="GO205" s="26"/>
      <c r="GP205" s="26"/>
      <c r="GQ205" s="26"/>
      <c r="GR205" s="26"/>
      <c r="GS205" s="26"/>
      <c r="GT205" s="26"/>
      <c r="GU205" s="26"/>
      <c r="GV205" s="26"/>
      <c r="GW205" s="26"/>
      <c r="GX205" s="26"/>
      <c r="GY205" s="26"/>
      <c r="GZ205" s="26"/>
      <c r="HA205" s="26"/>
      <c r="HB205" s="26"/>
      <c r="HC205" s="26"/>
      <c r="HD205" s="26"/>
      <c r="HE205" s="26"/>
      <c r="HF205" s="1" t="s">
        <v>212</v>
      </c>
    </row>
    <row r="206" spans="2:231" hidden="1" outlineLevel="1">
      <c r="B206" s="1" t="s">
        <v>1013</v>
      </c>
      <c r="D206" s="959"/>
      <c r="E206" s="959"/>
      <c r="I206" s="501">
        <f ca="1">SUMIF($K$13:$GT$13,"&lt;="&amp;Assumptions!$L$17,'Monthly Cash Flow'!K206:GT206)</f>
        <v>4417.8415002946713</v>
      </c>
      <c r="K206" s="502"/>
      <c r="L206" s="26">
        <f t="shared" ref="L206:AQ206" ca="1" si="1244">IF(SUM(L$178:L$186)&lt;0,-SUM(L$178:L$186),0)</f>
        <v>41.229470000000006</v>
      </c>
      <c r="M206" s="26">
        <f t="shared" ca="1" si="1244"/>
        <v>67.647770000000008</v>
      </c>
      <c r="N206" s="26">
        <f t="shared" ca="1" si="1244"/>
        <v>31.592039999999997</v>
      </c>
      <c r="O206" s="26">
        <f t="shared" ca="1" si="1244"/>
        <v>73.803759999999983</v>
      </c>
      <c r="P206" s="26">
        <f t="shared" ca="1" si="1244"/>
        <v>24.374559999999988</v>
      </c>
      <c r="Q206" s="26">
        <f t="shared" ca="1" si="1244"/>
        <v>44.026059999999987</v>
      </c>
      <c r="R206" s="26">
        <f t="shared" ca="1" si="1244"/>
        <v>31.574699999999993</v>
      </c>
      <c r="S206" s="26">
        <f t="shared" ca="1" si="1244"/>
        <v>0</v>
      </c>
      <c r="T206" s="26">
        <f t="shared" ca="1" si="1244"/>
        <v>34.480219999999974</v>
      </c>
      <c r="U206" s="26">
        <f t="shared" ca="1" si="1244"/>
        <v>0</v>
      </c>
      <c r="V206" s="26">
        <f t="shared" ca="1" si="1244"/>
        <v>0</v>
      </c>
      <c r="W206" s="26">
        <f t="shared" ca="1" si="1244"/>
        <v>232.32571999999999</v>
      </c>
      <c r="X206" s="26">
        <f t="shared" ca="1" si="1244"/>
        <v>27.841539999999981</v>
      </c>
      <c r="Y206" s="26">
        <f t="shared" ca="1" si="1244"/>
        <v>115.24563000000001</v>
      </c>
      <c r="Z206" s="26">
        <f t="shared" ca="1" si="1244"/>
        <v>32.848719999999958</v>
      </c>
      <c r="AA206" s="26">
        <f t="shared" ca="1" si="1244"/>
        <v>0</v>
      </c>
      <c r="AB206" s="26">
        <f t="shared" ca="1" si="1244"/>
        <v>49.037240000000011</v>
      </c>
      <c r="AC206" s="26">
        <f t="shared" ca="1" si="1244"/>
        <v>86.348610000000008</v>
      </c>
      <c r="AD206" s="26">
        <f t="shared" ca="1" si="1244"/>
        <v>6.6120400000000075</v>
      </c>
      <c r="AE206" s="26">
        <f t="shared" ca="1" si="1244"/>
        <v>11.428170000000023</v>
      </c>
      <c r="AF206" s="26">
        <f t="shared" ca="1" si="1244"/>
        <v>33.447289999999953</v>
      </c>
      <c r="AG206" s="26">
        <f t="shared" ca="1" si="1244"/>
        <v>41.16231999999998</v>
      </c>
      <c r="AH206" s="26">
        <f t="shared" ca="1" si="1244"/>
        <v>20.904310000000009</v>
      </c>
      <c r="AI206" s="26">
        <f t="shared" ca="1" si="1244"/>
        <v>45.802730845425273</v>
      </c>
      <c r="AJ206" s="26">
        <f t="shared" ca="1" si="1244"/>
        <v>64.111910000000009</v>
      </c>
      <c r="AK206" s="26">
        <f t="shared" ca="1" si="1244"/>
        <v>79.341940000000051</v>
      </c>
      <c r="AL206" s="26">
        <f t="shared" ca="1" si="1244"/>
        <v>266.60474000000062</v>
      </c>
      <c r="AM206" s="26">
        <f t="shared" ca="1" si="1244"/>
        <v>9.9833600000000047</v>
      </c>
      <c r="AN206" s="26">
        <f t="shared" ca="1" si="1244"/>
        <v>93.205800000002512</v>
      </c>
      <c r="AO206" s="26">
        <f t="shared" ca="1" si="1244"/>
        <v>80.118419999996391</v>
      </c>
      <c r="AP206" s="26">
        <f t="shared" ca="1" si="1244"/>
        <v>175.60986402388343</v>
      </c>
      <c r="AQ206" s="26">
        <f t="shared" ca="1" si="1244"/>
        <v>42.135170000003001</v>
      </c>
      <c r="AR206" s="26">
        <f t="shared" ref="AR206:BW206" ca="1" si="1245">IF(SUM(AR$178:AR$186)&lt;0,-SUM(AR$178:AR$186),0)</f>
        <v>40.118069999996351</v>
      </c>
      <c r="AS206" s="26">
        <f t="shared" ca="1" si="1245"/>
        <v>6.1919700000000262</v>
      </c>
      <c r="AT206" s="26">
        <f t="shared" ca="1" si="1245"/>
        <v>28.269380000000012</v>
      </c>
      <c r="AU206" s="26">
        <f t="shared" ca="1" si="1245"/>
        <v>5.794399999999996</v>
      </c>
      <c r="AV206" s="26">
        <f t="shared" ca="1" si="1245"/>
        <v>5.5704599999999971</v>
      </c>
      <c r="AW206" s="26">
        <f t="shared" ca="1" si="1245"/>
        <v>269.57748000000146</v>
      </c>
      <c r="AX206" s="26">
        <f t="shared" ca="1" si="1245"/>
        <v>18.052980000000019</v>
      </c>
      <c r="AY206" s="26">
        <f t="shared" ca="1" si="1245"/>
        <v>21.07729999999998</v>
      </c>
      <c r="AZ206" s="26">
        <f t="shared" ca="1" si="1245"/>
        <v>203.62462958111243</v>
      </c>
      <c r="BA206" s="26">
        <f t="shared" ca="1" si="1245"/>
        <v>149.19205000000053</v>
      </c>
      <c r="BB206" s="26">
        <f t="shared" ca="1" si="1245"/>
        <v>19.323029999999989</v>
      </c>
      <c r="BC206" s="26">
        <f t="shared" ca="1" si="1245"/>
        <v>159.21451999999857</v>
      </c>
      <c r="BD206" s="26">
        <f t="shared" ca="1" si="1245"/>
        <v>42.728480000001611</v>
      </c>
      <c r="BE206" s="26">
        <f t="shared" ca="1" si="1245"/>
        <v>0</v>
      </c>
      <c r="BF206" s="26">
        <f t="shared" ca="1" si="1245"/>
        <v>0</v>
      </c>
      <c r="BG206" s="26">
        <f t="shared" ca="1" si="1245"/>
        <v>75.45189000000002</v>
      </c>
      <c r="BH206" s="26">
        <f t="shared" ca="1" si="1245"/>
        <v>0</v>
      </c>
      <c r="BI206" s="26">
        <f t="shared" ca="1" si="1245"/>
        <v>0</v>
      </c>
      <c r="BJ206" s="26">
        <f t="shared" ca="1" si="1245"/>
        <v>468.81240000000003</v>
      </c>
      <c r="BK206" s="26">
        <f t="shared" ca="1" si="1245"/>
        <v>0</v>
      </c>
      <c r="BL206" s="26">
        <f t="shared" ca="1" si="1245"/>
        <v>0</v>
      </c>
      <c r="BM206" s="26">
        <f t="shared" ca="1" si="1245"/>
        <v>98.088319999999939</v>
      </c>
      <c r="BN206" s="26">
        <f t="shared" ca="1" si="1245"/>
        <v>2.2469199999999603</v>
      </c>
      <c r="BO206" s="26">
        <f t="shared" ca="1" si="1245"/>
        <v>0</v>
      </c>
      <c r="BP206" s="26">
        <f t="shared" ca="1" si="1245"/>
        <v>88.698799999999991</v>
      </c>
      <c r="BQ206" s="26">
        <f t="shared" ca="1" si="1245"/>
        <v>0</v>
      </c>
      <c r="BR206" s="26">
        <f t="shared" ca="1" si="1245"/>
        <v>114.42168999999906</v>
      </c>
      <c r="BS206" s="26">
        <f t="shared" ca="1" si="1245"/>
        <v>501.62116999999853</v>
      </c>
      <c r="BT206" s="26">
        <f t="shared" ca="1" si="1245"/>
        <v>40.044030000000006</v>
      </c>
      <c r="BU206" s="26">
        <f t="shared" ca="1" si="1245"/>
        <v>30.121659999999963</v>
      </c>
      <c r="BV206" s="26">
        <f t="shared" ca="1" si="1245"/>
        <v>0</v>
      </c>
      <c r="BW206" s="26">
        <f t="shared" ca="1" si="1245"/>
        <v>0</v>
      </c>
      <c r="BX206" s="26">
        <f t="shared" ref="BX206:DC206" ca="1" si="1246">IF(SUM(BX$178:BX$186)&lt;0,-SUM(BX$178:BX$186),0)</f>
        <v>5.4213900000000592</v>
      </c>
      <c r="BY206" s="26">
        <f t="shared" ca="1" si="1246"/>
        <v>0</v>
      </c>
      <c r="BZ206" s="26">
        <f t="shared" ca="1" si="1246"/>
        <v>0</v>
      </c>
      <c r="CA206" s="26">
        <f t="shared" ca="1" si="1246"/>
        <v>75.128219999999999</v>
      </c>
      <c r="CB206" s="26">
        <f t="shared" ca="1" si="1246"/>
        <v>0</v>
      </c>
      <c r="CC206" s="26">
        <f t="shared" ca="1" si="1246"/>
        <v>0</v>
      </c>
      <c r="CD206" s="26">
        <f t="shared" ca="1" si="1246"/>
        <v>12.867059999999981</v>
      </c>
      <c r="CE206" s="26">
        <f t="shared" ca="1" si="1246"/>
        <v>8.3577399999999642</v>
      </c>
      <c r="CF206" s="26">
        <f t="shared" ca="1" si="1246"/>
        <v>0</v>
      </c>
      <c r="CG206" s="26">
        <f t="shared" ca="1" si="1246"/>
        <v>11.887410000000045</v>
      </c>
      <c r="CH206" s="26">
        <f t="shared" ca="1" si="1246"/>
        <v>0</v>
      </c>
      <c r="CI206" s="26">
        <f t="shared" ca="1" si="1246"/>
        <v>0</v>
      </c>
      <c r="CJ206" s="26">
        <f t="shared" ca="1" si="1246"/>
        <v>0</v>
      </c>
      <c r="CK206" s="26">
        <f t="shared" ca="1" si="1246"/>
        <v>0</v>
      </c>
      <c r="CL206" s="26">
        <f t="shared" ca="1" si="1246"/>
        <v>0</v>
      </c>
      <c r="CM206" s="26">
        <f t="shared" ca="1" si="1246"/>
        <v>0</v>
      </c>
      <c r="CN206" s="26">
        <f t="shared" ca="1" si="1246"/>
        <v>0</v>
      </c>
      <c r="CO206" s="26">
        <f t="shared" ca="1" si="1246"/>
        <v>0</v>
      </c>
      <c r="CP206" s="26">
        <f t="shared" ca="1" si="1246"/>
        <v>0</v>
      </c>
      <c r="CQ206" s="26">
        <f t="shared" ca="1" si="1246"/>
        <v>0</v>
      </c>
      <c r="CR206" s="26">
        <f t="shared" ca="1" si="1246"/>
        <v>8.2667096604673986</v>
      </c>
      <c r="CS206" s="26">
        <f t="shared" ca="1" si="1246"/>
        <v>26.374192023783081</v>
      </c>
      <c r="CT206" s="26">
        <f t="shared" ca="1" si="1246"/>
        <v>0</v>
      </c>
      <c r="CU206" s="26">
        <f t="shared" ca="1" si="1246"/>
        <v>0</v>
      </c>
      <c r="CV206" s="26">
        <f t="shared" ca="1" si="1246"/>
        <v>0</v>
      </c>
      <c r="CW206" s="26">
        <f t="shared" ca="1" si="1246"/>
        <v>0</v>
      </c>
      <c r="CX206" s="26">
        <f t="shared" ca="1" si="1246"/>
        <v>9.5015734883333494</v>
      </c>
      <c r="CY206" s="26">
        <f t="shared" ca="1" si="1246"/>
        <v>0</v>
      </c>
      <c r="CZ206" s="26">
        <f t="shared" ca="1" si="1246"/>
        <v>8.9514706716666694</v>
      </c>
      <c r="DA206" s="26">
        <f t="shared" ca="1" si="1246"/>
        <v>0</v>
      </c>
      <c r="DB206" s="26">
        <f t="shared" ca="1" si="1246"/>
        <v>0</v>
      </c>
      <c r="DC206" s="26">
        <f t="shared" ca="1" si="1246"/>
        <v>0</v>
      </c>
      <c r="DD206" s="26">
        <f t="shared" ref="DD206:EL206" ca="1" si="1247">IF(SUM(DD$178:DD$186)&lt;0,-SUM(DD$178:DD$186),0)</f>
        <v>0</v>
      </c>
      <c r="DE206" s="26">
        <f t="shared" ca="1" si="1247"/>
        <v>0</v>
      </c>
      <c r="DF206" s="26">
        <f t="shared" ca="1" si="1247"/>
        <v>0</v>
      </c>
      <c r="DG206" s="26">
        <f t="shared" ca="1" si="1247"/>
        <v>0</v>
      </c>
      <c r="DH206" s="26">
        <f t="shared" ca="1" si="1247"/>
        <v>0</v>
      </c>
      <c r="DI206" s="26">
        <f t="shared" ca="1" si="1247"/>
        <v>0</v>
      </c>
      <c r="DJ206" s="26">
        <f t="shared" ca="1" si="1247"/>
        <v>0</v>
      </c>
      <c r="DK206" s="26">
        <f t="shared" ca="1" si="1247"/>
        <v>0</v>
      </c>
      <c r="DL206" s="26">
        <f t="shared" ca="1" si="1247"/>
        <v>0</v>
      </c>
      <c r="DM206" s="26">
        <f t="shared" ca="1" si="1247"/>
        <v>0</v>
      </c>
      <c r="DN206" s="26">
        <f t="shared" ca="1" si="1247"/>
        <v>0</v>
      </c>
      <c r="DO206" s="26">
        <f t="shared" ca="1" si="1247"/>
        <v>0</v>
      </c>
      <c r="DP206" s="26">
        <f t="shared" ca="1" si="1247"/>
        <v>0</v>
      </c>
      <c r="DQ206" s="26">
        <f t="shared" ca="1" si="1247"/>
        <v>0</v>
      </c>
      <c r="DR206" s="26">
        <f t="shared" ca="1" si="1247"/>
        <v>0</v>
      </c>
      <c r="DS206" s="26">
        <f t="shared" ca="1" si="1247"/>
        <v>0</v>
      </c>
      <c r="DT206" s="26">
        <f t="shared" ca="1" si="1247"/>
        <v>0</v>
      </c>
      <c r="DU206" s="26">
        <f t="shared" ca="1" si="1247"/>
        <v>0</v>
      </c>
      <c r="DV206" s="26">
        <f t="shared" ca="1" si="1247"/>
        <v>0</v>
      </c>
      <c r="DW206" s="26">
        <f t="shared" ca="1" si="1247"/>
        <v>0</v>
      </c>
      <c r="DX206" s="26">
        <f t="shared" ca="1" si="1247"/>
        <v>0</v>
      </c>
      <c r="DY206" s="26">
        <f t="shared" ca="1" si="1247"/>
        <v>0</v>
      </c>
      <c r="DZ206" s="26">
        <f t="shared" ca="1" si="1247"/>
        <v>0</v>
      </c>
      <c r="EA206" s="26">
        <f t="shared" ca="1" si="1247"/>
        <v>0</v>
      </c>
      <c r="EB206" s="26">
        <f t="shared" ca="1" si="1247"/>
        <v>0</v>
      </c>
      <c r="EC206" s="26">
        <f t="shared" ca="1" si="1247"/>
        <v>0</v>
      </c>
      <c r="ED206" s="26">
        <f t="shared" ca="1" si="1247"/>
        <v>0</v>
      </c>
      <c r="EE206" s="26">
        <f t="shared" ca="1" si="1247"/>
        <v>0</v>
      </c>
      <c r="EF206" s="26">
        <f t="shared" ca="1" si="1247"/>
        <v>0</v>
      </c>
      <c r="EG206" s="26">
        <f t="shared" ca="1" si="1247"/>
        <v>0</v>
      </c>
      <c r="EH206" s="26">
        <f t="shared" ca="1" si="1247"/>
        <v>0</v>
      </c>
      <c r="EI206" s="26">
        <f t="shared" ca="1" si="1247"/>
        <v>0</v>
      </c>
      <c r="EJ206" s="26">
        <f t="shared" ca="1" si="1247"/>
        <v>0</v>
      </c>
      <c r="EK206" s="26">
        <f t="shared" ca="1" si="1247"/>
        <v>0</v>
      </c>
      <c r="EL206" s="26">
        <f t="shared" ca="1" si="1247"/>
        <v>0</v>
      </c>
      <c r="EM206" s="26"/>
      <c r="EN206" s="26"/>
      <c r="EO206" s="26"/>
      <c r="EP206" s="26"/>
      <c r="EQ206" s="26"/>
      <c r="ER206" s="26"/>
      <c r="ES206" s="26"/>
      <c r="ET206" s="26"/>
      <c r="EU206" s="26"/>
      <c r="EV206" s="26"/>
      <c r="EW206" s="26"/>
      <c r="EX206" s="26"/>
      <c r="EY206" s="26"/>
      <c r="EZ206" s="26"/>
      <c r="FA206" s="26"/>
      <c r="FB206" s="26"/>
      <c r="FC206" s="26"/>
      <c r="FD206" s="26"/>
      <c r="FE206" s="26"/>
      <c r="FF206" s="26"/>
      <c r="FG206" s="26"/>
      <c r="FH206" s="26"/>
      <c r="FI206" s="26"/>
      <c r="FJ206" s="26"/>
      <c r="FK206" s="26"/>
      <c r="FL206" s="26"/>
      <c r="FM206" s="26"/>
      <c r="FN206" s="26"/>
      <c r="FO206" s="26"/>
      <c r="FP206" s="26"/>
      <c r="FQ206" s="26"/>
      <c r="FR206" s="26"/>
      <c r="FS206" s="26"/>
      <c r="FT206" s="26"/>
      <c r="FU206" s="26"/>
      <c r="FV206" s="26"/>
      <c r="FW206" s="26"/>
      <c r="FX206" s="26"/>
      <c r="FY206" s="26"/>
      <c r="FZ206" s="26"/>
      <c r="GA206" s="26"/>
      <c r="GB206" s="26"/>
      <c r="GC206" s="26"/>
      <c r="GD206" s="26"/>
      <c r="GE206" s="26"/>
      <c r="GF206" s="26"/>
      <c r="GG206" s="26"/>
      <c r="GH206" s="26"/>
      <c r="GI206" s="26"/>
      <c r="GJ206" s="26"/>
      <c r="GK206" s="26"/>
      <c r="GL206" s="26"/>
      <c r="GM206" s="26"/>
      <c r="GN206" s="26"/>
      <c r="GO206" s="26"/>
      <c r="GP206" s="26"/>
      <c r="GQ206" s="26"/>
      <c r="GR206" s="26"/>
      <c r="GS206" s="26"/>
      <c r="GT206" s="26"/>
      <c r="GU206" s="26"/>
      <c r="GV206" s="26"/>
      <c r="GW206" s="26"/>
      <c r="GX206" s="26"/>
      <c r="GY206" s="26"/>
      <c r="GZ206" s="26"/>
      <c r="HA206" s="26"/>
      <c r="HB206" s="26"/>
      <c r="HC206" s="26"/>
      <c r="HD206" s="26"/>
      <c r="HE206" s="26"/>
      <c r="HF206" s="1" t="s">
        <v>212</v>
      </c>
    </row>
    <row r="207" spans="2:231" hidden="1" outlineLevel="1">
      <c r="B207" s="1" t="s">
        <v>1015</v>
      </c>
      <c r="D207" s="959"/>
      <c r="E207" s="959"/>
      <c r="I207" s="501">
        <f>SUMIF($K$13:$GT$13,"&lt;="&amp;Assumptions!$L$17,'Monthly Cash Flow'!K207:GT207)</f>
        <v>2174.232</v>
      </c>
      <c r="K207" s="502">
        <f t="shared" ref="K207:AP207" si="1248">K124</f>
        <v>0</v>
      </c>
      <c r="L207" s="26">
        <f t="shared" si="1248"/>
        <v>0</v>
      </c>
      <c r="M207" s="26">
        <f t="shared" si="1248"/>
        <v>0</v>
      </c>
      <c r="N207" s="26">
        <f t="shared" si="1248"/>
        <v>0</v>
      </c>
      <c r="O207" s="26">
        <f t="shared" si="1248"/>
        <v>0</v>
      </c>
      <c r="P207" s="26">
        <f t="shared" si="1248"/>
        <v>150.82499999999999</v>
      </c>
      <c r="Q207" s="26">
        <f t="shared" si="1248"/>
        <v>0</v>
      </c>
      <c r="R207" s="26">
        <f t="shared" si="1248"/>
        <v>0</v>
      </c>
      <c r="S207" s="26">
        <f t="shared" si="1248"/>
        <v>0</v>
      </c>
      <c r="T207" s="26">
        <f t="shared" si="1248"/>
        <v>0</v>
      </c>
      <c r="U207" s="26">
        <f t="shared" si="1248"/>
        <v>0</v>
      </c>
      <c r="V207" s="26">
        <f t="shared" si="1248"/>
        <v>0</v>
      </c>
      <c r="W207" s="26">
        <f t="shared" si="1248"/>
        <v>0</v>
      </c>
      <c r="X207" s="26">
        <f t="shared" si="1248"/>
        <v>79.174999999999997</v>
      </c>
      <c r="Y207" s="26">
        <f t="shared" si="1248"/>
        <v>0</v>
      </c>
      <c r="Z207" s="26">
        <f t="shared" si="1248"/>
        <v>0</v>
      </c>
      <c r="AA207" s="26">
        <f t="shared" si="1248"/>
        <v>0</v>
      </c>
      <c r="AB207" s="26">
        <f t="shared" si="1248"/>
        <v>0</v>
      </c>
      <c r="AC207" s="26">
        <f t="shared" si="1248"/>
        <v>0</v>
      </c>
      <c r="AD207" s="26">
        <f t="shared" si="1248"/>
        <v>0</v>
      </c>
      <c r="AE207" s="26">
        <f t="shared" si="1248"/>
        <v>0</v>
      </c>
      <c r="AF207" s="26">
        <f t="shared" si="1248"/>
        <v>0</v>
      </c>
      <c r="AG207" s="26">
        <f t="shared" si="1248"/>
        <v>310</v>
      </c>
      <c r="AH207" s="26">
        <f t="shared" si="1248"/>
        <v>0</v>
      </c>
      <c r="AI207" s="26">
        <f t="shared" si="1248"/>
        <v>0</v>
      </c>
      <c r="AJ207" s="26">
        <f t="shared" si="1248"/>
        <v>0</v>
      </c>
      <c r="AK207" s="26">
        <f t="shared" si="1248"/>
        <v>0</v>
      </c>
      <c r="AL207" s="26">
        <f t="shared" si="1248"/>
        <v>0</v>
      </c>
      <c r="AM207" s="26">
        <f t="shared" si="1248"/>
        <v>0</v>
      </c>
      <c r="AN207" s="26">
        <f t="shared" si="1248"/>
        <v>0</v>
      </c>
      <c r="AO207" s="26">
        <f t="shared" si="1248"/>
        <v>0</v>
      </c>
      <c r="AP207" s="26">
        <f t="shared" si="1248"/>
        <v>0</v>
      </c>
      <c r="AQ207" s="26">
        <f t="shared" ref="AQ207:BV207" si="1249">AQ124</f>
        <v>0</v>
      </c>
      <c r="AR207" s="26">
        <f t="shared" si="1249"/>
        <v>0</v>
      </c>
      <c r="AS207" s="26">
        <f t="shared" si="1249"/>
        <v>0</v>
      </c>
      <c r="AT207" s="26">
        <f t="shared" si="1249"/>
        <v>0</v>
      </c>
      <c r="AU207" s="26">
        <f t="shared" si="1249"/>
        <v>0</v>
      </c>
      <c r="AV207" s="26">
        <f t="shared" si="1249"/>
        <v>0</v>
      </c>
      <c r="AW207" s="26">
        <f t="shared" si="1249"/>
        <v>0</v>
      </c>
      <c r="AX207" s="26">
        <f t="shared" si="1249"/>
        <v>0</v>
      </c>
      <c r="AY207" s="26">
        <f t="shared" si="1249"/>
        <v>0</v>
      </c>
      <c r="AZ207" s="26">
        <f t="shared" si="1249"/>
        <v>0</v>
      </c>
      <c r="BA207" s="26">
        <f t="shared" si="1249"/>
        <v>141.08000000000001</v>
      </c>
      <c r="BB207" s="26">
        <f t="shared" si="1249"/>
        <v>0</v>
      </c>
      <c r="BC207" s="26">
        <f t="shared" si="1249"/>
        <v>248.2</v>
      </c>
      <c r="BD207" s="26">
        <f t="shared" si="1249"/>
        <v>320</v>
      </c>
      <c r="BE207" s="26">
        <f t="shared" si="1249"/>
        <v>0</v>
      </c>
      <c r="BF207" s="26">
        <f t="shared" si="1249"/>
        <v>0</v>
      </c>
      <c r="BG207" s="26">
        <f t="shared" si="1249"/>
        <v>617</v>
      </c>
      <c r="BH207" s="26">
        <f t="shared" si="1249"/>
        <v>0</v>
      </c>
      <c r="BI207" s="26">
        <f t="shared" si="1249"/>
        <v>0</v>
      </c>
      <c r="BJ207" s="26">
        <f t="shared" si="1249"/>
        <v>0</v>
      </c>
      <c r="BK207" s="26">
        <f t="shared" si="1249"/>
        <v>0</v>
      </c>
      <c r="BL207" s="26">
        <f t="shared" si="1249"/>
        <v>0</v>
      </c>
      <c r="BM207" s="26">
        <f t="shared" si="1249"/>
        <v>0</v>
      </c>
      <c r="BN207" s="26">
        <f t="shared" si="1249"/>
        <v>219.452</v>
      </c>
      <c r="BO207" s="26">
        <f t="shared" si="1249"/>
        <v>0</v>
      </c>
      <c r="BP207" s="26">
        <f t="shared" si="1249"/>
        <v>0</v>
      </c>
      <c r="BQ207" s="26">
        <f t="shared" si="1249"/>
        <v>0</v>
      </c>
      <c r="BR207" s="26">
        <f t="shared" si="1249"/>
        <v>88.5</v>
      </c>
      <c r="BS207" s="26">
        <f t="shared" si="1249"/>
        <v>0</v>
      </c>
      <c r="BT207" s="26">
        <f t="shared" si="1249"/>
        <v>0</v>
      </c>
      <c r="BU207" s="26">
        <f t="shared" si="1249"/>
        <v>0</v>
      </c>
      <c r="BV207" s="26">
        <f t="shared" si="1249"/>
        <v>0</v>
      </c>
      <c r="BW207" s="26">
        <f t="shared" ref="BW207:DB207" si="1250">BW124</f>
        <v>0</v>
      </c>
      <c r="BX207" s="26">
        <f t="shared" si="1250"/>
        <v>0</v>
      </c>
      <c r="BY207" s="26">
        <f t="shared" si="1250"/>
        <v>0</v>
      </c>
      <c r="BZ207" s="26">
        <f t="shared" si="1250"/>
        <v>0</v>
      </c>
      <c r="CA207" s="26">
        <f t="shared" si="1250"/>
        <v>0</v>
      </c>
      <c r="CB207" s="26">
        <f t="shared" si="1250"/>
        <v>0</v>
      </c>
      <c r="CC207" s="26">
        <f t="shared" si="1250"/>
        <v>0</v>
      </c>
      <c r="CD207" s="26">
        <f t="shared" si="1250"/>
        <v>0</v>
      </c>
      <c r="CE207" s="26">
        <f t="shared" si="1250"/>
        <v>0</v>
      </c>
      <c r="CF207" s="26">
        <f t="shared" si="1250"/>
        <v>0</v>
      </c>
      <c r="CG207" s="26">
        <f t="shared" si="1250"/>
        <v>0</v>
      </c>
      <c r="CH207" s="26">
        <f t="shared" si="1250"/>
        <v>0</v>
      </c>
      <c r="CI207" s="26">
        <f t="shared" si="1250"/>
        <v>0</v>
      </c>
      <c r="CJ207" s="26">
        <f t="shared" si="1250"/>
        <v>0</v>
      </c>
      <c r="CK207" s="26">
        <f t="shared" si="1250"/>
        <v>0</v>
      </c>
      <c r="CL207" s="26">
        <f t="shared" si="1250"/>
        <v>0</v>
      </c>
      <c r="CM207" s="26">
        <f t="shared" si="1250"/>
        <v>0</v>
      </c>
      <c r="CN207" s="26">
        <f t="shared" si="1250"/>
        <v>0</v>
      </c>
      <c r="CO207" s="26">
        <f t="shared" si="1250"/>
        <v>0</v>
      </c>
      <c r="CP207" s="26">
        <f t="shared" si="1250"/>
        <v>0</v>
      </c>
      <c r="CQ207" s="26">
        <f t="shared" si="1250"/>
        <v>0</v>
      </c>
      <c r="CR207" s="26">
        <f t="shared" si="1250"/>
        <v>0</v>
      </c>
      <c r="CS207" s="26">
        <f t="shared" si="1250"/>
        <v>0</v>
      </c>
      <c r="CT207" s="26">
        <f t="shared" si="1250"/>
        <v>0</v>
      </c>
      <c r="CU207" s="26">
        <f t="shared" si="1250"/>
        <v>0</v>
      </c>
      <c r="CV207" s="26">
        <f t="shared" si="1250"/>
        <v>0</v>
      </c>
      <c r="CW207" s="26">
        <f t="shared" si="1250"/>
        <v>0</v>
      </c>
      <c r="CX207" s="26">
        <f t="shared" si="1250"/>
        <v>0</v>
      </c>
      <c r="CY207" s="26">
        <f t="shared" si="1250"/>
        <v>0</v>
      </c>
      <c r="CZ207" s="26">
        <f t="shared" si="1250"/>
        <v>0</v>
      </c>
      <c r="DA207" s="26">
        <f t="shared" si="1250"/>
        <v>0</v>
      </c>
      <c r="DB207" s="26">
        <f t="shared" si="1250"/>
        <v>0</v>
      </c>
      <c r="DC207" s="26">
        <f t="shared" ref="DC207:EL207" si="1251">DC124</f>
        <v>0</v>
      </c>
      <c r="DD207" s="26">
        <f t="shared" si="1251"/>
        <v>0</v>
      </c>
      <c r="DE207" s="26">
        <f t="shared" si="1251"/>
        <v>0</v>
      </c>
      <c r="DF207" s="26">
        <f t="shared" si="1251"/>
        <v>0</v>
      </c>
      <c r="DG207" s="26">
        <f t="shared" si="1251"/>
        <v>0</v>
      </c>
      <c r="DH207" s="26">
        <f t="shared" si="1251"/>
        <v>0</v>
      </c>
      <c r="DI207" s="26">
        <f t="shared" si="1251"/>
        <v>0</v>
      </c>
      <c r="DJ207" s="26">
        <f t="shared" si="1251"/>
        <v>0</v>
      </c>
      <c r="DK207" s="26">
        <f t="shared" si="1251"/>
        <v>0</v>
      </c>
      <c r="DL207" s="26">
        <f t="shared" si="1251"/>
        <v>0</v>
      </c>
      <c r="DM207" s="26">
        <f t="shared" si="1251"/>
        <v>0</v>
      </c>
      <c r="DN207" s="26">
        <f t="shared" si="1251"/>
        <v>0</v>
      </c>
      <c r="DO207" s="26">
        <f t="shared" si="1251"/>
        <v>0</v>
      </c>
      <c r="DP207" s="26">
        <f t="shared" si="1251"/>
        <v>0</v>
      </c>
      <c r="DQ207" s="26">
        <f t="shared" si="1251"/>
        <v>0</v>
      </c>
      <c r="DR207" s="26">
        <f t="shared" si="1251"/>
        <v>0</v>
      </c>
      <c r="DS207" s="26">
        <f t="shared" si="1251"/>
        <v>0</v>
      </c>
      <c r="DT207" s="26">
        <f t="shared" si="1251"/>
        <v>0</v>
      </c>
      <c r="DU207" s="26">
        <f t="shared" si="1251"/>
        <v>0</v>
      </c>
      <c r="DV207" s="26">
        <f t="shared" si="1251"/>
        <v>0</v>
      </c>
      <c r="DW207" s="26">
        <f t="shared" si="1251"/>
        <v>0</v>
      </c>
      <c r="DX207" s="26">
        <f t="shared" si="1251"/>
        <v>0</v>
      </c>
      <c r="DY207" s="26">
        <f t="shared" si="1251"/>
        <v>0</v>
      </c>
      <c r="DZ207" s="26">
        <f t="shared" si="1251"/>
        <v>0</v>
      </c>
      <c r="EA207" s="26">
        <f t="shared" si="1251"/>
        <v>0</v>
      </c>
      <c r="EB207" s="26">
        <f t="shared" si="1251"/>
        <v>0</v>
      </c>
      <c r="EC207" s="26">
        <f t="shared" si="1251"/>
        <v>0</v>
      </c>
      <c r="ED207" s="26">
        <f t="shared" si="1251"/>
        <v>0</v>
      </c>
      <c r="EE207" s="26">
        <f t="shared" si="1251"/>
        <v>0</v>
      </c>
      <c r="EF207" s="26">
        <f t="shared" si="1251"/>
        <v>0</v>
      </c>
      <c r="EG207" s="26">
        <f t="shared" si="1251"/>
        <v>0</v>
      </c>
      <c r="EH207" s="26">
        <f t="shared" si="1251"/>
        <v>0</v>
      </c>
      <c r="EI207" s="26">
        <f t="shared" si="1251"/>
        <v>0</v>
      </c>
      <c r="EJ207" s="26">
        <f t="shared" si="1251"/>
        <v>0</v>
      </c>
      <c r="EK207" s="26">
        <f t="shared" si="1251"/>
        <v>0</v>
      </c>
      <c r="EL207" s="26">
        <f t="shared" si="1251"/>
        <v>0</v>
      </c>
      <c r="EM207" s="26"/>
      <c r="EN207" s="26"/>
      <c r="EO207" s="26"/>
      <c r="EP207" s="26"/>
      <c r="EQ207" s="26"/>
      <c r="ER207" s="26"/>
      <c r="ES207" s="26"/>
      <c r="ET207" s="26"/>
      <c r="EU207" s="26"/>
      <c r="EV207" s="26"/>
      <c r="EW207" s="26"/>
      <c r="EX207" s="26"/>
      <c r="EY207" s="26"/>
      <c r="EZ207" s="26"/>
      <c r="FA207" s="26"/>
      <c r="FB207" s="26"/>
      <c r="FC207" s="26"/>
      <c r="FD207" s="26"/>
      <c r="FE207" s="26"/>
      <c r="FF207" s="26"/>
      <c r="FG207" s="26"/>
      <c r="FH207" s="26"/>
      <c r="FI207" s="26"/>
      <c r="FJ207" s="26"/>
      <c r="FK207" s="26"/>
      <c r="FL207" s="26"/>
      <c r="FM207" s="26"/>
      <c r="FN207" s="26"/>
      <c r="FO207" s="26"/>
      <c r="FP207" s="26"/>
      <c r="FQ207" s="26"/>
      <c r="FR207" s="26"/>
      <c r="FS207" s="26"/>
      <c r="FT207" s="26"/>
      <c r="FU207" s="26"/>
      <c r="FV207" s="26"/>
      <c r="FW207" s="26"/>
      <c r="FX207" s="26"/>
      <c r="FY207" s="26"/>
      <c r="FZ207" s="26"/>
      <c r="GA207" s="26"/>
      <c r="GB207" s="26"/>
      <c r="GC207" s="26"/>
      <c r="GD207" s="26"/>
      <c r="GE207" s="26"/>
      <c r="GF207" s="26"/>
      <c r="GG207" s="26"/>
      <c r="GH207" s="26"/>
      <c r="GI207" s="26"/>
      <c r="GJ207" s="26"/>
      <c r="GK207" s="26"/>
      <c r="GL207" s="26"/>
      <c r="GM207" s="26"/>
      <c r="GN207" s="26"/>
      <c r="GO207" s="26"/>
      <c r="GP207" s="26"/>
      <c r="GQ207" s="26"/>
      <c r="GR207" s="26"/>
      <c r="GS207" s="26"/>
      <c r="GT207" s="26"/>
      <c r="GU207" s="26"/>
      <c r="GV207" s="26"/>
      <c r="GW207" s="26"/>
      <c r="GX207" s="26"/>
      <c r="GY207" s="26"/>
      <c r="GZ207" s="26"/>
      <c r="HA207" s="26"/>
      <c r="HB207" s="26"/>
      <c r="HC207" s="26"/>
      <c r="HD207" s="26"/>
      <c r="HE207" s="26"/>
      <c r="HF207" s="1" t="s">
        <v>212</v>
      </c>
    </row>
    <row r="208" spans="2:231" ht="15" hidden="1" outlineLevel="1" thickBot="1">
      <c r="B208" s="33" t="s">
        <v>713</v>
      </c>
      <c r="D208" s="959"/>
      <c r="E208" s="959"/>
      <c r="I208" s="136">
        <f ca="1">SUMIF($K$13:$GT$13,"&lt;="&amp;Assumptions!$L$17,'Monthly Cash Flow'!K208:GT208)</f>
        <v>13937.3873842508</v>
      </c>
      <c r="J208" s="137"/>
      <c r="K208" s="138">
        <f>+K196+K205+K206-K207</f>
        <v>-13708</v>
      </c>
      <c r="L208" s="137">
        <f t="shared" ref="L208:U208" ca="1" si="1252">+L196+L205+L206-L207</f>
        <v>41.229470000000006</v>
      </c>
      <c r="M208" s="137">
        <f t="shared" ca="1" si="1252"/>
        <v>67.647770000000008</v>
      </c>
      <c r="N208" s="137">
        <f t="shared" ca="1" si="1252"/>
        <v>31.592039999999997</v>
      </c>
      <c r="O208" s="137">
        <f t="shared" ca="1" si="1252"/>
        <v>73.803759999999983</v>
      </c>
      <c r="P208" s="137">
        <f t="shared" ca="1" si="1252"/>
        <v>-277.27544</v>
      </c>
      <c r="Q208" s="137">
        <f t="shared" ca="1" si="1252"/>
        <v>44.026059999999987</v>
      </c>
      <c r="R208" s="137">
        <f t="shared" ca="1" si="1252"/>
        <v>31.574699999999993</v>
      </c>
      <c r="S208" s="137">
        <f t="shared" ca="1" si="1252"/>
        <v>-41.945560000000029</v>
      </c>
      <c r="T208" s="137">
        <f t="shared" ca="1" si="1252"/>
        <v>34.480219999999974</v>
      </c>
      <c r="U208" s="137">
        <f t="shared" ca="1" si="1252"/>
        <v>-54.283529999999999</v>
      </c>
      <c r="V208" s="137">
        <f t="shared" ref="V208" ca="1" si="1253">+V196+V205+V206-V207</f>
        <v>-133.06851999999998</v>
      </c>
      <c r="W208" s="137">
        <f t="shared" ref="W208" ca="1" si="1254">+W196+W205+W206-W207</f>
        <v>232.32571999999999</v>
      </c>
      <c r="X208" s="137">
        <f t="shared" ref="X208" ca="1" si="1255">+X196+X205+X206-X207</f>
        <v>-130.50846000000001</v>
      </c>
      <c r="Y208" s="137">
        <f t="shared" ref="Y208" ca="1" si="1256">+Y196+Y205+Y206-Y207</f>
        <v>115.24563000000001</v>
      </c>
      <c r="Z208" s="137">
        <f t="shared" ref="Z208" ca="1" si="1257">+Z196+Z205+Z206-Z207</f>
        <v>32.848719999999958</v>
      </c>
      <c r="AA208" s="137">
        <f t="shared" ref="AA208" ca="1" si="1258">+AA196+AA205+AA206-AA207</f>
        <v>-5.3203300000000269</v>
      </c>
      <c r="AB208" s="137">
        <f t="shared" ref="AB208" ca="1" si="1259">+AB196+AB205+AB206-AB207</f>
        <v>49.037240000000011</v>
      </c>
      <c r="AC208" s="137">
        <f t="shared" ref="AC208" ca="1" si="1260">+AC196+AC205+AC206-AC207</f>
        <v>86.348610000000008</v>
      </c>
      <c r="AD208" s="137">
        <f t="shared" ref="AD208" ca="1" si="1261">+AD196+AD205+AD206-AD207</f>
        <v>6.6120400000000075</v>
      </c>
      <c r="AE208" s="137">
        <f t="shared" ref="AE208" ca="1" si="1262">+AE196+AE205+AE206-AE207</f>
        <v>11.428170000000023</v>
      </c>
      <c r="AF208" s="137">
        <f t="shared" ref="AF208" ca="1" si="1263">+AF196+AF205+AF206-AF207</f>
        <v>33.447289999999953</v>
      </c>
      <c r="AG208" s="137">
        <f t="shared" ref="AG208" ca="1" si="1264">+AG196+AG205+AG206-AG207</f>
        <v>-578.83768000000009</v>
      </c>
      <c r="AH208" s="137">
        <f t="shared" ref="AH208" ca="1" si="1265">+AH196+AH205+AH206-AH207</f>
        <v>20.904310000000009</v>
      </c>
      <c r="AI208" s="137">
        <f t="shared" ref="AI208" ca="1" si="1266">+AI196+AI205+AI206-AI207</f>
        <v>45.802730845425273</v>
      </c>
      <c r="AJ208" s="137">
        <f t="shared" ref="AJ208" ca="1" si="1267">+AJ196+AJ205+AJ206-AJ207</f>
        <v>64.111910000000009</v>
      </c>
      <c r="AK208" s="137">
        <f t="shared" ref="AK208" ca="1" si="1268">+AK196+AK205+AK206-AK207</f>
        <v>79.341940000000051</v>
      </c>
      <c r="AL208" s="137">
        <f t="shared" ref="AL208" ca="1" si="1269">+AL196+AL205+AL206-AL207</f>
        <v>266.60474000000062</v>
      </c>
      <c r="AM208" s="137">
        <f t="shared" ref="AM208" ca="1" si="1270">+AM196+AM205+AM206-AM207</f>
        <v>9.9833600000000047</v>
      </c>
      <c r="AN208" s="137">
        <f t="shared" ref="AN208" ca="1" si="1271">+AN196+AN205+AN206-AN207</f>
        <v>93.205800000002512</v>
      </c>
      <c r="AO208" s="137">
        <f t="shared" ref="AO208" ca="1" si="1272">+AO196+AO205+AO206-AO207</f>
        <v>80.118419999996391</v>
      </c>
      <c r="AP208" s="137">
        <f t="shared" ref="AP208" ca="1" si="1273">+AP196+AP205+AP206-AP207</f>
        <v>175.60986402388343</v>
      </c>
      <c r="AQ208" s="137">
        <f t="shared" ref="AQ208" ca="1" si="1274">+AQ196+AQ205+AQ206-AQ207</f>
        <v>42.135170000003001</v>
      </c>
      <c r="AR208" s="137">
        <f t="shared" ref="AR208" ca="1" si="1275">+AR196+AR205+AR206-AR207</f>
        <v>40.118069999996351</v>
      </c>
      <c r="AS208" s="137">
        <f t="shared" ref="AS208" ca="1" si="1276">+AS196+AS205+AS206-AS207</f>
        <v>6.1919700000000262</v>
      </c>
      <c r="AT208" s="137">
        <f t="shared" ref="AT208" ca="1" si="1277">+AT196+AT205+AT206-AT207</f>
        <v>28.269380000000012</v>
      </c>
      <c r="AU208" s="137">
        <f t="shared" ref="AU208" ca="1" si="1278">+AU196+AU205+AU206-AU207</f>
        <v>5.794399999999996</v>
      </c>
      <c r="AV208" s="137">
        <f t="shared" ref="AV208" ca="1" si="1279">+AV196+AV205+AV206-AV207</f>
        <v>5.5704599999999971</v>
      </c>
      <c r="AW208" s="137">
        <f t="shared" ref="AW208" ca="1" si="1280">+AW196+AW205+AW206-AW207</f>
        <v>269.57748000000146</v>
      </c>
      <c r="AX208" s="137">
        <f t="shared" ref="AX208" ca="1" si="1281">+AX196+AX205+AX206-AX207</f>
        <v>18.052980000000019</v>
      </c>
      <c r="AY208" s="137">
        <f t="shared" ref="AY208" ca="1" si="1282">+AY196+AY205+AY206-AY207</f>
        <v>21.07729999999998</v>
      </c>
      <c r="AZ208" s="137">
        <f t="shared" ref="AZ208" ca="1" si="1283">+AZ196+AZ205+AZ206-AZ207</f>
        <v>203.62462958111243</v>
      </c>
      <c r="BA208" s="137">
        <f t="shared" ref="BA208" ca="1" si="1284">+BA196+BA205+BA206-BA207</f>
        <v>-132.96794999999949</v>
      </c>
      <c r="BB208" s="137">
        <f t="shared" ref="BB208" ca="1" si="1285">+BB196+BB205+BB206-BB207</f>
        <v>19.323029999999989</v>
      </c>
      <c r="BC208" s="137">
        <f t="shared" ref="BC208" ca="1" si="1286">+BC196+BC205+BC206-BC207</f>
        <v>-337.18548000000141</v>
      </c>
      <c r="BD208" s="137">
        <f t="shared" ref="BD208" ca="1" si="1287">+BD196+BD205+BD206-BD207</f>
        <v>-597.27151999999842</v>
      </c>
      <c r="BE208" s="137">
        <f t="shared" ref="BE208" ca="1" si="1288">+BE196+BE205+BE206-BE207</f>
        <v>0</v>
      </c>
      <c r="BF208" s="137">
        <f t="shared" ref="BF208" ca="1" si="1289">+BF196+BF205+BF206-BF207</f>
        <v>0</v>
      </c>
      <c r="BG208" s="137">
        <f t="shared" ref="BG208" ca="1" si="1290">+BG196+BG205+BG206-BG207</f>
        <v>-1158.54811</v>
      </c>
      <c r="BH208" s="137">
        <f t="shared" ref="BH208" ca="1" si="1291">+BH196+BH205+BH206-BH207</f>
        <v>0</v>
      </c>
      <c r="BI208" s="137">
        <f t="shared" ref="BI208" ca="1" si="1292">+BI196+BI205+BI206-BI207</f>
        <v>0</v>
      </c>
      <c r="BJ208" s="137">
        <f t="shared" ref="BJ208" ca="1" si="1293">+BJ196+BJ205+BJ206-BJ207</f>
        <v>468.81240000000003</v>
      </c>
      <c r="BK208" s="137">
        <f t="shared" ref="BK208" ca="1" si="1294">+BK196+BK205+BK206-BK207</f>
        <v>0</v>
      </c>
      <c r="BL208" s="137">
        <f t="shared" ref="BL208" ca="1" si="1295">+BL196+BL205+BL206-BL207</f>
        <v>0</v>
      </c>
      <c r="BM208" s="137">
        <f t="shared" ref="BM208" ca="1" si="1296">+BM196+BM205+BM206-BM207</f>
        <v>98.088319999999939</v>
      </c>
      <c r="BN208" s="137">
        <f t="shared" ref="BN208" ca="1" si="1297">+BN196+BN205+BN206-BN207</f>
        <v>-436.65708000000006</v>
      </c>
      <c r="BO208" s="137">
        <f t="shared" ref="BO208" ca="1" si="1298">+BO196+BO205+BO206-BO207</f>
        <v>0</v>
      </c>
      <c r="BP208" s="137">
        <f t="shared" ref="BP208" ca="1" si="1299">+BP196+BP205+BP206-BP207</f>
        <v>88.698799999999991</v>
      </c>
      <c r="BQ208" s="137">
        <f t="shared" ref="BQ208" ca="1" si="1300">+BQ196+BQ205+BQ206-BQ207</f>
        <v>0</v>
      </c>
      <c r="BR208" s="137">
        <f t="shared" ref="BR208" ca="1" si="1301">+BR196+BR205+BR206-BR207</f>
        <v>-62.57831000000094</v>
      </c>
      <c r="BS208" s="137">
        <f t="shared" ref="BS208" ca="1" si="1302">+BS196+BS205+BS206-BS207</f>
        <v>501.62116999999853</v>
      </c>
      <c r="BT208" s="137">
        <f t="shared" ref="BT208" ca="1" si="1303">+BT196+BT205+BT206-BT207</f>
        <v>40.044030000000006</v>
      </c>
      <c r="BU208" s="137">
        <f t="shared" ref="BU208" ca="1" si="1304">+BU196+BU205+BU206-BU207</f>
        <v>30.121659999999963</v>
      </c>
      <c r="BV208" s="137">
        <f t="shared" ref="BV208" ca="1" si="1305">+BV196+BV205+BV206-BV207</f>
        <v>0</v>
      </c>
      <c r="BW208" s="137">
        <f t="shared" ref="BW208" ca="1" si="1306">+BW196+BW205+BW206-BW207</f>
        <v>0</v>
      </c>
      <c r="BX208" s="137">
        <f t="shared" ref="BX208" ca="1" si="1307">+BX196+BX205+BX206-BX207</f>
        <v>5.4213900000000592</v>
      </c>
      <c r="BY208" s="137">
        <f t="shared" ref="BY208" ca="1" si="1308">+BY196+BY205+BY206-BY207</f>
        <v>0</v>
      </c>
      <c r="BZ208" s="137">
        <f t="shared" ref="BZ208" ca="1" si="1309">+BZ196+BZ205+BZ206-BZ207</f>
        <v>0</v>
      </c>
      <c r="CA208" s="137">
        <f t="shared" ref="CA208" ca="1" si="1310">+CA196+CA205+CA206-CA207</f>
        <v>75.128219999999999</v>
      </c>
      <c r="CB208" s="137">
        <f t="shared" ref="CB208" ca="1" si="1311">+CB196+CB205+CB206-CB207</f>
        <v>0</v>
      </c>
      <c r="CC208" s="137">
        <f t="shared" ref="CC208" ca="1" si="1312">+CC196+CC205+CC206-CC207</f>
        <v>0</v>
      </c>
      <c r="CD208" s="137">
        <f t="shared" ref="CD208" ca="1" si="1313">+CD196+CD205+CD206-CD207</f>
        <v>12.867059999999981</v>
      </c>
      <c r="CE208" s="137">
        <f t="shared" ref="CE208" ca="1" si="1314">+CE196+CE205+CE206-CE207</f>
        <v>8.3577399999999642</v>
      </c>
      <c r="CF208" s="137">
        <f t="shared" ref="CF208" ca="1" si="1315">+CF196+CF205+CF206-CF207</f>
        <v>0</v>
      </c>
      <c r="CG208" s="137">
        <f t="shared" ref="CG208" ca="1" si="1316">+CG196+CG205+CG206-CG207</f>
        <v>11.887410000000045</v>
      </c>
      <c r="CH208" s="137">
        <f t="shared" ref="CH208" ca="1" si="1317">+CH196+CH205+CH206-CH207</f>
        <v>0</v>
      </c>
      <c r="CI208" s="137">
        <f t="shared" ref="CI208" ca="1" si="1318">+CI196+CI205+CI206-CI207</f>
        <v>0</v>
      </c>
      <c r="CJ208" s="137">
        <f t="shared" ref="CJ208" ca="1" si="1319">+CJ196+CJ205+CJ206-CJ207</f>
        <v>0</v>
      </c>
      <c r="CK208" s="137">
        <f t="shared" ref="CK208" ca="1" si="1320">+CK196+CK205+CK206-CK207</f>
        <v>0</v>
      </c>
      <c r="CL208" s="137">
        <f t="shared" ref="CL208" ca="1" si="1321">+CL196+CL205+CL206-CL207</f>
        <v>0</v>
      </c>
      <c r="CM208" s="137">
        <f t="shared" ref="CM208" ca="1" si="1322">+CM196+CM205+CM206-CM207</f>
        <v>0</v>
      </c>
      <c r="CN208" s="137">
        <f t="shared" ref="CN208" ca="1" si="1323">+CN196+CN205+CN206-CN207</f>
        <v>0</v>
      </c>
      <c r="CO208" s="137">
        <f t="shared" ref="CO208" ca="1" si="1324">+CO196+CO205+CO206-CO207</f>
        <v>0</v>
      </c>
      <c r="CP208" s="137">
        <f t="shared" ref="CP208" ca="1" si="1325">+CP196+CP205+CP206-CP207</f>
        <v>0</v>
      </c>
      <c r="CQ208" s="137">
        <f t="shared" ref="CQ208" ca="1" si="1326">+CQ196+CQ205+CQ206-CQ207</f>
        <v>0</v>
      </c>
      <c r="CR208" s="137">
        <f t="shared" ref="CR208" ca="1" si="1327">+CR196+CR205+CR206-CR207</f>
        <v>8.2667096604673986</v>
      </c>
      <c r="CS208" s="137">
        <f t="shared" ref="CS208" ca="1" si="1328">+CS196+CS205+CS206-CS207</f>
        <v>26.374192023783081</v>
      </c>
      <c r="CT208" s="137">
        <f t="shared" ref="CT208" ca="1" si="1329">+CT196+CT205+CT206-CT207</f>
        <v>0</v>
      </c>
      <c r="CU208" s="137">
        <f t="shared" ref="CU208" ca="1" si="1330">+CU196+CU205+CU206-CU207</f>
        <v>0</v>
      </c>
      <c r="CV208" s="137">
        <f t="shared" ref="CV208" ca="1" si="1331">+CV196+CV205+CV206-CV207</f>
        <v>0</v>
      </c>
      <c r="CW208" s="137">
        <f t="shared" ref="CW208" ca="1" si="1332">+CW196+CW205+CW206-CW207</f>
        <v>0</v>
      </c>
      <c r="CX208" s="137">
        <f t="shared" ref="CX208" ca="1" si="1333">+CX196+CX205+CX206-CX207</f>
        <v>9.5015734883333494</v>
      </c>
      <c r="CY208" s="137">
        <f t="shared" ref="CY208" ca="1" si="1334">+CY196+CY205+CY206-CY207</f>
        <v>0</v>
      </c>
      <c r="CZ208" s="137">
        <f t="shared" ref="CZ208" ca="1" si="1335">+CZ196+CZ205+CZ206-CZ207</f>
        <v>8.9514706716666694</v>
      </c>
      <c r="DA208" s="137">
        <f t="shared" ref="DA208" ca="1" si="1336">+DA196+DA205+DA206-DA207</f>
        <v>0</v>
      </c>
      <c r="DB208" s="137">
        <f t="shared" ref="DB208" ca="1" si="1337">+DB196+DB205+DB206-DB207</f>
        <v>0</v>
      </c>
      <c r="DC208" s="137">
        <f t="shared" ref="DC208" ca="1" si="1338">+DC196+DC205+DC206-DC207</f>
        <v>0</v>
      </c>
      <c r="DD208" s="137">
        <f t="shared" ref="DD208" ca="1" si="1339">+DD196+DD205+DD206-DD207</f>
        <v>0</v>
      </c>
      <c r="DE208" s="137">
        <f t="shared" ref="DE208" ca="1" si="1340">+DE196+DE205+DE206-DE207</f>
        <v>0</v>
      </c>
      <c r="DF208" s="137">
        <f t="shared" ref="DF208" ca="1" si="1341">+DF196+DF205+DF206-DF207</f>
        <v>0</v>
      </c>
      <c r="DG208" s="137">
        <f t="shared" ref="DG208" ca="1" si="1342">+DG196+DG205+DG206-DG207</f>
        <v>0</v>
      </c>
      <c r="DH208" s="137">
        <f t="shared" ref="DH208" ca="1" si="1343">+DH196+DH205+DH206-DH207</f>
        <v>0</v>
      </c>
      <c r="DI208" s="137">
        <f t="shared" ref="DI208" ca="1" si="1344">+DI196+DI205+DI206-DI207</f>
        <v>27810.627823956129</v>
      </c>
      <c r="DJ208" s="137">
        <f t="shared" ref="DJ208" ca="1" si="1345">+DJ196+DJ205+DJ206-DJ207</f>
        <v>0</v>
      </c>
      <c r="DK208" s="137">
        <f t="shared" ref="DK208" ca="1" si="1346">+DK196+DK205+DK206-DK207</f>
        <v>0</v>
      </c>
      <c r="DL208" s="137">
        <f t="shared" ref="DL208" ca="1" si="1347">+DL196+DL205+DL206-DL207</f>
        <v>0</v>
      </c>
      <c r="DM208" s="137">
        <f t="shared" ref="DM208" ca="1" si="1348">+DM196+DM205+DM206-DM207</f>
        <v>0</v>
      </c>
      <c r="DN208" s="137">
        <f t="shared" ref="DN208" ca="1" si="1349">+DN196+DN205+DN206-DN207</f>
        <v>0</v>
      </c>
      <c r="DO208" s="137">
        <f t="shared" ref="DO208" ca="1" si="1350">+DO196+DO205+DO206-DO207</f>
        <v>0</v>
      </c>
      <c r="DP208" s="137">
        <f t="shared" ref="DP208" ca="1" si="1351">+DP196+DP205+DP206-DP207</f>
        <v>0</v>
      </c>
      <c r="DQ208" s="137">
        <f t="shared" ref="DQ208" ca="1" si="1352">+DQ196+DQ205+DQ206-DQ207</f>
        <v>0</v>
      </c>
      <c r="DR208" s="137">
        <f t="shared" ref="DR208" ca="1" si="1353">+DR196+DR205+DR206-DR207</f>
        <v>0</v>
      </c>
      <c r="DS208" s="137">
        <f t="shared" ref="DS208" ca="1" si="1354">+DS196+DS205+DS206-DS207</f>
        <v>0</v>
      </c>
      <c r="DT208" s="137">
        <f t="shared" ref="DT208" ca="1" si="1355">+DT196+DT205+DT206-DT207</f>
        <v>0</v>
      </c>
      <c r="DU208" s="137">
        <f t="shared" ref="DU208" ca="1" si="1356">+DU196+DU205+DU206-DU207</f>
        <v>0</v>
      </c>
      <c r="DV208" s="137">
        <f t="shared" ref="DV208" ca="1" si="1357">+DV196+DV205+DV206-DV207</f>
        <v>0</v>
      </c>
      <c r="DW208" s="137">
        <f t="shared" ref="DW208" ca="1" si="1358">+DW196+DW205+DW206-DW207</f>
        <v>0</v>
      </c>
      <c r="DX208" s="137">
        <f t="shared" ref="DX208" ca="1" si="1359">+DX196+DX205+DX206-DX207</f>
        <v>0</v>
      </c>
      <c r="DY208" s="137">
        <f t="shared" ref="DY208" ca="1" si="1360">+DY196+DY205+DY206-DY207</f>
        <v>0</v>
      </c>
      <c r="DZ208" s="137">
        <f t="shared" ref="DZ208" ca="1" si="1361">+DZ196+DZ205+DZ206-DZ207</f>
        <v>0</v>
      </c>
      <c r="EA208" s="137">
        <f t="shared" ref="EA208" ca="1" si="1362">+EA196+EA205+EA206-EA207</f>
        <v>0</v>
      </c>
      <c r="EB208" s="137">
        <f t="shared" ref="EB208" ca="1" si="1363">+EB196+EB205+EB206-EB207</f>
        <v>0</v>
      </c>
      <c r="EC208" s="137">
        <f t="shared" ref="EC208" ca="1" si="1364">+EC196+EC205+EC206-EC207</f>
        <v>0</v>
      </c>
      <c r="ED208" s="137">
        <f t="shared" ref="ED208" ca="1" si="1365">+ED196+ED205+ED206-ED207</f>
        <v>0</v>
      </c>
      <c r="EE208" s="137">
        <f t="shared" ref="EE208" ca="1" si="1366">+EE196+EE205+EE206-EE207</f>
        <v>0</v>
      </c>
      <c r="EF208" s="137">
        <f t="shared" ref="EF208" ca="1" si="1367">+EF196+EF205+EF206-EF207</f>
        <v>0</v>
      </c>
      <c r="EG208" s="137">
        <f t="shared" ref="EG208" ca="1" si="1368">+EG196+EG205+EG206-EG207</f>
        <v>0</v>
      </c>
      <c r="EH208" s="137">
        <f t="shared" ref="EH208" ca="1" si="1369">+EH196+EH205+EH206-EH207</f>
        <v>0</v>
      </c>
      <c r="EI208" s="137">
        <f t="shared" ref="EI208" ca="1" si="1370">+EI196+EI205+EI206-EI207</f>
        <v>0</v>
      </c>
      <c r="EJ208" s="137">
        <f t="shared" ref="EJ208" ca="1" si="1371">+EJ196+EJ205+EJ206-EJ207</f>
        <v>0</v>
      </c>
      <c r="EK208" s="137">
        <f t="shared" ref="EK208" ca="1" si="1372">+EK196+EK205+EK206-EK207</f>
        <v>0</v>
      </c>
      <c r="EL208" s="137">
        <f t="shared" ref="EL208" ca="1" si="1373">+EL196+EL205+EL206-EL207</f>
        <v>0</v>
      </c>
      <c r="EM208" s="137"/>
      <c r="EN208" s="137"/>
      <c r="EO208" s="137"/>
      <c r="EP208" s="137"/>
      <c r="EQ208" s="137"/>
      <c r="ER208" s="137"/>
      <c r="ES208" s="137"/>
      <c r="ET208" s="137"/>
      <c r="EU208" s="137"/>
      <c r="EV208" s="137"/>
      <c r="EW208" s="137"/>
      <c r="EX208" s="137"/>
      <c r="EY208" s="137"/>
      <c r="EZ208" s="137"/>
      <c r="FA208" s="137"/>
      <c r="FB208" s="137"/>
      <c r="FC208" s="137"/>
      <c r="FD208" s="137"/>
      <c r="FE208" s="137"/>
      <c r="FF208" s="137"/>
      <c r="FG208" s="137"/>
      <c r="FH208" s="137"/>
      <c r="FI208" s="137"/>
      <c r="FJ208" s="137"/>
      <c r="FK208" s="137"/>
      <c r="FL208" s="137"/>
      <c r="FM208" s="137"/>
      <c r="FN208" s="137"/>
      <c r="FO208" s="137"/>
      <c r="FP208" s="137"/>
      <c r="FQ208" s="137"/>
      <c r="FR208" s="137"/>
      <c r="FS208" s="137"/>
      <c r="FT208" s="137"/>
      <c r="FU208" s="137"/>
      <c r="FV208" s="137"/>
      <c r="FW208" s="137"/>
      <c r="FX208" s="137"/>
      <c r="FY208" s="137"/>
      <c r="FZ208" s="137"/>
      <c r="GA208" s="137"/>
      <c r="GB208" s="137"/>
      <c r="GC208" s="137"/>
      <c r="GD208" s="137"/>
      <c r="GE208" s="137"/>
      <c r="GF208" s="137"/>
      <c r="GG208" s="137"/>
      <c r="GH208" s="137"/>
      <c r="GI208" s="137"/>
      <c r="GJ208" s="137"/>
      <c r="GK208" s="137"/>
      <c r="GL208" s="137"/>
      <c r="GM208" s="137"/>
      <c r="GN208" s="137"/>
      <c r="GO208" s="137"/>
      <c r="GP208" s="137"/>
      <c r="GQ208" s="137"/>
      <c r="GR208" s="137"/>
      <c r="GS208" s="137"/>
      <c r="GT208" s="137"/>
      <c r="GU208" s="34"/>
      <c r="GV208" s="34"/>
      <c r="GW208" s="34"/>
      <c r="GX208" s="34"/>
      <c r="GY208" s="34"/>
      <c r="GZ208" s="34"/>
      <c r="HA208" s="34"/>
      <c r="HB208" s="34"/>
      <c r="HC208" s="34"/>
      <c r="HD208" s="34"/>
      <c r="HE208" s="34"/>
      <c r="HF208" s="1" t="s">
        <v>212</v>
      </c>
    </row>
    <row r="209" spans="2:213" hidden="1" outlineLevel="1">
      <c r="B209" s="171" t="s">
        <v>5</v>
      </c>
      <c r="C209" s="6"/>
      <c r="D209" s="6"/>
      <c r="E209" s="6"/>
      <c r="F209" s="6"/>
      <c r="G209" s="6"/>
      <c r="H209" s="6"/>
      <c r="I209" s="173">
        <f ca="1">I208</f>
        <v>13937.3873842508</v>
      </c>
    </row>
    <row r="210" spans="2:213" hidden="1" outlineLevel="1">
      <c r="B210" s="174" t="s">
        <v>7</v>
      </c>
      <c r="I210" s="175">
        <f ca="1">-SUMIF(K208:GT208,"&lt;0")</f>
        <v>17654.447970000005</v>
      </c>
      <c r="L210" s="223"/>
      <c r="M210" s="223"/>
      <c r="N210" s="223"/>
      <c r="O210" s="223"/>
      <c r="P210" s="223"/>
      <c r="Q210" s="223"/>
      <c r="R210" s="223"/>
      <c r="S210" s="223"/>
      <c r="T210" s="223"/>
      <c r="U210" s="223"/>
      <c r="V210" s="223"/>
      <c r="W210" s="223"/>
      <c r="X210" s="223"/>
      <c r="Y210" s="223"/>
      <c r="Z210" s="223"/>
      <c r="AA210" s="223"/>
      <c r="AB210" s="223"/>
      <c r="AC210" s="223"/>
      <c r="AD210" s="223"/>
      <c r="AE210" s="223"/>
      <c r="AF210" s="223"/>
      <c r="AG210" s="223"/>
      <c r="AH210" s="223"/>
      <c r="AI210" s="223"/>
      <c r="AJ210" s="223"/>
      <c r="AK210" s="223"/>
      <c r="AL210" s="223"/>
      <c r="AM210" s="223"/>
      <c r="AN210" s="223"/>
      <c r="AO210" s="223"/>
      <c r="AP210" s="223"/>
      <c r="AQ210" s="223"/>
      <c r="AR210" s="223"/>
      <c r="AS210" s="223"/>
      <c r="AT210" s="223"/>
      <c r="AU210" s="223"/>
      <c r="AV210" s="223"/>
      <c r="AW210" s="223"/>
      <c r="AX210" s="223"/>
      <c r="AY210" s="223"/>
      <c r="AZ210" s="223"/>
      <c r="BA210" s="223"/>
      <c r="BB210" s="223"/>
      <c r="BC210" s="223"/>
      <c r="BD210" s="223"/>
      <c r="BE210" s="223"/>
      <c r="BF210" s="223"/>
      <c r="BG210" s="223"/>
      <c r="BH210" s="223"/>
      <c r="BI210" s="223"/>
      <c r="BJ210" s="223"/>
      <c r="BK210" s="223"/>
      <c r="BL210" s="223"/>
      <c r="BM210" s="223"/>
      <c r="BN210" s="223"/>
      <c r="BO210" s="223"/>
      <c r="BP210" s="223"/>
      <c r="BQ210" s="223"/>
      <c r="BR210" s="223"/>
      <c r="BS210" s="223"/>
      <c r="BT210" s="223"/>
      <c r="BU210" s="223"/>
      <c r="BV210" s="223"/>
      <c r="BW210" s="223"/>
      <c r="BX210" s="223"/>
      <c r="BY210" s="223"/>
      <c r="BZ210" s="223"/>
      <c r="CA210" s="223"/>
      <c r="CB210" s="223"/>
      <c r="CC210" s="223"/>
      <c r="CD210" s="223"/>
      <c r="CE210" s="223"/>
      <c r="CF210" s="223"/>
      <c r="CG210" s="223"/>
      <c r="CH210" s="223"/>
      <c r="CI210" s="223"/>
      <c r="CJ210" s="223"/>
      <c r="CK210" s="223"/>
      <c r="CL210" s="223"/>
      <c r="CM210" s="223"/>
      <c r="CN210" s="223"/>
      <c r="CO210" s="223"/>
      <c r="CP210" s="223"/>
      <c r="CQ210" s="223"/>
      <c r="CR210" s="223"/>
      <c r="CS210" s="223"/>
      <c r="CT210" s="223"/>
      <c r="CU210" s="223"/>
      <c r="CV210" s="223"/>
      <c r="CW210" s="223"/>
      <c r="CX210" s="223"/>
      <c r="CY210" s="223"/>
      <c r="CZ210" s="223"/>
      <c r="DA210" s="223"/>
      <c r="DB210" s="223"/>
      <c r="DC210" s="223"/>
      <c r="DD210" s="223"/>
      <c r="DE210" s="223"/>
      <c r="DF210" s="223"/>
      <c r="DG210" s="223"/>
      <c r="DH210" s="223"/>
      <c r="DI210" s="223"/>
      <c r="DJ210" s="223"/>
      <c r="DK210" s="223"/>
      <c r="DL210" s="223"/>
      <c r="DM210" s="223"/>
      <c r="DN210" s="223"/>
      <c r="DO210" s="223"/>
      <c r="DP210" s="223"/>
      <c r="DQ210" s="223"/>
      <c r="DR210" s="223"/>
      <c r="DS210" s="223"/>
      <c r="DT210" s="223"/>
      <c r="DU210" s="223"/>
      <c r="DV210" s="223"/>
      <c r="DW210" s="223"/>
      <c r="DX210" s="223"/>
      <c r="DY210" s="223"/>
      <c r="DZ210" s="223"/>
      <c r="EA210" s="223"/>
      <c r="EB210" s="223"/>
      <c r="EC210" s="223"/>
      <c r="ED210" s="223"/>
      <c r="EE210" s="223"/>
      <c r="EF210" s="223"/>
      <c r="EG210" s="223"/>
      <c r="EH210" s="223"/>
      <c r="EI210" s="223"/>
      <c r="EJ210" s="223"/>
      <c r="EK210" s="223"/>
      <c r="EL210" s="223"/>
      <c r="EM210" s="223"/>
      <c r="EN210" s="223"/>
      <c r="EO210" s="223"/>
      <c r="EP210" s="223"/>
      <c r="EQ210" s="223"/>
      <c r="ER210" s="223"/>
      <c r="ES210" s="223"/>
      <c r="ET210" s="223"/>
      <c r="EU210" s="223"/>
      <c r="EV210" s="223"/>
      <c r="EW210" s="223"/>
      <c r="EX210" s="223"/>
      <c r="EY210" s="223"/>
      <c r="EZ210" s="223"/>
      <c r="FA210" s="223"/>
      <c r="FB210" s="223"/>
      <c r="FC210" s="223"/>
      <c r="FD210" s="223"/>
      <c r="FE210" s="223"/>
      <c r="FF210" s="223"/>
      <c r="FG210" s="223"/>
      <c r="FH210" s="223"/>
      <c r="FI210" s="223"/>
      <c r="FJ210" s="223"/>
      <c r="FK210" s="223"/>
      <c r="FL210" s="223"/>
      <c r="FM210" s="223"/>
      <c r="FN210" s="223"/>
      <c r="FO210" s="223"/>
      <c r="FP210" s="223"/>
      <c r="FQ210" s="223"/>
      <c r="FR210" s="223"/>
      <c r="FS210" s="223"/>
      <c r="FT210" s="223"/>
      <c r="FU210" s="223"/>
      <c r="FV210" s="223"/>
      <c r="FW210" s="223"/>
      <c r="FX210" s="223"/>
      <c r="FY210" s="223"/>
      <c r="FZ210" s="223"/>
      <c r="GA210" s="223"/>
      <c r="GB210" s="223"/>
      <c r="GC210" s="223"/>
      <c r="GD210" s="223"/>
      <c r="GE210" s="223"/>
      <c r="GF210" s="223"/>
      <c r="GG210" s="223"/>
      <c r="GH210" s="223"/>
      <c r="GI210" s="223"/>
      <c r="GJ210" s="223"/>
      <c r="GK210" s="223"/>
      <c r="GL210" s="223"/>
      <c r="GM210" s="223"/>
      <c r="GN210" s="223"/>
      <c r="GO210" s="223"/>
      <c r="GP210" s="223"/>
      <c r="GQ210" s="223"/>
      <c r="GR210" s="223"/>
      <c r="GS210" s="223"/>
      <c r="GT210" s="223"/>
      <c r="GU210" s="223"/>
      <c r="GV210" s="223"/>
      <c r="GW210" s="223"/>
      <c r="GX210" s="223"/>
      <c r="GY210" s="223"/>
      <c r="GZ210" s="223"/>
      <c r="HA210" s="223"/>
      <c r="HB210" s="223"/>
      <c r="HC210" s="223"/>
      <c r="HD210" s="223"/>
      <c r="HE210" s="223"/>
    </row>
    <row r="211" spans="2:213" hidden="1" outlineLevel="1">
      <c r="B211" s="174" t="s">
        <v>9</v>
      </c>
      <c r="I211" s="177">
        <f ca="1">I209/I210+1</f>
        <v>1.7894547259667615</v>
      </c>
      <c r="L211" s="223"/>
      <c r="M211" s="223"/>
      <c r="N211" s="223"/>
      <c r="O211" s="223"/>
      <c r="P211" s="223"/>
      <c r="Q211" s="223"/>
      <c r="R211" s="223"/>
      <c r="S211" s="223"/>
      <c r="T211" s="223"/>
      <c r="U211" s="223"/>
      <c r="V211" s="223"/>
      <c r="W211" s="223"/>
      <c r="X211" s="223"/>
      <c r="Y211" s="223"/>
      <c r="Z211" s="223"/>
      <c r="AA211" s="223"/>
      <c r="AB211" s="223"/>
      <c r="AC211" s="223"/>
      <c r="AD211" s="223"/>
      <c r="AE211" s="223"/>
      <c r="AF211" s="223"/>
      <c r="AG211" s="223"/>
      <c r="AH211" s="223"/>
      <c r="AI211" s="223"/>
      <c r="AJ211" s="223"/>
      <c r="AK211" s="223"/>
      <c r="AL211" s="223"/>
      <c r="AM211" s="223"/>
      <c r="AN211" s="223"/>
      <c r="AO211" s="223"/>
      <c r="AP211" s="223"/>
      <c r="AQ211" s="223"/>
      <c r="AR211" s="223"/>
      <c r="AS211" s="223"/>
      <c r="AT211" s="223"/>
      <c r="AU211" s="223"/>
      <c r="AV211" s="223"/>
      <c r="AW211" s="223"/>
      <c r="AX211" s="223"/>
      <c r="AY211" s="223"/>
      <c r="AZ211" s="223"/>
      <c r="BA211" s="223"/>
      <c r="BB211" s="223"/>
      <c r="BC211" s="223"/>
      <c r="BD211" s="223"/>
      <c r="BE211" s="223"/>
      <c r="BF211" s="223"/>
      <c r="BG211" s="223"/>
      <c r="BH211" s="223"/>
      <c r="BI211" s="223"/>
      <c r="BJ211" s="223"/>
      <c r="BK211" s="223"/>
      <c r="BL211" s="223"/>
      <c r="BM211" s="223"/>
      <c r="BN211" s="223"/>
      <c r="BO211" s="223"/>
      <c r="BP211" s="223"/>
      <c r="BQ211" s="223"/>
      <c r="BR211" s="223"/>
      <c r="BS211" s="223"/>
      <c r="BT211" s="223"/>
      <c r="BU211" s="223"/>
      <c r="BV211" s="223"/>
      <c r="BW211" s="223"/>
      <c r="BX211" s="223"/>
      <c r="BY211" s="223"/>
      <c r="BZ211" s="223"/>
      <c r="CA211" s="223"/>
      <c r="CB211" s="223"/>
      <c r="CC211" s="223"/>
      <c r="CD211" s="223"/>
      <c r="CE211" s="223"/>
      <c r="CF211" s="223"/>
      <c r="CG211" s="223"/>
      <c r="CH211" s="223"/>
      <c r="CI211" s="223"/>
      <c r="CJ211" s="223"/>
      <c r="CK211" s="223"/>
      <c r="CL211" s="223"/>
      <c r="CM211" s="223"/>
      <c r="CN211" s="223"/>
      <c r="CO211" s="223"/>
      <c r="CP211" s="223"/>
      <c r="CQ211" s="223"/>
      <c r="CR211" s="223"/>
      <c r="CS211" s="223"/>
      <c r="CT211" s="223"/>
      <c r="CU211" s="223"/>
      <c r="CV211" s="223"/>
      <c r="CW211" s="223"/>
      <c r="CX211" s="223"/>
      <c r="CY211" s="223"/>
      <c r="CZ211" s="223"/>
      <c r="DA211" s="223"/>
      <c r="DB211" s="223"/>
      <c r="DC211" s="223"/>
      <c r="DD211" s="223"/>
      <c r="DE211" s="223"/>
      <c r="DF211" s="223"/>
      <c r="DG211" s="223"/>
      <c r="DH211" s="223"/>
      <c r="DI211" s="223"/>
      <c r="DJ211" s="223"/>
      <c r="DK211" s="223"/>
      <c r="DL211" s="223"/>
      <c r="DM211" s="223"/>
      <c r="DN211" s="223"/>
      <c r="DO211" s="223"/>
      <c r="DP211" s="223"/>
      <c r="DQ211" s="223"/>
      <c r="DR211" s="223"/>
      <c r="DS211" s="223"/>
      <c r="DT211" s="223"/>
      <c r="DU211" s="223"/>
      <c r="DV211" s="223"/>
      <c r="DW211" s="223"/>
      <c r="DX211" s="223"/>
      <c r="DY211" s="223"/>
      <c r="DZ211" s="223"/>
      <c r="EA211" s="223"/>
      <c r="EB211" s="223"/>
      <c r="EC211" s="223"/>
      <c r="ED211" s="223"/>
      <c r="EE211" s="223"/>
      <c r="EF211" s="223"/>
      <c r="EG211" s="223"/>
      <c r="EH211" s="223"/>
      <c r="EI211" s="223"/>
      <c r="EJ211" s="223"/>
      <c r="EK211" s="223"/>
      <c r="EL211" s="223"/>
      <c r="EM211" s="223"/>
      <c r="EN211" s="223"/>
      <c r="EO211" s="223"/>
      <c r="EP211" s="223"/>
      <c r="EQ211" s="223"/>
      <c r="ER211" s="223"/>
      <c r="ES211" s="223"/>
      <c r="ET211" s="223"/>
      <c r="EU211" s="223"/>
      <c r="EV211" s="223"/>
      <c r="EW211" s="223"/>
      <c r="EX211" s="223"/>
      <c r="EY211" s="223"/>
      <c r="EZ211" s="223"/>
      <c r="FA211" s="223"/>
      <c r="FB211" s="223"/>
      <c r="FC211" s="223"/>
      <c r="FD211" s="223"/>
      <c r="FE211" s="223"/>
      <c r="FF211" s="223"/>
      <c r="FG211" s="223"/>
      <c r="FH211" s="223"/>
      <c r="FI211" s="223"/>
      <c r="FJ211" s="223"/>
      <c r="FK211" s="223"/>
      <c r="FL211" s="223"/>
      <c r="FM211" s="223"/>
      <c r="FN211" s="223"/>
      <c r="FO211" s="223"/>
      <c r="FP211" s="223"/>
      <c r="FQ211" s="223"/>
      <c r="FR211" s="223"/>
      <c r="FS211" s="223"/>
      <c r="FT211" s="223"/>
      <c r="FU211" s="223"/>
      <c r="FV211" s="223"/>
      <c r="FW211" s="223"/>
      <c r="FX211" s="223"/>
      <c r="FY211" s="223"/>
      <c r="FZ211" s="223"/>
      <c r="GA211" s="223"/>
      <c r="GB211" s="223"/>
      <c r="GC211" s="223"/>
      <c r="GD211" s="223"/>
      <c r="GE211" s="223"/>
      <c r="GF211" s="223"/>
      <c r="GG211" s="223"/>
      <c r="GH211" s="223"/>
      <c r="GI211" s="223"/>
      <c r="GJ211" s="223"/>
      <c r="GK211" s="223"/>
      <c r="GL211" s="223"/>
      <c r="GM211" s="223"/>
      <c r="GN211" s="223"/>
      <c r="GO211" s="223"/>
      <c r="GP211" s="223"/>
      <c r="GQ211" s="223"/>
      <c r="GR211" s="223"/>
      <c r="GS211" s="223"/>
      <c r="GT211" s="223"/>
      <c r="GU211" s="223"/>
      <c r="GV211" s="223"/>
      <c r="GW211" s="223"/>
      <c r="GX211" s="223"/>
      <c r="GY211" s="223"/>
      <c r="GZ211" s="223"/>
      <c r="HA211" s="223"/>
      <c r="HB211" s="223"/>
      <c r="HC211" s="223"/>
      <c r="HD211" s="223"/>
      <c r="HE211" s="223"/>
    </row>
    <row r="212" spans="2:213" ht="15" hidden="1" outlineLevel="1" thickBot="1">
      <c r="B212" s="178" t="s">
        <v>10</v>
      </c>
      <c r="C212" s="3"/>
      <c r="D212" s="3"/>
      <c r="E212" s="3"/>
      <c r="F212" s="3"/>
      <c r="G212" s="3"/>
      <c r="H212" s="3"/>
      <c r="I212" s="179">
        <f ca="1">XIRR(K208:GT208,$K$15:$GT$15)</f>
        <v>8.5754826664924622E-2</v>
      </c>
      <c r="L212" s="960"/>
      <c r="M212" s="960"/>
      <c r="N212" s="960"/>
      <c r="O212" s="960"/>
      <c r="P212" s="960"/>
      <c r="Q212" s="960"/>
      <c r="R212" s="960"/>
      <c r="S212" s="960"/>
      <c r="T212" s="960"/>
      <c r="U212" s="960"/>
      <c r="V212" s="960"/>
      <c r="W212" s="960"/>
      <c r="X212" s="960"/>
      <c r="Y212" s="960"/>
      <c r="Z212" s="960"/>
      <c r="AA212" s="960"/>
      <c r="AB212" s="960"/>
      <c r="AC212" s="960"/>
      <c r="AD212" s="960"/>
      <c r="AE212" s="960"/>
      <c r="AF212" s="960"/>
      <c r="AG212" s="960"/>
      <c r="AH212" s="960"/>
      <c r="AI212" s="960"/>
      <c r="AJ212" s="960"/>
      <c r="AK212" s="960"/>
      <c r="AL212" s="960"/>
      <c r="AM212" s="960"/>
      <c r="AN212" s="960"/>
      <c r="AO212" s="960"/>
      <c r="AP212" s="960"/>
      <c r="AQ212" s="960"/>
      <c r="AR212" s="960"/>
      <c r="AS212" s="960"/>
      <c r="AT212" s="960"/>
      <c r="AU212" s="960"/>
      <c r="AV212" s="960"/>
      <c r="AW212" s="960"/>
      <c r="AX212" s="960"/>
      <c r="AY212" s="960"/>
      <c r="AZ212" s="960"/>
      <c r="BA212" s="960"/>
      <c r="BB212" s="960"/>
      <c r="BC212" s="960"/>
      <c r="BD212" s="960"/>
      <c r="BE212" s="960"/>
      <c r="BF212" s="960"/>
      <c r="BG212" s="960"/>
      <c r="BH212" s="960"/>
      <c r="BI212" s="960"/>
      <c r="BJ212" s="960"/>
      <c r="BK212" s="960"/>
      <c r="BL212" s="960"/>
      <c r="BM212" s="960"/>
      <c r="BN212" s="960"/>
      <c r="BO212" s="960"/>
      <c r="BP212" s="960"/>
      <c r="BQ212" s="960"/>
      <c r="BR212" s="960"/>
      <c r="BS212" s="960"/>
      <c r="BT212" s="960"/>
      <c r="BU212" s="960"/>
      <c r="BV212" s="960"/>
      <c r="BW212" s="960"/>
      <c r="BX212" s="960"/>
      <c r="BY212" s="960"/>
      <c r="BZ212" s="960"/>
      <c r="CA212" s="960"/>
      <c r="CB212" s="960"/>
      <c r="CC212" s="960"/>
      <c r="CD212" s="960"/>
      <c r="CE212" s="960"/>
      <c r="CF212" s="960"/>
      <c r="CG212" s="960"/>
      <c r="CH212" s="960"/>
      <c r="CI212" s="960"/>
      <c r="CJ212" s="960"/>
      <c r="CK212" s="960"/>
      <c r="CL212" s="960"/>
      <c r="CM212" s="960"/>
      <c r="CN212" s="960"/>
      <c r="CO212" s="960"/>
      <c r="CP212" s="960"/>
      <c r="CQ212" s="960"/>
      <c r="CR212" s="960"/>
      <c r="CS212" s="960"/>
      <c r="CT212" s="960"/>
      <c r="CU212" s="960"/>
      <c r="CV212" s="960"/>
      <c r="CW212" s="960"/>
      <c r="CX212" s="960"/>
      <c r="CY212" s="960"/>
      <c r="CZ212" s="960"/>
      <c r="DA212" s="960"/>
      <c r="DB212" s="960"/>
      <c r="DC212" s="960"/>
      <c r="DD212" s="960"/>
      <c r="DE212" s="960"/>
      <c r="DF212" s="960"/>
      <c r="DG212" s="960"/>
      <c r="DH212" s="960"/>
      <c r="DI212" s="960"/>
      <c r="DJ212" s="960"/>
      <c r="DK212" s="960"/>
      <c r="DL212" s="960"/>
      <c r="DM212" s="960"/>
      <c r="DN212" s="960"/>
      <c r="DO212" s="960"/>
      <c r="DP212" s="960"/>
      <c r="DQ212" s="960"/>
      <c r="DR212" s="960"/>
      <c r="DS212" s="960"/>
      <c r="DT212" s="960"/>
      <c r="DU212" s="960"/>
      <c r="DV212" s="960"/>
      <c r="DW212" s="960"/>
      <c r="DX212" s="960"/>
      <c r="DY212" s="960"/>
      <c r="DZ212" s="960"/>
      <c r="EA212" s="960"/>
      <c r="EB212" s="960"/>
      <c r="EC212" s="960"/>
      <c r="ED212" s="960"/>
      <c r="EE212" s="960"/>
      <c r="EF212" s="960"/>
      <c r="EG212" s="960"/>
      <c r="EH212" s="960"/>
      <c r="EI212" s="960"/>
      <c r="EJ212" s="960"/>
      <c r="EK212" s="960"/>
      <c r="EL212" s="960"/>
      <c r="EM212" s="960"/>
      <c r="EN212" s="960"/>
      <c r="EO212" s="960"/>
      <c r="EP212" s="960"/>
      <c r="EQ212" s="960"/>
      <c r="ER212" s="960"/>
      <c r="ES212" s="960"/>
      <c r="ET212" s="960"/>
      <c r="EU212" s="960"/>
      <c r="EV212" s="960"/>
      <c r="EW212" s="960"/>
      <c r="EX212" s="960"/>
      <c r="EY212" s="960"/>
      <c r="EZ212" s="960"/>
      <c r="FA212" s="960"/>
      <c r="FB212" s="960"/>
      <c r="FC212" s="960"/>
      <c r="FD212" s="960"/>
      <c r="FE212" s="960"/>
      <c r="FF212" s="960"/>
      <c r="FG212" s="960"/>
      <c r="FH212" s="960"/>
      <c r="FI212" s="960"/>
      <c r="FJ212" s="960"/>
      <c r="FK212" s="960"/>
      <c r="FL212" s="960"/>
      <c r="FM212" s="960"/>
      <c r="FN212" s="960"/>
      <c r="FO212" s="960"/>
      <c r="FP212" s="960"/>
      <c r="FQ212" s="960"/>
      <c r="FR212" s="960"/>
      <c r="FS212" s="960"/>
      <c r="FT212" s="960"/>
      <c r="FU212" s="960"/>
      <c r="FV212" s="960"/>
      <c r="FW212" s="960"/>
      <c r="FX212" s="960"/>
      <c r="FY212" s="960"/>
      <c r="FZ212" s="960"/>
      <c r="GA212" s="960"/>
      <c r="GB212" s="960"/>
      <c r="GC212" s="960"/>
      <c r="GD212" s="960"/>
      <c r="GE212" s="960"/>
      <c r="GF212" s="960"/>
      <c r="GG212" s="960"/>
      <c r="GH212" s="960"/>
      <c r="GI212" s="960"/>
      <c r="GJ212" s="960"/>
      <c r="GK212" s="960"/>
      <c r="GL212" s="960"/>
      <c r="GM212" s="960"/>
      <c r="GN212" s="960"/>
      <c r="GO212" s="960"/>
      <c r="GP212" s="960"/>
      <c r="GQ212" s="960"/>
      <c r="GR212" s="960"/>
      <c r="GS212" s="960"/>
      <c r="GT212" s="960"/>
      <c r="GU212" s="960"/>
      <c r="GV212" s="960"/>
      <c r="GW212" s="960"/>
      <c r="GX212" s="960"/>
      <c r="GY212" s="960"/>
      <c r="GZ212" s="960"/>
      <c r="HA212" s="960"/>
      <c r="HB212" s="960"/>
      <c r="HC212" s="960"/>
      <c r="HD212" s="960"/>
      <c r="HE212" s="960"/>
    </row>
    <row r="213" spans="2:213" collapsed="1">
      <c r="L213" s="148"/>
    </row>
    <row r="214" spans="2:213">
      <c r="B214" s="349" t="s">
        <v>2365</v>
      </c>
      <c r="C214" s="139"/>
      <c r="D214" s="139"/>
      <c r="E214" s="139"/>
      <c r="F214" s="139"/>
      <c r="G214" s="139"/>
      <c r="H214" s="139"/>
      <c r="I214" s="18"/>
      <c r="J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223">
        <f t="shared" ref="BD214:BS214" si="1374">BD177/-BD182</f>
        <v>0.84984854510528751</v>
      </c>
      <c r="BE214" s="223">
        <f t="shared" si="1374"/>
        <v>1.3163853022555227</v>
      </c>
      <c r="BF214" s="223">
        <f t="shared" si="1374"/>
        <v>1.3580429442031121</v>
      </c>
      <c r="BG214" s="223">
        <f t="shared" si="1374"/>
        <v>1.3210232120092478</v>
      </c>
      <c r="BH214" s="223">
        <f t="shared" si="1374"/>
        <v>1.2193145703286505</v>
      </c>
      <c r="BI214" s="223">
        <f t="shared" si="1374"/>
        <v>1.0606274345701876</v>
      </c>
      <c r="BJ214" s="223">
        <f t="shared" si="1374"/>
        <v>-3.4888986001096542</v>
      </c>
      <c r="BK214" s="223">
        <f t="shared" si="1374"/>
        <v>1.3634692946017335</v>
      </c>
      <c r="BL214" s="223">
        <f t="shared" ca="1" si="1374"/>
        <v>1.0726098444074763</v>
      </c>
      <c r="BM214" s="223">
        <f t="shared" ca="1" si="1374"/>
        <v>9.1097008824915005E-2</v>
      </c>
      <c r="BN214" s="223">
        <f t="shared" ca="1" si="1374"/>
        <v>0.97917965667912543</v>
      </c>
      <c r="BO214" s="223">
        <f t="shared" ca="1" si="1374"/>
        <v>1.1002936836622652</v>
      </c>
      <c r="BP214" s="223">
        <f t="shared" ca="1" si="1374"/>
        <v>0.17810181575239686</v>
      </c>
      <c r="BQ214" s="223">
        <f t="shared" ca="1" si="1374"/>
        <v>1.0755357858591559</v>
      </c>
      <c r="BR214" s="223">
        <f t="shared" ca="1" si="1374"/>
        <v>0.55061218801502532</v>
      </c>
      <c r="BS214" s="223">
        <f t="shared" ca="1" si="1374"/>
        <v>1.749238470022239</v>
      </c>
      <c r="BT214" s="223">
        <f t="shared" ref="BT214:CB214" ca="1" si="1375">BT178/-BT183</f>
        <v>0.59596186158889053</v>
      </c>
      <c r="BU214" s="223">
        <f t="shared" ca="1" si="1375"/>
        <v>0.69607702670742466</v>
      </c>
      <c r="BV214" s="223">
        <f t="shared" ca="1" si="1375"/>
        <v>1.0888123584385923</v>
      </c>
      <c r="BW214" s="223">
        <f t="shared" ca="1" si="1375"/>
        <v>1.6739642845575562</v>
      </c>
      <c r="BX214" s="223">
        <f t="shared" ca="1" si="1375"/>
        <v>0.66116101389424098</v>
      </c>
      <c r="BY214" s="223">
        <f t="shared" ca="1" si="1375"/>
        <v>0.40378320701125542</v>
      </c>
      <c r="BZ214" s="223">
        <f t="shared" ca="1" si="1375"/>
        <v>1.821148202538486</v>
      </c>
      <c r="CA214" s="223">
        <f t="shared" ca="1" si="1375"/>
        <v>-0.93104779703196761</v>
      </c>
      <c r="CB214" s="223">
        <f t="shared" ca="1" si="1375"/>
        <v>1.2071847546853713</v>
      </c>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K214" s="18"/>
      <c r="DL214" s="18"/>
      <c r="DM214" s="18"/>
      <c r="DN214" s="18"/>
      <c r="DO214" s="18"/>
      <c r="DP214" s="18"/>
      <c r="DQ214" s="18"/>
      <c r="DR214" s="18"/>
      <c r="DS214" s="18"/>
      <c r="DT214" s="18"/>
      <c r="DU214" s="18"/>
      <c r="DV214" s="18"/>
      <c r="DW214" s="18"/>
      <c r="DX214" s="18"/>
      <c r="DY214" s="18"/>
      <c r="DZ214" s="18"/>
      <c r="EA214" s="18"/>
      <c r="EB214" s="18"/>
      <c r="EC214" s="18"/>
      <c r="ED214" s="18"/>
      <c r="EE214" s="18"/>
      <c r="EF214" s="18"/>
      <c r="EG214" s="18"/>
      <c r="EH214" s="18"/>
      <c r="EI214" s="18"/>
      <c r="EJ214" s="18"/>
      <c r="EK214" s="18"/>
      <c r="EL214" s="18"/>
      <c r="EM214" s="18"/>
      <c r="EN214" s="18"/>
      <c r="EO214" s="18"/>
      <c r="EP214" s="18"/>
      <c r="EQ214" s="18"/>
      <c r="ER214" s="18"/>
      <c r="ES214" s="18"/>
      <c r="ET214" s="18"/>
      <c r="EU214" s="18"/>
      <c r="EV214" s="18"/>
      <c r="EW214" s="18"/>
      <c r="EX214" s="18"/>
      <c r="EY214" s="18"/>
      <c r="EZ214" s="18"/>
      <c r="FA214" s="18"/>
      <c r="FB214" s="18"/>
      <c r="FC214" s="18"/>
      <c r="FD214" s="18"/>
      <c r="FE214" s="18"/>
      <c r="FF214" s="18"/>
      <c r="FG214" s="18"/>
      <c r="FH214" s="18"/>
      <c r="FI214" s="18"/>
      <c r="FJ214" s="18"/>
      <c r="FK214" s="18"/>
      <c r="FL214" s="18"/>
      <c r="FM214" s="18"/>
      <c r="FN214" s="18"/>
      <c r="FO214" s="18"/>
      <c r="FP214" s="18"/>
      <c r="FQ214" s="18"/>
      <c r="FR214" s="18"/>
      <c r="FS214" s="18"/>
      <c r="FT214" s="18"/>
      <c r="FU214" s="18"/>
      <c r="FV214" s="18"/>
      <c r="FW214" s="18"/>
      <c r="FX214" s="18"/>
      <c r="FY214" s="18"/>
      <c r="FZ214" s="18"/>
      <c r="GA214" s="18"/>
      <c r="GB214" s="18"/>
      <c r="GC214" s="18"/>
      <c r="GD214" s="18"/>
      <c r="GE214" s="18"/>
      <c r="GF214" s="18"/>
      <c r="GG214" s="18"/>
      <c r="GH214" s="18"/>
      <c r="GI214" s="18"/>
      <c r="GJ214" s="18"/>
      <c r="GK214" s="18"/>
      <c r="GL214" s="18"/>
      <c r="GM214" s="18"/>
      <c r="GN214" s="18"/>
      <c r="GO214" s="18"/>
      <c r="GP214" s="18"/>
      <c r="GQ214" s="18"/>
      <c r="GR214" s="18"/>
      <c r="GS214" s="18"/>
      <c r="GT214" s="18"/>
      <c r="GU214" s="18"/>
      <c r="GV214" s="18"/>
      <c r="GW214" s="18"/>
      <c r="GX214" s="18"/>
      <c r="GY214" s="18"/>
      <c r="GZ214" s="18"/>
      <c r="HA214" s="18"/>
      <c r="HB214" s="18"/>
      <c r="HC214" s="18"/>
      <c r="HD214" s="18"/>
      <c r="HE214" s="18"/>
    </row>
    <row r="217" spans="2:213">
      <c r="B217" s="1409" t="s">
        <v>2253</v>
      </c>
      <c r="C217" s="965">
        <f ca="1">SUMIF($K$196:$BP$196,"&lt;0",($K$196:$BP$196))*1000</f>
        <v>-15793732</v>
      </c>
    </row>
    <row r="218" spans="2:213">
      <c r="B218" s="1409" t="s">
        <v>2254</v>
      </c>
      <c r="C218" s="965">
        <f ca="1">SUMIF($K$196:$BP$196,"&gt;0",($K$196:$BP$196))*1000</f>
        <v>0</v>
      </c>
    </row>
    <row r="219" spans="2:213">
      <c r="B219" s="1409" t="s">
        <v>2255</v>
      </c>
      <c r="C219" s="1409"/>
    </row>
    <row r="220" spans="2:213">
      <c r="B220" s="1409" t="s">
        <v>2256</v>
      </c>
      <c r="C220" s="1409"/>
    </row>
    <row r="221" spans="2:213">
      <c r="B221" s="1409" t="s">
        <v>2257</v>
      </c>
      <c r="C221" s="1409"/>
    </row>
    <row r="222" spans="2:213">
      <c r="B222" s="1409" t="s">
        <v>2258</v>
      </c>
      <c r="C222" s="1409"/>
    </row>
    <row r="223" spans="2:213">
      <c r="B223" s="1409" t="s">
        <v>2259</v>
      </c>
      <c r="C223" s="1409"/>
    </row>
  </sheetData>
  <mergeCells count="3">
    <mergeCell ref="HH16:HK16"/>
    <mergeCell ref="HH51:HK51"/>
    <mergeCell ref="HH98:HK98"/>
  </mergeCells>
  <conditionalFormatting sqref="H61">
    <cfRule type="containsText" dxfId="1" priority="1" operator="containsText" text="ERROR">
      <formula>NOT(ISERROR(SEARCH("ERROR",H61)))</formula>
    </cfRule>
    <cfRule type="containsText" dxfId="0" priority="2" operator="containsText" text="YES">
      <formula>NOT(ISERROR(SEARCH("YES",H61)))</formula>
    </cfRule>
  </conditionalFormatting>
  <pageMargins left="0.25" right="0.25" top="0.25" bottom="0.25" header="0.25" footer="0.25"/>
  <pageSetup scale="45" orientation="landscape" r:id="rId1"/>
  <rowBreaks count="1" manualBreakCount="1">
    <brk id="96" min="1" max="82" man="1"/>
  </rowBreaks>
  <colBreaks count="5" manualBreakCount="5">
    <brk id="23" min="9" max="255" man="1"/>
    <brk id="35" min="9" max="255" man="1"/>
    <brk id="47" min="9" max="255" man="1"/>
    <brk id="59" min="9" max="255" man="1"/>
    <brk id="71" min="9" max="255" man="1"/>
  </colBreaks>
  <ignoredErrors>
    <ignoredError sqref="K149 L60:N60 CH27 CD33 CA33" formula="1"/>
  </ignoredError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A624D-4153-4404-AF78-6276215CB5AB}">
  <sheetPr>
    <pageSetUpPr fitToPage="1"/>
  </sheetPr>
  <dimension ref="A1:BZ269"/>
  <sheetViews>
    <sheetView showGridLines="0" zoomScale="85" zoomScaleNormal="85" workbookViewId="0">
      <pane xSplit="3" ySplit="2" topLeftCell="BF3" activePane="bottomRight" state="frozen"/>
      <selection pane="topRight" activeCell="D1" sqref="D1"/>
      <selection pane="bottomLeft" activeCell="A3" sqref="A3"/>
      <selection pane="bottomRight" activeCell="BZ23" sqref="BR23:BZ23"/>
    </sheetView>
  </sheetViews>
  <sheetFormatPr baseColWidth="10" defaultColWidth="9.1640625" defaultRowHeight="13"/>
  <cols>
    <col min="1" max="1" width="8.83203125" style="977" bestFit="1" customWidth="1"/>
    <col min="2" max="2" width="32.33203125" style="927" bestFit="1" customWidth="1"/>
    <col min="3" max="3" width="35" style="927" bestFit="1" customWidth="1"/>
    <col min="4" max="4" width="11.33203125" style="927" bestFit="1" customWidth="1"/>
    <col min="5" max="6" width="10.5" style="927" bestFit="1" customWidth="1"/>
    <col min="7" max="7" width="10.83203125" style="927" bestFit="1" customWidth="1"/>
    <col min="8" max="8" width="10.5" style="927" bestFit="1" customWidth="1"/>
    <col min="9" max="9" width="11.33203125" style="927" bestFit="1" customWidth="1"/>
    <col min="10" max="11" width="10.33203125" style="927" bestFit="1" customWidth="1"/>
    <col min="12" max="12" width="10.5" style="927" bestFit="1" customWidth="1"/>
    <col min="13" max="13" width="10.83203125" style="927" bestFit="1" customWidth="1"/>
    <col min="14" max="14" width="10.5" style="927" bestFit="1" customWidth="1"/>
    <col min="15" max="15" width="12.5" style="927" bestFit="1" customWidth="1"/>
    <col min="16" max="16" width="10.83203125" style="927" bestFit="1" customWidth="1"/>
    <col min="17" max="17" width="10.5" style="927" bestFit="1" customWidth="1"/>
    <col min="18" max="18" width="10.83203125" style="927" bestFit="1" customWidth="1"/>
    <col min="19" max="19" width="10.5" style="927" bestFit="1" customWidth="1"/>
    <col min="20" max="20" width="10.83203125" style="927" bestFit="1" customWidth="1"/>
    <col min="21" max="24" width="10.5" style="927" bestFit="1" customWidth="1"/>
    <col min="25" max="25" width="10.83203125" style="927" bestFit="1" customWidth="1"/>
    <col min="26" max="26" width="10.5" style="927" bestFit="1" customWidth="1"/>
    <col min="27" max="27" width="12.6640625" style="927" bestFit="1" customWidth="1"/>
    <col min="28" max="28" width="10.5" style="927" bestFit="1" customWidth="1"/>
    <col min="29" max="29" width="10.83203125" style="927" bestFit="1" customWidth="1"/>
    <col min="30" max="30" width="12.6640625" style="927" bestFit="1" customWidth="1"/>
    <col min="31" max="32" width="10.83203125" style="927" bestFit="1" customWidth="1"/>
    <col min="33" max="35" width="10.5" style="927" bestFit="1" customWidth="1"/>
    <col min="36" max="36" width="11.33203125" style="927" bestFit="1" customWidth="1"/>
    <col min="37" max="37" width="10.5" style="927" bestFit="1" customWidth="1"/>
    <col min="38" max="38" width="10.83203125" style="927" bestFit="1" customWidth="1"/>
    <col min="39" max="39" width="12.1640625" style="927" bestFit="1" customWidth="1"/>
    <col min="40" max="41" width="10.5" style="927" bestFit="1" customWidth="1"/>
    <col min="42" max="42" width="12.1640625" style="927" bestFit="1" customWidth="1"/>
    <col min="43" max="44" width="10.5" style="927" bestFit="1" customWidth="1"/>
    <col min="45" max="45" width="12.5" style="927" bestFit="1" customWidth="1"/>
    <col min="46" max="46" width="18.83203125" style="927" bestFit="1" customWidth="1"/>
    <col min="47" max="47" width="10.5" style="927" bestFit="1" customWidth="1"/>
    <col min="48" max="48" width="12.5" style="927" bestFit="1" customWidth="1"/>
    <col min="49" max="49" width="10.5" style="927" bestFit="1" customWidth="1"/>
    <col min="50" max="50" width="10.83203125" style="927" bestFit="1" customWidth="1"/>
    <col min="51" max="52" width="10.33203125" style="927" bestFit="1" customWidth="1"/>
    <col min="53" max="53" width="10.5" style="927" bestFit="1" customWidth="1"/>
    <col min="54" max="54" width="12.6640625" style="927" bestFit="1" customWidth="1"/>
    <col min="55" max="55" width="10.5" style="927" bestFit="1" customWidth="1"/>
    <col min="56" max="57" width="10.33203125" style="927" bestFit="1" customWidth="1"/>
    <col min="58" max="61" width="9.33203125" style="927" bestFit="1" customWidth="1"/>
    <col min="62" max="66" width="9.1640625" style="927"/>
    <col min="67" max="69" width="9.83203125" style="927" customWidth="1"/>
    <col min="70" max="16384" width="9.1640625" style="927"/>
  </cols>
  <sheetData>
    <row r="1" spans="2:78">
      <c r="AT1" s="1206" t="s">
        <v>1959</v>
      </c>
    </row>
    <row r="2" spans="2:78">
      <c r="C2" s="1002" t="s">
        <v>966</v>
      </c>
      <c r="D2" s="1001">
        <v>42582</v>
      </c>
      <c r="E2" s="1001">
        <f t="shared" ref="E2:AJ2" si="0">EOMONTH(D2,1)</f>
        <v>42613</v>
      </c>
      <c r="F2" s="1001">
        <f t="shared" si="0"/>
        <v>42643</v>
      </c>
      <c r="G2" s="1001">
        <f t="shared" si="0"/>
        <v>42674</v>
      </c>
      <c r="H2" s="1001">
        <f t="shared" si="0"/>
        <v>42704</v>
      </c>
      <c r="I2" s="1001">
        <f t="shared" si="0"/>
        <v>42735</v>
      </c>
      <c r="J2" s="1001">
        <f t="shared" si="0"/>
        <v>42766</v>
      </c>
      <c r="K2" s="1001">
        <f t="shared" si="0"/>
        <v>42794</v>
      </c>
      <c r="L2" s="1001">
        <f t="shared" si="0"/>
        <v>42825</v>
      </c>
      <c r="M2" s="1001">
        <f t="shared" si="0"/>
        <v>42855</v>
      </c>
      <c r="N2" s="1001">
        <f t="shared" si="0"/>
        <v>42886</v>
      </c>
      <c r="O2" s="1001">
        <f t="shared" si="0"/>
        <v>42916</v>
      </c>
      <c r="P2" s="1001">
        <f t="shared" si="0"/>
        <v>42947</v>
      </c>
      <c r="Q2" s="1001">
        <f t="shared" si="0"/>
        <v>42978</v>
      </c>
      <c r="R2" s="1001">
        <f t="shared" si="0"/>
        <v>43008</v>
      </c>
      <c r="S2" s="1001">
        <f t="shared" si="0"/>
        <v>43039</v>
      </c>
      <c r="T2" s="1001">
        <f t="shared" si="0"/>
        <v>43069</v>
      </c>
      <c r="U2" s="1001">
        <f t="shared" si="0"/>
        <v>43100</v>
      </c>
      <c r="V2" s="1001">
        <f t="shared" si="0"/>
        <v>43131</v>
      </c>
      <c r="W2" s="1001">
        <f t="shared" si="0"/>
        <v>43159</v>
      </c>
      <c r="X2" s="1001">
        <f t="shared" si="0"/>
        <v>43190</v>
      </c>
      <c r="Y2" s="1001">
        <f t="shared" si="0"/>
        <v>43220</v>
      </c>
      <c r="Z2" s="1001">
        <f t="shared" si="0"/>
        <v>43251</v>
      </c>
      <c r="AA2" s="1001">
        <f t="shared" si="0"/>
        <v>43281</v>
      </c>
      <c r="AB2" s="1001">
        <f t="shared" si="0"/>
        <v>43312</v>
      </c>
      <c r="AC2" s="1001">
        <f t="shared" si="0"/>
        <v>43343</v>
      </c>
      <c r="AD2" s="1001">
        <f t="shared" si="0"/>
        <v>43373</v>
      </c>
      <c r="AE2" s="1001">
        <f t="shared" si="0"/>
        <v>43404</v>
      </c>
      <c r="AF2" s="1001">
        <f t="shared" si="0"/>
        <v>43434</v>
      </c>
      <c r="AG2" s="1001">
        <f t="shared" si="0"/>
        <v>43465</v>
      </c>
      <c r="AH2" s="1001">
        <f t="shared" si="0"/>
        <v>43496</v>
      </c>
      <c r="AI2" s="1001">
        <f t="shared" si="0"/>
        <v>43524</v>
      </c>
      <c r="AJ2" s="1001">
        <f t="shared" si="0"/>
        <v>43555</v>
      </c>
      <c r="AK2" s="1001">
        <f t="shared" ref="AK2:BI2" si="1">EOMONTH(AJ2,1)</f>
        <v>43585</v>
      </c>
      <c r="AL2" s="1001">
        <f t="shared" si="1"/>
        <v>43616</v>
      </c>
      <c r="AM2" s="1001">
        <f t="shared" si="1"/>
        <v>43646</v>
      </c>
      <c r="AN2" s="1001">
        <f t="shared" si="1"/>
        <v>43677</v>
      </c>
      <c r="AO2" s="1001">
        <f t="shared" si="1"/>
        <v>43708</v>
      </c>
      <c r="AP2" s="1001">
        <f t="shared" si="1"/>
        <v>43738</v>
      </c>
      <c r="AQ2" s="1001">
        <f t="shared" si="1"/>
        <v>43769</v>
      </c>
      <c r="AR2" s="1001">
        <f t="shared" si="1"/>
        <v>43799</v>
      </c>
      <c r="AS2" s="1001">
        <f t="shared" si="1"/>
        <v>43830</v>
      </c>
      <c r="AT2" s="1001">
        <f t="shared" si="1"/>
        <v>43861</v>
      </c>
      <c r="AU2" s="1001">
        <f t="shared" si="1"/>
        <v>43890</v>
      </c>
      <c r="AV2" s="1001">
        <f t="shared" si="1"/>
        <v>43921</v>
      </c>
      <c r="AW2" s="1001">
        <f t="shared" si="1"/>
        <v>43951</v>
      </c>
      <c r="AX2" s="1001">
        <f t="shared" si="1"/>
        <v>43982</v>
      </c>
      <c r="AY2" s="1001">
        <f t="shared" si="1"/>
        <v>44012</v>
      </c>
      <c r="AZ2" s="1001">
        <f t="shared" si="1"/>
        <v>44043</v>
      </c>
      <c r="BA2" s="1001">
        <f t="shared" si="1"/>
        <v>44074</v>
      </c>
      <c r="BB2" s="1001">
        <f t="shared" si="1"/>
        <v>44104</v>
      </c>
      <c r="BC2" s="1001">
        <f t="shared" si="1"/>
        <v>44135</v>
      </c>
      <c r="BD2" s="1001">
        <f t="shared" si="1"/>
        <v>44165</v>
      </c>
      <c r="BE2" s="1001">
        <f t="shared" si="1"/>
        <v>44196</v>
      </c>
      <c r="BF2" s="1001">
        <f t="shared" si="1"/>
        <v>44227</v>
      </c>
      <c r="BG2" s="1001">
        <f t="shared" si="1"/>
        <v>44255</v>
      </c>
      <c r="BH2" s="1001">
        <f t="shared" si="1"/>
        <v>44286</v>
      </c>
      <c r="BI2" s="1001">
        <f t="shared" si="1"/>
        <v>44316</v>
      </c>
      <c r="BJ2" s="1001">
        <f t="shared" ref="BJ2" si="2">EOMONTH(BI2,1)</f>
        <v>44347</v>
      </c>
      <c r="BK2" s="1001">
        <f t="shared" ref="BK2" si="3">EOMONTH(BJ2,1)</f>
        <v>44377</v>
      </c>
      <c r="BL2" s="1001">
        <f t="shared" ref="BL2" si="4">EOMONTH(BK2,1)</f>
        <v>44408</v>
      </c>
      <c r="BM2" s="1001">
        <f t="shared" ref="BM2:BN2" si="5">EOMONTH(BL2,1)</f>
        <v>44439</v>
      </c>
      <c r="BN2" s="1001">
        <f t="shared" si="5"/>
        <v>44469</v>
      </c>
      <c r="BO2" s="1001">
        <f t="shared" ref="BO2" si="6">EOMONTH(BN2,1)</f>
        <v>44500</v>
      </c>
      <c r="BP2" s="1001">
        <f t="shared" ref="BP2" si="7">EOMONTH(BO2,1)</f>
        <v>44530</v>
      </c>
      <c r="BQ2" s="1001">
        <f t="shared" ref="BQ2" si="8">EOMONTH(BP2,1)</f>
        <v>44561</v>
      </c>
      <c r="BR2" s="1001">
        <f t="shared" ref="BR2" si="9">EOMONTH(BQ2,1)</f>
        <v>44592</v>
      </c>
      <c r="BS2" s="1001">
        <f t="shared" ref="BS2" si="10">EOMONTH(BR2,1)</f>
        <v>44620</v>
      </c>
      <c r="BT2" s="1001">
        <f t="shared" ref="BT2" si="11">EOMONTH(BS2,1)</f>
        <v>44651</v>
      </c>
      <c r="BU2" s="1001">
        <f t="shared" ref="BU2" si="12">EOMONTH(BT2,1)</f>
        <v>44681</v>
      </c>
      <c r="BV2" s="1001">
        <f t="shared" ref="BV2" si="13">EOMONTH(BU2,1)</f>
        <v>44712</v>
      </c>
      <c r="BW2" s="1001">
        <f t="shared" ref="BW2" si="14">EOMONTH(BV2,1)</f>
        <v>44742</v>
      </c>
      <c r="BX2" s="1001">
        <f t="shared" ref="BX2" si="15">EOMONTH(BW2,1)</f>
        <v>44773</v>
      </c>
      <c r="BY2" s="1001">
        <f t="shared" ref="BY2" si="16">EOMONTH(BX2,1)</f>
        <v>44804</v>
      </c>
      <c r="BZ2" s="1001">
        <f t="shared" ref="BZ2" si="17">EOMONTH(BY2,1)</f>
        <v>44834</v>
      </c>
    </row>
    <row r="3" spans="2:78">
      <c r="B3" s="977" t="s">
        <v>1389</v>
      </c>
      <c r="C3" s="927" t="s">
        <v>421</v>
      </c>
      <c r="D3" s="999">
        <f t="shared" ref="D3:S3" si="18">SUMIF($A$32:$A$268,$B3,D$32:D$268)/1000-D5</f>
        <v>111.19469000000001</v>
      </c>
      <c r="E3" s="999">
        <f t="shared" si="18"/>
        <v>112.08559</v>
      </c>
      <c r="F3" s="999">
        <f t="shared" si="18"/>
        <v>116.37649</v>
      </c>
      <c r="G3" s="999">
        <f t="shared" si="18"/>
        <v>111.89583999999999</v>
      </c>
      <c r="H3" s="999">
        <f t="shared" si="18"/>
        <v>111.72</v>
      </c>
      <c r="I3" s="999">
        <f t="shared" si="18"/>
        <v>109.71383</v>
      </c>
      <c r="J3" s="999">
        <f t="shared" si="18"/>
        <v>107.67871000000001</v>
      </c>
      <c r="K3" s="999">
        <f t="shared" si="18"/>
        <v>102.30149</v>
      </c>
      <c r="L3" s="999">
        <f t="shared" si="18"/>
        <v>104.71634</v>
      </c>
      <c r="M3" s="999">
        <f t="shared" si="18"/>
        <v>106.37723</v>
      </c>
      <c r="N3" s="999">
        <f t="shared" si="18"/>
        <v>297.25702999999999</v>
      </c>
      <c r="O3" s="999">
        <f t="shared" si="18"/>
        <v>-7.1614899999999997</v>
      </c>
      <c r="P3" s="999">
        <f t="shared" si="18"/>
        <v>118.49027000000001</v>
      </c>
      <c r="Q3" s="999">
        <f t="shared" si="18"/>
        <v>122.37916</v>
      </c>
      <c r="R3" s="999">
        <f t="shared" si="18"/>
        <v>116.04395</v>
      </c>
      <c r="S3" s="999">
        <f t="shared" si="18"/>
        <v>123.90202000000001</v>
      </c>
      <c r="T3" s="999">
        <f>SUMIF($A$32:$A$268,$B3,T$32:T$268)/1000-T5</f>
        <v>122.03621000000001</v>
      </c>
      <c r="U3" s="999">
        <f t="shared" ref="U3:AS3" si="19">SUMIF($A$32:$A$268,$B3,U$32:U$268)/1000-U5</f>
        <v>122.11190999999999</v>
      </c>
      <c r="V3" s="999">
        <f t="shared" si="19"/>
        <v>128.85194999999999</v>
      </c>
      <c r="W3" s="999">
        <f t="shared" si="19"/>
        <v>125.44580999999999</v>
      </c>
      <c r="X3" s="999">
        <f t="shared" si="19"/>
        <v>129.90099000000001</v>
      </c>
      <c r="Y3" s="999">
        <f t="shared" si="19"/>
        <v>114.57918000000001</v>
      </c>
      <c r="Z3" s="999">
        <f t="shared" si="19"/>
        <v>161.30314999999999</v>
      </c>
      <c r="AA3" s="999">
        <f t="shared" si="19"/>
        <v>132.32930999999999</v>
      </c>
      <c r="AB3" s="999">
        <f t="shared" si="19"/>
        <v>125.71440000000001</v>
      </c>
      <c r="AC3" s="999">
        <f t="shared" si="19"/>
        <v>131.61227</v>
      </c>
      <c r="AD3" s="999">
        <f t="shared" si="19"/>
        <v>123.25532000000001</v>
      </c>
      <c r="AE3" s="999">
        <f t="shared" si="19"/>
        <v>121.92822000000001</v>
      </c>
      <c r="AF3" s="999">
        <f t="shared" si="19"/>
        <v>136.53062</v>
      </c>
      <c r="AG3" s="999">
        <f t="shared" si="19"/>
        <v>136.53062</v>
      </c>
      <c r="AH3" s="999">
        <f t="shared" si="19"/>
        <v>139.86024</v>
      </c>
      <c r="AI3" s="999">
        <f t="shared" si="19"/>
        <v>142.28937999999999</v>
      </c>
      <c r="AJ3" s="999">
        <f t="shared" si="19"/>
        <v>145.36828</v>
      </c>
      <c r="AK3" s="999">
        <f t="shared" si="19"/>
        <v>145.53022000000001</v>
      </c>
      <c r="AL3" s="999">
        <f t="shared" si="19"/>
        <v>147.66809000000001</v>
      </c>
      <c r="AM3" s="999">
        <f t="shared" si="19"/>
        <v>149.82757000000001</v>
      </c>
      <c r="AN3" s="999">
        <f t="shared" si="19"/>
        <v>151.92160999999999</v>
      </c>
      <c r="AO3" s="999">
        <f t="shared" si="19"/>
        <v>157.02044000000001</v>
      </c>
      <c r="AP3" s="999">
        <f t="shared" si="19"/>
        <v>157.06484</v>
      </c>
      <c r="AQ3" s="999">
        <f t="shared" si="19"/>
        <v>156.07832000000002</v>
      </c>
      <c r="AR3" s="999">
        <f t="shared" si="19"/>
        <v>157.90381000000002</v>
      </c>
      <c r="AS3" s="999">
        <f t="shared" si="19"/>
        <v>157.90380999999999</v>
      </c>
      <c r="AT3" s="999">
        <f>SUMIF('2020'!$A:$A,$B3,'2020'!D:D)/1000</f>
        <v>175.36306999999999</v>
      </c>
      <c r="AU3" s="999">
        <f>SUMIF('2020'!$A:$A,$B3,'2020'!E:E)/1000</f>
        <v>131.34563999999997</v>
      </c>
      <c r="AV3" s="999">
        <f>SUMIF('2020'!$A:$A,$B3,'2020'!F:F)/1000</f>
        <v>153.98707000000002</v>
      </c>
      <c r="AW3" s="999">
        <f>SUMIF('2020'!$A:$A,$B3,'2020'!G:G)/1000</f>
        <v>153.98707000000002</v>
      </c>
      <c r="AX3" s="999">
        <f>SUMIF('2020'!$A:$A,$B3,'2020'!H:H)/1000</f>
        <v>159.50755999999998</v>
      </c>
      <c r="AY3" s="999">
        <f>SUMIF('2020'!$A:$A,$B3,'2020'!I:I)/1000</f>
        <v>146.71283</v>
      </c>
      <c r="AZ3" s="999">
        <f>SUMIF('2020'!$A:$A,$B3,'2020'!J:J)/1000</f>
        <v>146.71283</v>
      </c>
      <c r="BA3" s="999">
        <f>SUMIF('2020'!$A:$A,$B3,'2020'!K:K)/1000</f>
        <v>147.72592</v>
      </c>
      <c r="BB3" s="999">
        <f>SUMIF('2020'!$A:$A,$B3,'2020'!L:L)/1000</f>
        <v>147.91535999999999</v>
      </c>
      <c r="BC3" s="999">
        <f>SUMIF('2020'!$A:$A,$B3,'2020'!M:M)/1000</f>
        <v>148.23484999999999</v>
      </c>
      <c r="BD3" s="999">
        <f>SUMIF('2020'!$A:$A,$B3,'2020'!N:N)/1000</f>
        <v>155.6739</v>
      </c>
      <c r="BE3" s="999">
        <f>SUMIF('2020'!$A:$A,$B3,'2020'!O:O)/1000</f>
        <v>156.29787999999999</v>
      </c>
      <c r="BF3" s="1410">
        <f>SUMIF('2021'!$A:$A,$B3,'2021'!D:D)/1000</f>
        <v>136.86797000000001</v>
      </c>
      <c r="BG3" s="1410">
        <f>SUMIF('2021'!$A:$A,$B3,'2021'!E:E)/1000</f>
        <v>136.86797000000001</v>
      </c>
      <c r="BH3" s="1410">
        <f>SUMIF('2021'!$A:$A,$B3,'2021'!F:F)/1000</f>
        <v>72.60166000000001</v>
      </c>
      <c r="BI3" s="1410">
        <f>SUMIF('2021'!$A:$A,$B3,'2021'!G:G)/1000</f>
        <v>137.33261999999999</v>
      </c>
      <c r="BJ3" s="1410">
        <f>SUMIF('2021'!$A:$A,$B3,'2021'!H:H)/1000</f>
        <v>137.51862</v>
      </c>
      <c r="BK3" s="1410">
        <f>SUMIF('2021'!$A:$A,$B3,'2021'!I:I)/1000</f>
        <v>137.85316</v>
      </c>
      <c r="BL3" s="1410">
        <f>SUMIF('2021'!$A:$A,$B3,'2021'!J:J)/1000</f>
        <v>137.85316</v>
      </c>
      <c r="BM3" s="1410">
        <f>SUMIF('2021'!$A:$A,$B3,'2021'!K:K)/1000</f>
        <v>150.18857999999997</v>
      </c>
      <c r="BN3" s="1410">
        <f>SUMIF('2021'!$A:$A,$B3,'2021'!L:L)/1000</f>
        <v>141.49274</v>
      </c>
      <c r="BO3" s="1410">
        <f>SUMIF('2021'!$A:$A,$B3,'2021'!M:M)/1000</f>
        <v>150.82107999999999</v>
      </c>
      <c r="BP3" s="1410">
        <f>SUMIF('2021'!$A:$A,$B3,'2021'!N:N)/1000</f>
        <v>150.82107999999999</v>
      </c>
      <c r="BQ3" s="1410">
        <f>SUMIF('2021'!$A:$A,$B3,'2021'!O:O)/1000</f>
        <v>157.57866000000001</v>
      </c>
      <c r="BR3" s="1410">
        <f>SUMIF('2022'!$A:$A,$B3,'2022'!D:D)/1000</f>
        <v>151.35253</v>
      </c>
      <c r="BS3" s="1410">
        <f>SUMIF('2022'!$A:$A,$B3,'2022'!E:E)/1000</f>
        <v>153.53873000000002</v>
      </c>
      <c r="BT3" s="1410">
        <f>SUMIF('2022'!$A:$A,$B3,'2022'!F:F)/1000</f>
        <v>154.08807999999999</v>
      </c>
      <c r="BU3" s="1410">
        <f>SUMIF('2022'!$A:$A,$B3,'2022'!G:G)/1000</f>
        <v>146.24198000000001</v>
      </c>
      <c r="BV3" s="1410">
        <f>SUMIF('2022'!$A:$A,$B3,'2022'!H:H)/1000</f>
        <v>155.41320999999999</v>
      </c>
      <c r="BW3" s="1410">
        <f>SUMIF('2022'!$A:$A,$B3,'2022'!I:I)/1000</f>
        <v>155.79179000000002</v>
      </c>
      <c r="BX3" s="1410">
        <f>SUMIF('2022'!$A:$A,$B3,'2022'!J:J)/1000</f>
        <v>156.28437</v>
      </c>
      <c r="BY3" s="1410">
        <f>SUMIF('2022'!$A:$A,$B3,'2022'!K:K)/1000</f>
        <v>157.38013000000001</v>
      </c>
      <c r="BZ3" s="1410">
        <f>SUMIF('2022'!$A:$A,$B3,'2022'!L:L)/1000</f>
        <v>160.54263</v>
      </c>
    </row>
    <row r="4" spans="2:78">
      <c r="B4" s="977" t="s">
        <v>1404</v>
      </c>
      <c r="C4" s="927" t="s">
        <v>422</v>
      </c>
      <c r="D4" s="999">
        <f t="shared" ref="D4:M7" si="20">SUMIF($A$32:$A$268,$B4,D$32:D$268)/1000</f>
        <v>0</v>
      </c>
      <c r="E4" s="999">
        <f t="shared" si="20"/>
        <v>0</v>
      </c>
      <c r="F4" s="999">
        <f t="shared" si="20"/>
        <v>0</v>
      </c>
      <c r="G4" s="999">
        <f t="shared" si="20"/>
        <v>0</v>
      </c>
      <c r="H4" s="999">
        <f t="shared" si="20"/>
        <v>0</v>
      </c>
      <c r="I4" s="999">
        <f t="shared" si="20"/>
        <v>0</v>
      </c>
      <c r="J4" s="999">
        <f t="shared" si="20"/>
        <v>0</v>
      </c>
      <c r="K4" s="999">
        <f t="shared" si="20"/>
        <v>0</v>
      </c>
      <c r="L4" s="999">
        <f t="shared" si="20"/>
        <v>0</v>
      </c>
      <c r="M4" s="999">
        <f t="shared" si="20"/>
        <v>0</v>
      </c>
      <c r="N4" s="999">
        <f t="shared" ref="N4:W7" si="21">SUMIF($A$32:$A$268,$B4,N$32:N$268)/1000</f>
        <v>0</v>
      </c>
      <c r="O4" s="999">
        <f t="shared" si="21"/>
        <v>0</v>
      </c>
      <c r="P4" s="999">
        <f t="shared" si="21"/>
        <v>0</v>
      </c>
      <c r="Q4" s="999">
        <f t="shared" si="21"/>
        <v>0</v>
      </c>
      <c r="R4" s="999">
        <f t="shared" si="21"/>
        <v>0</v>
      </c>
      <c r="S4" s="999">
        <f t="shared" si="21"/>
        <v>0</v>
      </c>
      <c r="T4" s="999">
        <f t="shared" si="21"/>
        <v>0</v>
      </c>
      <c r="U4" s="999">
        <f t="shared" si="21"/>
        <v>0</v>
      </c>
      <c r="V4" s="999">
        <f t="shared" si="21"/>
        <v>0</v>
      </c>
      <c r="W4" s="999">
        <f t="shared" si="21"/>
        <v>0</v>
      </c>
      <c r="X4" s="999">
        <f t="shared" ref="X4:AG7" si="22">SUMIF($A$32:$A$268,$B4,X$32:X$268)/1000</f>
        <v>0</v>
      </c>
      <c r="Y4" s="999">
        <f t="shared" si="22"/>
        <v>0</v>
      </c>
      <c r="Z4" s="999">
        <f t="shared" si="22"/>
        <v>0</v>
      </c>
      <c r="AA4" s="999">
        <f t="shared" si="22"/>
        <v>0</v>
      </c>
      <c r="AB4" s="999">
        <f t="shared" si="22"/>
        <v>0</v>
      </c>
      <c r="AC4" s="999">
        <f t="shared" si="22"/>
        <v>0</v>
      </c>
      <c r="AD4" s="999">
        <f t="shared" si="22"/>
        <v>0</v>
      </c>
      <c r="AE4" s="999">
        <f t="shared" si="22"/>
        <v>0</v>
      </c>
      <c r="AF4" s="999">
        <f t="shared" si="22"/>
        <v>0</v>
      </c>
      <c r="AG4" s="999">
        <f t="shared" si="22"/>
        <v>0</v>
      </c>
      <c r="AH4" s="999">
        <f t="shared" ref="AH4:AS7" si="23">SUMIF($A$32:$A$268,$B4,AH$32:AH$268)/1000</f>
        <v>0</v>
      </c>
      <c r="AI4" s="999">
        <f t="shared" si="23"/>
        <v>0</v>
      </c>
      <c r="AJ4" s="999">
        <f t="shared" si="23"/>
        <v>0</v>
      </c>
      <c r="AK4" s="999">
        <f t="shared" si="23"/>
        <v>0</v>
      </c>
      <c r="AL4" s="999">
        <f t="shared" si="23"/>
        <v>0</v>
      </c>
      <c r="AM4" s="999">
        <f t="shared" si="23"/>
        <v>0</v>
      </c>
      <c r="AN4" s="999">
        <f t="shared" si="23"/>
        <v>0</v>
      </c>
      <c r="AO4" s="999">
        <f t="shared" si="23"/>
        <v>0</v>
      </c>
      <c r="AP4" s="999">
        <f t="shared" si="23"/>
        <v>0</v>
      </c>
      <c r="AQ4" s="999">
        <f t="shared" si="23"/>
        <v>0</v>
      </c>
      <c r="AR4" s="999">
        <f t="shared" si="23"/>
        <v>0</v>
      </c>
      <c r="AS4" s="999">
        <f t="shared" si="23"/>
        <v>0</v>
      </c>
      <c r="AT4" s="999">
        <f>SUMIF('2020'!$A:$A,$B4,'2020'!D:D)/1000</f>
        <v>0</v>
      </c>
      <c r="AU4" s="999">
        <f>SUMIF('2020'!$A:$A,$B4,'2020'!E:E)/1000</f>
        <v>0</v>
      </c>
      <c r="AV4" s="999">
        <f>SUMIF('2020'!$A:$A,$B4,'2020'!F:F)/1000</f>
        <v>0</v>
      </c>
      <c r="AW4" s="999">
        <f>SUMIF('2020'!$A:$A,$B4,'2020'!G:G)/1000</f>
        <v>0</v>
      </c>
      <c r="AX4" s="999">
        <f>SUMIF('2020'!$A:$A,$B4,'2020'!H:H)/1000</f>
        <v>0</v>
      </c>
      <c r="AY4" s="999">
        <f>SUMIF('2020'!$A:$A,$B4,'2020'!I:I)/1000</f>
        <v>0</v>
      </c>
      <c r="AZ4" s="999">
        <f>SUMIF('2020'!$A:$A,$B4,'2020'!J:J)/1000</f>
        <v>0</v>
      </c>
      <c r="BA4" s="999">
        <f>SUMIF('2020'!$A:$A,$B4,'2020'!K:K)/1000</f>
        <v>0</v>
      </c>
      <c r="BB4" s="999">
        <f>SUMIF('2020'!$A:$A,$B4,'2020'!L:L)/1000</f>
        <v>0</v>
      </c>
      <c r="BC4" s="999">
        <f>SUMIF('2020'!$A:$A,$B4,'2020'!M:M)/1000</f>
        <v>0</v>
      </c>
      <c r="BD4" s="999">
        <f>SUMIF('2020'!$A:$A,$B4,'2020'!N:N)/1000</f>
        <v>0</v>
      </c>
      <c r="BE4" s="999">
        <f>SUMIF('2020'!$A:$A,$B4,'2020'!O:O)/1000</f>
        <v>0</v>
      </c>
      <c r="BF4" s="1410">
        <f>SUMIF('2021'!$A:$A,$B4,'2021'!D:D)/1000</f>
        <v>0</v>
      </c>
      <c r="BG4" s="1410">
        <f>SUMIF('2021'!$A:$A,$B4,'2021'!E:E)/1000</f>
        <v>0</v>
      </c>
      <c r="BH4" s="1410">
        <f>SUMIF('2021'!$A:$A,$B4,'2021'!F:F)/1000</f>
        <v>0</v>
      </c>
      <c r="BI4" s="1410">
        <f>SUMIF('2021'!$A:$A,$B4,'2021'!G:G)/1000</f>
        <v>0</v>
      </c>
      <c r="BJ4" s="1410">
        <f>SUMIF('2021'!$A:$A,$B4,'2021'!H:H)/1000</f>
        <v>0</v>
      </c>
      <c r="BK4" s="1410">
        <f>SUMIF('2021'!$A:$A,$B4,'2021'!I:I)/1000</f>
        <v>0</v>
      </c>
      <c r="BL4" s="1410">
        <f>SUMIF('2021'!$A:$A,$B4,'2021'!J:J)/1000</f>
        <v>0</v>
      </c>
      <c r="BM4" s="1410">
        <f>SUMIF('2021'!$A:$A,$B4,'2021'!K:K)/1000</f>
        <v>0</v>
      </c>
      <c r="BN4" s="1410">
        <f>SUMIF('2021'!$A:$A,$B4,'2021'!L:L)/1000</f>
        <v>0</v>
      </c>
      <c r="BO4" s="1410">
        <f>SUMIF('2021'!$A:$A,$B4,'2021'!M:M)/1000</f>
        <v>0</v>
      </c>
      <c r="BP4" s="1410">
        <f>SUMIF('2021'!$A:$A,$B4,'2021'!N:N)/1000</f>
        <v>0</v>
      </c>
      <c r="BQ4" s="1410">
        <f>SUMIF('2021'!$A:$A,$B4,'2021'!O:O)/1000</f>
        <v>0</v>
      </c>
      <c r="BR4" s="1410">
        <f>SUMIF('2022'!$A:$A,$B4,'2022'!D:D)/1000</f>
        <v>0</v>
      </c>
      <c r="BS4" s="1410">
        <f>SUMIF('2022'!$A:$A,$B4,'2022'!E:E)/1000</f>
        <v>0</v>
      </c>
      <c r="BT4" s="1410">
        <f>SUMIF('2022'!$A:$A,$B4,'2022'!F:F)/1000</f>
        <v>0</v>
      </c>
      <c r="BU4" s="1410">
        <f>SUMIF('2022'!$A:$A,$B4,'2022'!G:G)/1000</f>
        <v>0</v>
      </c>
      <c r="BV4" s="1410">
        <f>SUMIF('2022'!$A:$A,$B4,'2022'!H:H)/1000</f>
        <v>0</v>
      </c>
      <c r="BW4" s="1410">
        <f>SUMIF('2022'!$A:$A,$B4,'2022'!I:I)/1000</f>
        <v>0</v>
      </c>
      <c r="BX4" s="1410">
        <f>SUMIF('2022'!$A:$A,$B4,'2022'!J:J)/1000</f>
        <v>0</v>
      </c>
      <c r="BY4" s="1410">
        <f>SUMIF('2022'!$A:$A,$B4,'2022'!K:K)/1000</f>
        <v>0</v>
      </c>
      <c r="BZ4" s="1410">
        <f>SUMIF('2022'!$A:$A,$B4,'2022'!L:L)/1000</f>
        <v>0</v>
      </c>
    </row>
    <row r="5" spans="2:78">
      <c r="B5" s="977" t="s">
        <v>1403</v>
      </c>
      <c r="C5" s="927" t="s">
        <v>423</v>
      </c>
      <c r="D5" s="999">
        <f t="shared" si="20"/>
        <v>0</v>
      </c>
      <c r="E5" s="999">
        <f t="shared" si="20"/>
        <v>0</v>
      </c>
      <c r="F5" s="999">
        <f t="shared" si="20"/>
        <v>0</v>
      </c>
      <c r="G5" s="999">
        <f t="shared" si="20"/>
        <v>0</v>
      </c>
      <c r="H5" s="999">
        <f t="shared" si="20"/>
        <v>0</v>
      </c>
      <c r="I5" s="999">
        <f t="shared" si="20"/>
        <v>0</v>
      </c>
      <c r="J5" s="999">
        <f t="shared" si="20"/>
        <v>0</v>
      </c>
      <c r="K5" s="999">
        <f t="shared" si="20"/>
        <v>0</v>
      </c>
      <c r="L5" s="999">
        <f t="shared" si="20"/>
        <v>0</v>
      </c>
      <c r="M5" s="999">
        <f t="shared" si="20"/>
        <v>0</v>
      </c>
      <c r="N5" s="999">
        <f t="shared" si="21"/>
        <v>-53.115000000000002</v>
      </c>
      <c r="O5" s="999">
        <f t="shared" si="21"/>
        <v>0</v>
      </c>
      <c r="P5" s="999">
        <f t="shared" si="21"/>
        <v>0</v>
      </c>
      <c r="Q5" s="999">
        <f t="shared" si="21"/>
        <v>0</v>
      </c>
      <c r="R5" s="999">
        <f t="shared" si="21"/>
        <v>0</v>
      </c>
      <c r="S5" s="999">
        <f t="shared" si="21"/>
        <v>0</v>
      </c>
      <c r="T5" s="999">
        <f t="shared" si="21"/>
        <v>-33.858750000000001</v>
      </c>
      <c r="U5" s="999">
        <f t="shared" si="21"/>
        <v>-5.6539999999999999</v>
      </c>
      <c r="V5" s="999">
        <f t="shared" si="21"/>
        <v>0</v>
      </c>
      <c r="W5" s="999">
        <f t="shared" si="21"/>
        <v>0</v>
      </c>
      <c r="X5" s="999">
        <f t="shared" si="22"/>
        <v>-20.547429999999999</v>
      </c>
      <c r="Y5" s="999">
        <f t="shared" si="22"/>
        <v>-20.547429999999999</v>
      </c>
      <c r="Z5" s="999">
        <f t="shared" si="22"/>
        <v>-20.547429999999999</v>
      </c>
      <c r="AA5" s="999">
        <f t="shared" si="22"/>
        <v>-20.547429999999999</v>
      </c>
      <c r="AB5" s="999">
        <f t="shared" si="22"/>
        <v>-20.547429999999999</v>
      </c>
      <c r="AC5" s="999">
        <f t="shared" si="22"/>
        <v>-32.301760000000002</v>
      </c>
      <c r="AD5" s="999">
        <f t="shared" si="22"/>
        <v>0</v>
      </c>
      <c r="AE5" s="999">
        <f t="shared" si="22"/>
        <v>2.6564999999999999</v>
      </c>
      <c r="AF5" s="999">
        <f t="shared" si="22"/>
        <v>0</v>
      </c>
      <c r="AG5" s="999">
        <f t="shared" si="22"/>
        <v>-39.682370000000006</v>
      </c>
      <c r="AH5" s="999">
        <f t="shared" si="23"/>
        <v>0</v>
      </c>
      <c r="AI5" s="999">
        <f t="shared" si="23"/>
        <v>0</v>
      </c>
      <c r="AJ5" s="999">
        <f t="shared" si="23"/>
        <v>-15.037229999999999</v>
      </c>
      <c r="AK5" s="999">
        <f t="shared" si="23"/>
        <v>0</v>
      </c>
      <c r="AL5" s="999">
        <f t="shared" si="23"/>
        <v>0</v>
      </c>
      <c r="AM5" s="999">
        <f t="shared" si="23"/>
        <v>0</v>
      </c>
      <c r="AN5" s="999">
        <f t="shared" si="23"/>
        <v>0</v>
      </c>
      <c r="AO5" s="999">
        <f t="shared" si="23"/>
        <v>-11.24718</v>
      </c>
      <c r="AP5" s="999">
        <f t="shared" si="23"/>
        <v>0</v>
      </c>
      <c r="AQ5" s="999">
        <f t="shared" si="23"/>
        <v>0</v>
      </c>
      <c r="AR5" s="999">
        <f t="shared" si="23"/>
        <v>-64.287750000000003</v>
      </c>
      <c r="AS5" s="999">
        <f t="shared" si="23"/>
        <v>-17.90183</v>
      </c>
      <c r="AT5" s="999">
        <f>SUMIF('2020'!$A:$A,$B5,'2020'!D:D)/1000</f>
        <v>-5.9517499999999997</v>
      </c>
      <c r="AU5" s="999">
        <f>SUMIF('2020'!$A:$A,$B5,'2020'!E:E)/1000</f>
        <v>0</v>
      </c>
      <c r="AV5" s="999">
        <f>SUMIF('2020'!$A:$A,$B5,'2020'!F:F)/1000</f>
        <v>-15.488340000000001</v>
      </c>
      <c r="AW5" s="999">
        <f>SUMIF('2020'!$A:$A,$B5,'2020'!G:G)/1000</f>
        <v>0</v>
      </c>
      <c r="AX5" s="999">
        <f>SUMIF('2020'!$A:$A,$B5,'2020'!H:H)/1000</f>
        <v>0</v>
      </c>
      <c r="AY5" s="999">
        <f>SUMIF('2020'!$A:$A,$B5,'2020'!I:I)/1000</f>
        <v>0</v>
      </c>
      <c r="AZ5" s="999">
        <f>SUMIF('2020'!$A:$A,$B5,'2020'!J:J)/1000</f>
        <v>0</v>
      </c>
      <c r="BA5" s="999">
        <f>SUMIF('2020'!$A:$A,$B5,'2020'!K:K)/1000</f>
        <v>-11.24718</v>
      </c>
      <c r="BB5" s="999">
        <f>SUMIF('2020'!$A:$A,$B5,'2020'!L:L)/1000</f>
        <v>0</v>
      </c>
      <c r="BC5" s="999">
        <f>SUMIF('2020'!$A:$A,$B5,'2020'!M:M)/1000</f>
        <v>0</v>
      </c>
      <c r="BD5" s="999">
        <f>SUMIF('2020'!$A:$A,$B5,'2020'!N:N)/1000</f>
        <v>-33.858750000000001</v>
      </c>
      <c r="BE5" s="999">
        <f>SUMIF('2020'!$A:$A,$B5,'2020'!O:O)/1000</f>
        <v>0</v>
      </c>
      <c r="BF5" s="1410">
        <f>SUMIF('2021'!$A:$A,$B5,'2021'!D:D)/1000</f>
        <v>-14.155139999999999</v>
      </c>
      <c r="BG5" s="1410">
        <f>SUMIF('2021'!$A:$A,$B5,'2021'!E:E)/1000</f>
        <v>0</v>
      </c>
      <c r="BH5" s="1410">
        <f>SUMIF('2021'!$A:$A,$B5,'2021'!F:F)/1000</f>
        <v>0</v>
      </c>
      <c r="BI5" s="1410">
        <f>SUMIF('2021'!$A:$A,$B5,'2021'!G:G)/1000</f>
        <v>0</v>
      </c>
      <c r="BJ5" s="1410">
        <f>SUMIF('2021'!$A:$A,$B5,'2021'!H:H)/1000</f>
        <v>0</v>
      </c>
      <c r="BK5" s="1410">
        <f>SUMIF('2021'!$A:$A,$B5,'2021'!I:I)/1000</f>
        <v>0</v>
      </c>
      <c r="BL5" s="1410">
        <f>SUMIF('2021'!$A:$A,$B5,'2021'!J:J)/1000</f>
        <v>0</v>
      </c>
      <c r="BM5" s="1410">
        <f>SUMIF('2021'!$A:$A,$B5,'2021'!K:K)/1000</f>
        <v>-11.24718</v>
      </c>
      <c r="BN5" s="1410">
        <f>SUMIF('2021'!$A:$A,$B5,'2021'!L:L)/1000</f>
        <v>0</v>
      </c>
      <c r="BO5" s="1410">
        <f>SUMIF('2021'!$A:$A,$B5,'2021'!M:M)/1000</f>
        <v>0</v>
      </c>
      <c r="BP5" s="1410">
        <f>SUMIF('2021'!$A:$A,$B5,'2021'!N:N)/1000</f>
        <v>0</v>
      </c>
      <c r="BQ5" s="1410">
        <f>SUMIF('2021'!$A:$A,$B5,'2021'!O:O)/1000</f>
        <v>0</v>
      </c>
      <c r="BR5" s="1410">
        <f>SUMIF('2022'!$A:$A,$B5,'2022'!D:D)/1000</f>
        <v>0</v>
      </c>
      <c r="BS5" s="1410">
        <f>SUMIF('2022'!$A:$A,$B5,'2022'!E:E)/1000</f>
        <v>-15.95299</v>
      </c>
      <c r="BT5" s="1410">
        <f>SUMIF('2022'!$A:$A,$B5,'2022'!F:F)/1000</f>
        <v>0</v>
      </c>
      <c r="BU5" s="1410">
        <f>SUMIF('2022'!$A:$A,$B5,'2022'!G:G)/1000</f>
        <v>0</v>
      </c>
      <c r="BV5" s="1410">
        <f>SUMIF('2022'!$A:$A,$B5,'2022'!H:H)/1000</f>
        <v>0</v>
      </c>
      <c r="BW5" s="1410">
        <f>SUMIF('2022'!$A:$A,$B5,'2022'!I:I)/1000</f>
        <v>0</v>
      </c>
      <c r="BX5" s="1410">
        <f>SUMIF('2022'!$A:$A,$B5,'2022'!J:J)/1000</f>
        <v>0</v>
      </c>
      <c r="BY5" s="1410">
        <f>SUMIF('2022'!$A:$A,$B5,'2022'!K:K)/1000</f>
        <v>-11.24718</v>
      </c>
      <c r="BZ5" s="1410">
        <f>SUMIF('2022'!$A:$A,$B5,'2022'!L:L)/1000</f>
        <v>-10.383749999999999</v>
      </c>
    </row>
    <row r="6" spans="2:78">
      <c r="B6" s="977" t="s">
        <v>1360</v>
      </c>
      <c r="C6" s="927" t="s">
        <v>405</v>
      </c>
      <c r="D6" s="999">
        <f t="shared" si="20"/>
        <v>62.984529999999999</v>
      </c>
      <c r="E6" s="999">
        <f t="shared" si="20"/>
        <v>62.984529999999999</v>
      </c>
      <c r="F6" s="999">
        <f t="shared" si="20"/>
        <v>62.984529999999999</v>
      </c>
      <c r="G6" s="999">
        <f t="shared" si="20"/>
        <v>65.058189999999996</v>
      </c>
      <c r="H6" s="999">
        <f t="shared" si="20"/>
        <v>61.244279999999996</v>
      </c>
      <c r="I6" s="999">
        <f t="shared" si="20"/>
        <v>61.687429999999999</v>
      </c>
      <c r="J6" s="999">
        <f t="shared" si="20"/>
        <v>64.990709999999993</v>
      </c>
      <c r="K6" s="999">
        <f t="shared" si="20"/>
        <v>121.40012</v>
      </c>
      <c r="L6" s="999">
        <f t="shared" si="20"/>
        <v>89.275999999999996</v>
      </c>
      <c r="M6" s="999">
        <f t="shared" si="20"/>
        <v>177.92349999999999</v>
      </c>
      <c r="N6" s="999">
        <f t="shared" si="21"/>
        <v>92.72654</v>
      </c>
      <c r="O6" s="999">
        <f t="shared" si="21"/>
        <v>88.087000000000003</v>
      </c>
      <c r="P6" s="999">
        <f t="shared" si="21"/>
        <v>88.087000000000003</v>
      </c>
      <c r="Q6" s="999">
        <f t="shared" si="21"/>
        <v>79.738330000000005</v>
      </c>
      <c r="R6" s="999">
        <f t="shared" si="21"/>
        <v>71.935240000000007</v>
      </c>
      <c r="S6" s="999">
        <f t="shared" si="21"/>
        <v>84.893500000000003</v>
      </c>
      <c r="T6" s="999">
        <f t="shared" si="21"/>
        <v>97.850030000000004</v>
      </c>
      <c r="U6" s="999">
        <f t="shared" si="21"/>
        <v>93.36739</v>
      </c>
      <c r="V6" s="999">
        <f t="shared" si="21"/>
        <v>90.012</v>
      </c>
      <c r="W6" s="999">
        <f t="shared" si="21"/>
        <v>91.158210000000011</v>
      </c>
      <c r="X6" s="999">
        <f t="shared" si="22"/>
        <v>89.818210000000008</v>
      </c>
      <c r="Y6" s="999">
        <f t="shared" si="22"/>
        <v>80.414100000000005</v>
      </c>
      <c r="Z6" s="999">
        <f t="shared" si="22"/>
        <v>79.063160000000011</v>
      </c>
      <c r="AA6" s="999">
        <f t="shared" si="22"/>
        <v>77.823999999999998</v>
      </c>
      <c r="AB6" s="999">
        <f t="shared" si="22"/>
        <v>77.823999999999998</v>
      </c>
      <c r="AC6" s="999">
        <f t="shared" si="22"/>
        <v>74.74821</v>
      </c>
      <c r="AD6" s="999">
        <f t="shared" si="22"/>
        <v>76.664000000000001</v>
      </c>
      <c r="AE6" s="999">
        <f t="shared" si="22"/>
        <v>79.493740000000003</v>
      </c>
      <c r="AF6" s="999">
        <f t="shared" si="22"/>
        <v>82.867220000000003</v>
      </c>
      <c r="AG6" s="999">
        <f t="shared" si="22"/>
        <v>103.63547</v>
      </c>
      <c r="AH6" s="999">
        <f t="shared" si="23"/>
        <v>90.144750000000002</v>
      </c>
      <c r="AI6" s="999">
        <f t="shared" si="23"/>
        <v>91.789369999999991</v>
      </c>
      <c r="AJ6" s="999">
        <f t="shared" si="23"/>
        <v>84.154060000000001</v>
      </c>
      <c r="AK6" s="999">
        <f t="shared" si="23"/>
        <v>94.018249999999995</v>
      </c>
      <c r="AL6" s="999">
        <f t="shared" si="23"/>
        <v>95.571619999999996</v>
      </c>
      <c r="AM6" s="999">
        <f t="shared" si="23"/>
        <v>98.524749999999997</v>
      </c>
      <c r="AN6" s="999">
        <f t="shared" si="23"/>
        <v>100.28355000000001</v>
      </c>
      <c r="AO6" s="999">
        <f t="shared" si="23"/>
        <v>100.07769999999999</v>
      </c>
      <c r="AP6" s="999">
        <f t="shared" si="23"/>
        <v>101.92522</v>
      </c>
      <c r="AQ6" s="999">
        <f t="shared" si="23"/>
        <v>96.492750000000001</v>
      </c>
      <c r="AR6" s="999">
        <f t="shared" si="23"/>
        <v>79.470749999999995</v>
      </c>
      <c r="AS6" s="999">
        <f t="shared" si="23"/>
        <v>103.47271000000001</v>
      </c>
      <c r="AT6" s="999">
        <f>SUMIF('2020'!$A:$A,$B6,'2020'!D:D)/1000</f>
        <v>97.730999999999995</v>
      </c>
      <c r="AU6" s="999">
        <f>SUMIF('2020'!$A:$A,$B6,'2020'!E:E)/1000</f>
        <v>101.40300000000001</v>
      </c>
      <c r="AV6" s="999">
        <f>SUMIF('2020'!$A:$A,$B6,'2020'!F:F)/1000</f>
        <v>92.575999999999993</v>
      </c>
      <c r="AW6" s="999">
        <f>SUMIF('2020'!$A:$A,$B6,'2020'!G:G)/1000</f>
        <v>88.95975</v>
      </c>
      <c r="AX6" s="999">
        <f>SUMIF('2020'!$A:$A,$B6,'2020'!H:H)/1000</f>
        <v>110.09399999999999</v>
      </c>
      <c r="AY6" s="999">
        <f>SUMIF('2020'!$A:$A,$B6,'2020'!I:I)/1000</f>
        <v>94.673000000000002</v>
      </c>
      <c r="AZ6" s="999">
        <f>SUMIF('2020'!$A:$A,$B6,'2020'!J:J)/1000</f>
        <v>94.673000000000002</v>
      </c>
      <c r="BA6" s="999">
        <f>SUMIF('2020'!$A:$A,$B6,'2020'!K:K)/1000</f>
        <v>102.58631</v>
      </c>
      <c r="BB6" s="999">
        <f>SUMIF('2020'!$A:$A,$B6,'2020'!L:L)/1000</f>
        <v>94.673000000000002</v>
      </c>
      <c r="BC6" s="999">
        <f>SUMIF('2020'!$A:$A,$B6,'2020'!M:M)/1000</f>
        <v>94.673000000000002</v>
      </c>
      <c r="BD6" s="999">
        <f>SUMIF('2020'!$A:$A,$B6,'2020'!N:N)/1000</f>
        <v>94.673000000000002</v>
      </c>
      <c r="BE6" s="999">
        <f>SUMIF('2020'!$A:$A,$B6,'2020'!O:O)/1000</f>
        <v>95.013000000000005</v>
      </c>
      <c r="BF6" s="1410">
        <f>SUMIF('2021'!$A:$A,$B6,'2021'!D:D)/1000</f>
        <v>65.487650000000002</v>
      </c>
      <c r="BG6" s="1410">
        <f>SUMIF('2021'!$A:$A,$B6,'2021'!E:E)/1000</f>
        <v>79.311000000000007</v>
      </c>
      <c r="BH6" s="1410">
        <f>SUMIF('2021'!$A:$A,$B6,'2021'!F:F)/1000</f>
        <v>46.104879999999994</v>
      </c>
      <c r="BI6" s="1410">
        <f>SUMIF('2021'!$A:$A,$B6,'2021'!G:G)/1000</f>
        <v>78.970979999999997</v>
      </c>
      <c r="BJ6" s="1410">
        <f>SUMIF('2021'!$A:$A,$B6,'2021'!H:H)/1000</f>
        <v>78.971000000000004</v>
      </c>
      <c r="BK6" s="1410">
        <f>SUMIF('2021'!$A:$A,$B6,'2021'!I:I)/1000</f>
        <v>78.971000000000004</v>
      </c>
      <c r="BL6" s="1410">
        <f>SUMIF('2021'!$A:$A,$B6,'2021'!J:J)/1000</f>
        <v>41.86101</v>
      </c>
      <c r="BM6" s="1410">
        <f>SUMIF('2021'!$A:$A,$B6,'2021'!K:K)/1000</f>
        <v>78.971000000000004</v>
      </c>
      <c r="BN6" s="1410">
        <f>SUMIF('2021'!$A:$A,$B6,'2021'!L:L)/1000</f>
        <v>72.237619999999993</v>
      </c>
      <c r="BO6" s="1410">
        <f>SUMIF('2021'!$A:$A,$B6,'2021'!M:M)/1000</f>
        <v>87.232460000000003</v>
      </c>
      <c r="BP6" s="1410">
        <f>SUMIF('2021'!$A:$A,$B6,'2021'!N:N)/1000</f>
        <v>87.51</v>
      </c>
      <c r="BQ6" s="1410">
        <f>SUMIF('2021'!$A:$A,$B6,'2021'!O:O)/1000</f>
        <v>90.041479999999993</v>
      </c>
      <c r="BR6" s="1410">
        <f>SUMIF('2022'!$A:$A,$B6,'2022'!D:D)/1000</f>
        <v>100.76061999999999</v>
      </c>
      <c r="BS6" s="1410">
        <f>SUMIF('2022'!$A:$A,$B6,'2022'!E:E)/1000</f>
        <v>96.542419999999993</v>
      </c>
      <c r="BT6" s="1410">
        <f>SUMIF('2022'!$A:$A,$B6,'2022'!F:F)/1000</f>
        <v>96.542419999999993</v>
      </c>
      <c r="BU6" s="1410">
        <f>SUMIF('2022'!$A:$A,$B6,'2022'!G:G)/1000</f>
        <v>89.745940000000004</v>
      </c>
      <c r="BV6" s="1410">
        <f>SUMIF('2022'!$A:$A,$B6,'2022'!H:H)/1000</f>
        <v>96.542419999999993</v>
      </c>
      <c r="BW6" s="1410">
        <f>SUMIF('2022'!$A:$A,$B6,'2022'!I:I)/1000</f>
        <v>65.18159</v>
      </c>
      <c r="BX6" s="1410">
        <f>SUMIF('2022'!$A:$A,$B6,'2022'!J:J)/1000</f>
        <v>96.542419999999993</v>
      </c>
      <c r="BY6" s="1410">
        <f>SUMIF('2022'!$A:$A,$B6,'2022'!K:K)/1000</f>
        <v>96.542419999999993</v>
      </c>
      <c r="BZ6" s="1410">
        <f>SUMIF('2022'!$A:$A,$B6,'2022'!L:L)/1000</f>
        <v>96.709919999999997</v>
      </c>
    </row>
    <row r="7" spans="2:78">
      <c r="B7" s="977" t="s">
        <v>1355</v>
      </c>
      <c r="C7" s="927" t="s">
        <v>425</v>
      </c>
      <c r="D7" s="999">
        <f t="shared" si="20"/>
        <v>0</v>
      </c>
      <c r="E7" s="999">
        <f t="shared" si="20"/>
        <v>8.6</v>
      </c>
      <c r="F7" s="999">
        <f t="shared" si="20"/>
        <v>4.3</v>
      </c>
      <c r="G7" s="999">
        <f t="shared" si="20"/>
        <v>4.3</v>
      </c>
      <c r="H7" s="999">
        <f t="shared" si="20"/>
        <v>4.3</v>
      </c>
      <c r="I7" s="999">
        <f t="shared" si="20"/>
        <v>4.3</v>
      </c>
      <c r="J7" s="999">
        <f t="shared" si="20"/>
        <v>4.3</v>
      </c>
      <c r="K7" s="999">
        <f t="shared" si="20"/>
        <v>4.3</v>
      </c>
      <c r="L7" s="999">
        <f t="shared" si="20"/>
        <v>4.3</v>
      </c>
      <c r="M7" s="999">
        <f t="shared" si="20"/>
        <v>4.3</v>
      </c>
      <c r="N7" s="999">
        <f t="shared" si="21"/>
        <v>4.3</v>
      </c>
      <c r="O7" s="999">
        <f t="shared" si="21"/>
        <v>4.3</v>
      </c>
      <c r="P7" s="999">
        <f t="shared" si="21"/>
        <v>7</v>
      </c>
      <c r="Q7" s="999">
        <f t="shared" si="21"/>
        <v>7</v>
      </c>
      <c r="R7" s="999">
        <f t="shared" si="21"/>
        <v>7</v>
      </c>
      <c r="S7" s="999">
        <f t="shared" si="21"/>
        <v>7</v>
      </c>
      <c r="T7" s="999">
        <f t="shared" si="21"/>
        <v>7</v>
      </c>
      <c r="U7" s="999">
        <f t="shared" si="21"/>
        <v>7</v>
      </c>
      <c r="V7" s="999">
        <f t="shared" si="21"/>
        <v>7</v>
      </c>
      <c r="W7" s="999">
        <f t="shared" si="21"/>
        <v>7</v>
      </c>
      <c r="X7" s="999">
        <f t="shared" si="22"/>
        <v>7</v>
      </c>
      <c r="Y7" s="999">
        <f t="shared" si="22"/>
        <v>7</v>
      </c>
      <c r="Z7" s="999">
        <f t="shared" si="22"/>
        <v>7</v>
      </c>
      <c r="AA7" s="999">
        <f t="shared" si="22"/>
        <v>7</v>
      </c>
      <c r="AB7" s="999">
        <f t="shared" si="22"/>
        <v>7</v>
      </c>
      <c r="AC7" s="999">
        <f t="shared" si="22"/>
        <v>7</v>
      </c>
      <c r="AD7" s="999">
        <f t="shared" si="22"/>
        <v>7</v>
      </c>
      <c r="AE7" s="999">
        <f t="shared" si="22"/>
        <v>7</v>
      </c>
      <c r="AF7" s="999">
        <f t="shared" si="22"/>
        <v>7</v>
      </c>
      <c r="AG7" s="999">
        <f t="shared" si="22"/>
        <v>7</v>
      </c>
      <c r="AH7" s="999">
        <f t="shared" si="23"/>
        <v>7</v>
      </c>
      <c r="AI7" s="999">
        <f t="shared" si="23"/>
        <v>7</v>
      </c>
      <c r="AJ7" s="999">
        <f t="shared" si="23"/>
        <v>7</v>
      </c>
      <c r="AK7" s="999">
        <f t="shared" si="23"/>
        <v>7</v>
      </c>
      <c r="AL7" s="999">
        <f t="shared" si="23"/>
        <v>7</v>
      </c>
      <c r="AM7" s="999">
        <f t="shared" si="23"/>
        <v>0</v>
      </c>
      <c r="AN7" s="999">
        <f t="shared" si="23"/>
        <v>14</v>
      </c>
      <c r="AO7" s="999">
        <f t="shared" si="23"/>
        <v>7</v>
      </c>
      <c r="AP7" s="999">
        <f t="shared" si="23"/>
        <v>7</v>
      </c>
      <c r="AQ7" s="999">
        <f t="shared" si="23"/>
        <v>3.0644999999999998</v>
      </c>
      <c r="AR7" s="999">
        <f t="shared" si="23"/>
        <v>13</v>
      </c>
      <c r="AS7" s="999">
        <f t="shared" si="23"/>
        <v>13</v>
      </c>
      <c r="AT7" s="999">
        <f>SUMIF('2020'!$A:$A,$B7,'2020'!D:D)/1000</f>
        <v>13</v>
      </c>
      <c r="AU7" s="999">
        <f>SUMIF('2020'!$A:$A,$B7,'2020'!E:E)/1000</f>
        <v>4.4648000000000003</v>
      </c>
      <c r="AV7" s="999">
        <f>SUMIF('2020'!$A:$A,$B7,'2020'!F:F)/1000</f>
        <v>2.2324000000000002</v>
      </c>
      <c r="AW7" s="999">
        <f>SUMIF('2020'!$A:$A,$B7,'2020'!G:G)/1000</f>
        <v>2.2324000000000002</v>
      </c>
      <c r="AX7" s="999">
        <f>SUMIF('2020'!$A:$A,$B7,'2020'!H:H)/1000</f>
        <v>-2.2324000000000002</v>
      </c>
      <c r="AY7" s="999">
        <f>SUMIF('2020'!$A:$A,$B7,'2020'!I:I)/1000</f>
        <v>0</v>
      </c>
      <c r="AZ7" s="999">
        <f>SUMIF('2020'!$A:$A,$B7,'2020'!J:J)/1000</f>
        <v>0</v>
      </c>
      <c r="BA7" s="999">
        <f>SUMIF('2020'!$A:$A,$B7,'2020'!K:K)/1000</f>
        <v>14.62452</v>
      </c>
      <c r="BB7" s="999">
        <f>SUMIF('2020'!$A:$A,$B7,'2020'!L:L)/1000</f>
        <v>18.473580000000002</v>
      </c>
      <c r="BC7" s="999">
        <f>SUMIF('2020'!$A:$A,$B7,'2020'!M:M)/1000</f>
        <v>12.212159999999999</v>
      </c>
      <c r="BD7" s="999">
        <f>SUMIF('2020'!$A:$A,$B7,'2020'!N:N)/1000</f>
        <v>0.20646</v>
      </c>
      <c r="BE7" s="999">
        <f>SUMIF('2020'!$A:$A,$B7,'2020'!O:O)/1000</f>
        <v>8.22241</v>
      </c>
      <c r="BF7" s="1410">
        <f>SUMIF('2021'!$A:$A,$B7,'2021'!D:D)/1000</f>
        <v>0</v>
      </c>
      <c r="BG7" s="1410">
        <f>SUMIF('2021'!$A:$A,$B7,'2021'!E:E)/1000</f>
        <v>0</v>
      </c>
      <c r="BH7" s="1410">
        <f>SUMIF('2021'!$A:$A,$B7,'2021'!F:F)/1000</f>
        <v>9.6771700000000003</v>
      </c>
      <c r="BI7" s="1410">
        <f>SUMIF('2021'!$A:$A,$B7,'2021'!G:G)/1000</f>
        <v>11.276350000000001</v>
      </c>
      <c r="BJ7" s="1410">
        <f>SUMIF('2021'!$A:$A,$B7,'2021'!H:H)/1000</f>
        <v>0</v>
      </c>
      <c r="BK7" s="1410">
        <f>SUMIF('2021'!$A:$A,$B7,'2021'!I:I)/1000</f>
        <v>24.528299999999998</v>
      </c>
      <c r="BL7" s="1410">
        <f>SUMIF('2021'!$A:$A,$B7,'2021'!J:J)/1000</f>
        <v>25.933199999999999</v>
      </c>
      <c r="BM7" s="1410">
        <f>SUMIF('2021'!$A:$A,$B7,'2021'!K:K)/1000</f>
        <v>20.701499999999999</v>
      </c>
      <c r="BN7" s="1410">
        <f>SUMIF('2021'!$A:$A,$B7,'2021'!L:L)/1000</f>
        <v>16.834049999999998</v>
      </c>
      <c r="BO7" s="1410">
        <f>SUMIF('2021'!$A:$A,$B7,'2021'!M:M)/1000</f>
        <v>16.834049999999998</v>
      </c>
      <c r="BP7" s="1410">
        <f>SUMIF('2021'!$A:$A,$B7,'2021'!N:N)/1000</f>
        <v>24.31917</v>
      </c>
      <c r="BQ7" s="1410">
        <f>SUMIF('2021'!$A:$A,$B7,'2021'!O:O)/1000</f>
        <v>-11.72946</v>
      </c>
      <c r="BR7" s="1410">
        <f>SUMIF('2022'!$A:$A,$B7,'2022'!D:D)/1000</f>
        <v>18.5</v>
      </c>
      <c r="BS7" s="1410">
        <f>SUMIF('2022'!$A:$A,$B7,'2022'!E:E)/1000</f>
        <v>18.5</v>
      </c>
      <c r="BT7" s="1410">
        <f>SUMIF('2022'!$A:$A,$B7,'2022'!F:F)/1000</f>
        <v>16.225999999999999</v>
      </c>
      <c r="BU7" s="1410">
        <f>SUMIF('2022'!$A:$A,$B7,'2022'!G:G)/1000</f>
        <v>26.995819999999998</v>
      </c>
      <c r="BV7" s="1410">
        <f>SUMIF('2022'!$A:$A,$B7,'2022'!H:H)/1000</f>
        <v>30.25864</v>
      </c>
      <c r="BW7" s="1410">
        <f>SUMIF('2022'!$A:$A,$B7,'2022'!I:I)/1000</f>
        <v>22</v>
      </c>
      <c r="BX7" s="1410">
        <f>SUMIF('2022'!$A:$A,$B7,'2022'!J:J)/1000</f>
        <v>39.273949999999999</v>
      </c>
      <c r="BY7" s="1410">
        <f>SUMIF('2022'!$A:$A,$B7,'2022'!K:K)/1000</f>
        <v>27.579039999999999</v>
      </c>
      <c r="BZ7" s="1410">
        <f>SUMIF('2022'!$A:$A,$B7,'2022'!L:L)/1000</f>
        <v>23.14199</v>
      </c>
    </row>
    <row r="8" spans="2:78">
      <c r="B8" s="977" t="s">
        <v>1342</v>
      </c>
      <c r="C8" s="927" t="s">
        <v>396</v>
      </c>
      <c r="D8" s="999">
        <f t="shared" ref="D8:AS8" si="24">SUMIF($A$32:$A$268,$B8,D$32:D$268)/1000-D7</f>
        <v>0</v>
      </c>
      <c r="E8" s="999">
        <f t="shared" si="24"/>
        <v>0</v>
      </c>
      <c r="F8" s="999">
        <f t="shared" si="24"/>
        <v>3.1431000000000004</v>
      </c>
      <c r="G8" s="999">
        <f t="shared" si="24"/>
        <v>9.3210200000000007</v>
      </c>
      <c r="H8" s="999">
        <f t="shared" si="24"/>
        <v>0</v>
      </c>
      <c r="I8" s="999">
        <f t="shared" si="24"/>
        <v>4.466969999999999</v>
      </c>
      <c r="J8" s="999">
        <f t="shared" si="24"/>
        <v>3.8033500000000009</v>
      </c>
      <c r="K8" s="999">
        <f t="shared" si="24"/>
        <v>11.886099999999999</v>
      </c>
      <c r="L8" s="999">
        <f t="shared" si="24"/>
        <v>0</v>
      </c>
      <c r="M8" s="999">
        <f t="shared" si="24"/>
        <v>1.1763700000000004</v>
      </c>
      <c r="N8" s="999">
        <f t="shared" si="24"/>
        <v>0</v>
      </c>
      <c r="O8" s="999">
        <f t="shared" si="24"/>
        <v>0.52500000000000036</v>
      </c>
      <c r="P8" s="999">
        <f t="shared" si="24"/>
        <v>0.54756000000000071</v>
      </c>
      <c r="Q8" s="999">
        <f t="shared" si="24"/>
        <v>0</v>
      </c>
      <c r="R8" s="999">
        <f t="shared" si="24"/>
        <v>0</v>
      </c>
      <c r="S8" s="999">
        <f t="shared" si="24"/>
        <v>0</v>
      </c>
      <c r="T8" s="999">
        <f t="shared" si="24"/>
        <v>3.7581399999999991</v>
      </c>
      <c r="U8" s="999">
        <f t="shared" si="24"/>
        <v>1.1059199999999993</v>
      </c>
      <c r="V8" s="999">
        <f t="shared" si="24"/>
        <v>3.8006600000000006</v>
      </c>
      <c r="W8" s="999">
        <f t="shared" si="24"/>
        <v>3.8921100000000006</v>
      </c>
      <c r="X8" s="999">
        <f t="shared" si="24"/>
        <v>3.8875599999999988</v>
      </c>
      <c r="Y8" s="999">
        <f t="shared" si="24"/>
        <v>9.1438999999999986</v>
      </c>
      <c r="Z8" s="999">
        <f t="shared" si="24"/>
        <v>0.17999999999999972</v>
      </c>
      <c r="AA8" s="999">
        <f t="shared" si="24"/>
        <v>1.3599999999999994</v>
      </c>
      <c r="AB8" s="999">
        <f t="shared" si="24"/>
        <v>3.8875599999999988</v>
      </c>
      <c r="AC8" s="999">
        <f t="shared" si="24"/>
        <v>5.1689500000000006</v>
      </c>
      <c r="AD8" s="999">
        <f t="shared" si="24"/>
        <v>5.9076900000000006</v>
      </c>
      <c r="AE8" s="999">
        <f t="shared" si="24"/>
        <v>21.436119999999999</v>
      </c>
      <c r="AF8" s="999">
        <f t="shared" si="24"/>
        <v>2.9729299999999999</v>
      </c>
      <c r="AG8" s="999">
        <f t="shared" si="24"/>
        <v>0.24899999999999967</v>
      </c>
      <c r="AH8" s="999">
        <f t="shared" si="24"/>
        <v>5.5168999999999997</v>
      </c>
      <c r="AI8" s="999">
        <f t="shared" si="24"/>
        <v>2.8545300000000005</v>
      </c>
      <c r="AJ8" s="999">
        <f t="shared" si="24"/>
        <v>6.899999999999995E-2</v>
      </c>
      <c r="AK8" s="999">
        <f t="shared" si="24"/>
        <v>6.899999999999995E-2</v>
      </c>
      <c r="AL8" s="999">
        <f t="shared" si="24"/>
        <v>6.899999999999995E-2</v>
      </c>
      <c r="AM8" s="999">
        <f t="shared" si="24"/>
        <v>1.3103800000000001</v>
      </c>
      <c r="AN8" s="999">
        <f t="shared" si="24"/>
        <v>6.9000000000000838E-2</v>
      </c>
      <c r="AO8" s="999">
        <f t="shared" si="24"/>
        <v>6.899999999999995E-2</v>
      </c>
      <c r="AP8" s="999">
        <f t="shared" si="24"/>
        <v>6.899999999999995E-2</v>
      </c>
      <c r="AQ8" s="999">
        <f t="shared" si="24"/>
        <v>12.504459999999998</v>
      </c>
      <c r="AR8" s="999">
        <f t="shared" si="24"/>
        <v>5.0689999999999991</v>
      </c>
      <c r="AS8" s="999">
        <f t="shared" si="24"/>
        <v>20.780720000000002</v>
      </c>
      <c r="AT8" s="999">
        <f>SUMIF('2020'!$A:$A,$B8,'2020'!D:D)/1000</f>
        <v>6.9000000000000006E-2</v>
      </c>
      <c r="AU8" s="999">
        <f>SUMIF('2020'!$A:$A,$B8,'2020'!E:E)/1000</f>
        <v>6.9000000000000006E-2</v>
      </c>
      <c r="AV8" s="999">
        <f>SUMIF('2020'!$A:$A,$B8,'2020'!F:F)/1000</f>
        <v>6.9000000000000006E-2</v>
      </c>
      <c r="AW8" s="999">
        <f>SUMIF('2020'!$A:$A,$B8,'2020'!G:G)/1000</f>
        <v>6.9000000000000006E-2</v>
      </c>
      <c r="AX8" s="999">
        <f>SUMIF('2020'!$A:$A,$B8,'2020'!H:H)/1000</f>
        <v>6.9000000000000006E-2</v>
      </c>
      <c r="AY8" s="999">
        <f>SUMIF('2020'!$A:$A,$B8,'2020'!I:I)/1000</f>
        <v>6.9000000000000006E-2</v>
      </c>
      <c r="AZ8" s="999">
        <f>SUMIF('2020'!$A:$A,$B8,'2020'!J:J)/1000</f>
        <v>6.9000000000000006E-2</v>
      </c>
      <c r="BA8" s="999">
        <f>SUMIF('2020'!$A:$A,$B8,'2020'!K:K)/1000</f>
        <v>6.9000000000000006E-2</v>
      </c>
      <c r="BB8" s="999">
        <f>SUMIF('2020'!$A:$A,$B8,'2020'!L:L)/1000</f>
        <v>6.9000000000000006E-2</v>
      </c>
      <c r="BC8" s="999">
        <f>SUMIF('2020'!$A:$A,$B8,'2020'!M:M)/1000</f>
        <v>6.9000000000000006E-2</v>
      </c>
      <c r="BD8" s="999">
        <f>SUMIF('2020'!$A:$A,$B8,'2020'!N:N)/1000</f>
        <v>6.9000000000000006E-2</v>
      </c>
      <c r="BE8" s="999">
        <f>SUMIF('2020'!$A:$A,$B8,'2020'!O:O)/1000</f>
        <v>6.9000000000000006E-2</v>
      </c>
      <c r="BF8" s="1410">
        <f>SUMIF('2021'!$A:$A,$B8,'2021'!D:D)/1000</f>
        <v>6.9000000000000006E-2</v>
      </c>
      <c r="BG8" s="1410">
        <f>SUMIF('2021'!$A:$A,$B8,'2021'!E:E)/1000</f>
        <v>6.9000000000000006E-2</v>
      </c>
      <c r="BH8" s="1410">
        <f>SUMIF('2021'!$A:$A,$B8,'2021'!F:F)/1000</f>
        <v>-0.3795</v>
      </c>
      <c r="BI8" s="1410">
        <f>SUMIF('2021'!$A:$A,$B8,'2021'!G:G)/1000</f>
        <v>6.9000000000000006E-2</v>
      </c>
      <c r="BJ8" s="1410">
        <f>SUMIF('2021'!$A:$A,$B8,'2021'!H:H)/1000</f>
        <v>2.70079</v>
      </c>
      <c r="BK8" s="1410">
        <f>SUMIF('2021'!$A:$A,$B8,'2021'!I:I)/1000</f>
        <v>12.450049999999999</v>
      </c>
      <c r="BL8" s="1410">
        <f>SUMIF('2021'!$A:$A,$B8,'2021'!J:J)/1000</f>
        <v>4.9500500000000001</v>
      </c>
      <c r="BM8" s="1410">
        <f>SUMIF('2021'!$A:$A,$B8,'2021'!K:K)/1000</f>
        <v>4.9500500000000001</v>
      </c>
      <c r="BN8" s="1410">
        <f>SUMIF('2021'!$A:$A,$B8,'2021'!L:L)/1000</f>
        <v>4.9500500000000001</v>
      </c>
      <c r="BO8" s="1410">
        <f>SUMIF('2021'!$A:$A,$B8,'2021'!M:M)/1000</f>
        <v>4.9500500000000001</v>
      </c>
      <c r="BP8" s="1410">
        <f>SUMIF('2021'!$A:$A,$B8,'2021'!N:N)/1000</f>
        <v>4.9500500000000001</v>
      </c>
      <c r="BQ8" s="1410">
        <f>SUMIF('2021'!$A:$A,$B8,'2021'!O:O)/1000</f>
        <v>2.70079</v>
      </c>
      <c r="BR8" s="1410">
        <f>SUMIF('2022'!$A:$A,$B8,'2022'!D:D)/1000</f>
        <v>2.70079</v>
      </c>
      <c r="BS8" s="1410">
        <f>SUMIF('2022'!$A:$A,$B8,'2022'!E:E)/1000</f>
        <v>2.70079</v>
      </c>
      <c r="BT8" s="1410">
        <f>SUMIF('2022'!$A:$A,$B8,'2022'!F:F)/1000</f>
        <v>7.7007899999999996</v>
      </c>
      <c r="BU8" s="1410">
        <f>SUMIF('2022'!$A:$A,$B8,'2022'!G:G)/1000</f>
        <v>2.70079</v>
      </c>
      <c r="BV8" s="1410">
        <f>SUMIF('2022'!$A:$A,$B8,'2022'!H:H)/1000</f>
        <v>2.70079</v>
      </c>
      <c r="BW8" s="1410">
        <f>SUMIF('2022'!$A:$A,$B8,'2022'!I:I)/1000</f>
        <v>2.70079</v>
      </c>
      <c r="BX8" s="1410">
        <f>SUMIF('2022'!$A:$A,$B8,'2022'!J:J)/1000</f>
        <v>2.70079</v>
      </c>
      <c r="BY8" s="1410">
        <f>SUMIF('2022'!$A:$A,$B8,'2022'!K:K)/1000</f>
        <v>2.70079</v>
      </c>
      <c r="BZ8" s="1410">
        <f>SUMIF('2022'!$A:$A,$B8,'2022'!L:L)/1000</f>
        <v>2.70079</v>
      </c>
    </row>
    <row r="9" spans="2:78">
      <c r="B9" s="977" t="s">
        <v>1389</v>
      </c>
      <c r="C9" s="927" t="s">
        <v>397</v>
      </c>
      <c r="D9" s="999">
        <f t="shared" ref="D9:AI9" si="25">SUM(D3:D8)</f>
        <v>174.17922000000002</v>
      </c>
      <c r="E9" s="999">
        <f t="shared" si="25"/>
        <v>183.67012</v>
      </c>
      <c r="F9" s="999">
        <f t="shared" si="25"/>
        <v>186.80412000000001</v>
      </c>
      <c r="G9" s="999">
        <f t="shared" si="25"/>
        <v>190.57505</v>
      </c>
      <c r="H9" s="999">
        <f t="shared" si="25"/>
        <v>177.26428000000001</v>
      </c>
      <c r="I9" s="999">
        <f t="shared" si="25"/>
        <v>180.16823000000002</v>
      </c>
      <c r="J9" s="999">
        <f t="shared" si="25"/>
        <v>180.77277000000001</v>
      </c>
      <c r="K9" s="999">
        <f t="shared" si="25"/>
        <v>239.88771000000003</v>
      </c>
      <c r="L9" s="999">
        <f t="shared" si="25"/>
        <v>198.29234000000002</v>
      </c>
      <c r="M9" s="999">
        <f t="shared" si="25"/>
        <v>289.77710000000002</v>
      </c>
      <c r="N9" s="999">
        <f t="shared" si="25"/>
        <v>341.16856999999999</v>
      </c>
      <c r="O9" s="999">
        <f t="shared" si="25"/>
        <v>85.750510000000006</v>
      </c>
      <c r="P9" s="999">
        <f t="shared" si="25"/>
        <v>214.12483</v>
      </c>
      <c r="Q9" s="999">
        <f t="shared" si="25"/>
        <v>209.11749</v>
      </c>
      <c r="R9" s="999">
        <f t="shared" si="25"/>
        <v>194.97919000000002</v>
      </c>
      <c r="S9" s="999">
        <f t="shared" si="25"/>
        <v>215.79552000000001</v>
      </c>
      <c r="T9" s="999">
        <f t="shared" si="25"/>
        <v>196.78563</v>
      </c>
      <c r="U9" s="999">
        <f t="shared" si="25"/>
        <v>217.93122</v>
      </c>
      <c r="V9" s="999">
        <f t="shared" si="25"/>
        <v>229.66460999999998</v>
      </c>
      <c r="W9" s="999">
        <f t="shared" si="25"/>
        <v>227.49612999999999</v>
      </c>
      <c r="X9" s="999">
        <f t="shared" si="25"/>
        <v>210.05933000000005</v>
      </c>
      <c r="Y9" s="999">
        <f t="shared" si="25"/>
        <v>190.58975000000001</v>
      </c>
      <c r="Z9" s="999">
        <f t="shared" si="25"/>
        <v>226.99888000000001</v>
      </c>
      <c r="AA9" s="999">
        <f t="shared" si="25"/>
        <v>197.96588000000003</v>
      </c>
      <c r="AB9" s="999">
        <f t="shared" si="25"/>
        <v>193.87853000000001</v>
      </c>
      <c r="AC9" s="999">
        <f t="shared" si="25"/>
        <v>186.22766999999999</v>
      </c>
      <c r="AD9" s="999">
        <f t="shared" si="25"/>
        <v>212.82701000000003</v>
      </c>
      <c r="AE9" s="999">
        <f t="shared" si="25"/>
        <v>232.51458</v>
      </c>
      <c r="AF9" s="999">
        <f t="shared" si="25"/>
        <v>229.37076999999999</v>
      </c>
      <c r="AG9" s="999">
        <f t="shared" si="25"/>
        <v>207.73272</v>
      </c>
      <c r="AH9" s="999">
        <f t="shared" si="25"/>
        <v>242.52189000000001</v>
      </c>
      <c r="AI9" s="999">
        <f t="shared" si="25"/>
        <v>243.93328</v>
      </c>
      <c r="AJ9" s="999">
        <f t="shared" ref="AJ9:AT9" si="26">SUM(AJ3:AJ8)</f>
        <v>221.55411000000001</v>
      </c>
      <c r="AK9" s="999">
        <f t="shared" si="26"/>
        <v>246.61747</v>
      </c>
      <c r="AL9" s="999">
        <f t="shared" si="26"/>
        <v>250.30870999999999</v>
      </c>
      <c r="AM9" s="999">
        <f t="shared" si="26"/>
        <v>249.66270000000003</v>
      </c>
      <c r="AN9" s="999">
        <f t="shared" si="26"/>
        <v>266.27415999999999</v>
      </c>
      <c r="AO9" s="999">
        <f t="shared" si="26"/>
        <v>252.91995999999997</v>
      </c>
      <c r="AP9" s="999">
        <f t="shared" si="26"/>
        <v>266.05905999999999</v>
      </c>
      <c r="AQ9" s="999">
        <f t="shared" si="26"/>
        <v>268.14003000000002</v>
      </c>
      <c r="AR9" s="999">
        <f t="shared" si="26"/>
        <v>191.15581</v>
      </c>
      <c r="AS9" s="999">
        <f t="shared" si="26"/>
        <v>277.25540999999998</v>
      </c>
      <c r="AT9" s="999">
        <f t="shared" si="26"/>
        <v>280.21132</v>
      </c>
      <c r="AU9" s="999">
        <f t="shared" ref="AU9:BN9" si="27">SUM(AU3:AU8)</f>
        <v>237.28243999999995</v>
      </c>
      <c r="AV9" s="999">
        <f t="shared" si="27"/>
        <v>233.37613000000002</v>
      </c>
      <c r="AW9" s="999">
        <f t="shared" si="27"/>
        <v>245.24822</v>
      </c>
      <c r="AX9" s="999">
        <f t="shared" si="27"/>
        <v>267.43815999999998</v>
      </c>
      <c r="AY9" s="999">
        <f t="shared" si="27"/>
        <v>241.45482999999999</v>
      </c>
      <c r="AZ9" s="999">
        <f t="shared" si="27"/>
        <v>241.45482999999999</v>
      </c>
      <c r="BA9" s="999">
        <f t="shared" si="27"/>
        <v>253.75856999999999</v>
      </c>
      <c r="BB9" s="999">
        <f t="shared" si="27"/>
        <v>261.13094000000001</v>
      </c>
      <c r="BC9" s="999">
        <f t="shared" si="27"/>
        <v>255.18901</v>
      </c>
      <c r="BD9" s="999">
        <f t="shared" si="27"/>
        <v>216.76361</v>
      </c>
      <c r="BE9" s="999">
        <f t="shared" si="27"/>
        <v>259.60229000000004</v>
      </c>
      <c r="BF9" s="1410">
        <f t="shared" si="27"/>
        <v>188.26948000000002</v>
      </c>
      <c r="BG9" s="1410">
        <f t="shared" si="27"/>
        <v>216.24797000000001</v>
      </c>
      <c r="BH9" s="1410">
        <f t="shared" si="27"/>
        <v>128.00421</v>
      </c>
      <c r="BI9" s="1410">
        <f t="shared" si="27"/>
        <v>227.64894999999999</v>
      </c>
      <c r="BJ9" s="1410">
        <f t="shared" si="27"/>
        <v>219.19041000000001</v>
      </c>
      <c r="BK9" s="1410">
        <f t="shared" si="27"/>
        <v>253.80251000000001</v>
      </c>
      <c r="BL9" s="1410">
        <f t="shared" si="27"/>
        <v>210.59742</v>
      </c>
      <c r="BM9" s="1410">
        <f t="shared" si="27"/>
        <v>243.56395000000001</v>
      </c>
      <c r="BN9" s="1410">
        <f t="shared" si="27"/>
        <v>235.51445999999999</v>
      </c>
      <c r="BO9" s="1410">
        <f t="shared" ref="BO9:BR9" si="28">SUM(BO3:BO8)</f>
        <v>259.83763999999996</v>
      </c>
      <c r="BP9" s="1410">
        <f t="shared" si="28"/>
        <v>267.60029999999995</v>
      </c>
      <c r="BQ9" s="1410">
        <f t="shared" si="28"/>
        <v>238.59147000000002</v>
      </c>
      <c r="BR9" s="1410">
        <f t="shared" si="28"/>
        <v>273.31394</v>
      </c>
      <c r="BS9" s="1410">
        <f t="shared" ref="BS9:BZ9" si="29">SUM(BS3:BS8)</f>
        <v>255.32895000000002</v>
      </c>
      <c r="BT9" s="1410">
        <f t="shared" si="29"/>
        <v>274.55728999999997</v>
      </c>
      <c r="BU9" s="1410">
        <f t="shared" si="29"/>
        <v>265.68453</v>
      </c>
      <c r="BV9" s="1410">
        <f t="shared" si="29"/>
        <v>284.91505999999998</v>
      </c>
      <c r="BW9" s="1410">
        <f t="shared" si="29"/>
        <v>245.67417000000003</v>
      </c>
      <c r="BX9" s="1410">
        <f t="shared" si="29"/>
        <v>294.80152999999996</v>
      </c>
      <c r="BY9" s="1410">
        <f t="shared" si="29"/>
        <v>272.95519999999999</v>
      </c>
      <c r="BZ9" s="1410">
        <f t="shared" si="29"/>
        <v>272.71158000000003</v>
      </c>
    </row>
    <row r="10" spans="2:78">
      <c r="B10" s="977" t="s">
        <v>1402</v>
      </c>
      <c r="C10" s="927" t="s">
        <v>440</v>
      </c>
      <c r="D10" s="999">
        <f t="shared" ref="D10:AS10" si="30">SUMIF($A$32:$A$268,$B10,D$32:D$268)/1000</f>
        <v>0</v>
      </c>
      <c r="E10" s="999">
        <f t="shared" si="30"/>
        <v>0</v>
      </c>
      <c r="F10" s="999">
        <f t="shared" si="30"/>
        <v>0</v>
      </c>
      <c r="G10" s="999">
        <f t="shared" si="30"/>
        <v>0</v>
      </c>
      <c r="H10" s="999">
        <f t="shared" si="30"/>
        <v>0</v>
      </c>
      <c r="I10" s="999">
        <f t="shared" si="30"/>
        <v>0</v>
      </c>
      <c r="J10" s="999">
        <f t="shared" si="30"/>
        <v>0</v>
      </c>
      <c r="K10" s="999">
        <f t="shared" si="30"/>
        <v>0</v>
      </c>
      <c r="L10" s="999">
        <f t="shared" si="30"/>
        <v>0</v>
      </c>
      <c r="M10" s="999">
        <f t="shared" si="30"/>
        <v>0</v>
      </c>
      <c r="N10" s="999">
        <f t="shared" si="30"/>
        <v>0</v>
      </c>
      <c r="O10" s="999">
        <f t="shared" si="30"/>
        <v>0</v>
      </c>
      <c r="P10" s="999">
        <f t="shared" si="30"/>
        <v>0</v>
      </c>
      <c r="Q10" s="999">
        <f t="shared" si="30"/>
        <v>0</v>
      </c>
      <c r="R10" s="999">
        <f t="shared" si="30"/>
        <v>0</v>
      </c>
      <c r="S10" s="999">
        <f t="shared" si="30"/>
        <v>0</v>
      </c>
      <c r="T10" s="999">
        <f t="shared" si="30"/>
        <v>0</v>
      </c>
      <c r="U10" s="999">
        <f t="shared" si="30"/>
        <v>0</v>
      </c>
      <c r="V10" s="999">
        <f t="shared" si="30"/>
        <v>0</v>
      </c>
      <c r="W10" s="999">
        <f t="shared" si="30"/>
        <v>0</v>
      </c>
      <c r="X10" s="999">
        <f t="shared" si="30"/>
        <v>0</v>
      </c>
      <c r="Y10" s="999">
        <f t="shared" si="30"/>
        <v>0</v>
      </c>
      <c r="Z10" s="999">
        <f t="shared" si="30"/>
        <v>0</v>
      </c>
      <c r="AA10" s="999">
        <f t="shared" si="30"/>
        <v>0</v>
      </c>
      <c r="AB10" s="999">
        <f t="shared" si="30"/>
        <v>0</v>
      </c>
      <c r="AC10" s="999">
        <f t="shared" si="30"/>
        <v>0</v>
      </c>
      <c r="AD10" s="999">
        <f t="shared" si="30"/>
        <v>0</v>
      </c>
      <c r="AE10" s="999">
        <f t="shared" si="30"/>
        <v>0</v>
      </c>
      <c r="AF10" s="999">
        <f t="shared" si="30"/>
        <v>0</v>
      </c>
      <c r="AG10" s="999">
        <f t="shared" si="30"/>
        <v>0</v>
      </c>
      <c r="AH10" s="999">
        <f t="shared" si="30"/>
        <v>0</v>
      </c>
      <c r="AI10" s="999">
        <f t="shared" si="30"/>
        <v>0</v>
      </c>
      <c r="AJ10" s="999">
        <f t="shared" si="30"/>
        <v>0</v>
      </c>
      <c r="AK10" s="999">
        <f t="shared" si="30"/>
        <v>0</v>
      </c>
      <c r="AL10" s="999">
        <f t="shared" si="30"/>
        <v>0</v>
      </c>
      <c r="AM10" s="999">
        <f t="shared" si="30"/>
        <v>0</v>
      </c>
      <c r="AN10" s="999">
        <f t="shared" si="30"/>
        <v>0</v>
      </c>
      <c r="AO10" s="999">
        <f t="shared" si="30"/>
        <v>0</v>
      </c>
      <c r="AP10" s="999">
        <f t="shared" si="30"/>
        <v>0</v>
      </c>
      <c r="AQ10" s="999">
        <f t="shared" si="30"/>
        <v>0</v>
      </c>
      <c r="AR10" s="999">
        <f t="shared" si="30"/>
        <v>0</v>
      </c>
      <c r="AS10" s="999">
        <f t="shared" si="30"/>
        <v>0</v>
      </c>
      <c r="AT10" s="999">
        <f>SUMIF('2020'!$A:$A,$B10,'2020'!D:D)/1000</f>
        <v>0</v>
      </c>
      <c r="AU10" s="999">
        <f>SUMIF('2020'!$A:$A,$B10,'2020'!E:E)/1000</f>
        <v>0</v>
      </c>
      <c r="AV10" s="999">
        <f>SUMIF('2020'!$A:$A,$B10,'2020'!F:F)/1000</f>
        <v>0</v>
      </c>
      <c r="AW10" s="999">
        <f>SUMIF('2020'!$A:$A,$B10,'2020'!G:G)/1000</f>
        <v>0</v>
      </c>
      <c r="AX10" s="999">
        <f>SUMIF('2020'!$A:$A,$B10,'2020'!H:H)/1000</f>
        <v>0</v>
      </c>
      <c r="AY10" s="999">
        <f>SUMIF('2020'!$A:$A,$B10,'2020'!I:I)/1000</f>
        <v>0</v>
      </c>
      <c r="AZ10" s="999">
        <f>SUMIF('2020'!$A:$A,$B10,'2020'!J:J)/1000</f>
        <v>0</v>
      </c>
      <c r="BA10" s="999">
        <f>SUMIF('2020'!$A:$A,$B10,'2020'!K:K)/1000</f>
        <v>0</v>
      </c>
      <c r="BB10" s="999">
        <f>SUMIF('2020'!$A:$A,$B10,'2020'!L:L)/1000</f>
        <v>0</v>
      </c>
      <c r="BC10" s="999">
        <f>SUMIF('2020'!$A:$A,$B10,'2020'!M:M)/1000</f>
        <v>0</v>
      </c>
      <c r="BD10" s="999">
        <f>SUMIF('2020'!$A:$A,$B10,'2020'!N:N)/1000</f>
        <v>0</v>
      </c>
      <c r="BE10" s="999">
        <f>SUMIF('2020'!$A:$A,$B10,'2020'!O:O)/1000</f>
        <v>0</v>
      </c>
      <c r="BF10" s="1410">
        <f>SUMIF('2021'!$A:$A,$B10,'2021'!D:D)/1000</f>
        <v>0</v>
      </c>
      <c r="BG10" s="1410">
        <f>SUMIF('2021'!$A:$A,$B10,'2021'!E:E)/1000</f>
        <v>0</v>
      </c>
      <c r="BH10" s="1410">
        <f>SUMIF('2021'!$A:$A,$B10,'2021'!F:F)/1000</f>
        <v>0</v>
      </c>
      <c r="BI10" s="1410">
        <f>SUMIF('2021'!$A:$A,$B10,'2021'!G:G)/1000</f>
        <v>0</v>
      </c>
      <c r="BJ10" s="1410">
        <f>SUMIF('2021'!$A:$A,$B10,'2021'!H:H)/1000</f>
        <v>0</v>
      </c>
      <c r="BK10" s="1410">
        <f>SUMIF('2021'!$A:$A,$B10,'2021'!I:I)/1000</f>
        <v>0</v>
      </c>
      <c r="BL10" s="1410">
        <f>SUMIF('2021'!$A:$A,$B10,'2021'!J:J)/1000</f>
        <v>0</v>
      </c>
      <c r="BM10" s="1410">
        <f>SUMIF('2021'!$A:$A,$B10,'2021'!K:K)/1000</f>
        <v>0</v>
      </c>
      <c r="BN10" s="1410">
        <f>SUMIF('2021'!$A:$A,$B10,'2021'!L:L)/1000</f>
        <v>0</v>
      </c>
      <c r="BO10" s="1410">
        <f>SUMIF('2021'!$A:$A,$B10,'2021'!M:M)/1000</f>
        <v>0</v>
      </c>
      <c r="BP10" s="1410">
        <f>SUMIF('2021'!$A:$A,$B10,'2021'!N:N)/1000</f>
        <v>0</v>
      </c>
      <c r="BQ10" s="1410">
        <f>SUMIF('2021'!$A:$A,$B10,'2021'!O:O)/1000</f>
        <v>0</v>
      </c>
      <c r="BR10" s="1410">
        <f>SUMIF('2022'!$A:$A,$B10,'2022'!D:D)/1000</f>
        <v>0</v>
      </c>
      <c r="BS10" s="1410">
        <f>SUMIF('2022'!$A:$A,$B10,'2022'!E:E)/1000</f>
        <v>0</v>
      </c>
      <c r="BT10" s="1410">
        <f>SUMIF('2022'!$A:$A,$B10,'2022'!F:F)/1000</f>
        <v>0</v>
      </c>
      <c r="BU10" s="1410">
        <f>SUMIF('2022'!$A:$A,$B10,'2022'!G:G)/1000</f>
        <v>0</v>
      </c>
      <c r="BV10" s="1410">
        <f>SUMIF('2022'!$A:$A,$B10,'2022'!H:H)/1000</f>
        <v>0</v>
      </c>
      <c r="BW10" s="1410">
        <f>SUMIF('2022'!$A:$A,$B10,'2022'!I:I)/1000</f>
        <v>0</v>
      </c>
      <c r="BX10" s="1410">
        <f>SUMIF('2022'!$A:$A,$B10,'2022'!J:J)/1000</f>
        <v>0</v>
      </c>
      <c r="BY10" s="1410">
        <f>SUMIF('2022'!$A:$A,$B10,'2022'!K:K)/1000</f>
        <v>0</v>
      </c>
      <c r="BZ10" s="1410">
        <f>SUMIF('2022'!$A:$A,$B10,'2022'!L:L)/1000</f>
        <v>0</v>
      </c>
    </row>
    <row r="11" spans="2:78">
      <c r="B11" s="977" t="s">
        <v>1401</v>
      </c>
      <c r="C11" s="927" t="s">
        <v>400</v>
      </c>
      <c r="D11" s="999">
        <f t="shared" ref="D11:AI11" si="31">D9-D10</f>
        <v>174.17922000000002</v>
      </c>
      <c r="E11" s="999">
        <f t="shared" si="31"/>
        <v>183.67012</v>
      </c>
      <c r="F11" s="999">
        <f t="shared" si="31"/>
        <v>186.80412000000001</v>
      </c>
      <c r="G11" s="999">
        <f t="shared" si="31"/>
        <v>190.57505</v>
      </c>
      <c r="H11" s="999">
        <f t="shared" si="31"/>
        <v>177.26428000000001</v>
      </c>
      <c r="I11" s="999">
        <f t="shared" si="31"/>
        <v>180.16823000000002</v>
      </c>
      <c r="J11" s="999">
        <f t="shared" si="31"/>
        <v>180.77277000000001</v>
      </c>
      <c r="K11" s="999">
        <f t="shared" si="31"/>
        <v>239.88771000000003</v>
      </c>
      <c r="L11" s="999">
        <f t="shared" si="31"/>
        <v>198.29234000000002</v>
      </c>
      <c r="M11" s="999">
        <f t="shared" si="31"/>
        <v>289.77710000000002</v>
      </c>
      <c r="N11" s="999">
        <f t="shared" si="31"/>
        <v>341.16856999999999</v>
      </c>
      <c r="O11" s="999">
        <f t="shared" si="31"/>
        <v>85.750510000000006</v>
      </c>
      <c r="P11" s="999">
        <f t="shared" si="31"/>
        <v>214.12483</v>
      </c>
      <c r="Q11" s="999">
        <f t="shared" si="31"/>
        <v>209.11749</v>
      </c>
      <c r="R11" s="999">
        <f t="shared" si="31"/>
        <v>194.97919000000002</v>
      </c>
      <c r="S11" s="999">
        <f t="shared" si="31"/>
        <v>215.79552000000001</v>
      </c>
      <c r="T11" s="999">
        <f t="shared" si="31"/>
        <v>196.78563</v>
      </c>
      <c r="U11" s="999">
        <f t="shared" si="31"/>
        <v>217.93122</v>
      </c>
      <c r="V11" s="999">
        <f t="shared" si="31"/>
        <v>229.66460999999998</v>
      </c>
      <c r="W11" s="999">
        <f t="shared" si="31"/>
        <v>227.49612999999999</v>
      </c>
      <c r="X11" s="999">
        <f t="shared" si="31"/>
        <v>210.05933000000005</v>
      </c>
      <c r="Y11" s="999">
        <f t="shared" si="31"/>
        <v>190.58975000000001</v>
      </c>
      <c r="Z11" s="999">
        <f t="shared" si="31"/>
        <v>226.99888000000001</v>
      </c>
      <c r="AA11" s="999">
        <f t="shared" si="31"/>
        <v>197.96588000000003</v>
      </c>
      <c r="AB11" s="999">
        <f t="shared" si="31"/>
        <v>193.87853000000001</v>
      </c>
      <c r="AC11" s="999">
        <f t="shared" si="31"/>
        <v>186.22766999999999</v>
      </c>
      <c r="AD11" s="999">
        <f t="shared" si="31"/>
        <v>212.82701000000003</v>
      </c>
      <c r="AE11" s="999">
        <f t="shared" si="31"/>
        <v>232.51458</v>
      </c>
      <c r="AF11" s="999">
        <f t="shared" si="31"/>
        <v>229.37076999999999</v>
      </c>
      <c r="AG11" s="999">
        <f t="shared" si="31"/>
        <v>207.73272</v>
      </c>
      <c r="AH11" s="999">
        <f t="shared" si="31"/>
        <v>242.52189000000001</v>
      </c>
      <c r="AI11" s="999">
        <f t="shared" si="31"/>
        <v>243.93328</v>
      </c>
      <c r="AJ11" s="999">
        <f t="shared" ref="AJ11:AT11" si="32">AJ9-AJ10</f>
        <v>221.55411000000001</v>
      </c>
      <c r="AK11" s="999">
        <f t="shared" si="32"/>
        <v>246.61747</v>
      </c>
      <c r="AL11" s="999">
        <f t="shared" si="32"/>
        <v>250.30870999999999</v>
      </c>
      <c r="AM11" s="999">
        <f t="shared" si="32"/>
        <v>249.66270000000003</v>
      </c>
      <c r="AN11" s="999">
        <f t="shared" si="32"/>
        <v>266.27415999999999</v>
      </c>
      <c r="AO11" s="999">
        <f t="shared" si="32"/>
        <v>252.91995999999997</v>
      </c>
      <c r="AP11" s="999">
        <f t="shared" si="32"/>
        <v>266.05905999999999</v>
      </c>
      <c r="AQ11" s="999">
        <f t="shared" si="32"/>
        <v>268.14003000000002</v>
      </c>
      <c r="AR11" s="999">
        <f t="shared" si="32"/>
        <v>191.15581</v>
      </c>
      <c r="AS11" s="999">
        <f t="shared" si="32"/>
        <v>277.25540999999998</v>
      </c>
      <c r="AT11" s="999">
        <f t="shared" si="32"/>
        <v>280.21132</v>
      </c>
      <c r="AU11" s="999">
        <f t="shared" ref="AU11:BN11" si="33">AU9-AU10</f>
        <v>237.28243999999995</v>
      </c>
      <c r="AV11" s="999">
        <f t="shared" si="33"/>
        <v>233.37613000000002</v>
      </c>
      <c r="AW11" s="999">
        <f t="shared" si="33"/>
        <v>245.24822</v>
      </c>
      <c r="AX11" s="999">
        <f t="shared" si="33"/>
        <v>267.43815999999998</v>
      </c>
      <c r="AY11" s="999">
        <f t="shared" si="33"/>
        <v>241.45482999999999</v>
      </c>
      <c r="AZ11" s="999">
        <f t="shared" si="33"/>
        <v>241.45482999999999</v>
      </c>
      <c r="BA11" s="999">
        <f t="shared" si="33"/>
        <v>253.75856999999999</v>
      </c>
      <c r="BB11" s="999">
        <f t="shared" si="33"/>
        <v>261.13094000000001</v>
      </c>
      <c r="BC11" s="999">
        <f t="shared" si="33"/>
        <v>255.18901</v>
      </c>
      <c r="BD11" s="999">
        <f t="shared" si="33"/>
        <v>216.76361</v>
      </c>
      <c r="BE11" s="999">
        <f t="shared" si="33"/>
        <v>259.60229000000004</v>
      </c>
      <c r="BF11" s="1410">
        <f t="shared" si="33"/>
        <v>188.26948000000002</v>
      </c>
      <c r="BG11" s="1410">
        <f t="shared" si="33"/>
        <v>216.24797000000001</v>
      </c>
      <c r="BH11" s="1410">
        <f t="shared" si="33"/>
        <v>128.00421</v>
      </c>
      <c r="BI11" s="1410">
        <f t="shared" si="33"/>
        <v>227.64894999999999</v>
      </c>
      <c r="BJ11" s="1410">
        <f t="shared" si="33"/>
        <v>219.19041000000001</v>
      </c>
      <c r="BK11" s="1410">
        <f t="shared" si="33"/>
        <v>253.80251000000001</v>
      </c>
      <c r="BL11" s="1410">
        <f t="shared" si="33"/>
        <v>210.59742</v>
      </c>
      <c r="BM11" s="1410">
        <f t="shared" si="33"/>
        <v>243.56395000000001</v>
      </c>
      <c r="BN11" s="1410">
        <f t="shared" si="33"/>
        <v>235.51445999999999</v>
      </c>
      <c r="BO11" s="1410">
        <f t="shared" ref="BO11:BR11" si="34">BO9-BO10</f>
        <v>259.83763999999996</v>
      </c>
      <c r="BP11" s="1410">
        <f t="shared" si="34"/>
        <v>267.60029999999995</v>
      </c>
      <c r="BQ11" s="1410">
        <f t="shared" si="34"/>
        <v>238.59147000000002</v>
      </c>
      <c r="BR11" s="1410">
        <f t="shared" si="34"/>
        <v>273.31394</v>
      </c>
      <c r="BS11" s="1410">
        <f t="shared" ref="BS11:BZ11" si="35">BS9-BS10</f>
        <v>255.32895000000002</v>
      </c>
      <c r="BT11" s="1410">
        <f t="shared" si="35"/>
        <v>274.55728999999997</v>
      </c>
      <c r="BU11" s="1410">
        <f t="shared" si="35"/>
        <v>265.68453</v>
      </c>
      <c r="BV11" s="1410">
        <f t="shared" si="35"/>
        <v>284.91505999999998</v>
      </c>
      <c r="BW11" s="1410">
        <f t="shared" si="35"/>
        <v>245.67417000000003</v>
      </c>
      <c r="BX11" s="1410">
        <f t="shared" si="35"/>
        <v>294.80152999999996</v>
      </c>
      <c r="BY11" s="1410">
        <f t="shared" si="35"/>
        <v>272.95519999999999</v>
      </c>
      <c r="BZ11" s="1410">
        <f t="shared" si="35"/>
        <v>272.71158000000003</v>
      </c>
    </row>
    <row r="12" spans="2:78">
      <c r="B12" s="977"/>
      <c r="D12" s="999"/>
      <c r="BF12" s="1410"/>
      <c r="BR12" s="1410"/>
      <c r="BS12" s="1410"/>
      <c r="BT12" s="1410"/>
      <c r="BU12" s="1410"/>
      <c r="BV12" s="1410"/>
      <c r="BW12" s="1410"/>
      <c r="BX12" s="1410"/>
      <c r="BY12" s="1410"/>
      <c r="BZ12" s="1410"/>
    </row>
    <row r="13" spans="2:78">
      <c r="B13" s="977" t="s">
        <v>1196</v>
      </c>
      <c r="C13" s="927" t="s">
        <v>437</v>
      </c>
      <c r="D13" s="999">
        <f t="shared" ref="D13:AS13" si="36">SUMIF($A$32:$A$268,$B13,D$32:D$268)/1000-D14-D16-D17-D18-D20</f>
        <v>20.732320000000019</v>
      </c>
      <c r="E13" s="999">
        <f t="shared" si="36"/>
        <v>41.574920000000006</v>
      </c>
      <c r="F13" s="999">
        <f t="shared" si="36"/>
        <v>23.133310000000005</v>
      </c>
      <c r="G13" s="999">
        <f t="shared" si="36"/>
        <v>10.101399999999998</v>
      </c>
      <c r="H13" s="999">
        <f t="shared" si="36"/>
        <v>23.603870000000001</v>
      </c>
      <c r="I13" s="999">
        <f t="shared" si="36"/>
        <v>25.00292</v>
      </c>
      <c r="J13" s="999">
        <f t="shared" si="36"/>
        <v>23.663500000000017</v>
      </c>
      <c r="K13" s="999">
        <f t="shared" si="36"/>
        <v>23.427509999999995</v>
      </c>
      <c r="L13" s="999">
        <f t="shared" si="36"/>
        <v>16.153059999999996</v>
      </c>
      <c r="M13" s="999">
        <f t="shared" si="36"/>
        <v>31.673989999999993</v>
      </c>
      <c r="N13" s="999">
        <f t="shared" si="36"/>
        <v>24.046879999999991</v>
      </c>
      <c r="O13" s="999">
        <f t="shared" si="36"/>
        <v>-55.671119999999995</v>
      </c>
      <c r="P13" s="999">
        <f t="shared" si="36"/>
        <v>21.234949999999976</v>
      </c>
      <c r="Q13" s="999">
        <f t="shared" si="36"/>
        <v>63.54811000000003</v>
      </c>
      <c r="R13" s="999">
        <f t="shared" si="36"/>
        <v>52.960999999999991</v>
      </c>
      <c r="S13" s="999">
        <f t="shared" si="36"/>
        <v>22.258589999999984</v>
      </c>
      <c r="T13" s="999">
        <f t="shared" si="36"/>
        <v>36.413300000000014</v>
      </c>
      <c r="U13" s="999">
        <f t="shared" si="36"/>
        <v>167.38102999999998</v>
      </c>
      <c r="V13" s="999">
        <f t="shared" si="36"/>
        <v>30.83558</v>
      </c>
      <c r="W13" s="999">
        <f t="shared" si="36"/>
        <v>43.00558999999997</v>
      </c>
      <c r="X13" s="999">
        <f t="shared" si="36"/>
        <v>26.921519999999994</v>
      </c>
      <c r="Y13" s="999">
        <f t="shared" si="36"/>
        <v>13.250849999999993</v>
      </c>
      <c r="Z13" s="999">
        <f t="shared" si="36"/>
        <v>29.812490000000004</v>
      </c>
      <c r="AA13" s="999">
        <f t="shared" si="36"/>
        <v>22.590839999999996</v>
      </c>
      <c r="AB13" s="999">
        <f t="shared" si="36"/>
        <v>28.305840000000021</v>
      </c>
      <c r="AC13" s="999">
        <f t="shared" si="36"/>
        <v>26.680050000000016</v>
      </c>
      <c r="AD13" s="999">
        <f t="shared" si="36"/>
        <v>22.526170000000008</v>
      </c>
      <c r="AE13" s="999">
        <f t="shared" si="36"/>
        <v>25.47567999999999</v>
      </c>
      <c r="AF13" s="999">
        <f t="shared" si="36"/>
        <v>44.748899999999992</v>
      </c>
      <c r="AG13" s="999">
        <f t="shared" si="36"/>
        <v>39.615800000000007</v>
      </c>
      <c r="AH13" s="999">
        <f t="shared" si="36"/>
        <v>24.23846</v>
      </c>
      <c r="AI13" s="999">
        <f t="shared" si="36"/>
        <v>34.337220000000023</v>
      </c>
      <c r="AJ13" s="999">
        <f t="shared" si="36"/>
        <v>28.681950000000001</v>
      </c>
      <c r="AK13" s="999">
        <f t="shared" si="36"/>
        <v>25.975139999999993</v>
      </c>
      <c r="AL13" s="999">
        <f t="shared" si="36"/>
        <v>31.630180000000003</v>
      </c>
      <c r="AM13" s="999">
        <f t="shared" si="36"/>
        <v>24.816010000000006</v>
      </c>
      <c r="AN13" s="999">
        <f t="shared" si="36"/>
        <v>24.906440000000003</v>
      </c>
      <c r="AO13" s="999">
        <f t="shared" si="36"/>
        <v>24.650999999999993</v>
      </c>
      <c r="AP13" s="999">
        <f t="shared" si="36"/>
        <v>41.505560000000031</v>
      </c>
      <c r="AQ13" s="999">
        <f t="shared" si="36"/>
        <v>46.880050000000004</v>
      </c>
      <c r="AR13" s="999">
        <f t="shared" si="36"/>
        <v>41.757470000000012</v>
      </c>
      <c r="AS13" s="999">
        <f t="shared" si="36"/>
        <v>40.834270000000004</v>
      </c>
      <c r="AT13" s="999">
        <f>SUMIF('2020'!$A:$A,Historicals!$B13,'2020'!D:D)/1000-AT14-AT16-AT17-AT18-AT20</f>
        <v>49.855159999999991</v>
      </c>
      <c r="AU13" s="999">
        <f>SUMIF('2020'!$A:$A,Historicals!$B13,'2020'!E:E)/1000-AU14-AU16-AU17-AU18-AU20</f>
        <v>23.952999999999985</v>
      </c>
      <c r="AV13" s="999">
        <f>SUMIF('2020'!$A:$A,Historicals!$B13,'2020'!F:F)/1000-AV14-AV16-AV17-AV18-AV20</f>
        <v>22.77470000000001</v>
      </c>
      <c r="AW13" s="999">
        <f>SUMIF('2020'!$A:$A,Historicals!$B13,'2020'!G:G)/1000-AW14-AW16-AW17-AW18-AW20</f>
        <v>35.678049999999992</v>
      </c>
      <c r="AX13" s="999">
        <f>SUMIF('2020'!$A:$A,Historicals!$B13,'2020'!H:H)/1000-AX14-AX16-AX17-AX18-AX20</f>
        <v>34.287429999999986</v>
      </c>
      <c r="AY13" s="999">
        <f>SUMIF('2020'!$A:$A,Historicals!$B13,'2020'!I:I)/1000-AY14-AY16-AY17-AY18-AY20</f>
        <v>11.586000000000006</v>
      </c>
      <c r="AZ13" s="999">
        <f>SUMIF('2020'!$A:$A,Historicals!$B13,'2020'!J:J)/1000-AZ14-AZ16-AZ17-AZ18-AZ20</f>
        <v>19.162079999999992</v>
      </c>
      <c r="BA13" s="999">
        <f>SUMIF('2020'!$A:$A,Historicals!$B13,'2020'!K:K)/1000-BA14-BA16-BA17-BA18-BA20</f>
        <v>43.949390000000008</v>
      </c>
      <c r="BB13" s="999">
        <f>SUMIF('2020'!$A:$A,Historicals!$B13,'2020'!L:L)/1000-BB14-BB16-BB17-BB18-BB20</f>
        <v>39.022270000000006</v>
      </c>
      <c r="BC13" s="999">
        <f>SUMIF('2020'!$A:$A,Historicals!$B13,'2020'!M:M)/1000-BC14-BC16-BC17-BC18-BC20</f>
        <v>8.919869999999996</v>
      </c>
      <c r="BD13" s="999">
        <f>SUMIF('2020'!$A:$A,Historicals!$B13,'2020'!N:N)/1000-BD14-BD16-BD17-BD18-BD20</f>
        <v>10.58373000000001</v>
      </c>
      <c r="BE13" s="999">
        <f>SUMIF('2020'!$A:$A,Historicals!$B13,'2020'!O:O)/1000-BE14-BE16-BE17-BE18-BE20</f>
        <v>61.520700000000019</v>
      </c>
      <c r="BF13" s="1410">
        <f>SUMIF('2021'!$A:$A,$B13,'2021'!D:D)/1000- BF14-BF16-BF17-BF18-BF20</f>
        <v>18.865469999999981</v>
      </c>
      <c r="BG13" s="1410">
        <f>SUMIF('2021'!$A:$A,$B13,'2021'!E:E)/1000- BG14-BG16-BG17-BG18-BG20</f>
        <v>25.440300000000001</v>
      </c>
      <c r="BH13" s="1410">
        <f>SUMIF('2021'!$A:$A,$B13,'2021'!F:F)/1000- BH14-BH16-BH17-BH18-BH20</f>
        <v>29.234249999999982</v>
      </c>
      <c r="BI13" s="1410">
        <f>SUMIF('2021'!$A:$A,$B13,'2021'!G:G)/1000- BI14-BI16-BI17-BI18-BI20</f>
        <v>42.584550000000007</v>
      </c>
      <c r="BJ13" s="1410">
        <f>SUMIF('2021'!$A:$A,$B13,'2021'!H:H)/1000- BJ14-BJ16-BJ17-BJ18-BJ20</f>
        <v>25.405200000000001</v>
      </c>
      <c r="BK13" s="1410">
        <f>SUMIF('2021'!$A:$A,$B13,'2021'!I:I)/1000- BK14-BK16-BK17-BK18-BK20</f>
        <v>17.614610000000006</v>
      </c>
      <c r="BL13" s="1410">
        <f>SUMIF('2021'!$A:$A,$B13,'2021'!J:J)/1000- BL14-BL16-BL17-BL18-BL20</f>
        <v>21.129950000000015</v>
      </c>
      <c r="BM13" s="1410">
        <f>SUMIF('2021'!$A:$A,$B13,'2021'!K:K)/1000- BM14-BM16-BM17-BM18-BM20</f>
        <v>44.306549999999987</v>
      </c>
      <c r="BN13" s="1410">
        <f>SUMIF('2021'!$A:$A,$B13,'2021'!L:L)/1000- BN14-BN16-BN17-BN18-BN20</f>
        <v>27.865600000000008</v>
      </c>
      <c r="BO13" s="1410">
        <f>SUMIF('2021'!$A:$A,$B13,'2021'!M:M)/1000- BO14-BO16-BO17-BO18-BO20</f>
        <v>9.1599999999999966</v>
      </c>
      <c r="BP13" s="1410">
        <f>SUMIF('2021'!$A:$A,$B13,'2021'!N:N)/1000- BP14-BP16-BP17-BP18-BP20</f>
        <v>58.108549999999994</v>
      </c>
      <c r="BQ13" s="1410">
        <f>SUMIF('2021'!$A:$A,$B13,'2021'!O:O)/1000- BQ14-BQ16-BQ17-BQ18-BQ20</f>
        <v>9.7942999999999998</v>
      </c>
      <c r="BR13" s="1410">
        <f>SUMIF('2022'!$A:$A,$B13,'2022'!D:D)/1000- BR14-BR16-BR17-BR18-BR20</f>
        <v>0.10500000000001819</v>
      </c>
      <c r="BS13" s="1410">
        <f>SUMIF('2022'!$A:$A,$B13,'2022'!E:E)/1000- BS14-BS16-BS17-BS18-BS20</f>
        <v>54.514929999999993</v>
      </c>
      <c r="BT13" s="1410">
        <f>SUMIF('2022'!$A:$A,$B13,'2022'!F:F)/1000- BT14-BT16-BT17-BT18-BT20</f>
        <v>32.963659999999983</v>
      </c>
      <c r="BU13" s="1410">
        <f>SUMIF('2022'!$A:$A,$B13,'2022'!G:G)/1000- BU14-BU16-BU17-BU18-BU20</f>
        <v>19.945850000000029</v>
      </c>
      <c r="BV13" s="1410">
        <f>SUMIF('2022'!$A:$A,$B13,'2022'!H:H)/1000- BV14-BV16-BV17-BV18-BV20</f>
        <v>77.60093999999998</v>
      </c>
      <c r="BW13" s="1410">
        <f>SUMIF('2022'!$A:$A,$B13,'2022'!I:I)/1000- BW14-BW16-BW17-BW18-BW20</f>
        <v>39.886679999999984</v>
      </c>
      <c r="BX13" s="1410">
        <f>SUMIF('2022'!$A:$A,$B13,'2022'!J:J)/1000- BX14-BX16-BX17-BX18-BX20</f>
        <v>19.716700000000024</v>
      </c>
      <c r="BY13" s="1410">
        <f>SUMIF('2022'!$A:$A,$B13,'2022'!K:K)/1000- BY14-BY16-BY17-BY18-BY20</f>
        <v>34.193350000000017</v>
      </c>
      <c r="BZ13" s="1410">
        <f>SUMIF('2022'!$A:$A,$B13,'2022'!L:L)/1000- BZ14-BZ16-BZ17-BZ18-BZ20</f>
        <v>32.245380000000004</v>
      </c>
    </row>
    <row r="14" spans="2:78">
      <c r="B14" s="977" t="s">
        <v>1241</v>
      </c>
      <c r="C14" s="927" t="s">
        <v>1019</v>
      </c>
      <c r="D14" s="999">
        <f t="shared" ref="D14:M20" si="37">SUMIF($A$32:$A$268,$B14,D$32:D$268)/1000</f>
        <v>10.760999999999999</v>
      </c>
      <c r="E14" s="999">
        <f t="shared" si="37"/>
        <v>9.65</v>
      </c>
      <c r="F14" s="999">
        <f t="shared" si="37"/>
        <v>13.9885</v>
      </c>
      <c r="G14" s="999">
        <f t="shared" si="37"/>
        <v>39.074199999999998</v>
      </c>
      <c r="H14" s="999">
        <f t="shared" si="37"/>
        <v>9.3776399999999995</v>
      </c>
      <c r="I14" s="999">
        <f t="shared" si="37"/>
        <v>82.847919999999988</v>
      </c>
      <c r="J14" s="999">
        <f t="shared" si="37"/>
        <v>11.8</v>
      </c>
      <c r="K14" s="999">
        <f t="shared" si="37"/>
        <v>2.8</v>
      </c>
      <c r="L14" s="999">
        <f t="shared" si="37"/>
        <v>25.259080000000001</v>
      </c>
      <c r="M14" s="999">
        <f t="shared" si="37"/>
        <v>21.06175</v>
      </c>
      <c r="N14" s="999">
        <f t="shared" ref="N14:W20" si="38">SUMIF($A$32:$A$268,$B14,N$32:N$268)/1000</f>
        <v>7.7853899999999996</v>
      </c>
      <c r="O14" s="999">
        <f t="shared" si="38"/>
        <v>181.00289999999998</v>
      </c>
      <c r="P14" s="999">
        <f t="shared" si="38"/>
        <v>14.95</v>
      </c>
      <c r="Q14" s="999">
        <f t="shared" si="38"/>
        <v>25.194959999999998</v>
      </c>
      <c r="R14" s="999">
        <f t="shared" si="38"/>
        <v>-23.828309999999998</v>
      </c>
      <c r="S14" s="999">
        <f t="shared" si="38"/>
        <v>2.34884</v>
      </c>
      <c r="T14" s="999">
        <f t="shared" si="38"/>
        <v>18.32</v>
      </c>
      <c r="U14" s="999">
        <f t="shared" si="38"/>
        <v>-74.225639999999999</v>
      </c>
      <c r="V14" s="999">
        <f t="shared" si="38"/>
        <v>6.96</v>
      </c>
      <c r="W14" s="999">
        <f t="shared" si="38"/>
        <v>1.4025999999999998</v>
      </c>
      <c r="X14" s="999">
        <f t="shared" ref="X14:AG20" si="39">SUMIF($A$32:$A$268,$B14,X$32:X$268)/1000</f>
        <v>6.4</v>
      </c>
      <c r="Y14" s="999">
        <f t="shared" si="39"/>
        <v>7.4964199999999996</v>
      </c>
      <c r="Z14" s="999">
        <f t="shared" si="39"/>
        <v>4.3070599999999999</v>
      </c>
      <c r="AA14" s="999">
        <f t="shared" si="39"/>
        <v>2</v>
      </c>
      <c r="AB14" s="999">
        <f t="shared" si="39"/>
        <v>2.3199999999999998</v>
      </c>
      <c r="AC14" s="999">
        <f t="shared" si="39"/>
        <v>2.1156199999999998</v>
      </c>
      <c r="AD14" s="999">
        <f t="shared" si="39"/>
        <v>2.0462500000000001</v>
      </c>
      <c r="AE14" s="999">
        <f t="shared" si="39"/>
        <v>3.1837499999999999</v>
      </c>
      <c r="AF14" s="999">
        <f t="shared" si="39"/>
        <v>2.0462500000000001</v>
      </c>
      <c r="AG14" s="999">
        <f t="shared" si="39"/>
        <v>5.7237499999999999</v>
      </c>
      <c r="AH14" s="999">
        <f t="shared" ref="AH14:AS20" si="40">SUMIF($A$32:$A$268,$B14,AH$32:AH$268)/1000</f>
        <v>4.6651000000000007</v>
      </c>
      <c r="AI14" s="999">
        <f t="shared" si="40"/>
        <v>0.22625000000000001</v>
      </c>
      <c r="AJ14" s="999">
        <f t="shared" si="40"/>
        <v>4.6249999999999999E-2</v>
      </c>
      <c r="AK14" s="999">
        <f t="shared" si="40"/>
        <v>2.20425</v>
      </c>
      <c r="AL14" s="999">
        <f t="shared" si="40"/>
        <v>8.1560799999999993</v>
      </c>
      <c r="AM14" s="999">
        <f t="shared" si="40"/>
        <v>1.64625</v>
      </c>
      <c r="AN14" s="999">
        <f t="shared" si="40"/>
        <v>10.872579999999999</v>
      </c>
      <c r="AO14" s="999">
        <f t="shared" si="40"/>
        <v>4.7312500000000002</v>
      </c>
      <c r="AP14" s="999">
        <f t="shared" si="40"/>
        <v>11.264749999999999</v>
      </c>
      <c r="AQ14" s="999">
        <f t="shared" si="40"/>
        <v>16.586839999999999</v>
      </c>
      <c r="AR14" s="999">
        <f t="shared" si="40"/>
        <v>2.816959999999999</v>
      </c>
      <c r="AS14" s="999">
        <f t="shared" si="40"/>
        <v>21.062629999999999</v>
      </c>
      <c r="AT14" s="999">
        <f>SUMIF('2020'!$A:$A,$B14,'2020'!D:D)/1000</f>
        <v>33.279910000000001</v>
      </c>
      <c r="AU14" s="999">
        <f>SUMIF('2020'!$A:$A,$B14,'2020'!E:E)/1000</f>
        <v>13.517029999999998</v>
      </c>
      <c r="AV14" s="999">
        <f>SUMIF('2020'!$A:$A,$B14,'2020'!F:F)/1000</f>
        <v>10.63757</v>
      </c>
      <c r="AW14" s="999">
        <f>SUMIF('2020'!$A:$A,$B14,'2020'!G:G)/1000</f>
        <v>7.87209</v>
      </c>
      <c r="AX14" s="999">
        <f>SUMIF('2020'!$A:$A,$B14,'2020'!H:H)/1000</f>
        <v>12.53284</v>
      </c>
      <c r="AY14" s="999">
        <f>SUMIF('2020'!$A:$A,$B14,'2020'!I:I)/1000</f>
        <v>17.181889999999999</v>
      </c>
      <c r="AZ14" s="999">
        <f>SUMIF('2020'!$A:$A,$B14,'2020'!J:J)/1000</f>
        <v>4.1654600000000004</v>
      </c>
      <c r="BA14" s="999">
        <f>SUMIF('2020'!$A:$A,$B14,'2020'!K:K)/1000</f>
        <v>5.2537500000000001</v>
      </c>
      <c r="BB14" s="999">
        <f>SUMIF('2020'!$A:$A,$B14,'2020'!L:L)/1000</f>
        <v>494.29508000000004</v>
      </c>
      <c r="BC14" s="999">
        <f>SUMIF('2020'!$A:$A,$B14,'2020'!M:M)/1000</f>
        <v>3.3045800000000001</v>
      </c>
      <c r="BD14" s="999">
        <f>SUMIF('2020'!$A:$A,$B14,'2020'!N:N)/1000</f>
        <v>7.4348599999999996</v>
      </c>
      <c r="BE14" s="999">
        <f>SUMIF('2020'!$A:$A,$B14,'2020'!O:O)/1000</f>
        <v>109.08189999999999</v>
      </c>
      <c r="BF14" s="1410">
        <f>SUMIF('2021'!$A:$A,$B14,'2021'!D:D)/1000</f>
        <v>3.0750999999999999</v>
      </c>
      <c r="BG14" s="1410">
        <f>SUMIF('2021'!$A:$A,$B14,'2021'!E:E)/1000</f>
        <v>4.6307399999999994</v>
      </c>
      <c r="BH14" s="1410">
        <f>SUMIF('2021'!$A:$A,$B14,'2021'!F:F)/1000</f>
        <v>-18.787590000000002</v>
      </c>
      <c r="BI14" s="1410">
        <f>SUMIF('2021'!$A:$A,$B14,'2021'!G:G)/1000</f>
        <v>6.6308500000000006</v>
      </c>
      <c r="BJ14" s="1410">
        <f>SUMIF('2021'!$A:$A,$B14,'2021'!H:H)/1000</f>
        <v>3.24329</v>
      </c>
      <c r="BK14" s="1410">
        <f>SUMIF('2021'!$A:$A,$B14,'2021'!I:I)/1000</f>
        <v>6.0301900000000002</v>
      </c>
      <c r="BL14" s="1410">
        <f>SUMIF('2021'!$A:$A,$B14,'2021'!J:J)/1000</f>
        <v>3.6452600000000004</v>
      </c>
      <c r="BM14" s="1410">
        <f>SUMIF('2021'!$A:$A,$B14,'2021'!K:K)/1000</f>
        <v>8.2679200000000002</v>
      </c>
      <c r="BN14" s="1410">
        <f>SUMIF('2021'!$A:$A,$B14,'2021'!L:L)/1000</f>
        <v>4.1134300000000001</v>
      </c>
      <c r="BO14" s="1410">
        <f>SUMIF('2021'!$A:$A,$B14,'2021'!M:M)/1000</f>
        <v>4.8685599999999996</v>
      </c>
      <c r="BP14" s="1410">
        <f>SUMIF('2021'!$A:$A,$B14,'2021'!N:N)/1000</f>
        <v>4.5138800000000003</v>
      </c>
      <c r="BQ14" s="1410">
        <f>SUMIF('2021'!$A:$A,$B14,'2021'!O:O)/1000</f>
        <v>8.6792300000000004</v>
      </c>
      <c r="BR14" s="1410">
        <f>SUMIF('2022'!$A:$A,$B14,'2022'!D:D)/1000</f>
        <v>9.4685499999999987</v>
      </c>
      <c r="BS14" s="1410">
        <f>SUMIF('2022'!$A:$A,$B14,'2022'!E:E)/1000</f>
        <v>67.358949999999993</v>
      </c>
      <c r="BT14" s="1410">
        <f>SUMIF('2022'!$A:$A,$B14,'2022'!F:F)/1000</f>
        <v>6.1786799999999999</v>
      </c>
      <c r="BU14" s="1410">
        <f>SUMIF('2022'!$A:$A,$B14,'2022'!G:G)/1000</f>
        <v>9.5473400000000002</v>
      </c>
      <c r="BV14" s="1410">
        <f>SUMIF('2022'!$A:$A,$B14,'2022'!H:H)/1000</f>
        <v>4.1902100000000004</v>
      </c>
      <c r="BW14" s="1410">
        <f>SUMIF('2022'!$A:$A,$B14,'2022'!I:I)/1000</f>
        <v>6.6304799999999995</v>
      </c>
      <c r="BX14" s="1410">
        <f>SUMIF('2022'!$A:$A,$B14,'2022'!J:J)/1000</f>
        <v>4.3971</v>
      </c>
      <c r="BY14" s="1410">
        <f>SUMIF('2022'!$A:$A,$B14,'2022'!K:K)/1000</f>
        <v>4.5735599999999996</v>
      </c>
      <c r="BZ14" s="1410">
        <f>SUMIF('2022'!$A:$A,$B14,'2022'!L:L)/1000</f>
        <v>4.5556400000000004</v>
      </c>
    </row>
    <row r="15" spans="2:78">
      <c r="B15" s="977"/>
      <c r="C15" s="927" t="s">
        <v>1020</v>
      </c>
      <c r="D15" s="999">
        <f t="shared" si="37"/>
        <v>0</v>
      </c>
      <c r="E15" s="999">
        <f t="shared" si="37"/>
        <v>0</v>
      </c>
      <c r="F15" s="999">
        <f t="shared" si="37"/>
        <v>0</v>
      </c>
      <c r="G15" s="999">
        <f t="shared" si="37"/>
        <v>0</v>
      </c>
      <c r="H15" s="999">
        <f t="shared" si="37"/>
        <v>0</v>
      </c>
      <c r="I15" s="999">
        <f t="shared" si="37"/>
        <v>0</v>
      </c>
      <c r="J15" s="999">
        <f t="shared" si="37"/>
        <v>0</v>
      </c>
      <c r="K15" s="999">
        <f t="shared" si="37"/>
        <v>0</v>
      </c>
      <c r="L15" s="999">
        <f t="shared" si="37"/>
        <v>0</v>
      </c>
      <c r="M15" s="999">
        <f t="shared" si="37"/>
        <v>0</v>
      </c>
      <c r="N15" s="999">
        <f t="shared" si="38"/>
        <v>0</v>
      </c>
      <c r="O15" s="999">
        <f t="shared" si="38"/>
        <v>0</v>
      </c>
      <c r="P15" s="999">
        <f t="shared" si="38"/>
        <v>0</v>
      </c>
      <c r="Q15" s="999">
        <f t="shared" si="38"/>
        <v>0</v>
      </c>
      <c r="R15" s="999">
        <f t="shared" si="38"/>
        <v>0</v>
      </c>
      <c r="S15" s="999">
        <f t="shared" si="38"/>
        <v>0</v>
      </c>
      <c r="T15" s="999">
        <f t="shared" si="38"/>
        <v>0</v>
      </c>
      <c r="U15" s="999">
        <f t="shared" si="38"/>
        <v>0</v>
      </c>
      <c r="V15" s="999">
        <f t="shared" si="38"/>
        <v>0</v>
      </c>
      <c r="W15" s="999">
        <f t="shared" si="38"/>
        <v>0</v>
      </c>
      <c r="X15" s="999">
        <f t="shared" si="39"/>
        <v>0</v>
      </c>
      <c r="Y15" s="999">
        <f t="shared" si="39"/>
        <v>0</v>
      </c>
      <c r="Z15" s="999">
        <f t="shared" si="39"/>
        <v>0</v>
      </c>
      <c r="AA15" s="999">
        <f t="shared" si="39"/>
        <v>0</v>
      </c>
      <c r="AB15" s="999">
        <f t="shared" si="39"/>
        <v>0</v>
      </c>
      <c r="AC15" s="999">
        <f t="shared" si="39"/>
        <v>0</v>
      </c>
      <c r="AD15" s="999">
        <f t="shared" si="39"/>
        <v>0</v>
      </c>
      <c r="AE15" s="999">
        <f t="shared" si="39"/>
        <v>0</v>
      </c>
      <c r="AF15" s="999">
        <f t="shared" si="39"/>
        <v>0</v>
      </c>
      <c r="AG15" s="999">
        <f t="shared" si="39"/>
        <v>0</v>
      </c>
      <c r="AH15" s="999">
        <f t="shared" si="40"/>
        <v>0</v>
      </c>
      <c r="AI15" s="999">
        <f t="shared" si="40"/>
        <v>0</v>
      </c>
      <c r="AJ15" s="999">
        <f t="shared" si="40"/>
        <v>0</v>
      </c>
      <c r="AK15" s="999">
        <f t="shared" si="40"/>
        <v>0</v>
      </c>
      <c r="AL15" s="999">
        <f t="shared" si="40"/>
        <v>0</v>
      </c>
      <c r="AM15" s="999">
        <f t="shared" si="40"/>
        <v>0</v>
      </c>
      <c r="AN15" s="999">
        <f t="shared" si="40"/>
        <v>0</v>
      </c>
      <c r="AO15" s="999">
        <f t="shared" si="40"/>
        <v>0</v>
      </c>
      <c r="AP15" s="999">
        <f t="shared" si="40"/>
        <v>0</v>
      </c>
      <c r="AQ15" s="999">
        <f t="shared" si="40"/>
        <v>0</v>
      </c>
      <c r="AR15" s="999">
        <f t="shared" si="40"/>
        <v>0</v>
      </c>
      <c r="AS15" s="999">
        <f t="shared" si="40"/>
        <v>0</v>
      </c>
      <c r="AT15" s="999">
        <f>SUMIF('2020'!$A:$A,$B15,'2020'!D:D)/1000</f>
        <v>0</v>
      </c>
      <c r="AU15" s="999">
        <f>SUMIF('2020'!$A:$A,$B15,'2020'!E:E)/1000</f>
        <v>0</v>
      </c>
      <c r="AV15" s="999">
        <f>SUMIF('2020'!$A:$A,$B15,'2020'!F:F)/1000</f>
        <v>0</v>
      </c>
      <c r="AW15" s="999">
        <f>SUMIF('2020'!$A:$A,$B15,'2020'!G:G)/1000</f>
        <v>0</v>
      </c>
      <c r="AX15" s="999">
        <f>SUMIF('2020'!$A:$A,$B15,'2020'!H:H)/1000</f>
        <v>0</v>
      </c>
      <c r="AY15" s="999">
        <f>SUMIF('2020'!$A:$A,$B15,'2020'!I:I)/1000</f>
        <v>0</v>
      </c>
      <c r="AZ15" s="999">
        <f>SUMIF('2020'!$A:$A,$B15,'2020'!J:J)/1000</f>
        <v>0</v>
      </c>
      <c r="BA15" s="999">
        <f>SUMIF('2020'!$A:$A,$B15,'2020'!K:K)/1000</f>
        <v>0</v>
      </c>
      <c r="BB15" s="999">
        <f>SUMIF('2020'!$A:$A,$B15,'2020'!L:L)/1000</f>
        <v>0</v>
      </c>
      <c r="BC15" s="999">
        <f>SUMIF('2020'!$A:$A,$B15,'2020'!M:M)/1000</f>
        <v>0</v>
      </c>
      <c r="BD15" s="999">
        <f>SUMIF('2020'!$A:$A,$B15,'2020'!N:N)/1000</f>
        <v>0</v>
      </c>
      <c r="BE15" s="999">
        <f>SUMIF('2020'!$A:$A,$B15,'2020'!O:O)/1000</f>
        <v>0</v>
      </c>
      <c r="BF15" s="1410"/>
      <c r="BR15" s="1410"/>
      <c r="BS15" s="1410"/>
      <c r="BT15" s="1410"/>
      <c r="BU15" s="1410"/>
      <c r="BV15" s="1410"/>
      <c r="BW15" s="1410"/>
      <c r="BX15" s="1410"/>
      <c r="BY15" s="1410"/>
      <c r="BZ15" s="1410"/>
    </row>
    <row r="16" spans="2:78">
      <c r="B16" s="977" t="s">
        <v>1307</v>
      </c>
      <c r="C16" s="927" t="s">
        <v>751</v>
      </c>
      <c r="D16" s="999">
        <f t="shared" si="37"/>
        <v>36.95091</v>
      </c>
      <c r="E16" s="999">
        <f t="shared" si="37"/>
        <v>49.026879999999998</v>
      </c>
      <c r="F16" s="999">
        <f t="shared" si="37"/>
        <v>42.769750000000002</v>
      </c>
      <c r="G16" s="999">
        <f t="shared" si="37"/>
        <v>33.196019999999997</v>
      </c>
      <c r="H16" s="999">
        <f t="shared" si="37"/>
        <v>25.883459999999999</v>
      </c>
      <c r="I16" s="999">
        <f t="shared" si="37"/>
        <v>35.142879999999998</v>
      </c>
      <c r="J16" s="999">
        <f t="shared" si="37"/>
        <v>33.657739999999997</v>
      </c>
      <c r="K16" s="999">
        <f t="shared" si="37"/>
        <v>32.826730000000005</v>
      </c>
      <c r="L16" s="999">
        <f t="shared" si="37"/>
        <v>36.192730000000005</v>
      </c>
      <c r="M16" s="999">
        <f t="shared" si="37"/>
        <v>38.046440000000004</v>
      </c>
      <c r="N16" s="999">
        <f t="shared" si="38"/>
        <v>36.529540000000004</v>
      </c>
      <c r="O16" s="999">
        <f t="shared" si="38"/>
        <v>45.448730000000005</v>
      </c>
      <c r="P16" s="999">
        <f t="shared" si="38"/>
        <v>51.110289999999999</v>
      </c>
      <c r="Q16" s="999">
        <f t="shared" si="38"/>
        <v>48.617069999999998</v>
      </c>
      <c r="R16" s="999">
        <f t="shared" si="38"/>
        <v>45.120629999999998</v>
      </c>
      <c r="S16" s="999">
        <f t="shared" si="38"/>
        <v>25.822330000000001</v>
      </c>
      <c r="T16" s="999">
        <f t="shared" si="38"/>
        <v>36.705100000000002</v>
      </c>
      <c r="U16" s="999">
        <f t="shared" si="38"/>
        <v>54.270470000000003</v>
      </c>
      <c r="V16" s="999">
        <f t="shared" si="38"/>
        <v>26.721229999999998</v>
      </c>
      <c r="W16" s="999">
        <f t="shared" si="38"/>
        <v>33.701910000000005</v>
      </c>
      <c r="X16" s="999">
        <f t="shared" si="39"/>
        <v>37.552320000000002</v>
      </c>
      <c r="Y16" s="999">
        <f t="shared" si="39"/>
        <v>36.710500000000003</v>
      </c>
      <c r="Z16" s="999">
        <f t="shared" si="39"/>
        <v>34.08663</v>
      </c>
      <c r="AA16" s="999">
        <f t="shared" si="39"/>
        <v>32.582970000000003</v>
      </c>
      <c r="AB16" s="999">
        <f t="shared" si="39"/>
        <v>44.890089999999994</v>
      </c>
      <c r="AC16" s="999">
        <f t="shared" si="39"/>
        <v>47.725720000000003</v>
      </c>
      <c r="AD16" s="999">
        <f t="shared" si="39"/>
        <v>44.844459999999998</v>
      </c>
      <c r="AE16" s="999">
        <f t="shared" si="39"/>
        <v>40.687860000000001</v>
      </c>
      <c r="AF16" s="999">
        <f t="shared" si="39"/>
        <v>34.675249999999998</v>
      </c>
      <c r="AG16" s="999">
        <f t="shared" si="39"/>
        <v>35.855179999999997</v>
      </c>
      <c r="AH16" s="999">
        <f t="shared" si="40"/>
        <v>33.05782</v>
      </c>
      <c r="AI16" s="999">
        <f t="shared" si="40"/>
        <v>34.354930000000003</v>
      </c>
      <c r="AJ16" s="999">
        <f t="shared" si="40"/>
        <v>35.654300000000006</v>
      </c>
      <c r="AK16" s="999">
        <f t="shared" si="40"/>
        <v>37.731970000000004</v>
      </c>
      <c r="AL16" s="999">
        <f t="shared" si="40"/>
        <v>39.209379999999996</v>
      </c>
      <c r="AM16" s="999">
        <f t="shared" si="40"/>
        <v>36.295999999999999</v>
      </c>
      <c r="AN16" s="999">
        <f t="shared" si="40"/>
        <v>46.131180000000001</v>
      </c>
      <c r="AO16" s="999">
        <f t="shared" si="40"/>
        <v>50.526060000000001</v>
      </c>
      <c r="AP16" s="999">
        <f t="shared" si="40"/>
        <v>51.21622</v>
      </c>
      <c r="AQ16" s="999">
        <f t="shared" si="40"/>
        <v>43.777010000000004</v>
      </c>
      <c r="AR16" s="999">
        <f t="shared" si="40"/>
        <v>47.222050000000003</v>
      </c>
      <c r="AS16" s="999">
        <f t="shared" si="40"/>
        <v>37.181280000000001</v>
      </c>
      <c r="AT16" s="999">
        <f>SUMIF('2020'!$A:$A,$B16,'2020'!D:D)/1000</f>
        <v>35.184139999999999</v>
      </c>
      <c r="AU16" s="999">
        <f>SUMIF('2020'!$A:$A,$B16,'2020'!E:E)/1000</f>
        <v>40.950589999999998</v>
      </c>
      <c r="AV16" s="999">
        <f>SUMIF('2020'!$A:$A,$B16,'2020'!F:F)/1000</f>
        <v>37.374949999999998</v>
      </c>
      <c r="AW16" s="999">
        <f>SUMIF('2020'!$A:$A,$B16,'2020'!G:G)/1000</f>
        <v>14.155190000000001</v>
      </c>
      <c r="AX16" s="999">
        <f>SUMIF('2020'!$A:$A,$B16,'2020'!H:H)/1000</f>
        <v>20.68571</v>
      </c>
      <c r="AY16" s="999">
        <f>SUMIF('2020'!$A:$A,$B16,'2020'!I:I)/1000</f>
        <v>28.696360000000002</v>
      </c>
      <c r="AZ16" s="999">
        <f>SUMIF('2020'!$A:$A,$B16,'2020'!J:J)/1000</f>
        <v>47.811660000000003</v>
      </c>
      <c r="BA16" s="999">
        <f>SUMIF('2020'!$A:$A,$B16,'2020'!K:K)/1000</f>
        <v>37.559559999999998</v>
      </c>
      <c r="BB16" s="999">
        <f>SUMIF('2020'!$A:$A,$B16,'2020'!L:L)/1000</f>
        <v>46.991769999999995</v>
      </c>
      <c r="BC16" s="999">
        <f>SUMIF('2020'!$A:$A,$B16,'2020'!M:M)/1000</f>
        <v>39.614429999999999</v>
      </c>
      <c r="BD16" s="999">
        <f>SUMIF('2020'!$A:$A,$B16,'2020'!N:N)/1000</f>
        <v>37.236370000000001</v>
      </c>
      <c r="BE16" s="999">
        <f>SUMIF('2020'!$A:$A,$B16,'2020'!O:O)/1000</f>
        <v>31.281310000000001</v>
      </c>
      <c r="BF16" s="1410">
        <f>SUMIF('2021'!$A:$A,$B16,'2021'!D:D)/1000</f>
        <v>12.76914</v>
      </c>
      <c r="BG16" s="1410">
        <f>SUMIF('2021'!$A:$A,$B16,'2021'!E:E)/1000</f>
        <v>26.238790000000002</v>
      </c>
      <c r="BH16" s="1410">
        <f>SUMIF('2021'!$A:$A,$B16,'2021'!F:F)/1000</f>
        <v>40.396370000000005</v>
      </c>
      <c r="BI16" s="1410">
        <f>SUMIF('2021'!$A:$A,$B16,'2021'!G:G)/1000</f>
        <v>16.313269999999999</v>
      </c>
      <c r="BJ16" s="1410">
        <f>SUMIF('2021'!$A:$A,$B16,'2021'!H:H)/1000</f>
        <v>83.090980000000002</v>
      </c>
      <c r="BK16" s="1410">
        <f>SUMIF('2021'!$A:$A,$B16,'2021'!I:I)/1000</f>
        <v>-8.0191800000000004</v>
      </c>
      <c r="BL16" s="1410">
        <f>SUMIF('2021'!$A:$A,$B16,'2021'!J:J)/1000</f>
        <v>75.673949999999991</v>
      </c>
      <c r="BM16" s="1410">
        <f>SUMIF('2021'!$A:$A,$B16,'2021'!K:K)/1000</f>
        <v>72.184229999999999</v>
      </c>
      <c r="BN16" s="1410">
        <f>SUMIF('2021'!$A:$A,$B16,'2021'!L:L)/1000</f>
        <v>53.18394</v>
      </c>
      <c r="BO16" s="1410">
        <f>SUMIF('2021'!$A:$A,$B16,'2021'!M:M)/1000</f>
        <v>25.909099999999999</v>
      </c>
      <c r="BP16" s="1410">
        <f>SUMIF('2021'!$A:$A,$B16,'2021'!N:N)/1000</f>
        <v>52.210730000000005</v>
      </c>
      <c r="BQ16" s="1410">
        <f>SUMIF('2021'!$A:$A,$B16,'2021'!O:O)/1000</f>
        <v>47.304919999999996</v>
      </c>
      <c r="BR16" s="1410">
        <f>SUMIF('2022'!$A:$A,$B16,'2022'!D:D)/1000</f>
        <v>30.08344</v>
      </c>
      <c r="BS16" s="1410">
        <f>SUMIF('2022'!$A:$A,$B16,'2022'!E:E)/1000</f>
        <v>64.640010000000004</v>
      </c>
      <c r="BT16" s="1410">
        <f>SUMIF('2022'!$A:$A,$B16,'2022'!F:F)/1000</f>
        <v>49.043839999999996</v>
      </c>
      <c r="BU16" s="1410">
        <f>SUMIF('2022'!$A:$A,$B16,'2022'!G:G)/1000</f>
        <v>50.480849999999997</v>
      </c>
      <c r="BV16" s="1410">
        <f>SUMIF('2022'!$A:$A,$B16,'2022'!H:H)/1000</f>
        <v>50.490650000000002</v>
      </c>
      <c r="BW16" s="1410">
        <f>SUMIF('2022'!$A:$A,$B16,'2022'!I:I)/1000</f>
        <v>49.82103</v>
      </c>
      <c r="BX16" s="1410">
        <f>SUMIF('2022'!$A:$A,$B16,'2022'!J:J)/1000</f>
        <v>62.496310000000001</v>
      </c>
      <c r="BY16" s="1410">
        <f>SUMIF('2022'!$A:$A,$B16,'2022'!K:K)/1000</f>
        <v>59.422930000000001</v>
      </c>
      <c r="BZ16" s="1410">
        <f>SUMIF('2022'!$A:$A,$B16,'2022'!L:L)/1000</f>
        <v>62.17483</v>
      </c>
    </row>
    <row r="17" spans="2:78">
      <c r="B17" s="977" t="s">
        <v>1289</v>
      </c>
      <c r="C17" s="927" t="s">
        <v>752</v>
      </c>
      <c r="D17" s="999">
        <f t="shared" si="37"/>
        <v>7.5679999999999996</v>
      </c>
      <c r="E17" s="999">
        <f t="shared" si="37"/>
        <v>7.9946099999999998</v>
      </c>
      <c r="F17" s="999">
        <f t="shared" si="37"/>
        <v>7.43886</v>
      </c>
      <c r="G17" s="999">
        <f t="shared" si="37"/>
        <v>7.6241000000000003</v>
      </c>
      <c r="H17" s="999">
        <f t="shared" si="37"/>
        <v>7.6241000000000003</v>
      </c>
      <c r="I17" s="999">
        <f t="shared" si="37"/>
        <v>7.6241000000000003</v>
      </c>
      <c r="J17" s="999">
        <f t="shared" si="37"/>
        <v>7.53491</v>
      </c>
      <c r="K17" s="999">
        <f t="shared" si="37"/>
        <v>7.5348999999999995</v>
      </c>
      <c r="L17" s="999">
        <f t="shared" si="37"/>
        <v>7.1781499999999996</v>
      </c>
      <c r="M17" s="999">
        <f t="shared" si="37"/>
        <v>7.5511299999999997</v>
      </c>
      <c r="N17" s="999">
        <f t="shared" si="38"/>
        <v>7.5186800000000007</v>
      </c>
      <c r="O17" s="999">
        <f t="shared" si="38"/>
        <v>7.4219600000000003</v>
      </c>
      <c r="P17" s="999">
        <f t="shared" si="38"/>
        <v>7.6010400000000002</v>
      </c>
      <c r="Q17" s="999">
        <f t="shared" si="38"/>
        <v>7.6010499999999999</v>
      </c>
      <c r="R17" s="999">
        <f t="shared" si="38"/>
        <v>7.6010299999999997</v>
      </c>
      <c r="S17" s="999">
        <f t="shared" si="38"/>
        <v>7.6010499999999999</v>
      </c>
      <c r="T17" s="999">
        <f t="shared" si="38"/>
        <v>7.6010400000000002</v>
      </c>
      <c r="U17" s="999">
        <f t="shared" si="38"/>
        <v>7.6010400000000002</v>
      </c>
      <c r="V17" s="999">
        <f t="shared" si="38"/>
        <v>7.6010400000000002</v>
      </c>
      <c r="W17" s="999">
        <f t="shared" si="38"/>
        <v>7.6010499999999999</v>
      </c>
      <c r="X17" s="999">
        <f t="shared" si="39"/>
        <v>7.6010400000000002</v>
      </c>
      <c r="Y17" s="999">
        <f t="shared" si="39"/>
        <v>7.6010400000000002</v>
      </c>
      <c r="Z17" s="999">
        <f t="shared" si="39"/>
        <v>7.6010400000000002</v>
      </c>
      <c r="AA17" s="999">
        <f t="shared" si="39"/>
        <v>10.254040000000002</v>
      </c>
      <c r="AB17" s="999">
        <f t="shared" si="39"/>
        <v>5.5660500000000006</v>
      </c>
      <c r="AC17" s="999">
        <f t="shared" si="39"/>
        <v>8.8593899999999994</v>
      </c>
      <c r="AD17" s="999">
        <f t="shared" si="39"/>
        <v>6.8138900000000007</v>
      </c>
      <c r="AE17" s="999">
        <f t="shared" si="39"/>
        <v>6.8138800000000002</v>
      </c>
      <c r="AF17" s="999">
        <f t="shared" si="39"/>
        <v>6.8138900000000007</v>
      </c>
      <c r="AG17" s="999">
        <f t="shared" si="39"/>
        <v>6.8138900000000007</v>
      </c>
      <c r="AH17" s="999">
        <f t="shared" si="40"/>
        <v>6.8138900000000007</v>
      </c>
      <c r="AI17" s="999">
        <f t="shared" si="40"/>
        <v>6.8138900000000007</v>
      </c>
      <c r="AJ17" s="999">
        <f t="shared" si="40"/>
        <v>6.8138900000000007</v>
      </c>
      <c r="AK17" s="999">
        <f t="shared" si="40"/>
        <v>6.8161300000000002</v>
      </c>
      <c r="AL17" s="999">
        <f t="shared" si="40"/>
        <v>6.8743699999999999</v>
      </c>
      <c r="AM17" s="999">
        <f t="shared" si="40"/>
        <v>6.8452299999999999</v>
      </c>
      <c r="AN17" s="999">
        <f t="shared" si="40"/>
        <v>7.5232399999999995</v>
      </c>
      <c r="AO17" s="999">
        <f t="shared" si="40"/>
        <v>7.7152099999999999</v>
      </c>
      <c r="AP17" s="999">
        <f t="shared" si="40"/>
        <v>7.9518199999999997</v>
      </c>
      <c r="AQ17" s="999">
        <f t="shared" si="40"/>
        <v>7.9518199999999997</v>
      </c>
      <c r="AR17" s="999">
        <f t="shared" si="40"/>
        <v>7.9518199999999997</v>
      </c>
      <c r="AS17" s="999">
        <f t="shared" si="40"/>
        <v>7.9518199999999997</v>
      </c>
      <c r="AT17" s="999">
        <f>SUMIF('2020'!$A:$A,$B17,'2020'!D:D)/1000</f>
        <v>7.8045200000000001</v>
      </c>
      <c r="AU17" s="999">
        <f>SUMIF('2020'!$A:$A,$B17,'2020'!E:E)/1000</f>
        <v>7.9371</v>
      </c>
      <c r="AV17" s="999">
        <f>SUMIF('2020'!$A:$A,$B17,'2020'!F:F)/1000</f>
        <v>7.93729</v>
      </c>
      <c r="AW17" s="999">
        <f>SUMIF('2020'!$A:$A,$B17,'2020'!G:G)/1000</f>
        <v>7.9370900000000004</v>
      </c>
      <c r="AX17" s="999">
        <f>SUMIF('2020'!$A:$A,$B17,'2020'!H:H)/1000</f>
        <v>7.9371</v>
      </c>
      <c r="AY17" s="999">
        <f>SUMIF('2020'!$A:$A,$B17,'2020'!I:I)/1000</f>
        <v>7.9370900000000004</v>
      </c>
      <c r="AZ17" s="999">
        <f>SUMIF('2020'!$A:$A,$B17,'2020'!J:J)/1000</f>
        <v>2.6396500000000001</v>
      </c>
      <c r="BA17" s="999">
        <f>SUMIF('2020'!$A:$A,$B17,'2020'!K:K)/1000</f>
        <v>16.265319999999999</v>
      </c>
      <c r="BB17" s="999">
        <f>SUMIF('2020'!$A:$A,$B17,'2020'!L:L)/1000</f>
        <v>7.2287299999999997</v>
      </c>
      <c r="BC17" s="999">
        <f>SUMIF('2020'!$A:$A,$B17,'2020'!M:M)/1000</f>
        <v>13.541729999999999</v>
      </c>
      <c r="BD17" s="999">
        <f>SUMIF('2020'!$A:$A,$B17,'2020'!N:N)/1000</f>
        <v>11.98522</v>
      </c>
      <c r="BE17" s="999">
        <f>SUMIF('2020'!$A:$A,$B17,'2020'!O:O)/1000</f>
        <v>10.38523</v>
      </c>
      <c r="BF17" s="1410">
        <f>SUMIF('2021'!$A:$A,$B17,'2021'!D:D)/1000</f>
        <v>10.38523</v>
      </c>
      <c r="BG17" s="1410">
        <f>SUMIF('2021'!$A:$A,$B17,'2021'!E:E)/1000</f>
        <v>10.38523</v>
      </c>
      <c r="BH17" s="1410">
        <f>SUMIF('2021'!$A:$A,$B17,'2021'!F:F)/1000</f>
        <v>10.38523</v>
      </c>
      <c r="BI17" s="1410">
        <f>SUMIF('2021'!$A:$A,$B17,'2021'!G:G)/1000</f>
        <v>10.38523</v>
      </c>
      <c r="BJ17" s="1410">
        <f>SUMIF('2021'!$A:$A,$B17,'2021'!H:H)/1000</f>
        <v>10.38523</v>
      </c>
      <c r="BK17" s="1410">
        <f>SUMIF('2021'!$A:$A,$B17,'2021'!I:I)/1000</f>
        <v>10.38523</v>
      </c>
      <c r="BL17" s="1410">
        <f>SUMIF('2021'!$A:$A,$B17,'2021'!J:J)/1000</f>
        <v>11.226280000000001</v>
      </c>
      <c r="BM17" s="1410">
        <f>SUMIF('2021'!$A:$A,$B17,'2021'!K:K)/1000</f>
        <v>11.226280000000001</v>
      </c>
      <c r="BN17" s="1410">
        <f>SUMIF('2021'!$A:$A,$B17,'2021'!L:L)/1000</f>
        <v>8.0697799999999997</v>
      </c>
      <c r="BO17" s="1410">
        <f>SUMIF('2021'!$A:$A,$B17,'2021'!M:M)/1000</f>
        <v>8.0697799999999997</v>
      </c>
      <c r="BP17" s="1410">
        <f>SUMIF('2021'!$A:$A,$B17,'2021'!N:N)/1000</f>
        <v>24.296230000000001</v>
      </c>
      <c r="BQ17" s="1410">
        <f>SUMIF('2021'!$A:$A,$B17,'2021'!O:O)/1000</f>
        <v>7.4207299999999998</v>
      </c>
      <c r="BR17" s="1410">
        <f>SUMIF('2022'!$A:$A,$B17,'2022'!D:D)/1000</f>
        <v>11.964129999999999</v>
      </c>
      <c r="BS17" s="1410">
        <f>SUMIF('2022'!$A:$A,$B17,'2022'!E:E)/1000</f>
        <v>11.964129999999999</v>
      </c>
      <c r="BT17" s="1410">
        <f>SUMIF('2022'!$A:$A,$B17,'2022'!F:F)/1000</f>
        <v>11.964129999999999</v>
      </c>
      <c r="BU17" s="1410">
        <f>SUMIF('2022'!$A:$A,$B17,'2022'!G:G)/1000</f>
        <v>11.964129999999999</v>
      </c>
      <c r="BV17" s="1410">
        <f>SUMIF('2022'!$A:$A,$B17,'2022'!H:H)/1000</f>
        <v>11.964129999999999</v>
      </c>
      <c r="BW17" s="1410">
        <f>SUMIF('2022'!$A:$A,$B17,'2022'!I:I)/1000</f>
        <v>11.964169999999999</v>
      </c>
      <c r="BX17" s="1410">
        <f>SUMIF('2022'!$A:$A,$B17,'2022'!J:J)/1000</f>
        <v>10.277290000000001</v>
      </c>
      <c r="BY17" s="1410">
        <f>SUMIF('2022'!$A:$A,$B17,'2022'!K:K)/1000</f>
        <v>-1.9194100000000001</v>
      </c>
      <c r="BZ17" s="1410">
        <f>SUMIF('2022'!$A:$A,$B17,'2022'!L:L)/1000</f>
        <v>4.17896</v>
      </c>
    </row>
    <row r="18" spans="2:78">
      <c r="B18" s="977" t="s">
        <v>1288</v>
      </c>
      <c r="C18" s="927" t="s">
        <v>753</v>
      </c>
      <c r="D18" s="999">
        <f t="shared" si="37"/>
        <v>8.7785799999999998</v>
      </c>
      <c r="E18" s="999">
        <f t="shared" si="37"/>
        <v>5.1988500000000002</v>
      </c>
      <c r="F18" s="999">
        <f t="shared" si="37"/>
        <v>6.5091899999999994</v>
      </c>
      <c r="G18" s="999">
        <f t="shared" si="37"/>
        <v>30.781929999999999</v>
      </c>
      <c r="H18" s="999">
        <f t="shared" si="37"/>
        <v>6.7163500000000003</v>
      </c>
      <c r="I18" s="999">
        <f t="shared" si="37"/>
        <v>-20.781929999999999</v>
      </c>
      <c r="J18" s="999">
        <f t="shared" si="37"/>
        <v>6.4083199999999998</v>
      </c>
      <c r="K18" s="999">
        <f t="shared" si="37"/>
        <v>5.35588</v>
      </c>
      <c r="L18" s="999">
        <f t="shared" si="37"/>
        <v>8.1665700000000001</v>
      </c>
      <c r="M18" s="999">
        <f t="shared" si="37"/>
        <v>5.2042399999999995</v>
      </c>
      <c r="N18" s="999">
        <f t="shared" si="38"/>
        <v>7.6811699999999998</v>
      </c>
      <c r="O18" s="999">
        <f t="shared" si="38"/>
        <v>7.1171999999999995</v>
      </c>
      <c r="P18" s="999">
        <f t="shared" si="38"/>
        <v>8.1303400000000003</v>
      </c>
      <c r="Q18" s="999">
        <f t="shared" si="38"/>
        <v>5.3354699999999999</v>
      </c>
      <c r="R18" s="999">
        <f t="shared" si="38"/>
        <v>6.2674599999999998</v>
      </c>
      <c r="S18" s="999">
        <f t="shared" si="38"/>
        <v>6.8906999999999998</v>
      </c>
      <c r="T18" s="999">
        <f t="shared" si="38"/>
        <v>7.2120200000000008</v>
      </c>
      <c r="U18" s="999">
        <f t="shared" si="38"/>
        <v>5.8285400000000003</v>
      </c>
      <c r="V18" s="999">
        <f t="shared" si="38"/>
        <v>7.6367200000000004</v>
      </c>
      <c r="W18" s="999">
        <f t="shared" si="38"/>
        <v>6.3535500000000003</v>
      </c>
      <c r="X18" s="999">
        <f t="shared" si="39"/>
        <v>6.4451200000000002</v>
      </c>
      <c r="Y18" s="999">
        <f t="shared" si="39"/>
        <v>8.7364800000000002</v>
      </c>
      <c r="Z18" s="999">
        <f t="shared" si="39"/>
        <v>7.3728599999999993</v>
      </c>
      <c r="AA18" s="999">
        <f t="shared" si="39"/>
        <v>6.5530299999999997</v>
      </c>
      <c r="AB18" s="999">
        <f t="shared" si="39"/>
        <v>8.595229999999999</v>
      </c>
      <c r="AC18" s="999">
        <f t="shared" si="39"/>
        <v>8.1115399999999998</v>
      </c>
      <c r="AD18" s="999">
        <f t="shared" si="39"/>
        <v>5.5584600000000002</v>
      </c>
      <c r="AE18" s="999">
        <f t="shared" si="39"/>
        <v>7.3911199999999999</v>
      </c>
      <c r="AF18" s="999">
        <f t="shared" si="39"/>
        <v>6.7157299999999998</v>
      </c>
      <c r="AG18" s="999">
        <f t="shared" si="39"/>
        <v>7.3897299999999992</v>
      </c>
      <c r="AH18" s="999">
        <f t="shared" si="40"/>
        <v>7.4455799999999996</v>
      </c>
      <c r="AI18" s="999">
        <f t="shared" si="40"/>
        <v>5.1865500000000004</v>
      </c>
      <c r="AJ18" s="999">
        <f t="shared" si="40"/>
        <v>6.4949300000000001</v>
      </c>
      <c r="AK18" s="999">
        <f t="shared" si="40"/>
        <v>7.1056800000000004</v>
      </c>
      <c r="AL18" s="999">
        <f t="shared" si="40"/>
        <v>8.4730499999999989</v>
      </c>
      <c r="AM18" s="999">
        <f t="shared" si="40"/>
        <v>6.4879799999999994</v>
      </c>
      <c r="AN18" s="999">
        <f t="shared" si="40"/>
        <v>7.3508300000000002</v>
      </c>
      <c r="AO18" s="999">
        <f t="shared" si="40"/>
        <v>7.9124499999999998</v>
      </c>
      <c r="AP18" s="999">
        <f t="shared" si="40"/>
        <v>6.0401899999999999</v>
      </c>
      <c r="AQ18" s="999">
        <f t="shared" si="40"/>
        <v>6.3318300000000001</v>
      </c>
      <c r="AR18" s="999">
        <f t="shared" si="40"/>
        <v>7.93391</v>
      </c>
      <c r="AS18" s="999">
        <f t="shared" si="40"/>
        <v>7.1051200000000003</v>
      </c>
      <c r="AT18" s="999">
        <f>SUMIF('2020'!$A:$A,$B18,'2020'!D:D)/1000</f>
        <v>7.2503400000000005</v>
      </c>
      <c r="AU18" s="999">
        <f>SUMIF('2020'!$A:$A,$B18,'2020'!E:E)/1000</f>
        <v>14.418629999999999</v>
      </c>
      <c r="AV18" s="999">
        <f>SUMIF('2020'!$A:$A,$B18,'2020'!F:F)/1000</f>
        <v>6.7866999999999997</v>
      </c>
      <c r="AW18" s="999">
        <f>SUMIF('2020'!$A:$A,$B18,'2020'!G:G)/1000</f>
        <v>5</v>
      </c>
      <c r="AX18" s="999">
        <f>SUMIF('2020'!$A:$A,$B18,'2020'!H:H)/1000</f>
        <v>6.3441999999999998</v>
      </c>
      <c r="AY18" s="999">
        <f>SUMIF('2020'!$A:$A,$B18,'2020'!I:I)/1000</f>
        <v>5</v>
      </c>
      <c r="AZ18" s="999">
        <f>SUMIF('2020'!$A:$A,$B18,'2020'!J:J)/1000</f>
        <v>5</v>
      </c>
      <c r="BA18" s="999">
        <f>SUMIF('2020'!$A:$A,$B18,'2020'!K:K)/1000</f>
        <v>5</v>
      </c>
      <c r="BB18" s="999">
        <f>SUMIF('2020'!$A:$A,$B18,'2020'!L:L)/1000</f>
        <v>6.8791000000000002</v>
      </c>
      <c r="BC18" s="999">
        <f>SUMIF('2020'!$A:$A,$B18,'2020'!M:M)/1000</f>
        <v>5.9201199999999998</v>
      </c>
      <c r="BD18" s="999">
        <f>SUMIF('2020'!$A:$A,$B18,'2020'!N:N)/1000</f>
        <v>5</v>
      </c>
      <c r="BE18" s="999">
        <f>SUMIF('2020'!$A:$A,$B18,'2020'!O:O)/1000</f>
        <v>5</v>
      </c>
      <c r="BF18" s="1410">
        <f>SUMIF('2021'!$A:$A,$B18,'2021'!D:D)/1000</f>
        <v>5</v>
      </c>
      <c r="BG18" s="1410">
        <f>SUMIF('2021'!$A:$A,$B18,'2021'!E:E)/1000</f>
        <v>6.1800600000000001</v>
      </c>
      <c r="BH18" s="1410">
        <f>SUMIF('2021'!$A:$A,$B18,'2021'!F:F)/1000</f>
        <v>8.2532900000000016</v>
      </c>
      <c r="BI18" s="1410">
        <f>SUMIF('2021'!$A:$A,$B18,'2021'!G:G)/1000</f>
        <v>6.90604</v>
      </c>
      <c r="BJ18" s="1410">
        <f>SUMIF('2021'!$A:$A,$B18,'2021'!H:H)/1000</f>
        <v>5.1419300000000003</v>
      </c>
      <c r="BK18" s="1410">
        <f>SUMIF('2021'!$A:$A,$B18,'2021'!I:I)/1000</f>
        <v>7.0098700000000003</v>
      </c>
      <c r="BL18" s="1410">
        <f>SUMIF('2021'!$A:$A,$B18,'2021'!J:J)/1000</f>
        <v>5.3544700000000001</v>
      </c>
      <c r="BM18" s="1410">
        <f>SUMIF('2021'!$A:$A,$B18,'2021'!K:K)/1000</f>
        <v>6.0891000000000002</v>
      </c>
      <c r="BN18" s="1410">
        <f>SUMIF('2021'!$A:$A,$B18,'2021'!L:L)/1000</f>
        <v>5.3490500000000001</v>
      </c>
      <c r="BO18" s="1410">
        <f>SUMIF('2021'!$A:$A,$B18,'2021'!M:M)/1000</f>
        <v>5.4208500000000006</v>
      </c>
      <c r="BP18" s="1410">
        <f>SUMIF('2021'!$A:$A,$B18,'2021'!N:N)/1000</f>
        <v>5.4100400000000004</v>
      </c>
      <c r="BQ18" s="1410">
        <f>SUMIF('2021'!$A:$A,$B18,'2021'!O:O)/1000</f>
        <v>5.48489</v>
      </c>
      <c r="BR18" s="1410">
        <f>SUMIF('2022'!$A:$A,$B18,'2022'!D:D)/1000</f>
        <v>7.2803500000000003</v>
      </c>
      <c r="BS18" s="1410">
        <f>SUMIF('2022'!$A:$A,$B18,'2022'!E:E)/1000</f>
        <v>9.4252299999999991</v>
      </c>
      <c r="BT18" s="1410">
        <f>SUMIF('2022'!$A:$A,$B18,'2022'!F:F)/1000</f>
        <v>7.6430899999999999</v>
      </c>
      <c r="BU18" s="1410">
        <f>SUMIF('2022'!$A:$A,$B18,'2022'!G:G)/1000</f>
        <v>6.9598100000000001</v>
      </c>
      <c r="BV18" s="1410">
        <f>SUMIF('2022'!$A:$A,$B18,'2022'!H:H)/1000</f>
        <v>10.31265</v>
      </c>
      <c r="BW18" s="1410">
        <f>SUMIF('2022'!$A:$A,$B18,'2022'!I:I)/1000</f>
        <v>5</v>
      </c>
      <c r="BX18" s="1410">
        <f>SUMIF('2022'!$A:$A,$B18,'2022'!J:J)/1000</f>
        <v>5</v>
      </c>
      <c r="BY18" s="1410">
        <f>SUMIF('2022'!$A:$A,$B18,'2022'!K:K)/1000</f>
        <v>5</v>
      </c>
      <c r="BZ18" s="1410">
        <f>SUMIF('2022'!$A:$A,$B18,'2022'!L:L)/1000</f>
        <v>9.7656700000000001</v>
      </c>
    </row>
    <row r="19" spans="2:78">
      <c r="B19" s="977" t="s">
        <v>1400</v>
      </c>
      <c r="C19" s="927" t="s">
        <v>449</v>
      </c>
      <c r="D19" s="999">
        <f t="shared" si="37"/>
        <v>0</v>
      </c>
      <c r="E19" s="999">
        <f t="shared" si="37"/>
        <v>0</v>
      </c>
      <c r="F19" s="999">
        <f t="shared" si="37"/>
        <v>0</v>
      </c>
      <c r="G19" s="999">
        <f t="shared" si="37"/>
        <v>0</v>
      </c>
      <c r="H19" s="999">
        <f t="shared" si="37"/>
        <v>0</v>
      </c>
      <c r="I19" s="999">
        <f t="shared" si="37"/>
        <v>0</v>
      </c>
      <c r="J19" s="999">
        <f t="shared" si="37"/>
        <v>0</v>
      </c>
      <c r="K19" s="999">
        <f t="shared" si="37"/>
        <v>0</v>
      </c>
      <c r="L19" s="999">
        <f t="shared" si="37"/>
        <v>0</v>
      </c>
      <c r="M19" s="999">
        <f t="shared" si="37"/>
        <v>0</v>
      </c>
      <c r="N19" s="999">
        <f t="shared" si="38"/>
        <v>0</v>
      </c>
      <c r="O19" s="999">
        <f t="shared" si="38"/>
        <v>0</v>
      </c>
      <c r="P19" s="999">
        <f t="shared" si="38"/>
        <v>0</v>
      </c>
      <c r="Q19" s="999">
        <f t="shared" si="38"/>
        <v>0</v>
      </c>
      <c r="R19" s="999">
        <f t="shared" si="38"/>
        <v>0</v>
      </c>
      <c r="S19" s="999">
        <f t="shared" si="38"/>
        <v>0</v>
      </c>
      <c r="T19" s="999">
        <f t="shared" si="38"/>
        <v>0</v>
      </c>
      <c r="U19" s="999">
        <f t="shared" si="38"/>
        <v>0</v>
      </c>
      <c r="V19" s="999">
        <f t="shared" si="38"/>
        <v>0</v>
      </c>
      <c r="W19" s="999">
        <f t="shared" si="38"/>
        <v>0</v>
      </c>
      <c r="X19" s="999">
        <f t="shared" si="39"/>
        <v>0</v>
      </c>
      <c r="Y19" s="999">
        <f t="shared" si="39"/>
        <v>0</v>
      </c>
      <c r="Z19" s="999">
        <f t="shared" si="39"/>
        <v>0</v>
      </c>
      <c r="AA19" s="999">
        <f t="shared" si="39"/>
        <v>0</v>
      </c>
      <c r="AB19" s="999">
        <f t="shared" si="39"/>
        <v>0</v>
      </c>
      <c r="AC19" s="999">
        <f t="shared" si="39"/>
        <v>0</v>
      </c>
      <c r="AD19" s="999">
        <f t="shared" si="39"/>
        <v>0</v>
      </c>
      <c r="AE19" s="999">
        <f t="shared" si="39"/>
        <v>0</v>
      </c>
      <c r="AF19" s="999">
        <f t="shared" si="39"/>
        <v>0</v>
      </c>
      <c r="AG19" s="999">
        <f t="shared" si="39"/>
        <v>0</v>
      </c>
      <c r="AH19" s="999">
        <f t="shared" si="40"/>
        <v>0</v>
      </c>
      <c r="AI19" s="999">
        <f t="shared" si="40"/>
        <v>0</v>
      </c>
      <c r="AJ19" s="999">
        <f t="shared" si="40"/>
        <v>0</v>
      </c>
      <c r="AK19" s="999">
        <f t="shared" si="40"/>
        <v>0</v>
      </c>
      <c r="AL19" s="999">
        <f t="shared" si="40"/>
        <v>0</v>
      </c>
      <c r="AM19" s="999">
        <f t="shared" si="40"/>
        <v>0</v>
      </c>
      <c r="AN19" s="999">
        <f t="shared" si="40"/>
        <v>0</v>
      </c>
      <c r="AO19" s="999">
        <f t="shared" si="40"/>
        <v>0</v>
      </c>
      <c r="AP19" s="999">
        <f t="shared" si="40"/>
        <v>0</v>
      </c>
      <c r="AQ19" s="999">
        <f t="shared" si="40"/>
        <v>0</v>
      </c>
      <c r="AR19" s="999">
        <f t="shared" si="40"/>
        <v>0</v>
      </c>
      <c r="AS19" s="999">
        <f t="shared" si="40"/>
        <v>0</v>
      </c>
      <c r="AT19" s="999">
        <f>SUMIF('2020'!$A:$A,$B19,'2020'!D:D)/1000</f>
        <v>0</v>
      </c>
      <c r="AU19" s="999">
        <f>SUMIF('2020'!$A:$A,$B19,'2020'!E:E)/1000</f>
        <v>0</v>
      </c>
      <c r="AV19" s="999">
        <f>SUMIF('2020'!$A:$A,$B19,'2020'!F:F)/1000</f>
        <v>0</v>
      </c>
      <c r="AW19" s="999">
        <f>SUMIF('2020'!$A:$A,$B19,'2020'!G:G)/1000</f>
        <v>0</v>
      </c>
      <c r="AX19" s="999">
        <f>SUMIF('2020'!$A:$A,$B19,'2020'!H:H)/1000</f>
        <v>0</v>
      </c>
      <c r="AY19" s="999">
        <f>SUMIF('2020'!$A:$A,$B19,'2020'!I:I)/1000</f>
        <v>0</v>
      </c>
      <c r="AZ19" s="999">
        <f>SUMIF('2020'!$A:$A,$B19,'2020'!J:J)/1000</f>
        <v>0</v>
      </c>
      <c r="BA19" s="999">
        <f>SUMIF('2020'!$A:$A,$B19,'2020'!K:K)/1000</f>
        <v>0</v>
      </c>
      <c r="BB19" s="999">
        <f>SUMIF('2020'!$A:$A,$B19,'2020'!L:L)/1000</f>
        <v>0</v>
      </c>
      <c r="BC19" s="999">
        <f>SUMIF('2020'!$A:$A,$B19,'2020'!M:M)/1000</f>
        <v>0</v>
      </c>
      <c r="BD19" s="999">
        <f>SUMIF('2020'!$A:$A,$B19,'2020'!N:N)/1000</f>
        <v>0</v>
      </c>
      <c r="BE19" s="999">
        <f>SUMIF('2020'!$A:$A,$B19,'2020'!O:O)/1000</f>
        <v>0</v>
      </c>
      <c r="BF19" s="1410">
        <f>SUMIF('2021'!$A:$A,$B19,'2021'!D:D)/1000</f>
        <v>0</v>
      </c>
      <c r="BG19" s="1410">
        <f>SUMIF('2021'!$A:$A,$B19,'2021'!E:E)/1000</f>
        <v>0</v>
      </c>
      <c r="BH19" s="1410">
        <f>SUMIF('2021'!$A:$A,$B19,'2021'!F:F)/1000</f>
        <v>0</v>
      </c>
      <c r="BI19" s="1410">
        <f>SUMIF('2021'!$A:$A,$B19,'2021'!G:G)/1000</f>
        <v>0</v>
      </c>
      <c r="BJ19" s="1410">
        <f>SUMIF('2021'!$A:$A,$B19,'2021'!H:H)/1000</f>
        <v>0</v>
      </c>
      <c r="BK19" s="1410">
        <f>SUMIF('2021'!$A:$A,$B19,'2021'!I:I)/1000</f>
        <v>0</v>
      </c>
      <c r="BL19" s="1410">
        <f>SUMIF('2021'!$A:$A,$B19,'2021'!J:J)/1000</f>
        <v>0</v>
      </c>
      <c r="BM19" s="1410">
        <f>SUMIF('2021'!$A:$A,$B19,'2021'!K:K)/1000</f>
        <v>0</v>
      </c>
      <c r="BN19" s="1410">
        <f>SUMIF('2021'!$A:$A,$B19,'2021'!L:L)/1000</f>
        <v>0</v>
      </c>
      <c r="BO19" s="1410">
        <f>SUMIF('2021'!$A:$A,$B19,'2021'!M:M)/1000</f>
        <v>0</v>
      </c>
      <c r="BP19" s="1410">
        <f>SUMIF('2021'!$A:$A,$B19,'2021'!N:N)/1000</f>
        <v>0</v>
      </c>
      <c r="BQ19" s="1410">
        <f>SUMIF('2021'!$A:$A,$B19,'2021'!O:O)/1000</f>
        <v>0</v>
      </c>
      <c r="BR19" s="1410">
        <f>SUMIF('2022'!$A:$A,$B19,'2022'!D:D)/1000</f>
        <v>0</v>
      </c>
      <c r="BS19" s="1410">
        <f>SUMIF('2022'!$A:$A,$B19,'2022'!E:E)/1000</f>
        <v>0</v>
      </c>
      <c r="BT19" s="1410">
        <f>SUMIF('2022'!$A:$A,$B19,'2022'!F:F)/1000</f>
        <v>0</v>
      </c>
      <c r="BU19" s="1410">
        <f>SUMIF('2022'!$A:$A,$B19,'2022'!G:G)/1000</f>
        <v>0</v>
      </c>
      <c r="BV19" s="1410">
        <f>SUMIF('2022'!$A:$A,$B19,'2022'!H:H)/1000</f>
        <v>0</v>
      </c>
      <c r="BW19" s="1410">
        <f>SUMIF('2022'!$A:$A,$B19,'2022'!I:I)/1000</f>
        <v>0</v>
      </c>
      <c r="BX19" s="1410">
        <f>SUMIF('2022'!$A:$A,$B19,'2022'!J:J)/1000</f>
        <v>0</v>
      </c>
      <c r="BY19" s="1410">
        <f>SUMIF('2022'!$A:$A,$B19,'2022'!K:K)/1000</f>
        <v>0</v>
      </c>
      <c r="BZ19" s="1410">
        <f>SUMIF('2022'!$A:$A,$B19,'2022'!L:L)/1000</f>
        <v>0</v>
      </c>
    </row>
    <row r="20" spans="2:78">
      <c r="B20" s="977" t="s">
        <v>1296</v>
      </c>
      <c r="C20" s="927" t="s">
        <v>754</v>
      </c>
      <c r="D20" s="999">
        <f t="shared" si="37"/>
        <v>30.8</v>
      </c>
      <c r="E20" s="999">
        <f t="shared" si="37"/>
        <v>30.8</v>
      </c>
      <c r="F20" s="999">
        <f t="shared" si="37"/>
        <v>30.8</v>
      </c>
      <c r="G20" s="999">
        <f t="shared" si="37"/>
        <v>46.124089999999995</v>
      </c>
      <c r="H20" s="999">
        <f t="shared" si="37"/>
        <v>34.631019999999999</v>
      </c>
      <c r="I20" s="999">
        <f t="shared" si="37"/>
        <v>-2.8890199999999999</v>
      </c>
      <c r="J20" s="999">
        <f t="shared" si="37"/>
        <v>31.568729999999999</v>
      </c>
      <c r="K20" s="999">
        <f t="shared" si="37"/>
        <v>31.679089999999999</v>
      </c>
      <c r="L20" s="999">
        <f t="shared" si="37"/>
        <v>38.475720000000003</v>
      </c>
      <c r="M20" s="999">
        <f t="shared" si="37"/>
        <v>31.568740000000002</v>
      </c>
      <c r="N20" s="999">
        <f t="shared" si="38"/>
        <v>18.529070000000001</v>
      </c>
      <c r="O20" s="999">
        <f t="shared" si="38"/>
        <v>30.231069999999999</v>
      </c>
      <c r="P20" s="999">
        <f t="shared" si="38"/>
        <v>29.292279999999998</v>
      </c>
      <c r="Q20" s="999">
        <f t="shared" si="38"/>
        <v>63.852539999999998</v>
      </c>
      <c r="R20" s="999">
        <f t="shared" si="38"/>
        <v>33.031230000000001</v>
      </c>
      <c r="S20" s="999">
        <f t="shared" si="38"/>
        <v>32.246919999999996</v>
      </c>
      <c r="T20" s="999">
        <f t="shared" si="38"/>
        <v>30.246929999999999</v>
      </c>
      <c r="U20" s="999">
        <f t="shared" si="38"/>
        <v>30.246919999999999</v>
      </c>
      <c r="V20" s="999">
        <f t="shared" si="38"/>
        <v>30.246929999999999</v>
      </c>
      <c r="W20" s="999">
        <f t="shared" si="38"/>
        <v>30.361000000000001</v>
      </c>
      <c r="X20" s="999">
        <f t="shared" si="39"/>
        <v>30.246929999999999</v>
      </c>
      <c r="Y20" s="999">
        <f t="shared" si="39"/>
        <v>30.324240000000003</v>
      </c>
      <c r="Z20" s="999">
        <f t="shared" si="39"/>
        <v>30.583919999999999</v>
      </c>
      <c r="AA20" s="999">
        <f t="shared" si="39"/>
        <v>30.246919999999999</v>
      </c>
      <c r="AB20" s="999">
        <f t="shared" si="39"/>
        <v>30.852</v>
      </c>
      <c r="AC20" s="999">
        <f t="shared" si="39"/>
        <v>34.653589999999994</v>
      </c>
      <c r="AD20" s="999">
        <f t="shared" si="39"/>
        <v>31.234020000000001</v>
      </c>
      <c r="AE20" s="999">
        <f t="shared" si="39"/>
        <v>30.920999999999999</v>
      </c>
      <c r="AF20" s="999">
        <f t="shared" si="39"/>
        <v>32.917180000000002</v>
      </c>
      <c r="AG20" s="999">
        <f t="shared" si="39"/>
        <v>30.920210000000001</v>
      </c>
      <c r="AH20" s="999">
        <f t="shared" si="40"/>
        <v>30.92023</v>
      </c>
      <c r="AI20" s="999">
        <f t="shared" si="40"/>
        <v>31.13223</v>
      </c>
      <c r="AJ20" s="999">
        <f t="shared" si="40"/>
        <v>37.720230000000001</v>
      </c>
      <c r="AK20" s="999">
        <f t="shared" si="40"/>
        <v>31.79223</v>
      </c>
      <c r="AL20" s="999">
        <f t="shared" si="40"/>
        <v>39.282580000000003</v>
      </c>
      <c r="AM20" s="999">
        <f t="shared" si="40"/>
        <v>39.380240000000001</v>
      </c>
      <c r="AN20" s="999">
        <f t="shared" si="40"/>
        <v>31.538640000000001</v>
      </c>
      <c r="AO20" s="999">
        <f t="shared" si="40"/>
        <v>27.767700000000001</v>
      </c>
      <c r="AP20" s="999">
        <f t="shared" si="40"/>
        <v>30.8751</v>
      </c>
      <c r="AQ20" s="999">
        <f t="shared" si="40"/>
        <v>31.08822</v>
      </c>
      <c r="AR20" s="999">
        <f t="shared" si="40"/>
        <v>31.650869999999998</v>
      </c>
      <c r="AS20" s="999">
        <f t="shared" si="40"/>
        <v>31.200759999999999</v>
      </c>
      <c r="AT20" s="999">
        <f>SUMIF('2020'!$A:$A,$B20,'2020'!D:D)/1000</f>
        <v>34.967760000000006</v>
      </c>
      <c r="AU20" s="999">
        <f>SUMIF('2020'!$A:$A,$B20,'2020'!E:E)/1000</f>
        <v>31.998259999999998</v>
      </c>
      <c r="AV20" s="999">
        <f>SUMIF('2020'!$A:$A,$B20,'2020'!F:F)/1000</f>
        <v>37.663129999999995</v>
      </c>
      <c r="AW20" s="999">
        <f>SUMIF('2020'!$A:$A,$B20,'2020'!G:G)/1000</f>
        <v>32.223419999999997</v>
      </c>
      <c r="AX20" s="999">
        <f>SUMIF('2020'!$A:$A,$B20,'2020'!H:H)/1000</f>
        <v>31.08821</v>
      </c>
      <c r="AY20" s="999">
        <f>SUMIF('2020'!$A:$A,$B20,'2020'!I:I)/1000</f>
        <v>33.088230000000003</v>
      </c>
      <c r="AZ20" s="999">
        <f>SUMIF('2020'!$A:$A,$B20,'2020'!J:J)/1000</f>
        <v>31.08821</v>
      </c>
      <c r="BA20" s="999">
        <f>SUMIF('2020'!$A:$A,$B20,'2020'!K:K)/1000</f>
        <v>31.26821</v>
      </c>
      <c r="BB20" s="999">
        <f>SUMIF('2020'!$A:$A,$B20,'2020'!L:L)/1000</f>
        <v>31.08821</v>
      </c>
      <c r="BC20" s="999">
        <f>SUMIF('2020'!$A:$A,$B20,'2020'!M:M)/1000</f>
        <v>36.743410000000004</v>
      </c>
      <c r="BD20" s="999">
        <f>SUMIF('2020'!$A:$A,$B20,'2020'!N:N)/1000</f>
        <v>32.502009999999999</v>
      </c>
      <c r="BE20" s="999">
        <f>SUMIF('2020'!$A:$A,$B20,'2020'!O:O)/1000</f>
        <v>32.502009999999999</v>
      </c>
      <c r="BF20" s="1410">
        <f>SUMIF('2021'!$A:$A,$B20,'2021'!D:D)/1000</f>
        <v>32.502009999999999</v>
      </c>
      <c r="BG20" s="1410">
        <f>SUMIF('2021'!$A:$A,$B20,'2021'!E:E)/1000</f>
        <v>36.121029999999998</v>
      </c>
      <c r="BH20" s="1410">
        <f>SUMIF('2021'!$A:$A,$B20,'2021'!F:F)/1000</f>
        <v>39.302010000000003</v>
      </c>
      <c r="BI20" s="1410">
        <f>SUMIF('2021'!$A:$A,$B20,'2021'!G:G)/1000</f>
        <v>32.502009999999999</v>
      </c>
      <c r="BJ20" s="1410">
        <f>SUMIF('2021'!$A:$A,$B20,'2021'!H:H)/1000</f>
        <v>32.502009999999999</v>
      </c>
      <c r="BK20" s="1410">
        <f>SUMIF('2021'!$A:$A,$B20,'2021'!I:I)/1000</f>
        <v>32.502000000000002</v>
      </c>
      <c r="BL20" s="1410">
        <f>SUMIF('2021'!$A:$A,$B20,'2021'!J:J)/1000</f>
        <v>34.502009999999999</v>
      </c>
      <c r="BM20" s="1410">
        <f>SUMIF('2021'!$A:$A,$B20,'2021'!K:K)/1000</f>
        <v>32.502009999999999</v>
      </c>
      <c r="BN20" s="1410">
        <f>SUMIF('2021'!$A:$A,$B20,'2021'!L:L)/1000</f>
        <v>32.502009999999999</v>
      </c>
      <c r="BO20" s="1410">
        <f>SUMIF('2021'!$A:$A,$B20,'2021'!M:M)/1000</f>
        <v>31.158380000000001</v>
      </c>
      <c r="BP20" s="1410">
        <f>SUMIF('2021'!$A:$A,$B20,'2021'!N:N)/1000</f>
        <v>32.1661</v>
      </c>
      <c r="BQ20" s="1410">
        <f>SUMIF('2021'!$A:$A,$B20,'2021'!O:O)/1000</f>
        <v>32.166080000000001</v>
      </c>
      <c r="BR20" s="1410">
        <f>SUMIF('2022'!$A:$A,$B20,'2022'!D:D)/1000</f>
        <v>32.166089999999997</v>
      </c>
      <c r="BS20" s="1410">
        <f>SUMIF('2022'!$A:$A,$B20,'2022'!E:E)/1000</f>
        <v>32.166089999999997</v>
      </c>
      <c r="BT20" s="1410">
        <f>SUMIF('2022'!$A:$A,$B20,'2022'!F:F)/1000</f>
        <v>39.496850000000002</v>
      </c>
      <c r="BU20" s="1410">
        <f>SUMIF('2022'!$A:$A,$B20,'2022'!G:G)/1000</f>
        <v>32.166089999999997</v>
      </c>
      <c r="BV20" s="1410">
        <f>SUMIF('2022'!$A:$A,$B20,'2022'!H:H)/1000</f>
        <v>32.373730000000002</v>
      </c>
      <c r="BW20" s="1410">
        <f>SUMIF('2022'!$A:$A,$B20,'2022'!I:I)/1000</f>
        <v>32.1661</v>
      </c>
      <c r="BX20" s="1410">
        <f>SUMIF('2022'!$A:$A,$B20,'2022'!J:J)/1000</f>
        <v>34.1661</v>
      </c>
      <c r="BY20" s="1410">
        <f>SUMIF('2022'!$A:$A,$B20,'2022'!K:K)/1000</f>
        <v>41.781730000000003</v>
      </c>
      <c r="BZ20" s="1410">
        <f>SUMIF('2022'!$A:$A,$B20,'2022'!L:L)/1000</f>
        <v>32.208869999999997</v>
      </c>
    </row>
    <row r="21" spans="2:78">
      <c r="B21" s="977"/>
      <c r="C21" s="927" t="s">
        <v>102</v>
      </c>
      <c r="D21" s="999">
        <f t="shared" ref="D21:AI21" si="41">SUM(D13:D20)</f>
        <v>115.59081000000002</v>
      </c>
      <c r="E21" s="999">
        <f t="shared" si="41"/>
        <v>144.24526</v>
      </c>
      <c r="F21" s="999">
        <f t="shared" si="41"/>
        <v>124.63961</v>
      </c>
      <c r="G21" s="999">
        <f t="shared" si="41"/>
        <v>166.90173999999999</v>
      </c>
      <c r="H21" s="999">
        <f t="shared" si="41"/>
        <v>107.83644000000001</v>
      </c>
      <c r="I21" s="999">
        <f t="shared" si="41"/>
        <v>126.94687</v>
      </c>
      <c r="J21" s="999">
        <f t="shared" si="41"/>
        <v>114.63320000000002</v>
      </c>
      <c r="K21" s="999">
        <f t="shared" si="41"/>
        <v>103.62411</v>
      </c>
      <c r="L21" s="999">
        <f t="shared" si="41"/>
        <v>131.42531</v>
      </c>
      <c r="M21" s="999">
        <f t="shared" si="41"/>
        <v>135.10629</v>
      </c>
      <c r="N21" s="999">
        <f t="shared" si="41"/>
        <v>102.09072999999999</v>
      </c>
      <c r="O21" s="999">
        <f t="shared" si="41"/>
        <v>215.55073999999999</v>
      </c>
      <c r="P21" s="999">
        <f t="shared" si="41"/>
        <v>132.31889999999999</v>
      </c>
      <c r="Q21" s="999">
        <f t="shared" si="41"/>
        <v>214.14920000000001</v>
      </c>
      <c r="R21" s="999">
        <f t="shared" si="41"/>
        <v>121.15303999999998</v>
      </c>
      <c r="S21" s="999">
        <f t="shared" si="41"/>
        <v>97.168429999999972</v>
      </c>
      <c r="T21" s="999">
        <f t="shared" si="41"/>
        <v>136.49839</v>
      </c>
      <c r="U21" s="999">
        <f t="shared" si="41"/>
        <v>191.10236</v>
      </c>
      <c r="V21" s="999">
        <f t="shared" si="41"/>
        <v>110.00149999999999</v>
      </c>
      <c r="W21" s="999">
        <f t="shared" si="41"/>
        <v>122.42569999999998</v>
      </c>
      <c r="X21" s="999">
        <f t="shared" si="41"/>
        <v>115.16693000000001</v>
      </c>
      <c r="Y21" s="999">
        <f t="shared" si="41"/>
        <v>104.11953</v>
      </c>
      <c r="Z21" s="999">
        <f t="shared" si="41"/>
        <v>113.76400000000001</v>
      </c>
      <c r="AA21" s="999">
        <f t="shared" si="41"/>
        <v>104.22780000000002</v>
      </c>
      <c r="AB21" s="999">
        <f t="shared" si="41"/>
        <v>120.52921000000002</v>
      </c>
      <c r="AC21" s="999">
        <f t="shared" si="41"/>
        <v>128.14591000000001</v>
      </c>
      <c r="AD21" s="999">
        <f t="shared" si="41"/>
        <v>113.02325</v>
      </c>
      <c r="AE21" s="999">
        <f t="shared" si="41"/>
        <v>114.47328999999999</v>
      </c>
      <c r="AF21" s="999">
        <f t="shared" si="41"/>
        <v>127.91719999999998</v>
      </c>
      <c r="AG21" s="999">
        <f t="shared" si="41"/>
        <v>126.31856000000001</v>
      </c>
      <c r="AH21" s="999">
        <f t="shared" si="41"/>
        <v>107.14108000000002</v>
      </c>
      <c r="AI21" s="999">
        <f t="shared" si="41"/>
        <v>112.05107000000001</v>
      </c>
      <c r="AJ21" s="999">
        <f t="shared" ref="AJ21:AS21" si="42">SUM(AJ13:AJ20)</f>
        <v>115.41155000000001</v>
      </c>
      <c r="AK21" s="999">
        <f t="shared" si="42"/>
        <v>111.62540000000001</v>
      </c>
      <c r="AL21" s="999">
        <f t="shared" si="42"/>
        <v>133.62564</v>
      </c>
      <c r="AM21" s="999">
        <f t="shared" si="42"/>
        <v>115.47171</v>
      </c>
      <c r="AN21" s="999">
        <f t="shared" si="42"/>
        <v>128.32291000000001</v>
      </c>
      <c r="AO21" s="999">
        <f t="shared" si="42"/>
        <v>123.30367</v>
      </c>
      <c r="AP21" s="999">
        <f t="shared" si="42"/>
        <v>148.85364000000001</v>
      </c>
      <c r="AQ21" s="999">
        <f t="shared" si="42"/>
        <v>152.61577</v>
      </c>
      <c r="AR21" s="999">
        <f t="shared" si="42"/>
        <v>139.33308</v>
      </c>
      <c r="AS21" s="999">
        <f t="shared" si="42"/>
        <v>145.33588</v>
      </c>
      <c r="AT21" s="999">
        <f>SUM(AT13:AT20)</f>
        <v>168.34182999999999</v>
      </c>
      <c r="AU21" s="999">
        <f t="shared" ref="AU21:BM21" si="43">SUM(AU13:AU20)</f>
        <v>132.77460999999997</v>
      </c>
      <c r="AV21" s="999">
        <f t="shared" si="43"/>
        <v>123.17434</v>
      </c>
      <c r="AW21" s="999">
        <f t="shared" si="43"/>
        <v>102.86583999999999</v>
      </c>
      <c r="AX21" s="999">
        <f t="shared" si="43"/>
        <v>112.87549</v>
      </c>
      <c r="AY21" s="999">
        <f t="shared" si="43"/>
        <v>103.48957000000001</v>
      </c>
      <c r="AZ21" s="999">
        <f t="shared" si="43"/>
        <v>109.86706</v>
      </c>
      <c r="BA21" s="999">
        <f t="shared" si="43"/>
        <v>139.29623000000001</v>
      </c>
      <c r="BB21" s="999">
        <f t="shared" si="43"/>
        <v>625.50516000000005</v>
      </c>
      <c r="BC21" s="999">
        <f t="shared" si="43"/>
        <v>108.04414</v>
      </c>
      <c r="BD21" s="999">
        <f t="shared" si="43"/>
        <v>104.74219000000001</v>
      </c>
      <c r="BE21" s="999">
        <f t="shared" si="43"/>
        <v>249.77114999999998</v>
      </c>
      <c r="BF21" s="1410">
        <f t="shared" si="43"/>
        <v>82.596949999999978</v>
      </c>
      <c r="BG21" s="1410">
        <f t="shared" si="43"/>
        <v>108.99615</v>
      </c>
      <c r="BH21" s="1410">
        <f t="shared" si="43"/>
        <v>108.78355999999999</v>
      </c>
      <c r="BI21" s="1410">
        <f t="shared" si="43"/>
        <v>115.32195000000002</v>
      </c>
      <c r="BJ21" s="1410">
        <f t="shared" si="43"/>
        <v>159.76864</v>
      </c>
      <c r="BK21" s="1410">
        <f t="shared" si="43"/>
        <v>65.522720000000007</v>
      </c>
      <c r="BL21" s="1410">
        <f t="shared" si="43"/>
        <v>151.53192000000001</v>
      </c>
      <c r="BM21" s="1410">
        <f t="shared" si="43"/>
        <v>174.57608999999997</v>
      </c>
      <c r="BN21" s="1410">
        <f t="shared" ref="BN21:BR21" si="44">SUM(BN13:BN20)</f>
        <v>131.08381</v>
      </c>
      <c r="BO21" s="1410">
        <f t="shared" si="44"/>
        <v>84.586669999999998</v>
      </c>
      <c r="BP21" s="1410">
        <f t="shared" si="44"/>
        <v>176.70553000000001</v>
      </c>
      <c r="BQ21" s="1410">
        <f t="shared" si="44"/>
        <v>110.85014999999999</v>
      </c>
      <c r="BR21" s="1410">
        <f t="shared" si="44"/>
        <v>91.067560000000014</v>
      </c>
      <c r="BS21" s="1410">
        <f t="shared" ref="BS21:BZ21" si="45">SUM(BS13:BS20)</f>
        <v>240.06934000000001</v>
      </c>
      <c r="BT21" s="1410">
        <f t="shared" si="45"/>
        <v>147.29024999999999</v>
      </c>
      <c r="BU21" s="1410">
        <f t="shared" si="45"/>
        <v>131.06407000000002</v>
      </c>
      <c r="BV21" s="1410">
        <f t="shared" si="45"/>
        <v>186.93230999999997</v>
      </c>
      <c r="BW21" s="1410">
        <f t="shared" si="45"/>
        <v>145.46845999999999</v>
      </c>
      <c r="BX21" s="1410">
        <f t="shared" si="45"/>
        <v>136.05350000000001</v>
      </c>
      <c r="BY21" s="1410">
        <f t="shared" si="45"/>
        <v>143.05216000000001</v>
      </c>
      <c r="BZ21" s="1410">
        <f t="shared" si="45"/>
        <v>145.12935000000002</v>
      </c>
    </row>
    <row r="22" spans="2:78">
      <c r="D22" s="978"/>
      <c r="E22" s="978"/>
      <c r="F22" s="978"/>
      <c r="G22" s="978"/>
      <c r="H22" s="978"/>
      <c r="I22" s="978"/>
      <c r="J22" s="978"/>
      <c r="K22" s="978"/>
      <c r="L22" s="978"/>
      <c r="M22" s="978"/>
      <c r="N22" s="978"/>
      <c r="O22" s="978"/>
      <c r="P22" s="978"/>
      <c r="Q22" s="978"/>
      <c r="R22" s="978"/>
      <c r="S22" s="978"/>
      <c r="T22" s="978"/>
      <c r="U22" s="978"/>
      <c r="V22" s="978"/>
      <c r="W22" s="978"/>
      <c r="X22" s="978"/>
      <c r="Y22" s="978"/>
      <c r="Z22" s="978"/>
      <c r="AA22" s="978"/>
      <c r="AB22" s="978"/>
      <c r="AC22" s="978"/>
      <c r="AD22" s="978"/>
      <c r="AE22" s="978"/>
      <c r="AF22" s="978"/>
      <c r="AG22" s="978"/>
      <c r="AH22" s="978"/>
      <c r="AI22" s="978"/>
      <c r="AJ22" s="978"/>
      <c r="AK22" s="978"/>
      <c r="AL22" s="978"/>
      <c r="AM22" s="978"/>
      <c r="AN22" s="978"/>
      <c r="AO22" s="978"/>
      <c r="AP22" s="978"/>
      <c r="AQ22" s="978"/>
      <c r="AR22" s="978"/>
      <c r="AS22" s="978"/>
    </row>
    <row r="23" spans="2:78">
      <c r="B23" s="977" t="s">
        <v>74</v>
      </c>
      <c r="C23" s="927" t="s">
        <v>225</v>
      </c>
      <c r="D23" s="999">
        <f t="shared" ref="D23:AI23" si="46">D11-D21</f>
        <v>58.588409999999996</v>
      </c>
      <c r="E23" s="999">
        <f t="shared" si="46"/>
        <v>39.424859999999995</v>
      </c>
      <c r="F23" s="999">
        <f t="shared" si="46"/>
        <v>62.164510000000007</v>
      </c>
      <c r="G23" s="999">
        <f t="shared" si="46"/>
        <v>23.673310000000015</v>
      </c>
      <c r="H23" s="999">
        <f t="shared" si="46"/>
        <v>69.427840000000003</v>
      </c>
      <c r="I23" s="999">
        <f t="shared" si="46"/>
        <v>53.221360000000018</v>
      </c>
      <c r="J23" s="999">
        <f t="shared" si="46"/>
        <v>66.139569999999992</v>
      </c>
      <c r="K23" s="999">
        <f t="shared" si="46"/>
        <v>136.26360000000003</v>
      </c>
      <c r="L23" s="999">
        <f t="shared" si="46"/>
        <v>66.867030000000028</v>
      </c>
      <c r="M23" s="999">
        <f t="shared" si="46"/>
        <v>154.67081000000002</v>
      </c>
      <c r="N23" s="999">
        <f t="shared" si="46"/>
        <v>239.07783999999998</v>
      </c>
      <c r="O23" s="999">
        <f t="shared" si="46"/>
        <v>-129.80023</v>
      </c>
      <c r="P23" s="999">
        <f t="shared" si="46"/>
        <v>81.805930000000018</v>
      </c>
      <c r="Q23" s="999">
        <f t="shared" si="46"/>
        <v>-5.0317100000000039</v>
      </c>
      <c r="R23" s="999">
        <f t="shared" si="46"/>
        <v>73.826150000000041</v>
      </c>
      <c r="S23" s="999">
        <f t="shared" si="46"/>
        <v>118.62709000000004</v>
      </c>
      <c r="T23" s="999">
        <f t="shared" si="46"/>
        <v>60.287239999999997</v>
      </c>
      <c r="U23" s="999">
        <f t="shared" si="46"/>
        <v>26.828859999999992</v>
      </c>
      <c r="V23" s="999">
        <f t="shared" si="46"/>
        <v>119.66310999999999</v>
      </c>
      <c r="W23" s="999">
        <f t="shared" si="46"/>
        <v>105.07043000000002</v>
      </c>
      <c r="X23" s="999">
        <f t="shared" si="46"/>
        <v>94.892400000000038</v>
      </c>
      <c r="Y23" s="999">
        <f t="shared" si="46"/>
        <v>86.470220000000012</v>
      </c>
      <c r="Z23" s="999">
        <f t="shared" si="46"/>
        <v>113.23488</v>
      </c>
      <c r="AA23" s="999">
        <f t="shared" si="46"/>
        <v>93.738080000000011</v>
      </c>
      <c r="AB23" s="999">
        <f t="shared" si="46"/>
        <v>73.349319999999992</v>
      </c>
      <c r="AC23" s="999">
        <f t="shared" si="46"/>
        <v>58.081759999999974</v>
      </c>
      <c r="AD23" s="999">
        <f t="shared" si="46"/>
        <v>99.803760000000025</v>
      </c>
      <c r="AE23" s="999">
        <f t="shared" si="46"/>
        <v>118.04129</v>
      </c>
      <c r="AF23" s="999">
        <f t="shared" si="46"/>
        <v>101.45357000000001</v>
      </c>
      <c r="AG23" s="999">
        <f t="shared" si="46"/>
        <v>81.414159999999995</v>
      </c>
      <c r="AH23" s="999">
        <f t="shared" si="46"/>
        <v>135.38081</v>
      </c>
      <c r="AI23" s="999">
        <f t="shared" si="46"/>
        <v>131.88220999999999</v>
      </c>
      <c r="AJ23" s="999">
        <f t="shared" ref="AJ23:AT23" si="47">AJ11-AJ21</f>
        <v>106.14256</v>
      </c>
      <c r="AK23" s="999">
        <f t="shared" si="47"/>
        <v>134.99206999999998</v>
      </c>
      <c r="AL23" s="999">
        <f t="shared" si="47"/>
        <v>116.68306999999999</v>
      </c>
      <c r="AM23" s="999">
        <f t="shared" si="47"/>
        <v>134.19099000000003</v>
      </c>
      <c r="AN23" s="999">
        <f t="shared" si="47"/>
        <v>137.95124999999999</v>
      </c>
      <c r="AO23" s="999">
        <f t="shared" si="47"/>
        <v>129.61628999999999</v>
      </c>
      <c r="AP23" s="999">
        <f t="shared" si="47"/>
        <v>117.20541999999998</v>
      </c>
      <c r="AQ23" s="999">
        <f t="shared" si="47"/>
        <v>115.52426000000003</v>
      </c>
      <c r="AR23" s="999">
        <f t="shared" si="47"/>
        <v>51.822730000000007</v>
      </c>
      <c r="AS23" s="999">
        <f t="shared" si="47"/>
        <v>131.91952999999998</v>
      </c>
      <c r="AT23" s="999">
        <f t="shared" si="47"/>
        <v>111.86949000000001</v>
      </c>
      <c r="AU23" s="999">
        <f t="shared" ref="AU23:BQ23" si="48">AU11-AU21</f>
        <v>104.50782999999998</v>
      </c>
      <c r="AV23" s="999">
        <f t="shared" si="48"/>
        <v>110.20179000000002</v>
      </c>
      <c r="AW23" s="999">
        <f t="shared" si="48"/>
        <v>142.38238000000001</v>
      </c>
      <c r="AX23" s="999">
        <f t="shared" si="48"/>
        <v>154.56266999999997</v>
      </c>
      <c r="AY23" s="999">
        <f t="shared" si="48"/>
        <v>137.96525999999997</v>
      </c>
      <c r="AZ23" s="999">
        <f t="shared" si="48"/>
        <v>131.58776999999998</v>
      </c>
      <c r="BA23" s="999">
        <f t="shared" si="48"/>
        <v>114.46233999999998</v>
      </c>
      <c r="BB23" s="999">
        <f t="shared" si="48"/>
        <v>-364.37422000000004</v>
      </c>
      <c r="BC23" s="999">
        <f t="shared" si="48"/>
        <v>147.14487</v>
      </c>
      <c r="BD23" s="999">
        <f t="shared" si="48"/>
        <v>112.02141999999999</v>
      </c>
      <c r="BE23" s="999">
        <f t="shared" si="48"/>
        <v>9.8311400000000617</v>
      </c>
      <c r="BF23" s="999">
        <f t="shared" si="48"/>
        <v>105.67253000000004</v>
      </c>
      <c r="BG23" s="999">
        <f t="shared" si="48"/>
        <v>107.25182000000001</v>
      </c>
      <c r="BH23" s="999">
        <f t="shared" si="48"/>
        <v>19.220650000000006</v>
      </c>
      <c r="BI23" s="999">
        <f t="shared" si="48"/>
        <v>112.32699999999997</v>
      </c>
      <c r="BJ23" s="999">
        <f t="shared" si="48"/>
        <v>59.421770000000009</v>
      </c>
      <c r="BK23" s="999">
        <f t="shared" si="48"/>
        <v>188.27978999999999</v>
      </c>
      <c r="BL23" s="999">
        <f t="shared" si="48"/>
        <v>59.065499999999986</v>
      </c>
      <c r="BM23" s="999">
        <f t="shared" si="48"/>
        <v>68.98786000000004</v>
      </c>
      <c r="BN23" s="999">
        <f t="shared" si="48"/>
        <v>104.43064999999999</v>
      </c>
      <c r="BO23" s="999">
        <f t="shared" si="48"/>
        <v>175.25096999999997</v>
      </c>
      <c r="BP23" s="999">
        <f t="shared" si="48"/>
        <v>90.894769999999937</v>
      </c>
      <c r="BQ23" s="999">
        <f t="shared" si="48"/>
        <v>127.74132000000003</v>
      </c>
      <c r="BR23" s="999">
        <f t="shared" ref="BR23:BZ23" si="49">BR11-BR21</f>
        <v>182.24637999999999</v>
      </c>
      <c r="BS23" s="999">
        <f t="shared" si="49"/>
        <v>15.259610000000009</v>
      </c>
      <c r="BT23" s="999">
        <f t="shared" si="49"/>
        <v>127.26703999999998</v>
      </c>
      <c r="BU23" s="999">
        <f t="shared" si="49"/>
        <v>134.62045999999998</v>
      </c>
      <c r="BV23" s="999">
        <f t="shared" si="49"/>
        <v>97.98275000000001</v>
      </c>
      <c r="BW23" s="999">
        <f t="shared" si="49"/>
        <v>100.20571000000004</v>
      </c>
      <c r="BX23" s="999">
        <f t="shared" si="49"/>
        <v>158.74802999999994</v>
      </c>
      <c r="BY23" s="999">
        <f t="shared" si="49"/>
        <v>129.90303999999998</v>
      </c>
      <c r="BZ23" s="999">
        <f t="shared" si="49"/>
        <v>127.58223000000001</v>
      </c>
    </row>
    <row r="24" spans="2:78">
      <c r="D24" s="1000" t="b">
        <f t="shared" ref="D24:AS24" si="50">D23=(D227/1000)</f>
        <v>1</v>
      </c>
      <c r="E24" s="1000" t="b">
        <f t="shared" si="50"/>
        <v>1</v>
      </c>
      <c r="F24" s="1000" t="b">
        <f t="shared" si="50"/>
        <v>1</v>
      </c>
      <c r="G24" s="1000" t="b">
        <f t="shared" si="50"/>
        <v>1</v>
      </c>
      <c r="H24" s="1000" t="b">
        <f t="shared" si="50"/>
        <v>1</v>
      </c>
      <c r="I24" s="1000" t="b">
        <f t="shared" si="50"/>
        <v>1</v>
      </c>
      <c r="J24" s="1000" t="b">
        <f t="shared" si="50"/>
        <v>1</v>
      </c>
      <c r="K24" s="1000" t="b">
        <f t="shared" si="50"/>
        <v>1</v>
      </c>
      <c r="L24" s="1000" t="b">
        <f t="shared" si="50"/>
        <v>1</v>
      </c>
      <c r="M24" s="1000" t="b">
        <f t="shared" si="50"/>
        <v>1</v>
      </c>
      <c r="N24" s="1000" t="b">
        <f t="shared" si="50"/>
        <v>1</v>
      </c>
      <c r="O24" s="1000" t="b">
        <f t="shared" si="50"/>
        <v>1</v>
      </c>
      <c r="P24" s="1000" t="b">
        <f t="shared" si="50"/>
        <v>1</v>
      </c>
      <c r="Q24" s="1000" t="b">
        <f t="shared" si="50"/>
        <v>1</v>
      </c>
      <c r="R24" s="1000" t="b">
        <f t="shared" si="50"/>
        <v>1</v>
      </c>
      <c r="S24" s="1000" t="b">
        <f t="shared" si="50"/>
        <v>1</v>
      </c>
      <c r="T24" s="1000" t="b">
        <f t="shared" si="50"/>
        <v>1</v>
      </c>
      <c r="U24" s="1000" t="b">
        <f t="shared" si="50"/>
        <v>1</v>
      </c>
      <c r="V24" s="1000" t="b">
        <f t="shared" si="50"/>
        <v>1</v>
      </c>
      <c r="W24" s="1000" t="b">
        <f t="shared" si="50"/>
        <v>1</v>
      </c>
      <c r="X24" s="1000" t="b">
        <f t="shared" si="50"/>
        <v>1</v>
      </c>
      <c r="Y24" s="1000" t="b">
        <f t="shared" si="50"/>
        <v>1</v>
      </c>
      <c r="Z24" s="1000" t="b">
        <f t="shared" si="50"/>
        <v>1</v>
      </c>
      <c r="AA24" s="1000" t="b">
        <f t="shared" si="50"/>
        <v>1</v>
      </c>
      <c r="AB24" s="1000" t="b">
        <f t="shared" si="50"/>
        <v>1</v>
      </c>
      <c r="AC24" s="1000" t="b">
        <f t="shared" si="50"/>
        <v>1</v>
      </c>
      <c r="AD24" s="1000" t="b">
        <f t="shared" si="50"/>
        <v>1</v>
      </c>
      <c r="AE24" s="1000" t="b">
        <f t="shared" si="50"/>
        <v>1</v>
      </c>
      <c r="AF24" s="1000" t="b">
        <f t="shared" si="50"/>
        <v>1</v>
      </c>
      <c r="AG24" s="1000" t="b">
        <f t="shared" si="50"/>
        <v>1</v>
      </c>
      <c r="AH24" s="1000" t="b">
        <f t="shared" si="50"/>
        <v>1</v>
      </c>
      <c r="AI24" s="1000" t="b">
        <f t="shared" si="50"/>
        <v>1</v>
      </c>
      <c r="AJ24" s="1000" t="b">
        <f t="shared" si="50"/>
        <v>1</v>
      </c>
      <c r="AK24" s="1000" t="b">
        <f t="shared" si="50"/>
        <v>1</v>
      </c>
      <c r="AL24" s="1000" t="b">
        <f t="shared" si="50"/>
        <v>1</v>
      </c>
      <c r="AM24" s="1000" t="b">
        <f t="shared" si="50"/>
        <v>1</v>
      </c>
      <c r="AN24" s="1000" t="b">
        <f t="shared" si="50"/>
        <v>1</v>
      </c>
      <c r="AO24" s="1000" t="b">
        <f t="shared" si="50"/>
        <v>1</v>
      </c>
      <c r="AP24" s="1000" t="b">
        <f t="shared" si="50"/>
        <v>1</v>
      </c>
      <c r="AQ24" s="1000" t="b">
        <f t="shared" si="50"/>
        <v>1</v>
      </c>
      <c r="AR24" s="1000" t="b">
        <f t="shared" si="50"/>
        <v>1</v>
      </c>
      <c r="AS24" s="1000" t="b">
        <f t="shared" si="50"/>
        <v>1</v>
      </c>
      <c r="AT24" s="1000" t="b">
        <f>AT23=('2020'!D158/1000)</f>
        <v>1</v>
      </c>
      <c r="AU24" s="1000" t="b">
        <f>AU23=('2020'!E158/1000)</f>
        <v>1</v>
      </c>
      <c r="AV24" s="1000" t="b">
        <f>AV23=('2020'!F158/1000)</f>
        <v>1</v>
      </c>
      <c r="AW24" s="1000" t="b">
        <f>AW23=('2020'!G158/1000)</f>
        <v>1</v>
      </c>
      <c r="AX24" s="1000" t="b">
        <f>AX23=('2020'!H158/1000)</f>
        <v>1</v>
      </c>
      <c r="AY24" s="1000" t="b">
        <f>AY23=('2020'!I158/1000)</f>
        <v>1</v>
      </c>
      <c r="AZ24" s="1000" t="b">
        <f>AZ23=('2020'!J158/1000)</f>
        <v>1</v>
      </c>
      <c r="BA24" s="1000" t="b">
        <f>BA23=('2020'!K158/1000)</f>
        <v>1</v>
      </c>
      <c r="BB24" s="1000" t="b">
        <f>BB23=('2020'!L158/1000)</f>
        <v>1</v>
      </c>
      <c r="BC24" s="1000" t="b">
        <f>BC23=('2020'!M158/1000)</f>
        <v>1</v>
      </c>
      <c r="BD24" s="1000" t="b">
        <f>BD23=('2020'!N158/1000)</f>
        <v>1</v>
      </c>
      <c r="BE24" s="1000" t="b">
        <f>BE23=('2020'!O158/1000)</f>
        <v>0</v>
      </c>
      <c r="BF24" s="1000" t="b">
        <f>BF23=('2021'!D149/1000)</f>
        <v>1</v>
      </c>
      <c r="BG24" s="1000" t="b">
        <f>BG23=('2021'!E149/1000)</f>
        <v>1</v>
      </c>
      <c r="BH24" s="1000" t="b">
        <f>BH23=('2021'!F149/1000)</f>
        <v>1</v>
      </c>
      <c r="BI24" s="1000" t="b">
        <f>BI23=('2021'!G149/1000)</f>
        <v>1</v>
      </c>
      <c r="BJ24" s="1000" t="b">
        <f>BJ23=('2021'!H149/1000)</f>
        <v>1</v>
      </c>
      <c r="BK24" s="1000" t="b">
        <f>BK23=('2021'!I149/1000)</f>
        <v>1</v>
      </c>
      <c r="BL24" s="1000" t="b">
        <f>BL23=('2021'!J149/1000)</f>
        <v>1</v>
      </c>
      <c r="BM24" s="1000" t="b">
        <f>BM23=('2021'!K149/1000)</f>
        <v>1</v>
      </c>
      <c r="BN24" s="1000" t="b">
        <f>BN23=('2021'!L149/1000)</f>
        <v>1</v>
      </c>
      <c r="BO24" s="1000" t="b">
        <f>BO23=('2021'!M149/1000)</f>
        <v>1</v>
      </c>
      <c r="BP24" s="1000" t="b">
        <f>BP23=('2021'!N149/1000)</f>
        <v>0</v>
      </c>
      <c r="BQ24" s="1000" t="b">
        <f>BQ23=('2021'!O149/1000)</f>
        <v>1</v>
      </c>
      <c r="BR24" s="1000" t="b">
        <f>BR23=('2022'!D125/1000)</f>
        <v>1</v>
      </c>
      <c r="BS24" s="1000" t="b">
        <f>BS23=('2022'!E125/1000)</f>
        <v>1</v>
      </c>
      <c r="BT24" s="1000" t="b">
        <f>BT23=('2022'!F125/1000)</f>
        <v>1</v>
      </c>
      <c r="BU24" s="1000" t="b">
        <f>BU23=('2022'!G125/1000)</f>
        <v>1</v>
      </c>
      <c r="BV24" s="1000" t="b">
        <f>BV23=('2022'!H125/1000)</f>
        <v>1</v>
      </c>
      <c r="BW24" s="1000" t="b">
        <f>BW23=('2022'!I125/1000)</f>
        <v>1</v>
      </c>
      <c r="BX24" s="1000" t="b">
        <f>BX23=('2022'!J125/1000)</f>
        <v>1</v>
      </c>
      <c r="BY24" s="1000" t="b">
        <f>BY23=('2022'!K125/1000)</f>
        <v>1</v>
      </c>
      <c r="BZ24" s="1000" t="b">
        <f>BZ23=('2022'!L125/1000)</f>
        <v>1</v>
      </c>
    </row>
    <row r="25" spans="2:78">
      <c r="B25" s="977" t="s">
        <v>1181</v>
      </c>
      <c r="C25" s="927" t="s">
        <v>89</v>
      </c>
      <c r="D25" s="999">
        <f t="shared" ref="D25:M26" si="51">SUMIF($A$32:$A$268,$B25,D$32:D$268)/1000</f>
        <v>99.817880000000002</v>
      </c>
      <c r="E25" s="999">
        <f t="shared" si="51"/>
        <v>107.07263</v>
      </c>
      <c r="F25" s="999">
        <f t="shared" si="51"/>
        <v>93.756550000000004</v>
      </c>
      <c r="G25" s="999">
        <f t="shared" si="51"/>
        <v>97.477069999999998</v>
      </c>
      <c r="H25" s="999">
        <f t="shared" si="51"/>
        <v>93.802399999999992</v>
      </c>
      <c r="I25" s="999">
        <f t="shared" si="51"/>
        <v>97.247420000000005</v>
      </c>
      <c r="J25" s="999">
        <f t="shared" si="51"/>
        <v>97.714269999999985</v>
      </c>
      <c r="K25" s="999">
        <f t="shared" si="51"/>
        <v>94.318039999999996</v>
      </c>
      <c r="L25" s="999">
        <f t="shared" si="51"/>
        <v>101.34725</v>
      </c>
      <c r="M25" s="999">
        <f t="shared" si="51"/>
        <v>100.38728000000002</v>
      </c>
      <c r="N25" s="999">
        <f t="shared" ref="N25:W26" si="52">SUMIF($A$32:$A$268,$B25,N$32:N$268)/1000</f>
        <v>106.00931999999999</v>
      </c>
      <c r="O25" s="999">
        <f t="shared" si="52"/>
        <v>102.52549</v>
      </c>
      <c r="P25" s="999">
        <f t="shared" si="52"/>
        <v>109.64747</v>
      </c>
      <c r="Q25" s="999">
        <f t="shared" si="52"/>
        <v>110.21392</v>
      </c>
      <c r="R25" s="999">
        <f t="shared" si="52"/>
        <v>106.67487</v>
      </c>
      <c r="S25" s="999">
        <f t="shared" si="52"/>
        <v>113.30676000000001</v>
      </c>
      <c r="T25" s="999">
        <f t="shared" si="52"/>
        <v>109.32448000000001</v>
      </c>
      <c r="U25" s="999">
        <f t="shared" si="52"/>
        <v>113.17747</v>
      </c>
      <c r="V25" s="999">
        <f t="shared" si="52"/>
        <v>126.27515</v>
      </c>
      <c r="W25" s="999">
        <f t="shared" si="52"/>
        <v>116.49860000000001</v>
      </c>
      <c r="X25" s="999">
        <f t="shared" ref="X25:AG26" si="53">SUMIF($A$32:$A$268,$B25,X$32:X$268)/1000</f>
        <v>128.33968999999999</v>
      </c>
      <c r="Y25" s="999">
        <f t="shared" si="53"/>
        <v>127.63253999999999</v>
      </c>
      <c r="Z25" s="999">
        <f t="shared" si="53"/>
        <v>134.13919000000001</v>
      </c>
      <c r="AA25" s="999">
        <f t="shared" si="53"/>
        <v>130.21171000000001</v>
      </c>
      <c r="AB25" s="999">
        <f t="shared" si="53"/>
        <v>137.46123</v>
      </c>
      <c r="AC25" s="999">
        <f t="shared" si="53"/>
        <v>137.42370000000003</v>
      </c>
      <c r="AD25" s="999">
        <f t="shared" si="53"/>
        <v>147.13461999999998</v>
      </c>
      <c r="AE25" s="999">
        <f t="shared" si="53"/>
        <v>128.02465000000001</v>
      </c>
      <c r="AF25" s="999">
        <f t="shared" si="53"/>
        <v>162.54771999999997</v>
      </c>
      <c r="AG25" s="999">
        <f t="shared" si="53"/>
        <v>161.53258000000002</v>
      </c>
      <c r="AH25" s="999">
        <f t="shared" ref="AH25:AS26" si="54">SUMIF($A$32:$A$268,$B25,AH$32:AH$268)/1000</f>
        <v>152.23414</v>
      </c>
      <c r="AI25" s="999">
        <f t="shared" si="54"/>
        <v>132.09123000000002</v>
      </c>
      <c r="AJ25" s="999">
        <f t="shared" si="54"/>
        <v>146.26062999999999</v>
      </c>
      <c r="AK25" s="999">
        <f t="shared" si="54"/>
        <v>141.18404000000001</v>
      </c>
      <c r="AL25" s="999">
        <f t="shared" si="54"/>
        <v>144.95245</v>
      </c>
      <c r="AM25" s="999">
        <f t="shared" si="54"/>
        <v>139.98539000000002</v>
      </c>
      <c r="AN25" s="999">
        <f t="shared" si="54"/>
        <v>143.52170999999998</v>
      </c>
      <c r="AO25" s="999">
        <f t="shared" si="54"/>
        <v>142.16876999999999</v>
      </c>
      <c r="AP25" s="999">
        <f t="shared" si="54"/>
        <v>135.25839999999999</v>
      </c>
      <c r="AQ25" s="999">
        <f t="shared" si="54"/>
        <v>136.60156000000001</v>
      </c>
      <c r="AR25" s="999">
        <f t="shared" si="54"/>
        <v>130.12090000000001</v>
      </c>
      <c r="AS25" s="999">
        <f t="shared" si="54"/>
        <v>131.68058000000002</v>
      </c>
      <c r="AT25" s="999">
        <f>SUMIF('2020'!$A$6:$A$183,Historicals!$B25,'2020'!D$6:D$183)/1000</f>
        <v>131.19252</v>
      </c>
      <c r="AU25" s="999">
        <f>SUMIF('2020'!$A$6:$A$183,Historicals!$B25,'2020'!E$6:E$183)/1000</f>
        <v>121.62235000000001</v>
      </c>
      <c r="AV25" s="999">
        <f>SUMIF('2020'!$A$6:$A$183,Historicals!$B25,'2020'!F$6:F$183)/1000</f>
        <v>129.67227</v>
      </c>
      <c r="AW25" s="999">
        <f>SUMIF('2020'!$A$6:$A$183,Historicals!$B25,'2020'!G$6:G$183)/1000</f>
        <v>108.16163</v>
      </c>
      <c r="AX25" s="999">
        <f>SUMIF('2020'!$A$6:$A$183,Historicals!$B25,'2020'!H$6:H$183)/1000</f>
        <v>113.81280000000001</v>
      </c>
      <c r="AY25" s="999">
        <f>SUMIF('2020'!$A$6:$A$183,Historicals!$B25,'2020'!I$6:I$183)/1000</f>
        <v>104.43817999999999</v>
      </c>
      <c r="AZ25" s="999">
        <f>SUMIF('2020'!$A$6:$A$183,Historicals!$B25,'2020'!J$6:J$183)/1000</f>
        <v>107.91946</v>
      </c>
      <c r="BA25" s="999">
        <f>SUMIF('2020'!$A$6:$A$183,Historicals!$B25,'2020'!K$6:K$183)/1000</f>
        <v>107.91946</v>
      </c>
      <c r="BB25" s="999">
        <f>SUMIF('2020'!$A$6:$A$183,Historicals!$B25,'2020'!L$6:L$183)/1000</f>
        <v>104.43817999999999</v>
      </c>
      <c r="BC25" s="999">
        <f>SUMIF('2020'!$A$6:$A$183,Historicals!$B25,'2020'!M$6:M$183)/1000</f>
        <v>107.91946</v>
      </c>
      <c r="BD25" s="999">
        <f>SUMIF('2020'!$A$6:$A$183,Historicals!$B25,'2020'!N$6:N$183)/1000</f>
        <v>104.43817999999999</v>
      </c>
      <c r="BE25" s="999">
        <f>SUMIF('2020'!$A$6:$A$183,Historicals!$B25,'2020'!O$6:O$183)/1000</f>
        <v>107.91946</v>
      </c>
      <c r="BF25" s="1410">
        <f>SUMIF('2021'!$A:$A,$B25,'2021'!D:D)/1000</f>
        <v>107.91945</v>
      </c>
      <c r="BG25" s="1410">
        <f>SUMIF('2021'!$A:$A,$B25,'2021'!E:E)/1000</f>
        <v>97.47563000000001</v>
      </c>
      <c r="BH25" s="1410">
        <f>SUMIF('2021'!$A:$A,$B25,'2021'!F:F)/1000</f>
        <v>107.91945</v>
      </c>
      <c r="BI25" s="1410">
        <f>SUMIF('2021'!$A:$A,$B25,'2021'!G:G)/1000</f>
        <v>104.43817999999999</v>
      </c>
      <c r="BJ25" s="1410">
        <f>SUMIF('2021'!$A:$A,$B25,'2021'!H:H)/1000</f>
        <v>107.91946</v>
      </c>
      <c r="BK25" s="1410">
        <f>SUMIF('2021'!$A:$A,$B25,'2021'!I:I)/1000</f>
        <v>107.63529</v>
      </c>
      <c r="BL25" s="1410">
        <f>SUMIF('2021'!$A:$A,$B25,'2021'!J:J)/1000</f>
        <v>99.109529999999992</v>
      </c>
      <c r="BM25" s="1410">
        <f>SUMIF('2021'!$A:$A,$B25,'2021'!K:K)/1000</f>
        <v>99.109520000000003</v>
      </c>
      <c r="BN25" s="1410">
        <f>SUMIF('2021'!$A:$A,$B25,'2021'!L:L)/1000</f>
        <v>95.912440000000004</v>
      </c>
      <c r="BO25" s="1410">
        <f>SUMIF('2021'!$A:$A,$B25,'2021'!M:M)/1000</f>
        <v>99.10951</v>
      </c>
      <c r="BP25" s="1410">
        <f>SUMIF('2021'!$A:$A,$B25,'2021'!N:N)/1000</f>
        <v>96.316159999999996</v>
      </c>
      <c r="BQ25" s="1410">
        <f>SUMIF('2021'!$A:$A,$B25,'2021'!O:O)/1000</f>
        <v>100.07224000000001</v>
      </c>
      <c r="BR25" s="1410">
        <f>SUMIF('2022'!$A:$A,$B25,'2022'!D:D)/1000</f>
        <v>100.07224000000001</v>
      </c>
      <c r="BS25" s="1410">
        <f>SUMIF('2022'!$A:$A,$B25,'2022'!E:E)/1000</f>
        <v>90.387830000000008</v>
      </c>
      <c r="BT25" s="1410">
        <f>SUMIF('2022'!$A:$A,$B25,'2022'!F:F)/1000</f>
        <v>101.28278999999999</v>
      </c>
      <c r="BU25" s="1410">
        <f>SUMIF('2022'!$A:$A,$B25,'2022'!G:G)/1000</f>
        <v>100.18088</v>
      </c>
      <c r="BV25" s="1410">
        <f>SUMIF('2022'!$A:$A,$B25,'2022'!H:H)/1000</f>
        <v>110.84980999999999</v>
      </c>
      <c r="BW25" s="1410">
        <f>SUMIF('2022'!$A:$A,$B25,'2022'!I:I)/1000</f>
        <v>108.56345</v>
      </c>
      <c r="BX25" s="1410">
        <f>SUMIF('2022'!$A:$A,$B25,'2022'!J:J)/1000</f>
        <v>133.17430999999999</v>
      </c>
      <c r="BY25" s="1410">
        <f>SUMIF('2022'!$A:$A,$B25,'2022'!K:K)/1000</f>
        <v>141.79045000000002</v>
      </c>
      <c r="BZ25" s="1410">
        <f>SUMIF('2022'!$A:$A,$B25,'2022'!L:L)/1000</f>
        <v>112.83533</v>
      </c>
    </row>
    <row r="26" spans="2:78">
      <c r="B26" s="977" t="s">
        <v>1180</v>
      </c>
      <c r="C26" s="927" t="s">
        <v>1399</v>
      </c>
      <c r="D26" s="999">
        <f t="shared" si="51"/>
        <v>11.594709999999999</v>
      </c>
      <c r="E26" s="999">
        <f t="shared" si="51"/>
        <v>11.594709999999999</v>
      </c>
      <c r="F26" s="999">
        <f t="shared" si="51"/>
        <v>11.374829999999999</v>
      </c>
      <c r="G26" s="999">
        <f t="shared" si="51"/>
        <v>11.521409999999999</v>
      </c>
      <c r="H26" s="999">
        <f t="shared" si="51"/>
        <v>11.521409999999999</v>
      </c>
      <c r="I26" s="999">
        <f t="shared" si="51"/>
        <v>495.42084999999997</v>
      </c>
      <c r="J26" s="999">
        <f t="shared" si="51"/>
        <v>0</v>
      </c>
      <c r="K26" s="999">
        <f t="shared" si="51"/>
        <v>0</v>
      </c>
      <c r="L26" s="999">
        <f t="shared" si="51"/>
        <v>0</v>
      </c>
      <c r="M26" s="999">
        <f t="shared" si="51"/>
        <v>0</v>
      </c>
      <c r="N26" s="999">
        <f t="shared" si="52"/>
        <v>0</v>
      </c>
      <c r="O26" s="999">
        <f t="shared" si="52"/>
        <v>0</v>
      </c>
      <c r="P26" s="999">
        <f t="shared" si="52"/>
        <v>0</v>
      </c>
      <c r="Q26" s="999">
        <f t="shared" si="52"/>
        <v>0</v>
      </c>
      <c r="R26" s="999">
        <f t="shared" si="52"/>
        <v>0</v>
      </c>
      <c r="S26" s="999">
        <f t="shared" si="52"/>
        <v>0</v>
      </c>
      <c r="T26" s="999">
        <f t="shared" si="52"/>
        <v>0</v>
      </c>
      <c r="U26" s="999">
        <f t="shared" si="52"/>
        <v>0</v>
      </c>
      <c r="V26" s="999">
        <f t="shared" si="52"/>
        <v>0</v>
      </c>
      <c r="W26" s="999">
        <f t="shared" si="52"/>
        <v>0</v>
      </c>
      <c r="X26" s="999">
        <f t="shared" si="53"/>
        <v>0</v>
      </c>
      <c r="Y26" s="999">
        <f t="shared" si="53"/>
        <v>0</v>
      </c>
      <c r="Z26" s="999">
        <f t="shared" si="53"/>
        <v>0.375</v>
      </c>
      <c r="AA26" s="999">
        <f t="shared" si="53"/>
        <v>0</v>
      </c>
      <c r="AB26" s="999">
        <f t="shared" si="53"/>
        <v>0</v>
      </c>
      <c r="AC26" s="999">
        <f t="shared" si="53"/>
        <v>0</v>
      </c>
      <c r="AD26" s="999">
        <f t="shared" si="53"/>
        <v>0</v>
      </c>
      <c r="AE26" s="999">
        <f t="shared" si="53"/>
        <v>0</v>
      </c>
      <c r="AF26" s="999">
        <f t="shared" si="53"/>
        <v>0</v>
      </c>
      <c r="AG26" s="999">
        <f t="shared" si="53"/>
        <v>0</v>
      </c>
      <c r="AH26" s="999">
        <f t="shared" si="54"/>
        <v>0</v>
      </c>
      <c r="AI26" s="999">
        <f t="shared" si="54"/>
        <v>0</v>
      </c>
      <c r="AJ26" s="999">
        <f t="shared" si="54"/>
        <v>0</v>
      </c>
      <c r="AK26" s="999">
        <f t="shared" si="54"/>
        <v>0</v>
      </c>
      <c r="AL26" s="999">
        <f t="shared" si="54"/>
        <v>0</v>
      </c>
      <c r="AM26" s="999">
        <f t="shared" si="54"/>
        <v>0</v>
      </c>
      <c r="AN26" s="999">
        <f t="shared" si="54"/>
        <v>0</v>
      </c>
      <c r="AO26" s="999">
        <f t="shared" si="54"/>
        <v>0</v>
      </c>
      <c r="AP26" s="999">
        <f t="shared" si="54"/>
        <v>0</v>
      </c>
      <c r="AQ26" s="999">
        <f t="shared" si="54"/>
        <v>0</v>
      </c>
      <c r="AR26" s="999">
        <f t="shared" si="54"/>
        <v>0</v>
      </c>
      <c r="AS26" s="999">
        <f t="shared" si="54"/>
        <v>0</v>
      </c>
      <c r="AT26" s="999">
        <f>SUMIF('2020'!$A$6:$A$183,Historicals!$B26,'2020'!D$6:D$183)/1000</f>
        <v>0</v>
      </c>
      <c r="AU26" s="999">
        <f>SUMIF('2020'!$A$6:$A$183,Historicals!$B26,'2020'!E$6:E$183)/1000</f>
        <v>0</v>
      </c>
      <c r="AV26" s="999">
        <f>SUMIF('2020'!$A$6:$A$183,Historicals!$B26,'2020'!F$6:F$183)/1000</f>
        <v>0</v>
      </c>
      <c r="AW26" s="999">
        <f>SUMIF('2020'!$A$6:$A$183,Historicals!$B26,'2020'!G$6:G$183)/1000</f>
        <v>0</v>
      </c>
      <c r="AX26" s="999">
        <f>SUMIF('2020'!$A$6:$A$183,Historicals!$B26,'2020'!H$6:H$183)/1000</f>
        <v>0</v>
      </c>
      <c r="AY26" s="999">
        <f>SUMIF('2020'!$A$6:$A$183,Historicals!$B26,'2020'!I$6:I$183)/1000</f>
        <v>0</v>
      </c>
      <c r="AZ26" s="999">
        <f>SUMIF('2020'!$A$6:$A$183,Historicals!$B26,'2020'!J$6:J$183)/1000</f>
        <v>0</v>
      </c>
      <c r="BA26" s="999">
        <f>SUMIF('2020'!$A$6:$A$183,Historicals!$B26,'2020'!K$6:K$183)/1000</f>
        <v>0</v>
      </c>
      <c r="BB26" s="999">
        <f>SUMIF('2020'!$A$6:$A$183,Historicals!$B26,'2020'!L$6:L$183)/1000</f>
        <v>0</v>
      </c>
      <c r="BC26" s="999">
        <f>SUMIF('2020'!$A$6:$A$183,Historicals!$B26,'2020'!M$6:M$183)/1000</f>
        <v>0</v>
      </c>
      <c r="BD26" s="999">
        <f>SUMIF('2020'!$A$6:$A$183,Historicals!$B26,'2020'!N$6:N$183)/1000</f>
        <v>0</v>
      </c>
      <c r="BE26" s="999">
        <f>SUMIF('2020'!$A$6:$A$183,Historicals!$B26,'2020'!O$6:O$183)/1000</f>
        <v>0</v>
      </c>
      <c r="BF26" s="1410">
        <f>SUMIF('2021'!$A:$A,$B26,'2021'!D:D)/1000</f>
        <v>0</v>
      </c>
      <c r="BG26" s="1410">
        <f>SUMIF('2021'!$A:$A,$B26,'2021'!E:E)/1000</f>
        <v>0</v>
      </c>
      <c r="BH26" s="1410">
        <f>SUMIF('2021'!$A:$A,$B26,'2021'!F:F)/1000</f>
        <v>-18.626249999999999</v>
      </c>
      <c r="BI26" s="1410">
        <f>SUMIF('2021'!$A:$A,$B26,'2021'!G:G)/1000</f>
        <v>0</v>
      </c>
      <c r="BJ26" s="1410">
        <f>SUMIF('2021'!$A:$A,$B26,'2021'!H:H)/1000</f>
        <v>0</v>
      </c>
      <c r="BK26" s="1410">
        <f>SUMIF('2021'!$A:$A,$B26,'2021'!I:I)/1000</f>
        <v>840.87529000000006</v>
      </c>
      <c r="BL26" s="1410">
        <f>SUMIF('2021'!$A:$A,$B26,'2021'!J:J)/1000</f>
        <v>0</v>
      </c>
      <c r="BM26" s="1410">
        <f>SUMIF('2021'!$A:$A,$B26,'2021'!K:K)/1000</f>
        <v>-53.317</v>
      </c>
      <c r="BN26" s="1410">
        <f>SUMIF('2021'!$A:$A,$B26,'2021'!L:L)/1000</f>
        <v>0</v>
      </c>
      <c r="BO26" s="1410">
        <f>SUMIF('2021'!$A:$A,$B26,'2021'!M:M)/1000</f>
        <v>-6</v>
      </c>
      <c r="BP26" s="1410">
        <f>SUMIF('2021'!$A:$A,$B26,'2021'!N:N)/1000</f>
        <v>0</v>
      </c>
      <c r="BQ26" s="1410">
        <f>SUMIF('2021'!$A:$A,$B26,'2021'!O:O)/1000</f>
        <v>0</v>
      </c>
      <c r="BR26" s="1410">
        <f>SUMIF('2022'!$A:$A,$B26,'2022'!D:D)/1000</f>
        <v>0</v>
      </c>
      <c r="BS26" s="1410">
        <f>SUMIF('2022'!$A:$A,$B26,'2022'!E:E)/1000</f>
        <v>0</v>
      </c>
      <c r="BT26" s="1410">
        <f>SUMIF('2022'!$A:$A,$B26,'2022'!F:F)/1000</f>
        <v>0</v>
      </c>
      <c r="BU26" s="1410">
        <f>SUMIF('2022'!$A:$A,$B26,'2022'!G:G)/1000</f>
        <v>0</v>
      </c>
      <c r="BV26" s="1410">
        <f>SUMIF('2022'!$A:$A,$B26,'2022'!H:H)/1000</f>
        <v>0</v>
      </c>
      <c r="BW26" s="1410">
        <f>SUMIF('2022'!$A:$A,$B26,'2022'!I:I)/1000</f>
        <v>0</v>
      </c>
      <c r="BX26" s="1410">
        <f>SUMIF('2022'!$A:$A,$B26,'2022'!J:J)/1000</f>
        <v>0</v>
      </c>
      <c r="BY26" s="1410">
        <f>SUMIF('2022'!$A:$A,$B26,'2022'!K:K)/1000</f>
        <v>0</v>
      </c>
      <c r="BZ26" s="1410">
        <f>SUMIF('2022'!$A:$A,$B26,'2022'!L:L)/1000</f>
        <v>0</v>
      </c>
    </row>
    <row r="28" spans="2:78" ht="15" customHeight="1">
      <c r="B28" s="928" t="s">
        <v>1398</v>
      </c>
      <c r="C28" s="928"/>
      <c r="D28" s="928"/>
      <c r="E28" s="928"/>
      <c r="F28" s="928"/>
      <c r="G28" s="928"/>
      <c r="H28" s="928"/>
      <c r="I28" s="928"/>
      <c r="J28" s="928"/>
      <c r="K28" s="928"/>
      <c r="L28" s="928"/>
      <c r="M28" s="928"/>
      <c r="N28" s="928"/>
      <c r="O28" s="928"/>
    </row>
    <row r="29" spans="2:78" ht="15.75" customHeight="1">
      <c r="B29" s="929" t="s">
        <v>965</v>
      </c>
      <c r="C29" s="929"/>
      <c r="D29" s="929"/>
      <c r="E29" s="929"/>
      <c r="F29" s="929"/>
      <c r="G29" s="929"/>
      <c r="H29" s="929"/>
      <c r="I29" s="929"/>
      <c r="J29" s="929"/>
      <c r="K29" s="929"/>
      <c r="L29" s="929"/>
      <c r="M29" s="929"/>
      <c r="N29" s="929"/>
      <c r="O29" s="929"/>
    </row>
    <row r="30" spans="2:78" ht="15" customHeight="1">
      <c r="B30" s="928" t="s">
        <v>1397</v>
      </c>
      <c r="C30" s="928"/>
      <c r="D30" s="928"/>
      <c r="E30" s="928"/>
      <c r="F30" s="928"/>
      <c r="G30" s="928"/>
      <c r="H30" s="928"/>
      <c r="I30" s="928"/>
      <c r="J30" s="928"/>
      <c r="K30" s="928"/>
      <c r="L30" s="928"/>
      <c r="M30" s="928"/>
      <c r="N30" s="928"/>
      <c r="O30" s="928"/>
    </row>
    <row r="31" spans="2:78" ht="15" customHeight="1">
      <c r="B31" s="928" t="s">
        <v>1396</v>
      </c>
      <c r="C31" s="928"/>
      <c r="D31" s="928"/>
      <c r="E31" s="928"/>
      <c r="F31" s="928"/>
      <c r="G31" s="928"/>
      <c r="H31" s="928"/>
      <c r="I31" s="928"/>
      <c r="J31" s="928"/>
      <c r="K31" s="928"/>
      <c r="L31" s="928"/>
      <c r="M31" s="928"/>
      <c r="N31" s="928"/>
      <c r="O31" s="928"/>
    </row>
    <row r="32" spans="2:78" ht="15" customHeight="1">
      <c r="B32" s="998"/>
      <c r="C32" s="997"/>
      <c r="D32" s="996">
        <v>42582</v>
      </c>
      <c r="E32" s="996">
        <f t="shared" ref="E32:AJ32" si="55">EOMONTH(D32,1)</f>
        <v>42613</v>
      </c>
      <c r="F32" s="996">
        <f t="shared" si="55"/>
        <v>42643</v>
      </c>
      <c r="G32" s="996">
        <f t="shared" si="55"/>
        <v>42674</v>
      </c>
      <c r="H32" s="996">
        <f t="shared" si="55"/>
        <v>42704</v>
      </c>
      <c r="I32" s="996">
        <f t="shared" si="55"/>
        <v>42735</v>
      </c>
      <c r="J32" s="996">
        <f t="shared" si="55"/>
        <v>42766</v>
      </c>
      <c r="K32" s="996">
        <f t="shared" si="55"/>
        <v>42794</v>
      </c>
      <c r="L32" s="996">
        <f t="shared" si="55"/>
        <v>42825</v>
      </c>
      <c r="M32" s="996">
        <f t="shared" si="55"/>
        <v>42855</v>
      </c>
      <c r="N32" s="996">
        <f t="shared" si="55"/>
        <v>42886</v>
      </c>
      <c r="O32" s="996">
        <f t="shared" si="55"/>
        <v>42916</v>
      </c>
      <c r="P32" s="996">
        <f t="shared" si="55"/>
        <v>42947</v>
      </c>
      <c r="Q32" s="996">
        <f t="shared" si="55"/>
        <v>42978</v>
      </c>
      <c r="R32" s="996">
        <f t="shared" si="55"/>
        <v>43008</v>
      </c>
      <c r="S32" s="996">
        <f t="shared" si="55"/>
        <v>43039</v>
      </c>
      <c r="T32" s="996">
        <f t="shared" si="55"/>
        <v>43069</v>
      </c>
      <c r="U32" s="996">
        <f t="shared" si="55"/>
        <v>43100</v>
      </c>
      <c r="V32" s="996">
        <f t="shared" si="55"/>
        <v>43131</v>
      </c>
      <c r="W32" s="996">
        <f t="shared" si="55"/>
        <v>43159</v>
      </c>
      <c r="X32" s="996">
        <f t="shared" si="55"/>
        <v>43190</v>
      </c>
      <c r="Y32" s="996">
        <f t="shared" si="55"/>
        <v>43220</v>
      </c>
      <c r="Z32" s="996">
        <f t="shared" si="55"/>
        <v>43251</v>
      </c>
      <c r="AA32" s="996">
        <f t="shared" si="55"/>
        <v>43281</v>
      </c>
      <c r="AB32" s="996">
        <f t="shared" si="55"/>
        <v>43312</v>
      </c>
      <c r="AC32" s="996">
        <f t="shared" si="55"/>
        <v>43343</v>
      </c>
      <c r="AD32" s="996">
        <f t="shared" si="55"/>
        <v>43373</v>
      </c>
      <c r="AE32" s="996">
        <f t="shared" si="55"/>
        <v>43404</v>
      </c>
      <c r="AF32" s="996">
        <f t="shared" si="55"/>
        <v>43434</v>
      </c>
      <c r="AG32" s="996">
        <f t="shared" si="55"/>
        <v>43465</v>
      </c>
      <c r="AH32" s="996">
        <f t="shared" si="55"/>
        <v>43496</v>
      </c>
      <c r="AI32" s="996">
        <f t="shared" si="55"/>
        <v>43524</v>
      </c>
      <c r="AJ32" s="996">
        <f t="shared" si="55"/>
        <v>43555</v>
      </c>
      <c r="AK32" s="996">
        <f t="shared" ref="AK32:BD32" si="56">EOMONTH(AJ32,1)</f>
        <v>43585</v>
      </c>
      <c r="AL32" s="996">
        <f t="shared" si="56"/>
        <v>43616</v>
      </c>
      <c r="AM32" s="996">
        <f t="shared" si="56"/>
        <v>43646</v>
      </c>
      <c r="AN32" s="996">
        <f t="shared" si="56"/>
        <v>43677</v>
      </c>
      <c r="AO32" s="996">
        <f t="shared" si="56"/>
        <v>43708</v>
      </c>
      <c r="AP32" s="996">
        <f t="shared" si="56"/>
        <v>43738</v>
      </c>
      <c r="AQ32" s="996">
        <f t="shared" si="56"/>
        <v>43769</v>
      </c>
      <c r="AR32" s="996">
        <f t="shared" si="56"/>
        <v>43799</v>
      </c>
      <c r="AS32" s="996">
        <f t="shared" si="56"/>
        <v>43830</v>
      </c>
      <c r="AT32" s="996">
        <f t="shared" si="56"/>
        <v>43861</v>
      </c>
      <c r="AU32" s="996">
        <f t="shared" si="56"/>
        <v>43890</v>
      </c>
      <c r="AV32" s="996">
        <f t="shared" si="56"/>
        <v>43921</v>
      </c>
      <c r="AW32" s="996">
        <f t="shared" si="56"/>
        <v>43951</v>
      </c>
      <c r="AX32" s="996">
        <f t="shared" si="56"/>
        <v>43982</v>
      </c>
      <c r="AY32" s="996">
        <f t="shared" si="56"/>
        <v>44012</v>
      </c>
      <c r="AZ32" s="996">
        <f t="shared" si="56"/>
        <v>44043</v>
      </c>
      <c r="BA32" s="996">
        <f t="shared" si="56"/>
        <v>44074</v>
      </c>
      <c r="BB32" s="996">
        <f t="shared" si="56"/>
        <v>44104</v>
      </c>
      <c r="BC32" s="996">
        <f t="shared" si="56"/>
        <v>44135</v>
      </c>
      <c r="BD32" s="996">
        <f t="shared" si="56"/>
        <v>44165</v>
      </c>
    </row>
    <row r="33" spans="1:58" ht="15" customHeight="1">
      <c r="B33" s="995" t="s">
        <v>964</v>
      </c>
      <c r="C33" s="994" t="s">
        <v>963</v>
      </c>
      <c r="D33" s="993"/>
      <c r="E33" s="993"/>
      <c r="F33" s="993"/>
      <c r="G33" s="993"/>
      <c r="H33" s="993"/>
      <c r="I33" s="993"/>
      <c r="J33" s="993"/>
      <c r="K33" s="993"/>
      <c r="L33" s="993"/>
      <c r="M33" s="993"/>
      <c r="N33" s="993"/>
      <c r="O33" s="993"/>
      <c r="P33" s="993"/>
      <c r="Q33" s="993"/>
      <c r="R33" s="993"/>
      <c r="S33" s="993"/>
      <c r="T33" s="993"/>
      <c r="U33" s="993"/>
      <c r="V33" s="993"/>
      <c r="W33" s="993"/>
      <c r="X33" s="993"/>
      <c r="Y33" s="993"/>
      <c r="Z33" s="993"/>
      <c r="AA33" s="993"/>
      <c r="AB33" s="993"/>
      <c r="AC33" s="993"/>
      <c r="AD33" s="993"/>
      <c r="AE33" s="993"/>
      <c r="AF33" s="993"/>
      <c r="AG33" s="993"/>
      <c r="AH33" s="993"/>
      <c r="AI33" s="993"/>
      <c r="AJ33" s="993"/>
      <c r="AK33" s="993"/>
      <c r="AL33" s="993"/>
      <c r="AM33" s="993"/>
      <c r="AN33" s="993"/>
      <c r="AO33" s="993"/>
      <c r="AP33" s="993"/>
      <c r="AQ33" s="993"/>
      <c r="AR33" s="993"/>
      <c r="AS33" s="993"/>
      <c r="AT33" s="993"/>
      <c r="AU33" s="993"/>
      <c r="AV33" s="993"/>
      <c r="AW33" s="993"/>
      <c r="AX33" s="993"/>
      <c r="AY33" s="993"/>
      <c r="AZ33" s="993"/>
      <c r="BA33" s="993"/>
      <c r="BB33" s="993"/>
      <c r="BC33" s="993"/>
      <c r="BD33" s="993"/>
    </row>
    <row r="34" spans="1:58" ht="15" customHeight="1">
      <c r="B34" s="983"/>
      <c r="C34" s="984"/>
      <c r="D34" s="983"/>
      <c r="E34" s="983"/>
      <c r="F34" s="983"/>
      <c r="G34" s="983"/>
      <c r="H34" s="983"/>
      <c r="I34" s="983"/>
      <c r="J34" s="983"/>
      <c r="K34" s="983"/>
      <c r="L34" s="983"/>
      <c r="M34" s="983"/>
      <c r="N34" s="983"/>
      <c r="O34" s="983"/>
      <c r="P34" s="983"/>
      <c r="Q34" s="983"/>
      <c r="R34" s="983"/>
      <c r="S34" s="983"/>
      <c r="T34" s="983"/>
      <c r="U34" s="983"/>
      <c r="V34" s="983"/>
      <c r="W34" s="983"/>
      <c r="X34" s="983"/>
      <c r="Y34" s="983"/>
      <c r="Z34" s="983"/>
      <c r="AA34" s="983"/>
      <c r="AB34" s="983"/>
      <c r="AC34" s="983"/>
      <c r="AD34" s="983"/>
      <c r="AE34" s="983"/>
      <c r="AF34" s="983"/>
      <c r="AG34" s="983"/>
      <c r="AH34" s="983"/>
      <c r="AI34" s="983"/>
      <c r="AJ34" s="983"/>
      <c r="AK34" s="983"/>
      <c r="AL34" s="983"/>
      <c r="AM34" s="983"/>
      <c r="AN34" s="983"/>
      <c r="AO34" s="983"/>
      <c r="AP34" s="983"/>
      <c r="AQ34" s="983"/>
      <c r="AR34" s="983"/>
      <c r="AS34" s="983"/>
      <c r="AT34" s="983"/>
      <c r="AU34" s="983"/>
      <c r="AV34" s="983"/>
      <c r="AW34" s="983"/>
      <c r="AX34" s="983"/>
      <c r="AY34" s="983"/>
      <c r="AZ34" s="983"/>
      <c r="BA34" s="983"/>
      <c r="BB34" s="983"/>
      <c r="BC34" s="983"/>
      <c r="BD34" s="983"/>
    </row>
    <row r="35" spans="1:58" ht="15" customHeight="1">
      <c r="B35" s="981" t="s">
        <v>962</v>
      </c>
      <c r="C35" s="980" t="s">
        <v>802</v>
      </c>
      <c r="D35" s="991"/>
      <c r="E35" s="991"/>
      <c r="F35" s="991"/>
      <c r="G35" s="991"/>
      <c r="H35" s="991"/>
      <c r="I35" s="991"/>
      <c r="J35" s="991"/>
      <c r="K35" s="991"/>
      <c r="L35" s="991"/>
      <c r="M35" s="991"/>
      <c r="N35" s="991"/>
      <c r="O35" s="991"/>
      <c r="P35" s="991"/>
      <c r="Q35" s="991"/>
      <c r="R35" s="991"/>
      <c r="S35" s="991"/>
      <c r="T35" s="991"/>
      <c r="U35" s="991"/>
      <c r="V35" s="991"/>
      <c r="W35" s="991"/>
      <c r="X35" s="991"/>
      <c r="Y35" s="991"/>
      <c r="Z35" s="991"/>
      <c r="AA35" s="991"/>
      <c r="AB35" s="991"/>
      <c r="AC35" s="991"/>
      <c r="AD35" s="991"/>
      <c r="AE35" s="991"/>
      <c r="AF35" s="991"/>
      <c r="AG35" s="991"/>
      <c r="AH35" s="991"/>
      <c r="AI35" s="991"/>
      <c r="AJ35" s="991"/>
      <c r="AK35" s="991"/>
      <c r="AL35" s="991"/>
      <c r="AM35" s="991"/>
      <c r="AN35" s="991"/>
      <c r="AO35" s="991"/>
      <c r="AP35" s="991"/>
      <c r="AQ35" s="991"/>
      <c r="AR35" s="991"/>
      <c r="AS35" s="991"/>
      <c r="AT35" s="991"/>
      <c r="AU35" s="991"/>
      <c r="AV35" s="991"/>
      <c r="AW35" s="991"/>
      <c r="AX35" s="991"/>
      <c r="AY35" s="991"/>
      <c r="AZ35" s="991"/>
      <c r="BA35" s="991"/>
      <c r="BB35" s="991"/>
      <c r="BC35" s="991"/>
      <c r="BD35" s="991"/>
    </row>
    <row r="36" spans="1:58" ht="15" customHeight="1">
      <c r="B36" s="983"/>
      <c r="C36" s="984"/>
      <c r="D36" s="983"/>
      <c r="E36" s="983"/>
      <c r="F36" s="983"/>
      <c r="G36" s="983"/>
      <c r="H36" s="983"/>
      <c r="I36" s="983"/>
      <c r="J36" s="983"/>
      <c r="K36" s="983"/>
      <c r="L36" s="983"/>
      <c r="M36" s="983"/>
      <c r="N36" s="983"/>
      <c r="O36" s="983"/>
      <c r="P36" s="983"/>
      <c r="Q36" s="983"/>
      <c r="R36" s="983"/>
      <c r="S36" s="983"/>
      <c r="T36" s="983"/>
      <c r="U36" s="983"/>
      <c r="V36" s="983"/>
      <c r="W36" s="983"/>
      <c r="X36" s="983"/>
      <c r="Y36" s="983"/>
      <c r="Z36" s="983"/>
      <c r="AA36" s="983"/>
      <c r="AB36" s="983"/>
      <c r="AC36" s="983"/>
      <c r="AD36" s="983"/>
      <c r="AE36" s="983"/>
      <c r="AF36" s="983"/>
      <c r="AG36" s="983"/>
      <c r="AH36" s="983"/>
      <c r="AI36" s="983"/>
      <c r="AJ36" s="983"/>
      <c r="AK36" s="983"/>
      <c r="AL36" s="983"/>
      <c r="AM36" s="983"/>
      <c r="AN36" s="983"/>
      <c r="AO36" s="983"/>
      <c r="AP36" s="983"/>
      <c r="AQ36" s="983"/>
      <c r="AR36" s="983"/>
      <c r="AS36" s="983"/>
      <c r="AT36" s="983"/>
      <c r="AU36" s="983"/>
      <c r="AV36" s="983"/>
      <c r="AW36" s="983"/>
      <c r="AX36" s="983"/>
      <c r="AY36" s="983"/>
      <c r="AZ36" s="983"/>
      <c r="BA36" s="983"/>
      <c r="BB36" s="983"/>
      <c r="BC36" s="983"/>
      <c r="BD36" s="983"/>
    </row>
    <row r="37" spans="1:58" ht="15" customHeight="1">
      <c r="B37" s="981" t="s">
        <v>961</v>
      </c>
      <c r="C37" s="980" t="s">
        <v>960</v>
      </c>
      <c r="D37" s="991"/>
      <c r="E37" s="991"/>
      <c r="F37" s="991"/>
      <c r="G37" s="991"/>
      <c r="H37" s="991"/>
      <c r="I37" s="991"/>
      <c r="J37" s="991"/>
      <c r="K37" s="991"/>
      <c r="L37" s="991"/>
      <c r="M37" s="991"/>
      <c r="N37" s="991"/>
      <c r="O37" s="991"/>
      <c r="P37" s="991"/>
      <c r="Q37" s="991"/>
      <c r="R37" s="991"/>
      <c r="S37" s="991"/>
      <c r="T37" s="991"/>
      <c r="U37" s="991"/>
      <c r="V37" s="991"/>
      <c r="W37" s="991"/>
      <c r="X37" s="991"/>
      <c r="Y37" s="991"/>
      <c r="Z37" s="991"/>
      <c r="AA37" s="991"/>
      <c r="AB37" s="991"/>
      <c r="AC37" s="991"/>
      <c r="AD37" s="991"/>
      <c r="AE37" s="991"/>
      <c r="AF37" s="991"/>
      <c r="AG37" s="991"/>
      <c r="AH37" s="991"/>
      <c r="AI37" s="991"/>
      <c r="AJ37" s="991"/>
      <c r="AK37" s="991"/>
      <c r="AL37" s="991"/>
      <c r="AM37" s="991"/>
      <c r="AN37" s="991"/>
      <c r="AO37" s="991"/>
      <c r="AP37" s="991"/>
      <c r="AQ37" s="991"/>
      <c r="AR37" s="991"/>
      <c r="AS37" s="991"/>
      <c r="AT37" s="991"/>
      <c r="AU37" s="991"/>
      <c r="AV37" s="991"/>
      <c r="AW37" s="991"/>
      <c r="AX37" s="991"/>
      <c r="AY37" s="991"/>
      <c r="AZ37" s="991"/>
      <c r="BA37" s="991"/>
      <c r="BB37" s="991"/>
      <c r="BC37" s="991"/>
      <c r="BD37" s="991"/>
    </row>
    <row r="38" spans="1:58" ht="15" customHeight="1">
      <c r="B38" s="983" t="s">
        <v>959</v>
      </c>
      <c r="C38" s="984" t="s">
        <v>958</v>
      </c>
      <c r="D38" s="989"/>
      <c r="E38" s="989"/>
      <c r="F38" s="989"/>
      <c r="G38" s="989"/>
      <c r="H38" s="989"/>
      <c r="I38" s="989"/>
      <c r="J38" s="989"/>
      <c r="K38" s="989"/>
      <c r="L38" s="989"/>
      <c r="M38" s="989"/>
      <c r="N38" s="989"/>
      <c r="O38" s="989"/>
      <c r="P38" s="989"/>
      <c r="Q38" s="989"/>
      <c r="R38" s="989"/>
      <c r="S38" s="989"/>
      <c r="T38" s="989"/>
      <c r="U38" s="989"/>
      <c r="V38" s="989"/>
      <c r="W38" s="989"/>
      <c r="X38" s="989"/>
      <c r="Y38" s="989"/>
      <c r="Z38" s="989"/>
      <c r="AA38" s="989"/>
      <c r="AB38" s="989"/>
      <c r="AC38" s="989"/>
      <c r="AD38" s="989"/>
      <c r="AE38" s="989"/>
      <c r="AF38" s="989"/>
      <c r="AG38" s="989"/>
      <c r="AH38" s="989"/>
      <c r="AI38" s="989"/>
      <c r="AJ38" s="989"/>
      <c r="AK38" s="989"/>
      <c r="AL38" s="989"/>
      <c r="AM38" s="989"/>
      <c r="AN38" s="989"/>
      <c r="AO38" s="989"/>
      <c r="AP38" s="989"/>
      <c r="AQ38" s="989"/>
      <c r="AR38" s="989"/>
      <c r="AS38" s="989"/>
      <c r="AT38" s="989"/>
      <c r="AU38" s="989"/>
      <c r="AV38" s="989"/>
      <c r="AW38" s="989"/>
      <c r="AX38" s="989"/>
      <c r="AY38" s="989"/>
      <c r="AZ38" s="989"/>
      <c r="BA38" s="989"/>
      <c r="BB38" s="989"/>
      <c r="BC38" s="989"/>
      <c r="BD38" s="989"/>
    </row>
    <row r="39" spans="1:58" ht="15" customHeight="1">
      <c r="B39" s="983" t="s">
        <v>957</v>
      </c>
      <c r="C39" s="984" t="s">
        <v>956</v>
      </c>
      <c r="D39" s="989"/>
      <c r="E39" s="989"/>
      <c r="F39" s="989"/>
      <c r="G39" s="989"/>
      <c r="H39" s="989"/>
      <c r="I39" s="989"/>
      <c r="J39" s="989"/>
      <c r="K39" s="989"/>
      <c r="L39" s="989"/>
      <c r="M39" s="989"/>
      <c r="N39" s="989"/>
      <c r="O39" s="989"/>
      <c r="P39" s="989"/>
      <c r="Q39" s="989"/>
      <c r="R39" s="989"/>
      <c r="S39" s="989"/>
      <c r="T39" s="989"/>
      <c r="U39" s="989"/>
      <c r="V39" s="989"/>
      <c r="W39" s="989"/>
      <c r="X39" s="989"/>
      <c r="Y39" s="989"/>
      <c r="Z39" s="989"/>
      <c r="AA39" s="989"/>
      <c r="AB39" s="989"/>
      <c r="AC39" s="989"/>
      <c r="AD39" s="989"/>
      <c r="AE39" s="989"/>
      <c r="AF39" s="989"/>
      <c r="AG39" s="989"/>
      <c r="AH39" s="989"/>
      <c r="AI39" s="989"/>
      <c r="AJ39" s="989"/>
      <c r="AK39" s="989"/>
      <c r="AL39" s="989"/>
      <c r="AM39" s="989"/>
      <c r="AN39" s="989"/>
      <c r="AO39" s="989"/>
      <c r="AP39" s="989"/>
      <c r="AQ39" s="989"/>
      <c r="AR39" s="989"/>
      <c r="AS39" s="989"/>
      <c r="AT39" s="989"/>
      <c r="AU39" s="989"/>
      <c r="AV39" s="989"/>
      <c r="AW39" s="989"/>
      <c r="AX39" s="989"/>
      <c r="AY39" s="989"/>
      <c r="AZ39" s="989"/>
      <c r="BA39" s="989"/>
      <c r="BB39" s="989"/>
      <c r="BC39" s="989"/>
      <c r="BD39" s="989"/>
    </row>
    <row r="40" spans="1:58" ht="15" customHeight="1">
      <c r="B40" s="983" t="s">
        <v>955</v>
      </c>
      <c r="C40" s="984" t="s">
        <v>954</v>
      </c>
      <c r="D40" s="990">
        <v>111444.69</v>
      </c>
      <c r="E40" s="990">
        <v>112335.59</v>
      </c>
      <c r="F40" s="990">
        <v>116626.49</v>
      </c>
      <c r="G40" s="990">
        <v>112145.84</v>
      </c>
      <c r="H40" s="990">
        <v>111970</v>
      </c>
      <c r="I40" s="990">
        <v>109963.83</v>
      </c>
      <c r="J40" s="990">
        <v>107928.71</v>
      </c>
      <c r="K40" s="990">
        <v>102693.16</v>
      </c>
      <c r="L40" s="990">
        <v>104177.16</v>
      </c>
      <c r="M40" s="990">
        <v>106377.23</v>
      </c>
      <c r="N40" s="990">
        <v>171605.27</v>
      </c>
      <c r="O40" s="990">
        <v>118490.27</v>
      </c>
      <c r="P40" s="990">
        <v>118490.27</v>
      </c>
      <c r="Q40" s="990">
        <v>122379.16</v>
      </c>
      <c r="R40" s="990">
        <v>116043.95</v>
      </c>
      <c r="S40" s="990">
        <v>123902.02</v>
      </c>
      <c r="T40" s="990">
        <v>122036.21</v>
      </c>
      <c r="U40" s="990">
        <v>122111.91</v>
      </c>
      <c r="V40" s="990">
        <v>128851.95</v>
      </c>
      <c r="W40" s="990">
        <v>125445.81</v>
      </c>
      <c r="X40" s="990">
        <v>129900.99</v>
      </c>
      <c r="Y40" s="990">
        <v>114579.18</v>
      </c>
      <c r="Z40" s="990">
        <v>161303.15</v>
      </c>
      <c r="AA40" s="990">
        <v>132329.31</v>
      </c>
      <c r="AB40" s="990">
        <v>125714.4</v>
      </c>
      <c r="AC40" s="990">
        <v>131612.26999999999</v>
      </c>
      <c r="AD40" s="990">
        <v>123255.32</v>
      </c>
      <c r="AE40" s="990">
        <v>121928.22</v>
      </c>
      <c r="AF40" s="990">
        <v>136530.62</v>
      </c>
      <c r="AG40" s="990">
        <v>136530.62</v>
      </c>
      <c r="AH40" s="990">
        <v>139860.24</v>
      </c>
      <c r="AI40" s="990">
        <v>142289.38</v>
      </c>
      <c r="AJ40" s="990">
        <v>145368.28</v>
      </c>
      <c r="AK40" s="990">
        <v>145530.22</v>
      </c>
      <c r="AL40" s="990">
        <v>147668.09</v>
      </c>
      <c r="AM40" s="990">
        <v>155913.37</v>
      </c>
      <c r="AN40" s="990">
        <v>155847.93</v>
      </c>
      <c r="AO40" s="990">
        <v>157020.44</v>
      </c>
      <c r="AP40" s="990">
        <v>157064.84</v>
      </c>
      <c r="AQ40" s="990">
        <v>156078.32</v>
      </c>
      <c r="AR40" s="990">
        <v>157903.81</v>
      </c>
      <c r="AS40" s="990">
        <v>157903.81</v>
      </c>
      <c r="AT40" s="990">
        <v>153172.75</v>
      </c>
      <c r="AU40" s="990">
        <v>153535.96</v>
      </c>
      <c r="AV40" s="990">
        <v>153987.07</v>
      </c>
      <c r="AW40" s="990">
        <v>153987.07</v>
      </c>
      <c r="AX40" s="990">
        <v>159507.56</v>
      </c>
      <c r="AY40" s="990">
        <v>146712.82999999999</v>
      </c>
      <c r="AZ40" s="990">
        <v>146712.82999999999</v>
      </c>
      <c r="BA40" s="990">
        <v>147725.92000000001</v>
      </c>
      <c r="BB40" s="990">
        <v>147915.35999999999</v>
      </c>
      <c r="BC40" s="990">
        <v>148234.85</v>
      </c>
      <c r="BD40" s="990">
        <v>155673.9</v>
      </c>
      <c r="BF40" s="978"/>
    </row>
    <row r="41" spans="1:58" ht="15" customHeight="1">
      <c r="A41" s="977" t="s">
        <v>1403</v>
      </c>
      <c r="B41" s="983" t="s">
        <v>1395</v>
      </c>
      <c r="C41" s="984" t="s">
        <v>1394</v>
      </c>
      <c r="D41" s="990">
        <v>0</v>
      </c>
      <c r="E41" s="990">
        <v>0</v>
      </c>
      <c r="F41" s="990">
        <v>0</v>
      </c>
      <c r="G41" s="990">
        <v>0</v>
      </c>
      <c r="H41" s="990">
        <v>0</v>
      </c>
      <c r="I41" s="990">
        <v>0</v>
      </c>
      <c r="J41" s="990">
        <v>0</v>
      </c>
      <c r="K41" s="990">
        <v>0</v>
      </c>
      <c r="L41" s="990">
        <v>0</v>
      </c>
      <c r="M41" s="990">
        <v>0</v>
      </c>
      <c r="N41" s="990">
        <v>-53115</v>
      </c>
      <c r="O41" s="990">
        <v>0</v>
      </c>
      <c r="P41" s="990">
        <v>0</v>
      </c>
      <c r="Q41" s="990">
        <v>0</v>
      </c>
      <c r="R41" s="990">
        <v>0</v>
      </c>
      <c r="S41" s="990">
        <v>0</v>
      </c>
      <c r="T41" s="990">
        <v>-33858.75</v>
      </c>
      <c r="U41" s="990">
        <v>-5654</v>
      </c>
      <c r="V41" s="990">
        <v>0</v>
      </c>
      <c r="W41" s="990">
        <v>0</v>
      </c>
      <c r="X41" s="990">
        <v>-20547.43</v>
      </c>
      <c r="Y41" s="990">
        <v>-20547.43</v>
      </c>
      <c r="Z41" s="990">
        <v>-20547.43</v>
      </c>
      <c r="AA41" s="990">
        <v>-20547.43</v>
      </c>
      <c r="AB41" s="990">
        <v>-20547.43</v>
      </c>
      <c r="AC41" s="990">
        <v>-32301.759999999998</v>
      </c>
      <c r="AD41" s="990">
        <v>0</v>
      </c>
      <c r="AE41" s="990">
        <v>2656.5</v>
      </c>
      <c r="AF41" s="990">
        <v>0</v>
      </c>
      <c r="AG41" s="990">
        <v>-39682.370000000003</v>
      </c>
      <c r="AH41" s="990">
        <v>0</v>
      </c>
      <c r="AI41" s="990">
        <v>0</v>
      </c>
      <c r="AJ41" s="990">
        <v>-15037.23</v>
      </c>
      <c r="AK41" s="990">
        <v>0</v>
      </c>
      <c r="AL41" s="990">
        <v>0</v>
      </c>
      <c r="AM41" s="990">
        <v>0</v>
      </c>
      <c r="AN41" s="990">
        <v>0</v>
      </c>
      <c r="AO41" s="990">
        <v>-11247.18</v>
      </c>
      <c r="AP41" s="990">
        <v>0</v>
      </c>
      <c r="AQ41" s="990">
        <v>0</v>
      </c>
      <c r="AR41" s="990">
        <v>-64287.75</v>
      </c>
      <c r="AS41" s="990">
        <v>-17901.830000000002</v>
      </c>
      <c r="AT41" s="990">
        <v>-5951.75</v>
      </c>
      <c r="AU41" s="990">
        <v>0</v>
      </c>
      <c r="AV41" s="990">
        <v>-15488.34</v>
      </c>
      <c r="AW41" s="990">
        <v>0</v>
      </c>
      <c r="AX41" s="990">
        <v>0</v>
      </c>
      <c r="AY41" s="990">
        <v>0</v>
      </c>
      <c r="AZ41" s="990">
        <v>0</v>
      </c>
      <c r="BA41" s="990">
        <v>-11247.18</v>
      </c>
      <c r="BB41" s="990">
        <v>0</v>
      </c>
      <c r="BC41" s="990">
        <v>0</v>
      </c>
      <c r="BD41" s="990">
        <v>-33858.75</v>
      </c>
      <c r="BF41" s="978"/>
    </row>
    <row r="42" spans="1:58" ht="15" customHeight="1">
      <c r="B42" s="983" t="s">
        <v>1393</v>
      </c>
      <c r="C42" s="984" t="s">
        <v>1392</v>
      </c>
      <c r="D42" s="990">
        <v>-250</v>
      </c>
      <c r="E42" s="990">
        <v>-250</v>
      </c>
      <c r="F42" s="990">
        <v>-250</v>
      </c>
      <c r="G42" s="990">
        <v>-250</v>
      </c>
      <c r="H42" s="990">
        <v>-250</v>
      </c>
      <c r="I42" s="990">
        <v>-250</v>
      </c>
      <c r="J42" s="990">
        <v>-250</v>
      </c>
      <c r="K42" s="990">
        <v>-391.67</v>
      </c>
      <c r="L42" s="990">
        <v>-250</v>
      </c>
      <c r="M42" s="990">
        <v>0</v>
      </c>
      <c r="N42" s="990">
        <v>0</v>
      </c>
      <c r="O42" s="990">
        <v>0</v>
      </c>
      <c r="P42" s="990">
        <v>0</v>
      </c>
      <c r="Q42" s="990">
        <v>0</v>
      </c>
      <c r="R42" s="990">
        <v>0</v>
      </c>
      <c r="S42" s="990">
        <v>0</v>
      </c>
      <c r="T42" s="990">
        <v>0</v>
      </c>
      <c r="U42" s="990">
        <v>0</v>
      </c>
      <c r="V42" s="990">
        <v>0</v>
      </c>
      <c r="W42" s="990">
        <v>0</v>
      </c>
      <c r="X42" s="990">
        <v>0</v>
      </c>
      <c r="Y42" s="990">
        <v>0</v>
      </c>
      <c r="Z42" s="990">
        <v>0</v>
      </c>
      <c r="AA42" s="990">
        <v>0</v>
      </c>
      <c r="AB42" s="990">
        <v>0</v>
      </c>
      <c r="AC42" s="990">
        <v>0</v>
      </c>
      <c r="AD42" s="990">
        <v>0</v>
      </c>
      <c r="AE42" s="990">
        <v>0</v>
      </c>
      <c r="AF42" s="990">
        <v>0</v>
      </c>
      <c r="AG42" s="990">
        <v>0</v>
      </c>
      <c r="AH42" s="990">
        <v>0</v>
      </c>
      <c r="AI42" s="990">
        <v>0</v>
      </c>
      <c r="AJ42" s="990">
        <v>0</v>
      </c>
      <c r="AK42" s="990">
        <v>0</v>
      </c>
      <c r="AL42" s="990">
        <v>0</v>
      </c>
      <c r="AM42" s="990">
        <v>-6085.8</v>
      </c>
      <c r="AN42" s="990">
        <v>-3926.32</v>
      </c>
      <c r="AO42" s="990">
        <v>0</v>
      </c>
      <c r="AP42" s="990">
        <v>0</v>
      </c>
      <c r="AQ42" s="990">
        <v>0</v>
      </c>
      <c r="AR42" s="990">
        <v>0</v>
      </c>
      <c r="AS42" s="990">
        <v>0</v>
      </c>
      <c r="AT42" s="990">
        <v>0</v>
      </c>
      <c r="AU42" s="990">
        <v>0</v>
      </c>
      <c r="AV42" s="990">
        <v>0</v>
      </c>
      <c r="AW42" s="990">
        <v>0</v>
      </c>
      <c r="AX42" s="990">
        <v>0</v>
      </c>
      <c r="AY42" s="990">
        <v>0</v>
      </c>
      <c r="AZ42" s="990">
        <v>0</v>
      </c>
      <c r="BA42" s="990">
        <v>0</v>
      </c>
      <c r="BB42" s="990">
        <v>0</v>
      </c>
      <c r="BC42" s="990">
        <v>0</v>
      </c>
      <c r="BD42" s="990">
        <v>0</v>
      </c>
      <c r="BF42" s="978"/>
    </row>
    <row r="43" spans="1:58" ht="15" customHeight="1">
      <c r="B43" s="983" t="s">
        <v>1391</v>
      </c>
      <c r="C43" s="984" t="s">
        <v>1390</v>
      </c>
      <c r="D43" s="990">
        <v>0</v>
      </c>
      <c r="E43" s="990">
        <v>0</v>
      </c>
      <c r="F43" s="990">
        <v>0</v>
      </c>
      <c r="G43" s="990">
        <v>0</v>
      </c>
      <c r="H43" s="990">
        <v>0</v>
      </c>
      <c r="I43" s="990">
        <v>0</v>
      </c>
      <c r="J43" s="990">
        <v>0</v>
      </c>
      <c r="K43" s="990">
        <v>0</v>
      </c>
      <c r="L43" s="990">
        <v>789.18</v>
      </c>
      <c r="M43" s="990">
        <v>0</v>
      </c>
      <c r="N43" s="990">
        <v>0</v>
      </c>
      <c r="O43" s="990">
        <v>0</v>
      </c>
      <c r="P43" s="990">
        <v>0</v>
      </c>
      <c r="Q43" s="990">
        <v>0</v>
      </c>
      <c r="R43" s="990">
        <v>0</v>
      </c>
      <c r="S43" s="990">
        <v>0</v>
      </c>
      <c r="T43" s="990">
        <v>0</v>
      </c>
      <c r="U43" s="990">
        <v>0</v>
      </c>
      <c r="V43" s="990">
        <v>0</v>
      </c>
      <c r="W43" s="990">
        <v>0</v>
      </c>
      <c r="X43" s="990">
        <v>0</v>
      </c>
      <c r="Y43" s="990">
        <v>0</v>
      </c>
      <c r="Z43" s="990">
        <v>0</v>
      </c>
      <c r="AA43" s="990">
        <v>0</v>
      </c>
      <c r="AB43" s="990">
        <v>0</v>
      </c>
      <c r="AC43" s="990">
        <v>0</v>
      </c>
      <c r="AD43" s="990">
        <v>0</v>
      </c>
      <c r="AE43" s="990">
        <v>0</v>
      </c>
      <c r="AF43" s="990">
        <v>0</v>
      </c>
      <c r="AG43" s="990">
        <v>0</v>
      </c>
      <c r="AH43" s="990">
        <v>0</v>
      </c>
      <c r="AI43" s="990">
        <v>0</v>
      </c>
      <c r="AJ43" s="990">
        <v>0</v>
      </c>
      <c r="AK43" s="990">
        <v>0</v>
      </c>
      <c r="AL43" s="990">
        <v>0</v>
      </c>
      <c r="AM43" s="990">
        <v>0</v>
      </c>
      <c r="AN43" s="990">
        <v>0</v>
      </c>
      <c r="AO43" s="990">
        <v>0</v>
      </c>
      <c r="AP43" s="990">
        <v>0</v>
      </c>
      <c r="AQ43" s="990">
        <v>0</v>
      </c>
      <c r="AR43" s="990">
        <v>0</v>
      </c>
      <c r="AS43" s="990">
        <v>0</v>
      </c>
      <c r="AT43" s="990">
        <v>0</v>
      </c>
      <c r="AU43" s="990">
        <v>0</v>
      </c>
      <c r="AV43" s="990">
        <v>0</v>
      </c>
      <c r="AW43" s="990">
        <v>0</v>
      </c>
      <c r="AX43" s="990">
        <v>0</v>
      </c>
      <c r="AY43" s="990">
        <v>0</v>
      </c>
      <c r="AZ43" s="990">
        <v>0</v>
      </c>
      <c r="BA43" s="990">
        <v>0</v>
      </c>
      <c r="BB43" s="990">
        <v>0</v>
      </c>
      <c r="BC43" s="990">
        <v>0</v>
      </c>
      <c r="BD43" s="990">
        <v>0</v>
      </c>
      <c r="BF43" s="978"/>
    </row>
    <row r="44" spans="1:58" ht="15" customHeight="1">
      <c r="B44" s="983" t="s">
        <v>953</v>
      </c>
      <c r="C44" s="984" t="s">
        <v>952</v>
      </c>
      <c r="D44" s="986">
        <v>111194.69</v>
      </c>
      <c r="E44" s="986">
        <v>112085.59</v>
      </c>
      <c r="F44" s="986">
        <v>116376.49</v>
      </c>
      <c r="G44" s="986">
        <v>111895.84</v>
      </c>
      <c r="H44" s="986">
        <v>111720</v>
      </c>
      <c r="I44" s="986">
        <v>109713.83</v>
      </c>
      <c r="J44" s="986">
        <v>107678.71</v>
      </c>
      <c r="K44" s="986">
        <v>102301.49</v>
      </c>
      <c r="L44" s="986">
        <v>104716.34</v>
      </c>
      <c r="M44" s="986">
        <v>106377.23</v>
      </c>
      <c r="N44" s="986">
        <v>118490.27</v>
      </c>
      <c r="O44" s="986">
        <v>118490.27</v>
      </c>
      <c r="P44" s="986">
        <v>118490.27</v>
      </c>
      <c r="Q44" s="986">
        <v>122379.16</v>
      </c>
      <c r="R44" s="986">
        <v>116043.95</v>
      </c>
      <c r="S44" s="986">
        <v>123902.02</v>
      </c>
      <c r="T44" s="986">
        <v>88177.46</v>
      </c>
      <c r="U44" s="986">
        <v>116457.91</v>
      </c>
      <c r="V44" s="986">
        <v>128851.95</v>
      </c>
      <c r="W44" s="986">
        <v>125445.81</v>
      </c>
      <c r="X44" s="986">
        <v>109353.56</v>
      </c>
      <c r="Y44" s="986">
        <v>94031.75</v>
      </c>
      <c r="Z44" s="986">
        <v>140755.72</v>
      </c>
      <c r="AA44" s="986">
        <v>111781.88</v>
      </c>
      <c r="AB44" s="986">
        <v>105166.97</v>
      </c>
      <c r="AC44" s="986">
        <v>99310.51</v>
      </c>
      <c r="AD44" s="986">
        <v>123255.32</v>
      </c>
      <c r="AE44" s="986">
        <v>124584.72</v>
      </c>
      <c r="AF44" s="986">
        <v>136530.62</v>
      </c>
      <c r="AG44" s="986">
        <v>96848.25</v>
      </c>
      <c r="AH44" s="986">
        <v>139860.24</v>
      </c>
      <c r="AI44" s="986">
        <v>142289.38</v>
      </c>
      <c r="AJ44" s="986">
        <v>130331.05</v>
      </c>
      <c r="AK44" s="986">
        <v>145530.22</v>
      </c>
      <c r="AL44" s="986">
        <v>147668.09</v>
      </c>
      <c r="AM44" s="986">
        <v>149827.57</v>
      </c>
      <c r="AN44" s="986">
        <v>151921.60999999999</v>
      </c>
      <c r="AO44" s="986">
        <v>145773.26</v>
      </c>
      <c r="AP44" s="986">
        <v>157064.84</v>
      </c>
      <c r="AQ44" s="986">
        <v>156078.32</v>
      </c>
      <c r="AR44" s="986">
        <v>93616.06</v>
      </c>
      <c r="AS44" s="986">
        <v>140001.98000000001</v>
      </c>
      <c r="AT44" s="986">
        <v>147221</v>
      </c>
      <c r="AU44" s="986">
        <v>153535.96</v>
      </c>
      <c r="AV44" s="986">
        <v>138498.73000000001</v>
      </c>
      <c r="AW44" s="986">
        <v>153987.07</v>
      </c>
      <c r="AX44" s="986">
        <v>159507.56</v>
      </c>
      <c r="AY44" s="986">
        <v>146712.82999999999</v>
      </c>
      <c r="AZ44" s="986">
        <v>146712.82999999999</v>
      </c>
      <c r="BA44" s="986">
        <v>136478.74</v>
      </c>
      <c r="BB44" s="986">
        <v>147915.35999999999</v>
      </c>
      <c r="BC44" s="986">
        <v>148234.85</v>
      </c>
      <c r="BD44" s="986">
        <v>121815.15</v>
      </c>
      <c r="BF44" s="978"/>
    </row>
    <row r="45" spans="1:58" ht="15" customHeight="1">
      <c r="A45" s="977" t="s">
        <v>1389</v>
      </c>
      <c r="B45" s="983" t="s">
        <v>951</v>
      </c>
      <c r="C45" s="984" t="s">
        <v>950</v>
      </c>
      <c r="D45" s="986">
        <v>111194.69</v>
      </c>
      <c r="E45" s="986">
        <v>112085.59</v>
      </c>
      <c r="F45" s="986">
        <v>116376.49</v>
      </c>
      <c r="G45" s="986">
        <v>111895.84</v>
      </c>
      <c r="H45" s="986">
        <v>111720</v>
      </c>
      <c r="I45" s="986">
        <v>109713.83</v>
      </c>
      <c r="J45" s="986">
        <v>107678.71</v>
      </c>
      <c r="K45" s="986">
        <v>102301.49</v>
      </c>
      <c r="L45" s="986">
        <v>104716.34</v>
      </c>
      <c r="M45" s="986">
        <v>106377.23</v>
      </c>
      <c r="N45" s="986">
        <v>244142.03</v>
      </c>
      <c r="O45" s="986">
        <v>-7161.49</v>
      </c>
      <c r="P45" s="986">
        <v>118490.27</v>
      </c>
      <c r="Q45" s="986">
        <v>122379.16</v>
      </c>
      <c r="R45" s="986">
        <v>116043.95</v>
      </c>
      <c r="S45" s="986">
        <v>123902.02</v>
      </c>
      <c r="T45" s="986">
        <v>88177.46</v>
      </c>
      <c r="U45" s="986">
        <v>116457.91</v>
      </c>
      <c r="V45" s="986">
        <v>128851.95</v>
      </c>
      <c r="W45" s="986">
        <v>125445.81</v>
      </c>
      <c r="X45" s="986">
        <v>109353.56</v>
      </c>
      <c r="Y45" s="986">
        <v>94031.75</v>
      </c>
      <c r="Z45" s="986">
        <v>140755.72</v>
      </c>
      <c r="AA45" s="986">
        <v>111781.88</v>
      </c>
      <c r="AB45" s="986">
        <v>105166.97</v>
      </c>
      <c r="AC45" s="986">
        <v>99310.51</v>
      </c>
      <c r="AD45" s="986">
        <v>123255.32</v>
      </c>
      <c r="AE45" s="986">
        <v>124584.72</v>
      </c>
      <c r="AF45" s="986">
        <v>136530.62</v>
      </c>
      <c r="AG45" s="986">
        <v>96848.25</v>
      </c>
      <c r="AH45" s="986">
        <v>139860.24</v>
      </c>
      <c r="AI45" s="986">
        <v>142289.38</v>
      </c>
      <c r="AJ45" s="986">
        <v>130331.05</v>
      </c>
      <c r="AK45" s="986">
        <v>145530.22</v>
      </c>
      <c r="AL45" s="986">
        <v>147668.09</v>
      </c>
      <c r="AM45" s="986">
        <v>149827.57</v>
      </c>
      <c r="AN45" s="986">
        <v>151921.60999999999</v>
      </c>
      <c r="AO45" s="986">
        <v>145773.26</v>
      </c>
      <c r="AP45" s="986">
        <v>157064.84</v>
      </c>
      <c r="AQ45" s="986">
        <v>156078.32</v>
      </c>
      <c r="AR45" s="986">
        <v>93616.06</v>
      </c>
      <c r="AS45" s="986">
        <v>140001.98000000001</v>
      </c>
      <c r="AT45" s="986">
        <v>169411.32</v>
      </c>
      <c r="AU45" s="986">
        <v>131345.64000000001</v>
      </c>
      <c r="AV45" s="986">
        <v>138498.73000000001</v>
      </c>
      <c r="AW45" s="986">
        <v>153987.07</v>
      </c>
      <c r="AX45" s="986">
        <v>159507.56</v>
      </c>
      <c r="AY45" s="986">
        <v>146712.82999999999</v>
      </c>
      <c r="AZ45" s="986">
        <v>146712.82999999999</v>
      </c>
      <c r="BA45" s="986">
        <v>136478.74</v>
      </c>
      <c r="BB45" s="986">
        <v>147915.35999999999</v>
      </c>
      <c r="BC45" s="986">
        <v>148234.85</v>
      </c>
      <c r="BD45" s="986">
        <v>121815.15</v>
      </c>
      <c r="BF45" s="978"/>
    </row>
    <row r="46" spans="1:58" ht="15" customHeight="1">
      <c r="B46" s="983" t="s">
        <v>949</v>
      </c>
      <c r="C46" s="984" t="s">
        <v>948</v>
      </c>
      <c r="D46" s="989"/>
      <c r="E46" s="989"/>
      <c r="F46" s="989"/>
      <c r="G46" s="989"/>
      <c r="H46" s="989"/>
      <c r="I46" s="989"/>
      <c r="J46" s="989"/>
      <c r="K46" s="989"/>
      <c r="L46" s="989"/>
      <c r="M46" s="989"/>
      <c r="N46" s="989"/>
      <c r="O46" s="989"/>
      <c r="P46" s="989"/>
      <c r="Q46" s="989"/>
      <c r="R46" s="989"/>
      <c r="S46" s="989"/>
      <c r="T46" s="989"/>
      <c r="U46" s="989"/>
      <c r="V46" s="989"/>
      <c r="W46" s="989"/>
      <c r="X46" s="989"/>
      <c r="Y46" s="989"/>
      <c r="Z46" s="989"/>
      <c r="AA46" s="989"/>
      <c r="AB46" s="989"/>
      <c r="AC46" s="989"/>
      <c r="AD46" s="989"/>
      <c r="AE46" s="989"/>
      <c r="AF46" s="989"/>
      <c r="AG46" s="989"/>
      <c r="AH46" s="989"/>
      <c r="AI46" s="989"/>
      <c r="AJ46" s="989"/>
      <c r="AK46" s="989"/>
      <c r="AL46" s="989"/>
      <c r="AM46" s="989"/>
      <c r="AN46" s="989"/>
      <c r="AO46" s="989"/>
      <c r="AP46" s="989"/>
      <c r="AQ46" s="989"/>
      <c r="AR46" s="989"/>
      <c r="AS46" s="989"/>
      <c r="AT46" s="989"/>
      <c r="AU46" s="989"/>
      <c r="AV46" s="989"/>
      <c r="AW46" s="989"/>
      <c r="AX46" s="989"/>
      <c r="AY46" s="989"/>
      <c r="AZ46" s="989"/>
      <c r="BA46" s="989"/>
      <c r="BB46" s="989"/>
      <c r="BC46" s="989"/>
      <c r="BD46" s="989"/>
      <c r="BF46" s="978"/>
    </row>
    <row r="47" spans="1:58" ht="15" customHeight="1">
      <c r="B47" s="983" t="s">
        <v>947</v>
      </c>
      <c r="C47" s="984" t="s">
        <v>946</v>
      </c>
      <c r="D47" s="989"/>
      <c r="E47" s="989"/>
      <c r="F47" s="989"/>
      <c r="G47" s="989"/>
      <c r="H47" s="989"/>
      <c r="I47" s="989"/>
      <c r="J47" s="989"/>
      <c r="K47" s="989"/>
      <c r="L47" s="989"/>
      <c r="M47" s="989"/>
      <c r="N47" s="989"/>
      <c r="O47" s="989"/>
      <c r="P47" s="989"/>
      <c r="Q47" s="989"/>
      <c r="R47" s="989"/>
      <c r="S47" s="989"/>
      <c r="T47" s="989"/>
      <c r="U47" s="989"/>
      <c r="V47" s="989"/>
      <c r="W47" s="989"/>
      <c r="X47" s="989"/>
      <c r="Y47" s="989"/>
      <c r="Z47" s="989"/>
      <c r="AA47" s="989"/>
      <c r="AB47" s="989"/>
      <c r="AC47" s="989"/>
      <c r="AD47" s="989"/>
      <c r="AE47" s="989"/>
      <c r="AF47" s="989"/>
      <c r="AG47" s="989"/>
      <c r="AH47" s="989"/>
      <c r="AI47" s="989"/>
      <c r="AJ47" s="989"/>
      <c r="AK47" s="989"/>
      <c r="AL47" s="989"/>
      <c r="AM47" s="989"/>
      <c r="AN47" s="989"/>
      <c r="AO47" s="989"/>
      <c r="AP47" s="989"/>
      <c r="AQ47" s="989"/>
      <c r="AR47" s="989"/>
      <c r="AS47" s="989"/>
      <c r="AT47" s="989"/>
      <c r="AU47" s="989"/>
      <c r="AV47" s="989"/>
      <c r="AW47" s="989"/>
      <c r="AX47" s="989"/>
      <c r="AY47" s="989"/>
      <c r="AZ47" s="989"/>
      <c r="BA47" s="989"/>
      <c r="BB47" s="989"/>
      <c r="BC47" s="989"/>
      <c r="BD47" s="989"/>
      <c r="BF47" s="978"/>
    </row>
    <row r="48" spans="1:58" ht="15" customHeight="1">
      <c r="B48" s="983" t="s">
        <v>945</v>
      </c>
      <c r="C48" s="984" t="s">
        <v>944</v>
      </c>
      <c r="D48" s="990">
        <v>62984.53</v>
      </c>
      <c r="E48" s="990">
        <v>62984.53</v>
      </c>
      <c r="F48" s="990">
        <v>62984.53</v>
      </c>
      <c r="G48" s="990">
        <v>65058.19</v>
      </c>
      <c r="H48" s="990">
        <v>61244.28</v>
      </c>
      <c r="I48" s="990">
        <v>60352.83</v>
      </c>
      <c r="J48" s="990">
        <v>59857.75</v>
      </c>
      <c r="K48" s="990">
        <v>113294.43</v>
      </c>
      <c r="L48" s="990">
        <v>89276</v>
      </c>
      <c r="M48" s="990">
        <v>69749.03</v>
      </c>
      <c r="N48" s="990">
        <v>91323</v>
      </c>
      <c r="O48" s="990">
        <v>88087</v>
      </c>
      <c r="P48" s="990">
        <v>88087</v>
      </c>
      <c r="Q48" s="990">
        <v>87988</v>
      </c>
      <c r="R48" s="990">
        <v>78706.600000000006</v>
      </c>
      <c r="S48" s="990">
        <v>84932.5</v>
      </c>
      <c r="T48" s="990">
        <v>82540</v>
      </c>
      <c r="U48" s="990">
        <v>82457.5</v>
      </c>
      <c r="V48" s="990">
        <v>90012</v>
      </c>
      <c r="W48" s="990">
        <v>82708</v>
      </c>
      <c r="X48" s="990">
        <v>85545</v>
      </c>
      <c r="Y48" s="990">
        <v>79045</v>
      </c>
      <c r="Z48" s="990">
        <v>79045</v>
      </c>
      <c r="AA48" s="990">
        <v>85580</v>
      </c>
      <c r="AB48" s="990">
        <v>85580</v>
      </c>
      <c r="AC48" s="990">
        <v>79927.740000000005</v>
      </c>
      <c r="AD48" s="990">
        <v>76664</v>
      </c>
      <c r="AE48" s="990">
        <v>79493.740000000005</v>
      </c>
      <c r="AF48" s="990">
        <v>82867.22</v>
      </c>
      <c r="AG48" s="990">
        <v>103635.47</v>
      </c>
      <c r="AH48" s="990">
        <v>90144.75</v>
      </c>
      <c r="AI48" s="990">
        <v>91391.82</v>
      </c>
      <c r="AJ48" s="990">
        <v>92747.61</v>
      </c>
      <c r="AK48" s="990">
        <v>92830.75</v>
      </c>
      <c r="AL48" s="990">
        <v>93932.81</v>
      </c>
      <c r="AM48" s="990">
        <v>98524.75</v>
      </c>
      <c r="AN48" s="990">
        <v>98524.75</v>
      </c>
      <c r="AO48" s="990">
        <v>98642.45</v>
      </c>
      <c r="AP48" s="990">
        <v>98961.42</v>
      </c>
      <c r="AQ48" s="990">
        <v>96492.75</v>
      </c>
      <c r="AR48" s="990">
        <v>96492.75</v>
      </c>
      <c r="AS48" s="990">
        <v>106034.71</v>
      </c>
      <c r="AT48" s="990">
        <v>101403</v>
      </c>
      <c r="AU48" s="990">
        <v>101403</v>
      </c>
      <c r="AV48" s="990">
        <v>101403</v>
      </c>
      <c r="AW48" s="990">
        <v>101403</v>
      </c>
      <c r="AX48" s="990">
        <v>110094</v>
      </c>
      <c r="AY48" s="990">
        <v>94673</v>
      </c>
      <c r="AZ48" s="990">
        <v>94673</v>
      </c>
      <c r="BA48" s="990">
        <v>102586.31</v>
      </c>
      <c r="BB48" s="990">
        <v>77217.73</v>
      </c>
      <c r="BC48" s="990">
        <v>102586.31</v>
      </c>
      <c r="BD48" s="990">
        <v>94673</v>
      </c>
      <c r="BF48" s="978"/>
    </row>
    <row r="49" spans="1:58" ht="15" customHeight="1">
      <c r="B49" s="983" t="s">
        <v>1388</v>
      </c>
      <c r="C49" s="984" t="s">
        <v>1387</v>
      </c>
      <c r="D49" s="990">
        <v>0</v>
      </c>
      <c r="E49" s="990">
        <v>0</v>
      </c>
      <c r="F49" s="990">
        <v>0</v>
      </c>
      <c r="G49" s="990">
        <v>0</v>
      </c>
      <c r="H49" s="990">
        <v>0</v>
      </c>
      <c r="I49" s="990">
        <v>0</v>
      </c>
      <c r="J49" s="990">
        <v>5132.96</v>
      </c>
      <c r="K49" s="990">
        <v>6855.69</v>
      </c>
      <c r="L49" s="990">
        <v>0</v>
      </c>
      <c r="M49" s="990">
        <v>107799.47</v>
      </c>
      <c r="N49" s="990">
        <v>1403.54</v>
      </c>
      <c r="O49" s="990">
        <v>0</v>
      </c>
      <c r="P49" s="990">
        <v>0</v>
      </c>
      <c r="Q49" s="990">
        <v>0</v>
      </c>
      <c r="R49" s="990">
        <v>0</v>
      </c>
      <c r="S49" s="990">
        <v>0</v>
      </c>
      <c r="T49" s="990">
        <v>0</v>
      </c>
      <c r="U49" s="990">
        <v>0</v>
      </c>
      <c r="V49" s="990">
        <v>0</v>
      </c>
      <c r="W49" s="990">
        <v>0</v>
      </c>
      <c r="X49" s="990">
        <v>0</v>
      </c>
      <c r="Y49" s="990">
        <v>4117.3100000000004</v>
      </c>
      <c r="Z49" s="990">
        <v>0</v>
      </c>
      <c r="AA49" s="990">
        <v>0</v>
      </c>
      <c r="AB49" s="990">
        <v>0</v>
      </c>
      <c r="AC49" s="990">
        <v>2226.4699999999998</v>
      </c>
      <c r="AD49" s="990">
        <v>0</v>
      </c>
      <c r="AE49" s="990">
        <v>0</v>
      </c>
      <c r="AF49" s="990">
        <v>0</v>
      </c>
      <c r="AG49" s="990">
        <v>0</v>
      </c>
      <c r="AH49" s="990">
        <v>0</v>
      </c>
      <c r="AI49" s="990">
        <v>0</v>
      </c>
      <c r="AJ49" s="990">
        <v>0</v>
      </c>
      <c r="AK49" s="990">
        <v>0</v>
      </c>
      <c r="AL49" s="990">
        <v>0</v>
      </c>
      <c r="AM49" s="990">
        <v>0</v>
      </c>
      <c r="AN49" s="990">
        <v>-950.7</v>
      </c>
      <c r="AO49" s="990">
        <v>0</v>
      </c>
      <c r="AP49" s="990">
        <v>0</v>
      </c>
      <c r="AQ49" s="990">
        <v>0</v>
      </c>
      <c r="AR49" s="990">
        <v>0</v>
      </c>
      <c r="AS49" s="990">
        <v>0</v>
      </c>
      <c r="AT49" s="990">
        <v>0</v>
      </c>
      <c r="AU49" s="990">
        <v>0</v>
      </c>
      <c r="AV49" s="990">
        <v>0</v>
      </c>
      <c r="AW49" s="990">
        <v>0</v>
      </c>
      <c r="AX49" s="990">
        <v>0</v>
      </c>
      <c r="AY49" s="990">
        <v>0</v>
      </c>
      <c r="AZ49" s="990">
        <v>0</v>
      </c>
      <c r="BA49" s="990">
        <v>0</v>
      </c>
      <c r="BB49" s="990">
        <v>17455.27</v>
      </c>
      <c r="BC49" s="990">
        <v>-7913.31</v>
      </c>
      <c r="BD49" s="990">
        <v>0</v>
      </c>
      <c r="BF49" s="978"/>
    </row>
    <row r="50" spans="1:58" ht="15" customHeight="1">
      <c r="B50" s="983" t="s">
        <v>1386</v>
      </c>
      <c r="C50" s="984" t="s">
        <v>1385</v>
      </c>
      <c r="D50" s="990">
        <v>0</v>
      </c>
      <c r="E50" s="990">
        <v>0</v>
      </c>
      <c r="F50" s="990">
        <v>0</v>
      </c>
      <c r="G50" s="990">
        <v>0</v>
      </c>
      <c r="H50" s="990">
        <v>0</v>
      </c>
      <c r="I50" s="990">
        <v>0</v>
      </c>
      <c r="J50" s="990">
        <v>0</v>
      </c>
      <c r="K50" s="990">
        <v>0</v>
      </c>
      <c r="L50" s="990">
        <v>0</v>
      </c>
      <c r="M50" s="990">
        <v>0</v>
      </c>
      <c r="N50" s="990">
        <v>0</v>
      </c>
      <c r="O50" s="990">
        <v>0</v>
      </c>
      <c r="P50" s="990">
        <v>0</v>
      </c>
      <c r="Q50" s="990">
        <v>0</v>
      </c>
      <c r="R50" s="990">
        <v>0</v>
      </c>
      <c r="S50" s="990">
        <v>0</v>
      </c>
      <c r="T50" s="990">
        <v>0</v>
      </c>
      <c r="U50" s="990">
        <v>0</v>
      </c>
      <c r="V50" s="990">
        <v>0</v>
      </c>
      <c r="W50" s="990">
        <v>0</v>
      </c>
      <c r="X50" s="990">
        <v>0</v>
      </c>
      <c r="Y50" s="990">
        <v>0</v>
      </c>
      <c r="Z50" s="990">
        <v>0</v>
      </c>
      <c r="AA50" s="990">
        <v>-7756</v>
      </c>
      <c r="AB50" s="990">
        <v>-7756</v>
      </c>
      <c r="AC50" s="990">
        <v>-7756</v>
      </c>
      <c r="AD50" s="990">
        <v>0</v>
      </c>
      <c r="AE50" s="990">
        <v>0</v>
      </c>
      <c r="AF50" s="990">
        <v>0</v>
      </c>
      <c r="AG50" s="990">
        <v>0</v>
      </c>
      <c r="AH50" s="990">
        <v>0</v>
      </c>
      <c r="AI50" s="990">
        <v>0</v>
      </c>
      <c r="AJ50" s="990">
        <v>-8196</v>
      </c>
      <c r="AK50" s="990">
        <v>0</v>
      </c>
      <c r="AL50" s="990">
        <v>0</v>
      </c>
      <c r="AM50" s="990">
        <v>0</v>
      </c>
      <c r="AN50" s="990">
        <v>0</v>
      </c>
      <c r="AO50" s="990">
        <v>0</v>
      </c>
      <c r="AP50" s="990">
        <v>0</v>
      </c>
      <c r="AQ50" s="990">
        <v>0</v>
      </c>
      <c r="AR50" s="990">
        <v>-17082</v>
      </c>
      <c r="AS50" s="990">
        <v>-7062</v>
      </c>
      <c r="AT50" s="990">
        <v>-3672</v>
      </c>
      <c r="AU50" s="990">
        <v>0</v>
      </c>
      <c r="AV50" s="990">
        <v>-8827</v>
      </c>
      <c r="AW50" s="990">
        <v>-12443.25</v>
      </c>
      <c r="AX50" s="990">
        <v>0</v>
      </c>
      <c r="AY50" s="990">
        <v>0</v>
      </c>
      <c r="AZ50" s="990">
        <v>0</v>
      </c>
      <c r="BA50" s="990">
        <v>0</v>
      </c>
      <c r="BB50" s="990">
        <v>0</v>
      </c>
      <c r="BC50" s="990">
        <v>0</v>
      </c>
      <c r="BD50" s="990">
        <v>0</v>
      </c>
      <c r="BF50" s="978"/>
    </row>
    <row r="51" spans="1:58" ht="15" customHeight="1">
      <c r="B51" s="983" t="s">
        <v>943</v>
      </c>
      <c r="C51" s="984" t="s">
        <v>942</v>
      </c>
      <c r="D51" s="986">
        <v>62984.53</v>
      </c>
      <c r="E51" s="986">
        <v>62984.53</v>
      </c>
      <c r="F51" s="986">
        <v>62984.53</v>
      </c>
      <c r="G51" s="986">
        <v>65058.19</v>
      </c>
      <c r="H51" s="986">
        <v>61244.28</v>
      </c>
      <c r="I51" s="986">
        <v>60352.83</v>
      </c>
      <c r="J51" s="986">
        <v>64990.71</v>
      </c>
      <c r="K51" s="986">
        <v>120150.12</v>
      </c>
      <c r="L51" s="986">
        <v>89276</v>
      </c>
      <c r="M51" s="986">
        <v>177548.5</v>
      </c>
      <c r="N51" s="986">
        <v>92726.54</v>
      </c>
      <c r="O51" s="986">
        <v>88087</v>
      </c>
      <c r="P51" s="986">
        <v>88087</v>
      </c>
      <c r="Q51" s="986">
        <v>87988</v>
      </c>
      <c r="R51" s="986">
        <v>78706.600000000006</v>
      </c>
      <c r="S51" s="986">
        <v>84932.5</v>
      </c>
      <c r="T51" s="986">
        <v>82540</v>
      </c>
      <c r="U51" s="986">
        <v>82457.5</v>
      </c>
      <c r="V51" s="986">
        <v>90012</v>
      </c>
      <c r="W51" s="986">
        <v>82708</v>
      </c>
      <c r="X51" s="986">
        <v>85545</v>
      </c>
      <c r="Y51" s="986">
        <v>83162.31</v>
      </c>
      <c r="Z51" s="986">
        <v>79045</v>
      </c>
      <c r="AA51" s="986">
        <v>77824</v>
      </c>
      <c r="AB51" s="986">
        <v>77824</v>
      </c>
      <c r="AC51" s="986">
        <v>74398.210000000006</v>
      </c>
      <c r="AD51" s="986">
        <v>76664</v>
      </c>
      <c r="AE51" s="986">
        <v>79493.740000000005</v>
      </c>
      <c r="AF51" s="986">
        <v>82867.22</v>
      </c>
      <c r="AG51" s="986">
        <v>103635.47</v>
      </c>
      <c r="AH51" s="986">
        <v>90144.75</v>
      </c>
      <c r="AI51" s="986">
        <v>91391.82</v>
      </c>
      <c r="AJ51" s="986">
        <v>84551.61</v>
      </c>
      <c r="AK51" s="986">
        <v>92830.75</v>
      </c>
      <c r="AL51" s="986">
        <v>93932.81</v>
      </c>
      <c r="AM51" s="986">
        <v>98524.75</v>
      </c>
      <c r="AN51" s="986">
        <v>97574.05</v>
      </c>
      <c r="AO51" s="986">
        <v>98642.45</v>
      </c>
      <c r="AP51" s="986">
        <v>98961.42</v>
      </c>
      <c r="AQ51" s="986">
        <v>96492.75</v>
      </c>
      <c r="AR51" s="986">
        <v>79410.75</v>
      </c>
      <c r="AS51" s="986">
        <v>98972.71</v>
      </c>
      <c r="AT51" s="986">
        <v>97731</v>
      </c>
      <c r="AU51" s="986">
        <v>101403</v>
      </c>
      <c r="AV51" s="986">
        <v>92576</v>
      </c>
      <c r="AW51" s="986">
        <v>88959.75</v>
      </c>
      <c r="AX51" s="986">
        <v>110094</v>
      </c>
      <c r="AY51" s="986">
        <v>94673</v>
      </c>
      <c r="AZ51" s="986">
        <v>94673</v>
      </c>
      <c r="BA51" s="986">
        <v>102586.31</v>
      </c>
      <c r="BB51" s="986">
        <v>94673</v>
      </c>
      <c r="BC51" s="986">
        <v>94673</v>
      </c>
      <c r="BD51" s="986">
        <v>94673</v>
      </c>
      <c r="BF51" s="978"/>
    </row>
    <row r="52" spans="1:58" ht="15" customHeight="1">
      <c r="B52" s="983" t="s">
        <v>1384</v>
      </c>
      <c r="C52" s="984" t="s">
        <v>1383</v>
      </c>
      <c r="D52" s="989"/>
      <c r="E52" s="989"/>
      <c r="F52" s="989"/>
      <c r="G52" s="989"/>
      <c r="H52" s="989"/>
      <c r="I52" s="989"/>
      <c r="J52" s="989"/>
      <c r="K52" s="989"/>
      <c r="L52" s="989"/>
      <c r="M52" s="989"/>
      <c r="N52" s="989"/>
      <c r="O52" s="989"/>
      <c r="P52" s="989"/>
      <c r="Q52" s="989"/>
      <c r="R52" s="989"/>
      <c r="S52" s="989"/>
      <c r="T52" s="989"/>
      <c r="U52" s="989"/>
      <c r="V52" s="989"/>
      <c r="W52" s="989"/>
      <c r="X52" s="989"/>
      <c r="Y52" s="989"/>
      <c r="Z52" s="989"/>
      <c r="AA52" s="989"/>
      <c r="AB52" s="989"/>
      <c r="AC52" s="989"/>
      <c r="AD52" s="989"/>
      <c r="AE52" s="989"/>
      <c r="AF52" s="989"/>
      <c r="AG52" s="989"/>
      <c r="AH52" s="989"/>
      <c r="AI52" s="989"/>
      <c r="AJ52" s="989"/>
      <c r="AK52" s="989"/>
      <c r="AL52" s="989"/>
      <c r="AM52" s="989"/>
      <c r="AN52" s="989"/>
      <c r="AO52" s="989"/>
      <c r="AP52" s="989"/>
      <c r="AQ52" s="989"/>
      <c r="AR52" s="989"/>
      <c r="AS52" s="989"/>
      <c r="AT52" s="989"/>
      <c r="AU52" s="989"/>
      <c r="AV52" s="989"/>
      <c r="AW52" s="989"/>
      <c r="AX52" s="989"/>
      <c r="AY52" s="989"/>
      <c r="AZ52" s="989"/>
      <c r="BA52" s="989"/>
      <c r="BB52" s="989"/>
      <c r="BC52" s="989"/>
      <c r="BD52" s="989"/>
      <c r="BF52" s="978"/>
    </row>
    <row r="53" spans="1:58" ht="15" customHeight="1">
      <c r="B53" s="983" t="s">
        <v>1382</v>
      </c>
      <c r="C53" s="984" t="s">
        <v>1381</v>
      </c>
      <c r="D53" s="989"/>
      <c r="E53" s="989"/>
      <c r="F53" s="989"/>
      <c r="G53" s="989"/>
      <c r="H53" s="989"/>
      <c r="I53" s="989"/>
      <c r="J53" s="989"/>
      <c r="K53" s="989"/>
      <c r="L53" s="989"/>
      <c r="M53" s="989"/>
      <c r="N53" s="989"/>
      <c r="O53" s="989"/>
      <c r="P53" s="989"/>
      <c r="Q53" s="989"/>
      <c r="R53" s="989"/>
      <c r="S53" s="989"/>
      <c r="T53" s="989"/>
      <c r="U53" s="989"/>
      <c r="V53" s="989"/>
      <c r="W53" s="989"/>
      <c r="X53" s="989"/>
      <c r="Y53" s="989"/>
      <c r="Z53" s="989"/>
      <c r="AA53" s="989"/>
      <c r="AB53" s="989"/>
      <c r="AC53" s="989"/>
      <c r="AD53" s="989"/>
      <c r="AE53" s="989"/>
      <c r="AF53" s="989"/>
      <c r="AG53" s="989"/>
      <c r="AH53" s="989"/>
      <c r="AI53" s="989"/>
      <c r="AJ53" s="989"/>
      <c r="AK53" s="989"/>
      <c r="AL53" s="989"/>
      <c r="AM53" s="989"/>
      <c r="AN53" s="989"/>
      <c r="AO53" s="989"/>
      <c r="AP53" s="989"/>
      <c r="AQ53" s="989"/>
      <c r="AR53" s="989"/>
      <c r="AS53" s="989"/>
      <c r="AT53" s="989"/>
      <c r="AU53" s="989"/>
      <c r="AV53" s="989"/>
      <c r="AW53" s="989"/>
      <c r="AX53" s="989"/>
      <c r="AY53" s="989"/>
      <c r="AZ53" s="989"/>
      <c r="BA53" s="989"/>
      <c r="BB53" s="989"/>
      <c r="BC53" s="989"/>
      <c r="BD53" s="989"/>
      <c r="BF53" s="978"/>
    </row>
    <row r="54" spans="1:58" ht="15" customHeight="1">
      <c r="B54" s="983" t="s">
        <v>1380</v>
      </c>
      <c r="C54" s="984" t="s">
        <v>1379</v>
      </c>
      <c r="D54" s="990">
        <v>0</v>
      </c>
      <c r="E54" s="990">
        <v>0</v>
      </c>
      <c r="F54" s="990">
        <v>0</v>
      </c>
      <c r="G54" s="990">
        <v>0</v>
      </c>
      <c r="H54" s="990">
        <v>0</v>
      </c>
      <c r="I54" s="990">
        <v>0</v>
      </c>
      <c r="J54" s="990">
        <v>0</v>
      </c>
      <c r="K54" s="990">
        <v>0</v>
      </c>
      <c r="L54" s="990">
        <v>0</v>
      </c>
      <c r="M54" s="990">
        <v>0</v>
      </c>
      <c r="N54" s="990">
        <v>0</v>
      </c>
      <c r="O54" s="990">
        <v>0</v>
      </c>
      <c r="P54" s="990">
        <v>0</v>
      </c>
      <c r="Q54" s="990">
        <v>0</v>
      </c>
      <c r="R54" s="990">
        <v>0</v>
      </c>
      <c r="S54" s="990">
        <v>0</v>
      </c>
      <c r="T54" s="990">
        <v>250</v>
      </c>
      <c r="U54" s="990">
        <v>0</v>
      </c>
      <c r="V54" s="990">
        <v>0</v>
      </c>
      <c r="W54" s="990">
        <v>0</v>
      </c>
      <c r="X54" s="990">
        <v>1525</v>
      </c>
      <c r="Y54" s="990">
        <v>0</v>
      </c>
      <c r="Z54" s="990">
        <v>0</v>
      </c>
      <c r="AA54" s="990">
        <v>0</v>
      </c>
      <c r="AB54" s="990">
        <v>0</v>
      </c>
      <c r="AC54" s="990">
        <v>0</v>
      </c>
      <c r="AD54" s="990">
        <v>0</v>
      </c>
      <c r="AE54" s="990">
        <v>0</v>
      </c>
      <c r="AF54" s="990">
        <v>0</v>
      </c>
      <c r="AG54" s="990">
        <v>0</v>
      </c>
      <c r="AH54" s="990">
        <v>0</v>
      </c>
      <c r="AI54" s="990">
        <v>0</v>
      </c>
      <c r="AJ54" s="990">
        <v>0</v>
      </c>
      <c r="AK54" s="990">
        <v>0</v>
      </c>
      <c r="AL54" s="990">
        <v>0</v>
      </c>
      <c r="AM54" s="990">
        <v>0</v>
      </c>
      <c r="AN54" s="990">
        <v>0</v>
      </c>
      <c r="AO54" s="990">
        <v>0</v>
      </c>
      <c r="AP54" s="990">
        <v>0</v>
      </c>
      <c r="AQ54" s="990">
        <v>0</v>
      </c>
      <c r="AR54" s="990">
        <v>0</v>
      </c>
      <c r="AS54" s="990">
        <v>0</v>
      </c>
      <c r="AT54" s="990">
        <v>0</v>
      </c>
      <c r="AU54" s="990">
        <v>0</v>
      </c>
      <c r="AV54" s="990">
        <v>0</v>
      </c>
      <c r="AW54" s="990">
        <v>0</v>
      </c>
      <c r="AX54" s="990">
        <v>0</v>
      </c>
      <c r="AY54" s="990">
        <v>0</v>
      </c>
      <c r="AZ54" s="990">
        <v>0</v>
      </c>
      <c r="BA54" s="990">
        <v>0</v>
      </c>
      <c r="BB54" s="990">
        <v>0</v>
      </c>
      <c r="BC54" s="990">
        <v>0</v>
      </c>
      <c r="BD54" s="990">
        <v>0</v>
      </c>
      <c r="BF54" s="978"/>
    </row>
    <row r="55" spans="1:58" ht="15" customHeight="1">
      <c r="B55" s="983" t="s">
        <v>1378</v>
      </c>
      <c r="C55" s="984" t="s">
        <v>1377</v>
      </c>
      <c r="D55" s="990">
        <v>0</v>
      </c>
      <c r="E55" s="990">
        <v>0</v>
      </c>
      <c r="F55" s="990">
        <v>0</v>
      </c>
      <c r="G55" s="990">
        <v>0</v>
      </c>
      <c r="H55" s="990">
        <v>0</v>
      </c>
      <c r="I55" s="990">
        <v>0</v>
      </c>
      <c r="J55" s="990">
        <v>0</v>
      </c>
      <c r="K55" s="990">
        <v>600</v>
      </c>
      <c r="L55" s="990">
        <v>0</v>
      </c>
      <c r="M55" s="990">
        <v>0</v>
      </c>
      <c r="N55" s="990">
        <v>0</v>
      </c>
      <c r="O55" s="990">
        <v>0</v>
      </c>
      <c r="P55" s="990">
        <v>0</v>
      </c>
      <c r="Q55" s="990">
        <v>0</v>
      </c>
      <c r="R55" s="990">
        <v>0</v>
      </c>
      <c r="S55" s="990">
        <v>0</v>
      </c>
      <c r="T55" s="990">
        <v>0</v>
      </c>
      <c r="U55" s="990">
        <v>0</v>
      </c>
      <c r="V55" s="990">
        <v>0</v>
      </c>
      <c r="W55" s="990">
        <v>0</v>
      </c>
      <c r="X55" s="990">
        <v>0</v>
      </c>
      <c r="Y55" s="990">
        <v>0</v>
      </c>
      <c r="Z55" s="990">
        <v>0</v>
      </c>
      <c r="AA55" s="990">
        <v>0</v>
      </c>
      <c r="AB55" s="990">
        <v>0</v>
      </c>
      <c r="AC55" s="990">
        <v>350</v>
      </c>
      <c r="AD55" s="990">
        <v>0</v>
      </c>
      <c r="AE55" s="990">
        <v>0</v>
      </c>
      <c r="AF55" s="990">
        <v>0</v>
      </c>
      <c r="AG55" s="990">
        <v>0</v>
      </c>
      <c r="AH55" s="990">
        <v>0</v>
      </c>
      <c r="AI55" s="990">
        <v>0</v>
      </c>
      <c r="AJ55" s="990">
        <v>0</v>
      </c>
      <c r="AK55" s="990">
        <v>0</v>
      </c>
      <c r="AL55" s="990">
        <v>0</v>
      </c>
      <c r="AM55" s="990">
        <v>0</v>
      </c>
      <c r="AN55" s="990">
        <v>0</v>
      </c>
      <c r="AO55" s="990">
        <v>0</v>
      </c>
      <c r="AP55" s="990">
        <v>675</v>
      </c>
      <c r="AQ55" s="990">
        <v>0</v>
      </c>
      <c r="AR55" s="990">
        <v>0</v>
      </c>
      <c r="AS55" s="990">
        <v>0</v>
      </c>
      <c r="AT55" s="990">
        <v>0</v>
      </c>
      <c r="AU55" s="990">
        <v>0</v>
      </c>
      <c r="AV55" s="990">
        <v>0</v>
      </c>
      <c r="AW55" s="990">
        <v>0</v>
      </c>
      <c r="AX55" s="990">
        <v>0</v>
      </c>
      <c r="AY55" s="990">
        <v>0</v>
      </c>
      <c r="AZ55" s="990">
        <v>0</v>
      </c>
      <c r="BA55" s="990">
        <v>0</v>
      </c>
      <c r="BB55" s="990">
        <v>0</v>
      </c>
      <c r="BC55" s="990">
        <v>0</v>
      </c>
      <c r="BD55" s="990">
        <v>0</v>
      </c>
      <c r="BF55" s="978"/>
    </row>
    <row r="56" spans="1:58" ht="15" customHeight="1">
      <c r="B56" s="983" t="s">
        <v>1376</v>
      </c>
      <c r="C56" s="984" t="s">
        <v>1375</v>
      </c>
      <c r="D56" s="990">
        <v>0</v>
      </c>
      <c r="E56" s="990">
        <v>0</v>
      </c>
      <c r="F56" s="990">
        <v>0</v>
      </c>
      <c r="G56" s="990">
        <v>0</v>
      </c>
      <c r="H56" s="990">
        <v>0</v>
      </c>
      <c r="I56" s="990">
        <v>1334.6</v>
      </c>
      <c r="J56" s="990">
        <v>0</v>
      </c>
      <c r="K56" s="990">
        <v>0</v>
      </c>
      <c r="L56" s="990">
        <v>0</v>
      </c>
      <c r="M56" s="990">
        <v>0</v>
      </c>
      <c r="N56" s="990">
        <v>0</v>
      </c>
      <c r="O56" s="990">
        <v>0</v>
      </c>
      <c r="P56" s="990">
        <v>0</v>
      </c>
      <c r="Q56" s="990">
        <v>0</v>
      </c>
      <c r="R56" s="990">
        <v>0</v>
      </c>
      <c r="S56" s="990">
        <v>0</v>
      </c>
      <c r="T56" s="990">
        <v>0</v>
      </c>
      <c r="U56" s="990">
        <v>0</v>
      </c>
      <c r="V56" s="990">
        <v>0</v>
      </c>
      <c r="W56" s="990">
        <v>0</v>
      </c>
      <c r="X56" s="990">
        <v>0</v>
      </c>
      <c r="Y56" s="990">
        <v>0</v>
      </c>
      <c r="Z56" s="990">
        <v>0</v>
      </c>
      <c r="AA56" s="990">
        <v>0</v>
      </c>
      <c r="AB56" s="990">
        <v>0</v>
      </c>
      <c r="AC56" s="990">
        <v>0</v>
      </c>
      <c r="AD56" s="990">
        <v>0</v>
      </c>
      <c r="AE56" s="990">
        <v>0</v>
      </c>
      <c r="AF56" s="990">
        <v>0</v>
      </c>
      <c r="AG56" s="990">
        <v>0</v>
      </c>
      <c r="AH56" s="990">
        <v>0</v>
      </c>
      <c r="AI56" s="990">
        <v>0</v>
      </c>
      <c r="AJ56" s="990">
        <v>0</v>
      </c>
      <c r="AK56" s="990">
        <v>0</v>
      </c>
      <c r="AL56" s="990">
        <v>0</v>
      </c>
      <c r="AM56" s="990">
        <v>0</v>
      </c>
      <c r="AN56" s="990">
        <v>0</v>
      </c>
      <c r="AO56" s="990">
        <v>0</v>
      </c>
      <c r="AP56" s="990">
        <v>0</v>
      </c>
      <c r="AQ56" s="990">
        <v>0</v>
      </c>
      <c r="AR56" s="990">
        <v>0</v>
      </c>
      <c r="AS56" s="990">
        <v>0</v>
      </c>
      <c r="AT56" s="990">
        <v>0</v>
      </c>
      <c r="AU56" s="990">
        <v>0</v>
      </c>
      <c r="AV56" s="990">
        <v>0</v>
      </c>
      <c r="AW56" s="990">
        <v>0</v>
      </c>
      <c r="AX56" s="990">
        <v>0</v>
      </c>
      <c r="AY56" s="990">
        <v>0</v>
      </c>
      <c r="AZ56" s="990">
        <v>0</v>
      </c>
      <c r="BA56" s="990">
        <v>0</v>
      </c>
      <c r="BB56" s="990">
        <v>0</v>
      </c>
      <c r="BC56" s="990">
        <v>0</v>
      </c>
      <c r="BD56" s="990">
        <v>0</v>
      </c>
      <c r="BF56" s="978"/>
    </row>
    <row r="57" spans="1:58" ht="15" customHeight="1">
      <c r="B57" s="983" t="s">
        <v>1374</v>
      </c>
      <c r="C57" s="984" t="s">
        <v>1373</v>
      </c>
      <c r="D57" s="990">
        <v>0</v>
      </c>
      <c r="E57" s="990">
        <v>0</v>
      </c>
      <c r="F57" s="990">
        <v>0</v>
      </c>
      <c r="G57" s="990">
        <v>0</v>
      </c>
      <c r="H57" s="990">
        <v>0</v>
      </c>
      <c r="I57" s="990">
        <v>0</v>
      </c>
      <c r="J57" s="990">
        <v>0</v>
      </c>
      <c r="K57" s="990">
        <v>650</v>
      </c>
      <c r="L57" s="990">
        <v>0</v>
      </c>
      <c r="M57" s="990">
        <v>0</v>
      </c>
      <c r="N57" s="990">
        <v>0</v>
      </c>
      <c r="O57" s="990">
        <v>0</v>
      </c>
      <c r="P57" s="990">
        <v>0</v>
      </c>
      <c r="Q57" s="990">
        <v>0</v>
      </c>
      <c r="R57" s="990">
        <v>0</v>
      </c>
      <c r="S57" s="990">
        <v>0</v>
      </c>
      <c r="T57" s="990">
        <v>0</v>
      </c>
      <c r="U57" s="990">
        <v>0</v>
      </c>
      <c r="V57" s="990">
        <v>0</v>
      </c>
      <c r="W57" s="990">
        <v>0</v>
      </c>
      <c r="X57" s="990">
        <v>0</v>
      </c>
      <c r="Y57" s="990">
        <v>0</v>
      </c>
      <c r="Z57" s="990">
        <v>0</v>
      </c>
      <c r="AA57" s="990">
        <v>0</v>
      </c>
      <c r="AB57" s="990">
        <v>0</v>
      </c>
      <c r="AC57" s="990">
        <v>0</v>
      </c>
      <c r="AD57" s="990">
        <v>0</v>
      </c>
      <c r="AE57" s="990">
        <v>0</v>
      </c>
      <c r="AF57" s="990">
        <v>0</v>
      </c>
      <c r="AG57" s="990">
        <v>0</v>
      </c>
      <c r="AH57" s="990">
        <v>0</v>
      </c>
      <c r="AI57" s="990">
        <v>0</v>
      </c>
      <c r="AJ57" s="990">
        <v>0</v>
      </c>
      <c r="AK57" s="990">
        <v>0</v>
      </c>
      <c r="AL57" s="990">
        <v>0</v>
      </c>
      <c r="AM57" s="990">
        <v>0</v>
      </c>
      <c r="AN57" s="990">
        <v>0</v>
      </c>
      <c r="AO57" s="990">
        <v>0</v>
      </c>
      <c r="AP57" s="990">
        <v>1250</v>
      </c>
      <c r="AQ57" s="990">
        <v>0</v>
      </c>
      <c r="AR57" s="990">
        <v>0</v>
      </c>
      <c r="AS57" s="990">
        <v>0</v>
      </c>
      <c r="AT57" s="990">
        <v>0</v>
      </c>
      <c r="AU57" s="990">
        <v>0</v>
      </c>
      <c r="AV57" s="990">
        <v>0</v>
      </c>
      <c r="AW57" s="990">
        <v>0</v>
      </c>
      <c r="AX57" s="990">
        <v>0</v>
      </c>
      <c r="AY57" s="990">
        <v>0</v>
      </c>
      <c r="AZ57" s="990">
        <v>0</v>
      </c>
      <c r="BA57" s="990">
        <v>0</v>
      </c>
      <c r="BB57" s="990">
        <v>0</v>
      </c>
      <c r="BC57" s="990">
        <v>0</v>
      </c>
      <c r="BD57" s="990">
        <v>0</v>
      </c>
      <c r="BF57" s="978"/>
    </row>
    <row r="58" spans="1:58" ht="15" customHeight="1">
      <c r="B58" s="983" t="s">
        <v>1372</v>
      </c>
      <c r="C58" s="984" t="s">
        <v>1371</v>
      </c>
      <c r="D58" s="986">
        <v>0</v>
      </c>
      <c r="E58" s="986">
        <v>0</v>
      </c>
      <c r="F58" s="986">
        <v>0</v>
      </c>
      <c r="G58" s="986">
        <v>0</v>
      </c>
      <c r="H58" s="986">
        <v>0</v>
      </c>
      <c r="I58" s="986">
        <v>1334.6</v>
      </c>
      <c r="J58" s="986">
        <v>0</v>
      </c>
      <c r="K58" s="986">
        <v>1250</v>
      </c>
      <c r="L58" s="986">
        <v>0</v>
      </c>
      <c r="M58" s="986">
        <v>0</v>
      </c>
      <c r="N58" s="986">
        <v>0</v>
      </c>
      <c r="O58" s="986">
        <v>0</v>
      </c>
      <c r="P58" s="986">
        <v>0</v>
      </c>
      <c r="Q58" s="986">
        <v>0</v>
      </c>
      <c r="R58" s="986">
        <v>0</v>
      </c>
      <c r="S58" s="986">
        <v>-39</v>
      </c>
      <c r="T58" s="986">
        <v>289</v>
      </c>
      <c r="U58" s="986">
        <v>0</v>
      </c>
      <c r="V58" s="986">
        <v>0</v>
      </c>
      <c r="W58" s="986">
        <v>0</v>
      </c>
      <c r="X58" s="986">
        <v>1525</v>
      </c>
      <c r="Y58" s="986">
        <v>0</v>
      </c>
      <c r="Z58" s="986">
        <v>0</v>
      </c>
      <c r="AA58" s="986">
        <v>0</v>
      </c>
      <c r="AB58" s="986">
        <v>0</v>
      </c>
      <c r="AC58" s="986">
        <v>350</v>
      </c>
      <c r="AD58" s="986">
        <v>0</v>
      </c>
      <c r="AE58" s="986">
        <v>0</v>
      </c>
      <c r="AF58" s="986">
        <v>0</v>
      </c>
      <c r="AG58" s="986">
        <v>0</v>
      </c>
      <c r="AH58" s="986">
        <v>0</v>
      </c>
      <c r="AI58" s="986">
        <v>0</v>
      </c>
      <c r="AJ58" s="986">
        <v>0</v>
      </c>
      <c r="AK58" s="986">
        <v>0</v>
      </c>
      <c r="AL58" s="986">
        <v>0</v>
      </c>
      <c r="AM58" s="986">
        <v>0</v>
      </c>
      <c r="AN58" s="986">
        <v>0</v>
      </c>
      <c r="AO58" s="986">
        <v>0</v>
      </c>
      <c r="AP58" s="986">
        <v>1925</v>
      </c>
      <c r="AQ58" s="986">
        <v>0</v>
      </c>
      <c r="AR58" s="986">
        <v>0</v>
      </c>
      <c r="AS58" s="986">
        <v>0</v>
      </c>
      <c r="AT58" s="986">
        <v>0</v>
      </c>
      <c r="AU58" s="986">
        <v>0</v>
      </c>
      <c r="AV58" s="986">
        <v>0</v>
      </c>
      <c r="AW58" s="986">
        <v>0</v>
      </c>
      <c r="AX58" s="986">
        <v>0</v>
      </c>
      <c r="AY58" s="986">
        <v>0</v>
      </c>
      <c r="AZ58" s="986">
        <v>0</v>
      </c>
      <c r="BA58" s="986">
        <v>0</v>
      </c>
      <c r="BB58" s="986">
        <v>0</v>
      </c>
      <c r="BC58" s="986">
        <v>0</v>
      </c>
      <c r="BD58" s="986">
        <v>0</v>
      </c>
      <c r="BF58" s="978"/>
    </row>
    <row r="59" spans="1:58" ht="15" customHeight="1">
      <c r="B59" s="983" t="s">
        <v>1370</v>
      </c>
      <c r="C59" s="984" t="s">
        <v>1369</v>
      </c>
      <c r="D59" s="989"/>
      <c r="E59" s="989"/>
      <c r="F59" s="989"/>
      <c r="G59" s="989"/>
      <c r="H59" s="989"/>
      <c r="I59" s="989"/>
      <c r="J59" s="989"/>
      <c r="K59" s="989"/>
      <c r="L59" s="989"/>
      <c r="M59" s="989"/>
      <c r="N59" s="989"/>
      <c r="O59" s="989"/>
      <c r="P59" s="989"/>
      <c r="Q59" s="989"/>
      <c r="R59" s="989"/>
      <c r="S59" s="989"/>
      <c r="T59" s="989"/>
      <c r="U59" s="989"/>
      <c r="V59" s="989"/>
      <c r="W59" s="989"/>
      <c r="X59" s="989"/>
      <c r="Y59" s="989"/>
      <c r="Z59" s="989"/>
      <c r="AA59" s="989"/>
      <c r="AB59" s="989"/>
      <c r="AC59" s="989"/>
      <c r="AD59" s="989"/>
      <c r="AE59" s="989"/>
      <c r="AF59" s="989"/>
      <c r="AG59" s="989"/>
      <c r="AH59" s="989"/>
      <c r="AI59" s="989"/>
      <c r="AJ59" s="989"/>
      <c r="AK59" s="989"/>
      <c r="AL59" s="989"/>
      <c r="AM59" s="989"/>
      <c r="AN59" s="989"/>
      <c r="AO59" s="989"/>
      <c r="AP59" s="989"/>
      <c r="AQ59" s="989"/>
      <c r="AR59" s="989"/>
      <c r="AS59" s="989"/>
      <c r="AT59" s="989"/>
      <c r="AU59" s="989"/>
      <c r="AV59" s="989"/>
      <c r="AW59" s="989"/>
      <c r="AX59" s="989"/>
      <c r="AY59" s="989"/>
      <c r="AZ59" s="989"/>
      <c r="BA59" s="989"/>
      <c r="BB59" s="989"/>
      <c r="BC59" s="989"/>
      <c r="BD59" s="989"/>
      <c r="BF59" s="978"/>
    </row>
    <row r="60" spans="1:58" ht="15" customHeight="1">
      <c r="B60" s="983" t="s">
        <v>1368</v>
      </c>
      <c r="C60" s="984" t="s">
        <v>1367</v>
      </c>
      <c r="D60" s="990">
        <v>0</v>
      </c>
      <c r="E60" s="990">
        <v>0</v>
      </c>
      <c r="F60" s="990">
        <v>0</v>
      </c>
      <c r="G60" s="990">
        <v>0</v>
      </c>
      <c r="H60" s="990">
        <v>0</v>
      </c>
      <c r="I60" s="990">
        <v>0</v>
      </c>
      <c r="J60" s="990">
        <v>0</v>
      </c>
      <c r="K60" s="990">
        <v>0</v>
      </c>
      <c r="L60" s="990">
        <v>0</v>
      </c>
      <c r="M60" s="990">
        <v>375</v>
      </c>
      <c r="N60" s="990">
        <v>0</v>
      </c>
      <c r="O60" s="990">
        <v>0</v>
      </c>
      <c r="P60" s="990">
        <v>0</v>
      </c>
      <c r="Q60" s="990">
        <v>0</v>
      </c>
      <c r="R60" s="990">
        <v>0</v>
      </c>
      <c r="S60" s="990">
        <v>0</v>
      </c>
      <c r="T60" s="990">
        <v>0</v>
      </c>
      <c r="U60" s="990">
        <v>10909.89</v>
      </c>
      <c r="V60" s="990">
        <v>0</v>
      </c>
      <c r="W60" s="990">
        <v>8450.2099999999991</v>
      </c>
      <c r="X60" s="990">
        <v>2748.21</v>
      </c>
      <c r="Y60" s="990">
        <v>-2748.21</v>
      </c>
      <c r="Z60" s="990">
        <v>18.16</v>
      </c>
      <c r="AA60" s="990">
        <v>0</v>
      </c>
      <c r="AB60" s="990">
        <v>0</v>
      </c>
      <c r="AC60" s="990">
        <v>0</v>
      </c>
      <c r="AD60" s="990">
        <v>0</v>
      </c>
      <c r="AE60" s="990">
        <v>0</v>
      </c>
      <c r="AF60" s="990">
        <v>0</v>
      </c>
      <c r="AG60" s="990">
        <v>0</v>
      </c>
      <c r="AH60" s="990">
        <v>0</v>
      </c>
      <c r="AI60" s="990">
        <v>0</v>
      </c>
      <c r="AJ60" s="990">
        <v>0</v>
      </c>
      <c r="AK60" s="990">
        <v>1187.5</v>
      </c>
      <c r="AL60" s="990">
        <v>1638.81</v>
      </c>
      <c r="AM60" s="990">
        <v>0</v>
      </c>
      <c r="AN60" s="990">
        <v>2709.5</v>
      </c>
      <c r="AO60" s="990">
        <v>1435.25</v>
      </c>
      <c r="AP60" s="990">
        <v>1038.8</v>
      </c>
      <c r="AQ60" s="990">
        <v>0</v>
      </c>
      <c r="AR60" s="990">
        <v>60</v>
      </c>
      <c r="AS60" s="990">
        <v>4500</v>
      </c>
      <c r="AT60" s="990">
        <v>0</v>
      </c>
      <c r="AU60" s="990">
        <v>0</v>
      </c>
      <c r="AV60" s="990">
        <v>0</v>
      </c>
      <c r="AW60" s="990">
        <v>0</v>
      </c>
      <c r="AX60" s="990">
        <v>0</v>
      </c>
      <c r="AY60" s="990">
        <v>0</v>
      </c>
      <c r="AZ60" s="990">
        <v>0</v>
      </c>
      <c r="BA60" s="990">
        <v>0</v>
      </c>
      <c r="BB60" s="990">
        <v>0</v>
      </c>
      <c r="BC60" s="990">
        <v>0</v>
      </c>
      <c r="BD60" s="990">
        <v>0</v>
      </c>
      <c r="BF60" s="978"/>
    </row>
    <row r="61" spans="1:58" ht="15" customHeight="1">
      <c r="B61" s="983" t="s">
        <v>1366</v>
      </c>
      <c r="C61" s="984" t="s">
        <v>1365</v>
      </c>
      <c r="D61" s="988">
        <v>0</v>
      </c>
      <c r="E61" s="988">
        <v>0</v>
      </c>
      <c r="F61" s="988">
        <v>0</v>
      </c>
      <c r="G61" s="988">
        <v>0</v>
      </c>
      <c r="H61" s="988">
        <v>0</v>
      </c>
      <c r="I61" s="988">
        <v>0</v>
      </c>
      <c r="J61" s="988">
        <v>0</v>
      </c>
      <c r="K61" s="988">
        <v>0</v>
      </c>
      <c r="L61" s="988">
        <v>0</v>
      </c>
      <c r="M61" s="988">
        <v>0</v>
      </c>
      <c r="N61" s="988">
        <v>0</v>
      </c>
      <c r="O61" s="988">
        <v>0</v>
      </c>
      <c r="P61" s="988">
        <v>0</v>
      </c>
      <c r="Q61" s="988">
        <v>0</v>
      </c>
      <c r="R61" s="988">
        <v>0</v>
      </c>
      <c r="S61" s="988">
        <v>0</v>
      </c>
      <c r="T61" s="988">
        <v>0</v>
      </c>
      <c r="U61" s="988">
        <v>0</v>
      </c>
      <c r="V61" s="988">
        <v>0</v>
      </c>
      <c r="W61" s="988">
        <v>0</v>
      </c>
      <c r="X61" s="988">
        <v>0</v>
      </c>
      <c r="Y61" s="988">
        <v>0</v>
      </c>
      <c r="Z61" s="988">
        <v>0</v>
      </c>
      <c r="AA61" s="988">
        <v>0</v>
      </c>
      <c r="AB61" s="988">
        <v>0</v>
      </c>
      <c r="AC61" s="988">
        <v>0</v>
      </c>
      <c r="AD61" s="988">
        <v>0</v>
      </c>
      <c r="AE61" s="988">
        <v>0</v>
      </c>
      <c r="AF61" s="988">
        <v>0</v>
      </c>
      <c r="AG61" s="988">
        <v>0</v>
      </c>
      <c r="AH61" s="988">
        <v>0</v>
      </c>
      <c r="AI61" s="988">
        <v>0</v>
      </c>
      <c r="AJ61" s="988">
        <v>0</v>
      </c>
      <c r="AK61" s="988">
        <v>0</v>
      </c>
      <c r="AL61" s="988">
        <v>0</v>
      </c>
      <c r="AM61" s="988">
        <v>0</v>
      </c>
      <c r="AN61" s="988">
        <v>0</v>
      </c>
      <c r="AO61" s="988">
        <v>0</v>
      </c>
      <c r="AP61" s="988">
        <v>0</v>
      </c>
      <c r="AQ61" s="988">
        <v>0</v>
      </c>
      <c r="AR61" s="988">
        <v>0</v>
      </c>
      <c r="AS61" s="988">
        <v>0</v>
      </c>
      <c r="AT61" s="988">
        <v>0</v>
      </c>
      <c r="AU61" s="988">
        <v>0</v>
      </c>
      <c r="AV61" s="988">
        <v>0</v>
      </c>
      <c r="AW61" s="988">
        <v>0</v>
      </c>
      <c r="AX61" s="988">
        <v>0</v>
      </c>
      <c r="AY61" s="988">
        <v>0</v>
      </c>
      <c r="AZ61" s="988">
        <v>0</v>
      </c>
      <c r="BA61" s="988">
        <v>0</v>
      </c>
      <c r="BB61" s="988">
        <v>0</v>
      </c>
      <c r="BC61" s="988">
        <v>0</v>
      </c>
      <c r="BD61" s="988">
        <v>0</v>
      </c>
      <c r="BF61" s="978"/>
    </row>
    <row r="62" spans="1:58" ht="15" customHeight="1">
      <c r="B62" s="983" t="s">
        <v>1364</v>
      </c>
      <c r="C62" s="984" t="s">
        <v>1363</v>
      </c>
      <c r="D62" s="986">
        <v>0</v>
      </c>
      <c r="E62" s="986">
        <v>0</v>
      </c>
      <c r="F62" s="986">
        <v>0</v>
      </c>
      <c r="G62" s="986">
        <v>0</v>
      </c>
      <c r="H62" s="986">
        <v>0</v>
      </c>
      <c r="I62" s="986">
        <v>0</v>
      </c>
      <c r="J62" s="986">
        <v>0</v>
      </c>
      <c r="K62" s="986">
        <v>0</v>
      </c>
      <c r="L62" s="986">
        <v>0</v>
      </c>
      <c r="M62" s="986">
        <v>375</v>
      </c>
      <c r="N62" s="986">
        <v>0</v>
      </c>
      <c r="O62" s="986">
        <v>0</v>
      </c>
      <c r="P62" s="986">
        <v>0</v>
      </c>
      <c r="Q62" s="986">
        <v>0</v>
      </c>
      <c r="R62" s="986">
        <v>0</v>
      </c>
      <c r="S62" s="986">
        <v>0</v>
      </c>
      <c r="T62" s="986">
        <v>0</v>
      </c>
      <c r="U62" s="986">
        <v>10909.89</v>
      </c>
      <c r="V62" s="986">
        <v>0</v>
      </c>
      <c r="W62" s="986">
        <v>8450.2099999999991</v>
      </c>
      <c r="X62" s="986">
        <v>2748.21</v>
      </c>
      <c r="Y62" s="986">
        <v>-2748.21</v>
      </c>
      <c r="Z62" s="986">
        <v>18.16</v>
      </c>
      <c r="AA62" s="986">
        <v>0</v>
      </c>
      <c r="AB62" s="986">
        <v>0</v>
      </c>
      <c r="AC62" s="986">
        <v>0</v>
      </c>
      <c r="AD62" s="986">
        <v>0</v>
      </c>
      <c r="AE62" s="986">
        <v>0</v>
      </c>
      <c r="AF62" s="986">
        <v>0</v>
      </c>
      <c r="AG62" s="986">
        <v>0</v>
      </c>
      <c r="AH62" s="986">
        <v>0</v>
      </c>
      <c r="AI62" s="986">
        <v>0</v>
      </c>
      <c r="AJ62" s="986">
        <v>0</v>
      </c>
      <c r="AK62" s="986">
        <v>1187.5</v>
      </c>
      <c r="AL62" s="986">
        <v>1638.81</v>
      </c>
      <c r="AM62" s="986">
        <v>0</v>
      </c>
      <c r="AN62" s="986">
        <v>2709.5</v>
      </c>
      <c r="AO62" s="986">
        <v>1435.25</v>
      </c>
      <c r="AP62" s="986">
        <v>1038.8</v>
      </c>
      <c r="AQ62" s="986">
        <v>0</v>
      </c>
      <c r="AR62" s="986">
        <v>60</v>
      </c>
      <c r="AS62" s="986">
        <v>4500</v>
      </c>
      <c r="AT62" s="986">
        <v>0</v>
      </c>
      <c r="AU62" s="986">
        <v>0</v>
      </c>
      <c r="AV62" s="986">
        <v>0</v>
      </c>
      <c r="AW62" s="986">
        <v>0</v>
      </c>
      <c r="AX62" s="986">
        <v>0</v>
      </c>
      <c r="AY62" s="986">
        <v>0</v>
      </c>
      <c r="AZ62" s="986">
        <v>0</v>
      </c>
      <c r="BA62" s="986">
        <v>0</v>
      </c>
      <c r="BB62" s="986">
        <v>0</v>
      </c>
      <c r="BC62" s="986">
        <v>0</v>
      </c>
      <c r="BD62" s="986">
        <v>0</v>
      </c>
      <c r="BF62" s="978"/>
    </row>
    <row r="63" spans="1:58" ht="15" customHeight="1">
      <c r="B63" s="983" t="s">
        <v>1362</v>
      </c>
      <c r="C63" s="984" t="s">
        <v>1361</v>
      </c>
      <c r="D63" s="987">
        <v>0</v>
      </c>
      <c r="E63" s="987">
        <v>0</v>
      </c>
      <c r="F63" s="987">
        <v>0</v>
      </c>
      <c r="G63" s="987">
        <v>0</v>
      </c>
      <c r="H63" s="987">
        <v>0</v>
      </c>
      <c r="I63" s="987">
        <v>1334.6</v>
      </c>
      <c r="J63" s="987">
        <v>0</v>
      </c>
      <c r="K63" s="987">
        <v>1250</v>
      </c>
      <c r="L63" s="987">
        <v>0</v>
      </c>
      <c r="M63" s="987">
        <v>375</v>
      </c>
      <c r="N63" s="987">
        <v>0</v>
      </c>
      <c r="O63" s="987">
        <v>0</v>
      </c>
      <c r="P63" s="987">
        <v>0</v>
      </c>
      <c r="Q63" s="987">
        <v>-8249.67</v>
      </c>
      <c r="R63" s="987">
        <v>-6771.36</v>
      </c>
      <c r="S63" s="987">
        <v>-39</v>
      </c>
      <c r="T63" s="987">
        <v>15310.03</v>
      </c>
      <c r="U63" s="987">
        <v>10909.89</v>
      </c>
      <c r="V63" s="987">
        <v>0</v>
      </c>
      <c r="W63" s="987">
        <v>8450.2099999999991</v>
      </c>
      <c r="X63" s="987">
        <v>4273.21</v>
      </c>
      <c r="Y63" s="987">
        <v>-2748.21</v>
      </c>
      <c r="Z63" s="987">
        <v>18.16</v>
      </c>
      <c r="AA63" s="987">
        <v>0</v>
      </c>
      <c r="AB63" s="987">
        <v>0</v>
      </c>
      <c r="AC63" s="987">
        <v>350</v>
      </c>
      <c r="AD63" s="987">
        <v>0</v>
      </c>
      <c r="AE63" s="987">
        <v>0</v>
      </c>
      <c r="AF63" s="987">
        <v>0</v>
      </c>
      <c r="AG63" s="987">
        <v>0</v>
      </c>
      <c r="AH63" s="987">
        <v>0</v>
      </c>
      <c r="AI63" s="987">
        <v>0</v>
      </c>
      <c r="AJ63" s="987">
        <v>0</v>
      </c>
      <c r="AK63" s="987">
        <v>1187.5</v>
      </c>
      <c r="AL63" s="987">
        <v>1638.81</v>
      </c>
      <c r="AM63" s="987">
        <v>0</v>
      </c>
      <c r="AN63" s="987">
        <v>2709.5</v>
      </c>
      <c r="AO63" s="987">
        <v>1435.25</v>
      </c>
      <c r="AP63" s="987">
        <v>2963.8</v>
      </c>
      <c r="AQ63" s="987">
        <v>0</v>
      </c>
      <c r="AR63" s="987">
        <v>60</v>
      </c>
      <c r="AS63" s="987">
        <v>4500</v>
      </c>
      <c r="AT63" s="987">
        <v>0</v>
      </c>
      <c r="AU63" s="987">
        <v>0</v>
      </c>
      <c r="AV63" s="987">
        <v>0</v>
      </c>
      <c r="AW63" s="987">
        <v>0</v>
      </c>
      <c r="AX63" s="987">
        <v>0</v>
      </c>
      <c r="AY63" s="987">
        <v>0</v>
      </c>
      <c r="AZ63" s="987">
        <v>0</v>
      </c>
      <c r="BA63" s="987">
        <v>0</v>
      </c>
      <c r="BB63" s="987">
        <v>0</v>
      </c>
      <c r="BC63" s="987">
        <v>0</v>
      </c>
      <c r="BD63" s="987">
        <v>0</v>
      </c>
      <c r="BF63" s="978"/>
    </row>
    <row r="64" spans="1:58" ht="15" customHeight="1">
      <c r="A64" s="977" t="s">
        <v>1360</v>
      </c>
      <c r="B64" s="983" t="s">
        <v>941</v>
      </c>
      <c r="C64" s="984" t="s">
        <v>940</v>
      </c>
      <c r="D64" s="986">
        <v>62984.53</v>
      </c>
      <c r="E64" s="986">
        <v>62984.53</v>
      </c>
      <c r="F64" s="986">
        <v>62984.53</v>
      </c>
      <c r="G64" s="986">
        <v>65058.19</v>
      </c>
      <c r="H64" s="986">
        <v>61244.28</v>
      </c>
      <c r="I64" s="986">
        <v>61687.43</v>
      </c>
      <c r="J64" s="986">
        <v>64990.71</v>
      </c>
      <c r="K64" s="986">
        <v>121400.12</v>
      </c>
      <c r="L64" s="986">
        <v>89276</v>
      </c>
      <c r="M64" s="986">
        <v>177923.5</v>
      </c>
      <c r="N64" s="986">
        <v>92726.54</v>
      </c>
      <c r="O64" s="986">
        <v>88087</v>
      </c>
      <c r="P64" s="986">
        <v>88087</v>
      </c>
      <c r="Q64" s="986">
        <v>79738.33</v>
      </c>
      <c r="R64" s="986">
        <v>71935.240000000005</v>
      </c>
      <c r="S64" s="986">
        <v>84893.5</v>
      </c>
      <c r="T64" s="986">
        <v>97850.03</v>
      </c>
      <c r="U64" s="986">
        <v>93367.39</v>
      </c>
      <c r="V64" s="986">
        <v>90012</v>
      </c>
      <c r="W64" s="986">
        <v>91158.21</v>
      </c>
      <c r="X64" s="986">
        <v>89818.21</v>
      </c>
      <c r="Y64" s="986">
        <v>80414.100000000006</v>
      </c>
      <c r="Z64" s="986">
        <v>79063.16</v>
      </c>
      <c r="AA64" s="986">
        <v>77824</v>
      </c>
      <c r="AB64" s="986">
        <v>77824</v>
      </c>
      <c r="AC64" s="986">
        <v>74748.210000000006</v>
      </c>
      <c r="AD64" s="986">
        <v>76664</v>
      </c>
      <c r="AE64" s="986">
        <v>79493.740000000005</v>
      </c>
      <c r="AF64" s="986">
        <v>82867.22</v>
      </c>
      <c r="AG64" s="986">
        <v>103635.47</v>
      </c>
      <c r="AH64" s="986">
        <v>90144.75</v>
      </c>
      <c r="AI64" s="986">
        <v>91789.37</v>
      </c>
      <c r="AJ64" s="986">
        <v>84154.06</v>
      </c>
      <c r="AK64" s="986">
        <v>94018.25</v>
      </c>
      <c r="AL64" s="986">
        <v>95571.62</v>
      </c>
      <c r="AM64" s="986">
        <v>98524.75</v>
      </c>
      <c r="AN64" s="986">
        <v>100283.55</v>
      </c>
      <c r="AO64" s="986">
        <v>100077.7</v>
      </c>
      <c r="AP64" s="986">
        <v>101925.22</v>
      </c>
      <c r="AQ64" s="986">
        <v>96492.75</v>
      </c>
      <c r="AR64" s="986">
        <v>79470.75</v>
      </c>
      <c r="AS64" s="986">
        <v>103472.71</v>
      </c>
      <c r="AT64" s="986">
        <v>97731</v>
      </c>
      <c r="AU64" s="986">
        <v>101403</v>
      </c>
      <c r="AV64" s="986">
        <v>92576</v>
      </c>
      <c r="AW64" s="986">
        <v>88959.75</v>
      </c>
      <c r="AX64" s="986">
        <v>110094</v>
      </c>
      <c r="AY64" s="986">
        <v>94673</v>
      </c>
      <c r="AZ64" s="986">
        <v>94673</v>
      </c>
      <c r="BA64" s="986">
        <v>102586.31</v>
      </c>
      <c r="BB64" s="986">
        <v>94673</v>
      </c>
      <c r="BC64" s="986">
        <v>94673</v>
      </c>
      <c r="BD64" s="986">
        <v>94673</v>
      </c>
      <c r="BF64" s="978"/>
    </row>
    <row r="65" spans="1:58" ht="15" customHeight="1">
      <c r="B65" s="983" t="s">
        <v>1359</v>
      </c>
      <c r="C65" s="984" t="s">
        <v>1358</v>
      </c>
      <c r="D65" s="989"/>
      <c r="E65" s="989"/>
      <c r="F65" s="989"/>
      <c r="G65" s="989"/>
      <c r="H65" s="989"/>
      <c r="I65" s="989"/>
      <c r="J65" s="989"/>
      <c r="K65" s="989"/>
      <c r="L65" s="989"/>
      <c r="M65" s="989"/>
      <c r="N65" s="989"/>
      <c r="O65" s="989"/>
      <c r="P65" s="989"/>
      <c r="Q65" s="989"/>
      <c r="R65" s="989"/>
      <c r="S65" s="989"/>
      <c r="T65" s="989"/>
      <c r="U65" s="989"/>
      <c r="V65" s="989"/>
      <c r="W65" s="989"/>
      <c r="X65" s="989"/>
      <c r="Y65" s="989"/>
      <c r="Z65" s="989"/>
      <c r="AA65" s="989"/>
      <c r="AB65" s="989"/>
      <c r="AC65" s="989"/>
      <c r="AD65" s="989"/>
      <c r="AE65" s="989"/>
      <c r="AF65" s="989"/>
      <c r="AG65" s="989"/>
      <c r="AH65" s="989"/>
      <c r="AI65" s="989"/>
      <c r="AJ65" s="989"/>
      <c r="AK65" s="989"/>
      <c r="AL65" s="989"/>
      <c r="AM65" s="989"/>
      <c r="AN65" s="989"/>
      <c r="AO65" s="989"/>
      <c r="AP65" s="989"/>
      <c r="AQ65" s="989"/>
      <c r="AR65" s="989"/>
      <c r="AS65" s="989"/>
      <c r="AT65" s="989"/>
      <c r="AU65" s="989"/>
      <c r="AV65" s="989"/>
      <c r="AW65" s="989"/>
      <c r="AX65" s="989"/>
      <c r="AY65" s="989"/>
      <c r="AZ65" s="989"/>
      <c r="BA65" s="989"/>
      <c r="BB65" s="989"/>
      <c r="BC65" s="989"/>
      <c r="BD65" s="989"/>
      <c r="BF65" s="978"/>
    </row>
    <row r="66" spans="1:58" ht="15" customHeight="1">
      <c r="B66" s="983" t="s">
        <v>1357</v>
      </c>
      <c r="C66" s="984" t="s">
        <v>1356</v>
      </c>
      <c r="D66" s="989"/>
      <c r="E66" s="989"/>
      <c r="F66" s="989"/>
      <c r="G66" s="989"/>
      <c r="H66" s="989"/>
      <c r="I66" s="989"/>
      <c r="J66" s="989"/>
      <c r="K66" s="989"/>
      <c r="L66" s="989"/>
      <c r="M66" s="989"/>
      <c r="N66" s="989"/>
      <c r="O66" s="989"/>
      <c r="P66" s="989"/>
      <c r="Q66" s="989"/>
      <c r="R66" s="989"/>
      <c r="S66" s="989"/>
      <c r="T66" s="989"/>
      <c r="U66" s="989"/>
      <c r="V66" s="989"/>
      <c r="W66" s="989"/>
      <c r="X66" s="989"/>
      <c r="Y66" s="989"/>
      <c r="Z66" s="989"/>
      <c r="AA66" s="989"/>
      <c r="AB66" s="989"/>
      <c r="AC66" s="989"/>
      <c r="AD66" s="989"/>
      <c r="AE66" s="989"/>
      <c r="AF66" s="989"/>
      <c r="AG66" s="989"/>
      <c r="AH66" s="989"/>
      <c r="AI66" s="989"/>
      <c r="AJ66" s="989"/>
      <c r="AK66" s="989"/>
      <c r="AL66" s="989"/>
      <c r="AM66" s="989"/>
      <c r="AN66" s="989"/>
      <c r="AO66" s="989"/>
      <c r="AP66" s="989"/>
      <c r="AQ66" s="989"/>
      <c r="AR66" s="989"/>
      <c r="AS66" s="989"/>
      <c r="AT66" s="989"/>
      <c r="AU66" s="989"/>
      <c r="AV66" s="989"/>
      <c r="AW66" s="989"/>
      <c r="AX66" s="989"/>
      <c r="AY66" s="989"/>
      <c r="AZ66" s="989"/>
      <c r="BA66" s="989"/>
      <c r="BB66" s="989"/>
      <c r="BC66" s="989"/>
      <c r="BD66" s="989"/>
      <c r="BF66" s="978"/>
    </row>
    <row r="67" spans="1:58" ht="15" customHeight="1">
      <c r="A67" s="977" t="s">
        <v>1355</v>
      </c>
      <c r="B67" s="983" t="s">
        <v>1354</v>
      </c>
      <c r="C67" s="984" t="s">
        <v>1353</v>
      </c>
      <c r="D67" s="990">
        <v>0</v>
      </c>
      <c r="E67" s="990">
        <v>8600</v>
      </c>
      <c r="F67" s="990">
        <v>4300</v>
      </c>
      <c r="G67" s="990">
        <v>4300</v>
      </c>
      <c r="H67" s="990">
        <v>4300</v>
      </c>
      <c r="I67" s="990">
        <v>4300</v>
      </c>
      <c r="J67" s="990">
        <v>4300</v>
      </c>
      <c r="K67" s="990">
        <v>4300</v>
      </c>
      <c r="L67" s="990">
        <v>4300</v>
      </c>
      <c r="M67" s="990">
        <v>4300</v>
      </c>
      <c r="N67" s="990">
        <v>4300</v>
      </c>
      <c r="O67" s="990">
        <v>4300</v>
      </c>
      <c r="P67" s="990">
        <v>7000</v>
      </c>
      <c r="Q67" s="990">
        <v>7000</v>
      </c>
      <c r="R67" s="990">
        <v>7000</v>
      </c>
      <c r="S67" s="990">
        <v>7000</v>
      </c>
      <c r="T67" s="990">
        <v>7000</v>
      </c>
      <c r="U67" s="990">
        <v>7000</v>
      </c>
      <c r="V67" s="990">
        <v>7000</v>
      </c>
      <c r="W67" s="990">
        <v>7000</v>
      </c>
      <c r="X67" s="990">
        <v>7000</v>
      </c>
      <c r="Y67" s="990">
        <v>7000</v>
      </c>
      <c r="Z67" s="990">
        <v>7000</v>
      </c>
      <c r="AA67" s="990">
        <v>7000</v>
      </c>
      <c r="AB67" s="990">
        <v>7000</v>
      </c>
      <c r="AC67" s="990">
        <v>7000</v>
      </c>
      <c r="AD67" s="990">
        <v>7000</v>
      </c>
      <c r="AE67" s="990">
        <v>7000</v>
      </c>
      <c r="AF67" s="990">
        <v>7000</v>
      </c>
      <c r="AG67" s="990">
        <v>7000</v>
      </c>
      <c r="AH67" s="990">
        <v>7000</v>
      </c>
      <c r="AI67" s="990">
        <v>7000</v>
      </c>
      <c r="AJ67" s="990">
        <v>7000</v>
      </c>
      <c r="AK67" s="990">
        <v>7000</v>
      </c>
      <c r="AL67" s="990">
        <v>7000</v>
      </c>
      <c r="AM67" s="990">
        <v>0</v>
      </c>
      <c r="AN67" s="990">
        <v>14000</v>
      </c>
      <c r="AO67" s="990">
        <v>7000</v>
      </c>
      <c r="AP67" s="990">
        <v>7000</v>
      </c>
      <c r="AQ67" s="990">
        <v>3064.5</v>
      </c>
      <c r="AR67" s="990">
        <v>13000</v>
      </c>
      <c r="AS67" s="990">
        <v>13000</v>
      </c>
      <c r="AT67" s="990">
        <v>13000</v>
      </c>
      <c r="AU67" s="990">
        <v>4464.8</v>
      </c>
      <c r="AV67" s="990">
        <v>2232.4</v>
      </c>
      <c r="AW67" s="990">
        <v>2232.4</v>
      </c>
      <c r="AX67" s="990">
        <v>-2232.4</v>
      </c>
      <c r="AY67" s="990">
        <v>0</v>
      </c>
      <c r="AZ67" s="990">
        <v>0</v>
      </c>
      <c r="BA67" s="990">
        <v>14624.52</v>
      </c>
      <c r="BB67" s="990">
        <v>18473.580000000002</v>
      </c>
      <c r="BC67" s="990">
        <v>12212.16</v>
      </c>
      <c r="BD67" s="990">
        <v>-12552.54</v>
      </c>
      <c r="BF67" s="978"/>
    </row>
    <row r="68" spans="1:58" ht="15" customHeight="1">
      <c r="B68" s="983" t="s">
        <v>1352</v>
      </c>
      <c r="C68" s="984" t="s">
        <v>1351</v>
      </c>
      <c r="D68" s="990">
        <v>0</v>
      </c>
      <c r="E68" s="990">
        <v>0</v>
      </c>
      <c r="F68" s="990">
        <v>3093.1</v>
      </c>
      <c r="G68" s="990">
        <v>9271.02</v>
      </c>
      <c r="H68" s="990">
        <v>0</v>
      </c>
      <c r="I68" s="990">
        <v>4466.97</v>
      </c>
      <c r="J68" s="990">
        <v>3803.35</v>
      </c>
      <c r="K68" s="990">
        <v>0</v>
      </c>
      <c r="L68" s="990">
        <v>0</v>
      </c>
      <c r="M68" s="990">
        <v>1151.3699999999999</v>
      </c>
      <c r="N68" s="990">
        <v>0</v>
      </c>
      <c r="O68" s="990">
        <v>500</v>
      </c>
      <c r="P68" s="990">
        <v>547.55999999999995</v>
      </c>
      <c r="Q68" s="990">
        <v>0</v>
      </c>
      <c r="R68" s="990">
        <v>0</v>
      </c>
      <c r="S68" s="990">
        <v>0</v>
      </c>
      <c r="T68" s="990">
        <v>3758.14</v>
      </c>
      <c r="U68" s="990">
        <v>1105.92</v>
      </c>
      <c r="V68" s="990">
        <v>3800.66</v>
      </c>
      <c r="W68" s="990">
        <v>3892.11</v>
      </c>
      <c r="X68" s="990">
        <v>3887.56</v>
      </c>
      <c r="Y68" s="990">
        <v>3187.69</v>
      </c>
      <c r="Z68" s="990">
        <v>0</v>
      </c>
      <c r="AA68" s="990">
        <v>0</v>
      </c>
      <c r="AB68" s="990">
        <v>3887.56</v>
      </c>
      <c r="AC68" s="990">
        <v>0</v>
      </c>
      <c r="AD68" s="990">
        <v>2687.69</v>
      </c>
      <c r="AE68" s="990">
        <v>2687.69</v>
      </c>
      <c r="AF68" s="990">
        <v>2723.93</v>
      </c>
      <c r="AG68" s="990">
        <v>0</v>
      </c>
      <c r="AH68" s="990">
        <v>5447.9</v>
      </c>
      <c r="AI68" s="990">
        <v>2785.53</v>
      </c>
      <c r="AJ68" s="990">
        <v>0</v>
      </c>
      <c r="AK68" s="990">
        <v>0</v>
      </c>
      <c r="AL68" s="990">
        <v>0</v>
      </c>
      <c r="AM68" s="990">
        <v>1241.3800000000001</v>
      </c>
      <c r="AN68" s="990">
        <v>0</v>
      </c>
      <c r="AO68" s="990">
        <v>0</v>
      </c>
      <c r="AP68" s="990">
        <v>0</v>
      </c>
      <c r="AQ68" s="990">
        <v>12435.46</v>
      </c>
      <c r="AR68" s="990">
        <v>0</v>
      </c>
      <c r="AS68" s="990">
        <v>0</v>
      </c>
      <c r="AT68" s="990">
        <v>0</v>
      </c>
      <c r="AU68" s="990">
        <v>0</v>
      </c>
      <c r="AV68" s="990">
        <v>0</v>
      </c>
      <c r="AW68" s="990">
        <v>0</v>
      </c>
      <c r="AX68" s="990">
        <v>0</v>
      </c>
      <c r="AY68" s="990">
        <v>0</v>
      </c>
      <c r="AZ68" s="990">
        <v>0</v>
      </c>
      <c r="BA68" s="990">
        <v>0</v>
      </c>
      <c r="BB68" s="990">
        <v>0</v>
      </c>
      <c r="BC68" s="990">
        <v>0</v>
      </c>
      <c r="BD68" s="990">
        <v>0</v>
      </c>
      <c r="BF68" s="978"/>
    </row>
    <row r="69" spans="1:58" ht="15" customHeight="1">
      <c r="B69" s="983" t="s">
        <v>1350</v>
      </c>
      <c r="C69" s="984" t="s">
        <v>1349</v>
      </c>
      <c r="D69" s="990">
        <v>0</v>
      </c>
      <c r="E69" s="990">
        <v>0</v>
      </c>
      <c r="F69" s="990">
        <v>50</v>
      </c>
      <c r="G69" s="990">
        <v>50</v>
      </c>
      <c r="H69" s="990">
        <v>0</v>
      </c>
      <c r="I69" s="990">
        <v>0</v>
      </c>
      <c r="J69" s="990">
        <v>0</v>
      </c>
      <c r="K69" s="990">
        <v>0</v>
      </c>
      <c r="L69" s="990">
        <v>0</v>
      </c>
      <c r="M69" s="990">
        <v>25</v>
      </c>
      <c r="N69" s="990">
        <v>0</v>
      </c>
      <c r="O69" s="990">
        <v>25</v>
      </c>
      <c r="P69" s="990">
        <v>0</v>
      </c>
      <c r="Q69" s="990">
        <v>0</v>
      </c>
      <c r="R69" s="990">
        <v>0</v>
      </c>
      <c r="S69" s="990">
        <v>0</v>
      </c>
      <c r="T69" s="990">
        <v>0</v>
      </c>
      <c r="U69" s="990">
        <v>0</v>
      </c>
      <c r="V69" s="990">
        <v>0</v>
      </c>
      <c r="W69" s="990">
        <v>0</v>
      </c>
      <c r="X69" s="990">
        <v>0</v>
      </c>
      <c r="Y69" s="990">
        <v>0</v>
      </c>
      <c r="Z69" s="990">
        <v>0</v>
      </c>
      <c r="AA69" s="990">
        <v>0</v>
      </c>
      <c r="AB69" s="990">
        <v>0</v>
      </c>
      <c r="AC69" s="990">
        <v>0</v>
      </c>
      <c r="AD69" s="990">
        <v>0</v>
      </c>
      <c r="AE69" s="990">
        <v>0</v>
      </c>
      <c r="AF69" s="990">
        <v>0</v>
      </c>
      <c r="AG69" s="990">
        <v>0</v>
      </c>
      <c r="AH69" s="990">
        <v>0</v>
      </c>
      <c r="AI69" s="990">
        <v>0</v>
      </c>
      <c r="AJ69" s="990">
        <v>0</v>
      </c>
      <c r="AK69" s="990">
        <v>0</v>
      </c>
      <c r="AL69" s="990">
        <v>0</v>
      </c>
      <c r="AM69" s="990">
        <v>0</v>
      </c>
      <c r="AN69" s="990">
        <v>0</v>
      </c>
      <c r="AO69" s="990">
        <v>0</v>
      </c>
      <c r="AP69" s="990">
        <v>0</v>
      </c>
      <c r="AQ69" s="990">
        <v>0</v>
      </c>
      <c r="AR69" s="990">
        <v>0</v>
      </c>
      <c r="AS69" s="990">
        <v>0</v>
      </c>
      <c r="AT69" s="990">
        <v>0</v>
      </c>
      <c r="AU69" s="990">
        <v>0</v>
      </c>
      <c r="AV69" s="990">
        <v>0</v>
      </c>
      <c r="AW69" s="990">
        <v>0</v>
      </c>
      <c r="AX69" s="990">
        <v>0</v>
      </c>
      <c r="AY69" s="990">
        <v>0</v>
      </c>
      <c r="AZ69" s="990">
        <v>0</v>
      </c>
      <c r="BA69" s="990">
        <v>0</v>
      </c>
      <c r="BB69" s="990">
        <v>0</v>
      </c>
      <c r="BC69" s="990">
        <v>0</v>
      </c>
      <c r="BD69" s="990">
        <v>0</v>
      </c>
      <c r="BF69" s="978"/>
    </row>
    <row r="70" spans="1:58" ht="15" customHeight="1">
      <c r="B70" s="983" t="s">
        <v>1348</v>
      </c>
      <c r="C70" s="984" t="s">
        <v>1347</v>
      </c>
      <c r="D70" s="990">
        <v>0</v>
      </c>
      <c r="E70" s="990">
        <v>0</v>
      </c>
      <c r="F70" s="990">
        <v>0</v>
      </c>
      <c r="G70" s="990">
        <v>0</v>
      </c>
      <c r="H70" s="990">
        <v>0</v>
      </c>
      <c r="I70" s="990">
        <v>0</v>
      </c>
      <c r="J70" s="990">
        <v>0</v>
      </c>
      <c r="K70" s="990">
        <v>0</v>
      </c>
      <c r="L70" s="990">
        <v>0</v>
      </c>
      <c r="M70" s="990">
        <v>0</v>
      </c>
      <c r="N70" s="990">
        <v>0</v>
      </c>
      <c r="O70" s="990">
        <v>0</v>
      </c>
      <c r="P70" s="990">
        <v>0</v>
      </c>
      <c r="Q70" s="990">
        <v>0</v>
      </c>
      <c r="R70" s="990">
        <v>0</v>
      </c>
      <c r="S70" s="990">
        <v>0</v>
      </c>
      <c r="T70" s="990">
        <v>0</v>
      </c>
      <c r="U70" s="990">
        <v>0</v>
      </c>
      <c r="V70" s="990">
        <v>0</v>
      </c>
      <c r="W70" s="990">
        <v>0</v>
      </c>
      <c r="X70" s="990">
        <v>0</v>
      </c>
      <c r="Y70" s="990">
        <v>5776.21</v>
      </c>
      <c r="Z70" s="990">
        <v>0</v>
      </c>
      <c r="AA70" s="990">
        <v>0</v>
      </c>
      <c r="AB70" s="990">
        <v>0</v>
      </c>
      <c r="AC70" s="990">
        <v>5168.95</v>
      </c>
      <c r="AD70" s="990">
        <v>0</v>
      </c>
      <c r="AE70" s="990">
        <v>18319.43</v>
      </c>
      <c r="AF70" s="990">
        <v>0</v>
      </c>
      <c r="AG70" s="990">
        <v>0</v>
      </c>
      <c r="AH70" s="990">
        <v>0</v>
      </c>
      <c r="AI70" s="990">
        <v>0</v>
      </c>
      <c r="AJ70" s="990">
        <v>0</v>
      </c>
      <c r="AK70" s="990">
        <v>0</v>
      </c>
      <c r="AL70" s="990">
        <v>0</v>
      </c>
      <c r="AM70" s="990">
        <v>0</v>
      </c>
      <c r="AN70" s="990">
        <v>0</v>
      </c>
      <c r="AO70" s="990">
        <v>0</v>
      </c>
      <c r="AP70" s="990">
        <v>0</v>
      </c>
      <c r="AQ70" s="990">
        <v>0</v>
      </c>
      <c r="AR70" s="990">
        <v>0</v>
      </c>
      <c r="AS70" s="990">
        <v>15486.72</v>
      </c>
      <c r="AT70" s="990">
        <v>0</v>
      </c>
      <c r="AU70" s="990">
        <v>0</v>
      </c>
      <c r="AV70" s="990">
        <v>0</v>
      </c>
      <c r="AW70" s="990">
        <v>0</v>
      </c>
      <c r="AX70" s="990">
        <v>0</v>
      </c>
      <c r="AY70" s="990">
        <v>0</v>
      </c>
      <c r="AZ70" s="990">
        <v>0</v>
      </c>
      <c r="BA70" s="990">
        <v>0</v>
      </c>
      <c r="BB70" s="990">
        <v>0</v>
      </c>
      <c r="BC70" s="990">
        <v>0</v>
      </c>
      <c r="BD70" s="990">
        <v>0</v>
      </c>
      <c r="BF70" s="978"/>
    </row>
    <row r="71" spans="1:58" ht="15" customHeight="1">
      <c r="B71" s="983" t="s">
        <v>1346</v>
      </c>
      <c r="C71" s="984" t="s">
        <v>1345</v>
      </c>
      <c r="D71" s="990">
        <v>0</v>
      </c>
      <c r="E71" s="990">
        <v>0</v>
      </c>
      <c r="F71" s="990">
        <v>0</v>
      </c>
      <c r="G71" s="990">
        <v>0</v>
      </c>
      <c r="H71" s="990">
        <v>0</v>
      </c>
      <c r="I71" s="990">
        <v>0</v>
      </c>
      <c r="J71" s="990">
        <v>0</v>
      </c>
      <c r="K71" s="990">
        <v>11886.1</v>
      </c>
      <c r="L71" s="990">
        <v>0</v>
      </c>
      <c r="M71" s="990">
        <v>0</v>
      </c>
      <c r="N71" s="990">
        <v>0</v>
      </c>
      <c r="O71" s="990">
        <v>0</v>
      </c>
      <c r="P71" s="990">
        <v>0</v>
      </c>
      <c r="Q71" s="990">
        <v>0</v>
      </c>
      <c r="R71" s="990">
        <v>0</v>
      </c>
      <c r="S71" s="990">
        <v>0</v>
      </c>
      <c r="T71" s="990">
        <v>0</v>
      </c>
      <c r="U71" s="990">
        <v>0</v>
      </c>
      <c r="V71" s="990">
        <v>0</v>
      </c>
      <c r="W71" s="990">
        <v>0</v>
      </c>
      <c r="X71" s="990">
        <v>0</v>
      </c>
      <c r="Y71" s="990">
        <v>0</v>
      </c>
      <c r="Z71" s="990">
        <v>0</v>
      </c>
      <c r="AA71" s="990">
        <v>0</v>
      </c>
      <c r="AB71" s="990">
        <v>0</v>
      </c>
      <c r="AC71" s="990">
        <v>0</v>
      </c>
      <c r="AD71" s="990">
        <v>0</v>
      </c>
      <c r="AE71" s="990">
        <v>0</v>
      </c>
      <c r="AF71" s="990">
        <v>0</v>
      </c>
      <c r="AG71" s="990">
        <v>0</v>
      </c>
      <c r="AH71" s="990">
        <v>0</v>
      </c>
      <c r="AI71" s="990">
        <v>0</v>
      </c>
      <c r="AJ71" s="990">
        <v>0</v>
      </c>
      <c r="AK71" s="990">
        <v>0</v>
      </c>
      <c r="AL71" s="990">
        <v>0</v>
      </c>
      <c r="AM71" s="990">
        <v>0</v>
      </c>
      <c r="AN71" s="990">
        <v>0</v>
      </c>
      <c r="AO71" s="990">
        <v>0</v>
      </c>
      <c r="AP71" s="990">
        <v>0</v>
      </c>
      <c r="AQ71" s="990">
        <v>0</v>
      </c>
      <c r="AR71" s="990">
        <v>0</v>
      </c>
      <c r="AS71" s="990">
        <v>0</v>
      </c>
      <c r="AT71" s="990">
        <v>0</v>
      </c>
      <c r="AU71" s="990">
        <v>0</v>
      </c>
      <c r="AV71" s="990">
        <v>0</v>
      </c>
      <c r="AW71" s="990">
        <v>0</v>
      </c>
      <c r="AX71" s="990">
        <v>0</v>
      </c>
      <c r="AY71" s="990">
        <v>0</v>
      </c>
      <c r="AZ71" s="990">
        <v>0</v>
      </c>
      <c r="BA71" s="990">
        <v>0</v>
      </c>
      <c r="BB71" s="990">
        <v>0</v>
      </c>
      <c r="BC71" s="990">
        <v>0</v>
      </c>
      <c r="BD71" s="990">
        <v>0</v>
      </c>
      <c r="BF71" s="978"/>
    </row>
    <row r="72" spans="1:58" ht="15" customHeight="1">
      <c r="B72" s="983" t="s">
        <v>1344</v>
      </c>
      <c r="C72" s="984" t="s">
        <v>1343</v>
      </c>
      <c r="D72" s="990">
        <v>0</v>
      </c>
      <c r="E72" s="990">
        <v>0</v>
      </c>
      <c r="F72" s="990">
        <v>0</v>
      </c>
      <c r="G72" s="990">
        <v>0</v>
      </c>
      <c r="H72" s="990">
        <v>0</v>
      </c>
      <c r="I72" s="990">
        <v>0</v>
      </c>
      <c r="J72" s="990">
        <v>0</v>
      </c>
      <c r="K72" s="990">
        <v>0</v>
      </c>
      <c r="L72" s="990">
        <v>0</v>
      </c>
      <c r="M72" s="990">
        <v>0</v>
      </c>
      <c r="N72" s="990">
        <v>0</v>
      </c>
      <c r="O72" s="990">
        <v>0</v>
      </c>
      <c r="P72" s="990">
        <v>0</v>
      </c>
      <c r="Q72" s="990">
        <v>0</v>
      </c>
      <c r="R72" s="990">
        <v>0</v>
      </c>
      <c r="S72" s="990">
        <v>0</v>
      </c>
      <c r="T72" s="990">
        <v>0</v>
      </c>
      <c r="U72" s="990">
        <v>0</v>
      </c>
      <c r="V72" s="990">
        <v>0</v>
      </c>
      <c r="W72" s="990">
        <v>0</v>
      </c>
      <c r="X72" s="990">
        <v>0</v>
      </c>
      <c r="Y72" s="990">
        <v>180</v>
      </c>
      <c r="Z72" s="990">
        <v>180</v>
      </c>
      <c r="AA72" s="990">
        <v>1360</v>
      </c>
      <c r="AB72" s="990">
        <v>0</v>
      </c>
      <c r="AC72" s="990">
        <v>0</v>
      </c>
      <c r="AD72" s="990">
        <v>3220</v>
      </c>
      <c r="AE72" s="990">
        <v>429</v>
      </c>
      <c r="AF72" s="990">
        <v>249</v>
      </c>
      <c r="AG72" s="990">
        <v>249</v>
      </c>
      <c r="AH72" s="990">
        <v>69</v>
      </c>
      <c r="AI72" s="990">
        <v>69</v>
      </c>
      <c r="AJ72" s="990">
        <v>69</v>
      </c>
      <c r="AK72" s="990">
        <v>69</v>
      </c>
      <c r="AL72" s="990">
        <v>69</v>
      </c>
      <c r="AM72" s="990">
        <v>69</v>
      </c>
      <c r="AN72" s="990">
        <v>69</v>
      </c>
      <c r="AO72" s="990">
        <v>69</v>
      </c>
      <c r="AP72" s="990">
        <v>69</v>
      </c>
      <c r="AQ72" s="990">
        <v>69</v>
      </c>
      <c r="AR72" s="990">
        <v>5069</v>
      </c>
      <c r="AS72" s="990">
        <v>5294</v>
      </c>
      <c r="AT72" s="990">
        <v>69</v>
      </c>
      <c r="AU72" s="990">
        <v>69</v>
      </c>
      <c r="AV72" s="990">
        <v>69</v>
      </c>
      <c r="AW72" s="990">
        <v>69</v>
      </c>
      <c r="AX72" s="990">
        <v>69</v>
      </c>
      <c r="AY72" s="990">
        <v>69</v>
      </c>
      <c r="AZ72" s="990">
        <v>69</v>
      </c>
      <c r="BA72" s="990">
        <v>69</v>
      </c>
      <c r="BB72" s="990">
        <v>69</v>
      </c>
      <c r="BC72" s="990">
        <v>69</v>
      </c>
      <c r="BD72" s="990">
        <v>69</v>
      </c>
      <c r="BF72" s="978"/>
    </row>
    <row r="73" spans="1:58" ht="15" customHeight="1">
      <c r="A73" s="977" t="s">
        <v>1342</v>
      </c>
      <c r="B73" s="983" t="s">
        <v>1341</v>
      </c>
      <c r="C73" s="984" t="s">
        <v>1340</v>
      </c>
      <c r="D73" s="986">
        <v>0</v>
      </c>
      <c r="E73" s="986">
        <v>8600</v>
      </c>
      <c r="F73" s="986">
        <v>7443.1</v>
      </c>
      <c r="G73" s="986">
        <v>13621.02</v>
      </c>
      <c r="H73" s="986">
        <v>4300</v>
      </c>
      <c r="I73" s="986">
        <v>8766.9699999999993</v>
      </c>
      <c r="J73" s="986">
        <v>8103.35</v>
      </c>
      <c r="K73" s="986">
        <v>16186.1</v>
      </c>
      <c r="L73" s="986">
        <v>4300</v>
      </c>
      <c r="M73" s="986">
        <v>5476.37</v>
      </c>
      <c r="N73" s="986">
        <v>4300</v>
      </c>
      <c r="O73" s="986">
        <v>4825</v>
      </c>
      <c r="P73" s="986">
        <v>7547.56</v>
      </c>
      <c r="Q73" s="986">
        <v>7000</v>
      </c>
      <c r="R73" s="986">
        <v>7000</v>
      </c>
      <c r="S73" s="986">
        <v>7000</v>
      </c>
      <c r="T73" s="986">
        <v>10758.14</v>
      </c>
      <c r="U73" s="986">
        <v>8105.92</v>
      </c>
      <c r="V73" s="986">
        <v>10800.66</v>
      </c>
      <c r="W73" s="986">
        <v>10892.11</v>
      </c>
      <c r="X73" s="986">
        <v>10887.56</v>
      </c>
      <c r="Y73" s="986">
        <v>16143.9</v>
      </c>
      <c r="Z73" s="986">
        <v>7180</v>
      </c>
      <c r="AA73" s="986">
        <v>8360</v>
      </c>
      <c r="AB73" s="986">
        <v>10887.56</v>
      </c>
      <c r="AC73" s="986">
        <v>12168.95</v>
      </c>
      <c r="AD73" s="986">
        <v>12907.69</v>
      </c>
      <c r="AE73" s="986">
        <v>28436.12</v>
      </c>
      <c r="AF73" s="986">
        <v>9972.93</v>
      </c>
      <c r="AG73" s="986">
        <v>7249</v>
      </c>
      <c r="AH73" s="986">
        <v>12516.9</v>
      </c>
      <c r="AI73" s="986">
        <v>9854.5300000000007</v>
      </c>
      <c r="AJ73" s="986">
        <v>7069</v>
      </c>
      <c r="AK73" s="986">
        <v>7069</v>
      </c>
      <c r="AL73" s="986">
        <v>7069</v>
      </c>
      <c r="AM73" s="986">
        <v>1310.3800000000001</v>
      </c>
      <c r="AN73" s="986">
        <v>14069</v>
      </c>
      <c r="AO73" s="986">
        <v>7069</v>
      </c>
      <c r="AP73" s="986">
        <v>7069</v>
      </c>
      <c r="AQ73" s="986">
        <v>15568.96</v>
      </c>
      <c r="AR73" s="986">
        <v>18069</v>
      </c>
      <c r="AS73" s="986">
        <v>33780.720000000001</v>
      </c>
      <c r="AT73" s="986">
        <v>13069</v>
      </c>
      <c r="AU73" s="986">
        <v>4533.8</v>
      </c>
      <c r="AV73" s="986">
        <v>2301.4</v>
      </c>
      <c r="AW73" s="986">
        <v>2301.4</v>
      </c>
      <c r="AX73" s="986">
        <v>-2163.4</v>
      </c>
      <c r="AY73" s="986">
        <v>69</v>
      </c>
      <c r="AZ73" s="986">
        <v>69</v>
      </c>
      <c r="BA73" s="986">
        <v>14693.52</v>
      </c>
      <c r="BB73" s="986">
        <v>18542.580000000002</v>
      </c>
      <c r="BC73" s="986">
        <v>12281.16</v>
      </c>
      <c r="BD73" s="986">
        <v>-12483.54</v>
      </c>
      <c r="BF73" s="978"/>
    </row>
    <row r="74" spans="1:58" ht="15" customHeight="1">
      <c r="B74" s="983" t="s">
        <v>1339</v>
      </c>
      <c r="C74" s="984" t="s">
        <v>1338</v>
      </c>
      <c r="D74" s="986">
        <v>0</v>
      </c>
      <c r="E74" s="986">
        <v>8600</v>
      </c>
      <c r="F74" s="986">
        <v>7443.1</v>
      </c>
      <c r="G74" s="986">
        <v>13621.02</v>
      </c>
      <c r="H74" s="986">
        <v>4300</v>
      </c>
      <c r="I74" s="986">
        <v>8766.9699999999993</v>
      </c>
      <c r="J74" s="986">
        <v>8103.35</v>
      </c>
      <c r="K74" s="986">
        <v>16186.1</v>
      </c>
      <c r="L74" s="986">
        <v>4300</v>
      </c>
      <c r="M74" s="986">
        <v>5476.37</v>
      </c>
      <c r="N74" s="986">
        <v>4300</v>
      </c>
      <c r="O74" s="986">
        <v>4825</v>
      </c>
      <c r="P74" s="986">
        <v>7547.56</v>
      </c>
      <c r="Q74" s="986">
        <v>7000</v>
      </c>
      <c r="R74" s="986">
        <v>7000</v>
      </c>
      <c r="S74" s="986">
        <v>7000</v>
      </c>
      <c r="T74" s="986">
        <v>10758.14</v>
      </c>
      <c r="U74" s="986">
        <v>8105.92</v>
      </c>
      <c r="V74" s="986">
        <v>10800.66</v>
      </c>
      <c r="W74" s="986">
        <v>10892.11</v>
      </c>
      <c r="X74" s="986">
        <v>10887.56</v>
      </c>
      <c r="Y74" s="986">
        <v>16143.9</v>
      </c>
      <c r="Z74" s="986">
        <v>7180</v>
      </c>
      <c r="AA74" s="986">
        <v>8360</v>
      </c>
      <c r="AB74" s="986">
        <v>10887.56</v>
      </c>
      <c r="AC74" s="986">
        <v>12168.95</v>
      </c>
      <c r="AD74" s="986">
        <v>12907.69</v>
      </c>
      <c r="AE74" s="986">
        <v>28436.12</v>
      </c>
      <c r="AF74" s="986">
        <v>9972.93</v>
      </c>
      <c r="AG74" s="986">
        <v>7249</v>
      </c>
      <c r="AH74" s="986">
        <v>12516.9</v>
      </c>
      <c r="AI74" s="986">
        <v>9854.5300000000007</v>
      </c>
      <c r="AJ74" s="986">
        <v>7069</v>
      </c>
      <c r="AK74" s="986">
        <v>7069</v>
      </c>
      <c r="AL74" s="986">
        <v>7069</v>
      </c>
      <c r="AM74" s="986">
        <v>1310.3800000000001</v>
      </c>
      <c r="AN74" s="986">
        <v>14069</v>
      </c>
      <c r="AO74" s="986">
        <v>7069</v>
      </c>
      <c r="AP74" s="986">
        <v>7069</v>
      </c>
      <c r="AQ74" s="986">
        <v>15568.96</v>
      </c>
      <c r="AR74" s="986">
        <v>18069</v>
      </c>
      <c r="AS74" s="986">
        <v>33780.720000000001</v>
      </c>
      <c r="AT74" s="986">
        <v>13069</v>
      </c>
      <c r="AU74" s="986">
        <v>4533.8</v>
      </c>
      <c r="AV74" s="986">
        <v>2301.4</v>
      </c>
      <c r="AW74" s="986">
        <v>2301.4</v>
      </c>
      <c r="AX74" s="986">
        <v>-2163.4</v>
      </c>
      <c r="AY74" s="986">
        <v>69</v>
      </c>
      <c r="AZ74" s="986">
        <v>69</v>
      </c>
      <c r="BA74" s="986">
        <v>14693.52</v>
      </c>
      <c r="BB74" s="986">
        <v>18542.580000000002</v>
      </c>
      <c r="BC74" s="986">
        <v>12281.16</v>
      </c>
      <c r="BD74" s="986">
        <v>-12483.54</v>
      </c>
      <c r="BF74" s="978"/>
    </row>
    <row r="75" spans="1:58" ht="15" customHeight="1">
      <c r="B75" s="983" t="s">
        <v>1337</v>
      </c>
      <c r="C75" s="984" t="s">
        <v>1336</v>
      </c>
      <c r="D75" s="987">
        <v>0</v>
      </c>
      <c r="E75" s="987">
        <v>0</v>
      </c>
      <c r="F75" s="987">
        <v>0</v>
      </c>
      <c r="G75" s="987">
        <v>0</v>
      </c>
      <c r="H75" s="987">
        <v>0</v>
      </c>
      <c r="I75" s="987">
        <v>0</v>
      </c>
      <c r="J75" s="987">
        <v>0</v>
      </c>
      <c r="K75" s="987">
        <v>0</v>
      </c>
      <c r="L75" s="987">
        <v>0</v>
      </c>
      <c r="M75" s="987">
        <v>0</v>
      </c>
      <c r="N75" s="987">
        <v>0</v>
      </c>
      <c r="O75" s="987">
        <v>0</v>
      </c>
      <c r="P75" s="987">
        <v>0</v>
      </c>
      <c r="Q75" s="987">
        <v>0</v>
      </c>
      <c r="R75" s="987">
        <v>0</v>
      </c>
      <c r="S75" s="987">
        <v>0</v>
      </c>
      <c r="T75" s="987">
        <v>0</v>
      </c>
      <c r="U75" s="987">
        <v>0</v>
      </c>
      <c r="V75" s="987">
        <v>0</v>
      </c>
      <c r="W75" s="987">
        <v>0</v>
      </c>
      <c r="X75" s="987">
        <v>0</v>
      </c>
      <c r="Y75" s="987">
        <v>0</v>
      </c>
      <c r="Z75" s="987">
        <v>0</v>
      </c>
      <c r="AA75" s="987">
        <v>0</v>
      </c>
      <c r="AB75" s="987">
        <v>0</v>
      </c>
      <c r="AC75" s="987">
        <v>0</v>
      </c>
      <c r="AD75" s="987">
        <v>0</v>
      </c>
      <c r="AE75" s="987">
        <v>0</v>
      </c>
      <c r="AF75" s="987">
        <v>0</v>
      </c>
      <c r="AG75" s="987">
        <v>0</v>
      </c>
      <c r="AH75" s="987">
        <v>0</v>
      </c>
      <c r="AI75" s="987">
        <v>0</v>
      </c>
      <c r="AJ75" s="987">
        <v>0</v>
      </c>
      <c r="AK75" s="987">
        <v>0</v>
      </c>
      <c r="AL75" s="987">
        <v>0</v>
      </c>
      <c r="AM75" s="987">
        <v>0</v>
      </c>
      <c r="AN75" s="987">
        <v>0</v>
      </c>
      <c r="AO75" s="987">
        <v>0</v>
      </c>
      <c r="AP75" s="987">
        <v>0</v>
      </c>
      <c r="AQ75" s="987">
        <v>0</v>
      </c>
      <c r="AR75" s="987">
        <v>0</v>
      </c>
      <c r="AS75" s="987">
        <v>0</v>
      </c>
      <c r="AT75" s="987">
        <v>0</v>
      </c>
      <c r="AU75" s="987">
        <v>0</v>
      </c>
      <c r="AV75" s="987">
        <v>0</v>
      </c>
      <c r="AW75" s="987">
        <v>0</v>
      </c>
      <c r="AX75" s="987">
        <v>0</v>
      </c>
      <c r="AY75" s="987">
        <v>0</v>
      </c>
      <c r="AZ75" s="987">
        <v>0</v>
      </c>
      <c r="BA75" s="987">
        <v>0</v>
      </c>
      <c r="BB75" s="987">
        <v>0</v>
      </c>
      <c r="BC75" s="987">
        <v>0</v>
      </c>
      <c r="BD75" s="987">
        <v>0</v>
      </c>
      <c r="BF75" s="978"/>
    </row>
    <row r="76" spans="1:58" ht="15" customHeight="1">
      <c r="B76" s="981" t="s">
        <v>939</v>
      </c>
      <c r="C76" s="980" t="s">
        <v>938</v>
      </c>
      <c r="D76" s="985">
        <v>174179.22</v>
      </c>
      <c r="E76" s="985">
        <v>183670.12</v>
      </c>
      <c r="F76" s="985">
        <v>186804.12</v>
      </c>
      <c r="G76" s="985">
        <v>190575.05</v>
      </c>
      <c r="H76" s="985">
        <v>177264.28</v>
      </c>
      <c r="I76" s="985">
        <v>180168.23</v>
      </c>
      <c r="J76" s="985">
        <v>180772.77</v>
      </c>
      <c r="K76" s="985">
        <v>239887.71</v>
      </c>
      <c r="L76" s="985">
        <v>198292.34</v>
      </c>
      <c r="M76" s="985">
        <v>289777.09999999998</v>
      </c>
      <c r="N76" s="985">
        <v>341168.57</v>
      </c>
      <c r="O76" s="985">
        <v>85750.51</v>
      </c>
      <c r="P76" s="985">
        <v>214124.83</v>
      </c>
      <c r="Q76" s="985">
        <v>209117.49</v>
      </c>
      <c r="R76" s="985">
        <v>194979.19</v>
      </c>
      <c r="S76" s="985">
        <v>215795.52</v>
      </c>
      <c r="T76" s="985">
        <v>196785.63</v>
      </c>
      <c r="U76" s="985">
        <v>217931.22</v>
      </c>
      <c r="V76" s="985">
        <v>229664.61</v>
      </c>
      <c r="W76" s="985">
        <v>227496.13</v>
      </c>
      <c r="X76" s="985">
        <v>210059.33</v>
      </c>
      <c r="Y76" s="985">
        <v>190589.75</v>
      </c>
      <c r="Z76" s="985">
        <v>226998.88</v>
      </c>
      <c r="AA76" s="985">
        <v>197965.88</v>
      </c>
      <c r="AB76" s="985">
        <v>193878.53</v>
      </c>
      <c r="AC76" s="985">
        <v>186227.67</v>
      </c>
      <c r="AD76" s="985">
        <v>212827.01</v>
      </c>
      <c r="AE76" s="985">
        <v>232514.58</v>
      </c>
      <c r="AF76" s="985">
        <v>229370.77</v>
      </c>
      <c r="AG76" s="985">
        <v>207732.72</v>
      </c>
      <c r="AH76" s="985">
        <v>242521.89</v>
      </c>
      <c r="AI76" s="985">
        <v>243933.28</v>
      </c>
      <c r="AJ76" s="985">
        <v>221554.11</v>
      </c>
      <c r="AK76" s="985">
        <v>246617.47</v>
      </c>
      <c r="AL76" s="985">
        <v>250308.71</v>
      </c>
      <c r="AM76" s="985">
        <v>249662.7</v>
      </c>
      <c r="AN76" s="985">
        <v>266274.15999999997</v>
      </c>
      <c r="AO76" s="985">
        <v>252919.96</v>
      </c>
      <c r="AP76" s="985">
        <v>266059.06</v>
      </c>
      <c r="AQ76" s="985">
        <v>268140.03000000003</v>
      </c>
      <c r="AR76" s="985">
        <v>191155.81</v>
      </c>
      <c r="AS76" s="985">
        <v>277255.40999999997</v>
      </c>
      <c r="AT76" s="985">
        <v>280211.32</v>
      </c>
      <c r="AU76" s="985">
        <v>237282.44</v>
      </c>
      <c r="AV76" s="985">
        <v>233376.13</v>
      </c>
      <c r="AW76" s="985">
        <v>245248.22</v>
      </c>
      <c r="AX76" s="985">
        <v>267438.15999999997</v>
      </c>
      <c r="AY76" s="985">
        <v>241454.83</v>
      </c>
      <c r="AZ76" s="985">
        <v>241454.83</v>
      </c>
      <c r="BA76" s="985">
        <v>253758.57</v>
      </c>
      <c r="BB76" s="985">
        <v>261130.94</v>
      </c>
      <c r="BC76" s="985">
        <v>255189.01</v>
      </c>
      <c r="BD76" s="985">
        <v>204004.61</v>
      </c>
      <c r="BF76" s="978"/>
    </row>
    <row r="77" spans="1:58" ht="15" customHeight="1">
      <c r="B77" s="983"/>
      <c r="C77" s="984"/>
      <c r="D77" s="983"/>
      <c r="E77" s="983"/>
      <c r="F77" s="983"/>
      <c r="G77" s="983"/>
      <c r="H77" s="983"/>
      <c r="I77" s="983"/>
      <c r="J77" s="983"/>
      <c r="K77" s="983"/>
      <c r="L77" s="983"/>
      <c r="M77" s="983"/>
      <c r="N77" s="983"/>
      <c r="O77" s="983"/>
      <c r="P77" s="983"/>
      <c r="Q77" s="983"/>
      <c r="R77" s="983"/>
      <c r="S77" s="983"/>
      <c r="T77" s="983"/>
      <c r="U77" s="983"/>
      <c r="V77" s="983"/>
      <c r="W77" s="983"/>
      <c r="X77" s="983"/>
      <c r="Y77" s="983"/>
      <c r="Z77" s="983"/>
      <c r="AA77" s="983"/>
      <c r="AB77" s="983"/>
      <c r="AC77" s="983"/>
      <c r="AD77" s="983"/>
      <c r="AE77" s="983"/>
      <c r="AF77" s="983"/>
      <c r="AG77" s="983"/>
      <c r="AH77" s="983"/>
      <c r="AI77" s="983"/>
      <c r="AJ77" s="983"/>
      <c r="AK77" s="983"/>
      <c r="AL77" s="983"/>
      <c r="AM77" s="983"/>
      <c r="AN77" s="983"/>
      <c r="AO77" s="983"/>
      <c r="AP77" s="983"/>
      <c r="AQ77" s="983"/>
      <c r="AR77" s="983"/>
      <c r="AS77" s="983"/>
      <c r="AT77" s="983"/>
      <c r="AU77" s="983"/>
      <c r="AV77" s="983"/>
      <c r="AW77" s="983"/>
      <c r="AX77" s="983"/>
      <c r="AY77" s="983"/>
      <c r="AZ77" s="983"/>
      <c r="BA77" s="983"/>
      <c r="BB77" s="983"/>
      <c r="BC77" s="983"/>
      <c r="BD77" s="983"/>
      <c r="BF77" s="978"/>
    </row>
    <row r="78" spans="1:58" ht="15" customHeight="1">
      <c r="B78" s="981" t="s">
        <v>937</v>
      </c>
      <c r="C78" s="980" t="s">
        <v>936</v>
      </c>
      <c r="D78" s="991"/>
      <c r="E78" s="991"/>
      <c r="F78" s="991"/>
      <c r="G78" s="991"/>
      <c r="H78" s="991"/>
      <c r="I78" s="991"/>
      <c r="J78" s="991"/>
      <c r="K78" s="991"/>
      <c r="L78" s="991"/>
      <c r="M78" s="991"/>
      <c r="N78" s="991"/>
      <c r="O78" s="991"/>
      <c r="P78" s="991"/>
      <c r="Q78" s="991"/>
      <c r="R78" s="991"/>
      <c r="S78" s="991"/>
      <c r="T78" s="991"/>
      <c r="U78" s="991"/>
      <c r="V78" s="991"/>
      <c r="W78" s="991"/>
      <c r="X78" s="991"/>
      <c r="Y78" s="991"/>
      <c r="Z78" s="991"/>
      <c r="AA78" s="991"/>
      <c r="AB78" s="991"/>
      <c r="AC78" s="991"/>
      <c r="AD78" s="991"/>
      <c r="AE78" s="991"/>
      <c r="AF78" s="991"/>
      <c r="AG78" s="991"/>
      <c r="AH78" s="991"/>
      <c r="AI78" s="991"/>
      <c r="AJ78" s="991"/>
      <c r="AK78" s="991"/>
      <c r="AL78" s="991"/>
      <c r="AM78" s="991"/>
      <c r="AN78" s="991"/>
      <c r="AO78" s="991"/>
      <c r="AP78" s="991"/>
      <c r="AQ78" s="991"/>
      <c r="AR78" s="991"/>
      <c r="AS78" s="991"/>
      <c r="AT78" s="991"/>
      <c r="AU78" s="991"/>
      <c r="AV78" s="991"/>
      <c r="AW78" s="991"/>
      <c r="AX78" s="991"/>
      <c r="AY78" s="991"/>
      <c r="AZ78" s="991"/>
      <c r="BA78" s="991"/>
      <c r="BB78" s="991"/>
      <c r="BC78" s="991"/>
      <c r="BD78" s="991"/>
      <c r="BF78" s="978"/>
    </row>
    <row r="79" spans="1:58" ht="15" customHeight="1">
      <c r="B79" s="983" t="s">
        <v>935</v>
      </c>
      <c r="C79" s="984" t="s">
        <v>934</v>
      </c>
      <c r="D79" s="989"/>
      <c r="E79" s="989"/>
      <c r="F79" s="989"/>
      <c r="G79" s="989"/>
      <c r="H79" s="989"/>
      <c r="I79" s="989"/>
      <c r="J79" s="989"/>
      <c r="K79" s="989"/>
      <c r="L79" s="989"/>
      <c r="M79" s="989"/>
      <c r="N79" s="989"/>
      <c r="O79" s="989"/>
      <c r="P79" s="989"/>
      <c r="Q79" s="989"/>
      <c r="R79" s="989"/>
      <c r="S79" s="989"/>
      <c r="T79" s="989"/>
      <c r="U79" s="989"/>
      <c r="V79" s="989"/>
      <c r="W79" s="989"/>
      <c r="X79" s="989"/>
      <c r="Y79" s="989"/>
      <c r="Z79" s="989"/>
      <c r="AA79" s="989"/>
      <c r="AB79" s="989"/>
      <c r="AC79" s="989"/>
      <c r="AD79" s="989"/>
      <c r="AE79" s="989"/>
      <c r="AF79" s="989"/>
      <c r="AG79" s="989"/>
      <c r="AH79" s="989"/>
      <c r="AI79" s="989"/>
      <c r="AJ79" s="989"/>
      <c r="AK79" s="989"/>
      <c r="AL79" s="989"/>
      <c r="AM79" s="989"/>
      <c r="AN79" s="989"/>
      <c r="AO79" s="989"/>
      <c r="AP79" s="989"/>
      <c r="AQ79" s="989"/>
      <c r="AR79" s="989"/>
      <c r="AS79" s="989"/>
      <c r="AT79" s="989"/>
      <c r="AU79" s="989"/>
      <c r="AV79" s="989"/>
      <c r="AW79" s="989"/>
      <c r="AX79" s="989"/>
      <c r="AY79" s="989"/>
      <c r="AZ79" s="989"/>
      <c r="BA79" s="989"/>
      <c r="BB79" s="989"/>
      <c r="BC79" s="989"/>
      <c r="BD79" s="989"/>
      <c r="BF79" s="978"/>
    </row>
    <row r="80" spans="1:58" ht="15" customHeight="1">
      <c r="B80" s="983" t="s">
        <v>933</v>
      </c>
      <c r="C80" s="984" t="s">
        <v>932</v>
      </c>
      <c r="D80" s="989"/>
      <c r="E80" s="989"/>
      <c r="F80" s="989"/>
      <c r="G80" s="989"/>
      <c r="H80" s="989"/>
      <c r="I80" s="989"/>
      <c r="J80" s="989"/>
      <c r="K80" s="989"/>
      <c r="L80" s="989"/>
      <c r="M80" s="989"/>
      <c r="N80" s="989"/>
      <c r="O80" s="989"/>
      <c r="P80" s="989"/>
      <c r="Q80" s="989"/>
      <c r="R80" s="989"/>
      <c r="S80" s="989"/>
      <c r="T80" s="989"/>
      <c r="U80" s="989"/>
      <c r="V80" s="989"/>
      <c r="W80" s="989"/>
      <c r="X80" s="989"/>
      <c r="Y80" s="989"/>
      <c r="Z80" s="989"/>
      <c r="AA80" s="989"/>
      <c r="AB80" s="989"/>
      <c r="AC80" s="989"/>
      <c r="AD80" s="989"/>
      <c r="AE80" s="989"/>
      <c r="AF80" s="989"/>
      <c r="AG80" s="989"/>
      <c r="AH80" s="989"/>
      <c r="AI80" s="989"/>
      <c r="AJ80" s="989"/>
      <c r="AK80" s="989"/>
      <c r="AL80" s="989"/>
      <c r="AM80" s="989"/>
      <c r="AN80" s="989"/>
      <c r="AO80" s="989"/>
      <c r="AP80" s="989"/>
      <c r="AQ80" s="989"/>
      <c r="AR80" s="989"/>
      <c r="AS80" s="989"/>
      <c r="AT80" s="989"/>
      <c r="AU80" s="989"/>
      <c r="AV80" s="989"/>
      <c r="AW80" s="989"/>
      <c r="AX80" s="989"/>
      <c r="AY80" s="989"/>
      <c r="AZ80" s="989"/>
      <c r="BA80" s="989"/>
      <c r="BB80" s="989"/>
      <c r="BC80" s="989"/>
      <c r="BD80" s="989"/>
      <c r="BF80" s="978"/>
    </row>
    <row r="81" spans="2:58" ht="15" customHeight="1">
      <c r="B81" s="983" t="s">
        <v>931</v>
      </c>
      <c r="C81" s="984" t="s">
        <v>930</v>
      </c>
      <c r="D81" s="989"/>
      <c r="E81" s="989"/>
      <c r="F81" s="989"/>
      <c r="G81" s="989"/>
      <c r="H81" s="989"/>
      <c r="I81" s="989"/>
      <c r="J81" s="989"/>
      <c r="K81" s="989"/>
      <c r="L81" s="989"/>
      <c r="M81" s="989"/>
      <c r="N81" s="989"/>
      <c r="O81" s="989"/>
      <c r="P81" s="989"/>
      <c r="Q81" s="989"/>
      <c r="R81" s="989"/>
      <c r="S81" s="989"/>
      <c r="T81" s="989"/>
      <c r="U81" s="989"/>
      <c r="V81" s="989"/>
      <c r="W81" s="989"/>
      <c r="X81" s="989"/>
      <c r="Y81" s="989"/>
      <c r="Z81" s="989"/>
      <c r="AA81" s="989"/>
      <c r="AB81" s="989"/>
      <c r="AC81" s="989"/>
      <c r="AD81" s="989"/>
      <c r="AE81" s="989"/>
      <c r="AF81" s="989"/>
      <c r="AG81" s="989"/>
      <c r="AH81" s="989"/>
      <c r="AI81" s="989"/>
      <c r="AJ81" s="989"/>
      <c r="AK81" s="989"/>
      <c r="AL81" s="989"/>
      <c r="AM81" s="989"/>
      <c r="AN81" s="989"/>
      <c r="AO81" s="989"/>
      <c r="AP81" s="989"/>
      <c r="AQ81" s="989"/>
      <c r="AR81" s="989"/>
      <c r="AS81" s="989"/>
      <c r="AT81" s="989"/>
      <c r="AU81" s="989"/>
      <c r="AV81" s="989"/>
      <c r="AW81" s="989"/>
      <c r="AX81" s="989"/>
      <c r="AY81" s="989"/>
      <c r="AZ81" s="989"/>
      <c r="BA81" s="989"/>
      <c r="BB81" s="989"/>
      <c r="BC81" s="989"/>
      <c r="BD81" s="989"/>
      <c r="BF81" s="978"/>
    </row>
    <row r="82" spans="2:58" ht="15" customHeight="1">
      <c r="B82" s="983" t="s">
        <v>1335</v>
      </c>
      <c r="C82" s="984" t="s">
        <v>1334</v>
      </c>
      <c r="D82" s="990">
        <v>0</v>
      </c>
      <c r="E82" s="990">
        <v>0</v>
      </c>
      <c r="F82" s="990">
        <v>0</v>
      </c>
      <c r="G82" s="990">
        <v>0</v>
      </c>
      <c r="H82" s="990">
        <v>0</v>
      </c>
      <c r="I82" s="990">
        <v>0</v>
      </c>
      <c r="J82" s="990">
        <v>0</v>
      </c>
      <c r="K82" s="990">
        <v>0</v>
      </c>
      <c r="L82" s="990">
        <v>0</v>
      </c>
      <c r="M82" s="990">
        <v>0</v>
      </c>
      <c r="N82" s="990">
        <v>0</v>
      </c>
      <c r="O82" s="990">
        <v>0</v>
      </c>
      <c r="P82" s="990">
        <v>0</v>
      </c>
      <c r="Q82" s="990">
        <v>0</v>
      </c>
      <c r="R82" s="990">
        <v>0</v>
      </c>
      <c r="S82" s="990">
        <v>0</v>
      </c>
      <c r="T82" s="990">
        <v>0</v>
      </c>
      <c r="U82" s="990">
        <v>0</v>
      </c>
      <c r="V82" s="990">
        <v>0</v>
      </c>
      <c r="W82" s="990">
        <v>0</v>
      </c>
      <c r="X82" s="990">
        <v>0</v>
      </c>
      <c r="Y82" s="990">
        <v>0</v>
      </c>
      <c r="Z82" s="990">
        <v>0</v>
      </c>
      <c r="AA82" s="990">
        <v>0</v>
      </c>
      <c r="AB82" s="990">
        <v>0</v>
      </c>
      <c r="AC82" s="990">
        <v>0</v>
      </c>
      <c r="AD82" s="990">
        <v>0</v>
      </c>
      <c r="AE82" s="990">
        <v>0</v>
      </c>
      <c r="AF82" s="990">
        <v>0</v>
      </c>
      <c r="AG82" s="990">
        <v>0</v>
      </c>
      <c r="AH82" s="990">
        <v>0</v>
      </c>
      <c r="AI82" s="990">
        <v>0</v>
      </c>
      <c r="AJ82" s="990">
        <v>0</v>
      </c>
      <c r="AK82" s="990">
        <v>0</v>
      </c>
      <c r="AL82" s="990">
        <v>0</v>
      </c>
      <c r="AM82" s="990">
        <v>0</v>
      </c>
      <c r="AN82" s="990">
        <v>0</v>
      </c>
      <c r="AO82" s="990">
        <v>0</v>
      </c>
      <c r="AP82" s="990">
        <v>0</v>
      </c>
      <c r="AQ82" s="990">
        <v>0</v>
      </c>
      <c r="AR82" s="990">
        <v>0</v>
      </c>
      <c r="AS82" s="990">
        <v>0</v>
      </c>
      <c r="AT82" s="990">
        <v>0</v>
      </c>
      <c r="AU82" s="990">
        <v>0</v>
      </c>
      <c r="AV82" s="990">
        <v>0</v>
      </c>
      <c r="AW82" s="990">
        <v>0</v>
      </c>
      <c r="AX82" s="990">
        <v>0</v>
      </c>
      <c r="AY82" s="990">
        <v>0</v>
      </c>
      <c r="AZ82" s="990">
        <v>0</v>
      </c>
      <c r="BA82" s="990">
        <v>0</v>
      </c>
      <c r="BB82" s="990">
        <v>0</v>
      </c>
      <c r="BC82" s="990">
        <v>0</v>
      </c>
      <c r="BD82" s="990">
        <v>0</v>
      </c>
      <c r="BF82" s="978"/>
    </row>
    <row r="83" spans="2:58" ht="15" customHeight="1">
      <c r="B83" s="983" t="s">
        <v>1333</v>
      </c>
      <c r="C83" s="984" t="s">
        <v>1332</v>
      </c>
      <c r="D83" s="990">
        <v>0</v>
      </c>
      <c r="E83" s="990">
        <v>0</v>
      </c>
      <c r="F83" s="990">
        <v>0</v>
      </c>
      <c r="G83" s="990">
        <v>2425</v>
      </c>
      <c r="H83" s="990">
        <v>0</v>
      </c>
      <c r="I83" s="990">
        <v>0</v>
      </c>
      <c r="J83" s="990">
        <v>0</v>
      </c>
      <c r="K83" s="990">
        <v>0</v>
      </c>
      <c r="L83" s="990">
        <v>0</v>
      </c>
      <c r="M83" s="990">
        <v>0</v>
      </c>
      <c r="N83" s="990">
        <v>0</v>
      </c>
      <c r="O83" s="990">
        <v>0</v>
      </c>
      <c r="P83" s="990">
        <v>0</v>
      </c>
      <c r="Q83" s="990">
        <v>0</v>
      </c>
      <c r="R83" s="990">
        <v>0</v>
      </c>
      <c r="S83" s="990">
        <v>0</v>
      </c>
      <c r="T83" s="990">
        <v>0</v>
      </c>
      <c r="U83" s="990">
        <v>0</v>
      </c>
      <c r="V83" s="990">
        <v>0</v>
      </c>
      <c r="W83" s="990">
        <v>0</v>
      </c>
      <c r="X83" s="990">
        <v>0</v>
      </c>
      <c r="Y83" s="990">
        <v>0</v>
      </c>
      <c r="Z83" s="990">
        <v>0</v>
      </c>
      <c r="AA83" s="990">
        <v>0</v>
      </c>
      <c r="AB83" s="990">
        <v>0</v>
      </c>
      <c r="AC83" s="990">
        <v>0</v>
      </c>
      <c r="AD83" s="990">
        <v>0</v>
      </c>
      <c r="AE83" s="990">
        <v>0</v>
      </c>
      <c r="AF83" s="990">
        <v>0</v>
      </c>
      <c r="AG83" s="990">
        <v>0</v>
      </c>
      <c r="AH83" s="990">
        <v>0</v>
      </c>
      <c r="AI83" s="990">
        <v>0</v>
      </c>
      <c r="AJ83" s="990">
        <v>0</v>
      </c>
      <c r="AK83" s="990">
        <v>0</v>
      </c>
      <c r="AL83" s="990">
        <v>0</v>
      </c>
      <c r="AM83" s="990">
        <v>0</v>
      </c>
      <c r="AN83" s="990">
        <v>0</v>
      </c>
      <c r="AO83" s="990">
        <v>0</v>
      </c>
      <c r="AP83" s="990">
        <v>0</v>
      </c>
      <c r="AQ83" s="990">
        <v>0</v>
      </c>
      <c r="AR83" s="990">
        <v>0</v>
      </c>
      <c r="AS83" s="990">
        <v>0</v>
      </c>
      <c r="AT83" s="990">
        <v>0</v>
      </c>
      <c r="AU83" s="990">
        <v>0</v>
      </c>
      <c r="AV83" s="990">
        <v>0</v>
      </c>
      <c r="AW83" s="990">
        <v>0</v>
      </c>
      <c r="AX83" s="990">
        <v>0</v>
      </c>
      <c r="AY83" s="990">
        <v>0</v>
      </c>
      <c r="AZ83" s="990">
        <v>0</v>
      </c>
      <c r="BA83" s="990">
        <v>0</v>
      </c>
      <c r="BB83" s="990">
        <v>0</v>
      </c>
      <c r="BC83" s="990">
        <v>0</v>
      </c>
      <c r="BD83" s="990">
        <v>0</v>
      </c>
      <c r="BF83" s="978"/>
    </row>
    <row r="84" spans="2:58" ht="15" customHeight="1">
      <c r="B84" s="983" t="s">
        <v>968</v>
      </c>
      <c r="C84" s="984" t="s">
        <v>969</v>
      </c>
      <c r="D84" s="990">
        <v>0</v>
      </c>
      <c r="E84" s="990">
        <v>0</v>
      </c>
      <c r="F84" s="990">
        <v>0</v>
      </c>
      <c r="G84" s="990">
        <v>0</v>
      </c>
      <c r="H84" s="990">
        <v>0</v>
      </c>
      <c r="I84" s="990">
        <v>0</v>
      </c>
      <c r="J84" s="990">
        <v>0</v>
      </c>
      <c r="K84" s="990">
        <v>0</v>
      </c>
      <c r="L84" s="990">
        <v>1930</v>
      </c>
      <c r="M84" s="990">
        <v>0</v>
      </c>
      <c r="N84" s="990">
        <v>2669.69</v>
      </c>
      <c r="O84" s="990">
        <v>195</v>
      </c>
      <c r="P84" s="990">
        <v>0</v>
      </c>
      <c r="Q84" s="990">
        <v>0</v>
      </c>
      <c r="R84" s="990">
        <v>-2074.69</v>
      </c>
      <c r="S84" s="990">
        <v>0</v>
      </c>
      <c r="T84" s="990">
        <v>0</v>
      </c>
      <c r="U84" s="990">
        <v>0</v>
      </c>
      <c r="V84" s="990">
        <v>0</v>
      </c>
      <c r="W84" s="990">
        <v>0</v>
      </c>
      <c r="X84" s="990">
        <v>180</v>
      </c>
      <c r="Y84" s="990">
        <v>0</v>
      </c>
      <c r="Z84" s="990">
        <v>0</v>
      </c>
      <c r="AA84" s="990">
        <v>0</v>
      </c>
      <c r="AB84" s="990">
        <v>0</v>
      </c>
      <c r="AC84" s="990">
        <v>0</v>
      </c>
      <c r="AD84" s="990">
        <v>0</v>
      </c>
      <c r="AE84" s="990">
        <v>0</v>
      </c>
      <c r="AF84" s="990">
        <v>0</v>
      </c>
      <c r="AG84" s="990">
        <v>0</v>
      </c>
      <c r="AH84" s="990">
        <v>0</v>
      </c>
      <c r="AI84" s="990">
        <v>0</v>
      </c>
      <c r="AJ84" s="990">
        <v>185</v>
      </c>
      <c r="AK84" s="990">
        <v>0</v>
      </c>
      <c r="AL84" s="990">
        <v>0</v>
      </c>
      <c r="AM84" s="990">
        <v>0</v>
      </c>
      <c r="AN84" s="990">
        <v>0</v>
      </c>
      <c r="AO84" s="990">
        <v>0</v>
      </c>
      <c r="AP84" s="990">
        <v>0</v>
      </c>
      <c r="AQ84" s="990">
        <v>0</v>
      </c>
      <c r="AR84" s="990">
        <v>0</v>
      </c>
      <c r="AS84" s="990">
        <v>0</v>
      </c>
      <c r="AT84" s="990">
        <v>0</v>
      </c>
      <c r="AU84" s="990">
        <v>0</v>
      </c>
      <c r="AV84" s="990">
        <v>0</v>
      </c>
      <c r="AW84" s="990">
        <v>0</v>
      </c>
      <c r="AX84" s="990">
        <v>0</v>
      </c>
      <c r="AY84" s="990">
        <v>0</v>
      </c>
      <c r="AZ84" s="990">
        <v>11410</v>
      </c>
      <c r="BA84" s="990">
        <v>0</v>
      </c>
      <c r="BB84" s="990">
        <v>0</v>
      </c>
      <c r="BC84" s="990">
        <v>0</v>
      </c>
      <c r="BD84" s="990">
        <v>0</v>
      </c>
      <c r="BF84" s="978"/>
    </row>
    <row r="85" spans="2:58" ht="15" customHeight="1">
      <c r="B85" s="983" t="s">
        <v>970</v>
      </c>
      <c r="C85" s="984" t="s">
        <v>971</v>
      </c>
      <c r="D85" s="990">
        <v>0</v>
      </c>
      <c r="E85" s="990">
        <v>300</v>
      </c>
      <c r="F85" s="990">
        <v>0</v>
      </c>
      <c r="G85" s="990">
        <v>0</v>
      </c>
      <c r="H85" s="990">
        <v>2600</v>
      </c>
      <c r="I85" s="990">
        <v>650</v>
      </c>
      <c r="J85" s="990">
        <v>0</v>
      </c>
      <c r="K85" s="990">
        <v>0</v>
      </c>
      <c r="L85" s="990">
        <v>0</v>
      </c>
      <c r="M85" s="990">
        <v>0</v>
      </c>
      <c r="N85" s="990">
        <v>0</v>
      </c>
      <c r="O85" s="990">
        <v>0</v>
      </c>
      <c r="P85" s="990">
        <v>0</v>
      </c>
      <c r="Q85" s="990">
        <v>0</v>
      </c>
      <c r="R85" s="990">
        <v>0</v>
      </c>
      <c r="S85" s="990">
        <v>0</v>
      </c>
      <c r="T85" s="990">
        <v>0</v>
      </c>
      <c r="U85" s="990">
        <v>0</v>
      </c>
      <c r="V85" s="990">
        <v>0</v>
      </c>
      <c r="W85" s="990">
        <v>0</v>
      </c>
      <c r="X85" s="990">
        <v>485</v>
      </c>
      <c r="Y85" s="990">
        <v>285</v>
      </c>
      <c r="Z85" s="990">
        <v>290</v>
      </c>
      <c r="AA85" s="990">
        <v>0</v>
      </c>
      <c r="AB85" s="990">
        <v>0</v>
      </c>
      <c r="AC85" s="990">
        <v>295</v>
      </c>
      <c r="AD85" s="990">
        <v>490</v>
      </c>
      <c r="AE85" s="990">
        <v>0</v>
      </c>
      <c r="AF85" s="990">
        <v>15567.5</v>
      </c>
      <c r="AG85" s="990">
        <v>0</v>
      </c>
      <c r="AH85" s="990">
        <v>0</v>
      </c>
      <c r="AI85" s="990">
        <v>7803.75</v>
      </c>
      <c r="AJ85" s="990">
        <v>2255</v>
      </c>
      <c r="AK85" s="990">
        <v>2235</v>
      </c>
      <c r="AL85" s="990">
        <v>4915</v>
      </c>
      <c r="AM85" s="990">
        <v>0</v>
      </c>
      <c r="AN85" s="990">
        <v>2155</v>
      </c>
      <c r="AO85" s="990">
        <v>0</v>
      </c>
      <c r="AP85" s="990">
        <v>0</v>
      </c>
      <c r="AQ85" s="990">
        <v>0</v>
      </c>
      <c r="AR85" s="990">
        <v>1515</v>
      </c>
      <c r="AS85" s="990">
        <v>0</v>
      </c>
      <c r="AT85" s="990">
        <v>1692</v>
      </c>
      <c r="AU85" s="990">
        <v>0</v>
      </c>
      <c r="AV85" s="990">
        <v>0</v>
      </c>
      <c r="AW85" s="990">
        <v>0</v>
      </c>
      <c r="AX85" s="990">
        <v>0</v>
      </c>
      <c r="AY85" s="990">
        <v>0</v>
      </c>
      <c r="AZ85" s="990">
        <v>0</v>
      </c>
      <c r="BA85" s="990">
        <v>0</v>
      </c>
      <c r="BB85" s="990">
        <v>0</v>
      </c>
      <c r="BC85" s="990">
        <v>0</v>
      </c>
      <c r="BD85" s="990">
        <v>0</v>
      </c>
      <c r="BF85" s="978"/>
    </row>
    <row r="86" spans="2:58" ht="15" customHeight="1">
      <c r="B86" s="983" t="s">
        <v>972</v>
      </c>
      <c r="C86" s="984" t="s">
        <v>973</v>
      </c>
      <c r="D86" s="990">
        <v>0</v>
      </c>
      <c r="E86" s="990">
        <v>0</v>
      </c>
      <c r="F86" s="990">
        <v>4780</v>
      </c>
      <c r="G86" s="990">
        <v>275</v>
      </c>
      <c r="H86" s="990">
        <v>0</v>
      </c>
      <c r="I86" s="990">
        <v>0</v>
      </c>
      <c r="J86" s="990">
        <v>0</v>
      </c>
      <c r="K86" s="990">
        <v>0</v>
      </c>
      <c r="L86" s="990">
        <v>0</v>
      </c>
      <c r="M86" s="990">
        <v>0</v>
      </c>
      <c r="N86" s="990">
        <v>0</v>
      </c>
      <c r="O86" s="990">
        <v>0</v>
      </c>
      <c r="P86" s="990">
        <v>0</v>
      </c>
      <c r="Q86" s="990">
        <v>0</v>
      </c>
      <c r="R86" s="990">
        <v>0</v>
      </c>
      <c r="S86" s="990">
        <v>0</v>
      </c>
      <c r="T86" s="990">
        <v>0</v>
      </c>
      <c r="U86" s="990">
        <v>0</v>
      </c>
      <c r="V86" s="990">
        <v>0</v>
      </c>
      <c r="W86" s="990">
        <v>0</v>
      </c>
      <c r="X86" s="990">
        <v>24.1</v>
      </c>
      <c r="Y86" s="990">
        <v>0</v>
      </c>
      <c r="Z86" s="990">
        <v>1980</v>
      </c>
      <c r="AA86" s="990">
        <v>0</v>
      </c>
      <c r="AB86" s="990">
        <v>0</v>
      </c>
      <c r="AC86" s="990">
        <v>0</v>
      </c>
      <c r="AD86" s="990">
        <v>0</v>
      </c>
      <c r="AE86" s="990">
        <v>0</v>
      </c>
      <c r="AF86" s="990">
        <v>0</v>
      </c>
      <c r="AG86" s="990">
        <v>0</v>
      </c>
      <c r="AH86" s="990">
        <v>0</v>
      </c>
      <c r="AI86" s="990">
        <v>0</v>
      </c>
      <c r="AJ86" s="990">
        <v>0</v>
      </c>
      <c r="AK86" s="990">
        <v>0</v>
      </c>
      <c r="AL86" s="990">
        <v>1250</v>
      </c>
      <c r="AM86" s="990">
        <v>0</v>
      </c>
      <c r="AN86" s="990">
        <v>0</v>
      </c>
      <c r="AO86" s="990">
        <v>0</v>
      </c>
      <c r="AP86" s="990">
        <v>0</v>
      </c>
      <c r="AQ86" s="990">
        <v>2700</v>
      </c>
      <c r="AR86" s="990">
        <v>1280</v>
      </c>
      <c r="AS86" s="990">
        <v>0</v>
      </c>
      <c r="AT86" s="990">
        <v>0</v>
      </c>
      <c r="AU86" s="990">
        <v>0</v>
      </c>
      <c r="AV86" s="990">
        <v>1500</v>
      </c>
      <c r="AW86" s="990">
        <v>0</v>
      </c>
      <c r="AX86" s="990">
        <v>0</v>
      </c>
      <c r="AY86" s="990">
        <v>0</v>
      </c>
      <c r="AZ86" s="990">
        <v>0</v>
      </c>
      <c r="BA86" s="990">
        <v>0</v>
      </c>
      <c r="BB86" s="990">
        <v>0</v>
      </c>
      <c r="BC86" s="990">
        <v>0</v>
      </c>
      <c r="BD86" s="990">
        <v>0</v>
      </c>
      <c r="BF86" s="978"/>
    </row>
    <row r="87" spans="2:58" ht="15" customHeight="1">
      <c r="B87" s="983" t="s">
        <v>929</v>
      </c>
      <c r="C87" s="984" t="s">
        <v>928</v>
      </c>
      <c r="D87" s="990">
        <v>230</v>
      </c>
      <c r="E87" s="990">
        <v>750</v>
      </c>
      <c r="F87" s="990">
        <v>207.5</v>
      </c>
      <c r="G87" s="990">
        <v>0</v>
      </c>
      <c r="H87" s="990">
        <v>0</v>
      </c>
      <c r="I87" s="990">
        <v>212.5</v>
      </c>
      <c r="J87" s="990">
        <v>325</v>
      </c>
      <c r="K87" s="990">
        <v>125</v>
      </c>
      <c r="L87" s="990">
        <v>0</v>
      </c>
      <c r="M87" s="990">
        <v>2994</v>
      </c>
      <c r="N87" s="990">
        <v>0</v>
      </c>
      <c r="O87" s="990">
        <v>187.5</v>
      </c>
      <c r="P87" s="990">
        <v>95</v>
      </c>
      <c r="Q87" s="990">
        <v>0</v>
      </c>
      <c r="R87" s="990">
        <v>0</v>
      </c>
      <c r="S87" s="990">
        <v>0</v>
      </c>
      <c r="T87" s="990">
        <v>0</v>
      </c>
      <c r="U87" s="990">
        <v>0</v>
      </c>
      <c r="V87" s="990">
        <v>0</v>
      </c>
      <c r="W87" s="990">
        <v>1525</v>
      </c>
      <c r="X87" s="990">
        <v>-1525</v>
      </c>
      <c r="Y87" s="990">
        <v>175</v>
      </c>
      <c r="Z87" s="990">
        <v>95</v>
      </c>
      <c r="AA87" s="990">
        <v>0</v>
      </c>
      <c r="AB87" s="990">
        <v>130</v>
      </c>
      <c r="AC87" s="990">
        <v>0</v>
      </c>
      <c r="AD87" s="990">
        <v>0</v>
      </c>
      <c r="AE87" s="990">
        <v>240</v>
      </c>
      <c r="AF87" s="990">
        <v>912</v>
      </c>
      <c r="AG87" s="990">
        <v>0</v>
      </c>
      <c r="AH87" s="990">
        <v>0</v>
      </c>
      <c r="AI87" s="990">
        <v>0</v>
      </c>
      <c r="AJ87" s="990">
        <v>0</v>
      </c>
      <c r="AK87" s="990">
        <v>0</v>
      </c>
      <c r="AL87" s="990">
        <v>95</v>
      </c>
      <c r="AM87" s="990">
        <v>240</v>
      </c>
      <c r="AN87" s="990">
        <v>308</v>
      </c>
      <c r="AO87" s="990">
        <v>0</v>
      </c>
      <c r="AP87" s="990">
        <v>0</v>
      </c>
      <c r="AQ87" s="990">
        <v>0</v>
      </c>
      <c r="AR87" s="990">
        <v>4154.5</v>
      </c>
      <c r="AS87" s="990">
        <v>421</v>
      </c>
      <c r="AT87" s="990">
        <v>0</v>
      </c>
      <c r="AU87" s="990">
        <v>0</v>
      </c>
      <c r="AV87" s="990">
        <v>645</v>
      </c>
      <c r="AW87" s="990">
        <v>825</v>
      </c>
      <c r="AX87" s="990">
        <v>0</v>
      </c>
      <c r="AY87" s="990">
        <v>0</v>
      </c>
      <c r="AZ87" s="990">
        <v>0</v>
      </c>
      <c r="BA87" s="990">
        <v>0</v>
      </c>
      <c r="BB87" s="990">
        <v>0</v>
      </c>
      <c r="BC87" s="990">
        <v>0</v>
      </c>
      <c r="BD87" s="990">
        <v>0</v>
      </c>
      <c r="BF87" s="978"/>
    </row>
    <row r="88" spans="2:58" ht="15" customHeight="1">
      <c r="B88" s="983" t="s">
        <v>1331</v>
      </c>
      <c r="C88" s="984" t="s">
        <v>1330</v>
      </c>
      <c r="D88" s="990">
        <v>0</v>
      </c>
      <c r="E88" s="990">
        <v>0</v>
      </c>
      <c r="F88" s="990">
        <v>0</v>
      </c>
      <c r="G88" s="990">
        <v>0</v>
      </c>
      <c r="H88" s="990">
        <v>0</v>
      </c>
      <c r="I88" s="990">
        <v>2550</v>
      </c>
      <c r="J88" s="990">
        <v>0</v>
      </c>
      <c r="K88" s="990">
        <v>0</v>
      </c>
      <c r="L88" s="990">
        <v>0</v>
      </c>
      <c r="M88" s="990">
        <v>5882.26</v>
      </c>
      <c r="N88" s="990">
        <v>0</v>
      </c>
      <c r="O88" s="990">
        <v>180</v>
      </c>
      <c r="P88" s="990">
        <v>0</v>
      </c>
      <c r="Q88" s="990">
        <v>0</v>
      </c>
      <c r="R88" s="990">
        <v>250</v>
      </c>
      <c r="S88" s="990">
        <v>0</v>
      </c>
      <c r="T88" s="990">
        <v>0</v>
      </c>
      <c r="U88" s="990">
        <v>0</v>
      </c>
      <c r="V88" s="990">
        <v>0</v>
      </c>
      <c r="W88" s="990">
        <v>0</v>
      </c>
      <c r="X88" s="990">
        <v>190</v>
      </c>
      <c r="Y88" s="990">
        <v>1225</v>
      </c>
      <c r="Z88" s="990">
        <v>280</v>
      </c>
      <c r="AA88" s="990">
        <v>0</v>
      </c>
      <c r="AB88" s="990">
        <v>0</v>
      </c>
      <c r="AC88" s="990">
        <v>650</v>
      </c>
      <c r="AD88" s="990">
        <v>0</v>
      </c>
      <c r="AE88" s="990">
        <v>0</v>
      </c>
      <c r="AF88" s="990">
        <v>0</v>
      </c>
      <c r="AG88" s="990">
        <v>0</v>
      </c>
      <c r="AH88" s="990">
        <v>0</v>
      </c>
      <c r="AI88" s="990">
        <v>0</v>
      </c>
      <c r="AJ88" s="990">
        <v>0</v>
      </c>
      <c r="AK88" s="990">
        <v>0</v>
      </c>
      <c r="AL88" s="990">
        <v>0</v>
      </c>
      <c r="AM88" s="990">
        <v>0</v>
      </c>
      <c r="AN88" s="990">
        <v>0</v>
      </c>
      <c r="AO88" s="990">
        <v>0</v>
      </c>
      <c r="AP88" s="990">
        <v>0</v>
      </c>
      <c r="AQ88" s="990">
        <v>0</v>
      </c>
      <c r="AR88" s="990">
        <v>0</v>
      </c>
      <c r="AS88" s="990">
        <v>0</v>
      </c>
      <c r="AT88" s="990">
        <v>1000</v>
      </c>
      <c r="AU88" s="990">
        <v>0</v>
      </c>
      <c r="AV88" s="990">
        <v>0</v>
      </c>
      <c r="AW88" s="990">
        <v>0</v>
      </c>
      <c r="AX88" s="990">
        <v>0</v>
      </c>
      <c r="AY88" s="990">
        <v>0</v>
      </c>
      <c r="AZ88" s="990">
        <v>0</v>
      </c>
      <c r="BA88" s="990">
        <v>0</v>
      </c>
      <c r="BB88" s="990">
        <v>0</v>
      </c>
      <c r="BC88" s="990">
        <v>0</v>
      </c>
      <c r="BD88" s="990">
        <v>0</v>
      </c>
      <c r="BF88" s="978"/>
    </row>
    <row r="89" spans="2:58" ht="15" customHeight="1">
      <c r="B89" s="983" t="s">
        <v>927</v>
      </c>
      <c r="C89" s="984" t="s">
        <v>926</v>
      </c>
      <c r="D89" s="990">
        <v>0</v>
      </c>
      <c r="E89" s="990">
        <v>125</v>
      </c>
      <c r="F89" s="990">
        <v>1150</v>
      </c>
      <c r="G89" s="990">
        <v>680</v>
      </c>
      <c r="H89" s="990">
        <v>0</v>
      </c>
      <c r="I89" s="990">
        <v>0</v>
      </c>
      <c r="J89" s="990">
        <v>0</v>
      </c>
      <c r="K89" s="990">
        <v>0</v>
      </c>
      <c r="L89" s="990">
        <v>0</v>
      </c>
      <c r="M89" s="990">
        <v>0</v>
      </c>
      <c r="N89" s="990">
        <v>0</v>
      </c>
      <c r="O89" s="990">
        <v>0</v>
      </c>
      <c r="P89" s="990">
        <v>0</v>
      </c>
      <c r="Q89" s="990">
        <v>0</v>
      </c>
      <c r="R89" s="990">
        <v>490</v>
      </c>
      <c r="S89" s="990">
        <v>0</v>
      </c>
      <c r="T89" s="990">
        <v>0</v>
      </c>
      <c r="U89" s="990">
        <v>0</v>
      </c>
      <c r="V89" s="990">
        <v>0</v>
      </c>
      <c r="W89" s="990">
        <v>0</v>
      </c>
      <c r="X89" s="990">
        <v>0</v>
      </c>
      <c r="Y89" s="990">
        <v>990</v>
      </c>
      <c r="Z89" s="990">
        <v>131.21</v>
      </c>
      <c r="AA89" s="990">
        <v>0</v>
      </c>
      <c r="AB89" s="990">
        <v>250</v>
      </c>
      <c r="AC89" s="990">
        <v>0</v>
      </c>
      <c r="AD89" s="990">
        <v>0</v>
      </c>
      <c r="AE89" s="990">
        <v>0</v>
      </c>
      <c r="AF89" s="990">
        <v>0</v>
      </c>
      <c r="AG89" s="990">
        <v>0</v>
      </c>
      <c r="AH89" s="990">
        <v>0</v>
      </c>
      <c r="AI89" s="990">
        <v>0</v>
      </c>
      <c r="AJ89" s="990">
        <v>0</v>
      </c>
      <c r="AK89" s="990">
        <v>0</v>
      </c>
      <c r="AL89" s="990">
        <v>0</v>
      </c>
      <c r="AM89" s="990">
        <v>0</v>
      </c>
      <c r="AN89" s="990">
        <v>0</v>
      </c>
      <c r="AO89" s="990">
        <v>0</v>
      </c>
      <c r="AP89" s="990">
        <v>0</v>
      </c>
      <c r="AQ89" s="990">
        <v>3820</v>
      </c>
      <c r="AR89" s="990">
        <v>5605</v>
      </c>
      <c r="AS89" s="990">
        <v>1100</v>
      </c>
      <c r="AT89" s="990">
        <v>4955</v>
      </c>
      <c r="AU89" s="990">
        <v>0</v>
      </c>
      <c r="AV89" s="990">
        <v>0</v>
      </c>
      <c r="AW89" s="990">
        <v>1445</v>
      </c>
      <c r="AX89" s="990">
        <v>0</v>
      </c>
      <c r="AY89" s="990">
        <v>0</v>
      </c>
      <c r="AZ89" s="990">
        <v>0</v>
      </c>
      <c r="BA89" s="990">
        <v>0</v>
      </c>
      <c r="BB89" s="990">
        <v>0</v>
      </c>
      <c r="BC89" s="990">
        <v>0</v>
      </c>
      <c r="BD89" s="990">
        <v>0</v>
      </c>
      <c r="BF89" s="978"/>
    </row>
    <row r="90" spans="2:58" ht="15" customHeight="1">
      <c r="B90" s="983" t="s">
        <v>1329</v>
      </c>
      <c r="C90" s="984" t="s">
        <v>1328</v>
      </c>
      <c r="D90" s="990">
        <v>0</v>
      </c>
      <c r="E90" s="990">
        <v>0</v>
      </c>
      <c r="F90" s="990">
        <v>0</v>
      </c>
      <c r="G90" s="990">
        <v>0</v>
      </c>
      <c r="H90" s="990">
        <v>495</v>
      </c>
      <c r="I90" s="990">
        <v>0</v>
      </c>
      <c r="J90" s="990">
        <v>5150</v>
      </c>
      <c r="K90" s="990">
        <v>0</v>
      </c>
      <c r="L90" s="990">
        <v>0</v>
      </c>
      <c r="M90" s="990">
        <v>3000</v>
      </c>
      <c r="N90" s="990">
        <v>0</v>
      </c>
      <c r="O90" s="990">
        <v>7420</v>
      </c>
      <c r="P90" s="990">
        <v>0</v>
      </c>
      <c r="Q90" s="990">
        <v>7918.5</v>
      </c>
      <c r="R90" s="990">
        <v>0</v>
      </c>
      <c r="S90" s="990">
        <v>0</v>
      </c>
      <c r="T90" s="990">
        <v>0</v>
      </c>
      <c r="U90" s="990">
        <v>0</v>
      </c>
      <c r="V90" s="990">
        <v>0</v>
      </c>
      <c r="W90" s="990">
        <v>0</v>
      </c>
      <c r="X90" s="990">
        <v>0</v>
      </c>
      <c r="Y90" s="990">
        <v>0</v>
      </c>
      <c r="Z90" s="990">
        <v>1530</v>
      </c>
      <c r="AA90" s="990">
        <v>0</v>
      </c>
      <c r="AB90" s="990">
        <v>60</v>
      </c>
      <c r="AC90" s="990">
        <v>332.28</v>
      </c>
      <c r="AD90" s="990">
        <v>0</v>
      </c>
      <c r="AE90" s="990">
        <v>0</v>
      </c>
      <c r="AF90" s="990">
        <v>135</v>
      </c>
      <c r="AG90" s="990">
        <v>0</v>
      </c>
      <c r="AH90" s="990">
        <v>0</v>
      </c>
      <c r="AI90" s="990">
        <v>0</v>
      </c>
      <c r="AJ90" s="990">
        <v>0</v>
      </c>
      <c r="AK90" s="990">
        <v>0</v>
      </c>
      <c r="AL90" s="990">
        <v>0</v>
      </c>
      <c r="AM90" s="990">
        <v>295</v>
      </c>
      <c r="AN90" s="990">
        <v>821.25</v>
      </c>
      <c r="AO90" s="990">
        <v>0</v>
      </c>
      <c r="AP90" s="990">
        <v>0</v>
      </c>
      <c r="AQ90" s="990">
        <v>0</v>
      </c>
      <c r="AR90" s="990">
        <v>445.65</v>
      </c>
      <c r="AS90" s="990">
        <v>0</v>
      </c>
      <c r="AT90" s="990">
        <v>0</v>
      </c>
      <c r="AU90" s="990">
        <v>0</v>
      </c>
      <c r="AV90" s="990">
        <v>0</v>
      </c>
      <c r="AW90" s="990">
        <v>0</v>
      </c>
      <c r="AX90" s="990">
        <v>0</v>
      </c>
      <c r="AY90" s="990">
        <v>0</v>
      </c>
      <c r="AZ90" s="990">
        <v>0</v>
      </c>
      <c r="BA90" s="990">
        <v>0</v>
      </c>
      <c r="BB90" s="990">
        <v>213.82</v>
      </c>
      <c r="BC90" s="990">
        <v>0</v>
      </c>
      <c r="BD90" s="990">
        <v>0</v>
      </c>
      <c r="BF90" s="978"/>
    </row>
    <row r="91" spans="2:58" ht="15" customHeight="1">
      <c r="B91" s="983" t="s">
        <v>974</v>
      </c>
      <c r="C91" s="984" t="s">
        <v>975</v>
      </c>
      <c r="D91" s="990">
        <v>0</v>
      </c>
      <c r="E91" s="990">
        <v>0</v>
      </c>
      <c r="F91" s="990">
        <v>1230</v>
      </c>
      <c r="G91" s="990">
        <v>206</v>
      </c>
      <c r="H91" s="990">
        <v>395</v>
      </c>
      <c r="I91" s="990">
        <v>78</v>
      </c>
      <c r="J91" s="990">
        <v>0</v>
      </c>
      <c r="K91" s="990">
        <v>300</v>
      </c>
      <c r="L91" s="990">
        <v>0</v>
      </c>
      <c r="M91" s="990">
        <v>301</v>
      </c>
      <c r="N91" s="990">
        <v>0</v>
      </c>
      <c r="O91" s="990">
        <v>196.24</v>
      </c>
      <c r="P91" s="990">
        <v>39</v>
      </c>
      <c r="Q91" s="990">
        <v>82</v>
      </c>
      <c r="R91" s="990">
        <v>80</v>
      </c>
      <c r="S91" s="990">
        <v>0</v>
      </c>
      <c r="T91" s="990">
        <v>138</v>
      </c>
      <c r="U91" s="990">
        <v>78</v>
      </c>
      <c r="V91" s="990">
        <v>39</v>
      </c>
      <c r="W91" s="990">
        <v>0</v>
      </c>
      <c r="X91" s="990">
        <v>238</v>
      </c>
      <c r="Y91" s="990">
        <v>139</v>
      </c>
      <c r="Z91" s="990">
        <v>179</v>
      </c>
      <c r="AA91" s="990">
        <v>39</v>
      </c>
      <c r="AB91" s="990">
        <v>379</v>
      </c>
      <c r="AC91" s="990">
        <v>594</v>
      </c>
      <c r="AD91" s="990">
        <v>349</v>
      </c>
      <c r="AE91" s="990">
        <v>39</v>
      </c>
      <c r="AF91" s="990">
        <v>459</v>
      </c>
      <c r="AG91" s="990">
        <v>39</v>
      </c>
      <c r="AH91" s="990">
        <v>119</v>
      </c>
      <c r="AI91" s="990">
        <v>219.73</v>
      </c>
      <c r="AJ91" s="990">
        <v>39</v>
      </c>
      <c r="AK91" s="990">
        <v>299</v>
      </c>
      <c r="AL91" s="990">
        <v>39</v>
      </c>
      <c r="AM91" s="990">
        <v>39</v>
      </c>
      <c r="AN91" s="990">
        <v>39</v>
      </c>
      <c r="AO91" s="990">
        <v>39</v>
      </c>
      <c r="AP91" s="990">
        <v>39</v>
      </c>
      <c r="AQ91" s="990">
        <v>39</v>
      </c>
      <c r="AR91" s="990">
        <v>409</v>
      </c>
      <c r="AS91" s="990">
        <v>39</v>
      </c>
      <c r="AT91" s="990">
        <v>1887.65</v>
      </c>
      <c r="AU91" s="990">
        <v>0</v>
      </c>
      <c r="AV91" s="990">
        <v>78</v>
      </c>
      <c r="AW91" s="990">
        <v>109.34</v>
      </c>
      <c r="AX91" s="990">
        <v>39</v>
      </c>
      <c r="AY91" s="990">
        <v>39</v>
      </c>
      <c r="AZ91" s="990">
        <v>315.58</v>
      </c>
      <c r="BA91" s="990">
        <v>78</v>
      </c>
      <c r="BB91" s="990">
        <v>0</v>
      </c>
      <c r="BC91" s="990">
        <v>0</v>
      </c>
      <c r="BD91" s="990">
        <v>0</v>
      </c>
      <c r="BF91" s="978"/>
    </row>
    <row r="92" spans="2:58" ht="15" customHeight="1">
      <c r="B92" s="983" t="s">
        <v>1327</v>
      </c>
      <c r="C92" s="984" t="s">
        <v>1326</v>
      </c>
      <c r="D92" s="988">
        <v>0</v>
      </c>
      <c r="E92" s="988">
        <v>0</v>
      </c>
      <c r="F92" s="988">
        <v>0</v>
      </c>
      <c r="G92" s="988">
        <v>0</v>
      </c>
      <c r="H92" s="988">
        <v>0</v>
      </c>
      <c r="I92" s="988">
        <v>0</v>
      </c>
      <c r="J92" s="988">
        <v>0</v>
      </c>
      <c r="K92" s="988">
        <v>0</v>
      </c>
      <c r="L92" s="988">
        <v>0</v>
      </c>
      <c r="M92" s="988">
        <v>0</v>
      </c>
      <c r="N92" s="988">
        <v>0</v>
      </c>
      <c r="O92" s="988">
        <v>0</v>
      </c>
      <c r="P92" s="988">
        <v>0</v>
      </c>
      <c r="Q92" s="988">
        <v>0</v>
      </c>
      <c r="R92" s="988">
        <v>0</v>
      </c>
      <c r="S92" s="988">
        <v>0</v>
      </c>
      <c r="T92" s="988">
        <v>0</v>
      </c>
      <c r="U92" s="988">
        <v>0</v>
      </c>
      <c r="V92" s="988">
        <v>0</v>
      </c>
      <c r="W92" s="988">
        <v>0</v>
      </c>
      <c r="X92" s="988">
        <v>0</v>
      </c>
      <c r="Y92" s="988">
        <v>0</v>
      </c>
      <c r="Z92" s="988">
        <v>0</v>
      </c>
      <c r="AA92" s="988">
        <v>0</v>
      </c>
      <c r="AB92" s="988">
        <v>0</v>
      </c>
      <c r="AC92" s="988">
        <v>0</v>
      </c>
      <c r="AD92" s="988">
        <v>0</v>
      </c>
      <c r="AE92" s="988">
        <v>0</v>
      </c>
      <c r="AF92" s="988">
        <v>0</v>
      </c>
      <c r="AG92" s="988">
        <v>0</v>
      </c>
      <c r="AH92" s="988">
        <v>0</v>
      </c>
      <c r="AI92" s="988">
        <v>0</v>
      </c>
      <c r="AJ92" s="988">
        <v>0</v>
      </c>
      <c r="AK92" s="988">
        <v>0</v>
      </c>
      <c r="AL92" s="988">
        <v>0</v>
      </c>
      <c r="AM92" s="988">
        <v>0</v>
      </c>
      <c r="AN92" s="988">
        <v>0</v>
      </c>
      <c r="AO92" s="988">
        <v>0</v>
      </c>
      <c r="AP92" s="988">
        <v>0</v>
      </c>
      <c r="AQ92" s="988">
        <v>0</v>
      </c>
      <c r="AR92" s="988">
        <v>0</v>
      </c>
      <c r="AS92" s="988">
        <v>0</v>
      </c>
      <c r="AT92" s="988">
        <v>0</v>
      </c>
      <c r="AU92" s="988">
        <v>0</v>
      </c>
      <c r="AV92" s="988">
        <v>0</v>
      </c>
      <c r="AW92" s="988">
        <v>0</v>
      </c>
      <c r="AX92" s="988">
        <v>0</v>
      </c>
      <c r="AY92" s="988">
        <v>200</v>
      </c>
      <c r="AZ92" s="988">
        <v>0</v>
      </c>
      <c r="BA92" s="988">
        <v>0</v>
      </c>
      <c r="BB92" s="988">
        <v>0</v>
      </c>
      <c r="BC92" s="988">
        <v>0</v>
      </c>
      <c r="BD92" s="988">
        <v>0</v>
      </c>
      <c r="BF92" s="978"/>
    </row>
    <row r="93" spans="2:58" ht="15" customHeight="1">
      <c r="B93" s="983" t="s">
        <v>925</v>
      </c>
      <c r="C93" s="984" t="s">
        <v>924</v>
      </c>
      <c r="D93" s="986">
        <v>230</v>
      </c>
      <c r="E93" s="986">
        <v>1175</v>
      </c>
      <c r="F93" s="986">
        <v>7367.5</v>
      </c>
      <c r="G93" s="986">
        <v>3586</v>
      </c>
      <c r="H93" s="986">
        <v>3490</v>
      </c>
      <c r="I93" s="986">
        <v>3490.5</v>
      </c>
      <c r="J93" s="986">
        <v>5475</v>
      </c>
      <c r="K93" s="986">
        <v>425</v>
      </c>
      <c r="L93" s="986">
        <v>1930</v>
      </c>
      <c r="M93" s="986">
        <v>12177.26</v>
      </c>
      <c r="N93" s="986">
        <v>2669.69</v>
      </c>
      <c r="O93" s="986">
        <v>8178.74</v>
      </c>
      <c r="P93" s="986">
        <v>134</v>
      </c>
      <c r="Q93" s="986">
        <v>8000.5</v>
      </c>
      <c r="R93" s="986">
        <v>-1254.69</v>
      </c>
      <c r="S93" s="986">
        <v>0</v>
      </c>
      <c r="T93" s="986">
        <v>138</v>
      </c>
      <c r="U93" s="986">
        <v>78</v>
      </c>
      <c r="V93" s="986">
        <v>39</v>
      </c>
      <c r="W93" s="986">
        <v>1525</v>
      </c>
      <c r="X93" s="986">
        <v>-407.9</v>
      </c>
      <c r="Y93" s="986">
        <v>2814</v>
      </c>
      <c r="Z93" s="986">
        <v>4485.21</v>
      </c>
      <c r="AA93" s="986">
        <v>39</v>
      </c>
      <c r="AB93" s="986">
        <v>819</v>
      </c>
      <c r="AC93" s="986">
        <v>1871.28</v>
      </c>
      <c r="AD93" s="986">
        <v>839</v>
      </c>
      <c r="AE93" s="986">
        <v>279</v>
      </c>
      <c r="AF93" s="986">
        <v>17073.5</v>
      </c>
      <c r="AG93" s="986">
        <v>39</v>
      </c>
      <c r="AH93" s="986">
        <v>119</v>
      </c>
      <c r="AI93" s="986">
        <v>8023.48</v>
      </c>
      <c r="AJ93" s="986">
        <v>2479</v>
      </c>
      <c r="AK93" s="986">
        <v>2534</v>
      </c>
      <c r="AL93" s="986">
        <v>6299</v>
      </c>
      <c r="AM93" s="986">
        <v>574</v>
      </c>
      <c r="AN93" s="986">
        <v>3323.25</v>
      </c>
      <c r="AO93" s="986">
        <v>39</v>
      </c>
      <c r="AP93" s="986">
        <v>39</v>
      </c>
      <c r="AQ93" s="986">
        <v>6559</v>
      </c>
      <c r="AR93" s="986">
        <v>13409.15</v>
      </c>
      <c r="AS93" s="986">
        <v>1560</v>
      </c>
      <c r="AT93" s="986">
        <v>9534.65</v>
      </c>
      <c r="AU93" s="986">
        <v>0</v>
      </c>
      <c r="AV93" s="986">
        <v>2223</v>
      </c>
      <c r="AW93" s="986">
        <v>2379.34</v>
      </c>
      <c r="AX93" s="986">
        <v>39</v>
      </c>
      <c r="AY93" s="986">
        <v>239</v>
      </c>
      <c r="AZ93" s="986">
        <v>11725.58</v>
      </c>
      <c r="BA93" s="986">
        <v>78</v>
      </c>
      <c r="BB93" s="986">
        <v>213.82</v>
      </c>
      <c r="BC93" s="986">
        <v>0</v>
      </c>
      <c r="BD93" s="986">
        <v>0</v>
      </c>
      <c r="BF93" s="978"/>
    </row>
    <row r="94" spans="2:58" ht="15" customHeight="1">
      <c r="B94" s="983" t="s">
        <v>923</v>
      </c>
      <c r="C94" s="984" t="s">
        <v>922</v>
      </c>
      <c r="D94" s="989"/>
      <c r="E94" s="989"/>
      <c r="F94" s="989"/>
      <c r="G94" s="989"/>
      <c r="H94" s="989"/>
      <c r="I94" s="989"/>
      <c r="J94" s="989"/>
      <c r="K94" s="989"/>
      <c r="L94" s="989"/>
      <c r="M94" s="989"/>
      <c r="N94" s="989"/>
      <c r="O94" s="989"/>
      <c r="P94" s="989"/>
      <c r="Q94" s="989"/>
      <c r="R94" s="989"/>
      <c r="S94" s="989"/>
      <c r="T94" s="989"/>
      <c r="U94" s="989"/>
      <c r="V94" s="989"/>
      <c r="W94" s="989"/>
      <c r="X94" s="989"/>
      <c r="Y94" s="989"/>
      <c r="Z94" s="989"/>
      <c r="AA94" s="989"/>
      <c r="AB94" s="989"/>
      <c r="AC94" s="989"/>
      <c r="AD94" s="989"/>
      <c r="AE94" s="989"/>
      <c r="AF94" s="989"/>
      <c r="AG94" s="989"/>
      <c r="AH94" s="989"/>
      <c r="AI94" s="989"/>
      <c r="AJ94" s="989"/>
      <c r="AK94" s="989"/>
      <c r="AL94" s="989"/>
      <c r="AM94" s="989"/>
      <c r="AN94" s="989"/>
      <c r="AO94" s="989"/>
      <c r="AP94" s="989"/>
      <c r="AQ94" s="989"/>
      <c r="AR94" s="989"/>
      <c r="AS94" s="989"/>
      <c r="AT94" s="989"/>
      <c r="AU94" s="989"/>
      <c r="AV94" s="989"/>
      <c r="AW94" s="989"/>
      <c r="AX94" s="989"/>
      <c r="AY94" s="989"/>
      <c r="AZ94" s="989"/>
      <c r="BA94" s="989"/>
      <c r="BB94" s="989"/>
      <c r="BC94" s="989"/>
      <c r="BD94" s="989"/>
      <c r="BF94" s="978"/>
    </row>
    <row r="95" spans="2:58" ht="15" customHeight="1">
      <c r="B95" s="983" t="s">
        <v>921</v>
      </c>
      <c r="C95" s="984" t="s">
        <v>920</v>
      </c>
      <c r="D95" s="990">
        <v>0</v>
      </c>
      <c r="E95" s="990">
        <v>0</v>
      </c>
      <c r="F95" s="990">
        <v>187.5</v>
      </c>
      <c r="G95" s="990">
        <v>400</v>
      </c>
      <c r="H95" s="990">
        <v>0</v>
      </c>
      <c r="I95" s="990">
        <v>0</v>
      </c>
      <c r="J95" s="990">
        <v>0</v>
      </c>
      <c r="K95" s="990">
        <v>0</v>
      </c>
      <c r="L95" s="990">
        <v>0</v>
      </c>
      <c r="M95" s="990">
        <v>0</v>
      </c>
      <c r="N95" s="990">
        <v>0</v>
      </c>
      <c r="O95" s="990">
        <v>0</v>
      </c>
      <c r="P95" s="990">
        <v>0</v>
      </c>
      <c r="Q95" s="990">
        <v>0</v>
      </c>
      <c r="R95" s="990">
        <v>0</v>
      </c>
      <c r="S95" s="990">
        <v>0</v>
      </c>
      <c r="T95" s="990">
        <v>0</v>
      </c>
      <c r="U95" s="990">
        <v>0</v>
      </c>
      <c r="V95" s="990">
        <v>0</v>
      </c>
      <c r="W95" s="990">
        <v>489.2</v>
      </c>
      <c r="X95" s="990">
        <v>783.65</v>
      </c>
      <c r="Y95" s="990">
        <v>156.30000000000001</v>
      </c>
      <c r="Z95" s="990">
        <v>-67.95</v>
      </c>
      <c r="AA95" s="990">
        <v>0</v>
      </c>
      <c r="AB95" s="990">
        <v>467.05</v>
      </c>
      <c r="AC95" s="990">
        <v>135.9</v>
      </c>
      <c r="AD95" s="990">
        <v>67.95</v>
      </c>
      <c r="AE95" s="990">
        <v>173.95</v>
      </c>
      <c r="AF95" s="990">
        <v>128.55000000000001</v>
      </c>
      <c r="AG95" s="990">
        <v>67.95</v>
      </c>
      <c r="AH95" s="990">
        <v>2655.45</v>
      </c>
      <c r="AI95" s="990">
        <v>101.55</v>
      </c>
      <c r="AJ95" s="990">
        <v>130.80000000000001</v>
      </c>
      <c r="AK95" s="990">
        <v>144.4</v>
      </c>
      <c r="AL95" s="990">
        <v>591.70000000000005</v>
      </c>
      <c r="AM95" s="990">
        <v>97.7</v>
      </c>
      <c r="AN95" s="990">
        <v>67.95</v>
      </c>
      <c r="AO95" s="990">
        <v>879.35</v>
      </c>
      <c r="AP95" s="990">
        <v>494.41</v>
      </c>
      <c r="AQ95" s="990">
        <v>3803.05</v>
      </c>
      <c r="AR95" s="990">
        <v>2601.46</v>
      </c>
      <c r="AS95" s="990">
        <v>839.15</v>
      </c>
      <c r="AT95" s="990">
        <v>260.02999999999997</v>
      </c>
      <c r="AU95" s="990">
        <v>0</v>
      </c>
      <c r="AV95" s="990">
        <v>0</v>
      </c>
      <c r="AW95" s="990">
        <v>181.5</v>
      </c>
      <c r="AX95" s="990">
        <v>67.95</v>
      </c>
      <c r="AY95" s="990">
        <v>0</v>
      </c>
      <c r="AZ95" s="990">
        <v>181.5</v>
      </c>
      <c r="BA95" s="990">
        <v>285.63</v>
      </c>
      <c r="BB95" s="990">
        <v>0</v>
      </c>
      <c r="BC95" s="990">
        <v>67.95</v>
      </c>
      <c r="BD95" s="990">
        <v>127.85</v>
      </c>
      <c r="BF95" s="978"/>
    </row>
    <row r="96" spans="2:58" ht="15" customHeight="1">
      <c r="B96" s="983" t="s">
        <v>919</v>
      </c>
      <c r="C96" s="984" t="s">
        <v>918</v>
      </c>
      <c r="D96" s="990">
        <v>0</v>
      </c>
      <c r="E96" s="990">
        <v>6760</v>
      </c>
      <c r="F96" s="990">
        <v>175</v>
      </c>
      <c r="G96" s="990">
        <v>0</v>
      </c>
      <c r="H96" s="990">
        <v>1334.6</v>
      </c>
      <c r="I96" s="990">
        <v>-1334.6</v>
      </c>
      <c r="J96" s="990">
        <v>1334.6</v>
      </c>
      <c r="K96" s="990">
        <v>0</v>
      </c>
      <c r="L96" s="990">
        <v>0</v>
      </c>
      <c r="M96" s="990">
        <v>-1334.6</v>
      </c>
      <c r="N96" s="990">
        <v>0</v>
      </c>
      <c r="O96" s="990">
        <v>0</v>
      </c>
      <c r="P96" s="990">
        <v>0</v>
      </c>
      <c r="Q96" s="990">
        <v>149.15</v>
      </c>
      <c r="R96" s="990">
        <v>0</v>
      </c>
      <c r="S96" s="990">
        <v>0</v>
      </c>
      <c r="T96" s="990">
        <v>0</v>
      </c>
      <c r="U96" s="990">
        <v>0</v>
      </c>
      <c r="V96" s="990">
        <v>0</v>
      </c>
      <c r="W96" s="990">
        <v>0</v>
      </c>
      <c r="X96" s="990">
        <v>0</v>
      </c>
      <c r="Y96" s="990">
        <v>0</v>
      </c>
      <c r="Z96" s="990">
        <v>0</v>
      </c>
      <c r="AA96" s="990">
        <v>0</v>
      </c>
      <c r="AB96" s="990">
        <v>0</v>
      </c>
      <c r="AC96" s="990">
        <v>0</v>
      </c>
      <c r="AD96" s="990">
        <v>246</v>
      </c>
      <c r="AE96" s="990">
        <v>120</v>
      </c>
      <c r="AF96" s="990">
        <v>120</v>
      </c>
      <c r="AG96" s="990">
        <v>0</v>
      </c>
      <c r="AH96" s="990">
        <v>0</v>
      </c>
      <c r="AI96" s="990">
        <v>1197</v>
      </c>
      <c r="AJ96" s="990">
        <v>0</v>
      </c>
      <c r="AK96" s="990">
        <v>0</v>
      </c>
      <c r="AL96" s="990">
        <v>0</v>
      </c>
      <c r="AM96" s="990">
        <v>186</v>
      </c>
      <c r="AN96" s="990">
        <v>0</v>
      </c>
      <c r="AO96" s="990">
        <v>0</v>
      </c>
      <c r="AP96" s="990">
        <v>0</v>
      </c>
      <c r="AQ96" s="990">
        <v>0</v>
      </c>
      <c r="AR96" s="990">
        <v>0</v>
      </c>
      <c r="AS96" s="990">
        <v>0</v>
      </c>
      <c r="AT96" s="990">
        <v>3500</v>
      </c>
      <c r="AU96" s="990">
        <v>0</v>
      </c>
      <c r="AV96" s="990">
        <v>0</v>
      </c>
      <c r="AW96" s="990">
        <v>0</v>
      </c>
      <c r="AX96" s="990">
        <v>0</v>
      </c>
      <c r="AY96" s="990">
        <v>0</v>
      </c>
      <c r="AZ96" s="990">
        <v>0</v>
      </c>
      <c r="BA96" s="990">
        <v>0</v>
      </c>
      <c r="BB96" s="990">
        <v>0</v>
      </c>
      <c r="BC96" s="990">
        <v>0</v>
      </c>
      <c r="BD96" s="990">
        <v>0</v>
      </c>
      <c r="BF96" s="978"/>
    </row>
    <row r="97" spans="2:58" ht="15" customHeight="1">
      <c r="B97" s="983" t="s">
        <v>917</v>
      </c>
      <c r="C97" s="984" t="s">
        <v>916</v>
      </c>
      <c r="D97" s="990">
        <v>13509</v>
      </c>
      <c r="E97" s="990">
        <v>13950</v>
      </c>
      <c r="F97" s="990">
        <v>13491</v>
      </c>
      <c r="G97" s="990">
        <v>14400</v>
      </c>
      <c r="H97" s="990">
        <v>13500</v>
      </c>
      <c r="I97" s="990">
        <v>13500</v>
      </c>
      <c r="J97" s="990">
        <v>14805</v>
      </c>
      <c r="K97" s="990">
        <v>14832</v>
      </c>
      <c r="L97" s="990">
        <v>13311</v>
      </c>
      <c r="M97" s="990">
        <v>14742</v>
      </c>
      <c r="N97" s="990">
        <v>14541</v>
      </c>
      <c r="O97" s="990">
        <v>7401</v>
      </c>
      <c r="P97" s="990">
        <v>14310</v>
      </c>
      <c r="Q97" s="990">
        <v>22896</v>
      </c>
      <c r="R97" s="990">
        <v>13833</v>
      </c>
      <c r="S97" s="990">
        <v>14787</v>
      </c>
      <c r="T97" s="990">
        <v>14310</v>
      </c>
      <c r="U97" s="990">
        <v>14787</v>
      </c>
      <c r="V97" s="990">
        <v>15624</v>
      </c>
      <c r="W97" s="990">
        <v>14116</v>
      </c>
      <c r="X97" s="990">
        <v>15732</v>
      </c>
      <c r="Y97" s="990">
        <v>15120</v>
      </c>
      <c r="Z97" s="990">
        <v>17109</v>
      </c>
      <c r="AA97" s="990">
        <v>15120</v>
      </c>
      <c r="AB97" s="990">
        <v>15120</v>
      </c>
      <c r="AC97" s="990">
        <v>16800</v>
      </c>
      <c r="AD97" s="990">
        <v>15119</v>
      </c>
      <c r="AE97" s="990">
        <v>15624</v>
      </c>
      <c r="AF97" s="990">
        <v>15639.75</v>
      </c>
      <c r="AG97" s="990">
        <v>15624</v>
      </c>
      <c r="AH97" s="990">
        <v>15624</v>
      </c>
      <c r="AI97" s="990">
        <v>16409.25</v>
      </c>
      <c r="AJ97" s="990">
        <v>16913.25</v>
      </c>
      <c r="AK97" s="990">
        <v>16373.25</v>
      </c>
      <c r="AL97" s="990">
        <v>16913.25</v>
      </c>
      <c r="AM97" s="990">
        <v>16373.25</v>
      </c>
      <c r="AN97" s="990">
        <v>16913.25</v>
      </c>
      <c r="AO97" s="990">
        <v>16913.25</v>
      </c>
      <c r="AP97" s="990">
        <v>16373.25</v>
      </c>
      <c r="AQ97" s="990">
        <v>16913.25</v>
      </c>
      <c r="AR97" s="990">
        <v>16381.91</v>
      </c>
      <c r="AS97" s="990">
        <v>16921.91</v>
      </c>
      <c r="AT97" s="990">
        <v>16074.11</v>
      </c>
      <c r="AU97" s="990">
        <v>18177</v>
      </c>
      <c r="AV97" s="990">
        <v>19556.7</v>
      </c>
      <c r="AW97" s="990">
        <v>18571.21</v>
      </c>
      <c r="AX97" s="990">
        <v>18401.48</v>
      </c>
      <c r="AY97" s="990">
        <v>3942</v>
      </c>
      <c r="AZ97" s="990">
        <v>0</v>
      </c>
      <c r="BA97" s="990">
        <v>43202.76</v>
      </c>
      <c r="BB97" s="990">
        <v>20882.189999999999</v>
      </c>
      <c r="BC97" s="990">
        <v>1433.92</v>
      </c>
      <c r="BD97" s="990">
        <v>2107.88</v>
      </c>
      <c r="BF97" s="978"/>
    </row>
    <row r="98" spans="2:58" ht="15" customHeight="1">
      <c r="B98" s="983" t="s">
        <v>915</v>
      </c>
      <c r="C98" s="984" t="s">
        <v>914</v>
      </c>
      <c r="D98" s="986">
        <v>13509</v>
      </c>
      <c r="E98" s="986">
        <v>20710</v>
      </c>
      <c r="F98" s="986">
        <v>13853.5</v>
      </c>
      <c r="G98" s="986">
        <v>14800</v>
      </c>
      <c r="H98" s="986">
        <v>14834.6</v>
      </c>
      <c r="I98" s="986">
        <v>12165.4</v>
      </c>
      <c r="J98" s="986">
        <v>16139.6</v>
      </c>
      <c r="K98" s="986">
        <v>14832</v>
      </c>
      <c r="L98" s="986">
        <v>13311</v>
      </c>
      <c r="M98" s="986">
        <v>13407.4</v>
      </c>
      <c r="N98" s="986">
        <v>14541</v>
      </c>
      <c r="O98" s="986">
        <v>7401</v>
      </c>
      <c r="P98" s="986">
        <v>14310</v>
      </c>
      <c r="Q98" s="986">
        <v>23045.15</v>
      </c>
      <c r="R98" s="986">
        <v>13833</v>
      </c>
      <c r="S98" s="986">
        <v>14787</v>
      </c>
      <c r="T98" s="986">
        <v>14310</v>
      </c>
      <c r="U98" s="986">
        <v>14787</v>
      </c>
      <c r="V98" s="986">
        <v>15624</v>
      </c>
      <c r="W98" s="986">
        <v>14605.2</v>
      </c>
      <c r="X98" s="986">
        <v>16515.650000000001</v>
      </c>
      <c r="Y98" s="986">
        <v>15276.3</v>
      </c>
      <c r="Z98" s="986">
        <v>17041.05</v>
      </c>
      <c r="AA98" s="986">
        <v>15120</v>
      </c>
      <c r="AB98" s="986">
        <v>15587.05</v>
      </c>
      <c r="AC98" s="986">
        <v>16935.900000000001</v>
      </c>
      <c r="AD98" s="986">
        <v>15432.95</v>
      </c>
      <c r="AE98" s="986">
        <v>15917.95</v>
      </c>
      <c r="AF98" s="986">
        <v>15888.3</v>
      </c>
      <c r="AG98" s="986">
        <v>15691.95</v>
      </c>
      <c r="AH98" s="986">
        <v>18279.45</v>
      </c>
      <c r="AI98" s="986">
        <v>17707.8</v>
      </c>
      <c r="AJ98" s="986">
        <v>17044.05</v>
      </c>
      <c r="AK98" s="986">
        <v>16517.650000000001</v>
      </c>
      <c r="AL98" s="986">
        <v>17504.95</v>
      </c>
      <c r="AM98" s="986">
        <v>16656.95</v>
      </c>
      <c r="AN98" s="986">
        <v>16981.2</v>
      </c>
      <c r="AO98" s="986">
        <v>17792.599999999999</v>
      </c>
      <c r="AP98" s="986">
        <v>16867.66</v>
      </c>
      <c r="AQ98" s="986">
        <v>20716.3</v>
      </c>
      <c r="AR98" s="986">
        <v>18983.37</v>
      </c>
      <c r="AS98" s="986">
        <v>17761.060000000001</v>
      </c>
      <c r="AT98" s="986">
        <v>19834.14</v>
      </c>
      <c r="AU98" s="986">
        <v>18177</v>
      </c>
      <c r="AV98" s="986">
        <v>19556.7</v>
      </c>
      <c r="AW98" s="986">
        <v>18752.71</v>
      </c>
      <c r="AX98" s="986">
        <v>18469.43</v>
      </c>
      <c r="AY98" s="986">
        <v>3942</v>
      </c>
      <c r="AZ98" s="986">
        <v>181.5</v>
      </c>
      <c r="BA98" s="986">
        <v>43488.39</v>
      </c>
      <c r="BB98" s="986">
        <v>20882.189999999999</v>
      </c>
      <c r="BC98" s="986">
        <v>1501.87</v>
      </c>
      <c r="BD98" s="986">
        <v>2235.73</v>
      </c>
      <c r="BF98" s="978"/>
    </row>
    <row r="99" spans="2:58" ht="15" customHeight="1">
      <c r="B99" s="983" t="s">
        <v>913</v>
      </c>
      <c r="C99" s="984" t="s">
        <v>912</v>
      </c>
      <c r="D99" s="989"/>
      <c r="E99" s="989"/>
      <c r="F99" s="989"/>
      <c r="G99" s="989"/>
      <c r="H99" s="989"/>
      <c r="I99" s="989"/>
      <c r="J99" s="989"/>
      <c r="K99" s="989"/>
      <c r="L99" s="989"/>
      <c r="M99" s="989"/>
      <c r="N99" s="989"/>
      <c r="O99" s="989"/>
      <c r="P99" s="989"/>
      <c r="Q99" s="989"/>
      <c r="R99" s="989"/>
      <c r="S99" s="989"/>
      <c r="T99" s="989"/>
      <c r="U99" s="989"/>
      <c r="V99" s="989"/>
      <c r="W99" s="989"/>
      <c r="X99" s="989"/>
      <c r="Y99" s="989"/>
      <c r="Z99" s="989"/>
      <c r="AA99" s="989"/>
      <c r="AB99" s="989"/>
      <c r="AC99" s="989"/>
      <c r="AD99" s="989"/>
      <c r="AE99" s="989"/>
      <c r="AF99" s="989"/>
      <c r="AG99" s="989"/>
      <c r="AH99" s="989"/>
      <c r="AI99" s="989"/>
      <c r="AJ99" s="989"/>
      <c r="AK99" s="989"/>
      <c r="AL99" s="989"/>
      <c r="AM99" s="989"/>
      <c r="AN99" s="989"/>
      <c r="AO99" s="989"/>
      <c r="AP99" s="989"/>
      <c r="AQ99" s="989"/>
      <c r="AR99" s="989"/>
      <c r="AS99" s="989"/>
      <c r="AT99" s="989"/>
      <c r="AU99" s="989"/>
      <c r="AV99" s="989"/>
      <c r="AW99" s="989"/>
      <c r="AX99" s="989"/>
      <c r="AY99" s="989"/>
      <c r="AZ99" s="989"/>
      <c r="BA99" s="989"/>
      <c r="BB99" s="989"/>
      <c r="BC99" s="989"/>
      <c r="BD99" s="989"/>
      <c r="BF99" s="978"/>
    </row>
    <row r="100" spans="2:58" ht="15" customHeight="1">
      <c r="B100" s="983" t="s">
        <v>911</v>
      </c>
      <c r="C100" s="984" t="s">
        <v>910</v>
      </c>
      <c r="D100" s="990">
        <v>550</v>
      </c>
      <c r="E100" s="990">
        <v>625</v>
      </c>
      <c r="F100" s="990">
        <v>550</v>
      </c>
      <c r="G100" s="990">
        <v>475</v>
      </c>
      <c r="H100" s="990">
        <v>550</v>
      </c>
      <c r="I100" s="990">
        <v>550</v>
      </c>
      <c r="J100" s="990">
        <v>550</v>
      </c>
      <c r="K100" s="990">
        <v>550</v>
      </c>
      <c r="L100" s="990">
        <v>550</v>
      </c>
      <c r="M100" s="990">
        <v>550</v>
      </c>
      <c r="N100" s="990">
        <v>550</v>
      </c>
      <c r="O100" s="990">
        <v>550</v>
      </c>
      <c r="P100" s="990">
        <v>550</v>
      </c>
      <c r="Q100" s="990">
        <v>550</v>
      </c>
      <c r="R100" s="990">
        <v>550</v>
      </c>
      <c r="S100" s="990">
        <v>550</v>
      </c>
      <c r="T100" s="990">
        <v>550</v>
      </c>
      <c r="U100" s="990">
        <v>550</v>
      </c>
      <c r="V100" s="990">
        <v>550</v>
      </c>
      <c r="W100" s="990">
        <v>575</v>
      </c>
      <c r="X100" s="990">
        <v>600</v>
      </c>
      <c r="Y100" s="990">
        <v>575</v>
      </c>
      <c r="Z100" s="990">
        <v>1055</v>
      </c>
      <c r="AA100" s="990">
        <v>1100</v>
      </c>
      <c r="AB100" s="990">
        <v>900</v>
      </c>
      <c r="AC100" s="990">
        <v>870</v>
      </c>
      <c r="AD100" s="990">
        <v>900</v>
      </c>
      <c r="AE100" s="990">
        <v>1225</v>
      </c>
      <c r="AF100" s="990">
        <v>900</v>
      </c>
      <c r="AG100" s="990">
        <v>900</v>
      </c>
      <c r="AH100" s="990">
        <v>900</v>
      </c>
      <c r="AI100" s="990">
        <v>990</v>
      </c>
      <c r="AJ100" s="990">
        <v>945</v>
      </c>
      <c r="AK100" s="990">
        <v>945</v>
      </c>
      <c r="AL100" s="990">
        <v>945</v>
      </c>
      <c r="AM100" s="990">
        <v>945</v>
      </c>
      <c r="AN100" s="990">
        <v>945</v>
      </c>
      <c r="AO100" s="990">
        <v>945</v>
      </c>
      <c r="AP100" s="990">
        <v>945</v>
      </c>
      <c r="AQ100" s="990">
        <v>945</v>
      </c>
      <c r="AR100" s="990">
        <v>945</v>
      </c>
      <c r="AS100" s="990">
        <v>945</v>
      </c>
      <c r="AT100" s="990">
        <v>995</v>
      </c>
      <c r="AU100" s="990">
        <v>0</v>
      </c>
      <c r="AV100" s="990">
        <v>995</v>
      </c>
      <c r="AW100" s="990">
        <v>930</v>
      </c>
      <c r="AX100" s="990">
        <v>1600</v>
      </c>
      <c r="AY100" s="990">
        <v>0</v>
      </c>
      <c r="AZ100" s="990">
        <v>0</v>
      </c>
      <c r="BA100" s="990">
        <v>0</v>
      </c>
      <c r="BB100" s="990">
        <v>2400</v>
      </c>
      <c r="BC100" s="990">
        <v>0</v>
      </c>
      <c r="BD100" s="990">
        <v>0</v>
      </c>
      <c r="BF100" s="978"/>
    </row>
    <row r="101" spans="2:58" ht="15" customHeight="1">
      <c r="B101" s="983" t="s">
        <v>1325</v>
      </c>
      <c r="C101" s="984" t="s">
        <v>1324</v>
      </c>
      <c r="D101" s="990">
        <v>0</v>
      </c>
      <c r="E101" s="990">
        <v>0</v>
      </c>
      <c r="F101" s="990">
        <v>3239</v>
      </c>
      <c r="G101" s="990">
        <v>90</v>
      </c>
      <c r="H101" s="990">
        <v>40</v>
      </c>
      <c r="I101" s="990">
        <v>15</v>
      </c>
      <c r="J101" s="990">
        <v>0</v>
      </c>
      <c r="K101" s="990">
        <v>18</v>
      </c>
      <c r="L101" s="990">
        <v>40</v>
      </c>
      <c r="M101" s="990">
        <v>18</v>
      </c>
      <c r="N101" s="990">
        <v>60</v>
      </c>
      <c r="O101" s="990">
        <v>78</v>
      </c>
      <c r="P101" s="990">
        <v>0</v>
      </c>
      <c r="Q101" s="990">
        <v>18</v>
      </c>
      <c r="R101" s="990">
        <v>913</v>
      </c>
      <c r="S101" s="990">
        <v>95</v>
      </c>
      <c r="T101" s="990">
        <v>40</v>
      </c>
      <c r="U101" s="990">
        <v>18</v>
      </c>
      <c r="V101" s="990">
        <v>0</v>
      </c>
      <c r="W101" s="990">
        <v>18</v>
      </c>
      <c r="X101" s="990">
        <v>85</v>
      </c>
      <c r="Y101" s="990">
        <v>18</v>
      </c>
      <c r="Z101" s="990">
        <v>703</v>
      </c>
      <c r="AA101" s="990">
        <v>0</v>
      </c>
      <c r="AB101" s="990">
        <v>18</v>
      </c>
      <c r="AC101" s="990">
        <v>608</v>
      </c>
      <c r="AD101" s="990">
        <v>0</v>
      </c>
      <c r="AE101" s="990">
        <v>0</v>
      </c>
      <c r="AF101" s="990">
        <v>3879</v>
      </c>
      <c r="AG101" s="990">
        <v>0</v>
      </c>
      <c r="AH101" s="990">
        <v>88</v>
      </c>
      <c r="AI101" s="990">
        <v>643</v>
      </c>
      <c r="AJ101" s="990">
        <v>405</v>
      </c>
      <c r="AK101" s="990">
        <v>303</v>
      </c>
      <c r="AL101" s="990">
        <v>395</v>
      </c>
      <c r="AM101" s="990">
        <v>35</v>
      </c>
      <c r="AN101" s="990">
        <v>1073</v>
      </c>
      <c r="AO101" s="990">
        <v>18</v>
      </c>
      <c r="AP101" s="990">
        <v>200</v>
      </c>
      <c r="AQ101" s="990">
        <v>1300</v>
      </c>
      <c r="AR101" s="990">
        <v>0</v>
      </c>
      <c r="AS101" s="990">
        <v>220</v>
      </c>
      <c r="AT101" s="990">
        <v>268</v>
      </c>
      <c r="AU101" s="990">
        <v>0</v>
      </c>
      <c r="AV101" s="990">
        <v>0</v>
      </c>
      <c r="AW101" s="990">
        <v>0</v>
      </c>
      <c r="AX101" s="990">
        <v>0</v>
      </c>
      <c r="AY101" s="990">
        <v>0</v>
      </c>
      <c r="AZ101" s="990">
        <v>0</v>
      </c>
      <c r="BA101" s="990">
        <v>0</v>
      </c>
      <c r="BB101" s="990">
        <v>0</v>
      </c>
      <c r="BC101" s="990">
        <v>0</v>
      </c>
      <c r="BD101" s="990">
        <v>0</v>
      </c>
      <c r="BF101" s="978"/>
    </row>
    <row r="102" spans="2:58" ht="15" customHeight="1">
      <c r="B102" s="983" t="s">
        <v>1323</v>
      </c>
      <c r="C102" s="984" t="s">
        <v>1322</v>
      </c>
      <c r="D102" s="990">
        <v>0</v>
      </c>
      <c r="E102" s="990">
        <v>5117</v>
      </c>
      <c r="F102" s="990">
        <v>0</v>
      </c>
      <c r="G102" s="990">
        <v>0</v>
      </c>
      <c r="H102" s="990">
        <v>0</v>
      </c>
      <c r="I102" s="990">
        <v>0</v>
      </c>
      <c r="J102" s="990">
        <v>0</v>
      </c>
      <c r="K102" s="990">
        <v>0</v>
      </c>
      <c r="L102" s="990">
        <v>0</v>
      </c>
      <c r="M102" s="990">
        <v>0</v>
      </c>
      <c r="N102" s="990">
        <v>0</v>
      </c>
      <c r="O102" s="990">
        <v>0</v>
      </c>
      <c r="P102" s="990">
        <v>0</v>
      </c>
      <c r="Q102" s="990">
        <v>0</v>
      </c>
      <c r="R102" s="990">
        <v>0</v>
      </c>
      <c r="S102" s="990">
        <v>0</v>
      </c>
      <c r="T102" s="990">
        <v>0</v>
      </c>
      <c r="U102" s="990">
        <v>0</v>
      </c>
      <c r="V102" s="990">
        <v>0</v>
      </c>
      <c r="W102" s="990">
        <v>0</v>
      </c>
      <c r="X102" s="990">
        <v>0</v>
      </c>
      <c r="Y102" s="990">
        <v>0</v>
      </c>
      <c r="Z102" s="990">
        <v>0</v>
      </c>
      <c r="AA102" s="990">
        <v>0</v>
      </c>
      <c r="AB102" s="990">
        <v>0</v>
      </c>
      <c r="AC102" s="990">
        <v>0</v>
      </c>
      <c r="AD102" s="990">
        <v>0</v>
      </c>
      <c r="AE102" s="990">
        <v>0</v>
      </c>
      <c r="AF102" s="990">
        <v>0</v>
      </c>
      <c r="AG102" s="990">
        <v>0</v>
      </c>
      <c r="AH102" s="990">
        <v>0</v>
      </c>
      <c r="AI102" s="990">
        <v>0</v>
      </c>
      <c r="AJ102" s="990">
        <v>0</v>
      </c>
      <c r="AK102" s="990">
        <v>0</v>
      </c>
      <c r="AL102" s="990">
        <v>0</v>
      </c>
      <c r="AM102" s="990">
        <v>0</v>
      </c>
      <c r="AN102" s="990">
        <v>0</v>
      </c>
      <c r="AO102" s="990">
        <v>0</v>
      </c>
      <c r="AP102" s="990">
        <v>0</v>
      </c>
      <c r="AQ102" s="990">
        <v>0</v>
      </c>
      <c r="AR102" s="990">
        <v>0</v>
      </c>
      <c r="AS102" s="990">
        <v>0</v>
      </c>
      <c r="AT102" s="990">
        <v>0</v>
      </c>
      <c r="AU102" s="990">
        <v>0</v>
      </c>
      <c r="AV102" s="990">
        <v>0</v>
      </c>
      <c r="AW102" s="990">
        <v>0</v>
      </c>
      <c r="AX102" s="990">
        <v>0</v>
      </c>
      <c r="AY102" s="990">
        <v>0</v>
      </c>
      <c r="AZ102" s="990">
        <v>0</v>
      </c>
      <c r="BA102" s="990">
        <v>0</v>
      </c>
      <c r="BB102" s="990">
        <v>0</v>
      </c>
      <c r="BC102" s="990">
        <v>0</v>
      </c>
      <c r="BD102" s="990">
        <v>0</v>
      </c>
      <c r="BF102" s="978"/>
    </row>
    <row r="103" spans="2:58" ht="15" customHeight="1">
      <c r="B103" s="983" t="s">
        <v>1321</v>
      </c>
      <c r="C103" s="984" t="s">
        <v>1320</v>
      </c>
      <c r="D103" s="990">
        <v>250</v>
      </c>
      <c r="E103" s="990">
        <v>-250</v>
      </c>
      <c r="F103" s="990">
        <v>0</v>
      </c>
      <c r="G103" s="990">
        <v>0</v>
      </c>
      <c r="H103" s="990">
        <v>0</v>
      </c>
      <c r="I103" s="990">
        <v>0</v>
      </c>
      <c r="J103" s="990">
        <v>0</v>
      </c>
      <c r="K103" s="990">
        <v>0</v>
      </c>
      <c r="L103" s="990">
        <v>0</v>
      </c>
      <c r="M103" s="990">
        <v>0</v>
      </c>
      <c r="N103" s="990">
        <v>0</v>
      </c>
      <c r="O103" s="990">
        <v>0</v>
      </c>
      <c r="P103" s="990">
        <v>0</v>
      </c>
      <c r="Q103" s="990">
        <v>0</v>
      </c>
      <c r="R103" s="990">
        <v>0</v>
      </c>
      <c r="S103" s="990">
        <v>0</v>
      </c>
      <c r="T103" s="990">
        <v>0</v>
      </c>
      <c r="U103" s="990">
        <v>0</v>
      </c>
      <c r="V103" s="990">
        <v>0</v>
      </c>
      <c r="W103" s="990">
        <v>0</v>
      </c>
      <c r="X103" s="990">
        <v>125</v>
      </c>
      <c r="Y103" s="990">
        <v>125</v>
      </c>
      <c r="Z103" s="990">
        <v>125</v>
      </c>
      <c r="AA103" s="990">
        <v>125</v>
      </c>
      <c r="AB103" s="990">
        <v>125</v>
      </c>
      <c r="AC103" s="990">
        <v>125</v>
      </c>
      <c r="AD103" s="990">
        <v>125</v>
      </c>
      <c r="AE103" s="990">
        <v>125</v>
      </c>
      <c r="AF103" s="990">
        <v>125</v>
      </c>
      <c r="AG103" s="990">
        <v>125</v>
      </c>
      <c r="AH103" s="990">
        <v>130</v>
      </c>
      <c r="AI103" s="990">
        <v>130</v>
      </c>
      <c r="AJ103" s="990">
        <v>130</v>
      </c>
      <c r="AK103" s="990">
        <v>130</v>
      </c>
      <c r="AL103" s="990">
        <v>130</v>
      </c>
      <c r="AM103" s="990">
        <v>130</v>
      </c>
      <c r="AN103" s="990">
        <v>130</v>
      </c>
      <c r="AO103" s="990">
        <v>130</v>
      </c>
      <c r="AP103" s="990">
        <v>130</v>
      </c>
      <c r="AQ103" s="990">
        <v>130</v>
      </c>
      <c r="AR103" s="990">
        <v>130</v>
      </c>
      <c r="AS103" s="990">
        <v>130</v>
      </c>
      <c r="AT103" s="990">
        <v>130</v>
      </c>
      <c r="AU103" s="990">
        <v>0</v>
      </c>
      <c r="AV103" s="990">
        <v>0</v>
      </c>
      <c r="AW103" s="990">
        <v>130</v>
      </c>
      <c r="AX103" s="990">
        <v>260</v>
      </c>
      <c r="AY103" s="990">
        <v>0</v>
      </c>
      <c r="AZ103" s="990">
        <v>0</v>
      </c>
      <c r="BA103" s="990">
        <v>0</v>
      </c>
      <c r="BB103" s="990">
        <v>0</v>
      </c>
      <c r="BC103" s="990">
        <v>0</v>
      </c>
      <c r="BD103" s="990">
        <v>0</v>
      </c>
      <c r="BF103" s="978"/>
    </row>
    <row r="104" spans="2:58" ht="15" customHeight="1">
      <c r="B104" s="983" t="s">
        <v>909</v>
      </c>
      <c r="C104" s="984" t="s">
        <v>908</v>
      </c>
      <c r="D104" s="986">
        <v>800</v>
      </c>
      <c r="E104" s="986">
        <v>5492</v>
      </c>
      <c r="F104" s="986">
        <v>3789</v>
      </c>
      <c r="G104" s="986">
        <v>565</v>
      </c>
      <c r="H104" s="986">
        <v>590</v>
      </c>
      <c r="I104" s="986">
        <v>565</v>
      </c>
      <c r="J104" s="986">
        <v>550</v>
      </c>
      <c r="K104" s="986">
        <v>568</v>
      </c>
      <c r="L104" s="986">
        <v>590</v>
      </c>
      <c r="M104" s="986">
        <v>568</v>
      </c>
      <c r="N104" s="986">
        <v>610</v>
      </c>
      <c r="O104" s="986">
        <v>628</v>
      </c>
      <c r="P104" s="986">
        <v>550</v>
      </c>
      <c r="Q104" s="986">
        <v>568</v>
      </c>
      <c r="R104" s="986">
        <v>1463</v>
      </c>
      <c r="S104" s="986">
        <v>645</v>
      </c>
      <c r="T104" s="986">
        <v>590</v>
      </c>
      <c r="U104" s="986">
        <v>568</v>
      </c>
      <c r="V104" s="986">
        <v>550</v>
      </c>
      <c r="W104" s="986">
        <v>593</v>
      </c>
      <c r="X104" s="986">
        <v>810</v>
      </c>
      <c r="Y104" s="986">
        <v>718</v>
      </c>
      <c r="Z104" s="986">
        <v>1883</v>
      </c>
      <c r="AA104" s="986">
        <v>1225</v>
      </c>
      <c r="AB104" s="986">
        <v>1043</v>
      </c>
      <c r="AC104" s="986">
        <v>1603</v>
      </c>
      <c r="AD104" s="986">
        <v>1025</v>
      </c>
      <c r="AE104" s="986">
        <v>1350</v>
      </c>
      <c r="AF104" s="986">
        <v>4904</v>
      </c>
      <c r="AG104" s="986">
        <v>1025</v>
      </c>
      <c r="AH104" s="986">
        <v>1118</v>
      </c>
      <c r="AI104" s="986">
        <v>1763</v>
      </c>
      <c r="AJ104" s="986">
        <v>1480</v>
      </c>
      <c r="AK104" s="986">
        <v>1378</v>
      </c>
      <c r="AL104" s="986">
        <v>1470</v>
      </c>
      <c r="AM104" s="986">
        <v>1110</v>
      </c>
      <c r="AN104" s="986">
        <v>2148</v>
      </c>
      <c r="AO104" s="986">
        <v>1093</v>
      </c>
      <c r="AP104" s="986">
        <v>1275</v>
      </c>
      <c r="AQ104" s="986">
        <v>2375</v>
      </c>
      <c r="AR104" s="986">
        <v>1075</v>
      </c>
      <c r="AS104" s="986">
        <v>1295</v>
      </c>
      <c r="AT104" s="986">
        <v>1393</v>
      </c>
      <c r="AU104" s="986">
        <v>0</v>
      </c>
      <c r="AV104" s="986">
        <v>995</v>
      </c>
      <c r="AW104" s="986">
        <v>1060</v>
      </c>
      <c r="AX104" s="986">
        <v>1860</v>
      </c>
      <c r="AY104" s="986">
        <v>0</v>
      </c>
      <c r="AZ104" s="986">
        <v>0</v>
      </c>
      <c r="BA104" s="986">
        <v>0</v>
      </c>
      <c r="BB104" s="986">
        <v>2400</v>
      </c>
      <c r="BC104" s="986">
        <v>0</v>
      </c>
      <c r="BD104" s="986">
        <v>0</v>
      </c>
      <c r="BF104" s="978"/>
    </row>
    <row r="105" spans="2:58" ht="15" customHeight="1">
      <c r="B105" s="983" t="s">
        <v>907</v>
      </c>
      <c r="C105" s="984" t="s">
        <v>906</v>
      </c>
      <c r="D105" s="989"/>
      <c r="E105" s="989"/>
      <c r="F105" s="989"/>
      <c r="G105" s="989"/>
      <c r="H105" s="989"/>
      <c r="I105" s="989"/>
      <c r="J105" s="989"/>
      <c r="K105" s="989"/>
      <c r="L105" s="989"/>
      <c r="M105" s="989"/>
      <c r="N105" s="989"/>
      <c r="O105" s="989"/>
      <c r="P105" s="989"/>
      <c r="Q105" s="989"/>
      <c r="R105" s="989"/>
      <c r="S105" s="989"/>
      <c r="T105" s="989"/>
      <c r="U105" s="989"/>
      <c r="V105" s="989"/>
      <c r="W105" s="989"/>
      <c r="X105" s="989"/>
      <c r="Y105" s="989"/>
      <c r="Z105" s="989"/>
      <c r="AA105" s="989"/>
      <c r="AB105" s="989"/>
      <c r="AC105" s="989"/>
      <c r="AD105" s="989"/>
      <c r="AE105" s="989"/>
      <c r="AF105" s="989"/>
      <c r="AG105" s="989"/>
      <c r="AH105" s="989"/>
      <c r="AI105" s="989"/>
      <c r="AJ105" s="989"/>
      <c r="AK105" s="989"/>
      <c r="AL105" s="989"/>
      <c r="AM105" s="989"/>
      <c r="AN105" s="989"/>
      <c r="AO105" s="989"/>
      <c r="AP105" s="989"/>
      <c r="AQ105" s="989"/>
      <c r="AR105" s="989"/>
      <c r="AS105" s="989"/>
      <c r="AT105" s="989"/>
      <c r="AU105" s="989"/>
      <c r="AV105" s="989"/>
      <c r="AW105" s="989"/>
      <c r="AX105" s="989"/>
      <c r="AY105" s="989"/>
      <c r="AZ105" s="989"/>
      <c r="BA105" s="989"/>
      <c r="BB105" s="989"/>
      <c r="BC105" s="989"/>
      <c r="BD105" s="989"/>
      <c r="BF105" s="978"/>
    </row>
    <row r="106" spans="2:58" ht="15" customHeight="1">
      <c r="B106" s="983" t="s">
        <v>1319</v>
      </c>
      <c r="C106" s="984" t="s">
        <v>1318</v>
      </c>
      <c r="D106" s="990">
        <v>600</v>
      </c>
      <c r="E106" s="990">
        <v>600</v>
      </c>
      <c r="F106" s="990">
        <v>600</v>
      </c>
      <c r="G106" s="990">
        <v>600</v>
      </c>
      <c r="H106" s="990">
        <v>600</v>
      </c>
      <c r="I106" s="990">
        <v>600</v>
      </c>
      <c r="J106" s="990">
        <v>600</v>
      </c>
      <c r="K106" s="990">
        <v>600</v>
      </c>
      <c r="L106" s="990">
        <v>600</v>
      </c>
      <c r="M106" s="990">
        <v>600</v>
      </c>
      <c r="N106" s="990">
        <v>600</v>
      </c>
      <c r="O106" s="990">
        <v>600</v>
      </c>
      <c r="P106" s="990">
        <v>600</v>
      </c>
      <c r="Q106" s="990">
        <v>600</v>
      </c>
      <c r="R106" s="990">
        <v>600</v>
      </c>
      <c r="S106" s="990">
        <v>600</v>
      </c>
      <c r="T106" s="990">
        <v>600</v>
      </c>
      <c r="U106" s="990">
        <v>600</v>
      </c>
      <c r="V106" s="990">
        <v>600</v>
      </c>
      <c r="W106" s="990">
        <v>600</v>
      </c>
      <c r="X106" s="990">
        <v>600</v>
      </c>
      <c r="Y106" s="990">
        <v>600</v>
      </c>
      <c r="Z106" s="990">
        <v>600</v>
      </c>
      <c r="AA106" s="990">
        <v>600</v>
      </c>
      <c r="AB106" s="990">
        <v>600</v>
      </c>
      <c r="AC106" s="990">
        <v>0</v>
      </c>
      <c r="AD106" s="990">
        <v>-600</v>
      </c>
      <c r="AE106" s="990">
        <v>1800</v>
      </c>
      <c r="AF106" s="990">
        <v>1200</v>
      </c>
      <c r="AG106" s="990">
        <v>600</v>
      </c>
      <c r="AH106" s="990">
        <v>600</v>
      </c>
      <c r="AI106" s="990">
        <v>600</v>
      </c>
      <c r="AJ106" s="990">
        <v>600</v>
      </c>
      <c r="AK106" s="990">
        <v>600</v>
      </c>
      <c r="AL106" s="990">
        <v>600</v>
      </c>
      <c r="AM106" s="990">
        <v>600</v>
      </c>
      <c r="AN106" s="990">
        <v>600</v>
      </c>
      <c r="AO106" s="990">
        <v>600</v>
      </c>
      <c r="AP106" s="990">
        <v>600</v>
      </c>
      <c r="AQ106" s="990">
        <v>0</v>
      </c>
      <c r="AR106" s="990">
        <v>600</v>
      </c>
      <c r="AS106" s="990">
        <v>600</v>
      </c>
      <c r="AT106" s="990">
        <v>600</v>
      </c>
      <c r="AU106" s="990">
        <v>-600</v>
      </c>
      <c r="AV106" s="990">
        <v>0</v>
      </c>
      <c r="AW106" s="990">
        <v>3768</v>
      </c>
      <c r="AX106" s="990">
        <v>1400</v>
      </c>
      <c r="AY106" s="990">
        <v>0</v>
      </c>
      <c r="AZ106" s="990">
        <v>700</v>
      </c>
      <c r="BA106" s="990">
        <v>0</v>
      </c>
      <c r="BB106" s="990">
        <v>700</v>
      </c>
      <c r="BC106" s="990">
        <v>0</v>
      </c>
      <c r="BD106" s="990">
        <v>700</v>
      </c>
      <c r="BF106" s="978"/>
    </row>
    <row r="107" spans="2:58" ht="15" customHeight="1">
      <c r="B107" s="983" t="s">
        <v>1317</v>
      </c>
      <c r="C107" s="984" t="s">
        <v>1316</v>
      </c>
      <c r="D107" s="990">
        <v>0</v>
      </c>
      <c r="E107" s="990">
        <v>0</v>
      </c>
      <c r="F107" s="990">
        <v>0</v>
      </c>
      <c r="G107" s="990">
        <v>0</v>
      </c>
      <c r="H107" s="990">
        <v>3400</v>
      </c>
      <c r="I107" s="990">
        <v>0</v>
      </c>
      <c r="J107" s="990">
        <v>0</v>
      </c>
      <c r="K107" s="990">
        <v>0</v>
      </c>
      <c r="L107" s="990">
        <v>0</v>
      </c>
      <c r="M107" s="990">
        <v>0</v>
      </c>
      <c r="N107" s="990">
        <v>0</v>
      </c>
      <c r="O107" s="990">
        <v>0</v>
      </c>
      <c r="P107" s="990">
        <v>0</v>
      </c>
      <c r="Q107" s="990">
        <v>0</v>
      </c>
      <c r="R107" s="990">
        <v>0</v>
      </c>
      <c r="S107" s="990">
        <v>0</v>
      </c>
      <c r="T107" s="990">
        <v>0</v>
      </c>
      <c r="U107" s="990">
        <v>0</v>
      </c>
      <c r="V107" s="990">
        <v>0</v>
      </c>
      <c r="W107" s="990">
        <v>0</v>
      </c>
      <c r="X107" s="990">
        <v>0</v>
      </c>
      <c r="Y107" s="990">
        <v>0</v>
      </c>
      <c r="Z107" s="990">
        <v>0</v>
      </c>
      <c r="AA107" s="990">
        <v>0</v>
      </c>
      <c r="AB107" s="990">
        <v>0</v>
      </c>
      <c r="AC107" s="990">
        <v>0</v>
      </c>
      <c r="AD107" s="990">
        <v>0</v>
      </c>
      <c r="AE107" s="990">
        <v>0</v>
      </c>
      <c r="AF107" s="990">
        <v>0</v>
      </c>
      <c r="AG107" s="990">
        <v>0</v>
      </c>
      <c r="AH107" s="990">
        <v>0</v>
      </c>
      <c r="AI107" s="990">
        <v>0</v>
      </c>
      <c r="AJ107" s="990">
        <v>0</v>
      </c>
      <c r="AK107" s="990">
        <v>0</v>
      </c>
      <c r="AL107" s="990">
        <v>0</v>
      </c>
      <c r="AM107" s="990">
        <v>0</v>
      </c>
      <c r="AN107" s="990">
        <v>0</v>
      </c>
      <c r="AO107" s="990">
        <v>0</v>
      </c>
      <c r="AP107" s="990">
        <v>0</v>
      </c>
      <c r="AQ107" s="990">
        <v>9550</v>
      </c>
      <c r="AR107" s="990">
        <v>0</v>
      </c>
      <c r="AS107" s="990">
        <v>0</v>
      </c>
      <c r="AT107" s="990">
        <v>0</v>
      </c>
      <c r="AU107" s="990">
        <v>0</v>
      </c>
      <c r="AV107" s="990">
        <v>0</v>
      </c>
      <c r="AW107" s="990">
        <v>0</v>
      </c>
      <c r="AX107" s="990">
        <v>0</v>
      </c>
      <c r="AY107" s="990">
        <v>0</v>
      </c>
      <c r="AZ107" s="990">
        <v>0</v>
      </c>
      <c r="BA107" s="990">
        <v>0</v>
      </c>
      <c r="BB107" s="990">
        <v>0</v>
      </c>
      <c r="BC107" s="990">
        <v>0</v>
      </c>
      <c r="BD107" s="990">
        <v>0</v>
      </c>
      <c r="BF107" s="978"/>
    </row>
    <row r="108" spans="2:58" ht="15" customHeight="1">
      <c r="B108" s="983" t="s">
        <v>905</v>
      </c>
      <c r="C108" s="984" t="s">
        <v>904</v>
      </c>
      <c r="D108" s="988">
        <v>0</v>
      </c>
      <c r="E108" s="988">
        <v>0</v>
      </c>
      <c r="F108" s="988">
        <v>0</v>
      </c>
      <c r="G108" s="988">
        <v>0</v>
      </c>
      <c r="H108" s="988">
        <v>375</v>
      </c>
      <c r="I108" s="988">
        <v>0</v>
      </c>
      <c r="J108" s="988">
        <v>0</v>
      </c>
      <c r="K108" s="988">
        <v>0</v>
      </c>
      <c r="L108" s="988">
        <v>0</v>
      </c>
      <c r="M108" s="988">
        <v>0</v>
      </c>
      <c r="N108" s="988">
        <v>0</v>
      </c>
      <c r="O108" s="988">
        <v>0</v>
      </c>
      <c r="P108" s="988">
        <v>0</v>
      </c>
      <c r="Q108" s="988">
        <v>0</v>
      </c>
      <c r="R108" s="988">
        <v>0</v>
      </c>
      <c r="S108" s="988">
        <v>0</v>
      </c>
      <c r="T108" s="988">
        <v>0</v>
      </c>
      <c r="U108" s="988">
        <v>0</v>
      </c>
      <c r="V108" s="988">
        <v>0</v>
      </c>
      <c r="W108" s="988">
        <v>0</v>
      </c>
      <c r="X108" s="988">
        <v>0</v>
      </c>
      <c r="Y108" s="988">
        <v>0</v>
      </c>
      <c r="Z108" s="988">
        <v>0</v>
      </c>
      <c r="AA108" s="988">
        <v>0</v>
      </c>
      <c r="AB108" s="988">
        <v>0</v>
      </c>
      <c r="AC108" s="988">
        <v>0</v>
      </c>
      <c r="AD108" s="988">
        <v>0</v>
      </c>
      <c r="AE108" s="988">
        <v>0</v>
      </c>
      <c r="AF108" s="988">
        <v>0</v>
      </c>
      <c r="AG108" s="988">
        <v>0</v>
      </c>
      <c r="AH108" s="988">
        <v>0</v>
      </c>
      <c r="AI108" s="988">
        <v>0</v>
      </c>
      <c r="AJ108" s="988">
        <v>0</v>
      </c>
      <c r="AK108" s="988">
        <v>0</v>
      </c>
      <c r="AL108" s="988">
        <v>0</v>
      </c>
      <c r="AM108" s="988">
        <v>0</v>
      </c>
      <c r="AN108" s="988">
        <v>0</v>
      </c>
      <c r="AO108" s="988">
        <v>0</v>
      </c>
      <c r="AP108" s="988">
        <v>0</v>
      </c>
      <c r="AQ108" s="988">
        <v>0</v>
      </c>
      <c r="AR108" s="988">
        <v>0</v>
      </c>
      <c r="AS108" s="988">
        <v>0</v>
      </c>
      <c r="AT108" s="988">
        <v>0</v>
      </c>
      <c r="AU108" s="988">
        <v>0</v>
      </c>
      <c r="AV108" s="988">
        <v>0</v>
      </c>
      <c r="AW108" s="988">
        <v>0</v>
      </c>
      <c r="AX108" s="988">
        <v>0</v>
      </c>
      <c r="AY108" s="988">
        <v>0</v>
      </c>
      <c r="AZ108" s="988">
        <v>0</v>
      </c>
      <c r="BA108" s="988">
        <v>0</v>
      </c>
      <c r="BB108" s="988">
        <v>0</v>
      </c>
      <c r="BC108" s="988">
        <v>0</v>
      </c>
      <c r="BD108" s="988">
        <v>0</v>
      </c>
      <c r="BF108" s="978"/>
    </row>
    <row r="109" spans="2:58" ht="15" customHeight="1">
      <c r="B109" s="983" t="s">
        <v>903</v>
      </c>
      <c r="C109" s="984" t="s">
        <v>902</v>
      </c>
      <c r="D109" s="986">
        <v>600</v>
      </c>
      <c r="E109" s="986">
        <v>600</v>
      </c>
      <c r="F109" s="986">
        <v>600</v>
      </c>
      <c r="G109" s="986">
        <v>600</v>
      </c>
      <c r="H109" s="986">
        <v>4375</v>
      </c>
      <c r="I109" s="986">
        <v>600</v>
      </c>
      <c r="J109" s="986">
        <v>600</v>
      </c>
      <c r="K109" s="986">
        <v>600</v>
      </c>
      <c r="L109" s="986">
        <v>600</v>
      </c>
      <c r="M109" s="986">
        <v>600</v>
      </c>
      <c r="N109" s="986">
        <v>600</v>
      </c>
      <c r="O109" s="986">
        <v>600</v>
      </c>
      <c r="P109" s="986">
        <v>600</v>
      </c>
      <c r="Q109" s="986">
        <v>600</v>
      </c>
      <c r="R109" s="986">
        <v>600</v>
      </c>
      <c r="S109" s="986">
        <v>600</v>
      </c>
      <c r="T109" s="986">
        <v>600</v>
      </c>
      <c r="U109" s="986">
        <v>600</v>
      </c>
      <c r="V109" s="986">
        <v>600</v>
      </c>
      <c r="W109" s="986">
        <v>600</v>
      </c>
      <c r="X109" s="986">
        <v>600</v>
      </c>
      <c r="Y109" s="986">
        <v>600</v>
      </c>
      <c r="Z109" s="986">
        <v>600</v>
      </c>
      <c r="AA109" s="986">
        <v>600</v>
      </c>
      <c r="AB109" s="986">
        <v>600</v>
      </c>
      <c r="AC109" s="986">
        <v>0</v>
      </c>
      <c r="AD109" s="986">
        <v>-600</v>
      </c>
      <c r="AE109" s="986">
        <v>1800</v>
      </c>
      <c r="AF109" s="986">
        <v>1200</v>
      </c>
      <c r="AG109" s="986">
        <v>600</v>
      </c>
      <c r="AH109" s="986">
        <v>600</v>
      </c>
      <c r="AI109" s="986">
        <v>600</v>
      </c>
      <c r="AJ109" s="986">
        <v>600</v>
      </c>
      <c r="AK109" s="986">
        <v>600</v>
      </c>
      <c r="AL109" s="986">
        <v>600</v>
      </c>
      <c r="AM109" s="986">
        <v>600</v>
      </c>
      <c r="AN109" s="986">
        <v>600</v>
      </c>
      <c r="AO109" s="986">
        <v>600</v>
      </c>
      <c r="AP109" s="986">
        <v>600</v>
      </c>
      <c r="AQ109" s="986">
        <v>9550</v>
      </c>
      <c r="AR109" s="986">
        <v>600</v>
      </c>
      <c r="AS109" s="986">
        <v>600</v>
      </c>
      <c r="AT109" s="986">
        <v>600</v>
      </c>
      <c r="AU109" s="986">
        <v>-600</v>
      </c>
      <c r="AV109" s="986">
        <v>0</v>
      </c>
      <c r="AW109" s="986">
        <v>3768</v>
      </c>
      <c r="AX109" s="986">
        <v>1400</v>
      </c>
      <c r="AY109" s="986">
        <v>0</v>
      </c>
      <c r="AZ109" s="986">
        <v>700</v>
      </c>
      <c r="BA109" s="986">
        <v>0</v>
      </c>
      <c r="BB109" s="986">
        <v>700</v>
      </c>
      <c r="BC109" s="986">
        <v>0</v>
      </c>
      <c r="BD109" s="986">
        <v>700</v>
      </c>
      <c r="BF109" s="978"/>
    </row>
    <row r="110" spans="2:58" ht="15" customHeight="1">
      <c r="B110" s="983" t="s">
        <v>901</v>
      </c>
      <c r="C110" s="984" t="s">
        <v>900</v>
      </c>
      <c r="D110" s="989"/>
      <c r="E110" s="989"/>
      <c r="F110" s="989"/>
      <c r="G110" s="989"/>
      <c r="H110" s="989"/>
      <c r="I110" s="989"/>
      <c r="J110" s="989"/>
      <c r="K110" s="989"/>
      <c r="L110" s="989"/>
      <c r="M110" s="989"/>
      <c r="N110" s="989"/>
      <c r="O110" s="989"/>
      <c r="P110" s="989"/>
      <c r="Q110" s="989"/>
      <c r="R110" s="989"/>
      <c r="S110" s="989"/>
      <c r="T110" s="989"/>
      <c r="U110" s="989"/>
      <c r="V110" s="989"/>
      <c r="W110" s="989"/>
      <c r="X110" s="989"/>
      <c r="Y110" s="989"/>
      <c r="Z110" s="989"/>
      <c r="AA110" s="989"/>
      <c r="AB110" s="989"/>
      <c r="AC110" s="989"/>
      <c r="AD110" s="989"/>
      <c r="AE110" s="989"/>
      <c r="AF110" s="989"/>
      <c r="AG110" s="989"/>
      <c r="AH110" s="989"/>
      <c r="AI110" s="989"/>
      <c r="AJ110" s="989"/>
      <c r="AK110" s="989"/>
      <c r="AL110" s="989"/>
      <c r="AM110" s="989"/>
      <c r="AN110" s="989"/>
      <c r="AO110" s="989"/>
      <c r="AP110" s="989"/>
      <c r="AQ110" s="989"/>
      <c r="AR110" s="989"/>
      <c r="AS110" s="989"/>
      <c r="AT110" s="989"/>
      <c r="AU110" s="989"/>
      <c r="AV110" s="989"/>
      <c r="AW110" s="989"/>
      <c r="AX110" s="989"/>
      <c r="AY110" s="989"/>
      <c r="AZ110" s="989"/>
      <c r="BA110" s="989"/>
      <c r="BB110" s="989"/>
      <c r="BC110" s="989"/>
      <c r="BD110" s="989"/>
      <c r="BF110" s="978"/>
    </row>
    <row r="111" spans="2:58" ht="15" customHeight="1">
      <c r="B111" s="983" t="s">
        <v>899</v>
      </c>
      <c r="C111" s="984" t="s">
        <v>898</v>
      </c>
      <c r="D111" s="990">
        <v>0</v>
      </c>
      <c r="E111" s="990">
        <v>0</v>
      </c>
      <c r="F111" s="990">
        <v>0</v>
      </c>
      <c r="G111" s="990">
        <v>0</v>
      </c>
      <c r="H111" s="990">
        <v>0</v>
      </c>
      <c r="I111" s="990">
        <v>95.22</v>
      </c>
      <c r="J111" s="990">
        <v>48</v>
      </c>
      <c r="K111" s="990">
        <v>41.94</v>
      </c>
      <c r="L111" s="990">
        <v>47</v>
      </c>
      <c r="M111" s="990">
        <v>47</v>
      </c>
      <c r="N111" s="990">
        <v>47</v>
      </c>
      <c r="O111" s="990">
        <v>36.409999999999997</v>
      </c>
      <c r="P111" s="990">
        <v>124.97</v>
      </c>
      <c r="Q111" s="990">
        <v>111.25</v>
      </c>
      <c r="R111" s="990">
        <v>131.5</v>
      </c>
      <c r="S111" s="990">
        <v>55.25</v>
      </c>
      <c r="T111" s="990">
        <v>91.75</v>
      </c>
      <c r="U111" s="990">
        <v>194.5</v>
      </c>
      <c r="V111" s="990">
        <v>-43</v>
      </c>
      <c r="W111" s="990">
        <v>49</v>
      </c>
      <c r="X111" s="990">
        <v>741.5</v>
      </c>
      <c r="Y111" s="990">
        <v>369</v>
      </c>
      <c r="Z111" s="990">
        <v>-698.75</v>
      </c>
      <c r="AA111" s="990">
        <v>39</v>
      </c>
      <c r="AB111" s="990">
        <v>51</v>
      </c>
      <c r="AC111" s="990">
        <v>326.5</v>
      </c>
      <c r="AD111" s="990">
        <v>41.25</v>
      </c>
      <c r="AE111" s="990">
        <v>41.75</v>
      </c>
      <c r="AF111" s="990">
        <v>97.75</v>
      </c>
      <c r="AG111" s="990">
        <v>32.909999999999997</v>
      </c>
      <c r="AH111" s="990">
        <v>51.59</v>
      </c>
      <c r="AI111" s="990">
        <v>-103</v>
      </c>
      <c r="AJ111" s="990">
        <v>2875.56</v>
      </c>
      <c r="AK111" s="990">
        <v>-1437.78</v>
      </c>
      <c r="AL111" s="990">
        <v>0</v>
      </c>
      <c r="AM111" s="990">
        <v>0</v>
      </c>
      <c r="AN111" s="990">
        <v>-1120.76</v>
      </c>
      <c r="AO111" s="990">
        <v>0</v>
      </c>
      <c r="AP111" s="990">
        <v>0</v>
      </c>
      <c r="AQ111" s="990">
        <v>2277.62</v>
      </c>
      <c r="AR111" s="990">
        <v>0</v>
      </c>
      <c r="AS111" s="990">
        <v>1980.56</v>
      </c>
      <c r="AT111" s="990">
        <v>455.41</v>
      </c>
      <c r="AU111" s="990">
        <v>0</v>
      </c>
      <c r="AV111" s="990">
        <v>0</v>
      </c>
      <c r="AW111" s="990">
        <v>242</v>
      </c>
      <c r="AX111" s="990">
        <v>0</v>
      </c>
      <c r="AY111" s="990">
        <v>450</v>
      </c>
      <c r="AZ111" s="990">
        <v>0</v>
      </c>
      <c r="BA111" s="990">
        <v>0</v>
      </c>
      <c r="BB111" s="990">
        <v>0</v>
      </c>
      <c r="BC111" s="990">
        <v>0</v>
      </c>
      <c r="BD111" s="990">
        <v>0</v>
      </c>
      <c r="BF111" s="978"/>
    </row>
    <row r="112" spans="2:58" ht="15" customHeight="1">
      <c r="B112" s="983" t="s">
        <v>1315</v>
      </c>
      <c r="C112" s="984" t="s">
        <v>1314</v>
      </c>
      <c r="D112" s="990">
        <v>3200</v>
      </c>
      <c r="E112" s="990">
        <v>3085</v>
      </c>
      <c r="F112" s="990">
        <v>2970</v>
      </c>
      <c r="G112" s="990">
        <v>3085</v>
      </c>
      <c r="H112" s="990">
        <v>3085</v>
      </c>
      <c r="I112" s="990">
        <v>3085</v>
      </c>
      <c r="J112" s="990">
        <v>3085</v>
      </c>
      <c r="K112" s="990">
        <v>3085</v>
      </c>
      <c r="L112" s="990">
        <v>3085</v>
      </c>
      <c r="M112" s="990">
        <v>3085</v>
      </c>
      <c r="N112" s="990">
        <v>3085</v>
      </c>
      <c r="O112" s="990">
        <v>3085</v>
      </c>
      <c r="P112" s="990">
        <v>3085</v>
      </c>
      <c r="Q112" s="990">
        <v>3085</v>
      </c>
      <c r="R112" s="990">
        <v>3085</v>
      </c>
      <c r="S112" s="990">
        <v>3085</v>
      </c>
      <c r="T112" s="990">
        <v>3085</v>
      </c>
      <c r="U112" s="990">
        <v>3188</v>
      </c>
      <c r="V112" s="990">
        <v>2982</v>
      </c>
      <c r="W112" s="990">
        <v>3085</v>
      </c>
      <c r="X112" s="990">
        <v>3480</v>
      </c>
      <c r="Y112" s="990">
        <v>3085</v>
      </c>
      <c r="Z112" s="990">
        <v>3485</v>
      </c>
      <c r="AA112" s="990">
        <v>3285</v>
      </c>
      <c r="AB112" s="990">
        <v>6620</v>
      </c>
      <c r="AC112" s="990">
        <v>3285</v>
      </c>
      <c r="AD112" s="990">
        <v>3285</v>
      </c>
      <c r="AE112" s="990">
        <v>3285</v>
      </c>
      <c r="AF112" s="990">
        <v>3285</v>
      </c>
      <c r="AG112" s="990">
        <v>0</v>
      </c>
      <c r="AH112" s="990">
        <v>3285</v>
      </c>
      <c r="AI112" s="990">
        <v>3384</v>
      </c>
      <c r="AJ112" s="990">
        <v>3384</v>
      </c>
      <c r="AK112" s="990">
        <v>3272.44</v>
      </c>
      <c r="AL112" s="990">
        <v>3384</v>
      </c>
      <c r="AM112" s="990">
        <v>3384</v>
      </c>
      <c r="AN112" s="990">
        <v>3384</v>
      </c>
      <c r="AO112" s="990">
        <v>3384</v>
      </c>
      <c r="AP112" s="990">
        <v>3384</v>
      </c>
      <c r="AQ112" s="990">
        <v>2893.14</v>
      </c>
      <c r="AR112" s="990">
        <v>7796.32</v>
      </c>
      <c r="AS112" s="990">
        <v>4550</v>
      </c>
      <c r="AT112" s="990">
        <v>12521.96</v>
      </c>
      <c r="AU112" s="990">
        <v>6309</v>
      </c>
      <c r="AV112" s="990">
        <v>0</v>
      </c>
      <c r="AW112" s="990">
        <v>6300</v>
      </c>
      <c r="AX112" s="990">
        <v>6300</v>
      </c>
      <c r="AY112" s="990">
        <v>6300</v>
      </c>
      <c r="AZ112" s="990">
        <v>6300</v>
      </c>
      <c r="BA112" s="990">
        <v>0</v>
      </c>
      <c r="BB112" s="990">
        <v>12600</v>
      </c>
      <c r="BC112" s="990">
        <v>6300</v>
      </c>
      <c r="BD112" s="990">
        <v>0</v>
      </c>
      <c r="BF112" s="978"/>
    </row>
    <row r="113" spans="1:58" ht="15" customHeight="1">
      <c r="B113" s="983" t="s">
        <v>1313</v>
      </c>
      <c r="C113" s="984" t="s">
        <v>1312</v>
      </c>
      <c r="D113" s="990">
        <v>0</v>
      </c>
      <c r="E113" s="990">
        <v>1200</v>
      </c>
      <c r="F113" s="990">
        <v>0</v>
      </c>
      <c r="G113" s="990">
        <v>0</v>
      </c>
      <c r="H113" s="990">
        <v>0</v>
      </c>
      <c r="I113" s="990">
        <v>0</v>
      </c>
      <c r="J113" s="990">
        <v>0</v>
      </c>
      <c r="K113" s="990">
        <v>0</v>
      </c>
      <c r="L113" s="990">
        <v>0</v>
      </c>
      <c r="M113" s="990">
        <v>0</v>
      </c>
      <c r="N113" s="990">
        <v>0</v>
      </c>
      <c r="O113" s="990">
        <v>0</v>
      </c>
      <c r="P113" s="990">
        <v>0</v>
      </c>
      <c r="Q113" s="990">
        <v>450</v>
      </c>
      <c r="R113" s="990">
        <v>0</v>
      </c>
      <c r="S113" s="990">
        <v>150</v>
      </c>
      <c r="T113" s="990">
        <v>0</v>
      </c>
      <c r="U113" s="990">
        <v>150</v>
      </c>
      <c r="V113" s="990">
        <v>0</v>
      </c>
      <c r="W113" s="990">
        <v>0</v>
      </c>
      <c r="X113" s="990">
        <v>0</v>
      </c>
      <c r="Y113" s="990">
        <v>0</v>
      </c>
      <c r="Z113" s="990">
        <v>0</v>
      </c>
      <c r="AA113" s="990">
        <v>0</v>
      </c>
      <c r="AB113" s="990">
        <v>0</v>
      </c>
      <c r="AC113" s="990">
        <v>0</v>
      </c>
      <c r="AD113" s="990">
        <v>0</v>
      </c>
      <c r="AE113" s="990">
        <v>0</v>
      </c>
      <c r="AF113" s="990">
        <v>0</v>
      </c>
      <c r="AG113" s="990">
        <v>0</v>
      </c>
      <c r="AH113" s="990">
        <v>0</v>
      </c>
      <c r="AI113" s="990">
        <v>0</v>
      </c>
      <c r="AJ113" s="990">
        <v>0</v>
      </c>
      <c r="AK113" s="990">
        <v>0</v>
      </c>
      <c r="AL113" s="990">
        <v>0</v>
      </c>
      <c r="AM113" s="990">
        <v>0</v>
      </c>
      <c r="AN113" s="990">
        <v>0</v>
      </c>
      <c r="AO113" s="990">
        <v>0</v>
      </c>
      <c r="AP113" s="990">
        <v>0</v>
      </c>
      <c r="AQ113" s="990">
        <v>0</v>
      </c>
      <c r="AR113" s="990">
        <v>0</v>
      </c>
      <c r="AS113" s="990">
        <v>0</v>
      </c>
      <c r="AT113" s="990">
        <v>150</v>
      </c>
      <c r="AU113" s="990">
        <v>0</v>
      </c>
      <c r="AV113" s="990">
        <v>0</v>
      </c>
      <c r="AW113" s="990">
        <v>0</v>
      </c>
      <c r="AX113" s="990">
        <v>0</v>
      </c>
      <c r="AY113" s="990">
        <v>220</v>
      </c>
      <c r="AZ113" s="990">
        <v>0</v>
      </c>
      <c r="BA113" s="990">
        <v>0</v>
      </c>
      <c r="BB113" s="990">
        <v>0</v>
      </c>
      <c r="BC113" s="990">
        <v>0</v>
      </c>
      <c r="BD113" s="990">
        <v>0</v>
      </c>
      <c r="BF113" s="978"/>
    </row>
    <row r="114" spans="1:58" ht="15" customHeight="1">
      <c r="B114" s="983" t="s">
        <v>1311</v>
      </c>
      <c r="C114" s="984" t="s">
        <v>1310</v>
      </c>
      <c r="D114" s="990">
        <v>1355</v>
      </c>
      <c r="E114" s="990">
        <v>2500</v>
      </c>
      <c r="F114" s="990">
        <v>245</v>
      </c>
      <c r="G114" s="990">
        <v>0</v>
      </c>
      <c r="H114" s="990">
        <v>1600</v>
      </c>
      <c r="I114" s="990">
        <v>800</v>
      </c>
      <c r="J114" s="990">
        <v>800</v>
      </c>
      <c r="K114" s="990">
        <v>800</v>
      </c>
      <c r="L114" s="990">
        <v>800</v>
      </c>
      <c r="M114" s="990">
        <v>800</v>
      </c>
      <c r="N114" s="990">
        <v>800</v>
      </c>
      <c r="O114" s="990">
        <v>1950</v>
      </c>
      <c r="P114" s="990">
        <v>800</v>
      </c>
      <c r="Q114" s="990">
        <v>800</v>
      </c>
      <c r="R114" s="990">
        <v>800</v>
      </c>
      <c r="S114" s="990">
        <v>1200</v>
      </c>
      <c r="T114" s="990">
        <v>800</v>
      </c>
      <c r="U114" s="990">
        <v>830</v>
      </c>
      <c r="V114" s="990">
        <v>770</v>
      </c>
      <c r="W114" s="990">
        <v>800</v>
      </c>
      <c r="X114" s="990">
        <v>750</v>
      </c>
      <c r="Y114" s="990">
        <v>0</v>
      </c>
      <c r="Z114" s="990">
        <v>2400</v>
      </c>
      <c r="AA114" s="990">
        <v>800</v>
      </c>
      <c r="AB114" s="990">
        <v>1600</v>
      </c>
      <c r="AC114" s="990">
        <v>800</v>
      </c>
      <c r="AD114" s="990">
        <v>800</v>
      </c>
      <c r="AE114" s="990">
        <v>800</v>
      </c>
      <c r="AF114" s="990">
        <v>800</v>
      </c>
      <c r="AG114" s="990">
        <v>0</v>
      </c>
      <c r="AH114" s="990">
        <v>800</v>
      </c>
      <c r="AI114" s="990">
        <v>800</v>
      </c>
      <c r="AJ114" s="990">
        <v>-800</v>
      </c>
      <c r="AK114" s="990">
        <v>800</v>
      </c>
      <c r="AL114" s="990">
        <v>1600</v>
      </c>
      <c r="AM114" s="990">
        <v>800</v>
      </c>
      <c r="AN114" s="990">
        <v>1295</v>
      </c>
      <c r="AO114" s="990">
        <v>800</v>
      </c>
      <c r="AP114" s="990">
        <v>800</v>
      </c>
      <c r="AQ114" s="990">
        <v>800</v>
      </c>
      <c r="AR114" s="990">
        <v>1220</v>
      </c>
      <c r="AS114" s="990">
        <v>-134</v>
      </c>
      <c r="AT114" s="990">
        <v>2266</v>
      </c>
      <c r="AU114" s="990">
        <v>-1133</v>
      </c>
      <c r="AV114" s="990">
        <v>0</v>
      </c>
      <c r="AW114" s="990">
        <v>2033</v>
      </c>
      <c r="AX114" s="990">
        <v>0</v>
      </c>
      <c r="AY114" s="990">
        <v>0</v>
      </c>
      <c r="AZ114" s="990">
        <v>0</v>
      </c>
      <c r="BA114" s="990">
        <v>0</v>
      </c>
      <c r="BB114" s="990">
        <v>0</v>
      </c>
      <c r="BC114" s="990">
        <v>0</v>
      </c>
      <c r="BD114" s="990">
        <v>0</v>
      </c>
      <c r="BF114" s="978"/>
    </row>
    <row r="115" spans="1:58" ht="15" customHeight="1">
      <c r="B115" s="983" t="s">
        <v>897</v>
      </c>
      <c r="C115" s="984" t="s">
        <v>896</v>
      </c>
      <c r="D115" s="990">
        <v>200</v>
      </c>
      <c r="E115" s="990">
        <v>350</v>
      </c>
      <c r="F115" s="990">
        <v>-10</v>
      </c>
      <c r="G115" s="990">
        <v>655</v>
      </c>
      <c r="H115" s="990">
        <v>200</v>
      </c>
      <c r="I115" s="990">
        <v>400</v>
      </c>
      <c r="J115" s="990">
        <v>200</v>
      </c>
      <c r="K115" s="990">
        <v>200</v>
      </c>
      <c r="L115" s="990">
        <v>945</v>
      </c>
      <c r="M115" s="990">
        <v>200</v>
      </c>
      <c r="N115" s="990">
        <v>50</v>
      </c>
      <c r="O115" s="990">
        <v>200</v>
      </c>
      <c r="P115" s="990">
        <v>350</v>
      </c>
      <c r="Q115" s="990">
        <v>50</v>
      </c>
      <c r="R115" s="990">
        <v>350</v>
      </c>
      <c r="S115" s="990">
        <v>200</v>
      </c>
      <c r="T115" s="990">
        <v>200</v>
      </c>
      <c r="U115" s="990">
        <v>200</v>
      </c>
      <c r="V115" s="990">
        <v>200</v>
      </c>
      <c r="W115" s="990">
        <v>0</v>
      </c>
      <c r="X115" s="990">
        <v>400</v>
      </c>
      <c r="Y115" s="990">
        <v>200</v>
      </c>
      <c r="Z115" s="990">
        <v>200</v>
      </c>
      <c r="AA115" s="990">
        <v>200</v>
      </c>
      <c r="AB115" s="990">
        <v>200</v>
      </c>
      <c r="AC115" s="990">
        <v>200</v>
      </c>
      <c r="AD115" s="990">
        <v>200</v>
      </c>
      <c r="AE115" s="990">
        <v>200</v>
      </c>
      <c r="AF115" s="990">
        <v>200</v>
      </c>
      <c r="AG115" s="990">
        <v>200</v>
      </c>
      <c r="AH115" s="990">
        <v>0</v>
      </c>
      <c r="AI115" s="990">
        <v>400</v>
      </c>
      <c r="AJ115" s="990">
        <v>200</v>
      </c>
      <c r="AK115" s="990">
        <v>200</v>
      </c>
      <c r="AL115" s="990">
        <v>200</v>
      </c>
      <c r="AM115" s="990">
        <v>200</v>
      </c>
      <c r="AN115" s="990">
        <v>200</v>
      </c>
      <c r="AO115" s="990">
        <v>200</v>
      </c>
      <c r="AP115" s="990">
        <v>200</v>
      </c>
      <c r="AQ115" s="990">
        <v>200</v>
      </c>
      <c r="AR115" s="990">
        <v>200</v>
      </c>
      <c r="AS115" s="990">
        <v>1600</v>
      </c>
      <c r="AT115" s="990">
        <v>3100</v>
      </c>
      <c r="AU115" s="990">
        <v>1200</v>
      </c>
      <c r="AV115" s="990">
        <v>0</v>
      </c>
      <c r="AW115" s="990">
        <v>400</v>
      </c>
      <c r="AX115" s="990">
        <v>6219</v>
      </c>
      <c r="AY115" s="990">
        <v>0</v>
      </c>
      <c r="AZ115" s="990">
        <v>0</v>
      </c>
      <c r="BA115" s="990">
        <v>383</v>
      </c>
      <c r="BB115" s="990">
        <v>766</v>
      </c>
      <c r="BC115" s="990">
        <v>483</v>
      </c>
      <c r="BD115" s="990">
        <v>693</v>
      </c>
      <c r="BF115" s="978"/>
    </row>
    <row r="116" spans="1:58" ht="15" customHeight="1">
      <c r="B116" s="983" t="s">
        <v>976</v>
      </c>
      <c r="C116" s="984" t="s">
        <v>977</v>
      </c>
      <c r="D116" s="988">
        <v>0</v>
      </c>
      <c r="E116" s="988">
        <v>0</v>
      </c>
      <c r="F116" s="988">
        <v>0</v>
      </c>
      <c r="G116" s="988">
        <v>0</v>
      </c>
      <c r="H116" s="988">
        <v>0</v>
      </c>
      <c r="I116" s="988">
        <v>0</v>
      </c>
      <c r="J116" s="988">
        <v>0</v>
      </c>
      <c r="K116" s="988">
        <v>0</v>
      </c>
      <c r="L116" s="988">
        <v>0</v>
      </c>
      <c r="M116" s="988">
        <v>0</v>
      </c>
      <c r="N116" s="988">
        <v>0</v>
      </c>
      <c r="O116" s="988">
        <v>0</v>
      </c>
      <c r="P116" s="988">
        <v>0</v>
      </c>
      <c r="Q116" s="988">
        <v>0</v>
      </c>
      <c r="R116" s="988">
        <v>0</v>
      </c>
      <c r="S116" s="988">
        <v>0</v>
      </c>
      <c r="T116" s="988">
        <v>0</v>
      </c>
      <c r="U116" s="988">
        <v>0</v>
      </c>
      <c r="V116" s="988">
        <v>0</v>
      </c>
      <c r="W116" s="988">
        <v>0</v>
      </c>
      <c r="X116" s="988">
        <v>0</v>
      </c>
      <c r="Y116" s="988">
        <v>0</v>
      </c>
      <c r="Z116" s="988">
        <v>0</v>
      </c>
      <c r="AA116" s="988">
        <v>0</v>
      </c>
      <c r="AB116" s="988">
        <v>0</v>
      </c>
      <c r="AC116" s="988">
        <v>0</v>
      </c>
      <c r="AD116" s="988">
        <v>0</v>
      </c>
      <c r="AE116" s="988">
        <v>0</v>
      </c>
      <c r="AF116" s="988">
        <v>0</v>
      </c>
      <c r="AG116" s="988">
        <v>0</v>
      </c>
      <c r="AH116" s="988">
        <v>0</v>
      </c>
      <c r="AI116" s="988">
        <v>0</v>
      </c>
      <c r="AJ116" s="988">
        <v>0</v>
      </c>
      <c r="AK116" s="988">
        <v>0</v>
      </c>
      <c r="AL116" s="988">
        <v>0</v>
      </c>
      <c r="AM116" s="988">
        <v>0</v>
      </c>
      <c r="AN116" s="988">
        <v>0</v>
      </c>
      <c r="AO116" s="988">
        <v>0</v>
      </c>
      <c r="AP116" s="988">
        <v>0</v>
      </c>
      <c r="AQ116" s="988">
        <v>0</v>
      </c>
      <c r="AR116" s="988">
        <v>0</v>
      </c>
      <c r="AS116" s="988">
        <v>0</v>
      </c>
      <c r="AT116" s="988">
        <v>0</v>
      </c>
      <c r="AU116" s="988">
        <v>0</v>
      </c>
      <c r="AV116" s="988">
        <v>0</v>
      </c>
      <c r="AW116" s="988">
        <v>743</v>
      </c>
      <c r="AX116" s="988">
        <v>0</v>
      </c>
      <c r="AY116" s="988">
        <v>435</v>
      </c>
      <c r="AZ116" s="988">
        <v>255</v>
      </c>
      <c r="BA116" s="988">
        <v>0</v>
      </c>
      <c r="BB116" s="988">
        <v>1460.26</v>
      </c>
      <c r="BC116" s="988">
        <v>635</v>
      </c>
      <c r="BD116" s="988">
        <v>655</v>
      </c>
      <c r="BF116" s="978"/>
    </row>
    <row r="117" spans="1:58" ht="15" customHeight="1">
      <c r="B117" s="983" t="s">
        <v>895</v>
      </c>
      <c r="C117" s="984" t="s">
        <v>894</v>
      </c>
      <c r="D117" s="986">
        <v>4755</v>
      </c>
      <c r="E117" s="986">
        <v>7135</v>
      </c>
      <c r="F117" s="986">
        <v>3205</v>
      </c>
      <c r="G117" s="986">
        <v>3740</v>
      </c>
      <c r="H117" s="986">
        <v>4885</v>
      </c>
      <c r="I117" s="986">
        <v>4380.22</v>
      </c>
      <c r="J117" s="986">
        <v>4133</v>
      </c>
      <c r="K117" s="986">
        <v>4126.9399999999996</v>
      </c>
      <c r="L117" s="986">
        <v>4877</v>
      </c>
      <c r="M117" s="986">
        <v>4132</v>
      </c>
      <c r="N117" s="986">
        <v>3982</v>
      </c>
      <c r="O117" s="986">
        <v>5329.13</v>
      </c>
      <c r="P117" s="986">
        <v>4302.25</v>
      </c>
      <c r="Q117" s="986">
        <v>4496.25</v>
      </c>
      <c r="R117" s="986">
        <v>4366.5</v>
      </c>
      <c r="S117" s="986">
        <v>4690.25</v>
      </c>
      <c r="T117" s="986">
        <v>4176.75</v>
      </c>
      <c r="U117" s="986">
        <v>4562.5</v>
      </c>
      <c r="V117" s="986">
        <v>3909</v>
      </c>
      <c r="W117" s="986">
        <v>3934</v>
      </c>
      <c r="X117" s="986">
        <v>5371.5</v>
      </c>
      <c r="Y117" s="986">
        <v>3654</v>
      </c>
      <c r="Z117" s="986">
        <v>5386.25</v>
      </c>
      <c r="AA117" s="986">
        <v>4324</v>
      </c>
      <c r="AB117" s="986">
        <v>8471</v>
      </c>
      <c r="AC117" s="986">
        <v>4611.5</v>
      </c>
      <c r="AD117" s="986">
        <v>4326.25</v>
      </c>
      <c r="AE117" s="986">
        <v>4326.75</v>
      </c>
      <c r="AF117" s="986">
        <v>4382.75</v>
      </c>
      <c r="AG117" s="986">
        <v>232.91</v>
      </c>
      <c r="AH117" s="986">
        <v>4136.59</v>
      </c>
      <c r="AI117" s="986">
        <v>4481</v>
      </c>
      <c r="AJ117" s="986">
        <v>5659.56</v>
      </c>
      <c r="AK117" s="986">
        <v>2834.66</v>
      </c>
      <c r="AL117" s="986">
        <v>5184</v>
      </c>
      <c r="AM117" s="986">
        <v>4384</v>
      </c>
      <c r="AN117" s="986">
        <v>3758.24</v>
      </c>
      <c r="AO117" s="986">
        <v>4384</v>
      </c>
      <c r="AP117" s="986">
        <v>4384</v>
      </c>
      <c r="AQ117" s="986">
        <v>6170.76</v>
      </c>
      <c r="AR117" s="986">
        <v>9216.32</v>
      </c>
      <c r="AS117" s="986">
        <v>7996.56</v>
      </c>
      <c r="AT117" s="986">
        <v>18493.37</v>
      </c>
      <c r="AU117" s="986">
        <v>6376</v>
      </c>
      <c r="AV117" s="986">
        <v>0</v>
      </c>
      <c r="AW117" s="986">
        <v>9718</v>
      </c>
      <c r="AX117" s="986">
        <v>12519</v>
      </c>
      <c r="AY117" s="986">
        <v>7405</v>
      </c>
      <c r="AZ117" s="986">
        <v>6555</v>
      </c>
      <c r="BA117" s="986">
        <v>383</v>
      </c>
      <c r="BB117" s="986">
        <v>14826.26</v>
      </c>
      <c r="BC117" s="986">
        <v>7418</v>
      </c>
      <c r="BD117" s="986">
        <v>1348</v>
      </c>
      <c r="BF117" s="978"/>
    </row>
    <row r="118" spans="1:58" ht="15" customHeight="1">
      <c r="B118" s="983" t="s">
        <v>893</v>
      </c>
      <c r="C118" s="984" t="s">
        <v>892</v>
      </c>
      <c r="D118" s="986">
        <v>19894</v>
      </c>
      <c r="E118" s="986">
        <v>35112</v>
      </c>
      <c r="F118" s="986">
        <v>28815</v>
      </c>
      <c r="G118" s="986">
        <v>23291</v>
      </c>
      <c r="H118" s="986">
        <v>28174.6</v>
      </c>
      <c r="I118" s="986">
        <v>21201.119999999999</v>
      </c>
      <c r="J118" s="986">
        <v>26897.599999999999</v>
      </c>
      <c r="K118" s="986">
        <v>20551.939999999999</v>
      </c>
      <c r="L118" s="986">
        <v>21308</v>
      </c>
      <c r="M118" s="986">
        <v>30884.66</v>
      </c>
      <c r="N118" s="986">
        <v>22402.69</v>
      </c>
      <c r="O118" s="986">
        <v>22136.87</v>
      </c>
      <c r="P118" s="986">
        <v>19896.25</v>
      </c>
      <c r="Q118" s="986">
        <v>36709.9</v>
      </c>
      <c r="R118" s="986">
        <v>19007.810000000001</v>
      </c>
      <c r="S118" s="986">
        <v>20722.25</v>
      </c>
      <c r="T118" s="986">
        <v>19814.75</v>
      </c>
      <c r="U118" s="986">
        <v>20595.5</v>
      </c>
      <c r="V118" s="986">
        <v>20722</v>
      </c>
      <c r="W118" s="986">
        <v>21257.200000000001</v>
      </c>
      <c r="X118" s="986">
        <v>22889.25</v>
      </c>
      <c r="Y118" s="986">
        <v>23062.3</v>
      </c>
      <c r="Z118" s="986">
        <v>29395.51</v>
      </c>
      <c r="AA118" s="986">
        <v>21308</v>
      </c>
      <c r="AB118" s="986">
        <v>26520.05</v>
      </c>
      <c r="AC118" s="986">
        <v>25021.68</v>
      </c>
      <c r="AD118" s="986">
        <v>21023.200000000001</v>
      </c>
      <c r="AE118" s="986">
        <v>23673.7</v>
      </c>
      <c r="AF118" s="986">
        <v>43448.55</v>
      </c>
      <c r="AG118" s="986">
        <v>17588.86</v>
      </c>
      <c r="AH118" s="986">
        <v>24253.040000000001</v>
      </c>
      <c r="AI118" s="986">
        <v>32575.279999999999</v>
      </c>
      <c r="AJ118" s="986">
        <v>27262.61</v>
      </c>
      <c r="AK118" s="986">
        <v>23864.31</v>
      </c>
      <c r="AL118" s="986">
        <v>31057.95</v>
      </c>
      <c r="AM118" s="986">
        <v>23324.95</v>
      </c>
      <c r="AN118" s="986">
        <v>26810.69</v>
      </c>
      <c r="AO118" s="986">
        <v>23908.6</v>
      </c>
      <c r="AP118" s="986">
        <v>23165.66</v>
      </c>
      <c r="AQ118" s="986">
        <v>45371.06</v>
      </c>
      <c r="AR118" s="986">
        <v>43283.839999999997</v>
      </c>
      <c r="AS118" s="986">
        <v>29212.62</v>
      </c>
      <c r="AT118" s="986">
        <v>49855.16</v>
      </c>
      <c r="AU118" s="986">
        <v>23953</v>
      </c>
      <c r="AV118" s="986">
        <v>22774.7</v>
      </c>
      <c r="AW118" s="986">
        <v>35678.050000000003</v>
      </c>
      <c r="AX118" s="986">
        <v>34287.43</v>
      </c>
      <c r="AY118" s="986">
        <v>11586</v>
      </c>
      <c r="AZ118" s="986">
        <v>19162.080000000002</v>
      </c>
      <c r="BA118" s="986">
        <v>43949.39</v>
      </c>
      <c r="BB118" s="986">
        <v>39022.269999999997</v>
      </c>
      <c r="BC118" s="986">
        <v>8919.8700000000008</v>
      </c>
      <c r="BD118" s="986">
        <v>4283.7299999999996</v>
      </c>
      <c r="BF118" s="978"/>
    </row>
    <row r="119" spans="1:58" ht="15" customHeight="1">
      <c r="B119" s="983" t="s">
        <v>891</v>
      </c>
      <c r="C119" s="984" t="s">
        <v>890</v>
      </c>
      <c r="D119" s="989"/>
      <c r="E119" s="989"/>
      <c r="F119" s="989"/>
      <c r="G119" s="989"/>
      <c r="H119" s="989"/>
      <c r="I119" s="989"/>
      <c r="J119" s="989"/>
      <c r="K119" s="989"/>
      <c r="L119" s="989"/>
      <c r="M119" s="989"/>
      <c r="N119" s="989"/>
      <c r="O119" s="989"/>
      <c r="P119" s="989"/>
      <c r="Q119" s="989"/>
      <c r="R119" s="989"/>
      <c r="S119" s="989"/>
      <c r="T119" s="989"/>
      <c r="U119" s="989"/>
      <c r="V119" s="989"/>
      <c r="W119" s="989"/>
      <c r="X119" s="989"/>
      <c r="Y119" s="989"/>
      <c r="Z119" s="989"/>
      <c r="AA119" s="989"/>
      <c r="AB119" s="989"/>
      <c r="AC119" s="989"/>
      <c r="AD119" s="989"/>
      <c r="AE119" s="989"/>
      <c r="AF119" s="989"/>
      <c r="AG119" s="989"/>
      <c r="AH119" s="989"/>
      <c r="AI119" s="989"/>
      <c r="AJ119" s="989"/>
      <c r="AK119" s="989"/>
      <c r="AL119" s="989"/>
      <c r="AM119" s="989"/>
      <c r="AN119" s="989"/>
      <c r="AO119" s="989"/>
      <c r="AP119" s="989"/>
      <c r="AQ119" s="989"/>
      <c r="AR119" s="989"/>
      <c r="AS119" s="989"/>
      <c r="AT119" s="989"/>
      <c r="AU119" s="989"/>
      <c r="AV119" s="989"/>
      <c r="AW119" s="989"/>
      <c r="AX119" s="989"/>
      <c r="AY119" s="989"/>
      <c r="AZ119" s="989"/>
      <c r="BA119" s="989"/>
      <c r="BB119" s="989"/>
      <c r="BC119" s="989"/>
      <c r="BD119" s="989"/>
      <c r="BF119" s="978"/>
    </row>
    <row r="120" spans="1:58" ht="15" customHeight="1">
      <c r="B120" s="983" t="s">
        <v>889</v>
      </c>
      <c r="C120" s="984" t="s">
        <v>888</v>
      </c>
      <c r="D120" s="989"/>
      <c r="E120" s="989"/>
      <c r="F120" s="989"/>
      <c r="G120" s="989"/>
      <c r="H120" s="989"/>
      <c r="I120" s="989"/>
      <c r="J120" s="989"/>
      <c r="K120" s="989"/>
      <c r="L120" s="989"/>
      <c r="M120" s="989"/>
      <c r="N120" s="989"/>
      <c r="O120" s="989"/>
      <c r="P120" s="989"/>
      <c r="Q120" s="989"/>
      <c r="R120" s="989"/>
      <c r="S120" s="989"/>
      <c r="T120" s="989"/>
      <c r="U120" s="989"/>
      <c r="V120" s="989"/>
      <c r="W120" s="989"/>
      <c r="X120" s="989"/>
      <c r="Y120" s="989"/>
      <c r="Z120" s="989"/>
      <c r="AA120" s="989"/>
      <c r="AB120" s="989"/>
      <c r="AC120" s="989"/>
      <c r="AD120" s="989"/>
      <c r="AE120" s="989"/>
      <c r="AF120" s="989"/>
      <c r="AG120" s="989"/>
      <c r="AH120" s="989"/>
      <c r="AI120" s="989"/>
      <c r="AJ120" s="989"/>
      <c r="AK120" s="989"/>
      <c r="AL120" s="989"/>
      <c r="AM120" s="989"/>
      <c r="AN120" s="989"/>
      <c r="AO120" s="989"/>
      <c r="AP120" s="989"/>
      <c r="AQ120" s="989"/>
      <c r="AR120" s="989"/>
      <c r="AS120" s="989"/>
      <c r="AT120" s="989"/>
      <c r="AU120" s="989"/>
      <c r="AV120" s="989"/>
      <c r="AW120" s="989"/>
      <c r="AX120" s="989"/>
      <c r="AY120" s="989"/>
      <c r="AZ120" s="989"/>
      <c r="BA120" s="989"/>
      <c r="BB120" s="989"/>
      <c r="BC120" s="989"/>
      <c r="BD120" s="989"/>
      <c r="BF120" s="978"/>
    </row>
    <row r="121" spans="1:58" ht="15" customHeight="1">
      <c r="B121" s="983" t="s">
        <v>887</v>
      </c>
      <c r="C121" s="984" t="s">
        <v>886</v>
      </c>
      <c r="D121" s="990">
        <v>20120</v>
      </c>
      <c r="E121" s="990">
        <v>31671.64</v>
      </c>
      <c r="F121" s="990">
        <v>24654</v>
      </c>
      <c r="G121" s="990">
        <v>21499.71</v>
      </c>
      <c r="H121" s="990">
        <v>15474.04</v>
      </c>
      <c r="I121" s="990">
        <v>16095.32</v>
      </c>
      <c r="J121" s="990">
        <v>14103.92</v>
      </c>
      <c r="K121" s="990">
        <v>14807</v>
      </c>
      <c r="L121" s="990">
        <v>16756.419999999998</v>
      </c>
      <c r="M121" s="990">
        <v>17752.25</v>
      </c>
      <c r="N121" s="990">
        <v>19825.55</v>
      </c>
      <c r="O121" s="990">
        <v>20276.97</v>
      </c>
      <c r="P121" s="990">
        <v>29418.26</v>
      </c>
      <c r="Q121" s="990">
        <v>27480.87</v>
      </c>
      <c r="R121" s="990">
        <v>25568.080000000002</v>
      </c>
      <c r="S121" s="990">
        <v>22741.68</v>
      </c>
      <c r="T121" s="990">
        <v>19991.2</v>
      </c>
      <c r="U121" s="990">
        <v>20778</v>
      </c>
      <c r="V121" s="990">
        <v>9035.4500000000007</v>
      </c>
      <c r="W121" s="990">
        <v>16636.97</v>
      </c>
      <c r="X121" s="990">
        <v>17866.29</v>
      </c>
      <c r="Y121" s="990">
        <v>16305.75</v>
      </c>
      <c r="Z121" s="990">
        <v>17718.93</v>
      </c>
      <c r="AA121" s="990">
        <v>15688.72</v>
      </c>
      <c r="AB121" s="990">
        <v>24881.25</v>
      </c>
      <c r="AC121" s="990">
        <v>29523.95</v>
      </c>
      <c r="AD121" s="990">
        <v>24919.99</v>
      </c>
      <c r="AE121" s="990">
        <v>24437.7</v>
      </c>
      <c r="AF121" s="990">
        <v>14763.14</v>
      </c>
      <c r="AG121" s="990">
        <v>14793.55</v>
      </c>
      <c r="AH121" s="990">
        <v>15687.96</v>
      </c>
      <c r="AI121" s="990">
        <v>15475.84</v>
      </c>
      <c r="AJ121" s="990">
        <v>16227.66</v>
      </c>
      <c r="AK121" s="990">
        <v>19407.759999999998</v>
      </c>
      <c r="AL121" s="990">
        <v>19402.330000000002</v>
      </c>
      <c r="AM121" s="990">
        <v>18352.73</v>
      </c>
      <c r="AN121" s="990">
        <v>27658.91</v>
      </c>
      <c r="AO121" s="990">
        <v>30795.84</v>
      </c>
      <c r="AP121" s="990">
        <v>27245.53</v>
      </c>
      <c r="AQ121" s="990">
        <v>22538.67</v>
      </c>
      <c r="AR121" s="990">
        <v>17919.060000000001</v>
      </c>
      <c r="AS121" s="990">
        <v>15783.76</v>
      </c>
      <c r="AT121" s="990">
        <v>15687.07</v>
      </c>
      <c r="AU121" s="990">
        <v>17274.080000000002</v>
      </c>
      <c r="AV121" s="990">
        <v>17574.79</v>
      </c>
      <c r="AW121" s="990">
        <v>8016.54</v>
      </c>
      <c r="AX121" s="990">
        <v>12307.57</v>
      </c>
      <c r="AY121" s="990">
        <v>16504.330000000002</v>
      </c>
      <c r="AZ121" s="990">
        <v>26559.16</v>
      </c>
      <c r="BA121" s="990">
        <v>21636.240000000002</v>
      </c>
      <c r="BB121" s="990">
        <v>27040.400000000001</v>
      </c>
      <c r="BC121" s="990">
        <v>21418.82</v>
      </c>
      <c r="BD121" s="990">
        <v>4210.8100000000004</v>
      </c>
      <c r="BF121" s="978"/>
    </row>
    <row r="122" spans="1:58" ht="15" customHeight="1">
      <c r="B122" s="983" t="s">
        <v>885</v>
      </c>
      <c r="C122" s="984" t="s">
        <v>884</v>
      </c>
      <c r="D122" s="990">
        <v>5775</v>
      </c>
      <c r="E122" s="990">
        <v>5775</v>
      </c>
      <c r="F122" s="990">
        <v>5775</v>
      </c>
      <c r="G122" s="990">
        <v>4798.3</v>
      </c>
      <c r="H122" s="990">
        <v>343.36</v>
      </c>
      <c r="I122" s="990">
        <v>8540.52</v>
      </c>
      <c r="J122" s="990">
        <v>6341.94</v>
      </c>
      <c r="K122" s="990">
        <v>7761.66</v>
      </c>
      <c r="L122" s="990">
        <v>8357.83</v>
      </c>
      <c r="M122" s="990">
        <v>7168.93</v>
      </c>
      <c r="N122" s="990">
        <v>5909.65</v>
      </c>
      <c r="O122" s="990">
        <v>12571.28</v>
      </c>
      <c r="P122" s="990">
        <v>7987.76</v>
      </c>
      <c r="Q122" s="990">
        <v>8057</v>
      </c>
      <c r="R122" s="990">
        <v>6936.26</v>
      </c>
      <c r="S122" s="990">
        <v>-1264.6199999999999</v>
      </c>
      <c r="T122" s="990">
        <v>3919.25</v>
      </c>
      <c r="U122" s="990">
        <v>15408.45</v>
      </c>
      <c r="V122" s="990">
        <v>4749.1899999999996</v>
      </c>
      <c r="W122" s="990">
        <v>7339.67</v>
      </c>
      <c r="X122" s="990">
        <v>7419.6</v>
      </c>
      <c r="Y122" s="990">
        <v>6661</v>
      </c>
      <c r="Z122" s="990">
        <v>5999.03</v>
      </c>
      <c r="AA122" s="990">
        <v>6226</v>
      </c>
      <c r="AB122" s="990">
        <v>7575.53</v>
      </c>
      <c r="AC122" s="990">
        <v>6125.79</v>
      </c>
      <c r="AD122" s="990">
        <v>6817.23</v>
      </c>
      <c r="AE122" s="990">
        <v>4683.32</v>
      </c>
      <c r="AF122" s="990">
        <v>7801.99</v>
      </c>
      <c r="AG122" s="990">
        <v>9000.8700000000008</v>
      </c>
      <c r="AH122" s="990">
        <v>4238.03</v>
      </c>
      <c r="AI122" s="990">
        <v>8821.6</v>
      </c>
      <c r="AJ122" s="990">
        <v>8606.15</v>
      </c>
      <c r="AK122" s="990">
        <v>7694.38</v>
      </c>
      <c r="AL122" s="990">
        <v>8486.66</v>
      </c>
      <c r="AM122" s="990">
        <v>6851.61</v>
      </c>
      <c r="AN122" s="990">
        <v>6570.26</v>
      </c>
      <c r="AO122" s="990">
        <v>7723.27</v>
      </c>
      <c r="AP122" s="990">
        <v>6695.08</v>
      </c>
      <c r="AQ122" s="990">
        <v>11206.44</v>
      </c>
      <c r="AR122" s="990">
        <v>19871.669999999998</v>
      </c>
      <c r="AS122" s="990">
        <v>11062.01</v>
      </c>
      <c r="AT122" s="990">
        <v>7405.43</v>
      </c>
      <c r="AU122" s="990">
        <v>12122.01</v>
      </c>
      <c r="AV122" s="990">
        <v>9483.98</v>
      </c>
      <c r="AW122" s="990">
        <v>6683.87</v>
      </c>
      <c r="AX122" s="990">
        <v>4459.55</v>
      </c>
      <c r="AY122" s="990">
        <v>2480.44</v>
      </c>
      <c r="AZ122" s="990">
        <v>10250.790000000001</v>
      </c>
      <c r="BA122" s="990">
        <v>6919.36</v>
      </c>
      <c r="BB122" s="990">
        <v>9608.2900000000009</v>
      </c>
      <c r="BC122" s="990">
        <v>7622.38</v>
      </c>
      <c r="BD122" s="990">
        <v>358.32</v>
      </c>
      <c r="BF122" s="978"/>
    </row>
    <row r="123" spans="1:58" ht="15" customHeight="1">
      <c r="B123" s="983" t="s">
        <v>883</v>
      </c>
      <c r="C123" s="984" t="s">
        <v>882</v>
      </c>
      <c r="D123" s="990">
        <v>11050</v>
      </c>
      <c r="E123" s="990">
        <v>11564.11</v>
      </c>
      <c r="F123" s="990">
        <v>12340.75</v>
      </c>
      <c r="G123" s="990">
        <v>6865.75</v>
      </c>
      <c r="H123" s="990">
        <v>10049.93</v>
      </c>
      <c r="I123" s="990">
        <v>10479.91</v>
      </c>
      <c r="J123" s="990">
        <v>13195.75</v>
      </c>
      <c r="K123" s="990">
        <v>10242.94</v>
      </c>
      <c r="L123" s="990">
        <v>11063.35</v>
      </c>
      <c r="M123" s="990">
        <v>13108.13</v>
      </c>
      <c r="N123" s="990">
        <v>10778.21</v>
      </c>
      <c r="O123" s="990">
        <v>12583.35</v>
      </c>
      <c r="P123" s="990">
        <v>13689.03</v>
      </c>
      <c r="Q123" s="990">
        <v>13060.76</v>
      </c>
      <c r="R123" s="990">
        <v>12599.85</v>
      </c>
      <c r="S123" s="990">
        <v>4329.83</v>
      </c>
      <c r="T123" s="990">
        <v>12778.21</v>
      </c>
      <c r="U123" s="990">
        <v>18067.580000000002</v>
      </c>
      <c r="V123" s="990">
        <v>12921.15</v>
      </c>
      <c r="W123" s="990">
        <v>9708.83</v>
      </c>
      <c r="X123" s="990">
        <v>12249.99</v>
      </c>
      <c r="Y123" s="990">
        <v>13726.31</v>
      </c>
      <c r="Z123" s="990">
        <v>10351.23</v>
      </c>
      <c r="AA123" s="990">
        <v>10651.81</v>
      </c>
      <c r="AB123" s="990">
        <v>12417.77</v>
      </c>
      <c r="AC123" s="990">
        <v>12057.21</v>
      </c>
      <c r="AD123" s="990">
        <v>13091.47</v>
      </c>
      <c r="AE123" s="990">
        <v>11550.07</v>
      </c>
      <c r="AF123" s="990">
        <v>12092.35</v>
      </c>
      <c r="AG123" s="990">
        <v>12046.99</v>
      </c>
      <c r="AH123" s="990">
        <v>13115.06</v>
      </c>
      <c r="AI123" s="990">
        <v>10039.719999999999</v>
      </c>
      <c r="AJ123" s="990">
        <v>10804.72</v>
      </c>
      <c r="AK123" s="990">
        <v>10612.06</v>
      </c>
      <c r="AL123" s="990">
        <v>11302.62</v>
      </c>
      <c r="AM123" s="990">
        <v>11076.89</v>
      </c>
      <c r="AN123" s="990">
        <v>11884.13</v>
      </c>
      <c r="AO123" s="990">
        <v>11987.85</v>
      </c>
      <c r="AP123" s="990">
        <v>17260.509999999998</v>
      </c>
      <c r="AQ123" s="990">
        <v>10012.799999999999</v>
      </c>
      <c r="AR123" s="990">
        <v>9414.2199999999993</v>
      </c>
      <c r="AS123" s="990">
        <v>10320.41</v>
      </c>
      <c r="AT123" s="990">
        <v>12076.64</v>
      </c>
      <c r="AU123" s="990">
        <v>11552.79</v>
      </c>
      <c r="AV123" s="990">
        <v>10299.209999999999</v>
      </c>
      <c r="AW123" s="990">
        <v>-563.24</v>
      </c>
      <c r="AX123" s="990">
        <v>3902.2</v>
      </c>
      <c r="AY123" s="990">
        <v>9694.15</v>
      </c>
      <c r="AZ123" s="990">
        <v>10984.06</v>
      </c>
      <c r="BA123" s="990">
        <v>8987.2199999999993</v>
      </c>
      <c r="BB123" s="990">
        <v>10325.620000000001</v>
      </c>
      <c r="BC123" s="990">
        <v>10554.6</v>
      </c>
      <c r="BD123" s="990">
        <v>5597.36</v>
      </c>
      <c r="BF123" s="978"/>
    </row>
    <row r="124" spans="1:58" ht="15" customHeight="1">
      <c r="B124" s="983" t="s">
        <v>1309</v>
      </c>
      <c r="C124" s="984" t="s">
        <v>1308</v>
      </c>
      <c r="D124" s="988">
        <v>5.91</v>
      </c>
      <c r="E124" s="988">
        <v>0</v>
      </c>
      <c r="F124" s="988">
        <v>0</v>
      </c>
      <c r="G124" s="988">
        <v>48.39</v>
      </c>
      <c r="H124" s="988">
        <v>16.13</v>
      </c>
      <c r="I124" s="988">
        <v>27.13</v>
      </c>
      <c r="J124" s="988">
        <v>16.13</v>
      </c>
      <c r="K124" s="988">
        <v>15.13</v>
      </c>
      <c r="L124" s="988">
        <v>15.13</v>
      </c>
      <c r="M124" s="988">
        <v>17.13</v>
      </c>
      <c r="N124" s="988">
        <v>16.13</v>
      </c>
      <c r="O124" s="988">
        <v>17.13</v>
      </c>
      <c r="P124" s="988">
        <v>15.24</v>
      </c>
      <c r="Q124" s="988">
        <v>18.440000000000001</v>
      </c>
      <c r="R124" s="988">
        <v>16.440000000000001</v>
      </c>
      <c r="S124" s="988">
        <v>15.44</v>
      </c>
      <c r="T124" s="988">
        <v>16.440000000000001</v>
      </c>
      <c r="U124" s="988">
        <v>16.440000000000001</v>
      </c>
      <c r="V124" s="988">
        <v>15.44</v>
      </c>
      <c r="W124" s="988">
        <v>16.440000000000001</v>
      </c>
      <c r="X124" s="988">
        <v>16.440000000000001</v>
      </c>
      <c r="Y124" s="988">
        <v>17.440000000000001</v>
      </c>
      <c r="Z124" s="988">
        <v>17.440000000000001</v>
      </c>
      <c r="AA124" s="988">
        <v>16.440000000000001</v>
      </c>
      <c r="AB124" s="988">
        <v>15.54</v>
      </c>
      <c r="AC124" s="988">
        <v>18.77</v>
      </c>
      <c r="AD124" s="988">
        <v>15.77</v>
      </c>
      <c r="AE124" s="988">
        <v>16.77</v>
      </c>
      <c r="AF124" s="988">
        <v>17.77</v>
      </c>
      <c r="AG124" s="988">
        <v>13.77</v>
      </c>
      <c r="AH124" s="988">
        <v>16.77</v>
      </c>
      <c r="AI124" s="988">
        <v>17.77</v>
      </c>
      <c r="AJ124" s="988">
        <v>15.77</v>
      </c>
      <c r="AK124" s="988">
        <v>17.77</v>
      </c>
      <c r="AL124" s="988">
        <v>17.77</v>
      </c>
      <c r="AM124" s="988">
        <v>14.77</v>
      </c>
      <c r="AN124" s="988">
        <v>17.88</v>
      </c>
      <c r="AO124" s="988">
        <v>19.100000000000001</v>
      </c>
      <c r="AP124" s="988">
        <v>15.1</v>
      </c>
      <c r="AQ124" s="988">
        <v>19.100000000000001</v>
      </c>
      <c r="AR124" s="988">
        <v>17.100000000000001</v>
      </c>
      <c r="AS124" s="988">
        <v>15.1</v>
      </c>
      <c r="AT124" s="988">
        <v>15</v>
      </c>
      <c r="AU124" s="988">
        <v>1.71</v>
      </c>
      <c r="AV124" s="988">
        <v>16.97</v>
      </c>
      <c r="AW124" s="988">
        <v>18.02</v>
      </c>
      <c r="AX124" s="988">
        <v>16.39</v>
      </c>
      <c r="AY124" s="988">
        <v>17.440000000000001</v>
      </c>
      <c r="AZ124" s="988">
        <v>17.649999999999999</v>
      </c>
      <c r="BA124" s="988">
        <v>16.739999999999998</v>
      </c>
      <c r="BB124" s="988">
        <v>17.46</v>
      </c>
      <c r="BC124" s="988">
        <v>18.63</v>
      </c>
      <c r="BD124" s="988">
        <v>3.99</v>
      </c>
      <c r="BF124" s="978"/>
    </row>
    <row r="125" spans="1:58" ht="15" customHeight="1">
      <c r="B125" s="983" t="s">
        <v>881</v>
      </c>
      <c r="C125" s="984" t="s">
        <v>880</v>
      </c>
      <c r="D125" s="987">
        <v>36950.910000000003</v>
      </c>
      <c r="E125" s="987">
        <v>49026.879999999997</v>
      </c>
      <c r="F125" s="987">
        <v>42769.75</v>
      </c>
      <c r="G125" s="987">
        <v>33196.019999999997</v>
      </c>
      <c r="H125" s="987">
        <v>25883.46</v>
      </c>
      <c r="I125" s="987">
        <v>35142.879999999997</v>
      </c>
      <c r="J125" s="987">
        <v>33657.74</v>
      </c>
      <c r="K125" s="987">
        <v>32826.730000000003</v>
      </c>
      <c r="L125" s="987">
        <v>36192.730000000003</v>
      </c>
      <c r="M125" s="987">
        <v>38046.44</v>
      </c>
      <c r="N125" s="987">
        <v>36529.54</v>
      </c>
      <c r="O125" s="987">
        <v>45448.73</v>
      </c>
      <c r="P125" s="987">
        <v>51110.29</v>
      </c>
      <c r="Q125" s="987">
        <v>48617.07</v>
      </c>
      <c r="R125" s="987">
        <v>45120.63</v>
      </c>
      <c r="S125" s="987">
        <v>25822.33</v>
      </c>
      <c r="T125" s="987">
        <v>36705.1</v>
      </c>
      <c r="U125" s="987">
        <v>54270.47</v>
      </c>
      <c r="V125" s="987">
        <v>26721.23</v>
      </c>
      <c r="W125" s="987">
        <v>33701.910000000003</v>
      </c>
      <c r="X125" s="987">
        <v>37552.32</v>
      </c>
      <c r="Y125" s="987">
        <v>36710.5</v>
      </c>
      <c r="Z125" s="987">
        <v>34086.629999999997</v>
      </c>
      <c r="AA125" s="987">
        <v>32582.97</v>
      </c>
      <c r="AB125" s="987">
        <v>44890.09</v>
      </c>
      <c r="AC125" s="987">
        <v>47725.72</v>
      </c>
      <c r="AD125" s="987">
        <v>44844.46</v>
      </c>
      <c r="AE125" s="987">
        <v>40687.86</v>
      </c>
      <c r="AF125" s="987">
        <v>34675.25</v>
      </c>
      <c r="AG125" s="987">
        <v>35855.18</v>
      </c>
      <c r="AH125" s="987">
        <v>33057.82</v>
      </c>
      <c r="AI125" s="987">
        <v>34354.93</v>
      </c>
      <c r="AJ125" s="987">
        <v>35654.300000000003</v>
      </c>
      <c r="AK125" s="987">
        <v>37731.97</v>
      </c>
      <c r="AL125" s="987">
        <v>39209.379999999997</v>
      </c>
      <c r="AM125" s="987">
        <v>36296</v>
      </c>
      <c r="AN125" s="987">
        <v>46131.18</v>
      </c>
      <c r="AO125" s="987">
        <v>50526.06</v>
      </c>
      <c r="AP125" s="987">
        <v>51216.22</v>
      </c>
      <c r="AQ125" s="987">
        <v>43777.01</v>
      </c>
      <c r="AR125" s="987">
        <v>47222.05</v>
      </c>
      <c r="AS125" s="987">
        <v>37181.279999999999</v>
      </c>
      <c r="AT125" s="987">
        <v>35184.14</v>
      </c>
      <c r="AU125" s="987">
        <v>40950.589999999997</v>
      </c>
      <c r="AV125" s="987">
        <v>37374.949999999997</v>
      </c>
      <c r="AW125" s="987">
        <v>14155.19</v>
      </c>
      <c r="AX125" s="987">
        <v>20685.71</v>
      </c>
      <c r="AY125" s="987">
        <v>28696.36</v>
      </c>
      <c r="AZ125" s="987">
        <v>47811.66</v>
      </c>
      <c r="BA125" s="987">
        <v>37559.56</v>
      </c>
      <c r="BB125" s="987">
        <v>46991.77</v>
      </c>
      <c r="BC125" s="987">
        <v>39614.43</v>
      </c>
      <c r="BD125" s="987">
        <v>10170.48</v>
      </c>
      <c r="BF125" s="978"/>
    </row>
    <row r="126" spans="1:58" ht="15" customHeight="1">
      <c r="A126" s="977" t="s">
        <v>1307</v>
      </c>
      <c r="B126" s="983" t="s">
        <v>879</v>
      </c>
      <c r="C126" s="984" t="s">
        <v>878</v>
      </c>
      <c r="D126" s="986">
        <v>36950.910000000003</v>
      </c>
      <c r="E126" s="986">
        <v>49026.879999999997</v>
      </c>
      <c r="F126" s="986">
        <v>42769.75</v>
      </c>
      <c r="G126" s="986">
        <v>33196.019999999997</v>
      </c>
      <c r="H126" s="986">
        <v>25883.46</v>
      </c>
      <c r="I126" s="986">
        <v>35142.879999999997</v>
      </c>
      <c r="J126" s="986">
        <v>33657.74</v>
      </c>
      <c r="K126" s="986">
        <v>32826.730000000003</v>
      </c>
      <c r="L126" s="986">
        <v>36192.730000000003</v>
      </c>
      <c r="M126" s="986">
        <v>38046.44</v>
      </c>
      <c r="N126" s="986">
        <v>36529.54</v>
      </c>
      <c r="O126" s="986">
        <v>45448.73</v>
      </c>
      <c r="P126" s="986">
        <v>51110.29</v>
      </c>
      <c r="Q126" s="986">
        <v>48617.07</v>
      </c>
      <c r="R126" s="986">
        <v>45120.63</v>
      </c>
      <c r="S126" s="986">
        <v>25822.33</v>
      </c>
      <c r="T126" s="986">
        <v>36705.1</v>
      </c>
      <c r="U126" s="986">
        <v>54270.47</v>
      </c>
      <c r="V126" s="986">
        <v>26721.23</v>
      </c>
      <c r="W126" s="986">
        <v>33701.910000000003</v>
      </c>
      <c r="X126" s="986">
        <v>37552.32</v>
      </c>
      <c r="Y126" s="986">
        <v>36710.5</v>
      </c>
      <c r="Z126" s="986">
        <v>34086.629999999997</v>
      </c>
      <c r="AA126" s="986">
        <v>32582.97</v>
      </c>
      <c r="AB126" s="986">
        <v>44890.09</v>
      </c>
      <c r="AC126" s="986">
        <v>47725.72</v>
      </c>
      <c r="AD126" s="986">
        <v>44844.46</v>
      </c>
      <c r="AE126" s="986">
        <v>40687.86</v>
      </c>
      <c r="AF126" s="986">
        <v>34675.25</v>
      </c>
      <c r="AG126" s="986">
        <v>35855.18</v>
      </c>
      <c r="AH126" s="986">
        <v>33057.82</v>
      </c>
      <c r="AI126" s="986">
        <v>34354.93</v>
      </c>
      <c r="AJ126" s="986">
        <v>35654.300000000003</v>
      </c>
      <c r="AK126" s="986">
        <v>37731.97</v>
      </c>
      <c r="AL126" s="986">
        <v>39209.379999999997</v>
      </c>
      <c r="AM126" s="986">
        <v>36296</v>
      </c>
      <c r="AN126" s="986">
        <v>46131.18</v>
      </c>
      <c r="AO126" s="986">
        <v>50526.06</v>
      </c>
      <c r="AP126" s="986">
        <v>51216.22</v>
      </c>
      <c r="AQ126" s="986">
        <v>43777.01</v>
      </c>
      <c r="AR126" s="986">
        <v>47222.05</v>
      </c>
      <c r="AS126" s="986">
        <v>37181.279999999999</v>
      </c>
      <c r="AT126" s="986">
        <v>35184.14</v>
      </c>
      <c r="AU126" s="986">
        <v>40950.589999999997</v>
      </c>
      <c r="AV126" s="986">
        <v>37374.949999999997</v>
      </c>
      <c r="AW126" s="986">
        <v>14155.19</v>
      </c>
      <c r="AX126" s="986">
        <v>20685.71</v>
      </c>
      <c r="AY126" s="986">
        <v>28696.36</v>
      </c>
      <c r="AZ126" s="986">
        <v>47811.66</v>
      </c>
      <c r="BA126" s="986">
        <v>37559.56</v>
      </c>
      <c r="BB126" s="986">
        <v>46991.77</v>
      </c>
      <c r="BC126" s="986">
        <v>39614.43</v>
      </c>
      <c r="BD126" s="986">
        <v>10170.48</v>
      </c>
      <c r="BF126" s="978"/>
    </row>
    <row r="127" spans="1:58" ht="15" customHeight="1">
      <c r="B127" s="983" t="s">
        <v>877</v>
      </c>
      <c r="C127" s="984" t="s">
        <v>876</v>
      </c>
      <c r="D127" s="989"/>
      <c r="E127" s="989"/>
      <c r="F127" s="989"/>
      <c r="G127" s="989"/>
      <c r="H127" s="989"/>
      <c r="I127" s="989"/>
      <c r="J127" s="989"/>
      <c r="K127" s="989"/>
      <c r="L127" s="989"/>
      <c r="M127" s="989"/>
      <c r="N127" s="989"/>
      <c r="O127" s="989"/>
      <c r="P127" s="989"/>
      <c r="Q127" s="989"/>
      <c r="R127" s="989"/>
      <c r="S127" s="989"/>
      <c r="T127" s="989"/>
      <c r="U127" s="989"/>
      <c r="V127" s="989"/>
      <c r="W127" s="989"/>
      <c r="X127" s="989"/>
      <c r="Y127" s="989"/>
      <c r="Z127" s="989"/>
      <c r="AA127" s="989"/>
      <c r="AB127" s="989"/>
      <c r="AC127" s="989"/>
      <c r="AD127" s="989"/>
      <c r="AE127" s="989"/>
      <c r="AF127" s="989"/>
      <c r="AG127" s="989"/>
      <c r="AH127" s="989"/>
      <c r="AI127" s="989"/>
      <c r="AJ127" s="989"/>
      <c r="AK127" s="989"/>
      <c r="AL127" s="989"/>
      <c r="AM127" s="989"/>
      <c r="AN127" s="989"/>
      <c r="AO127" s="989"/>
      <c r="AP127" s="989"/>
      <c r="AQ127" s="989"/>
      <c r="AR127" s="989"/>
      <c r="AS127" s="989"/>
      <c r="AT127" s="989"/>
      <c r="AU127" s="989"/>
      <c r="AV127" s="989"/>
      <c r="AW127" s="989"/>
      <c r="AX127" s="989"/>
      <c r="AY127" s="989"/>
      <c r="AZ127" s="989"/>
      <c r="BA127" s="989"/>
      <c r="BB127" s="989"/>
      <c r="BC127" s="989"/>
      <c r="BD127" s="989"/>
      <c r="BF127" s="978"/>
    </row>
    <row r="128" spans="1:58" ht="15" customHeight="1">
      <c r="B128" s="983" t="s">
        <v>875</v>
      </c>
      <c r="C128" s="984" t="s">
        <v>874</v>
      </c>
      <c r="D128" s="989"/>
      <c r="E128" s="989"/>
      <c r="F128" s="989"/>
      <c r="G128" s="989"/>
      <c r="H128" s="989"/>
      <c r="I128" s="989"/>
      <c r="J128" s="989"/>
      <c r="K128" s="989"/>
      <c r="L128" s="989"/>
      <c r="M128" s="989"/>
      <c r="N128" s="989"/>
      <c r="O128" s="989"/>
      <c r="P128" s="989"/>
      <c r="Q128" s="989"/>
      <c r="R128" s="989"/>
      <c r="S128" s="989"/>
      <c r="T128" s="989"/>
      <c r="U128" s="989"/>
      <c r="V128" s="989"/>
      <c r="W128" s="989"/>
      <c r="X128" s="989"/>
      <c r="Y128" s="989"/>
      <c r="Z128" s="989"/>
      <c r="AA128" s="989"/>
      <c r="AB128" s="989"/>
      <c r="AC128" s="989"/>
      <c r="AD128" s="989"/>
      <c r="AE128" s="989"/>
      <c r="AF128" s="989"/>
      <c r="AG128" s="989"/>
      <c r="AH128" s="989"/>
      <c r="AI128" s="989"/>
      <c r="AJ128" s="989"/>
      <c r="AK128" s="989"/>
      <c r="AL128" s="989"/>
      <c r="AM128" s="989"/>
      <c r="AN128" s="989"/>
      <c r="AO128" s="989"/>
      <c r="AP128" s="989"/>
      <c r="AQ128" s="989"/>
      <c r="AR128" s="989"/>
      <c r="AS128" s="989"/>
      <c r="AT128" s="989"/>
      <c r="AU128" s="989"/>
      <c r="AV128" s="989"/>
      <c r="AW128" s="989"/>
      <c r="AX128" s="989"/>
      <c r="AY128" s="989"/>
      <c r="AZ128" s="989"/>
      <c r="BA128" s="989"/>
      <c r="BB128" s="989"/>
      <c r="BC128" s="989"/>
      <c r="BD128" s="989"/>
      <c r="BF128" s="978"/>
    </row>
    <row r="129" spans="1:58" ht="15" customHeight="1">
      <c r="B129" s="983" t="s">
        <v>873</v>
      </c>
      <c r="C129" s="984" t="s">
        <v>872</v>
      </c>
      <c r="D129" s="990">
        <v>30800</v>
      </c>
      <c r="E129" s="990">
        <v>30800</v>
      </c>
      <c r="F129" s="990">
        <v>30800</v>
      </c>
      <c r="G129" s="990">
        <v>46124.09</v>
      </c>
      <c r="H129" s="990">
        <v>34631.019999999997</v>
      </c>
      <c r="I129" s="990">
        <v>-3238.18</v>
      </c>
      <c r="J129" s="990">
        <v>31568.73</v>
      </c>
      <c r="K129" s="990">
        <v>31568.73</v>
      </c>
      <c r="L129" s="990">
        <v>31568.720000000001</v>
      </c>
      <c r="M129" s="990">
        <v>31568.74</v>
      </c>
      <c r="N129" s="990">
        <v>18192.07</v>
      </c>
      <c r="O129" s="990">
        <v>30231.07</v>
      </c>
      <c r="P129" s="990">
        <v>29292.28</v>
      </c>
      <c r="Q129" s="990">
        <v>29292.28</v>
      </c>
      <c r="R129" s="990">
        <v>32156.23</v>
      </c>
      <c r="S129" s="990">
        <v>30246.92</v>
      </c>
      <c r="T129" s="990">
        <v>30246.93</v>
      </c>
      <c r="U129" s="990">
        <v>30246.92</v>
      </c>
      <c r="V129" s="990">
        <v>30246.93</v>
      </c>
      <c r="W129" s="990">
        <v>30246.92</v>
      </c>
      <c r="X129" s="990">
        <v>30246.93</v>
      </c>
      <c r="Y129" s="990">
        <v>30246.93</v>
      </c>
      <c r="Z129" s="990">
        <v>30246.92</v>
      </c>
      <c r="AA129" s="990">
        <v>30246.92</v>
      </c>
      <c r="AB129" s="990">
        <v>30852</v>
      </c>
      <c r="AC129" s="990">
        <v>30852</v>
      </c>
      <c r="AD129" s="990">
        <v>31059.02</v>
      </c>
      <c r="AE129" s="990">
        <v>30921</v>
      </c>
      <c r="AF129" s="990">
        <v>30917.18</v>
      </c>
      <c r="AG129" s="990">
        <v>30920.21</v>
      </c>
      <c r="AH129" s="990">
        <v>30920.23</v>
      </c>
      <c r="AI129" s="990">
        <v>30920.23</v>
      </c>
      <c r="AJ129" s="990">
        <v>30920.23</v>
      </c>
      <c r="AK129" s="990">
        <v>30920.23</v>
      </c>
      <c r="AL129" s="990">
        <v>30920.23</v>
      </c>
      <c r="AM129" s="990">
        <v>30920.240000000002</v>
      </c>
      <c r="AN129" s="990">
        <v>31538.639999999999</v>
      </c>
      <c r="AO129" s="990">
        <v>31538.639999999999</v>
      </c>
      <c r="AP129" s="990">
        <v>30875.1</v>
      </c>
      <c r="AQ129" s="990">
        <v>31088.22</v>
      </c>
      <c r="AR129" s="990">
        <v>31650.87</v>
      </c>
      <c r="AS129" s="990">
        <v>31200.76</v>
      </c>
      <c r="AT129" s="990">
        <v>31200.75</v>
      </c>
      <c r="AU129" s="990">
        <v>31200.75</v>
      </c>
      <c r="AV129" s="990">
        <v>30863.13</v>
      </c>
      <c r="AW129" s="990">
        <v>31763.42</v>
      </c>
      <c r="AX129" s="990">
        <v>31088.21</v>
      </c>
      <c r="AY129" s="990">
        <v>31088.23</v>
      </c>
      <c r="AZ129" s="990">
        <v>31088.21</v>
      </c>
      <c r="BA129" s="990">
        <v>31088.21</v>
      </c>
      <c r="BB129" s="990">
        <v>31088.21</v>
      </c>
      <c r="BC129" s="990">
        <v>36743.410000000003</v>
      </c>
      <c r="BD129" s="990">
        <v>0</v>
      </c>
      <c r="BF129" s="978"/>
    </row>
    <row r="130" spans="1:58" ht="15" customHeight="1">
      <c r="B130" s="983" t="s">
        <v>1306</v>
      </c>
      <c r="C130" s="984" t="s">
        <v>1305</v>
      </c>
      <c r="D130" s="990">
        <v>0</v>
      </c>
      <c r="E130" s="990">
        <v>0</v>
      </c>
      <c r="F130" s="990">
        <v>0</v>
      </c>
      <c r="G130" s="990">
        <v>0</v>
      </c>
      <c r="H130" s="990">
        <v>0</v>
      </c>
      <c r="I130" s="990">
        <v>0</v>
      </c>
      <c r="J130" s="990">
        <v>0</v>
      </c>
      <c r="K130" s="990">
        <v>0</v>
      </c>
      <c r="L130" s="990">
        <v>0</v>
      </c>
      <c r="M130" s="990">
        <v>0</v>
      </c>
      <c r="N130" s="990">
        <v>0</v>
      </c>
      <c r="O130" s="990">
        <v>0</v>
      </c>
      <c r="P130" s="990">
        <v>0</v>
      </c>
      <c r="Q130" s="990">
        <v>0</v>
      </c>
      <c r="R130" s="990">
        <v>0</v>
      </c>
      <c r="S130" s="990">
        <v>0</v>
      </c>
      <c r="T130" s="990">
        <v>0</v>
      </c>
      <c r="U130" s="990">
        <v>0</v>
      </c>
      <c r="V130" s="990">
        <v>0</v>
      </c>
      <c r="W130" s="990">
        <v>0</v>
      </c>
      <c r="X130" s="990">
        <v>0</v>
      </c>
      <c r="Y130" s="990">
        <v>0</v>
      </c>
      <c r="Z130" s="990">
        <v>0</v>
      </c>
      <c r="AA130" s="990">
        <v>0</v>
      </c>
      <c r="AB130" s="990">
        <v>0</v>
      </c>
      <c r="AC130" s="990">
        <v>0</v>
      </c>
      <c r="AD130" s="990">
        <v>0</v>
      </c>
      <c r="AE130" s="990">
        <v>0</v>
      </c>
      <c r="AF130" s="990">
        <v>0</v>
      </c>
      <c r="AG130" s="990">
        <v>0</v>
      </c>
      <c r="AH130" s="990">
        <v>0</v>
      </c>
      <c r="AI130" s="990">
        <v>0</v>
      </c>
      <c r="AJ130" s="990">
        <v>0</v>
      </c>
      <c r="AK130" s="990">
        <v>0</v>
      </c>
      <c r="AL130" s="990">
        <v>0</v>
      </c>
      <c r="AM130" s="990">
        <v>0</v>
      </c>
      <c r="AN130" s="990">
        <v>0</v>
      </c>
      <c r="AO130" s="990">
        <v>0</v>
      </c>
      <c r="AP130" s="990">
        <v>0</v>
      </c>
      <c r="AQ130" s="990">
        <v>0</v>
      </c>
      <c r="AR130" s="990">
        <v>0</v>
      </c>
      <c r="AS130" s="990">
        <v>0</v>
      </c>
      <c r="AT130" s="990">
        <v>0</v>
      </c>
      <c r="AU130" s="990">
        <v>0</v>
      </c>
      <c r="AV130" s="990">
        <v>0</v>
      </c>
      <c r="AW130" s="990">
        <v>0</v>
      </c>
      <c r="AX130" s="990">
        <v>0</v>
      </c>
      <c r="AY130" s="990">
        <v>0</v>
      </c>
      <c r="AZ130" s="990">
        <v>0</v>
      </c>
      <c r="BA130" s="990">
        <v>0</v>
      </c>
      <c r="BB130" s="990">
        <v>0</v>
      </c>
      <c r="BC130" s="990">
        <v>0</v>
      </c>
      <c r="BD130" s="990">
        <v>0</v>
      </c>
      <c r="BF130" s="978"/>
    </row>
    <row r="131" spans="1:58" ht="15" customHeight="1">
      <c r="B131" s="983" t="s">
        <v>1304</v>
      </c>
      <c r="C131" s="984" t="s">
        <v>1303</v>
      </c>
      <c r="D131" s="988">
        <v>0</v>
      </c>
      <c r="E131" s="988">
        <v>0</v>
      </c>
      <c r="F131" s="988">
        <v>0</v>
      </c>
      <c r="G131" s="988">
        <v>0</v>
      </c>
      <c r="H131" s="988">
        <v>0</v>
      </c>
      <c r="I131" s="988">
        <v>0</v>
      </c>
      <c r="J131" s="988">
        <v>0</v>
      </c>
      <c r="K131" s="988">
        <v>0</v>
      </c>
      <c r="L131" s="988">
        <v>0</v>
      </c>
      <c r="M131" s="988">
        <v>0</v>
      </c>
      <c r="N131" s="988">
        <v>0</v>
      </c>
      <c r="O131" s="988">
        <v>0</v>
      </c>
      <c r="P131" s="988">
        <v>0</v>
      </c>
      <c r="Q131" s="988">
        <v>0</v>
      </c>
      <c r="R131" s="988">
        <v>0</v>
      </c>
      <c r="S131" s="988">
        <v>0</v>
      </c>
      <c r="T131" s="988">
        <v>0</v>
      </c>
      <c r="U131" s="988">
        <v>0</v>
      </c>
      <c r="V131" s="988">
        <v>0</v>
      </c>
      <c r="W131" s="988">
        <v>0</v>
      </c>
      <c r="X131" s="988">
        <v>0</v>
      </c>
      <c r="Y131" s="988">
        <v>0</v>
      </c>
      <c r="Z131" s="988">
        <v>0</v>
      </c>
      <c r="AA131" s="988">
        <v>0</v>
      </c>
      <c r="AB131" s="988">
        <v>0</v>
      </c>
      <c r="AC131" s="988">
        <v>0</v>
      </c>
      <c r="AD131" s="988">
        <v>0</v>
      </c>
      <c r="AE131" s="988">
        <v>0</v>
      </c>
      <c r="AF131" s="988">
        <v>0</v>
      </c>
      <c r="AG131" s="988">
        <v>0</v>
      </c>
      <c r="AH131" s="988">
        <v>0</v>
      </c>
      <c r="AI131" s="988">
        <v>0</v>
      </c>
      <c r="AJ131" s="988">
        <v>0</v>
      </c>
      <c r="AK131" s="988">
        <v>0</v>
      </c>
      <c r="AL131" s="988">
        <v>0</v>
      </c>
      <c r="AM131" s="988">
        <v>0</v>
      </c>
      <c r="AN131" s="988">
        <v>0</v>
      </c>
      <c r="AO131" s="988">
        <v>0</v>
      </c>
      <c r="AP131" s="988">
        <v>0</v>
      </c>
      <c r="AQ131" s="988">
        <v>0</v>
      </c>
      <c r="AR131" s="988">
        <v>0</v>
      </c>
      <c r="AS131" s="988">
        <v>0</v>
      </c>
      <c r="AT131" s="988">
        <v>0</v>
      </c>
      <c r="AU131" s="988">
        <v>0</v>
      </c>
      <c r="AV131" s="988">
        <v>0</v>
      </c>
      <c r="AW131" s="988">
        <v>0</v>
      </c>
      <c r="AX131" s="988">
        <v>0</v>
      </c>
      <c r="AY131" s="988">
        <v>0</v>
      </c>
      <c r="AZ131" s="988">
        <v>0</v>
      </c>
      <c r="BA131" s="988">
        <v>0</v>
      </c>
      <c r="BB131" s="988">
        <v>0</v>
      </c>
      <c r="BC131" s="988">
        <v>0</v>
      </c>
      <c r="BD131" s="988">
        <v>0</v>
      </c>
      <c r="BF131" s="978"/>
    </row>
    <row r="132" spans="1:58" ht="15" customHeight="1">
      <c r="B132" s="983" t="s">
        <v>871</v>
      </c>
      <c r="C132" s="984" t="s">
        <v>870</v>
      </c>
      <c r="D132" s="986">
        <v>30800</v>
      </c>
      <c r="E132" s="986">
        <v>30800</v>
      </c>
      <c r="F132" s="986">
        <v>30800</v>
      </c>
      <c r="G132" s="986">
        <v>46124.09</v>
      </c>
      <c r="H132" s="986">
        <v>34631.019999999997</v>
      </c>
      <c r="I132" s="986">
        <v>-3238.18</v>
      </c>
      <c r="J132" s="986">
        <v>31568.73</v>
      </c>
      <c r="K132" s="986">
        <v>31568.73</v>
      </c>
      <c r="L132" s="986">
        <v>31568.720000000001</v>
      </c>
      <c r="M132" s="986">
        <v>31568.74</v>
      </c>
      <c r="N132" s="986">
        <v>18192.07</v>
      </c>
      <c r="O132" s="986">
        <v>30231.07</v>
      </c>
      <c r="P132" s="986">
        <v>29292.28</v>
      </c>
      <c r="Q132" s="986">
        <v>29292.28</v>
      </c>
      <c r="R132" s="986">
        <v>32156.23</v>
      </c>
      <c r="S132" s="986">
        <v>30246.92</v>
      </c>
      <c r="T132" s="986">
        <v>30246.93</v>
      </c>
      <c r="U132" s="986">
        <v>30246.92</v>
      </c>
      <c r="V132" s="986">
        <v>30246.93</v>
      </c>
      <c r="W132" s="986">
        <v>30246.92</v>
      </c>
      <c r="X132" s="986">
        <v>30246.93</v>
      </c>
      <c r="Y132" s="986">
        <v>30246.93</v>
      </c>
      <c r="Z132" s="986">
        <v>30246.92</v>
      </c>
      <c r="AA132" s="986">
        <v>30246.92</v>
      </c>
      <c r="AB132" s="986">
        <v>30852</v>
      </c>
      <c r="AC132" s="986">
        <v>30852</v>
      </c>
      <c r="AD132" s="986">
        <v>31059.02</v>
      </c>
      <c r="AE132" s="986">
        <v>30921</v>
      </c>
      <c r="AF132" s="986">
        <v>30917.18</v>
      </c>
      <c r="AG132" s="986">
        <v>30920.21</v>
      </c>
      <c r="AH132" s="986">
        <v>30920.23</v>
      </c>
      <c r="AI132" s="986">
        <v>30920.23</v>
      </c>
      <c r="AJ132" s="986">
        <v>30920.23</v>
      </c>
      <c r="AK132" s="986">
        <v>30920.23</v>
      </c>
      <c r="AL132" s="986">
        <v>30920.23</v>
      </c>
      <c r="AM132" s="986">
        <v>30920.240000000002</v>
      </c>
      <c r="AN132" s="986">
        <v>31538.639999999999</v>
      </c>
      <c r="AO132" s="986">
        <v>31538.639999999999</v>
      </c>
      <c r="AP132" s="986">
        <v>30875.1</v>
      </c>
      <c r="AQ132" s="986">
        <v>31088.22</v>
      </c>
      <c r="AR132" s="986">
        <v>31650.87</v>
      </c>
      <c r="AS132" s="986">
        <v>31200.76</v>
      </c>
      <c r="AT132" s="986">
        <v>31200.75</v>
      </c>
      <c r="AU132" s="986">
        <v>31200.75</v>
      </c>
      <c r="AV132" s="986">
        <v>30863.13</v>
      </c>
      <c r="AW132" s="986">
        <v>31763.42</v>
      </c>
      <c r="AX132" s="986">
        <v>31088.21</v>
      </c>
      <c r="AY132" s="986">
        <v>31088.23</v>
      </c>
      <c r="AZ132" s="986">
        <v>31088.21</v>
      </c>
      <c r="BA132" s="986">
        <v>31088.21</v>
      </c>
      <c r="BB132" s="986">
        <v>31088.21</v>
      </c>
      <c r="BC132" s="986">
        <v>36743.410000000003</v>
      </c>
      <c r="BD132" s="986">
        <v>0</v>
      </c>
      <c r="BF132" s="978"/>
    </row>
    <row r="133" spans="1:58" ht="15" customHeight="1">
      <c r="B133" s="983" t="s">
        <v>869</v>
      </c>
      <c r="C133" s="984" t="s">
        <v>868</v>
      </c>
      <c r="D133" s="989"/>
      <c r="E133" s="989"/>
      <c r="F133" s="989"/>
      <c r="G133" s="989"/>
      <c r="H133" s="989"/>
      <c r="I133" s="989"/>
      <c r="J133" s="989"/>
      <c r="K133" s="989"/>
      <c r="L133" s="989"/>
      <c r="M133" s="989"/>
      <c r="N133" s="989"/>
      <c r="O133" s="989"/>
      <c r="P133" s="989"/>
      <c r="Q133" s="989"/>
      <c r="R133" s="989"/>
      <c r="S133" s="989"/>
      <c r="T133" s="989"/>
      <c r="U133" s="989"/>
      <c r="V133" s="989"/>
      <c r="W133" s="989"/>
      <c r="X133" s="989"/>
      <c r="Y133" s="989"/>
      <c r="Z133" s="989"/>
      <c r="AA133" s="989"/>
      <c r="AB133" s="989"/>
      <c r="AC133" s="989"/>
      <c r="AD133" s="989"/>
      <c r="AE133" s="989"/>
      <c r="AF133" s="989"/>
      <c r="AG133" s="989"/>
      <c r="AH133" s="989"/>
      <c r="AI133" s="989"/>
      <c r="AJ133" s="989"/>
      <c r="AK133" s="989"/>
      <c r="AL133" s="989"/>
      <c r="AM133" s="989"/>
      <c r="AN133" s="989"/>
      <c r="AO133" s="989"/>
      <c r="AP133" s="989"/>
      <c r="AQ133" s="989"/>
      <c r="AR133" s="989"/>
      <c r="AS133" s="989"/>
      <c r="AT133" s="989"/>
      <c r="AU133" s="989"/>
      <c r="AV133" s="989"/>
      <c r="AW133" s="989"/>
      <c r="AX133" s="989"/>
      <c r="AY133" s="989"/>
      <c r="AZ133" s="989"/>
      <c r="BA133" s="989"/>
      <c r="BB133" s="989"/>
      <c r="BC133" s="989"/>
      <c r="BD133" s="989"/>
      <c r="BF133" s="978"/>
    </row>
    <row r="134" spans="1:58" ht="15" customHeight="1">
      <c r="B134" s="983" t="s">
        <v>867</v>
      </c>
      <c r="C134" s="984" t="s">
        <v>866</v>
      </c>
      <c r="D134" s="990">
        <v>0</v>
      </c>
      <c r="E134" s="990">
        <v>0</v>
      </c>
      <c r="F134" s="990">
        <v>0</v>
      </c>
      <c r="G134" s="990">
        <v>0</v>
      </c>
      <c r="H134" s="990">
        <v>0</v>
      </c>
      <c r="I134" s="990">
        <v>0</v>
      </c>
      <c r="J134" s="990">
        <v>0</v>
      </c>
      <c r="K134" s="990">
        <v>0</v>
      </c>
      <c r="L134" s="990">
        <v>6907</v>
      </c>
      <c r="M134" s="990">
        <v>0</v>
      </c>
      <c r="N134" s="990">
        <v>0</v>
      </c>
      <c r="O134" s="990">
        <v>0</v>
      </c>
      <c r="P134" s="990">
        <v>0</v>
      </c>
      <c r="Q134" s="990">
        <v>0</v>
      </c>
      <c r="R134" s="990">
        <v>800</v>
      </c>
      <c r="S134" s="990">
        <v>0</v>
      </c>
      <c r="T134" s="990">
        <v>0</v>
      </c>
      <c r="U134" s="990">
        <v>0</v>
      </c>
      <c r="V134" s="990">
        <v>0</v>
      </c>
      <c r="W134" s="990">
        <v>0</v>
      </c>
      <c r="X134" s="990">
        <v>0</v>
      </c>
      <c r="Y134" s="990">
        <v>0</v>
      </c>
      <c r="Z134" s="990">
        <v>0</v>
      </c>
      <c r="AA134" s="990">
        <v>0</v>
      </c>
      <c r="AB134" s="990">
        <v>0</v>
      </c>
      <c r="AC134" s="990">
        <v>0</v>
      </c>
      <c r="AD134" s="990">
        <v>250</v>
      </c>
      <c r="AE134" s="990">
        <v>0</v>
      </c>
      <c r="AF134" s="990">
        <v>0</v>
      </c>
      <c r="AG134" s="990">
        <v>0</v>
      </c>
      <c r="AH134" s="990">
        <v>0</v>
      </c>
      <c r="AI134" s="990">
        <v>0</v>
      </c>
      <c r="AJ134" s="990">
        <v>6800</v>
      </c>
      <c r="AK134" s="990">
        <v>800</v>
      </c>
      <c r="AL134" s="990">
        <v>0</v>
      </c>
      <c r="AM134" s="990">
        <v>6000</v>
      </c>
      <c r="AN134" s="990">
        <v>0</v>
      </c>
      <c r="AO134" s="990">
        <v>0</v>
      </c>
      <c r="AP134" s="990">
        <v>0</v>
      </c>
      <c r="AQ134" s="990">
        <v>0</v>
      </c>
      <c r="AR134" s="990">
        <v>0</v>
      </c>
      <c r="AS134" s="990">
        <v>0</v>
      </c>
      <c r="AT134" s="990">
        <v>0</v>
      </c>
      <c r="AU134" s="990">
        <v>734.95</v>
      </c>
      <c r="AV134" s="990">
        <v>6800</v>
      </c>
      <c r="AW134" s="990">
        <v>0</v>
      </c>
      <c r="AX134" s="990">
        <v>0</v>
      </c>
      <c r="AY134" s="990">
        <v>0</v>
      </c>
      <c r="AZ134" s="990">
        <v>0</v>
      </c>
      <c r="BA134" s="990">
        <v>0</v>
      </c>
      <c r="BB134" s="990">
        <v>0</v>
      </c>
      <c r="BC134" s="990">
        <v>0</v>
      </c>
      <c r="BD134" s="990">
        <v>0</v>
      </c>
      <c r="BF134" s="978"/>
    </row>
    <row r="135" spans="1:58" ht="15" customHeight="1">
      <c r="B135" s="983" t="s">
        <v>1302</v>
      </c>
      <c r="C135" s="984" t="s">
        <v>1301</v>
      </c>
      <c r="D135" s="990">
        <v>0</v>
      </c>
      <c r="E135" s="990">
        <v>0</v>
      </c>
      <c r="F135" s="990">
        <v>0</v>
      </c>
      <c r="G135" s="990">
        <v>0</v>
      </c>
      <c r="H135" s="990">
        <v>0</v>
      </c>
      <c r="I135" s="990">
        <v>0</v>
      </c>
      <c r="J135" s="990">
        <v>0</v>
      </c>
      <c r="K135" s="990">
        <v>0</v>
      </c>
      <c r="L135" s="990">
        <v>0</v>
      </c>
      <c r="M135" s="990">
        <v>0</v>
      </c>
      <c r="N135" s="990">
        <v>0</v>
      </c>
      <c r="O135" s="990">
        <v>0</v>
      </c>
      <c r="P135" s="990">
        <v>0</v>
      </c>
      <c r="Q135" s="990">
        <v>0</v>
      </c>
      <c r="R135" s="990">
        <v>0</v>
      </c>
      <c r="S135" s="990">
        <v>0</v>
      </c>
      <c r="T135" s="990">
        <v>0</v>
      </c>
      <c r="U135" s="990">
        <v>0</v>
      </c>
      <c r="V135" s="990">
        <v>0</v>
      </c>
      <c r="W135" s="990">
        <v>0</v>
      </c>
      <c r="X135" s="990">
        <v>0</v>
      </c>
      <c r="Y135" s="990">
        <v>0</v>
      </c>
      <c r="Z135" s="990">
        <v>0</v>
      </c>
      <c r="AA135" s="990">
        <v>0</v>
      </c>
      <c r="AB135" s="990">
        <v>0</v>
      </c>
      <c r="AC135" s="990">
        <v>3801.59</v>
      </c>
      <c r="AD135" s="990">
        <v>0</v>
      </c>
      <c r="AE135" s="990">
        <v>0</v>
      </c>
      <c r="AF135" s="990">
        <v>0</v>
      </c>
      <c r="AG135" s="990">
        <v>0</v>
      </c>
      <c r="AH135" s="990">
        <v>0</v>
      </c>
      <c r="AI135" s="990">
        <v>0</v>
      </c>
      <c r="AJ135" s="990">
        <v>0</v>
      </c>
      <c r="AK135" s="990">
        <v>0</v>
      </c>
      <c r="AL135" s="990">
        <v>7836.31</v>
      </c>
      <c r="AM135" s="990">
        <v>0</v>
      </c>
      <c r="AN135" s="990">
        <v>0</v>
      </c>
      <c r="AO135" s="990">
        <v>-3770.94</v>
      </c>
      <c r="AP135" s="990">
        <v>0</v>
      </c>
      <c r="AQ135" s="990">
        <v>0</v>
      </c>
      <c r="AR135" s="990">
        <v>0</v>
      </c>
      <c r="AS135" s="990">
        <v>0</v>
      </c>
      <c r="AT135" s="990">
        <v>3767.01</v>
      </c>
      <c r="AU135" s="990">
        <v>0</v>
      </c>
      <c r="AV135" s="990">
        <v>0</v>
      </c>
      <c r="AW135" s="990">
        <v>0</v>
      </c>
      <c r="AX135" s="990">
        <v>0</v>
      </c>
      <c r="AY135" s="990">
        <v>0</v>
      </c>
      <c r="AZ135" s="990">
        <v>0</v>
      </c>
      <c r="BA135" s="990">
        <v>0</v>
      </c>
      <c r="BB135" s="990">
        <v>0</v>
      </c>
      <c r="BC135" s="990">
        <v>0</v>
      </c>
      <c r="BD135" s="990">
        <v>0</v>
      </c>
      <c r="BF135" s="978"/>
    </row>
    <row r="136" spans="1:58" ht="15" customHeight="1">
      <c r="B136" s="983" t="s">
        <v>1300</v>
      </c>
      <c r="C136" s="984" t="s">
        <v>1299</v>
      </c>
      <c r="D136" s="990">
        <v>0</v>
      </c>
      <c r="E136" s="990">
        <v>0</v>
      </c>
      <c r="F136" s="990">
        <v>0</v>
      </c>
      <c r="G136" s="990">
        <v>0</v>
      </c>
      <c r="H136" s="990">
        <v>0</v>
      </c>
      <c r="I136" s="990">
        <v>349.16</v>
      </c>
      <c r="J136" s="990">
        <v>0</v>
      </c>
      <c r="K136" s="990">
        <v>110.36</v>
      </c>
      <c r="L136" s="990">
        <v>0</v>
      </c>
      <c r="M136" s="990">
        <v>0</v>
      </c>
      <c r="N136" s="990">
        <v>337</v>
      </c>
      <c r="O136" s="990">
        <v>0</v>
      </c>
      <c r="P136" s="990">
        <v>0</v>
      </c>
      <c r="Q136" s="990">
        <v>0</v>
      </c>
      <c r="R136" s="990">
        <v>75</v>
      </c>
      <c r="S136" s="990">
        <v>2000</v>
      </c>
      <c r="T136" s="990">
        <v>0</v>
      </c>
      <c r="U136" s="990">
        <v>0</v>
      </c>
      <c r="V136" s="990">
        <v>0</v>
      </c>
      <c r="W136" s="990">
        <v>114.08</v>
      </c>
      <c r="X136" s="990">
        <v>0</v>
      </c>
      <c r="Y136" s="990">
        <v>77.31</v>
      </c>
      <c r="Z136" s="990">
        <v>337</v>
      </c>
      <c r="AA136" s="990">
        <v>0</v>
      </c>
      <c r="AB136" s="990">
        <v>0</v>
      </c>
      <c r="AC136" s="990">
        <v>0</v>
      </c>
      <c r="AD136" s="990">
        <v>0</v>
      </c>
      <c r="AE136" s="990">
        <v>0</v>
      </c>
      <c r="AF136" s="990">
        <v>2000</v>
      </c>
      <c r="AG136" s="990">
        <v>0</v>
      </c>
      <c r="AH136" s="990">
        <v>0</v>
      </c>
      <c r="AI136" s="990">
        <v>212</v>
      </c>
      <c r="AJ136" s="990">
        <v>0</v>
      </c>
      <c r="AK136" s="990">
        <v>72</v>
      </c>
      <c r="AL136" s="990">
        <v>526.04</v>
      </c>
      <c r="AM136" s="990">
        <v>2460</v>
      </c>
      <c r="AN136" s="990">
        <v>0</v>
      </c>
      <c r="AO136" s="990">
        <v>0</v>
      </c>
      <c r="AP136" s="990">
        <v>0</v>
      </c>
      <c r="AQ136" s="990">
        <v>0</v>
      </c>
      <c r="AR136" s="990">
        <v>0</v>
      </c>
      <c r="AS136" s="990">
        <v>0</v>
      </c>
      <c r="AT136" s="990">
        <v>0</v>
      </c>
      <c r="AU136" s="990">
        <v>62.56</v>
      </c>
      <c r="AV136" s="990">
        <v>0</v>
      </c>
      <c r="AW136" s="990">
        <v>460</v>
      </c>
      <c r="AX136" s="990">
        <v>0</v>
      </c>
      <c r="AY136" s="990">
        <v>2000</v>
      </c>
      <c r="AZ136" s="990">
        <v>0</v>
      </c>
      <c r="BA136" s="990">
        <v>180</v>
      </c>
      <c r="BB136" s="990">
        <v>0</v>
      </c>
      <c r="BC136" s="990">
        <v>0</v>
      </c>
      <c r="BD136" s="990">
        <v>0</v>
      </c>
      <c r="BF136" s="978"/>
    </row>
    <row r="137" spans="1:58" ht="15" customHeight="1">
      <c r="B137" s="983" t="s">
        <v>1298</v>
      </c>
      <c r="C137" s="984" t="s">
        <v>1297</v>
      </c>
      <c r="D137" s="990">
        <v>0</v>
      </c>
      <c r="E137" s="990">
        <v>0</v>
      </c>
      <c r="F137" s="990">
        <v>0</v>
      </c>
      <c r="G137" s="990">
        <v>0</v>
      </c>
      <c r="H137" s="990">
        <v>0</v>
      </c>
      <c r="I137" s="990">
        <v>0</v>
      </c>
      <c r="J137" s="990">
        <v>0</v>
      </c>
      <c r="K137" s="990">
        <v>0</v>
      </c>
      <c r="L137" s="990">
        <v>0</v>
      </c>
      <c r="M137" s="990">
        <v>0</v>
      </c>
      <c r="N137" s="990">
        <v>0</v>
      </c>
      <c r="O137" s="990">
        <v>0</v>
      </c>
      <c r="P137" s="990">
        <v>0</v>
      </c>
      <c r="Q137" s="990">
        <v>34560.26</v>
      </c>
      <c r="R137" s="990">
        <v>0</v>
      </c>
      <c r="S137" s="990">
        <v>0</v>
      </c>
      <c r="T137" s="990">
        <v>0</v>
      </c>
      <c r="U137" s="990">
        <v>0</v>
      </c>
      <c r="V137" s="990">
        <v>0</v>
      </c>
      <c r="W137" s="990">
        <v>0</v>
      </c>
      <c r="X137" s="990">
        <v>0</v>
      </c>
      <c r="Y137" s="990">
        <v>0</v>
      </c>
      <c r="Z137" s="990">
        <v>0</v>
      </c>
      <c r="AA137" s="990">
        <v>0</v>
      </c>
      <c r="AB137" s="990">
        <v>0</v>
      </c>
      <c r="AC137" s="990">
        <v>0</v>
      </c>
      <c r="AD137" s="990">
        <v>-75</v>
      </c>
      <c r="AE137" s="990">
        <v>0</v>
      </c>
      <c r="AF137" s="990">
        <v>0</v>
      </c>
      <c r="AG137" s="990">
        <v>0</v>
      </c>
      <c r="AH137" s="990">
        <v>0</v>
      </c>
      <c r="AI137" s="990">
        <v>0</v>
      </c>
      <c r="AJ137" s="990">
        <v>0</v>
      </c>
      <c r="AK137" s="990">
        <v>0</v>
      </c>
      <c r="AL137" s="990">
        <v>0</v>
      </c>
      <c r="AM137" s="990">
        <v>0</v>
      </c>
      <c r="AN137" s="990">
        <v>0</v>
      </c>
      <c r="AO137" s="990">
        <v>0</v>
      </c>
      <c r="AP137" s="990">
        <v>0</v>
      </c>
      <c r="AQ137" s="990">
        <v>0</v>
      </c>
      <c r="AR137" s="990">
        <v>0</v>
      </c>
      <c r="AS137" s="990">
        <v>0</v>
      </c>
      <c r="AT137" s="990">
        <v>0</v>
      </c>
      <c r="AU137" s="990">
        <v>0</v>
      </c>
      <c r="AV137" s="990">
        <v>0</v>
      </c>
      <c r="AW137" s="990">
        <v>0</v>
      </c>
      <c r="AX137" s="990">
        <v>0</v>
      </c>
      <c r="AY137" s="990">
        <v>0</v>
      </c>
      <c r="AZ137" s="990">
        <v>0</v>
      </c>
      <c r="BA137" s="990">
        <v>0</v>
      </c>
      <c r="BB137" s="990">
        <v>0</v>
      </c>
      <c r="BC137" s="990">
        <v>0</v>
      </c>
      <c r="BD137" s="990">
        <v>0</v>
      </c>
      <c r="BF137" s="978"/>
    </row>
    <row r="138" spans="1:58" ht="15" customHeight="1">
      <c r="B138" s="983" t="s">
        <v>865</v>
      </c>
      <c r="C138" s="984" t="s">
        <v>864</v>
      </c>
      <c r="D138" s="987">
        <v>0</v>
      </c>
      <c r="E138" s="987">
        <v>0</v>
      </c>
      <c r="F138" s="987">
        <v>0</v>
      </c>
      <c r="G138" s="987">
        <v>0</v>
      </c>
      <c r="H138" s="987">
        <v>0</v>
      </c>
      <c r="I138" s="987">
        <v>349.16</v>
      </c>
      <c r="J138" s="987">
        <v>0</v>
      </c>
      <c r="K138" s="987">
        <v>110.36</v>
      </c>
      <c r="L138" s="987">
        <v>6907</v>
      </c>
      <c r="M138" s="987">
        <v>0</v>
      </c>
      <c r="N138" s="987">
        <v>337</v>
      </c>
      <c r="O138" s="987">
        <v>0</v>
      </c>
      <c r="P138" s="987">
        <v>0</v>
      </c>
      <c r="Q138" s="987">
        <v>34560.26</v>
      </c>
      <c r="R138" s="987">
        <v>875</v>
      </c>
      <c r="S138" s="987">
        <v>2000</v>
      </c>
      <c r="T138" s="987">
        <v>0</v>
      </c>
      <c r="U138" s="987">
        <v>0</v>
      </c>
      <c r="V138" s="987">
        <v>0</v>
      </c>
      <c r="W138" s="987">
        <v>114.08</v>
      </c>
      <c r="X138" s="987">
        <v>0</v>
      </c>
      <c r="Y138" s="987">
        <v>77.31</v>
      </c>
      <c r="Z138" s="987">
        <v>337</v>
      </c>
      <c r="AA138" s="987">
        <v>0</v>
      </c>
      <c r="AB138" s="987">
        <v>0</v>
      </c>
      <c r="AC138" s="987">
        <v>3801.59</v>
      </c>
      <c r="AD138" s="987">
        <v>175</v>
      </c>
      <c r="AE138" s="987">
        <v>0</v>
      </c>
      <c r="AF138" s="987">
        <v>2000</v>
      </c>
      <c r="AG138" s="987">
        <v>0</v>
      </c>
      <c r="AH138" s="987">
        <v>0</v>
      </c>
      <c r="AI138" s="987">
        <v>212</v>
      </c>
      <c r="AJ138" s="987">
        <v>6800</v>
      </c>
      <c r="AK138" s="987">
        <v>872</v>
      </c>
      <c r="AL138" s="987">
        <v>8362.35</v>
      </c>
      <c r="AM138" s="987">
        <v>8460</v>
      </c>
      <c r="AN138" s="987">
        <v>0</v>
      </c>
      <c r="AO138" s="987">
        <v>-3770.94</v>
      </c>
      <c r="AP138" s="987">
        <v>0</v>
      </c>
      <c r="AQ138" s="987">
        <v>0</v>
      </c>
      <c r="AR138" s="987">
        <v>0</v>
      </c>
      <c r="AS138" s="987">
        <v>0</v>
      </c>
      <c r="AT138" s="987">
        <v>3767.01</v>
      </c>
      <c r="AU138" s="987">
        <v>797.51</v>
      </c>
      <c r="AV138" s="987">
        <v>6800</v>
      </c>
      <c r="AW138" s="987">
        <v>460</v>
      </c>
      <c r="AX138" s="987">
        <v>0</v>
      </c>
      <c r="AY138" s="987">
        <v>2000</v>
      </c>
      <c r="AZ138" s="987">
        <v>0</v>
      </c>
      <c r="BA138" s="987">
        <v>180</v>
      </c>
      <c r="BB138" s="987">
        <v>0</v>
      </c>
      <c r="BC138" s="987">
        <v>0</v>
      </c>
      <c r="BD138" s="987">
        <v>0</v>
      </c>
      <c r="BF138" s="978"/>
    </row>
    <row r="139" spans="1:58" ht="15" customHeight="1">
      <c r="A139" s="977" t="s">
        <v>1296</v>
      </c>
      <c r="B139" s="983" t="s">
        <v>863</v>
      </c>
      <c r="C139" s="984" t="s">
        <v>862</v>
      </c>
      <c r="D139" s="986">
        <v>30800</v>
      </c>
      <c r="E139" s="986">
        <v>30800</v>
      </c>
      <c r="F139" s="986">
        <v>30800</v>
      </c>
      <c r="G139" s="986">
        <v>46124.09</v>
      </c>
      <c r="H139" s="986">
        <v>34631.019999999997</v>
      </c>
      <c r="I139" s="986">
        <v>-2889.02</v>
      </c>
      <c r="J139" s="986">
        <v>31568.73</v>
      </c>
      <c r="K139" s="986">
        <v>31679.09</v>
      </c>
      <c r="L139" s="986">
        <v>38475.72</v>
      </c>
      <c r="M139" s="986">
        <v>31568.74</v>
      </c>
      <c r="N139" s="986">
        <v>18529.07</v>
      </c>
      <c r="O139" s="986">
        <v>30231.07</v>
      </c>
      <c r="P139" s="986">
        <v>29292.28</v>
      </c>
      <c r="Q139" s="986">
        <v>63852.54</v>
      </c>
      <c r="R139" s="986">
        <v>33031.230000000003</v>
      </c>
      <c r="S139" s="986">
        <v>32246.92</v>
      </c>
      <c r="T139" s="986">
        <v>30246.93</v>
      </c>
      <c r="U139" s="986">
        <v>30246.92</v>
      </c>
      <c r="V139" s="986">
        <v>30246.93</v>
      </c>
      <c r="W139" s="986">
        <v>30361</v>
      </c>
      <c r="X139" s="986">
        <v>30246.93</v>
      </c>
      <c r="Y139" s="986">
        <v>30324.240000000002</v>
      </c>
      <c r="Z139" s="986">
        <v>30583.919999999998</v>
      </c>
      <c r="AA139" s="986">
        <v>30246.92</v>
      </c>
      <c r="AB139" s="986">
        <v>30852</v>
      </c>
      <c r="AC139" s="986">
        <v>34653.589999999997</v>
      </c>
      <c r="AD139" s="986">
        <v>31234.02</v>
      </c>
      <c r="AE139" s="986">
        <v>30921</v>
      </c>
      <c r="AF139" s="986">
        <v>32917.18</v>
      </c>
      <c r="AG139" s="986">
        <v>30920.21</v>
      </c>
      <c r="AH139" s="986">
        <v>30920.23</v>
      </c>
      <c r="AI139" s="986">
        <v>31132.23</v>
      </c>
      <c r="AJ139" s="986">
        <v>37720.230000000003</v>
      </c>
      <c r="AK139" s="986">
        <v>31792.23</v>
      </c>
      <c r="AL139" s="986">
        <v>39282.58</v>
      </c>
      <c r="AM139" s="986">
        <v>39380.239999999998</v>
      </c>
      <c r="AN139" s="986">
        <v>31538.639999999999</v>
      </c>
      <c r="AO139" s="986">
        <v>27767.7</v>
      </c>
      <c r="AP139" s="986">
        <v>30875.1</v>
      </c>
      <c r="AQ139" s="986">
        <v>31088.22</v>
      </c>
      <c r="AR139" s="986">
        <v>31650.87</v>
      </c>
      <c r="AS139" s="986">
        <v>31200.76</v>
      </c>
      <c r="AT139" s="986">
        <v>34967.760000000002</v>
      </c>
      <c r="AU139" s="986">
        <v>31998.26</v>
      </c>
      <c r="AV139" s="986">
        <v>37663.129999999997</v>
      </c>
      <c r="AW139" s="986">
        <v>32223.42</v>
      </c>
      <c r="AX139" s="986">
        <v>31088.21</v>
      </c>
      <c r="AY139" s="986">
        <v>33088.230000000003</v>
      </c>
      <c r="AZ139" s="986">
        <v>31088.21</v>
      </c>
      <c r="BA139" s="986">
        <v>31268.21</v>
      </c>
      <c r="BB139" s="986">
        <v>31088.21</v>
      </c>
      <c r="BC139" s="986">
        <v>36743.410000000003</v>
      </c>
      <c r="BD139" s="986">
        <v>0</v>
      </c>
      <c r="BF139" s="978"/>
    </row>
    <row r="140" spans="1:58" ht="15" customHeight="1">
      <c r="B140" s="983" t="s">
        <v>861</v>
      </c>
      <c r="C140" s="984" t="s">
        <v>860</v>
      </c>
      <c r="D140" s="989"/>
      <c r="E140" s="989"/>
      <c r="F140" s="989"/>
      <c r="G140" s="989"/>
      <c r="H140" s="989"/>
      <c r="I140" s="989"/>
      <c r="J140" s="989"/>
      <c r="K140" s="989"/>
      <c r="L140" s="989"/>
      <c r="M140" s="989"/>
      <c r="N140" s="989"/>
      <c r="O140" s="989"/>
      <c r="P140" s="989"/>
      <c r="Q140" s="989"/>
      <c r="R140" s="989"/>
      <c r="S140" s="989"/>
      <c r="T140" s="989"/>
      <c r="U140" s="989"/>
      <c r="V140" s="989"/>
      <c r="W140" s="989"/>
      <c r="X140" s="989"/>
      <c r="Y140" s="989"/>
      <c r="Z140" s="989"/>
      <c r="AA140" s="989"/>
      <c r="AB140" s="989"/>
      <c r="AC140" s="989"/>
      <c r="AD140" s="989"/>
      <c r="AE140" s="989"/>
      <c r="AF140" s="989"/>
      <c r="AG140" s="989"/>
      <c r="AH140" s="989"/>
      <c r="AI140" s="989"/>
      <c r="AJ140" s="989"/>
      <c r="AK140" s="989"/>
      <c r="AL140" s="989"/>
      <c r="AM140" s="989"/>
      <c r="AN140" s="989"/>
      <c r="AO140" s="989"/>
      <c r="AP140" s="989"/>
      <c r="AQ140" s="989"/>
      <c r="AR140" s="989"/>
      <c r="AS140" s="989"/>
      <c r="AT140" s="989"/>
      <c r="AU140" s="989"/>
      <c r="AV140" s="989"/>
      <c r="AW140" s="989"/>
      <c r="AX140" s="989"/>
      <c r="AY140" s="989"/>
      <c r="AZ140" s="989"/>
      <c r="BA140" s="989"/>
      <c r="BB140" s="989"/>
      <c r="BC140" s="989"/>
      <c r="BD140" s="989"/>
      <c r="BF140" s="978"/>
    </row>
    <row r="141" spans="1:58" ht="15" customHeight="1">
      <c r="B141" s="983" t="s">
        <v>859</v>
      </c>
      <c r="C141" s="984" t="s">
        <v>858</v>
      </c>
      <c r="D141" s="989"/>
      <c r="E141" s="989"/>
      <c r="F141" s="989"/>
      <c r="G141" s="989"/>
      <c r="H141" s="989"/>
      <c r="I141" s="989"/>
      <c r="J141" s="989"/>
      <c r="K141" s="989"/>
      <c r="L141" s="989"/>
      <c r="M141" s="989"/>
      <c r="N141" s="989"/>
      <c r="O141" s="989"/>
      <c r="P141" s="989"/>
      <c r="Q141" s="989"/>
      <c r="R141" s="989"/>
      <c r="S141" s="989"/>
      <c r="T141" s="989"/>
      <c r="U141" s="989"/>
      <c r="V141" s="989"/>
      <c r="W141" s="989"/>
      <c r="X141" s="989"/>
      <c r="Y141" s="989"/>
      <c r="Z141" s="989"/>
      <c r="AA141" s="989"/>
      <c r="AB141" s="989"/>
      <c r="AC141" s="989"/>
      <c r="AD141" s="989"/>
      <c r="AE141" s="989"/>
      <c r="AF141" s="989"/>
      <c r="AG141" s="989"/>
      <c r="AH141" s="989"/>
      <c r="AI141" s="989"/>
      <c r="AJ141" s="989"/>
      <c r="AK141" s="989"/>
      <c r="AL141" s="989"/>
      <c r="AM141" s="989"/>
      <c r="AN141" s="989"/>
      <c r="AO141" s="989"/>
      <c r="AP141" s="989"/>
      <c r="AQ141" s="989"/>
      <c r="AR141" s="989"/>
      <c r="AS141" s="989"/>
      <c r="AT141" s="989"/>
      <c r="AU141" s="989"/>
      <c r="AV141" s="989"/>
      <c r="AW141" s="989"/>
      <c r="AX141" s="989"/>
      <c r="AY141" s="989"/>
      <c r="AZ141" s="989"/>
      <c r="BA141" s="989"/>
      <c r="BB141" s="989"/>
      <c r="BC141" s="989"/>
      <c r="BD141" s="989"/>
      <c r="BF141" s="978"/>
    </row>
    <row r="142" spans="1:58" ht="15" customHeight="1">
      <c r="B142" s="983" t="s">
        <v>857</v>
      </c>
      <c r="C142" s="984" t="s">
        <v>856</v>
      </c>
      <c r="D142" s="990">
        <v>1681</v>
      </c>
      <c r="E142" s="990">
        <v>1552.5</v>
      </c>
      <c r="F142" s="990">
        <v>1552.17</v>
      </c>
      <c r="G142" s="990">
        <v>1552.16</v>
      </c>
      <c r="H142" s="990">
        <v>1552.17</v>
      </c>
      <c r="I142" s="990">
        <v>1552.17</v>
      </c>
      <c r="J142" s="990">
        <v>1552.17</v>
      </c>
      <c r="K142" s="990">
        <v>1552.16</v>
      </c>
      <c r="L142" s="990">
        <v>1552.16</v>
      </c>
      <c r="M142" s="990">
        <v>1552.18</v>
      </c>
      <c r="N142" s="990">
        <v>1552.16</v>
      </c>
      <c r="O142" s="990">
        <v>1423</v>
      </c>
      <c r="P142" s="990">
        <v>1413.67</v>
      </c>
      <c r="Q142" s="990">
        <v>1413.67</v>
      </c>
      <c r="R142" s="990">
        <v>1413.66</v>
      </c>
      <c r="S142" s="990">
        <v>1413.67</v>
      </c>
      <c r="T142" s="990">
        <v>1413.67</v>
      </c>
      <c r="U142" s="990">
        <v>1413.66</v>
      </c>
      <c r="V142" s="990">
        <v>1413.67</v>
      </c>
      <c r="W142" s="990">
        <v>1413.66</v>
      </c>
      <c r="X142" s="990">
        <v>1413.67</v>
      </c>
      <c r="Y142" s="990">
        <v>1413.67</v>
      </c>
      <c r="Z142" s="990">
        <v>1413.66</v>
      </c>
      <c r="AA142" s="990">
        <v>4066.67</v>
      </c>
      <c r="AB142" s="990">
        <v>547.33000000000004</v>
      </c>
      <c r="AC142" s="990">
        <v>3840.67</v>
      </c>
      <c r="AD142" s="990">
        <v>1795.17</v>
      </c>
      <c r="AE142" s="990">
        <v>1795.16</v>
      </c>
      <c r="AF142" s="990">
        <v>1795.17</v>
      </c>
      <c r="AG142" s="990">
        <v>1795.17</v>
      </c>
      <c r="AH142" s="990">
        <v>1795.17</v>
      </c>
      <c r="AI142" s="990">
        <v>1795.17</v>
      </c>
      <c r="AJ142" s="990">
        <v>1795.17</v>
      </c>
      <c r="AK142" s="990">
        <v>1795.17</v>
      </c>
      <c r="AL142" s="990">
        <v>1795.17</v>
      </c>
      <c r="AM142" s="990">
        <v>1795.17</v>
      </c>
      <c r="AN142" s="990">
        <v>1795.17</v>
      </c>
      <c r="AO142" s="990">
        <v>1987.14</v>
      </c>
      <c r="AP142" s="990">
        <v>2223.75</v>
      </c>
      <c r="AQ142" s="990">
        <v>2223.75</v>
      </c>
      <c r="AR142" s="990">
        <v>2223.75</v>
      </c>
      <c r="AS142" s="990">
        <v>2223.75</v>
      </c>
      <c r="AT142" s="990">
        <v>2223.75</v>
      </c>
      <c r="AU142" s="990">
        <v>2223.7600000000002</v>
      </c>
      <c r="AV142" s="990">
        <v>2223.75</v>
      </c>
      <c r="AW142" s="990">
        <v>2223.75</v>
      </c>
      <c r="AX142" s="990">
        <v>2223.7600000000002</v>
      </c>
      <c r="AY142" s="990">
        <v>2223.75</v>
      </c>
      <c r="AZ142" s="990">
        <v>2223.75</v>
      </c>
      <c r="BA142" s="990">
        <v>11773.76</v>
      </c>
      <c r="BB142" s="990">
        <v>4775</v>
      </c>
      <c r="BC142" s="990">
        <v>11088</v>
      </c>
      <c r="BD142" s="990">
        <v>0</v>
      </c>
      <c r="BF142" s="978"/>
    </row>
    <row r="143" spans="1:58" ht="15" customHeight="1">
      <c r="B143" s="983" t="s">
        <v>1295</v>
      </c>
      <c r="C143" s="984" t="s">
        <v>1294</v>
      </c>
      <c r="D143" s="990">
        <v>0</v>
      </c>
      <c r="E143" s="990">
        <v>555.73</v>
      </c>
      <c r="F143" s="990">
        <v>0</v>
      </c>
      <c r="G143" s="990">
        <v>185.25</v>
      </c>
      <c r="H143" s="990">
        <v>185.24</v>
      </c>
      <c r="I143" s="990">
        <v>185.24</v>
      </c>
      <c r="J143" s="990">
        <v>96.05</v>
      </c>
      <c r="K143" s="990">
        <v>96.06</v>
      </c>
      <c r="L143" s="990">
        <v>-260.70999999999998</v>
      </c>
      <c r="M143" s="990">
        <v>112.26</v>
      </c>
      <c r="N143" s="990">
        <v>79.84</v>
      </c>
      <c r="O143" s="990">
        <v>112.26</v>
      </c>
      <c r="P143" s="990">
        <v>112.27</v>
      </c>
      <c r="Q143" s="990">
        <v>112.27</v>
      </c>
      <c r="R143" s="990">
        <v>112.27</v>
      </c>
      <c r="S143" s="990">
        <v>112.27</v>
      </c>
      <c r="T143" s="990">
        <v>112.27</v>
      </c>
      <c r="U143" s="990">
        <v>112.27</v>
      </c>
      <c r="V143" s="990">
        <v>112.27</v>
      </c>
      <c r="W143" s="990">
        <v>112.27</v>
      </c>
      <c r="X143" s="990">
        <v>112.27</v>
      </c>
      <c r="Y143" s="990">
        <v>112.27</v>
      </c>
      <c r="Z143" s="990">
        <v>112.27</v>
      </c>
      <c r="AA143" s="990">
        <v>112.26</v>
      </c>
      <c r="AB143" s="990">
        <v>112.27</v>
      </c>
      <c r="AC143" s="990">
        <v>112.27</v>
      </c>
      <c r="AD143" s="990">
        <v>112.27</v>
      </c>
      <c r="AE143" s="990">
        <v>112.27</v>
      </c>
      <c r="AF143" s="990">
        <v>112.27</v>
      </c>
      <c r="AG143" s="990">
        <v>112.27</v>
      </c>
      <c r="AH143" s="990">
        <v>112.27</v>
      </c>
      <c r="AI143" s="990">
        <v>112.27</v>
      </c>
      <c r="AJ143" s="990">
        <v>112.27</v>
      </c>
      <c r="AK143" s="990">
        <v>114.51</v>
      </c>
      <c r="AL143" s="990">
        <v>172.75</v>
      </c>
      <c r="AM143" s="990">
        <v>143.63</v>
      </c>
      <c r="AN143" s="990">
        <v>143.63</v>
      </c>
      <c r="AO143" s="990">
        <v>143.63</v>
      </c>
      <c r="AP143" s="990">
        <v>143.63</v>
      </c>
      <c r="AQ143" s="990">
        <v>143.63</v>
      </c>
      <c r="AR143" s="990">
        <v>143.63</v>
      </c>
      <c r="AS143" s="990">
        <v>143.63</v>
      </c>
      <c r="AT143" s="990">
        <v>-3.67</v>
      </c>
      <c r="AU143" s="990">
        <v>128.9</v>
      </c>
      <c r="AV143" s="990">
        <v>129.1</v>
      </c>
      <c r="AW143" s="990">
        <v>128.9</v>
      </c>
      <c r="AX143" s="990">
        <v>128.9</v>
      </c>
      <c r="AY143" s="990">
        <v>128.9</v>
      </c>
      <c r="AZ143" s="990">
        <v>128.9</v>
      </c>
      <c r="BA143" s="990">
        <v>128.9</v>
      </c>
      <c r="BB143" s="990">
        <v>128.9</v>
      </c>
      <c r="BC143" s="990">
        <v>128.9</v>
      </c>
      <c r="BD143" s="990">
        <v>0</v>
      </c>
      <c r="BF143" s="978"/>
    </row>
    <row r="144" spans="1:58" ht="15" customHeight="1">
      <c r="B144" s="983" t="s">
        <v>1293</v>
      </c>
      <c r="C144" s="984" t="s">
        <v>1292</v>
      </c>
      <c r="D144" s="990">
        <v>1800</v>
      </c>
      <c r="E144" s="990">
        <v>1800.05</v>
      </c>
      <c r="F144" s="990">
        <v>1800.02</v>
      </c>
      <c r="G144" s="990">
        <v>1800.02</v>
      </c>
      <c r="H144" s="990">
        <v>1800.02</v>
      </c>
      <c r="I144" s="990">
        <v>1800.03</v>
      </c>
      <c r="J144" s="990">
        <v>1800.02</v>
      </c>
      <c r="K144" s="990">
        <v>1800.02</v>
      </c>
      <c r="L144" s="990">
        <v>1800.03</v>
      </c>
      <c r="M144" s="990">
        <v>1800.02</v>
      </c>
      <c r="N144" s="990">
        <v>1800.02</v>
      </c>
      <c r="O144" s="990">
        <v>1800.03</v>
      </c>
      <c r="P144" s="990">
        <v>2080.1</v>
      </c>
      <c r="Q144" s="990">
        <v>2080.11</v>
      </c>
      <c r="R144" s="990">
        <v>2080.1</v>
      </c>
      <c r="S144" s="990">
        <v>2080.11</v>
      </c>
      <c r="T144" s="990">
        <v>2080.1</v>
      </c>
      <c r="U144" s="990">
        <v>2080.11</v>
      </c>
      <c r="V144" s="990">
        <v>2080.1</v>
      </c>
      <c r="W144" s="990">
        <v>2080.12</v>
      </c>
      <c r="X144" s="990">
        <v>2080.1</v>
      </c>
      <c r="Y144" s="990">
        <v>2080.1</v>
      </c>
      <c r="Z144" s="990">
        <v>2080.11</v>
      </c>
      <c r="AA144" s="990">
        <v>2080.11</v>
      </c>
      <c r="AB144" s="990">
        <v>2255.1999999999998</v>
      </c>
      <c r="AC144" s="990">
        <v>2255.1999999999998</v>
      </c>
      <c r="AD144" s="990">
        <v>2255.1999999999998</v>
      </c>
      <c r="AE144" s="990">
        <v>2255.1999999999998</v>
      </c>
      <c r="AF144" s="990">
        <v>2255.1999999999998</v>
      </c>
      <c r="AG144" s="990">
        <v>2255.1999999999998</v>
      </c>
      <c r="AH144" s="990">
        <v>2255.1999999999998</v>
      </c>
      <c r="AI144" s="990">
        <v>2255.1999999999998</v>
      </c>
      <c r="AJ144" s="990">
        <v>2255.1999999999998</v>
      </c>
      <c r="AK144" s="990">
        <v>2255.1999999999998</v>
      </c>
      <c r="AL144" s="990">
        <v>2255.1999999999998</v>
      </c>
      <c r="AM144" s="990">
        <v>2255.1999999999998</v>
      </c>
      <c r="AN144" s="990">
        <v>2255.36</v>
      </c>
      <c r="AO144" s="990">
        <v>2255.36</v>
      </c>
      <c r="AP144" s="990">
        <v>2255.36</v>
      </c>
      <c r="AQ144" s="990">
        <v>2255.36</v>
      </c>
      <c r="AR144" s="990">
        <v>2255.36</v>
      </c>
      <c r="AS144" s="990">
        <v>2255.36</v>
      </c>
      <c r="AT144" s="990">
        <v>2255.36</v>
      </c>
      <c r="AU144" s="990">
        <v>2255.36</v>
      </c>
      <c r="AV144" s="990">
        <v>2255.36</v>
      </c>
      <c r="AW144" s="990">
        <v>2255.36</v>
      </c>
      <c r="AX144" s="990">
        <v>2255.36</v>
      </c>
      <c r="AY144" s="990">
        <v>2255.36</v>
      </c>
      <c r="AZ144" s="990">
        <v>287</v>
      </c>
      <c r="BA144" s="990">
        <v>4362.66</v>
      </c>
      <c r="BB144" s="990">
        <v>2324.83</v>
      </c>
      <c r="BC144" s="990">
        <v>2324.83</v>
      </c>
      <c r="BD144" s="990">
        <v>0</v>
      </c>
      <c r="BF144" s="978"/>
    </row>
    <row r="145" spans="1:58" ht="15" customHeight="1">
      <c r="B145" s="983" t="s">
        <v>1291</v>
      </c>
      <c r="C145" s="984" t="s">
        <v>1290</v>
      </c>
      <c r="D145" s="988">
        <v>4087</v>
      </c>
      <c r="E145" s="988">
        <v>4086.33</v>
      </c>
      <c r="F145" s="988">
        <v>4086.67</v>
      </c>
      <c r="G145" s="988">
        <v>4086.67</v>
      </c>
      <c r="H145" s="988">
        <v>4086.67</v>
      </c>
      <c r="I145" s="988">
        <v>4086.66</v>
      </c>
      <c r="J145" s="988">
        <v>4086.67</v>
      </c>
      <c r="K145" s="988">
        <v>4086.66</v>
      </c>
      <c r="L145" s="988">
        <v>4086.67</v>
      </c>
      <c r="M145" s="988">
        <v>4086.67</v>
      </c>
      <c r="N145" s="988">
        <v>4086.66</v>
      </c>
      <c r="O145" s="988">
        <v>4086.67</v>
      </c>
      <c r="P145" s="988">
        <v>3995</v>
      </c>
      <c r="Q145" s="988">
        <v>3995</v>
      </c>
      <c r="R145" s="988">
        <v>3995</v>
      </c>
      <c r="S145" s="988">
        <v>3995</v>
      </c>
      <c r="T145" s="988">
        <v>3995</v>
      </c>
      <c r="U145" s="988">
        <v>3995</v>
      </c>
      <c r="V145" s="988">
        <v>3995</v>
      </c>
      <c r="W145" s="988">
        <v>3995</v>
      </c>
      <c r="X145" s="988">
        <v>3995</v>
      </c>
      <c r="Y145" s="988">
        <v>3995</v>
      </c>
      <c r="Z145" s="988">
        <v>3995</v>
      </c>
      <c r="AA145" s="988">
        <v>3995</v>
      </c>
      <c r="AB145" s="988">
        <v>2651.25</v>
      </c>
      <c r="AC145" s="988">
        <v>2651.25</v>
      </c>
      <c r="AD145" s="988">
        <v>2651.25</v>
      </c>
      <c r="AE145" s="988">
        <v>2651.25</v>
      </c>
      <c r="AF145" s="988">
        <v>2651.25</v>
      </c>
      <c r="AG145" s="988">
        <v>2651.25</v>
      </c>
      <c r="AH145" s="988">
        <v>2651.25</v>
      </c>
      <c r="AI145" s="988">
        <v>2651.25</v>
      </c>
      <c r="AJ145" s="988">
        <v>2651.25</v>
      </c>
      <c r="AK145" s="988">
        <v>2651.25</v>
      </c>
      <c r="AL145" s="988">
        <v>2651.25</v>
      </c>
      <c r="AM145" s="988">
        <v>2651.23</v>
      </c>
      <c r="AN145" s="988">
        <v>3329.08</v>
      </c>
      <c r="AO145" s="988">
        <v>3329.08</v>
      </c>
      <c r="AP145" s="988">
        <v>3329.08</v>
      </c>
      <c r="AQ145" s="988">
        <v>3329.08</v>
      </c>
      <c r="AR145" s="988">
        <v>3329.08</v>
      </c>
      <c r="AS145" s="988">
        <v>3329.08</v>
      </c>
      <c r="AT145" s="988">
        <v>3329.08</v>
      </c>
      <c r="AU145" s="988">
        <v>3329.08</v>
      </c>
      <c r="AV145" s="988">
        <v>3329.08</v>
      </c>
      <c r="AW145" s="988">
        <v>3329.08</v>
      </c>
      <c r="AX145" s="988">
        <v>3329.08</v>
      </c>
      <c r="AY145" s="988">
        <v>3329.08</v>
      </c>
      <c r="AZ145" s="988">
        <v>0</v>
      </c>
      <c r="BA145" s="988">
        <v>0</v>
      </c>
      <c r="BB145" s="988">
        <v>0</v>
      </c>
      <c r="BC145" s="988">
        <v>0</v>
      </c>
      <c r="BD145" s="988">
        <v>0</v>
      </c>
      <c r="BF145" s="978"/>
    </row>
    <row r="146" spans="1:58" ht="15" customHeight="1">
      <c r="B146" s="983" t="s">
        <v>855</v>
      </c>
      <c r="C146" s="984" t="s">
        <v>854</v>
      </c>
      <c r="D146" s="987">
        <v>7568</v>
      </c>
      <c r="E146" s="987">
        <v>7994.61</v>
      </c>
      <c r="F146" s="987">
        <v>7438.86</v>
      </c>
      <c r="G146" s="987">
        <v>7624.1</v>
      </c>
      <c r="H146" s="987">
        <v>7624.1</v>
      </c>
      <c r="I146" s="987">
        <v>7624.1</v>
      </c>
      <c r="J146" s="987">
        <v>7534.91</v>
      </c>
      <c r="K146" s="987">
        <v>7534.9</v>
      </c>
      <c r="L146" s="987">
        <v>7178.15</v>
      </c>
      <c r="M146" s="987">
        <v>7551.13</v>
      </c>
      <c r="N146" s="987">
        <v>7518.68</v>
      </c>
      <c r="O146" s="987">
        <v>7421.96</v>
      </c>
      <c r="P146" s="987">
        <v>7601.04</v>
      </c>
      <c r="Q146" s="987">
        <v>7601.05</v>
      </c>
      <c r="R146" s="987">
        <v>7601.03</v>
      </c>
      <c r="S146" s="987">
        <v>7601.05</v>
      </c>
      <c r="T146" s="987">
        <v>7601.04</v>
      </c>
      <c r="U146" s="987">
        <v>7601.04</v>
      </c>
      <c r="V146" s="987">
        <v>7601.04</v>
      </c>
      <c r="W146" s="987">
        <v>7601.05</v>
      </c>
      <c r="X146" s="987">
        <v>7601.04</v>
      </c>
      <c r="Y146" s="987">
        <v>7601.04</v>
      </c>
      <c r="Z146" s="987">
        <v>7601.04</v>
      </c>
      <c r="AA146" s="987">
        <v>10254.040000000001</v>
      </c>
      <c r="AB146" s="987">
        <v>5566.05</v>
      </c>
      <c r="AC146" s="987">
        <v>8859.39</v>
      </c>
      <c r="AD146" s="987">
        <v>6813.89</v>
      </c>
      <c r="AE146" s="987">
        <v>6813.88</v>
      </c>
      <c r="AF146" s="987">
        <v>6813.89</v>
      </c>
      <c r="AG146" s="987">
        <v>6813.89</v>
      </c>
      <c r="AH146" s="987">
        <v>6813.89</v>
      </c>
      <c r="AI146" s="987">
        <v>6813.89</v>
      </c>
      <c r="AJ146" s="987">
        <v>6813.89</v>
      </c>
      <c r="AK146" s="987">
        <v>6816.13</v>
      </c>
      <c r="AL146" s="987">
        <v>6874.37</v>
      </c>
      <c r="AM146" s="987">
        <v>6845.23</v>
      </c>
      <c r="AN146" s="987">
        <v>7523.24</v>
      </c>
      <c r="AO146" s="987">
        <v>7715.21</v>
      </c>
      <c r="AP146" s="987">
        <v>7951.82</v>
      </c>
      <c r="AQ146" s="987">
        <v>7951.82</v>
      </c>
      <c r="AR146" s="987">
        <v>7951.82</v>
      </c>
      <c r="AS146" s="987">
        <v>7951.82</v>
      </c>
      <c r="AT146" s="987">
        <v>7804.52</v>
      </c>
      <c r="AU146" s="987">
        <v>7937.1</v>
      </c>
      <c r="AV146" s="987">
        <v>7937.29</v>
      </c>
      <c r="AW146" s="987">
        <v>7937.09</v>
      </c>
      <c r="AX146" s="987">
        <v>7937.1</v>
      </c>
      <c r="AY146" s="987">
        <v>7937.09</v>
      </c>
      <c r="AZ146" s="987">
        <v>2639.65</v>
      </c>
      <c r="BA146" s="987">
        <v>16265.32</v>
      </c>
      <c r="BB146" s="987">
        <v>7228.73</v>
      </c>
      <c r="BC146" s="987">
        <v>13541.73</v>
      </c>
      <c r="BD146" s="987">
        <v>0</v>
      </c>
      <c r="BF146" s="978"/>
    </row>
    <row r="147" spans="1:58" ht="15" customHeight="1">
      <c r="A147" s="977" t="s">
        <v>1289</v>
      </c>
      <c r="B147" s="983" t="s">
        <v>853</v>
      </c>
      <c r="C147" s="984" t="s">
        <v>852</v>
      </c>
      <c r="D147" s="986">
        <v>7568</v>
      </c>
      <c r="E147" s="986">
        <v>7994.61</v>
      </c>
      <c r="F147" s="986">
        <v>7438.86</v>
      </c>
      <c r="G147" s="986">
        <v>7624.1</v>
      </c>
      <c r="H147" s="986">
        <v>7624.1</v>
      </c>
      <c r="I147" s="986">
        <v>7624.1</v>
      </c>
      <c r="J147" s="986">
        <v>7534.91</v>
      </c>
      <c r="K147" s="986">
        <v>7534.9</v>
      </c>
      <c r="L147" s="986">
        <v>7178.15</v>
      </c>
      <c r="M147" s="986">
        <v>7551.13</v>
      </c>
      <c r="N147" s="986">
        <v>7518.68</v>
      </c>
      <c r="O147" s="986">
        <v>7421.96</v>
      </c>
      <c r="P147" s="986">
        <v>7601.04</v>
      </c>
      <c r="Q147" s="986">
        <v>7601.05</v>
      </c>
      <c r="R147" s="986">
        <v>7601.03</v>
      </c>
      <c r="S147" s="986">
        <v>7601.05</v>
      </c>
      <c r="T147" s="986">
        <v>7601.04</v>
      </c>
      <c r="U147" s="986">
        <v>7601.04</v>
      </c>
      <c r="V147" s="986">
        <v>7601.04</v>
      </c>
      <c r="W147" s="986">
        <v>7601.05</v>
      </c>
      <c r="X147" s="986">
        <v>7601.04</v>
      </c>
      <c r="Y147" s="986">
        <v>7601.04</v>
      </c>
      <c r="Z147" s="986">
        <v>7601.04</v>
      </c>
      <c r="AA147" s="986">
        <v>10254.040000000001</v>
      </c>
      <c r="AB147" s="986">
        <v>5566.05</v>
      </c>
      <c r="AC147" s="986">
        <v>8859.39</v>
      </c>
      <c r="AD147" s="986">
        <v>6813.89</v>
      </c>
      <c r="AE147" s="986">
        <v>6813.88</v>
      </c>
      <c r="AF147" s="986">
        <v>6813.89</v>
      </c>
      <c r="AG147" s="986">
        <v>6813.89</v>
      </c>
      <c r="AH147" s="986">
        <v>6813.89</v>
      </c>
      <c r="AI147" s="986">
        <v>6813.89</v>
      </c>
      <c r="AJ147" s="986">
        <v>6813.89</v>
      </c>
      <c r="AK147" s="986">
        <v>6816.13</v>
      </c>
      <c r="AL147" s="986">
        <v>6874.37</v>
      </c>
      <c r="AM147" s="986">
        <v>6845.23</v>
      </c>
      <c r="AN147" s="986">
        <v>7523.24</v>
      </c>
      <c r="AO147" s="986">
        <v>7715.21</v>
      </c>
      <c r="AP147" s="986">
        <v>7951.82</v>
      </c>
      <c r="AQ147" s="986">
        <v>7951.82</v>
      </c>
      <c r="AR147" s="986">
        <v>7951.82</v>
      </c>
      <c r="AS147" s="986">
        <v>7951.82</v>
      </c>
      <c r="AT147" s="986">
        <v>7804.52</v>
      </c>
      <c r="AU147" s="986">
        <v>7937.1</v>
      </c>
      <c r="AV147" s="986">
        <v>7937.29</v>
      </c>
      <c r="AW147" s="986">
        <v>7937.09</v>
      </c>
      <c r="AX147" s="986">
        <v>7937.1</v>
      </c>
      <c r="AY147" s="986">
        <v>7937.09</v>
      </c>
      <c r="AZ147" s="986">
        <v>2639.65</v>
      </c>
      <c r="BA147" s="986">
        <v>16265.32</v>
      </c>
      <c r="BB147" s="986">
        <v>7228.73</v>
      </c>
      <c r="BC147" s="986">
        <v>13541.73</v>
      </c>
      <c r="BD147" s="986">
        <v>0</v>
      </c>
      <c r="BF147" s="978"/>
    </row>
    <row r="148" spans="1:58" ht="15" customHeight="1">
      <c r="B148" s="983" t="s">
        <v>851</v>
      </c>
      <c r="C148" s="984" t="s">
        <v>850</v>
      </c>
      <c r="D148" s="989"/>
      <c r="E148" s="989"/>
      <c r="F148" s="989"/>
      <c r="G148" s="989"/>
      <c r="H148" s="989"/>
      <c r="I148" s="989"/>
      <c r="J148" s="989"/>
      <c r="K148" s="989"/>
      <c r="L148" s="989"/>
      <c r="M148" s="989"/>
      <c r="N148" s="989"/>
      <c r="O148" s="989"/>
      <c r="P148" s="989"/>
      <c r="Q148" s="989"/>
      <c r="R148" s="989"/>
      <c r="S148" s="989"/>
      <c r="T148" s="989"/>
      <c r="U148" s="989"/>
      <c r="V148" s="989"/>
      <c r="W148" s="989"/>
      <c r="X148" s="989"/>
      <c r="Y148" s="989"/>
      <c r="Z148" s="989"/>
      <c r="AA148" s="989"/>
      <c r="AB148" s="989"/>
      <c r="AC148" s="989"/>
      <c r="AD148" s="989"/>
      <c r="AE148" s="989"/>
      <c r="AF148" s="989"/>
      <c r="AG148" s="989"/>
      <c r="AH148" s="989"/>
      <c r="AI148" s="989"/>
      <c r="AJ148" s="989"/>
      <c r="AK148" s="989"/>
      <c r="AL148" s="989"/>
      <c r="AM148" s="989"/>
      <c r="AN148" s="989"/>
      <c r="AO148" s="989"/>
      <c r="AP148" s="989"/>
      <c r="AQ148" s="989"/>
      <c r="AR148" s="989"/>
      <c r="AS148" s="989"/>
      <c r="AT148" s="989"/>
      <c r="AU148" s="989"/>
      <c r="AV148" s="989"/>
      <c r="AW148" s="989"/>
      <c r="AX148" s="989"/>
      <c r="AY148" s="989"/>
      <c r="AZ148" s="989"/>
      <c r="BA148" s="989"/>
      <c r="BB148" s="989"/>
      <c r="BC148" s="989"/>
      <c r="BD148" s="989"/>
      <c r="BF148" s="978"/>
    </row>
    <row r="149" spans="1:58" ht="15" customHeight="1">
      <c r="B149" s="983" t="s">
        <v>849</v>
      </c>
      <c r="C149" s="984" t="s">
        <v>848</v>
      </c>
      <c r="D149" s="989"/>
      <c r="E149" s="989"/>
      <c r="F149" s="989"/>
      <c r="G149" s="989"/>
      <c r="H149" s="989"/>
      <c r="I149" s="989"/>
      <c r="J149" s="989"/>
      <c r="K149" s="989"/>
      <c r="L149" s="989"/>
      <c r="M149" s="989"/>
      <c r="N149" s="989"/>
      <c r="O149" s="989"/>
      <c r="P149" s="989"/>
      <c r="Q149" s="989"/>
      <c r="R149" s="989"/>
      <c r="S149" s="989"/>
      <c r="T149" s="989"/>
      <c r="U149" s="989"/>
      <c r="V149" s="989"/>
      <c r="W149" s="989"/>
      <c r="X149" s="989"/>
      <c r="Y149" s="989"/>
      <c r="Z149" s="989"/>
      <c r="AA149" s="989"/>
      <c r="AB149" s="989"/>
      <c r="AC149" s="989"/>
      <c r="AD149" s="989"/>
      <c r="AE149" s="989"/>
      <c r="AF149" s="989"/>
      <c r="AG149" s="989"/>
      <c r="AH149" s="989"/>
      <c r="AI149" s="989"/>
      <c r="AJ149" s="989"/>
      <c r="AK149" s="989"/>
      <c r="AL149" s="989"/>
      <c r="AM149" s="989"/>
      <c r="AN149" s="989"/>
      <c r="AO149" s="989"/>
      <c r="AP149" s="989"/>
      <c r="AQ149" s="989"/>
      <c r="AR149" s="989"/>
      <c r="AS149" s="989"/>
      <c r="AT149" s="989"/>
      <c r="AU149" s="989"/>
      <c r="AV149" s="989"/>
      <c r="AW149" s="989"/>
      <c r="AX149" s="989"/>
      <c r="AY149" s="989"/>
      <c r="AZ149" s="989"/>
      <c r="BA149" s="989"/>
      <c r="BB149" s="989"/>
      <c r="BC149" s="989"/>
      <c r="BD149" s="989"/>
      <c r="BF149" s="978"/>
    </row>
    <row r="150" spans="1:58" ht="15" customHeight="1">
      <c r="B150" s="983" t="s">
        <v>847</v>
      </c>
      <c r="C150" s="984" t="s">
        <v>846</v>
      </c>
      <c r="D150" s="990">
        <v>0</v>
      </c>
      <c r="E150" s="990">
        <v>0</v>
      </c>
      <c r="F150" s="990">
        <v>0</v>
      </c>
      <c r="G150" s="990">
        <v>0</v>
      </c>
      <c r="H150" s="990">
        <v>0</v>
      </c>
      <c r="I150" s="990">
        <v>0</v>
      </c>
      <c r="J150" s="990">
        <v>0</v>
      </c>
      <c r="K150" s="990">
        <v>0</v>
      </c>
      <c r="L150" s="990">
        <v>0</v>
      </c>
      <c r="M150" s="990">
        <v>0</v>
      </c>
      <c r="N150" s="990">
        <v>0</v>
      </c>
      <c r="O150" s="990">
        <v>0</v>
      </c>
      <c r="P150" s="990">
        <v>0</v>
      </c>
      <c r="Q150" s="990">
        <v>0</v>
      </c>
      <c r="R150" s="990">
        <v>0</v>
      </c>
      <c r="S150" s="990">
        <v>0</v>
      </c>
      <c r="T150" s="990">
        <v>0</v>
      </c>
      <c r="U150" s="990">
        <v>0</v>
      </c>
      <c r="V150" s="990">
        <v>0</v>
      </c>
      <c r="W150" s="990">
        <v>0</v>
      </c>
      <c r="X150" s="990">
        <v>0</v>
      </c>
      <c r="Y150" s="990">
        <v>0</v>
      </c>
      <c r="Z150" s="990">
        <v>0</v>
      </c>
      <c r="AA150" s="990">
        <v>0</v>
      </c>
      <c r="AB150" s="990">
        <v>0</v>
      </c>
      <c r="AC150" s="990">
        <v>0</v>
      </c>
      <c r="AD150" s="990">
        <v>0</v>
      </c>
      <c r="AE150" s="990">
        <v>0</v>
      </c>
      <c r="AF150" s="990">
        <v>0</v>
      </c>
      <c r="AG150" s="990">
        <v>0</v>
      </c>
      <c r="AH150" s="990">
        <v>0</v>
      </c>
      <c r="AI150" s="990">
        <v>0</v>
      </c>
      <c r="AJ150" s="990">
        <v>0</v>
      </c>
      <c r="AK150" s="990">
        <v>0</v>
      </c>
      <c r="AL150" s="990">
        <v>0</v>
      </c>
      <c r="AM150" s="990">
        <v>0</v>
      </c>
      <c r="AN150" s="990">
        <v>0</v>
      </c>
      <c r="AO150" s="990">
        <v>0</v>
      </c>
      <c r="AP150" s="990">
        <v>0</v>
      </c>
      <c r="AQ150" s="990">
        <v>0</v>
      </c>
      <c r="AR150" s="990">
        <v>0</v>
      </c>
      <c r="AS150" s="990">
        <v>0</v>
      </c>
      <c r="AT150" s="990">
        <v>0</v>
      </c>
      <c r="AU150" s="990">
        <v>0</v>
      </c>
      <c r="AV150" s="990">
        <v>0</v>
      </c>
      <c r="AW150" s="990">
        <v>0</v>
      </c>
      <c r="AX150" s="990">
        <v>0</v>
      </c>
      <c r="AY150" s="990">
        <v>0</v>
      </c>
      <c r="AZ150" s="990">
        <v>0</v>
      </c>
      <c r="BA150" s="990">
        <v>0</v>
      </c>
      <c r="BB150" s="990">
        <v>0</v>
      </c>
      <c r="BC150" s="990">
        <v>0</v>
      </c>
      <c r="BD150" s="990">
        <v>0</v>
      </c>
      <c r="BF150" s="978"/>
    </row>
    <row r="151" spans="1:58" ht="15" customHeight="1">
      <c r="B151" s="983" t="s">
        <v>845</v>
      </c>
      <c r="C151" s="984" t="s">
        <v>844</v>
      </c>
      <c r="D151" s="988">
        <v>36.049999999999997</v>
      </c>
      <c r="E151" s="988">
        <v>198.85</v>
      </c>
      <c r="F151" s="988">
        <v>328.47</v>
      </c>
      <c r="G151" s="988">
        <v>25781.93</v>
      </c>
      <c r="H151" s="988">
        <v>685.57</v>
      </c>
      <c r="I151" s="988">
        <v>-25781.93</v>
      </c>
      <c r="J151" s="988">
        <v>262.20999999999998</v>
      </c>
      <c r="K151" s="988">
        <v>355.88</v>
      </c>
      <c r="L151" s="988">
        <v>348.84</v>
      </c>
      <c r="M151" s="988">
        <v>204.24</v>
      </c>
      <c r="N151" s="988">
        <v>350.37</v>
      </c>
      <c r="O151" s="988">
        <v>313.44</v>
      </c>
      <c r="P151" s="988">
        <v>405.8</v>
      </c>
      <c r="Q151" s="988">
        <v>335.47</v>
      </c>
      <c r="R151" s="988">
        <v>201.29</v>
      </c>
      <c r="S151" s="988">
        <v>261.95999999999998</v>
      </c>
      <c r="T151" s="988">
        <v>232.93</v>
      </c>
      <c r="U151" s="988">
        <v>217.38</v>
      </c>
      <c r="V151" s="988">
        <v>261.8</v>
      </c>
      <c r="W151" s="988">
        <v>263.45999999999998</v>
      </c>
      <c r="X151" s="988">
        <v>299.98</v>
      </c>
      <c r="Y151" s="988">
        <v>271.31</v>
      </c>
      <c r="Z151" s="988">
        <v>297.91000000000003</v>
      </c>
      <c r="AA151" s="988">
        <v>286.49</v>
      </c>
      <c r="AB151" s="988">
        <v>0</v>
      </c>
      <c r="AC151" s="988">
        <v>485.43</v>
      </c>
      <c r="AD151" s="988">
        <v>253.96</v>
      </c>
      <c r="AE151" s="988">
        <v>231.52</v>
      </c>
      <c r="AF151" s="988">
        <v>151.32</v>
      </c>
      <c r="AG151" s="988">
        <v>125.48</v>
      </c>
      <c r="AH151" s="988">
        <v>117.95</v>
      </c>
      <c r="AI151" s="988">
        <v>-117.95</v>
      </c>
      <c r="AJ151" s="988">
        <v>0</v>
      </c>
      <c r="AK151" s="988">
        <v>0</v>
      </c>
      <c r="AL151" s="988">
        <v>0</v>
      </c>
      <c r="AM151" s="988">
        <v>0</v>
      </c>
      <c r="AN151" s="988">
        <v>0</v>
      </c>
      <c r="AO151" s="988">
        <v>0</v>
      </c>
      <c r="AP151" s="988">
        <v>0</v>
      </c>
      <c r="AQ151" s="988">
        <v>0</v>
      </c>
      <c r="AR151" s="988">
        <v>0</v>
      </c>
      <c r="AS151" s="988">
        <v>0</v>
      </c>
      <c r="AT151" s="988">
        <v>0</v>
      </c>
      <c r="AU151" s="988">
        <v>0</v>
      </c>
      <c r="AV151" s="988">
        <v>0</v>
      </c>
      <c r="AW151" s="988">
        <v>0</v>
      </c>
      <c r="AX151" s="988">
        <v>0</v>
      </c>
      <c r="AY151" s="988">
        <v>0</v>
      </c>
      <c r="AZ151" s="988">
        <v>0</v>
      </c>
      <c r="BA151" s="988">
        <v>0</v>
      </c>
      <c r="BB151" s="988">
        <v>0</v>
      </c>
      <c r="BC151" s="988">
        <v>0</v>
      </c>
      <c r="BD151" s="988">
        <v>0</v>
      </c>
      <c r="BF151" s="978"/>
    </row>
    <row r="152" spans="1:58" ht="15" customHeight="1">
      <c r="B152" s="983" t="s">
        <v>843</v>
      </c>
      <c r="C152" s="984" t="s">
        <v>842</v>
      </c>
      <c r="D152" s="986">
        <v>36.049999999999997</v>
      </c>
      <c r="E152" s="986">
        <v>198.85</v>
      </c>
      <c r="F152" s="986">
        <v>328.47</v>
      </c>
      <c r="G152" s="986">
        <v>25781.93</v>
      </c>
      <c r="H152" s="986">
        <v>685.57</v>
      </c>
      <c r="I152" s="986">
        <v>-25781.93</v>
      </c>
      <c r="J152" s="986">
        <v>262.20999999999998</v>
      </c>
      <c r="K152" s="986">
        <v>355.88</v>
      </c>
      <c r="L152" s="986">
        <v>348.84</v>
      </c>
      <c r="M152" s="986">
        <v>204.24</v>
      </c>
      <c r="N152" s="986">
        <v>350.37</v>
      </c>
      <c r="O152" s="986">
        <v>313.44</v>
      </c>
      <c r="P152" s="986">
        <v>405.8</v>
      </c>
      <c r="Q152" s="986">
        <v>335.47</v>
      </c>
      <c r="R152" s="986">
        <v>201.29</v>
      </c>
      <c r="S152" s="986">
        <v>261.95999999999998</v>
      </c>
      <c r="T152" s="986">
        <v>232.93</v>
      </c>
      <c r="U152" s="986">
        <v>217.38</v>
      </c>
      <c r="V152" s="986">
        <v>261.8</v>
      </c>
      <c r="W152" s="986">
        <v>263.45999999999998</v>
      </c>
      <c r="X152" s="986">
        <v>299.98</v>
      </c>
      <c r="Y152" s="986">
        <v>271.31</v>
      </c>
      <c r="Z152" s="986">
        <v>297.91000000000003</v>
      </c>
      <c r="AA152" s="986">
        <v>286.49</v>
      </c>
      <c r="AB152" s="986">
        <v>0</v>
      </c>
      <c r="AC152" s="986">
        <v>485.43</v>
      </c>
      <c r="AD152" s="986">
        <v>253.96</v>
      </c>
      <c r="AE152" s="986">
        <v>231.52</v>
      </c>
      <c r="AF152" s="986">
        <v>151.32</v>
      </c>
      <c r="AG152" s="986">
        <v>125.48</v>
      </c>
      <c r="AH152" s="986">
        <v>117.95</v>
      </c>
      <c r="AI152" s="986">
        <v>-117.95</v>
      </c>
      <c r="AJ152" s="986">
        <v>0</v>
      </c>
      <c r="AK152" s="986">
        <v>0</v>
      </c>
      <c r="AL152" s="986">
        <v>0</v>
      </c>
      <c r="AM152" s="986">
        <v>0</v>
      </c>
      <c r="AN152" s="986">
        <v>0</v>
      </c>
      <c r="AO152" s="986">
        <v>0</v>
      </c>
      <c r="AP152" s="986">
        <v>0</v>
      </c>
      <c r="AQ152" s="986">
        <v>0</v>
      </c>
      <c r="AR152" s="986">
        <v>0</v>
      </c>
      <c r="AS152" s="986">
        <v>0</v>
      </c>
      <c r="AT152" s="986">
        <v>0</v>
      </c>
      <c r="AU152" s="986">
        <v>0</v>
      </c>
      <c r="AV152" s="986">
        <v>0</v>
      </c>
      <c r="AW152" s="986">
        <v>0</v>
      </c>
      <c r="AX152" s="986">
        <v>0</v>
      </c>
      <c r="AY152" s="986">
        <v>0</v>
      </c>
      <c r="AZ152" s="986">
        <v>0</v>
      </c>
      <c r="BA152" s="986">
        <v>0</v>
      </c>
      <c r="BB152" s="986">
        <v>0</v>
      </c>
      <c r="BC152" s="986">
        <v>0</v>
      </c>
      <c r="BD152" s="986">
        <v>0</v>
      </c>
      <c r="BF152" s="978"/>
    </row>
    <row r="153" spans="1:58" ht="15" customHeight="1">
      <c r="B153" s="983" t="s">
        <v>841</v>
      </c>
      <c r="C153" s="984" t="s">
        <v>840</v>
      </c>
      <c r="D153" s="989"/>
      <c r="E153" s="989"/>
      <c r="F153" s="989"/>
      <c r="G153" s="989"/>
      <c r="H153" s="989"/>
      <c r="I153" s="989"/>
      <c r="J153" s="989"/>
      <c r="K153" s="989"/>
      <c r="L153" s="989"/>
      <c r="M153" s="989"/>
      <c r="N153" s="989"/>
      <c r="O153" s="989"/>
      <c r="P153" s="989"/>
      <c r="Q153" s="989"/>
      <c r="R153" s="989"/>
      <c r="S153" s="989"/>
      <c r="T153" s="989"/>
      <c r="U153" s="989"/>
      <c r="V153" s="989"/>
      <c r="W153" s="989"/>
      <c r="X153" s="989"/>
      <c r="Y153" s="989"/>
      <c r="Z153" s="989"/>
      <c r="AA153" s="989"/>
      <c r="AB153" s="989"/>
      <c r="AC153" s="989"/>
      <c r="AD153" s="989"/>
      <c r="AE153" s="989"/>
      <c r="AF153" s="989"/>
      <c r="AG153" s="989"/>
      <c r="AH153" s="989"/>
      <c r="AI153" s="989"/>
      <c r="AJ153" s="989"/>
      <c r="AK153" s="989"/>
      <c r="AL153" s="989"/>
      <c r="AM153" s="989"/>
      <c r="AN153" s="989"/>
      <c r="AO153" s="989"/>
      <c r="AP153" s="989"/>
      <c r="AQ153" s="989"/>
      <c r="AR153" s="989"/>
      <c r="AS153" s="989"/>
      <c r="AT153" s="989"/>
      <c r="AU153" s="989"/>
      <c r="AV153" s="989"/>
      <c r="AW153" s="989"/>
      <c r="AX153" s="989"/>
      <c r="AY153" s="989"/>
      <c r="AZ153" s="989"/>
      <c r="BA153" s="989"/>
      <c r="BB153" s="989"/>
      <c r="BC153" s="989"/>
      <c r="BD153" s="989"/>
      <c r="BF153" s="978"/>
    </row>
    <row r="154" spans="1:58" ht="15" customHeight="1">
      <c r="B154" s="983" t="s">
        <v>839</v>
      </c>
      <c r="C154" s="984" t="s">
        <v>838</v>
      </c>
      <c r="D154" s="988">
        <v>8742.5300000000007</v>
      </c>
      <c r="E154" s="988">
        <v>5000</v>
      </c>
      <c r="F154" s="988">
        <v>6180.72</v>
      </c>
      <c r="G154" s="988">
        <v>5000</v>
      </c>
      <c r="H154" s="988">
        <v>6030.78</v>
      </c>
      <c r="I154" s="988">
        <v>5000</v>
      </c>
      <c r="J154" s="988">
        <v>6146.11</v>
      </c>
      <c r="K154" s="988">
        <v>5000</v>
      </c>
      <c r="L154" s="988">
        <v>7817.73</v>
      </c>
      <c r="M154" s="988">
        <v>5000</v>
      </c>
      <c r="N154" s="988">
        <v>7330.8</v>
      </c>
      <c r="O154" s="988">
        <v>6803.76</v>
      </c>
      <c r="P154" s="988">
        <v>7724.54</v>
      </c>
      <c r="Q154" s="988">
        <v>5000</v>
      </c>
      <c r="R154" s="988">
        <v>6066.17</v>
      </c>
      <c r="S154" s="988">
        <v>6628.74</v>
      </c>
      <c r="T154" s="988">
        <v>6979.09</v>
      </c>
      <c r="U154" s="988">
        <v>5611.16</v>
      </c>
      <c r="V154" s="988">
        <v>7374.92</v>
      </c>
      <c r="W154" s="988">
        <v>6090.09</v>
      </c>
      <c r="X154" s="988">
        <v>6145.14</v>
      </c>
      <c r="Y154" s="988">
        <v>8465.17</v>
      </c>
      <c r="Z154" s="988">
        <v>7074.95</v>
      </c>
      <c r="AA154" s="988">
        <v>6266.54</v>
      </c>
      <c r="AB154" s="988">
        <v>8595.23</v>
      </c>
      <c r="AC154" s="988">
        <v>7626.11</v>
      </c>
      <c r="AD154" s="988">
        <v>5304.5</v>
      </c>
      <c r="AE154" s="988">
        <v>7159.6</v>
      </c>
      <c r="AF154" s="988">
        <v>6564.41</v>
      </c>
      <c r="AG154" s="988">
        <v>7264.25</v>
      </c>
      <c r="AH154" s="988">
        <v>7327.63</v>
      </c>
      <c r="AI154" s="988">
        <v>5304.5</v>
      </c>
      <c r="AJ154" s="988">
        <v>6494.93</v>
      </c>
      <c r="AK154" s="988">
        <v>7105.68</v>
      </c>
      <c r="AL154" s="988">
        <v>8473.0499999999993</v>
      </c>
      <c r="AM154" s="988">
        <v>6487.98</v>
      </c>
      <c r="AN154" s="988">
        <v>7350.83</v>
      </c>
      <c r="AO154" s="988">
        <v>7912.45</v>
      </c>
      <c r="AP154" s="988">
        <v>6040.19</v>
      </c>
      <c r="AQ154" s="988">
        <v>6331.83</v>
      </c>
      <c r="AR154" s="988">
        <v>7933.91</v>
      </c>
      <c r="AS154" s="988">
        <v>7105.12</v>
      </c>
      <c r="AT154" s="988">
        <v>7250.34</v>
      </c>
      <c r="AU154" s="988">
        <v>14418.63</v>
      </c>
      <c r="AV154" s="988">
        <v>6786.7</v>
      </c>
      <c r="AW154" s="988">
        <v>5000</v>
      </c>
      <c r="AX154" s="988">
        <v>6344.2</v>
      </c>
      <c r="AY154" s="988">
        <v>5000</v>
      </c>
      <c r="AZ154" s="988">
        <v>5000</v>
      </c>
      <c r="BA154" s="988">
        <v>5000</v>
      </c>
      <c r="BB154" s="988">
        <v>6879.1</v>
      </c>
      <c r="BC154" s="988">
        <v>5920.12</v>
      </c>
      <c r="BD154" s="988">
        <v>-5920.12</v>
      </c>
      <c r="BF154" s="978"/>
    </row>
    <row r="155" spans="1:58" ht="15" customHeight="1">
      <c r="B155" s="983" t="s">
        <v>837</v>
      </c>
      <c r="C155" s="984" t="s">
        <v>836</v>
      </c>
      <c r="D155" s="987">
        <v>8742.5300000000007</v>
      </c>
      <c r="E155" s="987">
        <v>5000</v>
      </c>
      <c r="F155" s="987">
        <v>6180.72</v>
      </c>
      <c r="G155" s="987">
        <v>5000</v>
      </c>
      <c r="H155" s="987">
        <v>6030.78</v>
      </c>
      <c r="I155" s="987">
        <v>5000</v>
      </c>
      <c r="J155" s="987">
        <v>6146.11</v>
      </c>
      <c r="K155" s="987">
        <v>5000</v>
      </c>
      <c r="L155" s="987">
        <v>7817.73</v>
      </c>
      <c r="M155" s="987">
        <v>5000</v>
      </c>
      <c r="N155" s="987">
        <v>7330.8</v>
      </c>
      <c r="O155" s="987">
        <v>6803.76</v>
      </c>
      <c r="P155" s="987">
        <v>7724.54</v>
      </c>
      <c r="Q155" s="987">
        <v>5000</v>
      </c>
      <c r="R155" s="987">
        <v>6066.17</v>
      </c>
      <c r="S155" s="987">
        <v>6628.74</v>
      </c>
      <c r="T155" s="987">
        <v>6979.09</v>
      </c>
      <c r="U155" s="987">
        <v>5611.16</v>
      </c>
      <c r="V155" s="987">
        <v>7374.92</v>
      </c>
      <c r="W155" s="987">
        <v>6090.09</v>
      </c>
      <c r="X155" s="987">
        <v>6145.14</v>
      </c>
      <c r="Y155" s="987">
        <v>8465.17</v>
      </c>
      <c r="Z155" s="987">
        <v>7074.95</v>
      </c>
      <c r="AA155" s="987">
        <v>6266.54</v>
      </c>
      <c r="AB155" s="987">
        <v>8595.23</v>
      </c>
      <c r="AC155" s="987">
        <v>7626.11</v>
      </c>
      <c r="AD155" s="987">
        <v>5304.5</v>
      </c>
      <c r="AE155" s="987">
        <v>7159.6</v>
      </c>
      <c r="AF155" s="987">
        <v>6564.41</v>
      </c>
      <c r="AG155" s="987">
        <v>7264.25</v>
      </c>
      <c r="AH155" s="987">
        <v>7327.63</v>
      </c>
      <c r="AI155" s="987">
        <v>5304.5</v>
      </c>
      <c r="AJ155" s="987">
        <v>6494.93</v>
      </c>
      <c r="AK155" s="987">
        <v>7105.68</v>
      </c>
      <c r="AL155" s="987">
        <v>8473.0499999999993</v>
      </c>
      <c r="AM155" s="987">
        <v>6487.98</v>
      </c>
      <c r="AN155" s="987">
        <v>7350.83</v>
      </c>
      <c r="AO155" s="987">
        <v>7912.45</v>
      </c>
      <c r="AP155" s="987">
        <v>6040.19</v>
      </c>
      <c r="AQ155" s="987">
        <v>6331.83</v>
      </c>
      <c r="AR155" s="987">
        <v>7933.91</v>
      </c>
      <c r="AS155" s="987">
        <v>7105.12</v>
      </c>
      <c r="AT155" s="987">
        <v>7250.34</v>
      </c>
      <c r="AU155" s="987">
        <v>14418.63</v>
      </c>
      <c r="AV155" s="987">
        <v>6786.7</v>
      </c>
      <c r="AW155" s="987">
        <v>5000</v>
      </c>
      <c r="AX155" s="987">
        <v>6344.2</v>
      </c>
      <c r="AY155" s="987">
        <v>5000</v>
      </c>
      <c r="AZ155" s="987">
        <v>5000</v>
      </c>
      <c r="BA155" s="987">
        <v>5000</v>
      </c>
      <c r="BB155" s="987">
        <v>6879.1</v>
      </c>
      <c r="BC155" s="987">
        <v>5920.12</v>
      </c>
      <c r="BD155" s="987">
        <v>-5920.12</v>
      </c>
      <c r="BF155" s="978"/>
    </row>
    <row r="156" spans="1:58" ht="15" customHeight="1">
      <c r="A156" s="977" t="s">
        <v>1288</v>
      </c>
      <c r="B156" s="983" t="s">
        <v>835</v>
      </c>
      <c r="C156" s="984" t="s">
        <v>834</v>
      </c>
      <c r="D156" s="986">
        <v>8778.58</v>
      </c>
      <c r="E156" s="986">
        <v>5198.8500000000004</v>
      </c>
      <c r="F156" s="986">
        <v>6509.19</v>
      </c>
      <c r="G156" s="986">
        <v>30781.93</v>
      </c>
      <c r="H156" s="986">
        <v>6716.35</v>
      </c>
      <c r="I156" s="986">
        <v>-20781.93</v>
      </c>
      <c r="J156" s="986">
        <v>6408.32</v>
      </c>
      <c r="K156" s="986">
        <v>5355.88</v>
      </c>
      <c r="L156" s="986">
        <v>8166.57</v>
      </c>
      <c r="M156" s="986">
        <v>5204.24</v>
      </c>
      <c r="N156" s="986">
        <v>7681.17</v>
      </c>
      <c r="O156" s="986">
        <v>7117.2</v>
      </c>
      <c r="P156" s="986">
        <v>8130.34</v>
      </c>
      <c r="Q156" s="986">
        <v>5335.47</v>
      </c>
      <c r="R156" s="986">
        <v>6267.46</v>
      </c>
      <c r="S156" s="986">
        <v>6890.7</v>
      </c>
      <c r="T156" s="986">
        <v>7212.02</v>
      </c>
      <c r="U156" s="986">
        <v>5828.54</v>
      </c>
      <c r="V156" s="986">
        <v>7636.72</v>
      </c>
      <c r="W156" s="986">
        <v>6353.55</v>
      </c>
      <c r="X156" s="986">
        <v>6445.12</v>
      </c>
      <c r="Y156" s="986">
        <v>8736.48</v>
      </c>
      <c r="Z156" s="986">
        <v>7372.86</v>
      </c>
      <c r="AA156" s="986">
        <v>6553.03</v>
      </c>
      <c r="AB156" s="986">
        <v>8595.23</v>
      </c>
      <c r="AC156" s="986">
        <v>8111.54</v>
      </c>
      <c r="AD156" s="986">
        <v>5558.46</v>
      </c>
      <c r="AE156" s="986">
        <v>7391.12</v>
      </c>
      <c r="AF156" s="986">
        <v>6715.73</v>
      </c>
      <c r="AG156" s="986">
        <v>7389.73</v>
      </c>
      <c r="AH156" s="986">
        <v>7445.58</v>
      </c>
      <c r="AI156" s="986">
        <v>5186.55</v>
      </c>
      <c r="AJ156" s="986">
        <v>6494.93</v>
      </c>
      <c r="AK156" s="986">
        <v>7105.68</v>
      </c>
      <c r="AL156" s="986">
        <v>8473.0499999999993</v>
      </c>
      <c r="AM156" s="986">
        <v>6487.98</v>
      </c>
      <c r="AN156" s="986">
        <v>7350.83</v>
      </c>
      <c r="AO156" s="986">
        <v>7912.45</v>
      </c>
      <c r="AP156" s="986">
        <v>6040.19</v>
      </c>
      <c r="AQ156" s="986">
        <v>6331.83</v>
      </c>
      <c r="AR156" s="986">
        <v>7933.91</v>
      </c>
      <c r="AS156" s="986">
        <v>7105.12</v>
      </c>
      <c r="AT156" s="986">
        <v>7250.34</v>
      </c>
      <c r="AU156" s="986">
        <v>14418.63</v>
      </c>
      <c r="AV156" s="986">
        <v>6786.7</v>
      </c>
      <c r="AW156" s="986">
        <v>5000</v>
      </c>
      <c r="AX156" s="986">
        <v>6344.2</v>
      </c>
      <c r="AY156" s="986">
        <v>5000</v>
      </c>
      <c r="AZ156" s="986">
        <v>5000</v>
      </c>
      <c r="BA156" s="986">
        <v>5000</v>
      </c>
      <c r="BB156" s="986">
        <v>6879.1</v>
      </c>
      <c r="BC156" s="986">
        <v>5920.12</v>
      </c>
      <c r="BD156" s="986">
        <v>-5920.12</v>
      </c>
      <c r="BF156" s="978"/>
    </row>
    <row r="157" spans="1:58" ht="15" customHeight="1">
      <c r="B157" s="983" t="s">
        <v>833</v>
      </c>
      <c r="C157" s="984" t="s">
        <v>807</v>
      </c>
      <c r="D157" s="989"/>
      <c r="E157" s="989"/>
      <c r="F157" s="989"/>
      <c r="G157" s="989"/>
      <c r="H157" s="989"/>
      <c r="I157" s="989"/>
      <c r="J157" s="989"/>
      <c r="K157" s="989"/>
      <c r="L157" s="989"/>
      <c r="M157" s="989"/>
      <c r="N157" s="989"/>
      <c r="O157" s="989"/>
      <c r="P157" s="989"/>
      <c r="Q157" s="989"/>
      <c r="R157" s="989"/>
      <c r="S157" s="989"/>
      <c r="T157" s="989"/>
      <c r="U157" s="989"/>
      <c r="V157" s="989"/>
      <c r="W157" s="989"/>
      <c r="X157" s="989"/>
      <c r="Y157" s="989"/>
      <c r="Z157" s="989"/>
      <c r="AA157" s="989"/>
      <c r="AB157" s="989"/>
      <c r="AC157" s="989"/>
      <c r="AD157" s="989"/>
      <c r="AE157" s="989"/>
      <c r="AF157" s="989"/>
      <c r="AG157" s="989"/>
      <c r="AH157" s="989"/>
      <c r="AI157" s="989"/>
      <c r="AJ157" s="989"/>
      <c r="AK157" s="989"/>
      <c r="AL157" s="989"/>
      <c r="AM157" s="989"/>
      <c r="AN157" s="989"/>
      <c r="AO157" s="989"/>
      <c r="AP157" s="989"/>
      <c r="AQ157" s="989"/>
      <c r="AR157" s="989"/>
      <c r="AS157" s="989"/>
      <c r="AT157" s="989"/>
      <c r="AU157" s="989"/>
      <c r="AV157" s="989"/>
      <c r="AW157" s="989"/>
      <c r="AX157" s="989"/>
      <c r="AY157" s="989"/>
      <c r="AZ157" s="989"/>
      <c r="BA157" s="989"/>
      <c r="BB157" s="989"/>
      <c r="BC157" s="989"/>
      <c r="BD157" s="989"/>
      <c r="BF157" s="978"/>
    </row>
    <row r="158" spans="1:58" ht="15" customHeight="1">
      <c r="B158" s="983" t="s">
        <v>832</v>
      </c>
      <c r="C158" s="984" t="s">
        <v>831</v>
      </c>
      <c r="D158" s="989"/>
      <c r="E158" s="989"/>
      <c r="F158" s="989"/>
      <c r="G158" s="989"/>
      <c r="H158" s="989"/>
      <c r="I158" s="989"/>
      <c r="J158" s="989"/>
      <c r="K158" s="989"/>
      <c r="L158" s="989"/>
      <c r="M158" s="989"/>
      <c r="N158" s="989"/>
      <c r="O158" s="989"/>
      <c r="P158" s="989"/>
      <c r="Q158" s="989"/>
      <c r="R158" s="989"/>
      <c r="S158" s="989"/>
      <c r="T158" s="989"/>
      <c r="U158" s="989"/>
      <c r="V158" s="989"/>
      <c r="W158" s="989"/>
      <c r="X158" s="989"/>
      <c r="Y158" s="989"/>
      <c r="Z158" s="989"/>
      <c r="AA158" s="989"/>
      <c r="AB158" s="989"/>
      <c r="AC158" s="989"/>
      <c r="AD158" s="989"/>
      <c r="AE158" s="989"/>
      <c r="AF158" s="989"/>
      <c r="AG158" s="989"/>
      <c r="AH158" s="989"/>
      <c r="AI158" s="989"/>
      <c r="AJ158" s="989"/>
      <c r="AK158" s="989"/>
      <c r="AL158" s="989"/>
      <c r="AM158" s="989"/>
      <c r="AN158" s="989"/>
      <c r="AO158" s="989"/>
      <c r="AP158" s="989"/>
      <c r="AQ158" s="989"/>
      <c r="AR158" s="989"/>
      <c r="AS158" s="989"/>
      <c r="AT158" s="989"/>
      <c r="AU158" s="989"/>
      <c r="AV158" s="989"/>
      <c r="AW158" s="989"/>
      <c r="AX158" s="989"/>
      <c r="AY158" s="989"/>
      <c r="AZ158" s="989"/>
      <c r="BA158" s="989"/>
      <c r="BB158" s="989"/>
      <c r="BC158" s="989"/>
      <c r="BD158" s="989"/>
      <c r="BF158" s="978"/>
    </row>
    <row r="159" spans="1:58" ht="15" customHeight="1">
      <c r="B159" s="983" t="s">
        <v>830</v>
      </c>
      <c r="C159" s="984" t="s">
        <v>829</v>
      </c>
      <c r="D159" s="990">
        <v>0</v>
      </c>
      <c r="E159" s="990">
        <v>0</v>
      </c>
      <c r="F159" s="990">
        <v>0</v>
      </c>
      <c r="G159" s="990">
        <v>0</v>
      </c>
      <c r="H159" s="990">
        <v>0</v>
      </c>
      <c r="I159" s="990">
        <v>112.61</v>
      </c>
      <c r="J159" s="990">
        <v>0</v>
      </c>
      <c r="K159" s="990">
        <v>0</v>
      </c>
      <c r="L159" s="990">
        <v>0</v>
      </c>
      <c r="M159" s="990">
        <v>0</v>
      </c>
      <c r="N159" s="990">
        <v>6.65</v>
      </c>
      <c r="O159" s="990">
        <v>0</v>
      </c>
      <c r="P159" s="990">
        <v>0</v>
      </c>
      <c r="Q159" s="990">
        <v>0</v>
      </c>
      <c r="R159" s="990">
        <v>0</v>
      </c>
      <c r="S159" s="990">
        <v>0</v>
      </c>
      <c r="T159" s="990">
        <v>0</v>
      </c>
      <c r="U159" s="990">
        <v>0</v>
      </c>
      <c r="V159" s="990">
        <v>0</v>
      </c>
      <c r="W159" s="990">
        <v>0</v>
      </c>
      <c r="X159" s="990">
        <v>0</v>
      </c>
      <c r="Y159" s="990">
        <v>0</v>
      </c>
      <c r="Z159" s="990">
        <v>0</v>
      </c>
      <c r="AA159" s="990">
        <v>0</v>
      </c>
      <c r="AB159" s="990">
        <v>0</v>
      </c>
      <c r="AC159" s="990">
        <v>0</v>
      </c>
      <c r="AD159" s="990">
        <v>0</v>
      </c>
      <c r="AE159" s="990">
        <v>0</v>
      </c>
      <c r="AF159" s="990">
        <v>0</v>
      </c>
      <c r="AG159" s="990">
        <v>0</v>
      </c>
      <c r="AH159" s="990">
        <v>0</v>
      </c>
      <c r="AI159" s="990">
        <v>0</v>
      </c>
      <c r="AJ159" s="990">
        <v>0</v>
      </c>
      <c r="AK159" s="990">
        <v>0</v>
      </c>
      <c r="AL159" s="990">
        <v>0</v>
      </c>
      <c r="AM159" s="990">
        <v>0</v>
      </c>
      <c r="AN159" s="990">
        <v>0</v>
      </c>
      <c r="AO159" s="990">
        <v>0</v>
      </c>
      <c r="AP159" s="990">
        <v>0</v>
      </c>
      <c r="AQ159" s="990">
        <v>0</v>
      </c>
      <c r="AR159" s="990">
        <v>0</v>
      </c>
      <c r="AS159" s="990">
        <v>0</v>
      </c>
      <c r="AT159" s="990">
        <v>0</v>
      </c>
      <c r="AU159" s="990">
        <v>0</v>
      </c>
      <c r="AV159" s="990">
        <v>0</v>
      </c>
      <c r="AW159" s="990">
        <v>0</v>
      </c>
      <c r="AX159" s="990">
        <v>0</v>
      </c>
      <c r="AY159" s="990">
        <v>0</v>
      </c>
      <c r="AZ159" s="990">
        <v>492.75</v>
      </c>
      <c r="BA159" s="990">
        <v>0</v>
      </c>
      <c r="BB159" s="990">
        <v>0</v>
      </c>
      <c r="BC159" s="990">
        <v>0</v>
      </c>
      <c r="BD159" s="990">
        <v>0</v>
      </c>
      <c r="BF159" s="978"/>
    </row>
    <row r="160" spans="1:58" ht="15" customHeight="1">
      <c r="B160" s="983" t="s">
        <v>828</v>
      </c>
      <c r="C160" s="984" t="s">
        <v>827</v>
      </c>
      <c r="D160" s="990">
        <v>0</v>
      </c>
      <c r="E160" s="990">
        <v>0</v>
      </c>
      <c r="F160" s="990">
        <v>150</v>
      </c>
      <c r="G160" s="990">
        <v>215</v>
      </c>
      <c r="H160" s="990">
        <v>195</v>
      </c>
      <c r="I160" s="990">
        <v>75.22</v>
      </c>
      <c r="J160" s="990">
        <v>0</v>
      </c>
      <c r="K160" s="990">
        <v>0</v>
      </c>
      <c r="L160" s="990">
        <v>0</v>
      </c>
      <c r="M160" s="990">
        <v>0</v>
      </c>
      <c r="N160" s="990">
        <v>0</v>
      </c>
      <c r="O160" s="990">
        <v>-345</v>
      </c>
      <c r="P160" s="990">
        <v>0</v>
      </c>
      <c r="Q160" s="990">
        <v>75</v>
      </c>
      <c r="R160" s="990">
        <v>-75</v>
      </c>
      <c r="S160" s="990">
        <v>0</v>
      </c>
      <c r="T160" s="990">
        <v>0</v>
      </c>
      <c r="U160" s="990">
        <v>0</v>
      </c>
      <c r="V160" s="990">
        <v>0</v>
      </c>
      <c r="W160" s="990">
        <v>0</v>
      </c>
      <c r="X160" s="990">
        <v>64.599999999999994</v>
      </c>
      <c r="Y160" s="990">
        <v>24.7</v>
      </c>
      <c r="Z160" s="990">
        <v>31.4</v>
      </c>
      <c r="AA160" s="990">
        <v>0</v>
      </c>
      <c r="AB160" s="990">
        <v>570</v>
      </c>
      <c r="AC160" s="990">
        <v>0</v>
      </c>
      <c r="AD160" s="990">
        <v>197.5</v>
      </c>
      <c r="AE160" s="990">
        <v>0</v>
      </c>
      <c r="AF160" s="990">
        <v>0</v>
      </c>
      <c r="AG160" s="990">
        <v>13.7</v>
      </c>
      <c r="AH160" s="990">
        <v>0</v>
      </c>
      <c r="AI160" s="990">
        <v>505.88</v>
      </c>
      <c r="AJ160" s="990">
        <v>98.79</v>
      </c>
      <c r="AK160" s="990">
        <v>530.48</v>
      </c>
      <c r="AL160" s="990">
        <v>133.18</v>
      </c>
      <c r="AM160" s="990">
        <v>95.57</v>
      </c>
      <c r="AN160" s="990">
        <v>121.91</v>
      </c>
      <c r="AO160" s="990">
        <v>147.63</v>
      </c>
      <c r="AP160" s="990">
        <v>94.39</v>
      </c>
      <c r="AQ160" s="990">
        <v>116.82</v>
      </c>
      <c r="AR160" s="990">
        <v>93.43</v>
      </c>
      <c r="AS160" s="990">
        <v>397.71</v>
      </c>
      <c r="AT160" s="990">
        <v>174.41</v>
      </c>
      <c r="AU160" s="990">
        <v>15.5</v>
      </c>
      <c r="AV160" s="990">
        <v>220.72</v>
      </c>
      <c r="AW160" s="990">
        <v>0</v>
      </c>
      <c r="AX160" s="990">
        <v>138</v>
      </c>
      <c r="AY160" s="990">
        <v>16</v>
      </c>
      <c r="AZ160" s="990">
        <v>52</v>
      </c>
      <c r="BA160" s="990">
        <v>18</v>
      </c>
      <c r="BB160" s="990">
        <v>74</v>
      </c>
      <c r="BC160" s="990">
        <v>26</v>
      </c>
      <c r="BD160" s="990">
        <v>0</v>
      </c>
      <c r="BF160" s="978"/>
    </row>
    <row r="161" spans="1:58" ht="15" customHeight="1">
      <c r="B161" s="983" t="s">
        <v>826</v>
      </c>
      <c r="C161" s="984" t="s">
        <v>825</v>
      </c>
      <c r="D161" s="990">
        <v>0</v>
      </c>
      <c r="E161" s="990">
        <v>0</v>
      </c>
      <c r="F161" s="990">
        <v>4357.2299999999996</v>
      </c>
      <c r="G161" s="990">
        <v>0</v>
      </c>
      <c r="H161" s="990">
        <v>3544.41</v>
      </c>
      <c r="I161" s="990">
        <v>1696.22</v>
      </c>
      <c r="J161" s="990">
        <v>1265.9000000000001</v>
      </c>
      <c r="K161" s="990">
        <v>1250.57</v>
      </c>
      <c r="L161" s="990">
        <v>1218.53</v>
      </c>
      <c r="M161" s="990">
        <v>1284.33</v>
      </c>
      <c r="N161" s="990">
        <v>1637.54</v>
      </c>
      <c r="O161" s="990">
        <v>1301.6099999999999</v>
      </c>
      <c r="P161" s="990">
        <v>1338.7</v>
      </c>
      <c r="Q161" s="990">
        <v>1323.26</v>
      </c>
      <c r="R161" s="990">
        <v>1315.61</v>
      </c>
      <c r="S161" s="990">
        <v>1246.52</v>
      </c>
      <c r="T161" s="990">
        <v>1288.52</v>
      </c>
      <c r="U161" s="990">
        <v>1231.93</v>
      </c>
      <c r="V161" s="990">
        <v>1330.79</v>
      </c>
      <c r="W161" s="990">
        <v>1345.89</v>
      </c>
      <c r="X161" s="990">
        <v>1319.46</v>
      </c>
      <c r="Y161" s="990">
        <v>1400.55</v>
      </c>
      <c r="Z161" s="990">
        <v>1511.13</v>
      </c>
      <c r="AA161" s="990">
        <v>1282.8399999999999</v>
      </c>
      <c r="AB161" s="990">
        <v>1375.79</v>
      </c>
      <c r="AC161" s="990">
        <v>1308.3699999999999</v>
      </c>
      <c r="AD161" s="990">
        <v>1298.77</v>
      </c>
      <c r="AE161" s="990">
        <v>1296.95</v>
      </c>
      <c r="AF161" s="990">
        <v>1300.3499999999999</v>
      </c>
      <c r="AG161" s="990">
        <v>1354.62</v>
      </c>
      <c r="AH161" s="990">
        <v>1422.52</v>
      </c>
      <c r="AI161" s="990">
        <v>1346.06</v>
      </c>
      <c r="AJ161" s="990">
        <v>1320.55</v>
      </c>
      <c r="AK161" s="990">
        <v>1346.85</v>
      </c>
      <c r="AL161" s="990">
        <v>1536.21</v>
      </c>
      <c r="AM161" s="990">
        <v>1304.49</v>
      </c>
      <c r="AN161" s="990">
        <v>1290.3399999999999</v>
      </c>
      <c r="AO161" s="990">
        <v>1499.52</v>
      </c>
      <c r="AP161" s="990">
        <v>1325.96</v>
      </c>
      <c r="AQ161" s="990">
        <v>1266.45</v>
      </c>
      <c r="AR161" s="990">
        <v>1320.6</v>
      </c>
      <c r="AS161" s="990">
        <v>1323.74</v>
      </c>
      <c r="AT161" s="990">
        <v>1236.04</v>
      </c>
      <c r="AU161" s="990">
        <v>1300</v>
      </c>
      <c r="AV161" s="990">
        <v>5528.82</v>
      </c>
      <c r="AW161" s="990">
        <v>-2957.77</v>
      </c>
      <c r="AX161" s="990">
        <v>1518.09</v>
      </c>
      <c r="AY161" s="990">
        <v>1274.96</v>
      </c>
      <c r="AZ161" s="990">
        <v>1297.27</v>
      </c>
      <c r="BA161" s="990">
        <v>1353.75</v>
      </c>
      <c r="BB161" s="990">
        <v>1246.08</v>
      </c>
      <c r="BC161" s="990">
        <v>1328.58</v>
      </c>
      <c r="BD161" s="990">
        <v>1238.8599999999999</v>
      </c>
      <c r="BF161" s="978"/>
    </row>
    <row r="162" spans="1:58" ht="15" customHeight="1">
      <c r="B162" s="983" t="s">
        <v>1287</v>
      </c>
      <c r="C162" s="984" t="s">
        <v>1286</v>
      </c>
      <c r="D162" s="990">
        <v>0</v>
      </c>
      <c r="E162" s="990">
        <v>0</v>
      </c>
      <c r="F162" s="990">
        <v>0</v>
      </c>
      <c r="G162" s="990">
        <v>0</v>
      </c>
      <c r="H162" s="990">
        <v>0</v>
      </c>
      <c r="I162" s="990">
        <v>0</v>
      </c>
      <c r="J162" s="990">
        <v>0</v>
      </c>
      <c r="K162" s="990">
        <v>0</v>
      </c>
      <c r="L162" s="990">
        <v>0</v>
      </c>
      <c r="M162" s="990">
        <v>0</v>
      </c>
      <c r="N162" s="990">
        <v>0</v>
      </c>
      <c r="O162" s="990">
        <v>0</v>
      </c>
      <c r="P162" s="990">
        <v>0</v>
      </c>
      <c r="Q162" s="990">
        <v>0</v>
      </c>
      <c r="R162" s="990">
        <v>163.81</v>
      </c>
      <c r="S162" s="990">
        <v>0</v>
      </c>
      <c r="T162" s="990">
        <v>0</v>
      </c>
      <c r="U162" s="990">
        <v>0</v>
      </c>
      <c r="V162" s="990">
        <v>0</v>
      </c>
      <c r="W162" s="990">
        <v>0</v>
      </c>
      <c r="X162" s="990">
        <v>0</v>
      </c>
      <c r="Y162" s="990">
        <v>0</v>
      </c>
      <c r="Z162" s="990">
        <v>0</v>
      </c>
      <c r="AA162" s="990">
        <v>0</v>
      </c>
      <c r="AB162" s="990">
        <v>0</v>
      </c>
      <c r="AC162" s="990">
        <v>0</v>
      </c>
      <c r="AD162" s="990">
        <v>0</v>
      </c>
      <c r="AE162" s="990">
        <v>0</v>
      </c>
      <c r="AF162" s="990">
        <v>0</v>
      </c>
      <c r="AG162" s="990">
        <v>0</v>
      </c>
      <c r="AH162" s="990">
        <v>0</v>
      </c>
      <c r="AI162" s="990">
        <v>0</v>
      </c>
      <c r="AJ162" s="990">
        <v>0</v>
      </c>
      <c r="AK162" s="990">
        <v>0</v>
      </c>
      <c r="AL162" s="990">
        <v>0</v>
      </c>
      <c r="AM162" s="990">
        <v>91</v>
      </c>
      <c r="AN162" s="990">
        <v>0</v>
      </c>
      <c r="AO162" s="990">
        <v>0</v>
      </c>
      <c r="AP162" s="990">
        <v>0</v>
      </c>
      <c r="AQ162" s="990">
        <v>0</v>
      </c>
      <c r="AR162" s="990">
        <v>0</v>
      </c>
      <c r="AS162" s="990">
        <v>0</v>
      </c>
      <c r="AT162" s="990">
        <v>0</v>
      </c>
      <c r="AU162" s="990">
        <v>0</v>
      </c>
      <c r="AV162" s="990">
        <v>0</v>
      </c>
      <c r="AW162" s="990">
        <v>83.43</v>
      </c>
      <c r="AX162" s="990">
        <v>0</v>
      </c>
      <c r="AY162" s="990">
        <v>0</v>
      </c>
      <c r="AZ162" s="990">
        <v>0</v>
      </c>
      <c r="BA162" s="990">
        <v>0</v>
      </c>
      <c r="BB162" s="990">
        <v>0</v>
      </c>
      <c r="BC162" s="990">
        <v>0</v>
      </c>
      <c r="BD162" s="990">
        <v>0</v>
      </c>
      <c r="BF162" s="978"/>
    </row>
    <row r="163" spans="1:58" ht="15" customHeight="1">
      <c r="B163" s="983" t="s">
        <v>824</v>
      </c>
      <c r="C163" s="984" t="s">
        <v>823</v>
      </c>
      <c r="D163" s="986">
        <v>0</v>
      </c>
      <c r="E163" s="986">
        <v>0</v>
      </c>
      <c r="F163" s="986">
        <v>4507.2299999999996</v>
      </c>
      <c r="G163" s="986">
        <v>215</v>
      </c>
      <c r="H163" s="986">
        <v>3739.41</v>
      </c>
      <c r="I163" s="986">
        <v>1884.05</v>
      </c>
      <c r="J163" s="986">
        <v>1265.9000000000001</v>
      </c>
      <c r="K163" s="986">
        <v>1250.57</v>
      </c>
      <c r="L163" s="986">
        <v>1218.53</v>
      </c>
      <c r="M163" s="986">
        <v>1284.33</v>
      </c>
      <c r="N163" s="986">
        <v>1644.19</v>
      </c>
      <c r="O163" s="986">
        <v>956.61</v>
      </c>
      <c r="P163" s="986">
        <v>1338.7</v>
      </c>
      <c r="Q163" s="986">
        <v>1398.26</v>
      </c>
      <c r="R163" s="986">
        <v>1404.42</v>
      </c>
      <c r="S163" s="986">
        <v>1246.52</v>
      </c>
      <c r="T163" s="986">
        <v>1288.52</v>
      </c>
      <c r="U163" s="986">
        <v>1231.93</v>
      </c>
      <c r="V163" s="986">
        <v>1330.79</v>
      </c>
      <c r="W163" s="986">
        <v>1345.89</v>
      </c>
      <c r="X163" s="986">
        <v>1384.06</v>
      </c>
      <c r="Y163" s="986">
        <v>1425.25</v>
      </c>
      <c r="Z163" s="986">
        <v>1542.53</v>
      </c>
      <c r="AA163" s="986">
        <v>1282.8399999999999</v>
      </c>
      <c r="AB163" s="986">
        <v>1945.79</v>
      </c>
      <c r="AC163" s="986">
        <v>1308.3699999999999</v>
      </c>
      <c r="AD163" s="986">
        <v>1496.27</v>
      </c>
      <c r="AE163" s="986">
        <v>1296.95</v>
      </c>
      <c r="AF163" s="986">
        <v>1300.3499999999999</v>
      </c>
      <c r="AG163" s="986">
        <v>1368.32</v>
      </c>
      <c r="AH163" s="986">
        <v>1422.52</v>
      </c>
      <c r="AI163" s="986">
        <v>1851.94</v>
      </c>
      <c r="AJ163" s="986">
        <v>1419.34</v>
      </c>
      <c r="AK163" s="986">
        <v>1877.33</v>
      </c>
      <c r="AL163" s="986">
        <v>1669.39</v>
      </c>
      <c r="AM163" s="986">
        <v>1491.06</v>
      </c>
      <c r="AN163" s="986">
        <v>1412.25</v>
      </c>
      <c r="AO163" s="986">
        <v>1647.15</v>
      </c>
      <c r="AP163" s="986">
        <v>1420.35</v>
      </c>
      <c r="AQ163" s="986">
        <v>1383.27</v>
      </c>
      <c r="AR163" s="986">
        <v>1414.03</v>
      </c>
      <c r="AS163" s="986">
        <v>1721.45</v>
      </c>
      <c r="AT163" s="986">
        <v>1410.45</v>
      </c>
      <c r="AU163" s="986">
        <v>1315.5</v>
      </c>
      <c r="AV163" s="986">
        <v>5749.54</v>
      </c>
      <c r="AW163" s="986">
        <v>-2874.34</v>
      </c>
      <c r="AX163" s="986">
        <v>1656.09</v>
      </c>
      <c r="AY163" s="986">
        <v>1290.96</v>
      </c>
      <c r="AZ163" s="986">
        <v>1842.02</v>
      </c>
      <c r="BA163" s="986">
        <v>1371.75</v>
      </c>
      <c r="BB163" s="986">
        <v>1320.08</v>
      </c>
      <c r="BC163" s="986">
        <v>1354.58</v>
      </c>
      <c r="BD163" s="986">
        <v>1238.8599999999999</v>
      </c>
      <c r="BF163" s="978"/>
    </row>
    <row r="164" spans="1:58" ht="15" customHeight="1">
      <c r="B164" s="983" t="s">
        <v>1285</v>
      </c>
      <c r="C164" s="984" t="s">
        <v>1284</v>
      </c>
      <c r="D164" s="989"/>
      <c r="E164" s="989"/>
      <c r="F164" s="989"/>
      <c r="G164" s="989"/>
      <c r="H164" s="989"/>
      <c r="I164" s="989"/>
      <c r="J164" s="989"/>
      <c r="K164" s="989"/>
      <c r="L164" s="989"/>
      <c r="M164" s="989"/>
      <c r="N164" s="989"/>
      <c r="O164" s="989"/>
      <c r="P164" s="989"/>
      <c r="Q164" s="989"/>
      <c r="R164" s="989"/>
      <c r="S164" s="989"/>
      <c r="T164" s="989"/>
      <c r="U164" s="989"/>
      <c r="V164" s="989"/>
      <c r="W164" s="989"/>
      <c r="X164" s="989"/>
      <c r="Y164" s="989"/>
      <c r="Z164" s="989"/>
      <c r="AA164" s="989"/>
      <c r="AB164" s="989"/>
      <c r="AC164" s="989"/>
      <c r="AD164" s="989"/>
      <c r="AE164" s="989"/>
      <c r="AF164" s="989"/>
      <c r="AG164" s="989"/>
      <c r="AH164" s="989"/>
      <c r="AI164" s="989"/>
      <c r="AJ164" s="989"/>
      <c r="AK164" s="989"/>
      <c r="AL164" s="989"/>
      <c r="AM164" s="989"/>
      <c r="AN164" s="989"/>
      <c r="AO164" s="989"/>
      <c r="AP164" s="989"/>
      <c r="AQ164" s="989"/>
      <c r="AR164" s="989"/>
      <c r="AS164" s="989"/>
      <c r="AT164" s="989"/>
      <c r="AU164" s="989"/>
      <c r="AV164" s="989"/>
      <c r="AW164" s="989"/>
      <c r="AX164" s="989"/>
      <c r="AY164" s="989"/>
      <c r="AZ164" s="989"/>
      <c r="BA164" s="989"/>
      <c r="BB164" s="989"/>
      <c r="BC164" s="989"/>
      <c r="BD164" s="989"/>
      <c r="BF164" s="978"/>
    </row>
    <row r="165" spans="1:58" ht="15" customHeight="1">
      <c r="B165" s="983" t="s">
        <v>1283</v>
      </c>
      <c r="C165" s="984" t="s">
        <v>1282</v>
      </c>
      <c r="D165" s="990">
        <v>0</v>
      </c>
      <c r="E165" s="990">
        <v>0</v>
      </c>
      <c r="F165" s="990">
        <v>0</v>
      </c>
      <c r="G165" s="990">
        <v>0</v>
      </c>
      <c r="H165" s="990">
        <v>0</v>
      </c>
      <c r="I165" s="990">
        <v>141.19999999999999</v>
      </c>
      <c r="J165" s="990">
        <v>0</v>
      </c>
      <c r="K165" s="990">
        <v>0</v>
      </c>
      <c r="L165" s="990">
        <v>41.57</v>
      </c>
      <c r="M165" s="990">
        <v>0</v>
      </c>
      <c r="N165" s="990">
        <v>0</v>
      </c>
      <c r="O165" s="990">
        <v>40.409999999999997</v>
      </c>
      <c r="P165" s="990">
        <v>0</v>
      </c>
      <c r="Q165" s="990">
        <v>0</v>
      </c>
      <c r="R165" s="990">
        <v>0</v>
      </c>
      <c r="S165" s="990">
        <v>109.01</v>
      </c>
      <c r="T165" s="990">
        <v>0</v>
      </c>
      <c r="U165" s="990">
        <v>-109.01</v>
      </c>
      <c r="V165" s="990">
        <v>61.6</v>
      </c>
      <c r="W165" s="990">
        <v>44.06</v>
      </c>
      <c r="X165" s="990">
        <v>0</v>
      </c>
      <c r="Y165" s="990">
        <v>0</v>
      </c>
      <c r="Z165" s="990">
        <v>9.82</v>
      </c>
      <c r="AA165" s="990">
        <v>0</v>
      </c>
      <c r="AB165" s="990">
        <v>0</v>
      </c>
      <c r="AC165" s="990">
        <v>0</v>
      </c>
      <c r="AD165" s="990">
        <v>6.7</v>
      </c>
      <c r="AE165" s="990">
        <v>13.4</v>
      </c>
      <c r="AF165" s="990">
        <v>0</v>
      </c>
      <c r="AG165" s="990">
        <v>0</v>
      </c>
      <c r="AH165" s="990">
        <v>0</v>
      </c>
      <c r="AI165" s="990">
        <v>0</v>
      </c>
      <c r="AJ165" s="990">
        <v>0</v>
      </c>
      <c r="AK165" s="990">
        <v>0</v>
      </c>
      <c r="AL165" s="990">
        <v>13.86</v>
      </c>
      <c r="AM165" s="990">
        <v>0</v>
      </c>
      <c r="AN165" s="990">
        <v>0</v>
      </c>
      <c r="AO165" s="990">
        <v>0</v>
      </c>
      <c r="AP165" s="990">
        <v>0</v>
      </c>
      <c r="AQ165" s="990">
        <v>0</v>
      </c>
      <c r="AR165" s="990">
        <v>0</v>
      </c>
      <c r="AS165" s="990">
        <v>0</v>
      </c>
      <c r="AT165" s="990">
        <v>10</v>
      </c>
      <c r="AU165" s="990">
        <v>0</v>
      </c>
      <c r="AV165" s="990">
        <v>0</v>
      </c>
      <c r="AW165" s="990">
        <v>0</v>
      </c>
      <c r="AX165" s="990">
        <v>0</v>
      </c>
      <c r="AY165" s="990">
        <v>0</v>
      </c>
      <c r="AZ165" s="990">
        <v>29.57</v>
      </c>
      <c r="BA165" s="990">
        <v>0</v>
      </c>
      <c r="BB165" s="990">
        <v>0</v>
      </c>
      <c r="BC165" s="990">
        <v>0</v>
      </c>
      <c r="BD165" s="990">
        <v>0</v>
      </c>
      <c r="BF165" s="978"/>
    </row>
    <row r="166" spans="1:58" ht="15" customHeight="1">
      <c r="B166" s="983" t="s">
        <v>1281</v>
      </c>
      <c r="C166" s="984" t="s">
        <v>1280</v>
      </c>
      <c r="D166" s="988">
        <v>0</v>
      </c>
      <c r="E166" s="988">
        <v>0</v>
      </c>
      <c r="F166" s="988">
        <v>0</v>
      </c>
      <c r="G166" s="988">
        <v>0</v>
      </c>
      <c r="H166" s="988">
        <v>0</v>
      </c>
      <c r="I166" s="988">
        <v>0</v>
      </c>
      <c r="J166" s="988">
        <v>0</v>
      </c>
      <c r="K166" s="988">
        <v>0</v>
      </c>
      <c r="L166" s="988">
        <v>0</v>
      </c>
      <c r="M166" s="988">
        <v>0</v>
      </c>
      <c r="N166" s="988">
        <v>0</v>
      </c>
      <c r="O166" s="988">
        <v>0</v>
      </c>
      <c r="P166" s="988">
        <v>0</v>
      </c>
      <c r="Q166" s="988">
        <v>57.37</v>
      </c>
      <c r="R166" s="988">
        <v>0</v>
      </c>
      <c r="S166" s="988">
        <v>0</v>
      </c>
      <c r="T166" s="988">
        <v>0</v>
      </c>
      <c r="U166" s="988">
        <v>0</v>
      </c>
      <c r="V166" s="988">
        <v>0</v>
      </c>
      <c r="W166" s="988">
        <v>0</v>
      </c>
      <c r="X166" s="988">
        <v>0</v>
      </c>
      <c r="Y166" s="988">
        <v>0</v>
      </c>
      <c r="Z166" s="988">
        <v>0</v>
      </c>
      <c r="AA166" s="988">
        <v>0</v>
      </c>
      <c r="AB166" s="988">
        <v>0</v>
      </c>
      <c r="AC166" s="988">
        <v>0</v>
      </c>
      <c r="AD166" s="988">
        <v>0</v>
      </c>
      <c r="AE166" s="988">
        <v>0</v>
      </c>
      <c r="AF166" s="988">
        <v>0</v>
      </c>
      <c r="AG166" s="988">
        <v>0</v>
      </c>
      <c r="AH166" s="988">
        <v>0</v>
      </c>
      <c r="AI166" s="988">
        <v>0</v>
      </c>
      <c r="AJ166" s="988">
        <v>0</v>
      </c>
      <c r="AK166" s="988">
        <v>0</v>
      </c>
      <c r="AL166" s="988">
        <v>0</v>
      </c>
      <c r="AM166" s="988">
        <v>0</v>
      </c>
      <c r="AN166" s="988">
        <v>0</v>
      </c>
      <c r="AO166" s="988">
        <v>0</v>
      </c>
      <c r="AP166" s="988">
        <v>0</v>
      </c>
      <c r="AQ166" s="988">
        <v>125.72</v>
      </c>
      <c r="AR166" s="988">
        <v>0</v>
      </c>
      <c r="AS166" s="988">
        <v>304.02</v>
      </c>
      <c r="AT166" s="988">
        <v>65.7</v>
      </c>
      <c r="AU166" s="988">
        <v>0</v>
      </c>
      <c r="AV166" s="988">
        <v>83.18</v>
      </c>
      <c r="AW166" s="988">
        <v>0</v>
      </c>
      <c r="AX166" s="988">
        <v>0</v>
      </c>
      <c r="AY166" s="988">
        <v>0</v>
      </c>
      <c r="AZ166" s="988">
        <v>114.32</v>
      </c>
      <c r="BA166" s="988">
        <v>0</v>
      </c>
      <c r="BB166" s="988">
        <v>0</v>
      </c>
      <c r="BC166" s="988">
        <v>0</v>
      </c>
      <c r="BD166" s="988">
        <v>0</v>
      </c>
      <c r="BF166" s="978"/>
    </row>
    <row r="167" spans="1:58" ht="15" customHeight="1">
      <c r="B167" s="983" t="s">
        <v>1279</v>
      </c>
      <c r="C167" s="984" t="s">
        <v>1278</v>
      </c>
      <c r="D167" s="986">
        <v>0</v>
      </c>
      <c r="E167" s="986">
        <v>0</v>
      </c>
      <c r="F167" s="986">
        <v>0</v>
      </c>
      <c r="G167" s="986">
        <v>0</v>
      </c>
      <c r="H167" s="986">
        <v>0</v>
      </c>
      <c r="I167" s="986">
        <v>141.19999999999999</v>
      </c>
      <c r="J167" s="986">
        <v>0</v>
      </c>
      <c r="K167" s="986">
        <v>0</v>
      </c>
      <c r="L167" s="986">
        <v>41.57</v>
      </c>
      <c r="M167" s="986">
        <v>0</v>
      </c>
      <c r="N167" s="986">
        <v>0</v>
      </c>
      <c r="O167" s="986">
        <v>40.409999999999997</v>
      </c>
      <c r="P167" s="986">
        <v>0</v>
      </c>
      <c r="Q167" s="986">
        <v>57.37</v>
      </c>
      <c r="R167" s="986">
        <v>0</v>
      </c>
      <c r="S167" s="986">
        <v>289.82</v>
      </c>
      <c r="T167" s="986">
        <v>0</v>
      </c>
      <c r="U167" s="986">
        <v>-289.82</v>
      </c>
      <c r="V167" s="986">
        <v>61.6</v>
      </c>
      <c r="W167" s="986">
        <v>44.06</v>
      </c>
      <c r="X167" s="986">
        <v>0</v>
      </c>
      <c r="Y167" s="986">
        <v>0</v>
      </c>
      <c r="Z167" s="986">
        <v>9.82</v>
      </c>
      <c r="AA167" s="986">
        <v>0</v>
      </c>
      <c r="AB167" s="986">
        <v>0</v>
      </c>
      <c r="AC167" s="986">
        <v>0</v>
      </c>
      <c r="AD167" s="986">
        <v>6.7</v>
      </c>
      <c r="AE167" s="986">
        <v>13.4</v>
      </c>
      <c r="AF167" s="986">
        <v>0</v>
      </c>
      <c r="AG167" s="986">
        <v>0</v>
      </c>
      <c r="AH167" s="986">
        <v>0</v>
      </c>
      <c r="AI167" s="986">
        <v>0</v>
      </c>
      <c r="AJ167" s="986">
        <v>0</v>
      </c>
      <c r="AK167" s="986">
        <v>0</v>
      </c>
      <c r="AL167" s="986">
        <v>13.86</v>
      </c>
      <c r="AM167" s="986">
        <v>0</v>
      </c>
      <c r="AN167" s="986">
        <v>0</v>
      </c>
      <c r="AO167" s="986">
        <v>0</v>
      </c>
      <c r="AP167" s="986">
        <v>0</v>
      </c>
      <c r="AQ167" s="986">
        <v>125.72</v>
      </c>
      <c r="AR167" s="986">
        <v>0</v>
      </c>
      <c r="AS167" s="986">
        <v>304.02</v>
      </c>
      <c r="AT167" s="986">
        <v>75.7</v>
      </c>
      <c r="AU167" s="986">
        <v>0</v>
      </c>
      <c r="AV167" s="986">
        <v>83.18</v>
      </c>
      <c r="AW167" s="986">
        <v>0</v>
      </c>
      <c r="AX167" s="986">
        <v>0</v>
      </c>
      <c r="AY167" s="986">
        <v>0</v>
      </c>
      <c r="AZ167" s="986">
        <v>143.88999999999999</v>
      </c>
      <c r="BA167" s="986">
        <v>0</v>
      </c>
      <c r="BB167" s="986">
        <v>0</v>
      </c>
      <c r="BC167" s="986">
        <v>0</v>
      </c>
      <c r="BD167" s="986">
        <v>0</v>
      </c>
      <c r="BF167" s="978"/>
    </row>
    <row r="168" spans="1:58" ht="15" customHeight="1">
      <c r="B168" s="983" t="s">
        <v>1024</v>
      </c>
      <c r="C168" s="984" t="s">
        <v>1025</v>
      </c>
      <c r="D168" s="989"/>
      <c r="E168" s="989"/>
      <c r="F168" s="989"/>
      <c r="G168" s="989"/>
      <c r="H168" s="989"/>
      <c r="I168" s="989"/>
      <c r="J168" s="989"/>
      <c r="K168" s="989"/>
      <c r="L168" s="989"/>
      <c r="M168" s="989"/>
      <c r="N168" s="989"/>
      <c r="O168" s="989"/>
      <c r="P168" s="989"/>
      <c r="Q168" s="989"/>
      <c r="R168" s="989"/>
      <c r="S168" s="989"/>
      <c r="T168" s="989"/>
      <c r="U168" s="989"/>
      <c r="V168" s="989"/>
      <c r="W168" s="989"/>
      <c r="X168" s="989"/>
      <c r="Y168" s="989"/>
      <c r="Z168" s="989"/>
      <c r="AA168" s="989"/>
      <c r="AB168" s="989"/>
      <c r="AC168" s="989"/>
      <c r="AD168" s="989"/>
      <c r="AE168" s="989"/>
      <c r="AF168" s="989"/>
      <c r="AG168" s="989"/>
      <c r="AH168" s="989"/>
      <c r="AI168" s="989"/>
      <c r="AJ168" s="989"/>
      <c r="AK168" s="989"/>
      <c r="AL168" s="989"/>
      <c r="AM168" s="989"/>
      <c r="AN168" s="989"/>
      <c r="AO168" s="989"/>
      <c r="AP168" s="989"/>
      <c r="AQ168" s="989"/>
      <c r="AR168" s="989"/>
      <c r="AS168" s="989"/>
      <c r="AT168" s="989"/>
      <c r="AU168" s="989"/>
      <c r="AV168" s="989"/>
      <c r="AW168" s="989"/>
      <c r="AX168" s="989"/>
      <c r="AY168" s="989"/>
      <c r="AZ168" s="989"/>
      <c r="BA168" s="989"/>
      <c r="BB168" s="989"/>
      <c r="BC168" s="989"/>
      <c r="BD168" s="989"/>
      <c r="BF168" s="978"/>
    </row>
    <row r="169" spans="1:58" ht="15" customHeight="1">
      <c r="B169" s="983" t="s">
        <v>1026</v>
      </c>
      <c r="C169" s="984" t="s">
        <v>1027</v>
      </c>
      <c r="D169" s="988">
        <v>0</v>
      </c>
      <c r="E169" s="988">
        <v>0</v>
      </c>
      <c r="F169" s="988">
        <v>0</v>
      </c>
      <c r="G169" s="988">
        <v>0</v>
      </c>
      <c r="H169" s="988">
        <v>0</v>
      </c>
      <c r="I169" s="988">
        <v>0</v>
      </c>
      <c r="J169" s="988">
        <v>0</v>
      </c>
      <c r="K169" s="988">
        <v>0</v>
      </c>
      <c r="L169" s="988">
        <v>0</v>
      </c>
      <c r="M169" s="988">
        <v>0</v>
      </c>
      <c r="N169" s="988">
        <v>0</v>
      </c>
      <c r="O169" s="988">
        <v>0</v>
      </c>
      <c r="P169" s="988">
        <v>0</v>
      </c>
      <c r="Q169" s="988">
        <v>0</v>
      </c>
      <c r="R169" s="988">
        <v>13217.85</v>
      </c>
      <c r="S169" s="988">
        <v>0</v>
      </c>
      <c r="T169" s="988">
        <v>0</v>
      </c>
      <c r="U169" s="988">
        <v>149993.56</v>
      </c>
      <c r="V169" s="988">
        <v>10201.19</v>
      </c>
      <c r="W169" s="988">
        <v>10428.23</v>
      </c>
      <c r="X169" s="988">
        <v>0</v>
      </c>
      <c r="Y169" s="988">
        <v>-5740.28</v>
      </c>
      <c r="Z169" s="988">
        <v>0</v>
      </c>
      <c r="AA169" s="988">
        <v>0</v>
      </c>
      <c r="AB169" s="988">
        <v>0</v>
      </c>
      <c r="AC169" s="988">
        <v>0</v>
      </c>
      <c r="AD169" s="988">
        <v>0</v>
      </c>
      <c r="AE169" s="988">
        <v>491.63</v>
      </c>
      <c r="AF169" s="988">
        <v>0</v>
      </c>
      <c r="AG169" s="988">
        <v>20658.62</v>
      </c>
      <c r="AH169" s="988">
        <v>0</v>
      </c>
      <c r="AI169" s="988">
        <v>0</v>
      </c>
      <c r="AJ169" s="988">
        <v>0</v>
      </c>
      <c r="AK169" s="988">
        <v>0</v>
      </c>
      <c r="AL169" s="988">
        <v>0</v>
      </c>
      <c r="AM169" s="988">
        <v>0</v>
      </c>
      <c r="AN169" s="988">
        <v>0</v>
      </c>
      <c r="AO169" s="988">
        <v>0</v>
      </c>
      <c r="AP169" s="988">
        <v>18347</v>
      </c>
      <c r="AQ169" s="988">
        <v>0</v>
      </c>
      <c r="AR169" s="988">
        <v>0</v>
      </c>
      <c r="AS169" s="988">
        <v>17126.87</v>
      </c>
      <c r="AT169" s="988">
        <v>0</v>
      </c>
      <c r="AU169" s="988">
        <v>0</v>
      </c>
      <c r="AV169" s="988">
        <v>0</v>
      </c>
      <c r="AW169" s="988">
        <v>0</v>
      </c>
      <c r="AX169" s="988">
        <v>0</v>
      </c>
      <c r="AY169" s="988">
        <v>0</v>
      </c>
      <c r="AZ169" s="988">
        <v>0</v>
      </c>
      <c r="BA169" s="988">
        <v>0</v>
      </c>
      <c r="BB169" s="988">
        <v>489075</v>
      </c>
      <c r="BC169" s="988">
        <v>0</v>
      </c>
      <c r="BD169" s="988">
        <v>0</v>
      </c>
      <c r="BF169" s="978"/>
    </row>
    <row r="170" spans="1:58" ht="15" customHeight="1">
      <c r="B170" s="983" t="s">
        <v>1028</v>
      </c>
      <c r="C170" s="984" t="s">
        <v>1029</v>
      </c>
      <c r="D170" s="987">
        <v>0</v>
      </c>
      <c r="E170" s="987">
        <v>0</v>
      </c>
      <c r="F170" s="987">
        <v>0</v>
      </c>
      <c r="G170" s="987">
        <v>0</v>
      </c>
      <c r="H170" s="987">
        <v>0</v>
      </c>
      <c r="I170" s="987">
        <v>0</v>
      </c>
      <c r="J170" s="987">
        <v>0</v>
      </c>
      <c r="K170" s="987">
        <v>0</v>
      </c>
      <c r="L170" s="987">
        <v>0</v>
      </c>
      <c r="M170" s="987">
        <v>0</v>
      </c>
      <c r="N170" s="987">
        <v>0</v>
      </c>
      <c r="O170" s="987">
        <v>0</v>
      </c>
      <c r="P170" s="987">
        <v>0</v>
      </c>
      <c r="Q170" s="987">
        <v>0</v>
      </c>
      <c r="R170" s="987">
        <v>13217.85</v>
      </c>
      <c r="S170" s="987">
        <v>0</v>
      </c>
      <c r="T170" s="987">
        <v>0</v>
      </c>
      <c r="U170" s="987">
        <v>149993.56</v>
      </c>
      <c r="V170" s="987">
        <v>10201.19</v>
      </c>
      <c r="W170" s="987">
        <v>10428.23</v>
      </c>
      <c r="X170" s="987">
        <v>0</v>
      </c>
      <c r="Y170" s="987">
        <v>-5740.28</v>
      </c>
      <c r="Z170" s="987">
        <v>0</v>
      </c>
      <c r="AA170" s="987">
        <v>0</v>
      </c>
      <c r="AB170" s="987">
        <v>0</v>
      </c>
      <c r="AC170" s="987">
        <v>0</v>
      </c>
      <c r="AD170" s="987">
        <v>0</v>
      </c>
      <c r="AE170" s="987">
        <v>491.63</v>
      </c>
      <c r="AF170" s="987">
        <v>0</v>
      </c>
      <c r="AG170" s="987">
        <v>20658.62</v>
      </c>
      <c r="AH170" s="987">
        <v>0</v>
      </c>
      <c r="AI170" s="987">
        <v>0</v>
      </c>
      <c r="AJ170" s="987">
        <v>0</v>
      </c>
      <c r="AK170" s="987">
        <v>0</v>
      </c>
      <c r="AL170" s="987">
        <v>0</v>
      </c>
      <c r="AM170" s="987">
        <v>0</v>
      </c>
      <c r="AN170" s="987">
        <v>0</v>
      </c>
      <c r="AO170" s="987">
        <v>0</v>
      </c>
      <c r="AP170" s="987">
        <v>18347</v>
      </c>
      <c r="AQ170" s="987">
        <v>0</v>
      </c>
      <c r="AR170" s="987">
        <v>0</v>
      </c>
      <c r="AS170" s="987">
        <v>17126.87</v>
      </c>
      <c r="AT170" s="987">
        <v>0</v>
      </c>
      <c r="AU170" s="987">
        <v>0</v>
      </c>
      <c r="AV170" s="987">
        <v>0</v>
      </c>
      <c r="AW170" s="987">
        <v>0</v>
      </c>
      <c r="AX170" s="987">
        <v>0</v>
      </c>
      <c r="AY170" s="987">
        <v>0</v>
      </c>
      <c r="AZ170" s="987">
        <v>0</v>
      </c>
      <c r="BA170" s="987">
        <v>0</v>
      </c>
      <c r="BB170" s="987">
        <v>489075</v>
      </c>
      <c r="BC170" s="987">
        <v>0</v>
      </c>
      <c r="BD170" s="987">
        <v>0</v>
      </c>
      <c r="BF170" s="978"/>
    </row>
    <row r="171" spans="1:58" ht="15" customHeight="1">
      <c r="B171" s="983" t="s">
        <v>822</v>
      </c>
      <c r="C171" s="984" t="s">
        <v>821</v>
      </c>
      <c r="D171" s="986">
        <v>0</v>
      </c>
      <c r="E171" s="986">
        <v>0</v>
      </c>
      <c r="F171" s="986">
        <v>4507.2299999999996</v>
      </c>
      <c r="G171" s="986">
        <v>215</v>
      </c>
      <c r="H171" s="986">
        <v>3739.41</v>
      </c>
      <c r="I171" s="986">
        <v>2025.25</v>
      </c>
      <c r="J171" s="986">
        <v>1265.9000000000001</v>
      </c>
      <c r="K171" s="986">
        <v>1250.57</v>
      </c>
      <c r="L171" s="986">
        <v>1260.0999999999999</v>
      </c>
      <c r="M171" s="986">
        <v>1284.33</v>
      </c>
      <c r="N171" s="986">
        <v>1644.19</v>
      </c>
      <c r="O171" s="986">
        <v>997.02</v>
      </c>
      <c r="P171" s="986">
        <v>1338.7</v>
      </c>
      <c r="Q171" s="986">
        <v>1455.63</v>
      </c>
      <c r="R171" s="986">
        <v>14622.27</v>
      </c>
      <c r="S171" s="986">
        <v>1536.34</v>
      </c>
      <c r="T171" s="986">
        <v>1288.52</v>
      </c>
      <c r="U171" s="986">
        <v>150935.67000000001</v>
      </c>
      <c r="V171" s="986">
        <v>11593.58</v>
      </c>
      <c r="W171" s="986">
        <v>11818.18</v>
      </c>
      <c r="X171" s="986">
        <v>1384.06</v>
      </c>
      <c r="Y171" s="986">
        <v>-4315.03</v>
      </c>
      <c r="Z171" s="986">
        <v>1552.35</v>
      </c>
      <c r="AA171" s="986">
        <v>1282.8399999999999</v>
      </c>
      <c r="AB171" s="986">
        <v>1945.79</v>
      </c>
      <c r="AC171" s="986">
        <v>1308.3699999999999</v>
      </c>
      <c r="AD171" s="986">
        <v>1502.97</v>
      </c>
      <c r="AE171" s="986">
        <v>1801.98</v>
      </c>
      <c r="AF171" s="986">
        <v>1300.3499999999999</v>
      </c>
      <c r="AG171" s="986">
        <v>22026.94</v>
      </c>
      <c r="AH171" s="986">
        <v>1422.52</v>
      </c>
      <c r="AI171" s="986">
        <v>1851.94</v>
      </c>
      <c r="AJ171" s="986">
        <v>1419.34</v>
      </c>
      <c r="AK171" s="986">
        <v>1877.33</v>
      </c>
      <c r="AL171" s="986">
        <v>1683.25</v>
      </c>
      <c r="AM171" s="986">
        <v>1491.06</v>
      </c>
      <c r="AN171" s="986">
        <v>1412.25</v>
      </c>
      <c r="AO171" s="986">
        <v>1647.15</v>
      </c>
      <c r="AP171" s="986">
        <v>19767.349999999999</v>
      </c>
      <c r="AQ171" s="986">
        <v>1508.99</v>
      </c>
      <c r="AR171" s="986">
        <v>1414.03</v>
      </c>
      <c r="AS171" s="986">
        <v>19152.34</v>
      </c>
      <c r="AT171" s="986">
        <v>1486.15</v>
      </c>
      <c r="AU171" s="986">
        <v>1315.5</v>
      </c>
      <c r="AV171" s="986">
        <v>5832.72</v>
      </c>
      <c r="AW171" s="986">
        <v>-2874.34</v>
      </c>
      <c r="AX171" s="986">
        <v>1656.09</v>
      </c>
      <c r="AY171" s="986">
        <v>1290.96</v>
      </c>
      <c r="AZ171" s="986">
        <v>1985.91</v>
      </c>
      <c r="BA171" s="986">
        <v>1371.75</v>
      </c>
      <c r="BB171" s="986">
        <v>490395.08</v>
      </c>
      <c r="BC171" s="986">
        <v>1354.58</v>
      </c>
      <c r="BD171" s="986">
        <v>1238.8599999999999</v>
      </c>
      <c r="BF171" s="978"/>
    </row>
    <row r="172" spans="1:58" ht="15" customHeight="1">
      <c r="B172" s="983" t="s">
        <v>978</v>
      </c>
      <c r="C172" s="984" t="s">
        <v>979</v>
      </c>
      <c r="D172" s="989"/>
      <c r="E172" s="989"/>
      <c r="F172" s="989"/>
      <c r="G172" s="989"/>
      <c r="H172" s="989"/>
      <c r="I172" s="989"/>
      <c r="J172" s="989"/>
      <c r="K172" s="989"/>
      <c r="L172" s="989"/>
      <c r="M172" s="989"/>
      <c r="N172" s="989"/>
      <c r="O172" s="989"/>
      <c r="P172" s="989"/>
      <c r="Q172" s="989"/>
      <c r="R172" s="989"/>
      <c r="S172" s="989"/>
      <c r="T172" s="989"/>
      <c r="U172" s="989"/>
      <c r="V172" s="989"/>
      <c r="W172" s="989"/>
      <c r="X172" s="989"/>
      <c r="Y172" s="989"/>
      <c r="Z172" s="989"/>
      <c r="AA172" s="989"/>
      <c r="AB172" s="989"/>
      <c r="AC172" s="989"/>
      <c r="AD172" s="989"/>
      <c r="AE172" s="989"/>
      <c r="AF172" s="989"/>
      <c r="AG172" s="989"/>
      <c r="AH172" s="989"/>
      <c r="AI172" s="989"/>
      <c r="AJ172" s="989"/>
      <c r="AK172" s="989"/>
      <c r="AL172" s="989"/>
      <c r="AM172" s="989"/>
      <c r="AN172" s="989"/>
      <c r="AO172" s="989"/>
      <c r="AP172" s="989"/>
      <c r="AQ172" s="989"/>
      <c r="AR172" s="989"/>
      <c r="AS172" s="989"/>
      <c r="AT172" s="989"/>
      <c r="AU172" s="989"/>
      <c r="AV172" s="989"/>
      <c r="AW172" s="989"/>
      <c r="AX172" s="989"/>
      <c r="AY172" s="989"/>
      <c r="AZ172" s="989"/>
      <c r="BA172" s="989"/>
      <c r="BB172" s="989"/>
      <c r="BC172" s="989"/>
      <c r="BD172" s="989"/>
      <c r="BF172" s="978"/>
    </row>
    <row r="173" spans="1:58" ht="15" customHeight="1">
      <c r="B173" s="983" t="s">
        <v>980</v>
      </c>
      <c r="C173" s="984" t="s">
        <v>981</v>
      </c>
      <c r="D173" s="990">
        <v>1000</v>
      </c>
      <c r="E173" s="990">
        <v>0</v>
      </c>
      <c r="F173" s="990">
        <v>0</v>
      </c>
      <c r="G173" s="990">
        <v>6000</v>
      </c>
      <c r="H173" s="990">
        <v>0</v>
      </c>
      <c r="I173" s="990">
        <v>0</v>
      </c>
      <c r="J173" s="990">
        <v>0</v>
      </c>
      <c r="K173" s="990">
        <v>0</v>
      </c>
      <c r="L173" s="990">
        <v>8025</v>
      </c>
      <c r="M173" s="990">
        <v>0</v>
      </c>
      <c r="N173" s="990">
        <v>0</v>
      </c>
      <c r="O173" s="990">
        <v>0</v>
      </c>
      <c r="P173" s="990">
        <v>0</v>
      </c>
      <c r="Q173" s="990">
        <v>6500</v>
      </c>
      <c r="R173" s="990">
        <v>0</v>
      </c>
      <c r="S173" s="990">
        <v>125</v>
      </c>
      <c r="T173" s="990">
        <v>0</v>
      </c>
      <c r="U173" s="990">
        <v>-14000</v>
      </c>
      <c r="V173" s="990">
        <v>0</v>
      </c>
      <c r="W173" s="990">
        <v>240</v>
      </c>
      <c r="X173" s="990">
        <v>0</v>
      </c>
      <c r="Y173" s="990">
        <v>0</v>
      </c>
      <c r="Z173" s="990">
        <v>0</v>
      </c>
      <c r="AA173" s="990">
        <v>0</v>
      </c>
      <c r="AB173" s="990">
        <v>0</v>
      </c>
      <c r="AC173" s="990">
        <v>115.62</v>
      </c>
      <c r="AD173" s="990">
        <v>46.25</v>
      </c>
      <c r="AE173" s="990">
        <v>1183.75</v>
      </c>
      <c r="AF173" s="990">
        <v>46.25</v>
      </c>
      <c r="AG173" s="990">
        <v>46.25</v>
      </c>
      <c r="AH173" s="990">
        <v>46.25</v>
      </c>
      <c r="AI173" s="990">
        <v>46.25</v>
      </c>
      <c r="AJ173" s="990">
        <v>46.25</v>
      </c>
      <c r="AK173" s="990">
        <v>46.25</v>
      </c>
      <c r="AL173" s="990">
        <v>46.25</v>
      </c>
      <c r="AM173" s="990">
        <v>46.25</v>
      </c>
      <c r="AN173" s="990">
        <v>397.58</v>
      </c>
      <c r="AO173" s="990">
        <v>51.25</v>
      </c>
      <c r="AP173" s="990">
        <v>51.25</v>
      </c>
      <c r="AQ173" s="990">
        <v>51.25</v>
      </c>
      <c r="AR173" s="990">
        <v>51.25</v>
      </c>
      <c r="AS173" s="990">
        <v>51.25</v>
      </c>
      <c r="AT173" s="990">
        <v>51.25</v>
      </c>
      <c r="AU173" s="990">
        <v>584.13</v>
      </c>
      <c r="AV173" s="990">
        <v>51.25</v>
      </c>
      <c r="AW173" s="990">
        <v>291.25</v>
      </c>
      <c r="AX173" s="990">
        <v>716.25</v>
      </c>
      <c r="AY173" s="990">
        <v>0</v>
      </c>
      <c r="AZ173" s="990">
        <v>0</v>
      </c>
      <c r="BA173" s="990">
        <v>0</v>
      </c>
      <c r="BB173" s="990">
        <v>0</v>
      </c>
      <c r="BC173" s="990">
        <v>0</v>
      </c>
      <c r="BD173" s="990">
        <v>310</v>
      </c>
      <c r="BF173" s="978"/>
    </row>
    <row r="174" spans="1:58" ht="15" customHeight="1">
      <c r="B174" s="983" t="s">
        <v>1277</v>
      </c>
      <c r="C174" s="984" t="s">
        <v>1276</v>
      </c>
      <c r="D174" s="988">
        <v>0</v>
      </c>
      <c r="E174" s="988">
        <v>0</v>
      </c>
      <c r="F174" s="988">
        <v>0</v>
      </c>
      <c r="G174" s="988">
        <v>0</v>
      </c>
      <c r="H174" s="988">
        <v>0</v>
      </c>
      <c r="I174" s="988">
        <v>2630.88</v>
      </c>
      <c r="J174" s="988">
        <v>0</v>
      </c>
      <c r="K174" s="988">
        <v>0</v>
      </c>
      <c r="L174" s="988">
        <v>0</v>
      </c>
      <c r="M174" s="988">
        <v>1720</v>
      </c>
      <c r="N174" s="988">
        <v>3272.89</v>
      </c>
      <c r="O174" s="988">
        <v>15391.88</v>
      </c>
      <c r="P174" s="988">
        <v>150</v>
      </c>
      <c r="Q174" s="988">
        <v>0</v>
      </c>
      <c r="R174" s="988">
        <v>7533.53</v>
      </c>
      <c r="S174" s="988">
        <v>1566.84</v>
      </c>
      <c r="T174" s="988">
        <v>9800</v>
      </c>
      <c r="U174" s="988">
        <v>-39285.14</v>
      </c>
      <c r="V174" s="988">
        <v>0</v>
      </c>
      <c r="W174" s="988">
        <v>122.6</v>
      </c>
      <c r="X174" s="988">
        <v>0</v>
      </c>
      <c r="Y174" s="988">
        <v>0</v>
      </c>
      <c r="Z174" s="988">
        <v>0</v>
      </c>
      <c r="AA174" s="988">
        <v>0</v>
      </c>
      <c r="AB174" s="988">
        <v>0</v>
      </c>
      <c r="AC174" s="988">
        <v>0</v>
      </c>
      <c r="AD174" s="988">
        <v>0</v>
      </c>
      <c r="AE174" s="988">
        <v>0</v>
      </c>
      <c r="AF174" s="988">
        <v>0</v>
      </c>
      <c r="AG174" s="988">
        <v>400</v>
      </c>
      <c r="AH174" s="988">
        <v>0</v>
      </c>
      <c r="AI174" s="988">
        <v>0</v>
      </c>
      <c r="AJ174" s="988">
        <v>0</v>
      </c>
      <c r="AK174" s="988">
        <v>250</v>
      </c>
      <c r="AL174" s="988">
        <v>0</v>
      </c>
      <c r="AM174" s="988">
        <v>0</v>
      </c>
      <c r="AN174" s="988">
        <v>0</v>
      </c>
      <c r="AO174" s="988">
        <v>0</v>
      </c>
      <c r="AP174" s="988">
        <v>5506</v>
      </c>
      <c r="AQ174" s="988">
        <v>15785.59</v>
      </c>
      <c r="AR174" s="988">
        <v>-7737.09</v>
      </c>
      <c r="AS174" s="988">
        <v>1000</v>
      </c>
      <c r="AT174" s="988">
        <v>254.26</v>
      </c>
      <c r="AU174" s="988">
        <v>0</v>
      </c>
      <c r="AV174" s="988">
        <v>0</v>
      </c>
      <c r="AW174" s="988">
        <v>250</v>
      </c>
      <c r="AX174" s="988">
        <v>0</v>
      </c>
      <c r="AY174" s="988">
        <v>8645.7800000000007</v>
      </c>
      <c r="AZ174" s="988">
        <v>0</v>
      </c>
      <c r="BA174" s="988">
        <v>0</v>
      </c>
      <c r="BB174" s="988">
        <v>0</v>
      </c>
      <c r="BC174" s="988">
        <v>0</v>
      </c>
      <c r="BD174" s="988">
        <v>0</v>
      </c>
      <c r="BF174" s="978"/>
    </row>
    <row r="175" spans="1:58" ht="15" customHeight="1">
      <c r="B175" s="983" t="s">
        <v>982</v>
      </c>
      <c r="C175" s="984" t="s">
        <v>983</v>
      </c>
      <c r="D175" s="987">
        <v>1000</v>
      </c>
      <c r="E175" s="987">
        <v>0</v>
      </c>
      <c r="F175" s="987">
        <v>0</v>
      </c>
      <c r="G175" s="987">
        <v>6000</v>
      </c>
      <c r="H175" s="987">
        <v>0</v>
      </c>
      <c r="I175" s="987">
        <v>2630.88</v>
      </c>
      <c r="J175" s="987">
        <v>0</v>
      </c>
      <c r="K175" s="987">
        <v>0</v>
      </c>
      <c r="L175" s="987">
        <v>8025</v>
      </c>
      <c r="M175" s="987">
        <v>1720</v>
      </c>
      <c r="N175" s="987">
        <v>3272.89</v>
      </c>
      <c r="O175" s="987">
        <v>15391.88</v>
      </c>
      <c r="P175" s="987">
        <v>150</v>
      </c>
      <c r="Q175" s="987">
        <v>6500</v>
      </c>
      <c r="R175" s="987">
        <v>7533.53</v>
      </c>
      <c r="S175" s="987">
        <v>1691.84</v>
      </c>
      <c r="T175" s="987">
        <v>9800</v>
      </c>
      <c r="U175" s="987">
        <v>-53285.14</v>
      </c>
      <c r="V175" s="987">
        <v>0</v>
      </c>
      <c r="W175" s="987">
        <v>362.6</v>
      </c>
      <c r="X175" s="987">
        <v>0</v>
      </c>
      <c r="Y175" s="987">
        <v>0</v>
      </c>
      <c r="Z175" s="987">
        <v>0</v>
      </c>
      <c r="AA175" s="987">
        <v>0</v>
      </c>
      <c r="AB175" s="987">
        <v>0</v>
      </c>
      <c r="AC175" s="987">
        <v>115.62</v>
      </c>
      <c r="AD175" s="987">
        <v>46.25</v>
      </c>
      <c r="AE175" s="987">
        <v>1183.75</v>
      </c>
      <c r="AF175" s="987">
        <v>46.25</v>
      </c>
      <c r="AG175" s="987">
        <v>446.25</v>
      </c>
      <c r="AH175" s="987">
        <v>46.25</v>
      </c>
      <c r="AI175" s="987">
        <v>46.25</v>
      </c>
      <c r="AJ175" s="987">
        <v>46.25</v>
      </c>
      <c r="AK175" s="987">
        <v>296.25</v>
      </c>
      <c r="AL175" s="987">
        <v>46.25</v>
      </c>
      <c r="AM175" s="987">
        <v>46.25</v>
      </c>
      <c r="AN175" s="987">
        <v>397.58</v>
      </c>
      <c r="AO175" s="987">
        <v>51.25</v>
      </c>
      <c r="AP175" s="987">
        <v>5557.25</v>
      </c>
      <c r="AQ175" s="987">
        <v>15836.84</v>
      </c>
      <c r="AR175" s="987">
        <v>-7685.84</v>
      </c>
      <c r="AS175" s="987">
        <v>1051.25</v>
      </c>
      <c r="AT175" s="987">
        <v>305.51</v>
      </c>
      <c r="AU175" s="987">
        <v>584.13</v>
      </c>
      <c r="AV175" s="987">
        <v>51.25</v>
      </c>
      <c r="AW175" s="987">
        <v>541.25</v>
      </c>
      <c r="AX175" s="987">
        <v>716.25</v>
      </c>
      <c r="AY175" s="987">
        <v>8645.7800000000007</v>
      </c>
      <c r="AZ175" s="987">
        <v>0</v>
      </c>
      <c r="BA175" s="987">
        <v>0</v>
      </c>
      <c r="BB175" s="987">
        <v>0</v>
      </c>
      <c r="BC175" s="987">
        <v>0</v>
      </c>
      <c r="BD175" s="987">
        <v>310</v>
      </c>
      <c r="BF175" s="978"/>
    </row>
    <row r="176" spans="1:58" ht="15" customHeight="1">
      <c r="A176" s="977" t="s">
        <v>1241</v>
      </c>
      <c r="B176" s="983" t="s">
        <v>984</v>
      </c>
      <c r="C176" s="984" t="s">
        <v>985</v>
      </c>
      <c r="D176" s="986">
        <v>1000</v>
      </c>
      <c r="E176" s="986">
        <v>0</v>
      </c>
      <c r="F176" s="986">
        <v>0</v>
      </c>
      <c r="G176" s="986">
        <v>6000</v>
      </c>
      <c r="H176" s="986">
        <v>0</v>
      </c>
      <c r="I176" s="986">
        <v>2630.88</v>
      </c>
      <c r="J176" s="986">
        <v>0</v>
      </c>
      <c r="K176" s="986">
        <v>0</v>
      </c>
      <c r="L176" s="986">
        <v>8025</v>
      </c>
      <c r="M176" s="986">
        <v>1720</v>
      </c>
      <c r="N176" s="986">
        <v>3272.89</v>
      </c>
      <c r="O176" s="986">
        <v>15391.88</v>
      </c>
      <c r="P176" s="986">
        <v>150</v>
      </c>
      <c r="Q176" s="986">
        <v>6500</v>
      </c>
      <c r="R176" s="986">
        <v>7533.53</v>
      </c>
      <c r="S176" s="986">
        <v>1691.84</v>
      </c>
      <c r="T176" s="986">
        <v>9800</v>
      </c>
      <c r="U176" s="986">
        <v>-53285.14</v>
      </c>
      <c r="V176" s="986">
        <v>0</v>
      </c>
      <c r="W176" s="986">
        <v>362.6</v>
      </c>
      <c r="X176" s="986">
        <v>0</v>
      </c>
      <c r="Y176" s="986">
        <v>0</v>
      </c>
      <c r="Z176" s="986">
        <v>0</v>
      </c>
      <c r="AA176" s="986">
        <v>0</v>
      </c>
      <c r="AB176" s="986">
        <v>0</v>
      </c>
      <c r="AC176" s="986">
        <v>115.62</v>
      </c>
      <c r="AD176" s="986">
        <v>46.25</v>
      </c>
      <c r="AE176" s="986">
        <v>1183.75</v>
      </c>
      <c r="AF176" s="986">
        <v>46.25</v>
      </c>
      <c r="AG176" s="986">
        <v>446.25</v>
      </c>
      <c r="AH176" s="986">
        <v>46.25</v>
      </c>
      <c r="AI176" s="986">
        <v>46.25</v>
      </c>
      <c r="AJ176" s="986">
        <v>46.25</v>
      </c>
      <c r="AK176" s="986">
        <v>296.25</v>
      </c>
      <c r="AL176" s="986">
        <v>46.25</v>
      </c>
      <c r="AM176" s="986">
        <v>46.25</v>
      </c>
      <c r="AN176" s="986">
        <v>397.58</v>
      </c>
      <c r="AO176" s="986">
        <v>51.25</v>
      </c>
      <c r="AP176" s="986">
        <v>5557.25</v>
      </c>
      <c r="AQ176" s="986">
        <v>15836.84</v>
      </c>
      <c r="AR176" s="986">
        <v>-7685.84</v>
      </c>
      <c r="AS176" s="986">
        <v>1051.25</v>
      </c>
      <c r="AT176" s="986">
        <v>305.51</v>
      </c>
      <c r="AU176" s="986">
        <v>584.13</v>
      </c>
      <c r="AV176" s="986">
        <v>51.25</v>
      </c>
      <c r="AW176" s="986">
        <v>541.25</v>
      </c>
      <c r="AX176" s="986">
        <v>716.25</v>
      </c>
      <c r="AY176" s="986">
        <v>8645.7800000000007</v>
      </c>
      <c r="AZ176" s="986">
        <v>0</v>
      </c>
      <c r="BA176" s="986">
        <v>0</v>
      </c>
      <c r="BB176" s="986">
        <v>0</v>
      </c>
      <c r="BC176" s="986">
        <v>0</v>
      </c>
      <c r="BD176" s="986">
        <v>310</v>
      </c>
      <c r="BF176" s="978"/>
    </row>
    <row r="177" spans="1:58" ht="15" customHeight="1">
      <c r="B177" s="983" t="s">
        <v>820</v>
      </c>
      <c r="C177" s="984" t="s">
        <v>806</v>
      </c>
      <c r="D177" s="989"/>
      <c r="E177" s="989"/>
      <c r="F177" s="989"/>
      <c r="G177" s="989"/>
      <c r="H177" s="989"/>
      <c r="I177" s="989"/>
      <c r="J177" s="989"/>
      <c r="K177" s="989"/>
      <c r="L177" s="989"/>
      <c r="M177" s="989"/>
      <c r="N177" s="989"/>
      <c r="O177" s="989"/>
      <c r="P177" s="989"/>
      <c r="Q177" s="989"/>
      <c r="R177" s="989"/>
      <c r="S177" s="989"/>
      <c r="T177" s="989"/>
      <c r="U177" s="989"/>
      <c r="V177" s="989"/>
      <c r="W177" s="989"/>
      <c r="X177" s="989"/>
      <c r="Y177" s="989"/>
      <c r="Z177" s="989"/>
      <c r="AA177" s="989"/>
      <c r="AB177" s="989"/>
      <c r="AC177" s="989"/>
      <c r="AD177" s="989"/>
      <c r="AE177" s="989"/>
      <c r="AF177" s="989"/>
      <c r="AG177" s="989"/>
      <c r="AH177" s="989"/>
      <c r="AI177" s="989"/>
      <c r="AJ177" s="989"/>
      <c r="AK177" s="989"/>
      <c r="AL177" s="989"/>
      <c r="AM177" s="989"/>
      <c r="AN177" s="989"/>
      <c r="AO177" s="989"/>
      <c r="AP177" s="989"/>
      <c r="AQ177" s="989"/>
      <c r="AR177" s="989"/>
      <c r="AS177" s="989"/>
      <c r="AT177" s="989"/>
      <c r="AU177" s="989"/>
      <c r="AV177" s="989"/>
      <c r="AW177" s="989"/>
      <c r="AX177" s="989"/>
      <c r="AY177" s="989"/>
      <c r="AZ177" s="989"/>
      <c r="BA177" s="989"/>
      <c r="BB177" s="989"/>
      <c r="BC177" s="989"/>
      <c r="BD177" s="989"/>
      <c r="BF177" s="978"/>
    </row>
    <row r="178" spans="1:58" ht="15" customHeight="1">
      <c r="B178" s="983" t="s">
        <v>1275</v>
      </c>
      <c r="C178" s="984" t="s">
        <v>1274</v>
      </c>
      <c r="D178" s="989"/>
      <c r="E178" s="989"/>
      <c r="F178" s="989"/>
      <c r="G178" s="989"/>
      <c r="H178" s="989"/>
      <c r="I178" s="989"/>
      <c r="J178" s="989"/>
      <c r="K178" s="989"/>
      <c r="L178" s="989"/>
      <c r="M178" s="989"/>
      <c r="N178" s="989"/>
      <c r="O178" s="989"/>
      <c r="P178" s="989"/>
      <c r="Q178" s="989"/>
      <c r="R178" s="989"/>
      <c r="S178" s="989"/>
      <c r="T178" s="989"/>
      <c r="U178" s="989"/>
      <c r="V178" s="989"/>
      <c r="W178" s="989"/>
      <c r="X178" s="989"/>
      <c r="Y178" s="989"/>
      <c r="Z178" s="989"/>
      <c r="AA178" s="989"/>
      <c r="AB178" s="989"/>
      <c r="AC178" s="989"/>
      <c r="AD178" s="989"/>
      <c r="AE178" s="989"/>
      <c r="AF178" s="989"/>
      <c r="AG178" s="989"/>
      <c r="AH178" s="989"/>
      <c r="AI178" s="989"/>
      <c r="AJ178" s="989"/>
      <c r="AK178" s="989"/>
      <c r="AL178" s="989"/>
      <c r="AM178" s="989"/>
      <c r="AN178" s="989"/>
      <c r="AO178" s="989"/>
      <c r="AP178" s="989"/>
      <c r="AQ178" s="989"/>
      <c r="AR178" s="989"/>
      <c r="AS178" s="989"/>
      <c r="AT178" s="989"/>
      <c r="AU178" s="989"/>
      <c r="AV178" s="989"/>
      <c r="AW178" s="989"/>
      <c r="AX178" s="989"/>
      <c r="AY178" s="989"/>
      <c r="AZ178" s="989"/>
      <c r="BA178" s="989"/>
      <c r="BB178" s="989"/>
      <c r="BC178" s="989"/>
      <c r="BD178" s="989"/>
      <c r="BF178" s="978"/>
    </row>
    <row r="179" spans="1:58" ht="15" customHeight="1">
      <c r="B179" s="983" t="s">
        <v>1273</v>
      </c>
      <c r="C179" s="984" t="s">
        <v>1272</v>
      </c>
      <c r="D179" s="990">
        <v>0</v>
      </c>
      <c r="E179" s="990">
        <v>0</v>
      </c>
      <c r="F179" s="990">
        <v>3696</v>
      </c>
      <c r="G179" s="990">
        <v>0</v>
      </c>
      <c r="H179" s="990">
        <v>3288.82</v>
      </c>
      <c r="I179" s="990">
        <v>2312.5</v>
      </c>
      <c r="J179" s="990">
        <v>0</v>
      </c>
      <c r="K179" s="990">
        <v>0</v>
      </c>
      <c r="L179" s="990">
        <v>0</v>
      </c>
      <c r="M179" s="990">
        <v>0</v>
      </c>
      <c r="N179" s="990">
        <v>0</v>
      </c>
      <c r="O179" s="990">
        <v>0</v>
      </c>
      <c r="P179" s="990">
        <v>0</v>
      </c>
      <c r="Q179" s="990">
        <v>0</v>
      </c>
      <c r="R179" s="990">
        <v>0</v>
      </c>
      <c r="S179" s="990">
        <v>0</v>
      </c>
      <c r="T179" s="990">
        <v>0</v>
      </c>
      <c r="U179" s="990">
        <v>0</v>
      </c>
      <c r="V179" s="990">
        <v>0</v>
      </c>
      <c r="W179" s="990">
        <v>0</v>
      </c>
      <c r="X179" s="990">
        <v>0</v>
      </c>
      <c r="Y179" s="990">
        <v>0</v>
      </c>
      <c r="Z179" s="990">
        <v>0</v>
      </c>
      <c r="AA179" s="990">
        <v>0</v>
      </c>
      <c r="AB179" s="990">
        <v>0</v>
      </c>
      <c r="AC179" s="990">
        <v>0</v>
      </c>
      <c r="AD179" s="990">
        <v>0</v>
      </c>
      <c r="AE179" s="990">
        <v>0</v>
      </c>
      <c r="AF179" s="990">
        <v>0</v>
      </c>
      <c r="AG179" s="990">
        <v>0</v>
      </c>
      <c r="AH179" s="990">
        <v>0</v>
      </c>
      <c r="AI179" s="990">
        <v>0</v>
      </c>
      <c r="AJ179" s="990">
        <v>0</v>
      </c>
      <c r="AK179" s="990">
        <v>0</v>
      </c>
      <c r="AL179" s="990">
        <v>0</v>
      </c>
      <c r="AM179" s="990">
        <v>0</v>
      </c>
      <c r="AN179" s="990">
        <v>0</v>
      </c>
      <c r="AO179" s="990">
        <v>0</v>
      </c>
      <c r="AP179" s="990">
        <v>0</v>
      </c>
      <c r="AQ179" s="990">
        <v>0</v>
      </c>
      <c r="AR179" s="990">
        <v>0</v>
      </c>
      <c r="AS179" s="990">
        <v>0</v>
      </c>
      <c r="AT179" s="990">
        <v>0</v>
      </c>
      <c r="AU179" s="990">
        <v>0</v>
      </c>
      <c r="AV179" s="990">
        <v>0</v>
      </c>
      <c r="AW179" s="990">
        <v>0</v>
      </c>
      <c r="AX179" s="990">
        <v>0</v>
      </c>
      <c r="AY179" s="990">
        <v>0</v>
      </c>
      <c r="AZ179" s="990">
        <v>0</v>
      </c>
      <c r="BA179" s="990">
        <v>0</v>
      </c>
      <c r="BB179" s="990">
        <v>0</v>
      </c>
      <c r="BC179" s="990">
        <v>0</v>
      </c>
      <c r="BD179" s="990">
        <v>0</v>
      </c>
      <c r="BF179" s="978"/>
    </row>
    <row r="180" spans="1:58" ht="15" customHeight="1">
      <c r="B180" s="983" t="s">
        <v>1271</v>
      </c>
      <c r="C180" s="984" t="s">
        <v>1270</v>
      </c>
      <c r="D180" s="990">
        <v>0</v>
      </c>
      <c r="E180" s="990">
        <v>0</v>
      </c>
      <c r="F180" s="990">
        <v>0</v>
      </c>
      <c r="G180" s="990">
        <v>0</v>
      </c>
      <c r="H180" s="990">
        <v>0</v>
      </c>
      <c r="I180" s="990">
        <v>18914.189999999999</v>
      </c>
      <c r="J180" s="990">
        <v>0</v>
      </c>
      <c r="K180" s="990">
        <v>0</v>
      </c>
      <c r="L180" s="990">
        <v>0</v>
      </c>
      <c r="M180" s="990">
        <v>0</v>
      </c>
      <c r="N180" s="990">
        <v>0</v>
      </c>
      <c r="O180" s="990">
        <v>0</v>
      </c>
      <c r="P180" s="990">
        <v>0</v>
      </c>
      <c r="Q180" s="990">
        <v>0</v>
      </c>
      <c r="R180" s="990">
        <v>0</v>
      </c>
      <c r="S180" s="990">
        <v>0</v>
      </c>
      <c r="T180" s="990">
        <v>0</v>
      </c>
      <c r="U180" s="990">
        <v>0</v>
      </c>
      <c r="V180" s="990">
        <v>0</v>
      </c>
      <c r="W180" s="990">
        <v>0</v>
      </c>
      <c r="X180" s="990">
        <v>0</v>
      </c>
      <c r="Y180" s="990">
        <v>0</v>
      </c>
      <c r="Z180" s="990">
        <v>0</v>
      </c>
      <c r="AA180" s="990">
        <v>0</v>
      </c>
      <c r="AB180" s="990">
        <v>0</v>
      </c>
      <c r="AC180" s="990">
        <v>0</v>
      </c>
      <c r="AD180" s="990">
        <v>0</v>
      </c>
      <c r="AE180" s="990">
        <v>0</v>
      </c>
      <c r="AF180" s="990">
        <v>0</v>
      </c>
      <c r="AG180" s="990">
        <v>0</v>
      </c>
      <c r="AH180" s="990">
        <v>0</v>
      </c>
      <c r="AI180" s="990">
        <v>0</v>
      </c>
      <c r="AJ180" s="990">
        <v>0</v>
      </c>
      <c r="AK180" s="990">
        <v>0</v>
      </c>
      <c r="AL180" s="990">
        <v>0</v>
      </c>
      <c r="AM180" s="990">
        <v>0</v>
      </c>
      <c r="AN180" s="990">
        <v>0</v>
      </c>
      <c r="AO180" s="990">
        <v>0</v>
      </c>
      <c r="AP180" s="990">
        <v>0</v>
      </c>
      <c r="AQ180" s="990">
        <v>0</v>
      </c>
      <c r="AR180" s="990">
        <v>0</v>
      </c>
      <c r="AS180" s="990">
        <v>0</v>
      </c>
      <c r="AT180" s="990">
        <v>0</v>
      </c>
      <c r="AU180" s="990">
        <v>0</v>
      </c>
      <c r="AV180" s="990">
        <v>0</v>
      </c>
      <c r="AW180" s="990">
        <v>0</v>
      </c>
      <c r="AX180" s="990">
        <v>0</v>
      </c>
      <c r="AY180" s="990">
        <v>0</v>
      </c>
      <c r="AZ180" s="990">
        <v>0</v>
      </c>
      <c r="BA180" s="990">
        <v>0</v>
      </c>
      <c r="BB180" s="990">
        <v>0</v>
      </c>
      <c r="BC180" s="990">
        <v>0</v>
      </c>
      <c r="BD180" s="990">
        <v>0</v>
      </c>
      <c r="BF180" s="978"/>
    </row>
    <row r="181" spans="1:58" ht="15" customHeight="1">
      <c r="B181" s="983" t="s">
        <v>1269</v>
      </c>
      <c r="C181" s="984" t="s">
        <v>1268</v>
      </c>
      <c r="D181" s="990">
        <v>0</v>
      </c>
      <c r="E181" s="990">
        <v>0</v>
      </c>
      <c r="F181" s="990">
        <v>0</v>
      </c>
      <c r="G181" s="990">
        <v>9377.5</v>
      </c>
      <c r="H181" s="990">
        <v>0</v>
      </c>
      <c r="I181" s="990">
        <v>0</v>
      </c>
      <c r="J181" s="990">
        <v>0</v>
      </c>
      <c r="K181" s="990">
        <v>0</v>
      </c>
      <c r="L181" s="990">
        <v>6415.04</v>
      </c>
      <c r="M181" s="990">
        <v>0</v>
      </c>
      <c r="N181" s="990">
        <v>0</v>
      </c>
      <c r="O181" s="990">
        <v>0</v>
      </c>
      <c r="P181" s="990">
        <v>0</v>
      </c>
      <c r="Q181" s="990">
        <v>0</v>
      </c>
      <c r="R181" s="990">
        <v>0</v>
      </c>
      <c r="S181" s="990">
        <v>0</v>
      </c>
      <c r="T181" s="990">
        <v>0</v>
      </c>
      <c r="U181" s="990">
        <v>0</v>
      </c>
      <c r="V181" s="990">
        <v>0</v>
      </c>
      <c r="W181" s="990">
        <v>0</v>
      </c>
      <c r="X181" s="990">
        <v>0</v>
      </c>
      <c r="Y181" s="990">
        <v>0</v>
      </c>
      <c r="Z181" s="990">
        <v>0</v>
      </c>
      <c r="AA181" s="990">
        <v>0</v>
      </c>
      <c r="AB181" s="990">
        <v>0</v>
      </c>
      <c r="AC181" s="990">
        <v>0</v>
      </c>
      <c r="AD181" s="990">
        <v>0</v>
      </c>
      <c r="AE181" s="990">
        <v>0</v>
      </c>
      <c r="AF181" s="990">
        <v>0</v>
      </c>
      <c r="AG181" s="990">
        <v>0</v>
      </c>
      <c r="AH181" s="990">
        <v>0</v>
      </c>
      <c r="AI181" s="990">
        <v>0</v>
      </c>
      <c r="AJ181" s="990">
        <v>0</v>
      </c>
      <c r="AK181" s="990">
        <v>0</v>
      </c>
      <c r="AL181" s="990">
        <v>0</v>
      </c>
      <c r="AM181" s="990">
        <v>0</v>
      </c>
      <c r="AN181" s="990">
        <v>0</v>
      </c>
      <c r="AO181" s="990">
        <v>0</v>
      </c>
      <c r="AP181" s="990">
        <v>0</v>
      </c>
      <c r="AQ181" s="990">
        <v>0</v>
      </c>
      <c r="AR181" s="990">
        <v>0</v>
      </c>
      <c r="AS181" s="990">
        <v>0</v>
      </c>
      <c r="AT181" s="990">
        <v>0</v>
      </c>
      <c r="AU181" s="990">
        <v>0</v>
      </c>
      <c r="AV181" s="990">
        <v>0</v>
      </c>
      <c r="AW181" s="990">
        <v>0</v>
      </c>
      <c r="AX181" s="990">
        <v>0</v>
      </c>
      <c r="AY181" s="990">
        <v>0</v>
      </c>
      <c r="AZ181" s="990">
        <v>0</v>
      </c>
      <c r="BA181" s="990">
        <v>0</v>
      </c>
      <c r="BB181" s="990">
        <v>0</v>
      </c>
      <c r="BC181" s="990">
        <v>0</v>
      </c>
      <c r="BD181" s="990">
        <v>0</v>
      </c>
      <c r="BF181" s="978"/>
    </row>
    <row r="182" spans="1:58" ht="15" customHeight="1">
      <c r="B182" s="983" t="s">
        <v>1267</v>
      </c>
      <c r="C182" s="984" t="s">
        <v>1266</v>
      </c>
      <c r="D182" s="990">
        <v>0</v>
      </c>
      <c r="E182" s="990">
        <v>0</v>
      </c>
      <c r="F182" s="990">
        <v>0</v>
      </c>
      <c r="G182" s="990">
        <v>986.86</v>
      </c>
      <c r="H182" s="990">
        <v>0</v>
      </c>
      <c r="I182" s="990">
        <v>11733.33</v>
      </c>
      <c r="J182" s="990">
        <v>0</v>
      </c>
      <c r="K182" s="990">
        <v>0</v>
      </c>
      <c r="L182" s="990">
        <v>0</v>
      </c>
      <c r="M182" s="990">
        <v>495</v>
      </c>
      <c r="N182" s="990">
        <v>0</v>
      </c>
      <c r="O182" s="990">
        <v>58055.79</v>
      </c>
      <c r="P182" s="990">
        <v>0</v>
      </c>
      <c r="Q182" s="990">
        <v>5250.23</v>
      </c>
      <c r="R182" s="990">
        <v>3247.3</v>
      </c>
      <c r="S182" s="990">
        <v>0</v>
      </c>
      <c r="T182" s="990">
        <v>0</v>
      </c>
      <c r="U182" s="990">
        <v>0</v>
      </c>
      <c r="V182" s="990">
        <v>1480</v>
      </c>
      <c r="W182" s="990">
        <v>-1480</v>
      </c>
      <c r="X182" s="990">
        <v>1625</v>
      </c>
      <c r="Y182" s="990">
        <v>2748.21</v>
      </c>
      <c r="Z182" s="990">
        <v>412.28</v>
      </c>
      <c r="AA182" s="990">
        <v>0</v>
      </c>
      <c r="AB182" s="990">
        <v>160</v>
      </c>
      <c r="AC182" s="990">
        <v>0</v>
      </c>
      <c r="AD182" s="990">
        <v>0</v>
      </c>
      <c r="AE182" s="990">
        <v>0</v>
      </c>
      <c r="AF182" s="990">
        <v>0</v>
      </c>
      <c r="AG182" s="990">
        <v>0</v>
      </c>
      <c r="AH182" s="990">
        <v>1437.1</v>
      </c>
      <c r="AI182" s="990">
        <v>90</v>
      </c>
      <c r="AJ182" s="990">
        <v>0</v>
      </c>
      <c r="AK182" s="990">
        <v>954</v>
      </c>
      <c r="AL182" s="990">
        <v>2749.83</v>
      </c>
      <c r="AM182" s="990">
        <v>0</v>
      </c>
      <c r="AN182" s="990">
        <v>5000</v>
      </c>
      <c r="AO182" s="990">
        <v>0</v>
      </c>
      <c r="AP182" s="990">
        <v>1615</v>
      </c>
      <c r="AQ182" s="990">
        <v>0</v>
      </c>
      <c r="AR182" s="990">
        <v>2848.4</v>
      </c>
      <c r="AS182" s="990">
        <v>3021.24</v>
      </c>
      <c r="AT182" s="990">
        <v>5478.25</v>
      </c>
      <c r="AU182" s="990">
        <v>217.4</v>
      </c>
      <c r="AV182" s="990">
        <v>853.6</v>
      </c>
      <c r="AW182" s="990">
        <v>332.65</v>
      </c>
      <c r="AX182" s="990">
        <v>0</v>
      </c>
      <c r="AY182" s="990">
        <v>259.14999999999998</v>
      </c>
      <c r="AZ182" s="990">
        <v>150</v>
      </c>
      <c r="BA182" s="990">
        <v>0</v>
      </c>
      <c r="BB182" s="990">
        <v>0</v>
      </c>
      <c r="BC182" s="990">
        <v>0</v>
      </c>
      <c r="BD182" s="990">
        <v>0</v>
      </c>
      <c r="BF182" s="978"/>
    </row>
    <row r="183" spans="1:58" ht="15" customHeight="1">
      <c r="B183" s="983" t="s">
        <v>1265</v>
      </c>
      <c r="C183" s="984" t="s">
        <v>1264</v>
      </c>
      <c r="D183" s="990">
        <v>0</v>
      </c>
      <c r="E183" s="990">
        <v>0</v>
      </c>
      <c r="F183" s="990">
        <v>0</v>
      </c>
      <c r="G183" s="990">
        <v>4772.74</v>
      </c>
      <c r="H183" s="990">
        <v>0</v>
      </c>
      <c r="I183" s="990">
        <v>0</v>
      </c>
      <c r="J183" s="990">
        <v>4500</v>
      </c>
      <c r="K183" s="990">
        <v>0</v>
      </c>
      <c r="L183" s="990">
        <v>0</v>
      </c>
      <c r="M183" s="990">
        <v>0</v>
      </c>
      <c r="N183" s="990">
        <v>0</v>
      </c>
      <c r="O183" s="990">
        <v>0</v>
      </c>
      <c r="P183" s="990">
        <v>0</v>
      </c>
      <c r="Q183" s="990">
        <v>0</v>
      </c>
      <c r="R183" s="990">
        <v>-4500</v>
      </c>
      <c r="S183" s="990">
        <v>0</v>
      </c>
      <c r="T183" s="990">
        <v>0</v>
      </c>
      <c r="U183" s="990">
        <v>0</v>
      </c>
      <c r="V183" s="990">
        <v>0</v>
      </c>
      <c r="W183" s="990">
        <v>0</v>
      </c>
      <c r="X183" s="990">
        <v>0</v>
      </c>
      <c r="Y183" s="990">
        <v>0</v>
      </c>
      <c r="Z183" s="990">
        <v>0</v>
      </c>
      <c r="AA183" s="990">
        <v>0</v>
      </c>
      <c r="AB183" s="990">
        <v>0</v>
      </c>
      <c r="AC183" s="990">
        <v>0</v>
      </c>
      <c r="AD183" s="990">
        <v>0</v>
      </c>
      <c r="AE183" s="990">
        <v>0</v>
      </c>
      <c r="AF183" s="990">
        <v>0</v>
      </c>
      <c r="AG183" s="990">
        <v>0</v>
      </c>
      <c r="AH183" s="990">
        <v>0</v>
      </c>
      <c r="AI183" s="990">
        <v>0</v>
      </c>
      <c r="AJ183" s="990">
        <v>0</v>
      </c>
      <c r="AK183" s="990">
        <v>0</v>
      </c>
      <c r="AL183" s="990">
        <v>0</v>
      </c>
      <c r="AM183" s="990">
        <v>0</v>
      </c>
      <c r="AN183" s="990">
        <v>0</v>
      </c>
      <c r="AO183" s="990">
        <v>0</v>
      </c>
      <c r="AP183" s="990">
        <v>0</v>
      </c>
      <c r="AQ183" s="990">
        <v>0</v>
      </c>
      <c r="AR183" s="990">
        <v>0</v>
      </c>
      <c r="AS183" s="990">
        <v>0</v>
      </c>
      <c r="AT183" s="990">
        <v>0</v>
      </c>
      <c r="AU183" s="990">
        <v>0</v>
      </c>
      <c r="AV183" s="990">
        <v>0</v>
      </c>
      <c r="AW183" s="990">
        <v>0</v>
      </c>
      <c r="AX183" s="990">
        <v>0</v>
      </c>
      <c r="AY183" s="990">
        <v>0</v>
      </c>
      <c r="AZ183" s="990">
        <v>0</v>
      </c>
      <c r="BA183" s="990">
        <v>0</v>
      </c>
      <c r="BB183" s="990">
        <v>0</v>
      </c>
      <c r="BC183" s="990">
        <v>0</v>
      </c>
      <c r="BD183" s="990">
        <v>0</v>
      </c>
      <c r="BF183" s="978"/>
    </row>
    <row r="184" spans="1:58" ht="15" customHeight="1">
      <c r="B184" s="983" t="s">
        <v>1263</v>
      </c>
      <c r="C184" s="984" t="s">
        <v>1262</v>
      </c>
      <c r="D184" s="988">
        <v>2480.5</v>
      </c>
      <c r="E184" s="988">
        <v>0</v>
      </c>
      <c r="F184" s="988">
        <v>0</v>
      </c>
      <c r="G184" s="988">
        <v>0</v>
      </c>
      <c r="H184" s="988">
        <v>0</v>
      </c>
      <c r="I184" s="988">
        <v>0</v>
      </c>
      <c r="J184" s="988">
        <v>0</v>
      </c>
      <c r="K184" s="988">
        <v>0</v>
      </c>
      <c r="L184" s="988">
        <v>0</v>
      </c>
      <c r="M184" s="988">
        <v>0</v>
      </c>
      <c r="N184" s="988">
        <v>0</v>
      </c>
      <c r="O184" s="988">
        <v>20749.22</v>
      </c>
      <c r="P184" s="988">
        <v>0</v>
      </c>
      <c r="Q184" s="988">
        <v>0</v>
      </c>
      <c r="R184" s="988">
        <v>-18078.22</v>
      </c>
      <c r="S184" s="988">
        <v>0</v>
      </c>
      <c r="T184" s="988">
        <v>0</v>
      </c>
      <c r="U184" s="988">
        <v>0</v>
      </c>
      <c r="V184" s="988">
        <v>0</v>
      </c>
      <c r="W184" s="988">
        <v>0</v>
      </c>
      <c r="X184" s="988">
        <v>0</v>
      </c>
      <c r="Y184" s="988">
        <v>0</v>
      </c>
      <c r="Z184" s="988">
        <v>741.25</v>
      </c>
      <c r="AA184" s="988">
        <v>0</v>
      </c>
      <c r="AB184" s="988">
        <v>0</v>
      </c>
      <c r="AC184" s="988">
        <v>0</v>
      </c>
      <c r="AD184" s="988">
        <v>0</v>
      </c>
      <c r="AE184" s="988">
        <v>0</v>
      </c>
      <c r="AF184" s="988">
        <v>0</v>
      </c>
      <c r="AG184" s="988">
        <v>0</v>
      </c>
      <c r="AH184" s="988">
        <v>0</v>
      </c>
      <c r="AI184" s="988">
        <v>0</v>
      </c>
      <c r="AJ184" s="988">
        <v>0</v>
      </c>
      <c r="AK184" s="988">
        <v>0</v>
      </c>
      <c r="AL184" s="988">
        <v>0</v>
      </c>
      <c r="AM184" s="988">
        <v>0</v>
      </c>
      <c r="AN184" s="988">
        <v>0</v>
      </c>
      <c r="AO184" s="988">
        <v>2340</v>
      </c>
      <c r="AP184" s="988">
        <v>851.25</v>
      </c>
      <c r="AQ184" s="988">
        <v>0</v>
      </c>
      <c r="AR184" s="988">
        <v>2603</v>
      </c>
      <c r="AS184" s="988">
        <v>4509.45</v>
      </c>
      <c r="AT184" s="988">
        <v>14310</v>
      </c>
      <c r="AU184" s="988">
        <v>0</v>
      </c>
      <c r="AV184" s="988">
        <v>0</v>
      </c>
      <c r="AW184" s="988">
        <v>1001.25</v>
      </c>
      <c r="AX184" s="988">
        <v>0</v>
      </c>
      <c r="AY184" s="988">
        <v>0</v>
      </c>
      <c r="AZ184" s="988">
        <v>0</v>
      </c>
      <c r="BA184" s="988">
        <v>0</v>
      </c>
      <c r="BB184" s="988">
        <v>0</v>
      </c>
      <c r="BC184" s="988">
        <v>0</v>
      </c>
      <c r="BD184" s="988">
        <v>0</v>
      </c>
      <c r="BF184" s="978"/>
    </row>
    <row r="185" spans="1:58" ht="15" customHeight="1">
      <c r="A185" s="977" t="s">
        <v>1241</v>
      </c>
      <c r="B185" s="983" t="s">
        <v>1261</v>
      </c>
      <c r="C185" s="984" t="s">
        <v>1260</v>
      </c>
      <c r="D185" s="986">
        <v>2480.5</v>
      </c>
      <c r="E185" s="986">
        <v>0</v>
      </c>
      <c r="F185" s="986">
        <v>3696</v>
      </c>
      <c r="G185" s="986">
        <v>15137.1</v>
      </c>
      <c r="H185" s="986">
        <v>3288.82</v>
      </c>
      <c r="I185" s="986">
        <v>32960.019999999997</v>
      </c>
      <c r="J185" s="986">
        <v>4500</v>
      </c>
      <c r="K185" s="986">
        <v>0</v>
      </c>
      <c r="L185" s="986">
        <v>6415.04</v>
      </c>
      <c r="M185" s="986">
        <v>495</v>
      </c>
      <c r="N185" s="986">
        <v>0</v>
      </c>
      <c r="O185" s="986">
        <v>78805.009999999995</v>
      </c>
      <c r="P185" s="986">
        <v>0</v>
      </c>
      <c r="Q185" s="986">
        <v>5250.23</v>
      </c>
      <c r="R185" s="986">
        <v>-19330.919999999998</v>
      </c>
      <c r="S185" s="986">
        <v>0</v>
      </c>
      <c r="T185" s="986">
        <v>0</v>
      </c>
      <c r="U185" s="986">
        <v>0</v>
      </c>
      <c r="V185" s="986">
        <v>1480</v>
      </c>
      <c r="W185" s="986">
        <v>-1480</v>
      </c>
      <c r="X185" s="986">
        <v>1625</v>
      </c>
      <c r="Y185" s="986">
        <v>2748.21</v>
      </c>
      <c r="Z185" s="986">
        <v>1153.53</v>
      </c>
      <c r="AA185" s="986">
        <v>0</v>
      </c>
      <c r="AB185" s="986">
        <v>160</v>
      </c>
      <c r="AC185" s="986">
        <v>0</v>
      </c>
      <c r="AD185" s="986">
        <v>0</v>
      </c>
      <c r="AE185" s="986">
        <v>0</v>
      </c>
      <c r="AF185" s="986">
        <v>0</v>
      </c>
      <c r="AG185" s="986">
        <v>0</v>
      </c>
      <c r="AH185" s="986">
        <v>1437.1</v>
      </c>
      <c r="AI185" s="986">
        <v>90</v>
      </c>
      <c r="AJ185" s="986">
        <v>0</v>
      </c>
      <c r="AK185" s="986">
        <v>954</v>
      </c>
      <c r="AL185" s="986">
        <v>2749.83</v>
      </c>
      <c r="AM185" s="986">
        <v>0</v>
      </c>
      <c r="AN185" s="986">
        <v>5000</v>
      </c>
      <c r="AO185" s="986">
        <v>2340</v>
      </c>
      <c r="AP185" s="986">
        <v>2466.25</v>
      </c>
      <c r="AQ185" s="986">
        <v>0</v>
      </c>
      <c r="AR185" s="986">
        <v>5451.4</v>
      </c>
      <c r="AS185" s="986">
        <v>7530.69</v>
      </c>
      <c r="AT185" s="986">
        <v>19788.25</v>
      </c>
      <c r="AU185" s="986">
        <v>217.4</v>
      </c>
      <c r="AV185" s="986">
        <v>853.6</v>
      </c>
      <c r="AW185" s="986">
        <v>1333.9</v>
      </c>
      <c r="AX185" s="986">
        <v>0</v>
      </c>
      <c r="AY185" s="986">
        <v>259.14999999999998</v>
      </c>
      <c r="AZ185" s="986">
        <v>150</v>
      </c>
      <c r="BA185" s="986">
        <v>0</v>
      </c>
      <c r="BB185" s="986">
        <v>0</v>
      </c>
      <c r="BC185" s="986">
        <v>0</v>
      </c>
      <c r="BD185" s="986">
        <v>0</v>
      </c>
      <c r="BF185" s="978"/>
    </row>
    <row r="186" spans="1:58" ht="15" customHeight="1">
      <c r="B186" s="983" t="s">
        <v>1259</v>
      </c>
      <c r="C186" s="984" t="s">
        <v>1258</v>
      </c>
      <c r="D186" s="989"/>
      <c r="E186" s="989"/>
      <c r="F186" s="989"/>
      <c r="G186" s="989"/>
      <c r="H186" s="989"/>
      <c r="I186" s="989"/>
      <c r="J186" s="989"/>
      <c r="K186" s="989"/>
      <c r="L186" s="989"/>
      <c r="M186" s="989"/>
      <c r="N186" s="989"/>
      <c r="O186" s="989"/>
      <c r="P186" s="989"/>
      <c r="Q186" s="989"/>
      <c r="R186" s="989"/>
      <c r="S186" s="989"/>
      <c r="T186" s="989"/>
      <c r="U186" s="989"/>
      <c r="V186" s="989"/>
      <c r="W186" s="989"/>
      <c r="X186" s="989"/>
      <c r="Y186" s="989"/>
      <c r="Z186" s="989"/>
      <c r="AA186" s="989"/>
      <c r="AB186" s="989"/>
      <c r="AC186" s="989"/>
      <c r="AD186" s="989"/>
      <c r="AE186" s="989"/>
      <c r="AF186" s="989"/>
      <c r="AG186" s="989"/>
      <c r="AH186" s="989"/>
      <c r="AI186" s="989"/>
      <c r="AJ186" s="989"/>
      <c r="AK186" s="989"/>
      <c r="AL186" s="989"/>
      <c r="AM186" s="989"/>
      <c r="AN186" s="989"/>
      <c r="AO186" s="989"/>
      <c r="AP186" s="989"/>
      <c r="AQ186" s="989"/>
      <c r="AR186" s="989"/>
      <c r="AS186" s="989"/>
      <c r="AT186" s="989"/>
      <c r="AU186" s="989"/>
      <c r="AV186" s="989"/>
      <c r="AW186" s="989"/>
      <c r="AX186" s="989"/>
      <c r="AY186" s="989"/>
      <c r="AZ186" s="989"/>
      <c r="BA186" s="989"/>
      <c r="BB186" s="989"/>
      <c r="BC186" s="989"/>
      <c r="BD186" s="989"/>
      <c r="BF186" s="978"/>
    </row>
    <row r="187" spans="1:58" ht="15" customHeight="1">
      <c r="B187" s="983" t="s">
        <v>1257</v>
      </c>
      <c r="C187" s="984" t="s">
        <v>1256</v>
      </c>
      <c r="D187" s="990">
        <v>0</v>
      </c>
      <c r="E187" s="990">
        <v>0</v>
      </c>
      <c r="F187" s="990">
        <v>0</v>
      </c>
      <c r="G187" s="990">
        <v>0</v>
      </c>
      <c r="H187" s="990">
        <v>0</v>
      </c>
      <c r="I187" s="990">
        <v>0</v>
      </c>
      <c r="J187" s="990">
        <v>0</v>
      </c>
      <c r="K187" s="990">
        <v>0</v>
      </c>
      <c r="L187" s="990">
        <v>0</v>
      </c>
      <c r="M187" s="990">
        <v>0</v>
      </c>
      <c r="N187" s="990">
        <v>0</v>
      </c>
      <c r="O187" s="990">
        <v>0</v>
      </c>
      <c r="P187" s="990">
        <v>0</v>
      </c>
      <c r="Q187" s="990">
        <v>0</v>
      </c>
      <c r="R187" s="990">
        <v>0</v>
      </c>
      <c r="S187" s="990">
        <v>0</v>
      </c>
      <c r="T187" s="990">
        <v>0</v>
      </c>
      <c r="U187" s="990">
        <v>0</v>
      </c>
      <c r="V187" s="990">
        <v>0</v>
      </c>
      <c r="W187" s="990">
        <v>0</v>
      </c>
      <c r="X187" s="990">
        <v>800</v>
      </c>
      <c r="Y187" s="990">
        <v>0</v>
      </c>
      <c r="Z187" s="990">
        <v>0</v>
      </c>
      <c r="AA187" s="990">
        <v>0</v>
      </c>
      <c r="AB187" s="990">
        <v>0</v>
      </c>
      <c r="AC187" s="990">
        <v>0</v>
      </c>
      <c r="AD187" s="990">
        <v>0</v>
      </c>
      <c r="AE187" s="990">
        <v>0</v>
      </c>
      <c r="AF187" s="990">
        <v>0</v>
      </c>
      <c r="AG187" s="990">
        <v>0</v>
      </c>
      <c r="AH187" s="990">
        <v>0</v>
      </c>
      <c r="AI187" s="990">
        <v>0</v>
      </c>
      <c r="AJ187" s="990">
        <v>0</v>
      </c>
      <c r="AK187" s="990">
        <v>0</v>
      </c>
      <c r="AL187" s="990">
        <v>0</v>
      </c>
      <c r="AM187" s="990">
        <v>0</v>
      </c>
      <c r="AN187" s="990">
        <v>0</v>
      </c>
      <c r="AO187" s="990">
        <v>0</v>
      </c>
      <c r="AP187" s="990">
        <v>0</v>
      </c>
      <c r="AQ187" s="990">
        <v>0</v>
      </c>
      <c r="AR187" s="990">
        <v>0</v>
      </c>
      <c r="AS187" s="990">
        <v>0</v>
      </c>
      <c r="AT187" s="990">
        <v>0</v>
      </c>
      <c r="AU187" s="990">
        <v>0</v>
      </c>
      <c r="AV187" s="990">
        <v>0</v>
      </c>
      <c r="AW187" s="990">
        <v>0</v>
      </c>
      <c r="AX187" s="990">
        <v>0</v>
      </c>
      <c r="AY187" s="990">
        <v>0</v>
      </c>
      <c r="AZ187" s="990">
        <v>0</v>
      </c>
      <c r="BA187" s="990">
        <v>0</v>
      </c>
      <c r="BB187" s="990">
        <v>0</v>
      </c>
      <c r="BC187" s="990">
        <v>0</v>
      </c>
      <c r="BD187" s="990">
        <v>0</v>
      </c>
      <c r="BF187" s="978"/>
    </row>
    <row r="188" spans="1:58" ht="15" customHeight="1">
      <c r="B188" s="983" t="s">
        <v>1255</v>
      </c>
      <c r="C188" s="984" t="s">
        <v>1254</v>
      </c>
      <c r="D188" s="990">
        <v>0</v>
      </c>
      <c r="E188" s="990">
        <v>0</v>
      </c>
      <c r="F188" s="990">
        <v>3796.5</v>
      </c>
      <c r="G188" s="990">
        <v>0</v>
      </c>
      <c r="H188" s="990">
        <v>0</v>
      </c>
      <c r="I188" s="990">
        <v>11497</v>
      </c>
      <c r="J188" s="990">
        <v>0</v>
      </c>
      <c r="K188" s="990">
        <v>0</v>
      </c>
      <c r="L188" s="990">
        <v>1604</v>
      </c>
      <c r="M188" s="990">
        <v>1620.5</v>
      </c>
      <c r="N188" s="990">
        <v>0</v>
      </c>
      <c r="O188" s="990">
        <v>-3224.5</v>
      </c>
      <c r="P188" s="990">
        <v>0</v>
      </c>
      <c r="Q188" s="990">
        <v>0</v>
      </c>
      <c r="R188" s="990">
        <v>0</v>
      </c>
      <c r="S188" s="990">
        <v>657</v>
      </c>
      <c r="T188" s="990">
        <v>205.5</v>
      </c>
      <c r="U188" s="990">
        <v>-862.5</v>
      </c>
      <c r="V188" s="990">
        <v>0</v>
      </c>
      <c r="W188" s="990">
        <v>0</v>
      </c>
      <c r="X188" s="990">
        <v>0</v>
      </c>
      <c r="Y188" s="990">
        <v>0</v>
      </c>
      <c r="Z188" s="990">
        <v>0</v>
      </c>
      <c r="AA188" s="990">
        <v>0</v>
      </c>
      <c r="AB188" s="990">
        <v>0</v>
      </c>
      <c r="AC188" s="990">
        <v>0</v>
      </c>
      <c r="AD188" s="990">
        <v>0</v>
      </c>
      <c r="AE188" s="990">
        <v>0</v>
      </c>
      <c r="AF188" s="990">
        <v>0</v>
      </c>
      <c r="AG188" s="990">
        <v>0</v>
      </c>
      <c r="AH188" s="990">
        <v>0</v>
      </c>
      <c r="AI188" s="990">
        <v>0</v>
      </c>
      <c r="AJ188" s="990">
        <v>0</v>
      </c>
      <c r="AK188" s="990">
        <v>0</v>
      </c>
      <c r="AL188" s="990">
        <v>0</v>
      </c>
      <c r="AM188" s="990">
        <v>0</v>
      </c>
      <c r="AN188" s="990">
        <v>0</v>
      </c>
      <c r="AO188" s="990">
        <v>0</v>
      </c>
      <c r="AP188" s="990">
        <v>0</v>
      </c>
      <c r="AQ188" s="990">
        <v>0</v>
      </c>
      <c r="AR188" s="990">
        <v>0</v>
      </c>
      <c r="AS188" s="990">
        <v>0</v>
      </c>
      <c r="AT188" s="990">
        <v>0</v>
      </c>
      <c r="AU188" s="990">
        <v>0</v>
      </c>
      <c r="AV188" s="990">
        <v>0</v>
      </c>
      <c r="AW188" s="990">
        <v>0</v>
      </c>
      <c r="AX188" s="990">
        <v>0</v>
      </c>
      <c r="AY188" s="990">
        <v>0</v>
      </c>
      <c r="AZ188" s="990">
        <v>0</v>
      </c>
      <c r="BA188" s="990">
        <v>0</v>
      </c>
      <c r="BB188" s="990">
        <v>0</v>
      </c>
      <c r="BC188" s="990">
        <v>0</v>
      </c>
      <c r="BD188" s="990">
        <v>0</v>
      </c>
      <c r="BF188" s="978"/>
    </row>
    <row r="189" spans="1:58" ht="15" customHeight="1">
      <c r="B189" s="983" t="s">
        <v>1253</v>
      </c>
      <c r="C189" s="984" t="s">
        <v>1252</v>
      </c>
      <c r="D189" s="988">
        <v>0</v>
      </c>
      <c r="E189" s="988">
        <v>0</v>
      </c>
      <c r="F189" s="988">
        <v>0</v>
      </c>
      <c r="G189" s="988">
        <v>0</v>
      </c>
      <c r="H189" s="988">
        <v>0</v>
      </c>
      <c r="I189" s="988">
        <v>0</v>
      </c>
      <c r="J189" s="988">
        <v>0</v>
      </c>
      <c r="K189" s="988">
        <v>0</v>
      </c>
      <c r="L189" s="988">
        <v>0</v>
      </c>
      <c r="M189" s="988">
        <v>0</v>
      </c>
      <c r="N189" s="988">
        <v>0</v>
      </c>
      <c r="O189" s="988">
        <v>8425.5</v>
      </c>
      <c r="P189" s="988">
        <v>0</v>
      </c>
      <c r="Q189" s="988">
        <v>5394.5</v>
      </c>
      <c r="R189" s="988">
        <v>0</v>
      </c>
      <c r="S189" s="988">
        <v>0</v>
      </c>
      <c r="T189" s="988">
        <v>2714.5</v>
      </c>
      <c r="U189" s="988">
        <v>-31828</v>
      </c>
      <c r="V189" s="988">
        <v>0</v>
      </c>
      <c r="W189" s="988">
        <v>0</v>
      </c>
      <c r="X189" s="988">
        <v>0</v>
      </c>
      <c r="Y189" s="988">
        <v>0</v>
      </c>
      <c r="Z189" s="988">
        <v>0</v>
      </c>
      <c r="AA189" s="988">
        <v>0</v>
      </c>
      <c r="AB189" s="988">
        <v>0</v>
      </c>
      <c r="AC189" s="988">
        <v>0</v>
      </c>
      <c r="AD189" s="988">
        <v>0</v>
      </c>
      <c r="AE189" s="988">
        <v>0</v>
      </c>
      <c r="AF189" s="988">
        <v>0</v>
      </c>
      <c r="AG189" s="988">
        <v>0</v>
      </c>
      <c r="AH189" s="988">
        <v>0</v>
      </c>
      <c r="AI189" s="988">
        <v>0</v>
      </c>
      <c r="AJ189" s="988">
        <v>0</v>
      </c>
      <c r="AK189" s="988">
        <v>0</v>
      </c>
      <c r="AL189" s="988">
        <v>0</v>
      </c>
      <c r="AM189" s="988">
        <v>0</v>
      </c>
      <c r="AN189" s="988">
        <v>0</v>
      </c>
      <c r="AO189" s="988">
        <v>0</v>
      </c>
      <c r="AP189" s="988">
        <v>0</v>
      </c>
      <c r="AQ189" s="988">
        <v>0</v>
      </c>
      <c r="AR189" s="988">
        <v>0</v>
      </c>
      <c r="AS189" s="988">
        <v>0</v>
      </c>
      <c r="AT189" s="988">
        <v>0</v>
      </c>
      <c r="AU189" s="988">
        <v>0</v>
      </c>
      <c r="AV189" s="988">
        <v>0</v>
      </c>
      <c r="AW189" s="988">
        <v>2700</v>
      </c>
      <c r="AX189" s="988">
        <v>3916</v>
      </c>
      <c r="AY189" s="988">
        <v>1986</v>
      </c>
      <c r="AZ189" s="988">
        <v>1916</v>
      </c>
      <c r="BA189" s="988">
        <v>1932</v>
      </c>
      <c r="BB189" s="988">
        <v>1950</v>
      </c>
      <c r="BC189" s="988">
        <v>1950</v>
      </c>
      <c r="BD189" s="988">
        <v>0</v>
      </c>
      <c r="BF189" s="978"/>
    </row>
    <row r="190" spans="1:58" ht="15" customHeight="1">
      <c r="B190" s="983" t="s">
        <v>1251</v>
      </c>
      <c r="C190" s="984" t="s">
        <v>1250</v>
      </c>
      <c r="D190" s="986">
        <v>0</v>
      </c>
      <c r="E190" s="986">
        <v>0</v>
      </c>
      <c r="F190" s="986">
        <v>3796.5</v>
      </c>
      <c r="G190" s="986">
        <v>0</v>
      </c>
      <c r="H190" s="986">
        <v>0</v>
      </c>
      <c r="I190" s="986">
        <v>11497</v>
      </c>
      <c r="J190" s="986">
        <v>0</v>
      </c>
      <c r="K190" s="986">
        <v>0</v>
      </c>
      <c r="L190" s="986">
        <v>1604</v>
      </c>
      <c r="M190" s="986">
        <v>1620.5</v>
      </c>
      <c r="N190" s="986">
        <v>0</v>
      </c>
      <c r="O190" s="986">
        <v>5201</v>
      </c>
      <c r="P190" s="986">
        <v>0</v>
      </c>
      <c r="Q190" s="986">
        <v>5394.5</v>
      </c>
      <c r="R190" s="986">
        <v>0</v>
      </c>
      <c r="S190" s="986">
        <v>657</v>
      </c>
      <c r="T190" s="986">
        <v>2920</v>
      </c>
      <c r="U190" s="986">
        <v>-32690.5</v>
      </c>
      <c r="V190" s="986">
        <v>0</v>
      </c>
      <c r="W190" s="986">
        <v>0</v>
      </c>
      <c r="X190" s="986">
        <v>800</v>
      </c>
      <c r="Y190" s="986">
        <v>0</v>
      </c>
      <c r="Z190" s="986">
        <v>0</v>
      </c>
      <c r="AA190" s="986">
        <v>0</v>
      </c>
      <c r="AB190" s="986">
        <v>0</v>
      </c>
      <c r="AC190" s="986">
        <v>0</v>
      </c>
      <c r="AD190" s="986">
        <v>0</v>
      </c>
      <c r="AE190" s="986">
        <v>0</v>
      </c>
      <c r="AF190" s="986">
        <v>0</v>
      </c>
      <c r="AG190" s="986">
        <v>0</v>
      </c>
      <c r="AH190" s="986">
        <v>0</v>
      </c>
      <c r="AI190" s="986">
        <v>0</v>
      </c>
      <c r="AJ190" s="986">
        <v>0</v>
      </c>
      <c r="AK190" s="986">
        <v>0</v>
      </c>
      <c r="AL190" s="986">
        <v>0</v>
      </c>
      <c r="AM190" s="986">
        <v>0</v>
      </c>
      <c r="AN190" s="986">
        <v>0</v>
      </c>
      <c r="AO190" s="986">
        <v>0</v>
      </c>
      <c r="AP190" s="986">
        <v>0</v>
      </c>
      <c r="AQ190" s="986">
        <v>0</v>
      </c>
      <c r="AR190" s="986">
        <v>0</v>
      </c>
      <c r="AS190" s="986">
        <v>0</v>
      </c>
      <c r="AT190" s="986">
        <v>0</v>
      </c>
      <c r="AU190" s="986">
        <v>0</v>
      </c>
      <c r="AV190" s="986">
        <v>0</v>
      </c>
      <c r="AW190" s="986">
        <v>2700</v>
      </c>
      <c r="AX190" s="986">
        <v>3916</v>
      </c>
      <c r="AY190" s="986">
        <v>1986</v>
      </c>
      <c r="AZ190" s="986">
        <v>1916</v>
      </c>
      <c r="BA190" s="986">
        <v>1932</v>
      </c>
      <c r="BB190" s="986">
        <v>1950</v>
      </c>
      <c r="BC190" s="986">
        <v>1950</v>
      </c>
      <c r="BD190" s="986">
        <v>0</v>
      </c>
      <c r="BF190" s="978"/>
    </row>
    <row r="191" spans="1:58" ht="15" customHeight="1">
      <c r="B191" s="983" t="s">
        <v>819</v>
      </c>
      <c r="C191" s="984" t="s">
        <v>818</v>
      </c>
      <c r="D191" s="989"/>
      <c r="E191" s="989"/>
      <c r="F191" s="989"/>
      <c r="G191" s="989"/>
      <c r="H191" s="989"/>
      <c r="I191" s="989"/>
      <c r="J191" s="989"/>
      <c r="K191" s="989"/>
      <c r="L191" s="989"/>
      <c r="M191" s="989"/>
      <c r="N191" s="989"/>
      <c r="O191" s="989"/>
      <c r="P191" s="989"/>
      <c r="Q191" s="989"/>
      <c r="R191" s="989"/>
      <c r="S191" s="989"/>
      <c r="T191" s="989"/>
      <c r="U191" s="989"/>
      <c r="V191" s="989"/>
      <c r="W191" s="989"/>
      <c r="X191" s="989"/>
      <c r="Y191" s="989"/>
      <c r="Z191" s="989"/>
      <c r="AA191" s="989"/>
      <c r="AB191" s="989"/>
      <c r="AC191" s="989"/>
      <c r="AD191" s="989"/>
      <c r="AE191" s="989"/>
      <c r="AF191" s="989"/>
      <c r="AG191" s="989"/>
      <c r="AH191" s="989"/>
      <c r="AI191" s="989"/>
      <c r="AJ191" s="989"/>
      <c r="AK191" s="989"/>
      <c r="AL191" s="989"/>
      <c r="AM191" s="989"/>
      <c r="AN191" s="989"/>
      <c r="AO191" s="989"/>
      <c r="AP191" s="989"/>
      <c r="AQ191" s="989"/>
      <c r="AR191" s="989"/>
      <c r="AS191" s="989"/>
      <c r="AT191" s="989"/>
      <c r="AU191" s="989"/>
      <c r="AV191" s="989"/>
      <c r="AW191" s="989"/>
      <c r="AX191" s="989"/>
      <c r="AY191" s="989"/>
      <c r="AZ191" s="989"/>
      <c r="BA191" s="989"/>
      <c r="BB191" s="989"/>
      <c r="BC191" s="989"/>
      <c r="BD191" s="989"/>
      <c r="BF191" s="978"/>
    </row>
    <row r="192" spans="1:58" ht="15" customHeight="1">
      <c r="B192" s="983" t="s">
        <v>817</v>
      </c>
      <c r="C192" s="984" t="s">
        <v>816</v>
      </c>
      <c r="D192" s="988">
        <v>2000</v>
      </c>
      <c r="E192" s="988">
        <v>6850</v>
      </c>
      <c r="F192" s="988">
        <v>0</v>
      </c>
      <c r="G192" s="988">
        <v>0</v>
      </c>
      <c r="H192" s="988">
        <v>0</v>
      </c>
      <c r="I192" s="988">
        <v>0</v>
      </c>
      <c r="J192" s="988">
        <v>0</v>
      </c>
      <c r="K192" s="988">
        <v>0</v>
      </c>
      <c r="L192" s="988">
        <v>0</v>
      </c>
      <c r="M192" s="988">
        <v>13931.25</v>
      </c>
      <c r="N192" s="988">
        <v>1712.5</v>
      </c>
      <c r="O192" s="988">
        <v>0</v>
      </c>
      <c r="P192" s="988">
        <v>12000</v>
      </c>
      <c r="Q192" s="988">
        <v>0</v>
      </c>
      <c r="R192" s="988">
        <v>4500</v>
      </c>
      <c r="S192" s="988">
        <v>0</v>
      </c>
      <c r="T192" s="988">
        <v>0</v>
      </c>
      <c r="U192" s="988">
        <v>4950</v>
      </c>
      <c r="V192" s="988">
        <v>0</v>
      </c>
      <c r="W192" s="988">
        <v>0</v>
      </c>
      <c r="X192" s="988">
        <v>350</v>
      </c>
      <c r="Y192" s="988">
        <v>0</v>
      </c>
      <c r="Z192" s="988">
        <v>0</v>
      </c>
      <c r="AA192" s="988">
        <v>0</v>
      </c>
      <c r="AB192" s="988">
        <v>0</v>
      </c>
      <c r="AC192" s="988">
        <v>0</v>
      </c>
      <c r="AD192" s="988">
        <v>0</v>
      </c>
      <c r="AE192" s="988">
        <v>0</v>
      </c>
      <c r="AF192" s="988">
        <v>0</v>
      </c>
      <c r="AG192" s="988">
        <v>5277.5</v>
      </c>
      <c r="AH192" s="988">
        <v>1744.65</v>
      </c>
      <c r="AI192" s="988">
        <v>0</v>
      </c>
      <c r="AJ192" s="988">
        <v>0</v>
      </c>
      <c r="AK192" s="988">
        <v>0</v>
      </c>
      <c r="AL192" s="988">
        <v>2610.17</v>
      </c>
      <c r="AM192" s="988">
        <v>1600</v>
      </c>
      <c r="AN192" s="988">
        <v>475</v>
      </c>
      <c r="AO192" s="988">
        <v>0</v>
      </c>
      <c r="AP192" s="988">
        <v>775</v>
      </c>
      <c r="AQ192" s="988">
        <v>750</v>
      </c>
      <c r="AR192" s="988">
        <v>-400</v>
      </c>
      <c r="AS192" s="988">
        <v>4950</v>
      </c>
      <c r="AT192" s="988">
        <v>0</v>
      </c>
      <c r="AU192" s="988">
        <v>7500</v>
      </c>
      <c r="AV192" s="988">
        <v>0</v>
      </c>
      <c r="AW192" s="988">
        <v>2271.2800000000002</v>
      </c>
      <c r="AX192" s="988">
        <v>4294.5</v>
      </c>
      <c r="AY192" s="988">
        <v>5000</v>
      </c>
      <c r="AZ192" s="988">
        <v>0</v>
      </c>
      <c r="BA192" s="988">
        <v>0</v>
      </c>
      <c r="BB192" s="988">
        <v>0</v>
      </c>
      <c r="BC192" s="988">
        <v>0</v>
      </c>
      <c r="BD192" s="988">
        <v>0</v>
      </c>
      <c r="BF192" s="978"/>
    </row>
    <row r="193" spans="1:58" ht="15" customHeight="1">
      <c r="B193" s="983" t="s">
        <v>815</v>
      </c>
      <c r="C193" s="984" t="s">
        <v>814</v>
      </c>
      <c r="D193" s="987">
        <v>2000</v>
      </c>
      <c r="E193" s="987">
        <v>6850</v>
      </c>
      <c r="F193" s="987">
        <v>0</v>
      </c>
      <c r="G193" s="987">
        <v>0</v>
      </c>
      <c r="H193" s="987">
        <v>0</v>
      </c>
      <c r="I193" s="987">
        <v>0</v>
      </c>
      <c r="J193" s="987">
        <v>0</v>
      </c>
      <c r="K193" s="987">
        <v>0</v>
      </c>
      <c r="L193" s="987">
        <v>0</v>
      </c>
      <c r="M193" s="987">
        <v>13931.25</v>
      </c>
      <c r="N193" s="987">
        <v>1712.5</v>
      </c>
      <c r="O193" s="987">
        <v>0</v>
      </c>
      <c r="P193" s="987">
        <v>12000</v>
      </c>
      <c r="Q193" s="987">
        <v>0</v>
      </c>
      <c r="R193" s="987">
        <v>4500</v>
      </c>
      <c r="S193" s="987">
        <v>0</v>
      </c>
      <c r="T193" s="987">
        <v>0</v>
      </c>
      <c r="U193" s="987">
        <v>4950</v>
      </c>
      <c r="V193" s="987">
        <v>0</v>
      </c>
      <c r="W193" s="987">
        <v>0</v>
      </c>
      <c r="X193" s="987">
        <v>350</v>
      </c>
      <c r="Y193" s="987">
        <v>0</v>
      </c>
      <c r="Z193" s="987">
        <v>0</v>
      </c>
      <c r="AA193" s="987">
        <v>0</v>
      </c>
      <c r="AB193" s="987">
        <v>0</v>
      </c>
      <c r="AC193" s="987">
        <v>0</v>
      </c>
      <c r="AD193" s="987">
        <v>0</v>
      </c>
      <c r="AE193" s="987">
        <v>0</v>
      </c>
      <c r="AF193" s="987">
        <v>0</v>
      </c>
      <c r="AG193" s="987">
        <v>5277.5</v>
      </c>
      <c r="AH193" s="987">
        <v>1744.65</v>
      </c>
      <c r="AI193" s="987">
        <v>0</v>
      </c>
      <c r="AJ193" s="987">
        <v>0</v>
      </c>
      <c r="AK193" s="987">
        <v>0</v>
      </c>
      <c r="AL193" s="987">
        <v>2610.17</v>
      </c>
      <c r="AM193" s="987">
        <v>1600</v>
      </c>
      <c r="AN193" s="987">
        <v>475</v>
      </c>
      <c r="AO193" s="987">
        <v>0</v>
      </c>
      <c r="AP193" s="987">
        <v>775</v>
      </c>
      <c r="AQ193" s="987">
        <v>750</v>
      </c>
      <c r="AR193" s="987">
        <v>-400</v>
      </c>
      <c r="AS193" s="987">
        <v>4950</v>
      </c>
      <c r="AT193" s="987">
        <v>0</v>
      </c>
      <c r="AU193" s="987">
        <v>7500</v>
      </c>
      <c r="AV193" s="987">
        <v>0</v>
      </c>
      <c r="AW193" s="987">
        <v>2271.2800000000002</v>
      </c>
      <c r="AX193" s="987">
        <v>4294.5</v>
      </c>
      <c r="AY193" s="987">
        <v>5000</v>
      </c>
      <c r="AZ193" s="987">
        <v>0</v>
      </c>
      <c r="BA193" s="987">
        <v>0</v>
      </c>
      <c r="BB193" s="987">
        <v>0</v>
      </c>
      <c r="BC193" s="987">
        <v>0</v>
      </c>
      <c r="BD193" s="987">
        <v>0</v>
      </c>
      <c r="BF193" s="978"/>
    </row>
    <row r="194" spans="1:58" ht="15" customHeight="1">
      <c r="A194" s="977" t="s">
        <v>1241</v>
      </c>
      <c r="B194" s="983" t="s">
        <v>813</v>
      </c>
      <c r="C194" s="984" t="s">
        <v>812</v>
      </c>
      <c r="D194" s="986">
        <v>4480.5</v>
      </c>
      <c r="E194" s="986">
        <v>6850</v>
      </c>
      <c r="F194" s="986">
        <v>7492.5</v>
      </c>
      <c r="G194" s="986">
        <v>15137.1</v>
      </c>
      <c r="H194" s="986">
        <v>3288.82</v>
      </c>
      <c r="I194" s="986">
        <v>44457.02</v>
      </c>
      <c r="J194" s="986">
        <v>4500</v>
      </c>
      <c r="K194" s="986">
        <v>0</v>
      </c>
      <c r="L194" s="986">
        <v>8019.04</v>
      </c>
      <c r="M194" s="986">
        <v>16046.75</v>
      </c>
      <c r="N194" s="986">
        <v>1712.5</v>
      </c>
      <c r="O194" s="986">
        <v>84006.01</v>
      </c>
      <c r="P194" s="986">
        <v>12000</v>
      </c>
      <c r="Q194" s="986">
        <v>10644.73</v>
      </c>
      <c r="R194" s="986">
        <v>-14830.92</v>
      </c>
      <c r="S194" s="986">
        <v>657</v>
      </c>
      <c r="T194" s="986">
        <v>2920</v>
      </c>
      <c r="U194" s="986">
        <v>-27740.5</v>
      </c>
      <c r="V194" s="986">
        <v>1480</v>
      </c>
      <c r="W194" s="986">
        <v>-1480</v>
      </c>
      <c r="X194" s="986">
        <v>2775</v>
      </c>
      <c r="Y194" s="986">
        <v>2748.21</v>
      </c>
      <c r="Z194" s="986">
        <v>1153.53</v>
      </c>
      <c r="AA194" s="986">
        <v>0</v>
      </c>
      <c r="AB194" s="986">
        <v>160</v>
      </c>
      <c r="AC194" s="986">
        <v>0</v>
      </c>
      <c r="AD194" s="986">
        <v>0</v>
      </c>
      <c r="AE194" s="986">
        <v>0</v>
      </c>
      <c r="AF194" s="986">
        <v>0</v>
      </c>
      <c r="AG194" s="986">
        <v>5277.5</v>
      </c>
      <c r="AH194" s="986">
        <v>3181.75</v>
      </c>
      <c r="AI194" s="986">
        <v>90</v>
      </c>
      <c r="AJ194" s="986">
        <v>0</v>
      </c>
      <c r="AK194" s="986">
        <v>954</v>
      </c>
      <c r="AL194" s="986">
        <v>5360</v>
      </c>
      <c r="AM194" s="986">
        <v>1600</v>
      </c>
      <c r="AN194" s="986">
        <v>5475</v>
      </c>
      <c r="AO194" s="986">
        <v>2340</v>
      </c>
      <c r="AP194" s="986">
        <v>3241.25</v>
      </c>
      <c r="AQ194" s="986">
        <v>750</v>
      </c>
      <c r="AR194" s="986">
        <v>5051.3999999999996</v>
      </c>
      <c r="AS194" s="986">
        <v>12480.69</v>
      </c>
      <c r="AT194" s="986">
        <v>19788.25</v>
      </c>
      <c r="AU194" s="986">
        <v>7717.4</v>
      </c>
      <c r="AV194" s="986">
        <v>853.6</v>
      </c>
      <c r="AW194" s="986">
        <v>6305.18</v>
      </c>
      <c r="AX194" s="986">
        <v>8210.5</v>
      </c>
      <c r="AY194" s="986">
        <v>7245.15</v>
      </c>
      <c r="AZ194" s="986">
        <v>2066</v>
      </c>
      <c r="BA194" s="986">
        <v>1932</v>
      </c>
      <c r="BB194" s="986">
        <v>1950</v>
      </c>
      <c r="BC194" s="986">
        <v>1950</v>
      </c>
      <c r="BD194" s="986">
        <v>0</v>
      </c>
      <c r="BF194" s="978"/>
    </row>
    <row r="195" spans="1:58" ht="15" customHeight="1">
      <c r="B195" s="983" t="s">
        <v>1249</v>
      </c>
      <c r="C195" s="984" t="s">
        <v>1248</v>
      </c>
      <c r="D195" s="989"/>
      <c r="E195" s="989"/>
      <c r="F195" s="989"/>
      <c r="G195" s="989"/>
      <c r="H195" s="989"/>
      <c r="I195" s="989"/>
      <c r="J195" s="989"/>
      <c r="K195" s="989"/>
      <c r="L195" s="989"/>
      <c r="M195" s="989"/>
      <c r="N195" s="989"/>
      <c r="O195" s="989"/>
      <c r="P195" s="989"/>
      <c r="Q195" s="989"/>
      <c r="R195" s="989"/>
      <c r="S195" s="989"/>
      <c r="T195" s="989"/>
      <c r="U195" s="989"/>
      <c r="V195" s="989"/>
      <c r="W195" s="989"/>
      <c r="X195" s="989"/>
      <c r="Y195" s="989"/>
      <c r="Z195" s="989"/>
      <c r="AA195" s="989"/>
      <c r="AB195" s="989"/>
      <c r="AC195" s="989"/>
      <c r="AD195" s="989"/>
      <c r="AE195" s="989"/>
      <c r="AF195" s="989"/>
      <c r="AG195" s="989"/>
      <c r="AH195" s="989"/>
      <c r="AI195" s="989"/>
      <c r="AJ195" s="989"/>
      <c r="AK195" s="989"/>
      <c r="AL195" s="989"/>
      <c r="AM195" s="989"/>
      <c r="AN195" s="989"/>
      <c r="AO195" s="989"/>
      <c r="AP195" s="989"/>
      <c r="AQ195" s="989"/>
      <c r="AR195" s="989"/>
      <c r="AS195" s="989"/>
      <c r="AT195" s="989"/>
      <c r="AU195" s="989"/>
      <c r="AV195" s="989"/>
      <c r="AW195" s="989"/>
      <c r="AX195" s="989"/>
      <c r="AY195" s="989"/>
      <c r="AZ195" s="989"/>
      <c r="BA195" s="989"/>
      <c r="BB195" s="989"/>
      <c r="BC195" s="989"/>
      <c r="BD195" s="989"/>
      <c r="BF195" s="978"/>
    </row>
    <row r="196" spans="1:58" ht="15" customHeight="1">
      <c r="B196" s="983" t="s">
        <v>1247</v>
      </c>
      <c r="C196" s="984" t="s">
        <v>1246</v>
      </c>
      <c r="D196" s="989"/>
      <c r="E196" s="989"/>
      <c r="F196" s="989"/>
      <c r="G196" s="989"/>
      <c r="H196" s="989"/>
      <c r="I196" s="989"/>
      <c r="J196" s="989"/>
      <c r="K196" s="989"/>
      <c r="L196" s="989"/>
      <c r="M196" s="989"/>
      <c r="N196" s="989"/>
      <c r="O196" s="989"/>
      <c r="P196" s="989"/>
      <c r="Q196" s="989"/>
      <c r="R196" s="989"/>
      <c r="S196" s="989"/>
      <c r="T196" s="989"/>
      <c r="U196" s="989"/>
      <c r="V196" s="989"/>
      <c r="W196" s="989"/>
      <c r="X196" s="989"/>
      <c r="Y196" s="989"/>
      <c r="Z196" s="989"/>
      <c r="AA196" s="989"/>
      <c r="AB196" s="989"/>
      <c r="AC196" s="989"/>
      <c r="AD196" s="989"/>
      <c r="AE196" s="989"/>
      <c r="AF196" s="989"/>
      <c r="AG196" s="989"/>
      <c r="AH196" s="989"/>
      <c r="AI196" s="989"/>
      <c r="AJ196" s="989"/>
      <c r="AK196" s="989"/>
      <c r="AL196" s="989"/>
      <c r="AM196" s="989"/>
      <c r="AN196" s="989"/>
      <c r="AO196" s="989"/>
      <c r="AP196" s="989"/>
      <c r="AQ196" s="989"/>
      <c r="AR196" s="989"/>
      <c r="AS196" s="989"/>
      <c r="AT196" s="989"/>
      <c r="AU196" s="989"/>
      <c r="AV196" s="989"/>
      <c r="AW196" s="989"/>
      <c r="AX196" s="989"/>
      <c r="AY196" s="989"/>
      <c r="AZ196" s="989"/>
      <c r="BA196" s="989"/>
      <c r="BB196" s="989"/>
      <c r="BC196" s="989"/>
      <c r="BD196" s="989"/>
      <c r="BF196" s="978"/>
    </row>
    <row r="197" spans="1:58" ht="15" customHeight="1">
      <c r="B197" s="983" t="s">
        <v>1245</v>
      </c>
      <c r="C197" s="984" t="s">
        <v>1244</v>
      </c>
      <c r="D197" s="988">
        <v>2800</v>
      </c>
      <c r="E197" s="988">
        <v>2800</v>
      </c>
      <c r="F197" s="988">
        <v>2800</v>
      </c>
      <c r="G197" s="988">
        <v>2800</v>
      </c>
      <c r="H197" s="988">
        <v>2800</v>
      </c>
      <c r="I197" s="988">
        <v>2800</v>
      </c>
      <c r="J197" s="988">
        <v>2800</v>
      </c>
      <c r="K197" s="988">
        <v>2800</v>
      </c>
      <c r="L197" s="988">
        <v>2800</v>
      </c>
      <c r="M197" s="988">
        <v>2800</v>
      </c>
      <c r="N197" s="988">
        <v>2800</v>
      </c>
      <c r="O197" s="988">
        <v>2800</v>
      </c>
      <c r="P197" s="988">
        <v>2800</v>
      </c>
      <c r="Q197" s="988">
        <v>2800</v>
      </c>
      <c r="R197" s="988">
        <v>2800</v>
      </c>
      <c r="S197" s="988">
        <v>0</v>
      </c>
      <c r="T197" s="988">
        <v>5600</v>
      </c>
      <c r="U197" s="988">
        <v>6800</v>
      </c>
      <c r="V197" s="988">
        <v>4000</v>
      </c>
      <c r="W197" s="988">
        <v>4000</v>
      </c>
      <c r="X197" s="988">
        <v>2000</v>
      </c>
      <c r="Y197" s="988">
        <v>2000</v>
      </c>
      <c r="Z197" s="988">
        <v>2000</v>
      </c>
      <c r="AA197" s="988">
        <v>2000</v>
      </c>
      <c r="AB197" s="988">
        <v>2000</v>
      </c>
      <c r="AC197" s="988">
        <v>2000</v>
      </c>
      <c r="AD197" s="988">
        <v>2000</v>
      </c>
      <c r="AE197" s="988">
        <v>2000</v>
      </c>
      <c r="AF197" s="988">
        <v>2000</v>
      </c>
      <c r="AG197" s="988">
        <v>0</v>
      </c>
      <c r="AH197" s="988">
        <v>0</v>
      </c>
      <c r="AI197" s="988">
        <v>0</v>
      </c>
      <c r="AJ197" s="988">
        <v>0</v>
      </c>
      <c r="AK197" s="988">
        <v>0</v>
      </c>
      <c r="AL197" s="988">
        <v>0</v>
      </c>
      <c r="AM197" s="988">
        <v>0</v>
      </c>
      <c r="AN197" s="988">
        <v>0</v>
      </c>
      <c r="AO197" s="988">
        <v>0</v>
      </c>
      <c r="AP197" s="988">
        <v>0</v>
      </c>
      <c r="AQ197" s="988">
        <v>0</v>
      </c>
      <c r="AR197" s="988">
        <v>0</v>
      </c>
      <c r="AS197" s="988">
        <v>0</v>
      </c>
      <c r="AT197" s="988">
        <v>0</v>
      </c>
      <c r="AU197" s="988">
        <v>0</v>
      </c>
      <c r="AV197" s="988">
        <v>0</v>
      </c>
      <c r="AW197" s="988">
        <v>0</v>
      </c>
      <c r="AX197" s="988">
        <v>0</v>
      </c>
      <c r="AY197" s="988">
        <v>0</v>
      </c>
      <c r="AZ197" s="988">
        <v>0</v>
      </c>
      <c r="BA197" s="988">
        <v>0</v>
      </c>
      <c r="BB197" s="988">
        <v>0</v>
      </c>
      <c r="BC197" s="988">
        <v>0</v>
      </c>
      <c r="BD197" s="988">
        <v>0</v>
      </c>
      <c r="BF197" s="978"/>
    </row>
    <row r="198" spans="1:58" ht="15" customHeight="1">
      <c r="B198" s="983" t="s">
        <v>1243</v>
      </c>
      <c r="C198" s="984" t="s">
        <v>1242</v>
      </c>
      <c r="D198" s="986">
        <v>2800</v>
      </c>
      <c r="E198" s="986">
        <v>2800</v>
      </c>
      <c r="F198" s="986">
        <v>2800</v>
      </c>
      <c r="G198" s="986">
        <v>2800</v>
      </c>
      <c r="H198" s="986">
        <v>2800</v>
      </c>
      <c r="I198" s="986">
        <v>2800</v>
      </c>
      <c r="J198" s="986">
        <v>2800</v>
      </c>
      <c r="K198" s="986">
        <v>2800</v>
      </c>
      <c r="L198" s="986">
        <v>2800</v>
      </c>
      <c r="M198" s="986">
        <v>2800</v>
      </c>
      <c r="N198" s="986">
        <v>2800</v>
      </c>
      <c r="O198" s="986">
        <v>2800</v>
      </c>
      <c r="P198" s="986">
        <v>2800</v>
      </c>
      <c r="Q198" s="986">
        <v>2800</v>
      </c>
      <c r="R198" s="986">
        <v>2800</v>
      </c>
      <c r="S198" s="986">
        <v>0</v>
      </c>
      <c r="T198" s="986">
        <v>5600</v>
      </c>
      <c r="U198" s="986">
        <v>6800</v>
      </c>
      <c r="V198" s="986">
        <v>4000</v>
      </c>
      <c r="W198" s="986">
        <v>4000</v>
      </c>
      <c r="X198" s="986">
        <v>2000</v>
      </c>
      <c r="Y198" s="986">
        <v>2000</v>
      </c>
      <c r="Z198" s="986">
        <v>2000</v>
      </c>
      <c r="AA198" s="986">
        <v>2000</v>
      </c>
      <c r="AB198" s="986">
        <v>2000</v>
      </c>
      <c r="AC198" s="986">
        <v>2000</v>
      </c>
      <c r="AD198" s="986">
        <v>2000</v>
      </c>
      <c r="AE198" s="986">
        <v>2000</v>
      </c>
      <c r="AF198" s="986">
        <v>2000</v>
      </c>
      <c r="AG198" s="986">
        <v>0</v>
      </c>
      <c r="AH198" s="986">
        <v>0</v>
      </c>
      <c r="AI198" s="986">
        <v>0</v>
      </c>
      <c r="AJ198" s="986">
        <v>0</v>
      </c>
      <c r="AK198" s="986">
        <v>0</v>
      </c>
      <c r="AL198" s="986">
        <v>0</v>
      </c>
      <c r="AM198" s="986">
        <v>0</v>
      </c>
      <c r="AN198" s="986">
        <v>0</v>
      </c>
      <c r="AO198" s="986">
        <v>0</v>
      </c>
      <c r="AP198" s="986">
        <v>0</v>
      </c>
      <c r="AQ198" s="986">
        <v>0</v>
      </c>
      <c r="AR198" s="986">
        <v>0</v>
      </c>
      <c r="AS198" s="986">
        <v>0</v>
      </c>
      <c r="AT198" s="986">
        <v>0</v>
      </c>
      <c r="AU198" s="986">
        <v>0</v>
      </c>
      <c r="AV198" s="986">
        <v>0</v>
      </c>
      <c r="AW198" s="986">
        <v>0</v>
      </c>
      <c r="AX198" s="986">
        <v>0</v>
      </c>
      <c r="AY198" s="986">
        <v>0</v>
      </c>
      <c r="AZ198" s="986">
        <v>0</v>
      </c>
      <c r="BA198" s="986">
        <v>0</v>
      </c>
      <c r="BB198" s="986">
        <v>0</v>
      </c>
      <c r="BC198" s="986">
        <v>0</v>
      </c>
      <c r="BD198" s="986">
        <v>0</v>
      </c>
      <c r="BF198" s="978"/>
    </row>
    <row r="199" spans="1:58" ht="15" customHeight="1">
      <c r="A199" s="977" t="s">
        <v>1241</v>
      </c>
      <c r="B199" s="983" t="s">
        <v>1240</v>
      </c>
      <c r="C199" s="984" t="s">
        <v>1239</v>
      </c>
      <c r="D199" s="986">
        <v>2800</v>
      </c>
      <c r="E199" s="986">
        <v>2800</v>
      </c>
      <c r="F199" s="986">
        <v>2800</v>
      </c>
      <c r="G199" s="986">
        <v>2800</v>
      </c>
      <c r="H199" s="986">
        <v>2800</v>
      </c>
      <c r="I199" s="986">
        <v>2800</v>
      </c>
      <c r="J199" s="986">
        <v>2800</v>
      </c>
      <c r="K199" s="986">
        <v>2800</v>
      </c>
      <c r="L199" s="986">
        <v>2800</v>
      </c>
      <c r="M199" s="986">
        <v>2800</v>
      </c>
      <c r="N199" s="986">
        <v>2800</v>
      </c>
      <c r="O199" s="986">
        <v>2800</v>
      </c>
      <c r="P199" s="986">
        <v>2800</v>
      </c>
      <c r="Q199" s="986">
        <v>2800</v>
      </c>
      <c r="R199" s="986">
        <v>2800</v>
      </c>
      <c r="S199" s="986">
        <v>0</v>
      </c>
      <c r="T199" s="986">
        <v>5600</v>
      </c>
      <c r="U199" s="986">
        <v>6800</v>
      </c>
      <c r="V199" s="986">
        <v>4000</v>
      </c>
      <c r="W199" s="986">
        <v>4000</v>
      </c>
      <c r="X199" s="986">
        <v>2000</v>
      </c>
      <c r="Y199" s="986">
        <v>2000</v>
      </c>
      <c r="Z199" s="986">
        <v>2000</v>
      </c>
      <c r="AA199" s="986">
        <v>2000</v>
      </c>
      <c r="AB199" s="986">
        <v>2000</v>
      </c>
      <c r="AC199" s="986">
        <v>2000</v>
      </c>
      <c r="AD199" s="986">
        <v>2000</v>
      </c>
      <c r="AE199" s="986">
        <v>2000</v>
      </c>
      <c r="AF199" s="986">
        <v>2000</v>
      </c>
      <c r="AG199" s="986">
        <v>0</v>
      </c>
      <c r="AH199" s="986">
        <v>0</v>
      </c>
      <c r="AI199" s="986">
        <v>0</v>
      </c>
      <c r="AJ199" s="986">
        <v>0</v>
      </c>
      <c r="AK199" s="986">
        <v>0</v>
      </c>
      <c r="AL199" s="986">
        <v>0</v>
      </c>
      <c r="AM199" s="986">
        <v>0</v>
      </c>
      <c r="AN199" s="986">
        <v>0</v>
      </c>
      <c r="AO199" s="986">
        <v>0</v>
      </c>
      <c r="AP199" s="986">
        <v>0</v>
      </c>
      <c r="AQ199" s="986">
        <v>0</v>
      </c>
      <c r="AR199" s="986">
        <v>0</v>
      </c>
      <c r="AS199" s="986">
        <v>0</v>
      </c>
      <c r="AT199" s="986">
        <v>0</v>
      </c>
      <c r="AU199" s="986">
        <v>0</v>
      </c>
      <c r="AV199" s="986">
        <v>0</v>
      </c>
      <c r="AW199" s="986">
        <v>0</v>
      </c>
      <c r="AX199" s="986">
        <v>0</v>
      </c>
      <c r="AY199" s="986">
        <v>0</v>
      </c>
      <c r="AZ199" s="986">
        <v>0</v>
      </c>
      <c r="BA199" s="986">
        <v>0</v>
      </c>
      <c r="BB199" s="986">
        <v>0</v>
      </c>
      <c r="BC199" s="986">
        <v>0</v>
      </c>
      <c r="BD199" s="986">
        <v>0</v>
      </c>
      <c r="BF199" s="978"/>
    </row>
    <row r="200" spans="1:58" ht="15" customHeight="1">
      <c r="B200" s="983" t="s">
        <v>811</v>
      </c>
      <c r="C200" s="984" t="s">
        <v>810</v>
      </c>
      <c r="D200" s="989"/>
      <c r="E200" s="989"/>
      <c r="F200" s="989"/>
      <c r="G200" s="989"/>
      <c r="H200" s="989"/>
      <c r="I200" s="989"/>
      <c r="J200" s="989"/>
      <c r="K200" s="989"/>
      <c r="L200" s="989"/>
      <c r="M200" s="989"/>
      <c r="N200" s="989"/>
      <c r="O200" s="989"/>
      <c r="P200" s="989"/>
      <c r="Q200" s="989"/>
      <c r="R200" s="989"/>
      <c r="S200" s="989"/>
      <c r="T200" s="989"/>
      <c r="U200" s="989"/>
      <c r="V200" s="989"/>
      <c r="W200" s="989"/>
      <c r="X200" s="989"/>
      <c r="Y200" s="989"/>
      <c r="Z200" s="989"/>
      <c r="AA200" s="989"/>
      <c r="AB200" s="989"/>
      <c r="AC200" s="989"/>
      <c r="AD200" s="989"/>
      <c r="AE200" s="989"/>
      <c r="AF200" s="989"/>
      <c r="AG200" s="989"/>
      <c r="AH200" s="989"/>
      <c r="AI200" s="989"/>
      <c r="AJ200" s="989"/>
      <c r="AK200" s="989"/>
      <c r="AL200" s="989"/>
      <c r="AM200" s="989"/>
      <c r="AN200" s="989"/>
      <c r="AO200" s="989"/>
      <c r="AP200" s="989"/>
      <c r="AQ200" s="989"/>
      <c r="AR200" s="989"/>
      <c r="AS200" s="989"/>
      <c r="AT200" s="989"/>
      <c r="AU200" s="989"/>
      <c r="AV200" s="989"/>
      <c r="AW200" s="989"/>
      <c r="AX200" s="989"/>
      <c r="AY200" s="989"/>
      <c r="AZ200" s="989"/>
      <c r="BA200" s="989"/>
      <c r="BB200" s="989"/>
      <c r="BC200" s="989"/>
      <c r="BD200" s="989"/>
      <c r="BF200" s="978"/>
    </row>
    <row r="201" spans="1:58" ht="15" customHeight="1">
      <c r="B201" s="983" t="s">
        <v>986</v>
      </c>
      <c r="C201" s="984" t="s">
        <v>987</v>
      </c>
      <c r="D201" s="989"/>
      <c r="E201" s="989"/>
      <c r="F201" s="989"/>
      <c r="G201" s="989"/>
      <c r="H201" s="989"/>
      <c r="I201" s="989"/>
      <c r="J201" s="989"/>
      <c r="K201" s="989"/>
      <c r="L201" s="989"/>
      <c r="M201" s="989"/>
      <c r="N201" s="989"/>
      <c r="O201" s="989"/>
      <c r="P201" s="989"/>
      <c r="Q201" s="989"/>
      <c r="R201" s="989"/>
      <c r="S201" s="989"/>
      <c r="T201" s="989"/>
      <c r="U201" s="989"/>
      <c r="V201" s="989"/>
      <c r="W201" s="989"/>
      <c r="X201" s="989"/>
      <c r="Y201" s="989"/>
      <c r="Z201" s="989"/>
      <c r="AA201" s="989"/>
      <c r="AB201" s="989"/>
      <c r="AC201" s="989"/>
      <c r="AD201" s="989"/>
      <c r="AE201" s="989"/>
      <c r="AF201" s="989"/>
      <c r="AG201" s="989"/>
      <c r="AH201" s="989"/>
      <c r="AI201" s="989"/>
      <c r="AJ201" s="989"/>
      <c r="AK201" s="989"/>
      <c r="AL201" s="989"/>
      <c r="AM201" s="989"/>
      <c r="AN201" s="989"/>
      <c r="AO201" s="989"/>
      <c r="AP201" s="989"/>
      <c r="AQ201" s="989"/>
      <c r="AR201" s="989"/>
      <c r="AS201" s="989"/>
      <c r="AT201" s="989"/>
      <c r="AU201" s="989"/>
      <c r="AV201" s="989"/>
      <c r="AW201" s="989"/>
      <c r="AX201" s="989"/>
      <c r="AY201" s="989"/>
      <c r="AZ201" s="989"/>
      <c r="BA201" s="989"/>
      <c r="BB201" s="989"/>
      <c r="BC201" s="989"/>
      <c r="BD201" s="989"/>
      <c r="BF201" s="978"/>
    </row>
    <row r="202" spans="1:58" ht="15" customHeight="1">
      <c r="B202" s="983" t="s">
        <v>1238</v>
      </c>
      <c r="C202" s="984" t="s">
        <v>1237</v>
      </c>
      <c r="D202" s="990">
        <v>0</v>
      </c>
      <c r="E202" s="990">
        <v>0</v>
      </c>
      <c r="F202" s="990">
        <v>0</v>
      </c>
      <c r="G202" s="990">
        <v>0</v>
      </c>
      <c r="H202" s="990">
        <v>0</v>
      </c>
      <c r="I202" s="990">
        <v>33401.97</v>
      </c>
      <c r="J202" s="990">
        <v>0</v>
      </c>
      <c r="K202" s="990">
        <v>0</v>
      </c>
      <c r="L202" s="990">
        <v>0</v>
      </c>
      <c r="M202" s="990">
        <v>0</v>
      </c>
      <c r="N202" s="990">
        <v>0</v>
      </c>
      <c r="O202" s="990">
        <v>0</v>
      </c>
      <c r="P202" s="990">
        <v>0</v>
      </c>
      <c r="Q202" s="990">
        <v>30632.81</v>
      </c>
      <c r="R202" s="990">
        <v>0</v>
      </c>
      <c r="S202" s="990">
        <v>0</v>
      </c>
      <c r="T202" s="990">
        <v>0</v>
      </c>
      <c r="U202" s="990">
        <v>0</v>
      </c>
      <c r="V202" s="990">
        <v>0</v>
      </c>
      <c r="W202" s="990">
        <v>0</v>
      </c>
      <c r="X202" s="990">
        <v>0</v>
      </c>
      <c r="Y202" s="990">
        <v>0</v>
      </c>
      <c r="Z202" s="990">
        <v>0</v>
      </c>
      <c r="AA202" s="990">
        <v>0</v>
      </c>
      <c r="AB202" s="990">
        <v>0</v>
      </c>
      <c r="AC202" s="990">
        <v>0</v>
      </c>
      <c r="AD202" s="990">
        <v>0</v>
      </c>
      <c r="AE202" s="990">
        <v>0</v>
      </c>
      <c r="AF202" s="990">
        <v>0</v>
      </c>
      <c r="AG202" s="990">
        <v>0</v>
      </c>
      <c r="AH202" s="990">
        <v>0</v>
      </c>
      <c r="AI202" s="990">
        <v>0</v>
      </c>
      <c r="AJ202" s="990">
        <v>0</v>
      </c>
      <c r="AK202" s="990">
        <v>0</v>
      </c>
      <c r="AL202" s="990">
        <v>0</v>
      </c>
      <c r="AM202" s="990">
        <v>0</v>
      </c>
      <c r="AN202" s="990">
        <v>0</v>
      </c>
      <c r="AO202" s="990">
        <v>0</v>
      </c>
      <c r="AP202" s="990">
        <v>0</v>
      </c>
      <c r="AQ202" s="990">
        <v>0</v>
      </c>
      <c r="AR202" s="990">
        <v>0</v>
      </c>
      <c r="AS202" s="990">
        <v>0</v>
      </c>
      <c r="AT202" s="990">
        <v>0</v>
      </c>
      <c r="AU202" s="990">
        <v>0</v>
      </c>
      <c r="AV202" s="990">
        <v>0</v>
      </c>
      <c r="AW202" s="990">
        <v>0</v>
      </c>
      <c r="AX202" s="990">
        <v>0</v>
      </c>
      <c r="AY202" s="990">
        <v>0</v>
      </c>
      <c r="AZ202" s="990">
        <v>0</v>
      </c>
      <c r="BA202" s="990">
        <v>0</v>
      </c>
      <c r="BB202" s="990">
        <v>0</v>
      </c>
      <c r="BC202" s="990">
        <v>0</v>
      </c>
      <c r="BD202" s="990">
        <v>0</v>
      </c>
      <c r="BF202" s="978"/>
    </row>
    <row r="203" spans="1:58" ht="15" customHeight="1">
      <c r="B203" s="983" t="s">
        <v>988</v>
      </c>
      <c r="C203" s="984" t="s">
        <v>989</v>
      </c>
      <c r="D203" s="986">
        <v>0</v>
      </c>
      <c r="E203" s="986">
        <v>0</v>
      </c>
      <c r="F203" s="986">
        <v>0</v>
      </c>
      <c r="G203" s="986">
        <v>0</v>
      </c>
      <c r="H203" s="986">
        <v>0</v>
      </c>
      <c r="I203" s="986">
        <v>33401.97</v>
      </c>
      <c r="J203" s="986">
        <v>0</v>
      </c>
      <c r="K203" s="986">
        <v>0</v>
      </c>
      <c r="L203" s="986">
        <v>0</v>
      </c>
      <c r="M203" s="986">
        <v>0</v>
      </c>
      <c r="N203" s="986">
        <v>0</v>
      </c>
      <c r="O203" s="986">
        <v>0</v>
      </c>
      <c r="P203" s="986">
        <v>0</v>
      </c>
      <c r="Q203" s="986">
        <v>30632.81</v>
      </c>
      <c r="R203" s="986">
        <v>0</v>
      </c>
      <c r="S203" s="986">
        <v>0</v>
      </c>
      <c r="T203" s="986">
        <v>0</v>
      </c>
      <c r="U203" s="986">
        <v>0</v>
      </c>
      <c r="V203" s="986">
        <v>0</v>
      </c>
      <c r="W203" s="986">
        <v>0</v>
      </c>
      <c r="X203" s="986">
        <v>0</v>
      </c>
      <c r="Y203" s="986">
        <v>0</v>
      </c>
      <c r="Z203" s="986">
        <v>0</v>
      </c>
      <c r="AA203" s="986">
        <v>0</v>
      </c>
      <c r="AB203" s="986">
        <v>0</v>
      </c>
      <c r="AC203" s="986">
        <v>0</v>
      </c>
      <c r="AD203" s="986">
        <v>0</v>
      </c>
      <c r="AE203" s="986">
        <v>0</v>
      </c>
      <c r="AF203" s="986">
        <v>0</v>
      </c>
      <c r="AG203" s="986">
        <v>0</v>
      </c>
      <c r="AH203" s="986">
        <v>0</v>
      </c>
      <c r="AI203" s="986">
        <v>0</v>
      </c>
      <c r="AJ203" s="986">
        <v>0</v>
      </c>
      <c r="AK203" s="986">
        <v>0</v>
      </c>
      <c r="AL203" s="986">
        <v>0</v>
      </c>
      <c r="AM203" s="986">
        <v>0</v>
      </c>
      <c r="AN203" s="986">
        <v>0</v>
      </c>
      <c r="AO203" s="986">
        <v>0</v>
      </c>
      <c r="AP203" s="986">
        <v>0</v>
      </c>
      <c r="AQ203" s="986">
        <v>0</v>
      </c>
      <c r="AR203" s="986">
        <v>0</v>
      </c>
      <c r="AS203" s="986">
        <v>0</v>
      </c>
      <c r="AT203" s="986">
        <v>0</v>
      </c>
      <c r="AU203" s="986">
        <v>0</v>
      </c>
      <c r="AV203" s="986">
        <v>0</v>
      </c>
      <c r="AW203" s="986">
        <v>0</v>
      </c>
      <c r="AX203" s="986">
        <v>0</v>
      </c>
      <c r="AY203" s="986">
        <v>0</v>
      </c>
      <c r="AZ203" s="986">
        <v>0</v>
      </c>
      <c r="BA203" s="986">
        <v>0</v>
      </c>
      <c r="BB203" s="986">
        <v>0</v>
      </c>
      <c r="BC203" s="986">
        <v>0</v>
      </c>
      <c r="BD203" s="986">
        <v>0</v>
      </c>
      <c r="BF203" s="978"/>
    </row>
    <row r="204" spans="1:58" ht="15" customHeight="1">
      <c r="B204" s="983" t="s">
        <v>1236</v>
      </c>
      <c r="C204" s="984" t="s">
        <v>1235</v>
      </c>
      <c r="D204" s="989"/>
      <c r="E204" s="989"/>
      <c r="F204" s="989"/>
      <c r="G204" s="989"/>
      <c r="H204" s="989"/>
      <c r="I204" s="989"/>
      <c r="J204" s="989"/>
      <c r="K204" s="989"/>
      <c r="L204" s="989"/>
      <c r="M204" s="989"/>
      <c r="N204" s="989"/>
      <c r="O204" s="989"/>
      <c r="P204" s="989"/>
      <c r="Q204" s="989"/>
      <c r="R204" s="989"/>
      <c r="S204" s="989"/>
      <c r="T204" s="989"/>
      <c r="U204" s="989"/>
      <c r="V204" s="989"/>
      <c r="W204" s="989"/>
      <c r="X204" s="989"/>
      <c r="Y204" s="989"/>
      <c r="Z204" s="989"/>
      <c r="AA204" s="989"/>
      <c r="AB204" s="989"/>
      <c r="AC204" s="989"/>
      <c r="AD204" s="989"/>
      <c r="AE204" s="989"/>
      <c r="AF204" s="989"/>
      <c r="AG204" s="989"/>
      <c r="AH204" s="989"/>
      <c r="AI204" s="989"/>
      <c r="AJ204" s="989"/>
      <c r="AK204" s="989"/>
      <c r="AL204" s="989"/>
      <c r="AM204" s="989"/>
      <c r="AN204" s="989"/>
      <c r="AO204" s="989"/>
      <c r="AP204" s="989"/>
      <c r="AQ204" s="989"/>
      <c r="AR204" s="989"/>
      <c r="AS204" s="989"/>
      <c r="AT204" s="989"/>
      <c r="AU204" s="989"/>
      <c r="AV204" s="989"/>
      <c r="AW204" s="989"/>
      <c r="AX204" s="989"/>
      <c r="AY204" s="989"/>
      <c r="AZ204" s="989"/>
      <c r="BA204" s="989"/>
      <c r="BB204" s="989"/>
      <c r="BC204" s="989"/>
      <c r="BD204" s="989"/>
      <c r="BF204" s="978"/>
    </row>
    <row r="205" spans="1:58" ht="15" customHeight="1">
      <c r="B205" s="983" t="s">
        <v>1234</v>
      </c>
      <c r="C205" s="984" t="s">
        <v>1233</v>
      </c>
      <c r="D205" s="990">
        <v>0</v>
      </c>
      <c r="E205" s="990">
        <v>0</v>
      </c>
      <c r="F205" s="990">
        <v>0</v>
      </c>
      <c r="G205" s="990">
        <v>0</v>
      </c>
      <c r="H205" s="990">
        <v>0</v>
      </c>
      <c r="I205" s="990">
        <v>0</v>
      </c>
      <c r="J205" s="990">
        <v>0</v>
      </c>
      <c r="K205" s="990">
        <v>0</v>
      </c>
      <c r="L205" s="990">
        <v>0</v>
      </c>
      <c r="M205" s="990">
        <v>0</v>
      </c>
      <c r="N205" s="990">
        <v>0</v>
      </c>
      <c r="O205" s="990">
        <v>0</v>
      </c>
      <c r="P205" s="990">
        <v>0</v>
      </c>
      <c r="Q205" s="990">
        <v>0</v>
      </c>
      <c r="R205" s="990">
        <v>0</v>
      </c>
      <c r="S205" s="990">
        <v>0</v>
      </c>
      <c r="T205" s="990">
        <v>0</v>
      </c>
      <c r="U205" s="990">
        <v>0</v>
      </c>
      <c r="V205" s="990">
        <v>0</v>
      </c>
      <c r="W205" s="990">
        <v>0</v>
      </c>
      <c r="X205" s="990">
        <v>0</v>
      </c>
      <c r="Y205" s="990">
        <v>0</v>
      </c>
      <c r="Z205" s="990">
        <v>0</v>
      </c>
      <c r="AA205" s="990">
        <v>0</v>
      </c>
      <c r="AB205" s="990">
        <v>0</v>
      </c>
      <c r="AC205" s="990">
        <v>0</v>
      </c>
      <c r="AD205" s="990">
        <v>0</v>
      </c>
      <c r="AE205" s="990">
        <v>0</v>
      </c>
      <c r="AF205" s="990">
        <v>0</v>
      </c>
      <c r="AG205" s="990">
        <v>0</v>
      </c>
      <c r="AH205" s="990">
        <v>0</v>
      </c>
      <c r="AI205" s="990">
        <v>0</v>
      </c>
      <c r="AJ205" s="990">
        <v>0</v>
      </c>
      <c r="AK205" s="990">
        <v>0</v>
      </c>
      <c r="AL205" s="990">
        <v>0</v>
      </c>
      <c r="AM205" s="990">
        <v>0</v>
      </c>
      <c r="AN205" s="990">
        <v>0</v>
      </c>
      <c r="AO205" s="990">
        <v>0</v>
      </c>
      <c r="AP205" s="990">
        <v>0</v>
      </c>
      <c r="AQ205" s="990">
        <v>0</v>
      </c>
      <c r="AR205" s="990">
        <v>0</v>
      </c>
      <c r="AS205" s="990">
        <v>0</v>
      </c>
      <c r="AT205" s="990">
        <v>0</v>
      </c>
      <c r="AU205" s="990">
        <v>0</v>
      </c>
      <c r="AV205" s="990">
        <v>0</v>
      </c>
      <c r="AW205" s="990">
        <v>0</v>
      </c>
      <c r="AX205" s="990">
        <v>0</v>
      </c>
      <c r="AY205" s="990">
        <v>0</v>
      </c>
      <c r="AZ205" s="990">
        <v>113.55</v>
      </c>
      <c r="BA205" s="990">
        <v>0</v>
      </c>
      <c r="BB205" s="990">
        <v>0</v>
      </c>
      <c r="BC205" s="990">
        <v>0</v>
      </c>
      <c r="BD205" s="990">
        <v>0</v>
      </c>
      <c r="BF205" s="978"/>
    </row>
    <row r="206" spans="1:58" ht="15" customHeight="1">
      <c r="B206" s="983" t="s">
        <v>1232</v>
      </c>
      <c r="C206" s="984" t="s">
        <v>1231</v>
      </c>
      <c r="D206" s="986">
        <v>0</v>
      </c>
      <c r="E206" s="986">
        <v>0</v>
      </c>
      <c r="F206" s="986">
        <v>0</v>
      </c>
      <c r="G206" s="986">
        <v>0</v>
      </c>
      <c r="H206" s="986">
        <v>0</v>
      </c>
      <c r="I206" s="986">
        <v>0</v>
      </c>
      <c r="J206" s="986">
        <v>0</v>
      </c>
      <c r="K206" s="986">
        <v>0</v>
      </c>
      <c r="L206" s="986">
        <v>0</v>
      </c>
      <c r="M206" s="986">
        <v>0</v>
      </c>
      <c r="N206" s="986">
        <v>0</v>
      </c>
      <c r="O206" s="986">
        <v>0</v>
      </c>
      <c r="P206" s="986">
        <v>0</v>
      </c>
      <c r="Q206" s="986">
        <v>0</v>
      </c>
      <c r="R206" s="986">
        <v>0</v>
      </c>
      <c r="S206" s="986">
        <v>0</v>
      </c>
      <c r="T206" s="986">
        <v>0</v>
      </c>
      <c r="U206" s="986">
        <v>0</v>
      </c>
      <c r="V206" s="986">
        <v>0</v>
      </c>
      <c r="W206" s="986">
        <v>0</v>
      </c>
      <c r="X206" s="986">
        <v>0</v>
      </c>
      <c r="Y206" s="986">
        <v>0</v>
      </c>
      <c r="Z206" s="986">
        <v>0</v>
      </c>
      <c r="AA206" s="986">
        <v>0</v>
      </c>
      <c r="AB206" s="986">
        <v>0</v>
      </c>
      <c r="AC206" s="986">
        <v>0</v>
      </c>
      <c r="AD206" s="986">
        <v>0</v>
      </c>
      <c r="AE206" s="986">
        <v>0</v>
      </c>
      <c r="AF206" s="986">
        <v>0</v>
      </c>
      <c r="AG206" s="986">
        <v>0</v>
      </c>
      <c r="AH206" s="986">
        <v>0</v>
      </c>
      <c r="AI206" s="986">
        <v>0</v>
      </c>
      <c r="AJ206" s="986">
        <v>0</v>
      </c>
      <c r="AK206" s="986">
        <v>0</v>
      </c>
      <c r="AL206" s="986">
        <v>0</v>
      </c>
      <c r="AM206" s="986">
        <v>0</v>
      </c>
      <c r="AN206" s="986">
        <v>0</v>
      </c>
      <c r="AO206" s="986">
        <v>0</v>
      </c>
      <c r="AP206" s="986">
        <v>0</v>
      </c>
      <c r="AQ206" s="986">
        <v>0</v>
      </c>
      <c r="AR206" s="986">
        <v>0</v>
      </c>
      <c r="AS206" s="986">
        <v>0</v>
      </c>
      <c r="AT206" s="986">
        <v>0</v>
      </c>
      <c r="AU206" s="986">
        <v>0</v>
      </c>
      <c r="AV206" s="986">
        <v>0</v>
      </c>
      <c r="AW206" s="986">
        <v>0</v>
      </c>
      <c r="AX206" s="986">
        <v>0</v>
      </c>
      <c r="AY206" s="986">
        <v>0</v>
      </c>
      <c r="AZ206" s="986">
        <v>113.55</v>
      </c>
      <c r="BA206" s="986">
        <v>0</v>
      </c>
      <c r="BB206" s="986">
        <v>0</v>
      </c>
      <c r="BC206" s="986">
        <v>0</v>
      </c>
      <c r="BD206" s="986">
        <v>0</v>
      </c>
      <c r="BF206" s="978"/>
    </row>
    <row r="207" spans="1:58" ht="15" customHeight="1">
      <c r="B207" s="983" t="s">
        <v>1230</v>
      </c>
      <c r="C207" s="984" t="s">
        <v>1229</v>
      </c>
      <c r="D207" s="989"/>
      <c r="E207" s="989"/>
      <c r="F207" s="989"/>
      <c r="G207" s="989"/>
      <c r="H207" s="989"/>
      <c r="I207" s="989"/>
      <c r="J207" s="989"/>
      <c r="K207" s="989"/>
      <c r="L207" s="989"/>
      <c r="M207" s="989"/>
      <c r="N207" s="989"/>
      <c r="O207" s="989"/>
      <c r="P207" s="989"/>
      <c r="Q207" s="989"/>
      <c r="R207" s="989"/>
      <c r="S207" s="989"/>
      <c r="T207" s="989"/>
      <c r="U207" s="989"/>
      <c r="V207" s="989"/>
      <c r="W207" s="989"/>
      <c r="X207" s="989"/>
      <c r="Y207" s="989"/>
      <c r="Z207" s="989"/>
      <c r="AA207" s="989"/>
      <c r="AB207" s="989"/>
      <c r="AC207" s="989"/>
      <c r="AD207" s="989"/>
      <c r="AE207" s="989"/>
      <c r="AF207" s="989"/>
      <c r="AG207" s="989"/>
      <c r="AH207" s="989"/>
      <c r="AI207" s="989"/>
      <c r="AJ207" s="989"/>
      <c r="AK207" s="989"/>
      <c r="AL207" s="989"/>
      <c r="AM207" s="989"/>
      <c r="AN207" s="989"/>
      <c r="AO207" s="989"/>
      <c r="AP207" s="989"/>
      <c r="AQ207" s="989"/>
      <c r="AR207" s="989"/>
      <c r="AS207" s="989"/>
      <c r="AT207" s="989"/>
      <c r="AU207" s="989"/>
      <c r="AV207" s="989"/>
      <c r="AW207" s="989"/>
      <c r="AX207" s="989"/>
      <c r="AY207" s="989"/>
      <c r="AZ207" s="989"/>
      <c r="BA207" s="989"/>
      <c r="BB207" s="989"/>
      <c r="BC207" s="989"/>
      <c r="BD207" s="989"/>
      <c r="BF207" s="978"/>
    </row>
    <row r="208" spans="1:58" ht="15" customHeight="1">
      <c r="B208" s="983" t="s">
        <v>1228</v>
      </c>
      <c r="C208" s="984" t="s">
        <v>1227</v>
      </c>
      <c r="D208" s="988">
        <v>0</v>
      </c>
      <c r="E208" s="988">
        <v>0</v>
      </c>
      <c r="F208" s="988">
        <v>0</v>
      </c>
      <c r="G208" s="988">
        <v>0</v>
      </c>
      <c r="H208" s="988">
        <v>0</v>
      </c>
      <c r="I208" s="988">
        <v>0</v>
      </c>
      <c r="J208" s="988">
        <v>0</v>
      </c>
      <c r="K208" s="988">
        <v>0</v>
      </c>
      <c r="L208" s="988">
        <v>0</v>
      </c>
      <c r="M208" s="988">
        <v>0</v>
      </c>
      <c r="N208" s="988">
        <v>0</v>
      </c>
      <c r="O208" s="988">
        <v>0</v>
      </c>
      <c r="P208" s="988">
        <v>0</v>
      </c>
      <c r="Q208" s="988">
        <v>0</v>
      </c>
      <c r="R208" s="988">
        <v>0</v>
      </c>
      <c r="S208" s="988">
        <v>0</v>
      </c>
      <c r="T208" s="988">
        <v>0</v>
      </c>
      <c r="U208" s="988">
        <v>0</v>
      </c>
      <c r="V208" s="988">
        <v>0</v>
      </c>
      <c r="W208" s="988">
        <v>0</v>
      </c>
      <c r="X208" s="988">
        <v>0</v>
      </c>
      <c r="Y208" s="988">
        <v>0</v>
      </c>
      <c r="Z208" s="988">
        <v>0</v>
      </c>
      <c r="AA208" s="988">
        <v>0</v>
      </c>
      <c r="AB208" s="988">
        <v>0</v>
      </c>
      <c r="AC208" s="988">
        <v>0</v>
      </c>
      <c r="AD208" s="988">
        <v>0</v>
      </c>
      <c r="AE208" s="988">
        <v>0</v>
      </c>
      <c r="AF208" s="988">
        <v>0</v>
      </c>
      <c r="AG208" s="988">
        <v>0</v>
      </c>
      <c r="AH208" s="988">
        <v>0</v>
      </c>
      <c r="AI208" s="988">
        <v>0</v>
      </c>
      <c r="AJ208" s="988">
        <v>0</v>
      </c>
      <c r="AK208" s="988">
        <v>0</v>
      </c>
      <c r="AL208" s="988">
        <v>0</v>
      </c>
      <c r="AM208" s="988">
        <v>0</v>
      </c>
      <c r="AN208" s="988">
        <v>0</v>
      </c>
      <c r="AO208" s="988">
        <v>0</v>
      </c>
      <c r="AP208" s="988">
        <v>0</v>
      </c>
      <c r="AQ208" s="988">
        <v>0</v>
      </c>
      <c r="AR208" s="988">
        <v>0</v>
      </c>
      <c r="AS208" s="988">
        <v>0</v>
      </c>
      <c r="AT208" s="988">
        <v>11700</v>
      </c>
      <c r="AU208" s="988">
        <v>3900</v>
      </c>
      <c r="AV208" s="988">
        <v>3900</v>
      </c>
      <c r="AW208" s="988">
        <v>3900</v>
      </c>
      <c r="AX208" s="988">
        <v>1950</v>
      </c>
      <c r="AY208" s="988">
        <v>0</v>
      </c>
      <c r="AZ208" s="988">
        <v>0</v>
      </c>
      <c r="BA208" s="988">
        <v>1950</v>
      </c>
      <c r="BB208" s="988">
        <v>1950</v>
      </c>
      <c r="BC208" s="988">
        <v>0</v>
      </c>
      <c r="BD208" s="988">
        <v>3900</v>
      </c>
      <c r="BF208" s="978"/>
    </row>
    <row r="209" spans="2:58" ht="15" customHeight="1">
      <c r="B209" s="983" t="s">
        <v>1226</v>
      </c>
      <c r="C209" s="984" t="s">
        <v>1225</v>
      </c>
      <c r="D209" s="987">
        <v>0</v>
      </c>
      <c r="E209" s="987">
        <v>0</v>
      </c>
      <c r="F209" s="987">
        <v>0</v>
      </c>
      <c r="G209" s="987">
        <v>0</v>
      </c>
      <c r="H209" s="987">
        <v>0</v>
      </c>
      <c r="I209" s="987">
        <v>0</v>
      </c>
      <c r="J209" s="987">
        <v>0</v>
      </c>
      <c r="K209" s="987">
        <v>0</v>
      </c>
      <c r="L209" s="987">
        <v>0</v>
      </c>
      <c r="M209" s="987">
        <v>0</v>
      </c>
      <c r="N209" s="987">
        <v>0</v>
      </c>
      <c r="O209" s="987">
        <v>0</v>
      </c>
      <c r="P209" s="987">
        <v>0</v>
      </c>
      <c r="Q209" s="987">
        <v>0</v>
      </c>
      <c r="R209" s="987">
        <v>0</v>
      </c>
      <c r="S209" s="987">
        <v>0</v>
      </c>
      <c r="T209" s="987">
        <v>0</v>
      </c>
      <c r="U209" s="987">
        <v>0</v>
      </c>
      <c r="V209" s="987">
        <v>0</v>
      </c>
      <c r="W209" s="987">
        <v>0</v>
      </c>
      <c r="X209" s="987">
        <v>0</v>
      </c>
      <c r="Y209" s="987">
        <v>0</v>
      </c>
      <c r="Z209" s="987">
        <v>0</v>
      </c>
      <c r="AA209" s="987">
        <v>0</v>
      </c>
      <c r="AB209" s="987">
        <v>0</v>
      </c>
      <c r="AC209" s="987">
        <v>0</v>
      </c>
      <c r="AD209" s="987">
        <v>0</v>
      </c>
      <c r="AE209" s="987">
        <v>0</v>
      </c>
      <c r="AF209" s="987">
        <v>0</v>
      </c>
      <c r="AG209" s="987">
        <v>0</v>
      </c>
      <c r="AH209" s="987">
        <v>0</v>
      </c>
      <c r="AI209" s="987">
        <v>0</v>
      </c>
      <c r="AJ209" s="987">
        <v>0</v>
      </c>
      <c r="AK209" s="987">
        <v>0</v>
      </c>
      <c r="AL209" s="987">
        <v>0</v>
      </c>
      <c r="AM209" s="987">
        <v>0</v>
      </c>
      <c r="AN209" s="987">
        <v>0</v>
      </c>
      <c r="AO209" s="987">
        <v>0</v>
      </c>
      <c r="AP209" s="987">
        <v>0</v>
      </c>
      <c r="AQ209" s="987">
        <v>0</v>
      </c>
      <c r="AR209" s="987">
        <v>0</v>
      </c>
      <c r="AS209" s="987">
        <v>0</v>
      </c>
      <c r="AT209" s="987">
        <v>11700</v>
      </c>
      <c r="AU209" s="987">
        <v>3900</v>
      </c>
      <c r="AV209" s="987">
        <v>3900</v>
      </c>
      <c r="AW209" s="987">
        <v>3900</v>
      </c>
      <c r="AX209" s="987">
        <v>1950</v>
      </c>
      <c r="AY209" s="987">
        <v>0</v>
      </c>
      <c r="AZ209" s="987">
        <v>0</v>
      </c>
      <c r="BA209" s="987">
        <v>1950</v>
      </c>
      <c r="BB209" s="987">
        <v>1950</v>
      </c>
      <c r="BC209" s="987">
        <v>0</v>
      </c>
      <c r="BD209" s="987">
        <v>3900</v>
      </c>
      <c r="BF209" s="978"/>
    </row>
    <row r="210" spans="2:58" ht="15" customHeight="1">
      <c r="B210" s="983" t="s">
        <v>990</v>
      </c>
      <c r="C210" s="984" t="s">
        <v>991</v>
      </c>
      <c r="D210" s="986">
        <v>0</v>
      </c>
      <c r="E210" s="986">
        <v>0</v>
      </c>
      <c r="F210" s="986">
        <v>0</v>
      </c>
      <c r="G210" s="986">
        <v>0</v>
      </c>
      <c r="H210" s="986">
        <v>0</v>
      </c>
      <c r="I210" s="986">
        <v>33401.97</v>
      </c>
      <c r="J210" s="986">
        <v>0</v>
      </c>
      <c r="K210" s="986">
        <v>0</v>
      </c>
      <c r="L210" s="986">
        <v>0</v>
      </c>
      <c r="M210" s="986">
        <v>0</v>
      </c>
      <c r="N210" s="986">
        <v>0</v>
      </c>
      <c r="O210" s="986">
        <v>0</v>
      </c>
      <c r="P210" s="986">
        <v>0</v>
      </c>
      <c r="Q210" s="986">
        <v>30632.81</v>
      </c>
      <c r="R210" s="986">
        <v>0</v>
      </c>
      <c r="S210" s="986">
        <v>0</v>
      </c>
      <c r="T210" s="986">
        <v>0</v>
      </c>
      <c r="U210" s="986">
        <v>0</v>
      </c>
      <c r="V210" s="986">
        <v>0</v>
      </c>
      <c r="W210" s="986">
        <v>0</v>
      </c>
      <c r="X210" s="986">
        <v>0</v>
      </c>
      <c r="Y210" s="986">
        <v>0</v>
      </c>
      <c r="Z210" s="986">
        <v>0</v>
      </c>
      <c r="AA210" s="986">
        <v>0</v>
      </c>
      <c r="AB210" s="986">
        <v>0</v>
      </c>
      <c r="AC210" s="986">
        <v>0</v>
      </c>
      <c r="AD210" s="986">
        <v>0</v>
      </c>
      <c r="AE210" s="986">
        <v>0</v>
      </c>
      <c r="AF210" s="986">
        <v>0</v>
      </c>
      <c r="AG210" s="986">
        <v>0</v>
      </c>
      <c r="AH210" s="986">
        <v>0</v>
      </c>
      <c r="AI210" s="986">
        <v>0</v>
      </c>
      <c r="AJ210" s="986">
        <v>0</v>
      </c>
      <c r="AK210" s="986">
        <v>0</v>
      </c>
      <c r="AL210" s="986">
        <v>0</v>
      </c>
      <c r="AM210" s="986">
        <v>0</v>
      </c>
      <c r="AN210" s="986">
        <v>0</v>
      </c>
      <c r="AO210" s="986">
        <v>0</v>
      </c>
      <c r="AP210" s="986">
        <v>0</v>
      </c>
      <c r="AQ210" s="986">
        <v>0</v>
      </c>
      <c r="AR210" s="986">
        <v>0</v>
      </c>
      <c r="AS210" s="986">
        <v>0</v>
      </c>
      <c r="AT210" s="986">
        <v>11700</v>
      </c>
      <c r="AU210" s="986">
        <v>3900</v>
      </c>
      <c r="AV210" s="986">
        <v>3900</v>
      </c>
      <c r="AW210" s="986">
        <v>3900</v>
      </c>
      <c r="AX210" s="986">
        <v>1950</v>
      </c>
      <c r="AY210" s="986">
        <v>0</v>
      </c>
      <c r="AZ210" s="986">
        <v>113.55</v>
      </c>
      <c r="BA210" s="986">
        <v>1950</v>
      </c>
      <c r="BB210" s="986">
        <v>1950</v>
      </c>
      <c r="BC210" s="986">
        <v>0</v>
      </c>
      <c r="BD210" s="986">
        <v>3900</v>
      </c>
      <c r="BF210" s="978"/>
    </row>
    <row r="211" spans="2:58" ht="15" customHeight="1">
      <c r="B211" s="983" t="s">
        <v>1224</v>
      </c>
      <c r="C211" s="984" t="s">
        <v>1223</v>
      </c>
      <c r="D211" s="989"/>
      <c r="E211" s="989"/>
      <c r="F211" s="989"/>
      <c r="G211" s="989"/>
      <c r="H211" s="989"/>
      <c r="I211" s="989"/>
      <c r="J211" s="989"/>
      <c r="K211" s="989"/>
      <c r="L211" s="989"/>
      <c r="M211" s="989"/>
      <c r="N211" s="989"/>
      <c r="O211" s="989"/>
      <c r="P211" s="989"/>
      <c r="Q211" s="989"/>
      <c r="R211" s="989"/>
      <c r="S211" s="989"/>
      <c r="T211" s="989"/>
      <c r="U211" s="989"/>
      <c r="V211" s="989"/>
      <c r="W211" s="989"/>
      <c r="X211" s="989"/>
      <c r="Y211" s="989"/>
      <c r="Z211" s="989"/>
      <c r="AA211" s="989"/>
      <c r="AB211" s="989"/>
      <c r="AC211" s="989"/>
      <c r="AD211" s="989"/>
      <c r="AE211" s="989"/>
      <c r="AF211" s="989"/>
      <c r="AG211" s="989"/>
      <c r="AH211" s="989"/>
      <c r="AI211" s="989"/>
      <c r="AJ211" s="989"/>
      <c r="AK211" s="989"/>
      <c r="AL211" s="989"/>
      <c r="AM211" s="989"/>
      <c r="AN211" s="989"/>
      <c r="AO211" s="989"/>
      <c r="AP211" s="989"/>
      <c r="AQ211" s="989"/>
      <c r="AR211" s="989"/>
      <c r="AS211" s="989"/>
      <c r="AT211" s="989"/>
      <c r="AU211" s="989"/>
      <c r="AV211" s="989"/>
      <c r="AW211" s="989"/>
      <c r="AX211" s="989"/>
      <c r="AY211" s="989"/>
      <c r="AZ211" s="989"/>
      <c r="BA211" s="989"/>
      <c r="BB211" s="989"/>
      <c r="BC211" s="989"/>
      <c r="BD211" s="989"/>
      <c r="BF211" s="978"/>
    </row>
    <row r="212" spans="2:58" ht="15" customHeight="1">
      <c r="B212" s="983" t="s">
        <v>1222</v>
      </c>
      <c r="C212" s="984" t="s">
        <v>1221</v>
      </c>
      <c r="D212" s="989"/>
      <c r="E212" s="989"/>
      <c r="F212" s="989"/>
      <c r="G212" s="989"/>
      <c r="H212" s="989"/>
      <c r="I212" s="989"/>
      <c r="J212" s="989"/>
      <c r="K212" s="989"/>
      <c r="L212" s="989"/>
      <c r="M212" s="989"/>
      <c r="N212" s="989"/>
      <c r="O212" s="989"/>
      <c r="P212" s="989"/>
      <c r="Q212" s="989"/>
      <c r="R212" s="989"/>
      <c r="S212" s="989"/>
      <c r="T212" s="989"/>
      <c r="U212" s="989"/>
      <c r="V212" s="989"/>
      <c r="W212" s="989"/>
      <c r="X212" s="989"/>
      <c r="Y212" s="989"/>
      <c r="Z212" s="989"/>
      <c r="AA212" s="989"/>
      <c r="AB212" s="989"/>
      <c r="AC212" s="989"/>
      <c r="AD212" s="989"/>
      <c r="AE212" s="989"/>
      <c r="AF212" s="989"/>
      <c r="AG212" s="989"/>
      <c r="AH212" s="989"/>
      <c r="AI212" s="989"/>
      <c r="AJ212" s="989"/>
      <c r="AK212" s="989"/>
      <c r="AL212" s="989"/>
      <c r="AM212" s="989"/>
      <c r="AN212" s="989"/>
      <c r="AO212" s="989"/>
      <c r="AP212" s="989"/>
      <c r="AQ212" s="989"/>
      <c r="AR212" s="989"/>
      <c r="AS212" s="989"/>
      <c r="AT212" s="989"/>
      <c r="AU212" s="989"/>
      <c r="AV212" s="989"/>
      <c r="AW212" s="989"/>
      <c r="AX212" s="989"/>
      <c r="AY212" s="989"/>
      <c r="AZ212" s="989"/>
      <c r="BA212" s="989"/>
      <c r="BB212" s="989"/>
      <c r="BC212" s="989"/>
      <c r="BD212" s="989"/>
      <c r="BF212" s="978"/>
    </row>
    <row r="213" spans="2:58" ht="15" customHeight="1">
      <c r="B213" s="983" t="s">
        <v>1220</v>
      </c>
      <c r="C213" s="984" t="s">
        <v>1219</v>
      </c>
      <c r="D213" s="990">
        <v>0</v>
      </c>
      <c r="E213" s="990">
        <v>0</v>
      </c>
      <c r="F213" s="990">
        <v>0</v>
      </c>
      <c r="G213" s="990">
        <v>0</v>
      </c>
      <c r="H213" s="990">
        <v>0</v>
      </c>
      <c r="I213" s="990">
        <v>0</v>
      </c>
      <c r="J213" s="990">
        <v>0</v>
      </c>
      <c r="K213" s="990">
        <v>0</v>
      </c>
      <c r="L213" s="990">
        <v>0</v>
      </c>
      <c r="M213" s="990">
        <v>0</v>
      </c>
      <c r="N213" s="990">
        <v>0</v>
      </c>
      <c r="O213" s="990">
        <v>0</v>
      </c>
      <c r="P213" s="990">
        <v>0</v>
      </c>
      <c r="Q213" s="990">
        <v>0</v>
      </c>
      <c r="R213" s="990">
        <v>0</v>
      </c>
      <c r="S213" s="990">
        <v>0</v>
      </c>
      <c r="T213" s="990">
        <v>250</v>
      </c>
      <c r="U213" s="990">
        <v>0</v>
      </c>
      <c r="V213" s="990">
        <v>0</v>
      </c>
      <c r="W213" s="990">
        <v>0</v>
      </c>
      <c r="X213" s="990">
        <v>1525</v>
      </c>
      <c r="Y213" s="990">
        <v>0</v>
      </c>
      <c r="Z213" s="990">
        <v>0</v>
      </c>
      <c r="AA213" s="990">
        <v>0</v>
      </c>
      <c r="AB213" s="990">
        <v>0</v>
      </c>
      <c r="AC213" s="990">
        <v>0</v>
      </c>
      <c r="AD213" s="990">
        <v>0</v>
      </c>
      <c r="AE213" s="990">
        <v>0</v>
      </c>
      <c r="AF213" s="990">
        <v>0</v>
      </c>
      <c r="AG213" s="990">
        <v>0</v>
      </c>
      <c r="AH213" s="990">
        <v>0</v>
      </c>
      <c r="AI213" s="990">
        <v>0</v>
      </c>
      <c r="AJ213" s="990">
        <v>0</v>
      </c>
      <c r="AK213" s="990">
        <v>0</v>
      </c>
      <c r="AL213" s="990">
        <v>0</v>
      </c>
      <c r="AM213" s="990">
        <v>0</v>
      </c>
      <c r="AN213" s="990">
        <v>0</v>
      </c>
      <c r="AO213" s="990">
        <v>0</v>
      </c>
      <c r="AP213" s="990">
        <v>0</v>
      </c>
      <c r="AQ213" s="990">
        <v>0</v>
      </c>
      <c r="AR213" s="990">
        <v>0</v>
      </c>
      <c r="AS213" s="990">
        <v>0</v>
      </c>
      <c r="AT213" s="990">
        <v>0</v>
      </c>
      <c r="AU213" s="990">
        <v>0</v>
      </c>
      <c r="AV213" s="990">
        <v>0</v>
      </c>
      <c r="AW213" s="990">
        <v>0</v>
      </c>
      <c r="AX213" s="990">
        <v>0</v>
      </c>
      <c r="AY213" s="990">
        <v>0</v>
      </c>
      <c r="AZ213" s="990">
        <v>0</v>
      </c>
      <c r="BA213" s="990">
        <v>0</v>
      </c>
      <c r="BB213" s="990">
        <v>0</v>
      </c>
      <c r="BC213" s="990">
        <v>0</v>
      </c>
      <c r="BD213" s="990">
        <v>0</v>
      </c>
      <c r="BF213" s="978"/>
    </row>
    <row r="214" spans="2:58" ht="15" customHeight="1">
      <c r="B214" s="983" t="s">
        <v>1218</v>
      </c>
      <c r="C214" s="984" t="s">
        <v>1217</v>
      </c>
      <c r="D214" s="990">
        <v>0</v>
      </c>
      <c r="E214" s="990">
        <v>0</v>
      </c>
      <c r="F214" s="990">
        <v>0</v>
      </c>
      <c r="G214" s="990">
        <v>0</v>
      </c>
      <c r="H214" s="990">
        <v>0</v>
      </c>
      <c r="I214" s="990">
        <v>0</v>
      </c>
      <c r="J214" s="990">
        <v>0</v>
      </c>
      <c r="K214" s="990">
        <v>600</v>
      </c>
      <c r="L214" s="990">
        <v>0</v>
      </c>
      <c r="M214" s="990">
        <v>0</v>
      </c>
      <c r="N214" s="990">
        <v>0</v>
      </c>
      <c r="O214" s="990">
        <v>0</v>
      </c>
      <c r="P214" s="990">
        <v>0</v>
      </c>
      <c r="Q214" s="990">
        <v>0</v>
      </c>
      <c r="R214" s="990">
        <v>0</v>
      </c>
      <c r="S214" s="990">
        <v>0</v>
      </c>
      <c r="T214" s="990">
        <v>0</v>
      </c>
      <c r="U214" s="990">
        <v>0</v>
      </c>
      <c r="V214" s="990">
        <v>0</v>
      </c>
      <c r="W214" s="990">
        <v>0</v>
      </c>
      <c r="X214" s="990">
        <v>0</v>
      </c>
      <c r="Y214" s="990">
        <v>0</v>
      </c>
      <c r="Z214" s="990">
        <v>0</v>
      </c>
      <c r="AA214" s="990">
        <v>0</v>
      </c>
      <c r="AB214" s="990">
        <v>0</v>
      </c>
      <c r="AC214" s="990">
        <v>350</v>
      </c>
      <c r="AD214" s="990">
        <v>0</v>
      </c>
      <c r="AE214" s="990">
        <v>0</v>
      </c>
      <c r="AF214" s="990">
        <v>0</v>
      </c>
      <c r="AG214" s="990">
        <v>0</v>
      </c>
      <c r="AH214" s="990">
        <v>0</v>
      </c>
      <c r="AI214" s="990">
        <v>0</v>
      </c>
      <c r="AJ214" s="990">
        <v>0</v>
      </c>
      <c r="AK214" s="990">
        <v>0</v>
      </c>
      <c r="AL214" s="990">
        <v>0</v>
      </c>
      <c r="AM214" s="990">
        <v>0</v>
      </c>
      <c r="AN214" s="990">
        <v>0</v>
      </c>
      <c r="AO214" s="990">
        <v>0</v>
      </c>
      <c r="AP214" s="990">
        <v>0</v>
      </c>
      <c r="AQ214" s="990">
        <v>0</v>
      </c>
      <c r="AR214" s="990">
        <v>675</v>
      </c>
      <c r="AS214" s="990">
        <v>0</v>
      </c>
      <c r="AT214" s="990">
        <v>0</v>
      </c>
      <c r="AU214" s="990">
        <v>0</v>
      </c>
      <c r="AV214" s="990">
        <v>0</v>
      </c>
      <c r="AW214" s="990">
        <v>0</v>
      </c>
      <c r="AX214" s="990">
        <v>0</v>
      </c>
      <c r="AY214" s="990">
        <v>0</v>
      </c>
      <c r="AZ214" s="990">
        <v>0</v>
      </c>
      <c r="BA214" s="990">
        <v>0</v>
      </c>
      <c r="BB214" s="990">
        <v>0</v>
      </c>
      <c r="BC214" s="990">
        <v>0</v>
      </c>
      <c r="BD214" s="990">
        <v>0</v>
      </c>
      <c r="BF214" s="978"/>
    </row>
    <row r="215" spans="2:58" ht="15" customHeight="1">
      <c r="B215" s="983" t="s">
        <v>1216</v>
      </c>
      <c r="C215" s="984" t="s">
        <v>1215</v>
      </c>
      <c r="D215" s="990">
        <v>0</v>
      </c>
      <c r="E215" s="990">
        <v>0</v>
      </c>
      <c r="F215" s="990">
        <v>0</v>
      </c>
      <c r="G215" s="990">
        <v>0</v>
      </c>
      <c r="H215" s="990">
        <v>0</v>
      </c>
      <c r="I215" s="990">
        <v>0</v>
      </c>
      <c r="J215" s="990">
        <v>0</v>
      </c>
      <c r="K215" s="990">
        <v>0</v>
      </c>
      <c r="L215" s="990">
        <v>0</v>
      </c>
      <c r="M215" s="990">
        <v>0</v>
      </c>
      <c r="N215" s="990">
        <v>0</v>
      </c>
      <c r="O215" s="990">
        <v>0</v>
      </c>
      <c r="P215" s="990">
        <v>0</v>
      </c>
      <c r="Q215" s="990">
        <v>0</v>
      </c>
      <c r="R215" s="990">
        <v>0</v>
      </c>
      <c r="S215" s="990">
        <v>0</v>
      </c>
      <c r="T215" s="990">
        <v>39</v>
      </c>
      <c r="U215" s="990">
        <v>-39</v>
      </c>
      <c r="V215" s="990">
        <v>0</v>
      </c>
      <c r="W215" s="990">
        <v>0</v>
      </c>
      <c r="X215" s="990">
        <v>0</v>
      </c>
      <c r="Y215" s="990">
        <v>0</v>
      </c>
      <c r="Z215" s="990">
        <v>0</v>
      </c>
      <c r="AA215" s="990">
        <v>0</v>
      </c>
      <c r="AB215" s="990">
        <v>0</v>
      </c>
      <c r="AC215" s="990">
        <v>0</v>
      </c>
      <c r="AD215" s="990">
        <v>0</v>
      </c>
      <c r="AE215" s="990">
        <v>0</v>
      </c>
      <c r="AF215" s="990">
        <v>0</v>
      </c>
      <c r="AG215" s="990">
        <v>0</v>
      </c>
      <c r="AH215" s="990">
        <v>0</v>
      </c>
      <c r="AI215" s="990">
        <v>0</v>
      </c>
      <c r="AJ215" s="990">
        <v>0</v>
      </c>
      <c r="AK215" s="990">
        <v>0</v>
      </c>
      <c r="AL215" s="990">
        <v>0</v>
      </c>
      <c r="AM215" s="990">
        <v>0</v>
      </c>
      <c r="AN215" s="990">
        <v>0</v>
      </c>
      <c r="AO215" s="990">
        <v>0</v>
      </c>
      <c r="AP215" s="990">
        <v>0</v>
      </c>
      <c r="AQ215" s="990">
        <v>0</v>
      </c>
      <c r="AR215" s="990">
        <v>0</v>
      </c>
      <c r="AS215" s="990">
        <v>0</v>
      </c>
      <c r="AT215" s="990">
        <v>0</v>
      </c>
      <c r="AU215" s="990">
        <v>0</v>
      </c>
      <c r="AV215" s="990">
        <v>0</v>
      </c>
      <c r="AW215" s="990">
        <v>0</v>
      </c>
      <c r="AX215" s="990">
        <v>0</v>
      </c>
      <c r="AY215" s="990">
        <v>0</v>
      </c>
      <c r="AZ215" s="990">
        <v>0</v>
      </c>
      <c r="BA215" s="990">
        <v>0</v>
      </c>
      <c r="BB215" s="990">
        <v>0</v>
      </c>
      <c r="BC215" s="990">
        <v>0</v>
      </c>
      <c r="BD215" s="990">
        <v>0</v>
      </c>
      <c r="BF215" s="978"/>
    </row>
    <row r="216" spans="2:58" ht="15" customHeight="1">
      <c r="B216" s="983" t="s">
        <v>1214</v>
      </c>
      <c r="C216" s="984" t="s">
        <v>1213</v>
      </c>
      <c r="D216" s="990">
        <v>0</v>
      </c>
      <c r="E216" s="990">
        <v>0</v>
      </c>
      <c r="F216" s="990">
        <v>0</v>
      </c>
      <c r="G216" s="990">
        <v>0</v>
      </c>
      <c r="H216" s="990">
        <v>0</v>
      </c>
      <c r="I216" s="990">
        <v>0</v>
      </c>
      <c r="J216" s="990">
        <v>0</v>
      </c>
      <c r="K216" s="990">
        <v>0</v>
      </c>
      <c r="L216" s="990">
        <v>0</v>
      </c>
      <c r="M216" s="990">
        <v>0</v>
      </c>
      <c r="N216" s="990">
        <v>0</v>
      </c>
      <c r="O216" s="990">
        <v>0</v>
      </c>
      <c r="P216" s="990">
        <v>0</v>
      </c>
      <c r="Q216" s="990">
        <v>0</v>
      </c>
      <c r="R216" s="990">
        <v>0</v>
      </c>
      <c r="S216" s="990">
        <v>0</v>
      </c>
      <c r="T216" s="990">
        <v>0</v>
      </c>
      <c r="U216" s="990">
        <v>0</v>
      </c>
      <c r="V216" s="990">
        <v>0</v>
      </c>
      <c r="W216" s="990">
        <v>0</v>
      </c>
      <c r="X216" s="990">
        <v>0</v>
      </c>
      <c r="Y216" s="990">
        <v>0</v>
      </c>
      <c r="Z216" s="990">
        <v>0</v>
      </c>
      <c r="AA216" s="990">
        <v>0</v>
      </c>
      <c r="AB216" s="990">
        <v>0</v>
      </c>
      <c r="AC216" s="990">
        <v>0</v>
      </c>
      <c r="AD216" s="990">
        <v>0</v>
      </c>
      <c r="AE216" s="990">
        <v>0</v>
      </c>
      <c r="AF216" s="990">
        <v>0</v>
      </c>
      <c r="AG216" s="990">
        <v>0</v>
      </c>
      <c r="AH216" s="990">
        <v>0</v>
      </c>
      <c r="AI216" s="990">
        <v>0</v>
      </c>
      <c r="AJ216" s="990">
        <v>0</v>
      </c>
      <c r="AK216" s="990">
        <v>0</v>
      </c>
      <c r="AL216" s="990">
        <v>0</v>
      </c>
      <c r="AM216" s="990">
        <v>0</v>
      </c>
      <c r="AN216" s="990">
        <v>0</v>
      </c>
      <c r="AO216" s="990">
        <v>0</v>
      </c>
      <c r="AP216" s="990">
        <v>0</v>
      </c>
      <c r="AQ216" s="990">
        <v>0</v>
      </c>
      <c r="AR216" s="990">
        <v>0</v>
      </c>
      <c r="AS216" s="990">
        <v>0</v>
      </c>
      <c r="AT216" s="990">
        <v>0</v>
      </c>
      <c r="AU216" s="990">
        <v>0</v>
      </c>
      <c r="AV216" s="990">
        <v>0</v>
      </c>
      <c r="AW216" s="990">
        <v>0</v>
      </c>
      <c r="AX216" s="990">
        <v>0</v>
      </c>
      <c r="AY216" s="990">
        <v>0</v>
      </c>
      <c r="AZ216" s="990">
        <v>0</v>
      </c>
      <c r="BA216" s="990">
        <v>0</v>
      </c>
      <c r="BB216" s="990">
        <v>0</v>
      </c>
      <c r="BC216" s="990">
        <v>0</v>
      </c>
      <c r="BD216" s="990">
        <v>0</v>
      </c>
      <c r="BF216" s="978"/>
    </row>
    <row r="217" spans="2:58" ht="15" customHeight="1">
      <c r="B217" s="983" t="s">
        <v>1212</v>
      </c>
      <c r="C217" s="984" t="s">
        <v>1211</v>
      </c>
      <c r="D217" s="990">
        <v>0</v>
      </c>
      <c r="E217" s="990">
        <v>0</v>
      </c>
      <c r="F217" s="990">
        <v>0</v>
      </c>
      <c r="G217" s="990">
        <v>0</v>
      </c>
      <c r="H217" s="990">
        <v>0</v>
      </c>
      <c r="I217" s="990">
        <v>0</v>
      </c>
      <c r="J217" s="990">
        <v>0</v>
      </c>
      <c r="K217" s="990">
        <v>0</v>
      </c>
      <c r="L217" s="990">
        <v>0</v>
      </c>
      <c r="M217" s="990">
        <v>0</v>
      </c>
      <c r="N217" s="990">
        <v>0</v>
      </c>
      <c r="O217" s="990">
        <v>0</v>
      </c>
      <c r="P217" s="990">
        <v>0</v>
      </c>
      <c r="Q217" s="990">
        <v>0</v>
      </c>
      <c r="R217" s="990">
        <v>0</v>
      </c>
      <c r="S217" s="990">
        <v>0</v>
      </c>
      <c r="T217" s="990">
        <v>0</v>
      </c>
      <c r="U217" s="990">
        <v>0</v>
      </c>
      <c r="V217" s="990">
        <v>0</v>
      </c>
      <c r="W217" s="990">
        <v>0</v>
      </c>
      <c r="X217" s="990">
        <v>0</v>
      </c>
      <c r="Y217" s="990">
        <v>0</v>
      </c>
      <c r="Z217" s="990">
        <v>0</v>
      </c>
      <c r="AA217" s="990">
        <v>0</v>
      </c>
      <c r="AB217" s="990">
        <v>0</v>
      </c>
      <c r="AC217" s="990">
        <v>0</v>
      </c>
      <c r="AD217" s="990">
        <v>0</v>
      </c>
      <c r="AE217" s="990">
        <v>0</v>
      </c>
      <c r="AF217" s="990">
        <v>0</v>
      </c>
      <c r="AG217" s="990">
        <v>0</v>
      </c>
      <c r="AH217" s="990">
        <v>0</v>
      </c>
      <c r="AI217" s="990">
        <v>0</v>
      </c>
      <c r="AJ217" s="990">
        <v>0</v>
      </c>
      <c r="AK217" s="990">
        <v>0</v>
      </c>
      <c r="AL217" s="990">
        <v>0</v>
      </c>
      <c r="AM217" s="990">
        <v>0</v>
      </c>
      <c r="AN217" s="990">
        <v>0</v>
      </c>
      <c r="AO217" s="990">
        <v>0</v>
      </c>
      <c r="AP217" s="990">
        <v>0</v>
      </c>
      <c r="AQ217" s="990">
        <v>0</v>
      </c>
      <c r="AR217" s="990">
        <v>0</v>
      </c>
      <c r="AS217" s="990">
        <v>0</v>
      </c>
      <c r="AT217" s="990">
        <v>0</v>
      </c>
      <c r="AU217" s="990">
        <v>0</v>
      </c>
      <c r="AV217" s="990">
        <v>0</v>
      </c>
      <c r="AW217" s="990">
        <v>0</v>
      </c>
      <c r="AX217" s="990">
        <v>0</v>
      </c>
      <c r="AY217" s="990">
        <v>0</v>
      </c>
      <c r="AZ217" s="990">
        <v>0</v>
      </c>
      <c r="BA217" s="990">
        <v>0</v>
      </c>
      <c r="BB217" s="990">
        <v>0</v>
      </c>
      <c r="BC217" s="990">
        <v>0</v>
      </c>
      <c r="BD217" s="990">
        <v>0</v>
      </c>
      <c r="BF217" s="978"/>
    </row>
    <row r="218" spans="2:58" ht="15" customHeight="1">
      <c r="B218" s="983" t="s">
        <v>1210</v>
      </c>
      <c r="C218" s="984" t="s">
        <v>1209</v>
      </c>
      <c r="D218" s="990">
        <v>0</v>
      </c>
      <c r="E218" s="990">
        <v>0</v>
      </c>
      <c r="F218" s="990">
        <v>0</v>
      </c>
      <c r="G218" s="990">
        <v>0</v>
      </c>
      <c r="H218" s="990">
        <v>0</v>
      </c>
      <c r="I218" s="990">
        <v>1334.6</v>
      </c>
      <c r="J218" s="990">
        <v>0</v>
      </c>
      <c r="K218" s="990">
        <v>0</v>
      </c>
      <c r="L218" s="990">
        <v>0</v>
      </c>
      <c r="M218" s="990">
        <v>0</v>
      </c>
      <c r="N218" s="990">
        <v>0</v>
      </c>
      <c r="O218" s="990">
        <v>0</v>
      </c>
      <c r="P218" s="990">
        <v>0</v>
      </c>
      <c r="Q218" s="990">
        <v>0</v>
      </c>
      <c r="R218" s="990">
        <v>0</v>
      </c>
      <c r="S218" s="990">
        <v>0</v>
      </c>
      <c r="T218" s="990">
        <v>0</v>
      </c>
      <c r="U218" s="990">
        <v>0</v>
      </c>
      <c r="V218" s="990">
        <v>0</v>
      </c>
      <c r="W218" s="990">
        <v>0</v>
      </c>
      <c r="X218" s="990">
        <v>0</v>
      </c>
      <c r="Y218" s="990">
        <v>0</v>
      </c>
      <c r="Z218" s="990">
        <v>0</v>
      </c>
      <c r="AA218" s="990">
        <v>0</v>
      </c>
      <c r="AB218" s="990">
        <v>0</v>
      </c>
      <c r="AC218" s="990">
        <v>0</v>
      </c>
      <c r="AD218" s="990">
        <v>0</v>
      </c>
      <c r="AE218" s="990">
        <v>0</v>
      </c>
      <c r="AF218" s="990">
        <v>0</v>
      </c>
      <c r="AG218" s="990">
        <v>0</v>
      </c>
      <c r="AH218" s="990">
        <v>0</v>
      </c>
      <c r="AI218" s="990">
        <v>0</v>
      </c>
      <c r="AJ218" s="990">
        <v>0</v>
      </c>
      <c r="AK218" s="990">
        <v>0</v>
      </c>
      <c r="AL218" s="990">
        <v>0</v>
      </c>
      <c r="AM218" s="990">
        <v>0</v>
      </c>
      <c r="AN218" s="990">
        <v>0</v>
      </c>
      <c r="AO218" s="990">
        <v>0</v>
      </c>
      <c r="AP218" s="990">
        <v>0</v>
      </c>
      <c r="AQ218" s="990">
        <v>0</v>
      </c>
      <c r="AR218" s="990">
        <v>0</v>
      </c>
      <c r="AS218" s="990">
        <v>0</v>
      </c>
      <c r="AT218" s="990">
        <v>0</v>
      </c>
      <c r="AU218" s="990">
        <v>0</v>
      </c>
      <c r="AV218" s="990">
        <v>0</v>
      </c>
      <c r="AW218" s="990">
        <v>0</v>
      </c>
      <c r="AX218" s="990">
        <v>0</v>
      </c>
      <c r="AY218" s="990">
        <v>0</v>
      </c>
      <c r="AZ218" s="990">
        <v>0</v>
      </c>
      <c r="BA218" s="990">
        <v>0</v>
      </c>
      <c r="BB218" s="990">
        <v>0</v>
      </c>
      <c r="BC218" s="990">
        <v>0</v>
      </c>
      <c r="BD218" s="990">
        <v>0</v>
      </c>
      <c r="BF218" s="978"/>
    </row>
    <row r="219" spans="2:58" ht="15" customHeight="1">
      <c r="B219" s="983" t="s">
        <v>1208</v>
      </c>
      <c r="C219" s="984" t="s">
        <v>1207</v>
      </c>
      <c r="D219" s="988">
        <v>0</v>
      </c>
      <c r="E219" s="988">
        <v>0</v>
      </c>
      <c r="F219" s="988">
        <v>0</v>
      </c>
      <c r="G219" s="988">
        <v>0</v>
      </c>
      <c r="H219" s="988">
        <v>0</v>
      </c>
      <c r="I219" s="988">
        <v>0</v>
      </c>
      <c r="J219" s="988">
        <v>0</v>
      </c>
      <c r="K219" s="988">
        <v>650</v>
      </c>
      <c r="L219" s="988">
        <v>0</v>
      </c>
      <c r="M219" s="988">
        <v>0</v>
      </c>
      <c r="N219" s="988">
        <v>0</v>
      </c>
      <c r="O219" s="988">
        <v>0</v>
      </c>
      <c r="P219" s="988">
        <v>0</v>
      </c>
      <c r="Q219" s="988">
        <v>0</v>
      </c>
      <c r="R219" s="988">
        <v>0</v>
      </c>
      <c r="S219" s="988">
        <v>0</v>
      </c>
      <c r="T219" s="988">
        <v>0</v>
      </c>
      <c r="U219" s="988">
        <v>0</v>
      </c>
      <c r="V219" s="988">
        <v>0</v>
      </c>
      <c r="W219" s="988">
        <v>0</v>
      </c>
      <c r="X219" s="988">
        <v>0</v>
      </c>
      <c r="Y219" s="988">
        <v>0</v>
      </c>
      <c r="Z219" s="988">
        <v>0</v>
      </c>
      <c r="AA219" s="988">
        <v>0</v>
      </c>
      <c r="AB219" s="988">
        <v>0</v>
      </c>
      <c r="AC219" s="988">
        <v>0</v>
      </c>
      <c r="AD219" s="988">
        <v>0</v>
      </c>
      <c r="AE219" s="988">
        <v>0</v>
      </c>
      <c r="AF219" s="988">
        <v>0</v>
      </c>
      <c r="AG219" s="988">
        <v>0</v>
      </c>
      <c r="AH219" s="988">
        <v>0</v>
      </c>
      <c r="AI219" s="988">
        <v>0</v>
      </c>
      <c r="AJ219" s="988">
        <v>0</v>
      </c>
      <c r="AK219" s="988">
        <v>0</v>
      </c>
      <c r="AL219" s="988">
        <v>0</v>
      </c>
      <c r="AM219" s="988">
        <v>0</v>
      </c>
      <c r="AN219" s="988">
        <v>0</v>
      </c>
      <c r="AO219" s="988">
        <v>0</v>
      </c>
      <c r="AP219" s="988">
        <v>0</v>
      </c>
      <c r="AQ219" s="988">
        <v>0</v>
      </c>
      <c r="AR219" s="988">
        <v>750</v>
      </c>
      <c r="AS219" s="988">
        <v>0</v>
      </c>
      <c r="AT219" s="988">
        <v>0</v>
      </c>
      <c r="AU219" s="988">
        <v>0</v>
      </c>
      <c r="AV219" s="988">
        <v>0</v>
      </c>
      <c r="AW219" s="988">
        <v>0</v>
      </c>
      <c r="AX219" s="988">
        <v>0</v>
      </c>
      <c r="AY219" s="988">
        <v>0</v>
      </c>
      <c r="AZ219" s="988">
        <v>0</v>
      </c>
      <c r="BA219" s="988">
        <v>0</v>
      </c>
      <c r="BB219" s="988">
        <v>0</v>
      </c>
      <c r="BC219" s="988">
        <v>0</v>
      </c>
      <c r="BD219" s="988">
        <v>0</v>
      </c>
      <c r="BF219" s="978"/>
    </row>
    <row r="220" spans="2:58" ht="15" customHeight="1">
      <c r="B220" s="983" t="s">
        <v>1206</v>
      </c>
      <c r="C220" s="984" t="s">
        <v>1205</v>
      </c>
      <c r="D220" s="986">
        <v>0</v>
      </c>
      <c r="E220" s="986">
        <v>0</v>
      </c>
      <c r="F220" s="986">
        <v>0</v>
      </c>
      <c r="G220" s="986">
        <v>0</v>
      </c>
      <c r="H220" s="986">
        <v>0</v>
      </c>
      <c r="I220" s="986">
        <v>1334.6</v>
      </c>
      <c r="J220" s="986">
        <v>0</v>
      </c>
      <c r="K220" s="986">
        <v>1250</v>
      </c>
      <c r="L220" s="986">
        <v>0</v>
      </c>
      <c r="M220" s="986">
        <v>0</v>
      </c>
      <c r="N220" s="986">
        <v>0</v>
      </c>
      <c r="O220" s="986">
        <v>0</v>
      </c>
      <c r="P220" s="986">
        <v>0</v>
      </c>
      <c r="Q220" s="986">
        <v>0</v>
      </c>
      <c r="R220" s="986">
        <v>0</v>
      </c>
      <c r="S220" s="986">
        <v>0</v>
      </c>
      <c r="T220" s="986">
        <v>289</v>
      </c>
      <c r="U220" s="986">
        <v>-39</v>
      </c>
      <c r="V220" s="986">
        <v>0</v>
      </c>
      <c r="W220" s="986">
        <v>0</v>
      </c>
      <c r="X220" s="986">
        <v>1525</v>
      </c>
      <c r="Y220" s="986">
        <v>0</v>
      </c>
      <c r="Z220" s="986">
        <v>0</v>
      </c>
      <c r="AA220" s="986">
        <v>0</v>
      </c>
      <c r="AB220" s="986">
        <v>0</v>
      </c>
      <c r="AC220" s="986">
        <v>350</v>
      </c>
      <c r="AD220" s="986">
        <v>0</v>
      </c>
      <c r="AE220" s="986">
        <v>0</v>
      </c>
      <c r="AF220" s="986">
        <v>0</v>
      </c>
      <c r="AG220" s="986">
        <v>0</v>
      </c>
      <c r="AH220" s="986">
        <v>0</v>
      </c>
      <c r="AI220" s="986">
        <v>0</v>
      </c>
      <c r="AJ220" s="986">
        <v>0</v>
      </c>
      <c r="AK220" s="986">
        <v>0</v>
      </c>
      <c r="AL220" s="986">
        <v>0</v>
      </c>
      <c r="AM220" s="986">
        <v>0</v>
      </c>
      <c r="AN220" s="986">
        <v>0</v>
      </c>
      <c r="AO220" s="986">
        <v>0</v>
      </c>
      <c r="AP220" s="986">
        <v>0</v>
      </c>
      <c r="AQ220" s="986">
        <v>0</v>
      </c>
      <c r="AR220" s="986">
        <v>1425</v>
      </c>
      <c r="AS220" s="986">
        <v>0</v>
      </c>
      <c r="AT220" s="986">
        <v>0</v>
      </c>
      <c r="AU220" s="986">
        <v>0</v>
      </c>
      <c r="AV220" s="986">
        <v>0</v>
      </c>
      <c r="AW220" s="986">
        <v>0</v>
      </c>
      <c r="AX220" s="986">
        <v>0</v>
      </c>
      <c r="AY220" s="986">
        <v>0</v>
      </c>
      <c r="AZ220" s="986">
        <v>0</v>
      </c>
      <c r="BA220" s="986">
        <v>0</v>
      </c>
      <c r="BB220" s="986">
        <v>0</v>
      </c>
      <c r="BC220" s="986">
        <v>0</v>
      </c>
      <c r="BD220" s="986">
        <v>0</v>
      </c>
      <c r="BF220" s="978"/>
    </row>
    <row r="221" spans="2:58" ht="15" customHeight="1">
      <c r="B221" s="983" t="s">
        <v>1204</v>
      </c>
      <c r="C221" s="984" t="s">
        <v>1203</v>
      </c>
      <c r="D221" s="989"/>
      <c r="E221" s="989"/>
      <c r="F221" s="989"/>
      <c r="G221" s="989"/>
      <c r="H221" s="989"/>
      <c r="I221" s="989"/>
      <c r="J221" s="989"/>
      <c r="K221" s="989"/>
      <c r="L221" s="989"/>
      <c r="M221" s="989"/>
      <c r="N221" s="989"/>
      <c r="O221" s="989"/>
      <c r="P221" s="989"/>
      <c r="Q221" s="989"/>
      <c r="R221" s="989"/>
      <c r="S221" s="989"/>
      <c r="T221" s="989"/>
      <c r="U221" s="989"/>
      <c r="V221" s="989"/>
      <c r="W221" s="989"/>
      <c r="X221" s="989"/>
      <c r="Y221" s="989"/>
      <c r="Z221" s="989"/>
      <c r="AA221" s="989"/>
      <c r="AB221" s="989"/>
      <c r="AC221" s="989"/>
      <c r="AD221" s="989"/>
      <c r="AE221" s="989"/>
      <c r="AF221" s="989"/>
      <c r="AG221" s="989"/>
      <c r="AH221" s="989"/>
      <c r="AI221" s="989"/>
      <c r="AJ221" s="989"/>
      <c r="AK221" s="989"/>
      <c r="AL221" s="989"/>
      <c r="AM221" s="989"/>
      <c r="AN221" s="989"/>
      <c r="AO221" s="989"/>
      <c r="AP221" s="989"/>
      <c r="AQ221" s="989"/>
      <c r="AR221" s="989"/>
      <c r="AS221" s="989"/>
      <c r="AT221" s="989"/>
      <c r="AU221" s="989"/>
      <c r="AV221" s="989"/>
      <c r="AW221" s="989"/>
      <c r="AX221" s="989"/>
      <c r="AY221" s="989"/>
      <c r="AZ221" s="989"/>
      <c r="BA221" s="989"/>
      <c r="BB221" s="989"/>
      <c r="BC221" s="989"/>
      <c r="BD221" s="989"/>
      <c r="BF221" s="978"/>
    </row>
    <row r="222" spans="2:58" ht="15" customHeight="1">
      <c r="B222" s="983" t="s">
        <v>1202</v>
      </c>
      <c r="C222" s="984" t="s">
        <v>1201</v>
      </c>
      <c r="D222" s="988">
        <v>0</v>
      </c>
      <c r="E222" s="988">
        <v>0</v>
      </c>
      <c r="F222" s="988">
        <v>0</v>
      </c>
      <c r="G222" s="988">
        <v>0</v>
      </c>
      <c r="H222" s="988">
        <v>0</v>
      </c>
      <c r="I222" s="988">
        <v>0</v>
      </c>
      <c r="J222" s="988">
        <v>0</v>
      </c>
      <c r="K222" s="988">
        <v>375</v>
      </c>
      <c r="L222" s="988">
        <v>0</v>
      </c>
      <c r="M222" s="988">
        <v>0</v>
      </c>
      <c r="N222" s="988">
        <v>0</v>
      </c>
      <c r="O222" s="988">
        <v>0</v>
      </c>
      <c r="P222" s="988">
        <v>0</v>
      </c>
      <c r="Q222" s="988">
        <v>0</v>
      </c>
      <c r="R222" s="988">
        <v>0</v>
      </c>
      <c r="S222" s="988">
        <v>0</v>
      </c>
      <c r="T222" s="988">
        <v>0</v>
      </c>
      <c r="U222" s="988">
        <v>10909.89</v>
      </c>
      <c r="V222" s="988">
        <v>0</v>
      </c>
      <c r="W222" s="988">
        <v>8450.2099999999991</v>
      </c>
      <c r="X222" s="988">
        <v>2748.21</v>
      </c>
      <c r="Y222" s="988">
        <v>-2748.21</v>
      </c>
      <c r="Z222" s="988">
        <v>18.16</v>
      </c>
      <c r="AA222" s="988">
        <v>0</v>
      </c>
      <c r="AB222" s="988">
        <v>0</v>
      </c>
      <c r="AC222" s="988">
        <v>0</v>
      </c>
      <c r="AD222" s="988">
        <v>0</v>
      </c>
      <c r="AE222" s="988">
        <v>0</v>
      </c>
      <c r="AF222" s="988">
        <v>0</v>
      </c>
      <c r="AG222" s="988">
        <v>0</v>
      </c>
      <c r="AH222" s="988">
        <v>0</v>
      </c>
      <c r="AI222" s="988">
        <v>0</v>
      </c>
      <c r="AJ222" s="988">
        <v>0</v>
      </c>
      <c r="AK222" s="988">
        <v>1187.5</v>
      </c>
      <c r="AL222" s="988">
        <v>1638.81</v>
      </c>
      <c r="AM222" s="988">
        <v>0</v>
      </c>
      <c r="AN222" s="988">
        <v>1683.5</v>
      </c>
      <c r="AO222" s="988">
        <v>1435.25</v>
      </c>
      <c r="AP222" s="988">
        <v>1038.8</v>
      </c>
      <c r="AQ222" s="988">
        <v>0</v>
      </c>
      <c r="AR222" s="988">
        <v>1086</v>
      </c>
      <c r="AS222" s="988">
        <v>0</v>
      </c>
      <c r="AT222" s="988">
        <v>0</v>
      </c>
      <c r="AU222" s="988">
        <v>0</v>
      </c>
      <c r="AV222" s="988">
        <v>0</v>
      </c>
      <c r="AW222" s="988">
        <v>0</v>
      </c>
      <c r="AX222" s="988">
        <v>0</v>
      </c>
      <c r="AY222" s="988">
        <v>0</v>
      </c>
      <c r="AZ222" s="988">
        <v>0</v>
      </c>
      <c r="BA222" s="988">
        <v>0</v>
      </c>
      <c r="BB222" s="988">
        <v>0</v>
      </c>
      <c r="BC222" s="988">
        <v>0</v>
      </c>
      <c r="BD222" s="988">
        <v>0</v>
      </c>
      <c r="BF222" s="978"/>
    </row>
    <row r="223" spans="2:58" ht="15" customHeight="1">
      <c r="B223" s="983" t="s">
        <v>1200</v>
      </c>
      <c r="C223" s="984" t="s">
        <v>1199</v>
      </c>
      <c r="D223" s="986">
        <v>0</v>
      </c>
      <c r="E223" s="986">
        <v>0</v>
      </c>
      <c r="F223" s="986">
        <v>0</v>
      </c>
      <c r="G223" s="986">
        <v>0</v>
      </c>
      <c r="H223" s="986">
        <v>0</v>
      </c>
      <c r="I223" s="986">
        <v>0</v>
      </c>
      <c r="J223" s="986">
        <v>0</v>
      </c>
      <c r="K223" s="986">
        <v>375</v>
      </c>
      <c r="L223" s="986">
        <v>0</v>
      </c>
      <c r="M223" s="986">
        <v>0</v>
      </c>
      <c r="N223" s="986">
        <v>0</v>
      </c>
      <c r="O223" s="986">
        <v>0</v>
      </c>
      <c r="P223" s="986">
        <v>0</v>
      </c>
      <c r="Q223" s="986">
        <v>0</v>
      </c>
      <c r="R223" s="986">
        <v>0</v>
      </c>
      <c r="S223" s="986">
        <v>0</v>
      </c>
      <c r="T223" s="986">
        <v>0</v>
      </c>
      <c r="U223" s="986">
        <v>10909.89</v>
      </c>
      <c r="V223" s="986">
        <v>0</v>
      </c>
      <c r="W223" s="986">
        <v>8450.2099999999991</v>
      </c>
      <c r="X223" s="986">
        <v>2748.21</v>
      </c>
      <c r="Y223" s="986">
        <v>-2748.21</v>
      </c>
      <c r="Z223" s="986">
        <v>18.16</v>
      </c>
      <c r="AA223" s="986">
        <v>0</v>
      </c>
      <c r="AB223" s="986">
        <v>0</v>
      </c>
      <c r="AC223" s="986">
        <v>0</v>
      </c>
      <c r="AD223" s="986">
        <v>0</v>
      </c>
      <c r="AE223" s="986">
        <v>0</v>
      </c>
      <c r="AF223" s="986">
        <v>0</v>
      </c>
      <c r="AG223" s="986">
        <v>0</v>
      </c>
      <c r="AH223" s="986">
        <v>0</v>
      </c>
      <c r="AI223" s="986">
        <v>0</v>
      </c>
      <c r="AJ223" s="986">
        <v>0</v>
      </c>
      <c r="AK223" s="986">
        <v>1187.5</v>
      </c>
      <c r="AL223" s="986">
        <v>1638.81</v>
      </c>
      <c r="AM223" s="986">
        <v>0</v>
      </c>
      <c r="AN223" s="986">
        <v>1683.5</v>
      </c>
      <c r="AO223" s="986">
        <v>1435.25</v>
      </c>
      <c r="AP223" s="986">
        <v>1038.8</v>
      </c>
      <c r="AQ223" s="986">
        <v>0</v>
      </c>
      <c r="AR223" s="986">
        <v>1086</v>
      </c>
      <c r="AS223" s="986">
        <v>0</v>
      </c>
      <c r="AT223" s="986">
        <v>0</v>
      </c>
      <c r="AU223" s="986">
        <v>0</v>
      </c>
      <c r="AV223" s="986">
        <v>0</v>
      </c>
      <c r="AW223" s="986">
        <v>0</v>
      </c>
      <c r="AX223" s="986">
        <v>0</v>
      </c>
      <c r="AY223" s="986">
        <v>0</v>
      </c>
      <c r="AZ223" s="986">
        <v>0</v>
      </c>
      <c r="BA223" s="986">
        <v>0</v>
      </c>
      <c r="BB223" s="986">
        <v>0</v>
      </c>
      <c r="BC223" s="986">
        <v>0</v>
      </c>
      <c r="BD223" s="986">
        <v>0</v>
      </c>
      <c r="BF223" s="978"/>
    </row>
    <row r="224" spans="2:58" ht="15" customHeight="1">
      <c r="B224" s="983" t="s">
        <v>1198</v>
      </c>
      <c r="C224" s="984" t="s">
        <v>1197</v>
      </c>
      <c r="D224" s="987">
        <v>0</v>
      </c>
      <c r="E224" s="987">
        <v>0</v>
      </c>
      <c r="F224" s="987">
        <v>0</v>
      </c>
      <c r="G224" s="987">
        <v>0</v>
      </c>
      <c r="H224" s="987">
        <v>0</v>
      </c>
      <c r="I224" s="987">
        <v>1334.6</v>
      </c>
      <c r="J224" s="987">
        <v>0</v>
      </c>
      <c r="K224" s="987">
        <v>1625</v>
      </c>
      <c r="L224" s="987">
        <v>0</v>
      </c>
      <c r="M224" s="987">
        <v>0</v>
      </c>
      <c r="N224" s="987">
        <v>0</v>
      </c>
      <c r="O224" s="987">
        <v>0</v>
      </c>
      <c r="P224" s="987">
        <v>0</v>
      </c>
      <c r="Q224" s="987">
        <v>0</v>
      </c>
      <c r="R224" s="987">
        <v>0</v>
      </c>
      <c r="S224" s="987">
        <v>0</v>
      </c>
      <c r="T224" s="987">
        <v>15310.03</v>
      </c>
      <c r="U224" s="987">
        <v>-4150.1400000000003</v>
      </c>
      <c r="V224" s="987">
        <v>0</v>
      </c>
      <c r="W224" s="987">
        <v>8450.2099999999991</v>
      </c>
      <c r="X224" s="987">
        <v>4273.21</v>
      </c>
      <c r="Y224" s="987">
        <v>-2748.21</v>
      </c>
      <c r="Z224" s="987">
        <v>18.16</v>
      </c>
      <c r="AA224" s="987">
        <v>0</v>
      </c>
      <c r="AB224" s="987">
        <v>0</v>
      </c>
      <c r="AC224" s="987">
        <v>350</v>
      </c>
      <c r="AD224" s="987">
        <v>0</v>
      </c>
      <c r="AE224" s="987">
        <v>0</v>
      </c>
      <c r="AF224" s="987">
        <v>0</v>
      </c>
      <c r="AG224" s="987">
        <v>0</v>
      </c>
      <c r="AH224" s="987">
        <v>0</v>
      </c>
      <c r="AI224" s="987">
        <v>0</v>
      </c>
      <c r="AJ224" s="987">
        <v>0</v>
      </c>
      <c r="AK224" s="987">
        <v>1187.5</v>
      </c>
      <c r="AL224" s="987">
        <v>1638.81</v>
      </c>
      <c r="AM224" s="987">
        <v>0</v>
      </c>
      <c r="AN224" s="987">
        <v>1683.5</v>
      </c>
      <c r="AO224" s="987">
        <v>1435.25</v>
      </c>
      <c r="AP224" s="987">
        <v>1038.8</v>
      </c>
      <c r="AQ224" s="987">
        <v>0</v>
      </c>
      <c r="AR224" s="987">
        <v>2511</v>
      </c>
      <c r="AS224" s="987">
        <v>0</v>
      </c>
      <c r="AT224" s="987">
        <v>0</v>
      </c>
      <c r="AU224" s="987">
        <v>0</v>
      </c>
      <c r="AV224" s="987">
        <v>0</v>
      </c>
      <c r="AW224" s="987">
        <v>0</v>
      </c>
      <c r="AX224" s="987">
        <v>0</v>
      </c>
      <c r="AY224" s="987">
        <v>0</v>
      </c>
      <c r="AZ224" s="987">
        <v>0</v>
      </c>
      <c r="BA224" s="987">
        <v>0</v>
      </c>
      <c r="BB224" s="987">
        <v>0</v>
      </c>
      <c r="BC224" s="987">
        <v>0</v>
      </c>
      <c r="BD224" s="987">
        <v>0</v>
      </c>
      <c r="BF224" s="978"/>
    </row>
    <row r="225" spans="1:58" ht="15" customHeight="1">
      <c r="B225" s="983" t="s">
        <v>809</v>
      </c>
      <c r="C225" s="984" t="s">
        <v>808</v>
      </c>
      <c r="D225" s="986">
        <v>112271.99</v>
      </c>
      <c r="E225" s="986">
        <v>137782.34</v>
      </c>
      <c r="F225" s="986">
        <v>131132.53</v>
      </c>
      <c r="G225" s="986">
        <v>165169.24</v>
      </c>
      <c r="H225" s="986">
        <v>112857.76</v>
      </c>
      <c r="I225" s="986">
        <v>126946.87</v>
      </c>
      <c r="J225" s="986">
        <v>114633.2</v>
      </c>
      <c r="K225" s="986">
        <v>103624.11</v>
      </c>
      <c r="L225" s="986">
        <v>131425.31</v>
      </c>
      <c r="M225" s="986">
        <v>135106.29</v>
      </c>
      <c r="N225" s="986">
        <v>102090.73</v>
      </c>
      <c r="O225" s="986">
        <v>215550.74</v>
      </c>
      <c r="P225" s="986">
        <v>132318.9</v>
      </c>
      <c r="Q225" s="986">
        <v>214149.2</v>
      </c>
      <c r="R225" s="986">
        <v>121153.04</v>
      </c>
      <c r="S225" s="986">
        <v>97168.43</v>
      </c>
      <c r="T225" s="986">
        <v>136498.39000000001</v>
      </c>
      <c r="U225" s="986">
        <v>191102.36</v>
      </c>
      <c r="V225" s="986">
        <v>110001.5</v>
      </c>
      <c r="W225" s="986">
        <v>122425.7</v>
      </c>
      <c r="X225" s="986">
        <v>115166.93</v>
      </c>
      <c r="Y225" s="986">
        <v>104119.53</v>
      </c>
      <c r="Z225" s="986">
        <v>113764</v>
      </c>
      <c r="AA225" s="986">
        <v>104227.8</v>
      </c>
      <c r="AB225" s="986">
        <v>120529.21</v>
      </c>
      <c r="AC225" s="986">
        <v>128145.91</v>
      </c>
      <c r="AD225" s="986">
        <v>113023.25</v>
      </c>
      <c r="AE225" s="986">
        <v>114473.29</v>
      </c>
      <c r="AF225" s="986">
        <v>127917.2</v>
      </c>
      <c r="AG225" s="986">
        <v>126318.56</v>
      </c>
      <c r="AH225" s="986">
        <v>107141.08</v>
      </c>
      <c r="AI225" s="986">
        <v>112051.07</v>
      </c>
      <c r="AJ225" s="986">
        <v>115411.55</v>
      </c>
      <c r="AK225" s="986">
        <v>111625.4</v>
      </c>
      <c r="AL225" s="986">
        <v>133625.64000000001</v>
      </c>
      <c r="AM225" s="986">
        <v>115471.71</v>
      </c>
      <c r="AN225" s="986">
        <v>128322.91</v>
      </c>
      <c r="AO225" s="986">
        <v>123303.67</v>
      </c>
      <c r="AP225" s="986">
        <v>148853.64000000001</v>
      </c>
      <c r="AQ225" s="986">
        <v>152615.76999999999</v>
      </c>
      <c r="AR225" s="986">
        <v>139333.07999999999</v>
      </c>
      <c r="AS225" s="986">
        <v>145335.88</v>
      </c>
      <c r="AT225" s="986">
        <v>168341.83</v>
      </c>
      <c r="AU225" s="986">
        <v>132774.60999999999</v>
      </c>
      <c r="AV225" s="986">
        <v>123174.34</v>
      </c>
      <c r="AW225" s="986">
        <v>102865.84</v>
      </c>
      <c r="AX225" s="986">
        <v>112875.49</v>
      </c>
      <c r="AY225" s="986">
        <v>103489.57</v>
      </c>
      <c r="AZ225" s="986">
        <v>109867.06</v>
      </c>
      <c r="BA225" s="986">
        <v>139296.23000000001</v>
      </c>
      <c r="BB225" s="986">
        <v>625505.16</v>
      </c>
      <c r="BC225" s="986">
        <v>108044.14</v>
      </c>
      <c r="BD225" s="986">
        <v>13982.95</v>
      </c>
      <c r="BF225" s="978"/>
    </row>
    <row r="226" spans="1:58" ht="15" customHeight="1">
      <c r="A226" s="977" t="s">
        <v>1196</v>
      </c>
      <c r="B226" s="981" t="s">
        <v>805</v>
      </c>
      <c r="C226" s="980" t="s">
        <v>804</v>
      </c>
      <c r="D226" s="992">
        <v>115590.81</v>
      </c>
      <c r="E226" s="992">
        <v>144245.26</v>
      </c>
      <c r="F226" s="992">
        <v>124639.61</v>
      </c>
      <c r="G226" s="992">
        <v>166901.74</v>
      </c>
      <c r="H226" s="992">
        <v>107836.44</v>
      </c>
      <c r="I226" s="992">
        <v>126946.87</v>
      </c>
      <c r="J226" s="992">
        <v>114633.2</v>
      </c>
      <c r="K226" s="992">
        <v>103624.11</v>
      </c>
      <c r="L226" s="992">
        <v>131425.31</v>
      </c>
      <c r="M226" s="992">
        <v>135106.29</v>
      </c>
      <c r="N226" s="992">
        <v>102090.73</v>
      </c>
      <c r="O226" s="992">
        <v>215550.74</v>
      </c>
      <c r="P226" s="992">
        <v>132318.9</v>
      </c>
      <c r="Q226" s="992">
        <v>214149.2</v>
      </c>
      <c r="R226" s="992">
        <v>121153.04</v>
      </c>
      <c r="S226" s="992">
        <v>97168.43</v>
      </c>
      <c r="T226" s="992">
        <v>136498.39000000001</v>
      </c>
      <c r="U226" s="992">
        <v>191102.36</v>
      </c>
      <c r="V226" s="992">
        <v>110001.5</v>
      </c>
      <c r="W226" s="992">
        <v>122425.7</v>
      </c>
      <c r="X226" s="992">
        <v>115166.93</v>
      </c>
      <c r="Y226" s="992">
        <v>104119.53</v>
      </c>
      <c r="Z226" s="992">
        <v>113764</v>
      </c>
      <c r="AA226" s="992">
        <v>104227.8</v>
      </c>
      <c r="AB226" s="992">
        <v>120529.21</v>
      </c>
      <c r="AC226" s="992">
        <v>128145.91</v>
      </c>
      <c r="AD226" s="992">
        <v>113023.25</v>
      </c>
      <c r="AE226" s="992">
        <v>114473.29</v>
      </c>
      <c r="AF226" s="992">
        <v>127917.2</v>
      </c>
      <c r="AG226" s="992">
        <v>126318.56</v>
      </c>
      <c r="AH226" s="992">
        <v>107141.08</v>
      </c>
      <c r="AI226" s="992">
        <v>112051.07</v>
      </c>
      <c r="AJ226" s="992">
        <v>115411.55</v>
      </c>
      <c r="AK226" s="992">
        <v>111625.4</v>
      </c>
      <c r="AL226" s="992">
        <v>133625.64000000001</v>
      </c>
      <c r="AM226" s="992">
        <v>115471.71</v>
      </c>
      <c r="AN226" s="992">
        <v>128322.91</v>
      </c>
      <c r="AO226" s="992">
        <v>123303.67</v>
      </c>
      <c r="AP226" s="992">
        <v>148853.64000000001</v>
      </c>
      <c r="AQ226" s="992">
        <v>152615.76999999999</v>
      </c>
      <c r="AR226" s="992">
        <v>139333.07999999999</v>
      </c>
      <c r="AS226" s="992">
        <v>145335.88</v>
      </c>
      <c r="AT226" s="992">
        <v>168341.83</v>
      </c>
      <c r="AU226" s="992">
        <v>132774.60999999999</v>
      </c>
      <c r="AV226" s="992">
        <v>123174.34</v>
      </c>
      <c r="AW226" s="992">
        <v>102865.84</v>
      </c>
      <c r="AX226" s="992">
        <v>112875.49</v>
      </c>
      <c r="AY226" s="992">
        <v>103489.57</v>
      </c>
      <c r="AZ226" s="992">
        <v>109867.06</v>
      </c>
      <c r="BA226" s="992">
        <v>139296.23000000001</v>
      </c>
      <c r="BB226" s="992">
        <v>625505.16</v>
      </c>
      <c r="BC226" s="992">
        <v>108044.14</v>
      </c>
      <c r="BD226" s="992">
        <v>13982.95</v>
      </c>
      <c r="BF226" s="978"/>
    </row>
    <row r="227" spans="1:58" ht="15" customHeight="1">
      <c r="B227" s="981" t="s">
        <v>803</v>
      </c>
      <c r="C227" s="980" t="s">
        <v>802</v>
      </c>
      <c r="D227" s="985">
        <v>58588.41</v>
      </c>
      <c r="E227" s="985">
        <v>39424.86</v>
      </c>
      <c r="F227" s="985">
        <v>62164.51</v>
      </c>
      <c r="G227" s="985">
        <v>23673.31</v>
      </c>
      <c r="H227" s="985">
        <v>69427.839999999997</v>
      </c>
      <c r="I227" s="985">
        <v>53221.36</v>
      </c>
      <c r="J227" s="985">
        <v>66139.570000000007</v>
      </c>
      <c r="K227" s="985">
        <v>136263.6</v>
      </c>
      <c r="L227" s="985">
        <v>66867.03</v>
      </c>
      <c r="M227" s="985">
        <v>154670.81</v>
      </c>
      <c r="N227" s="985">
        <v>239077.84</v>
      </c>
      <c r="O227" s="985">
        <v>-129800.23</v>
      </c>
      <c r="P227" s="985">
        <v>81805.929999999993</v>
      </c>
      <c r="Q227" s="985">
        <v>-5031.71</v>
      </c>
      <c r="R227" s="985">
        <v>73826.149999999994</v>
      </c>
      <c r="S227" s="985">
        <v>118627.09</v>
      </c>
      <c r="T227" s="985">
        <v>60287.24</v>
      </c>
      <c r="U227" s="985">
        <v>26828.86</v>
      </c>
      <c r="V227" s="985">
        <v>119663.11</v>
      </c>
      <c r="W227" s="985">
        <v>105070.43</v>
      </c>
      <c r="X227" s="985">
        <v>94892.4</v>
      </c>
      <c r="Y227" s="985">
        <v>86470.22</v>
      </c>
      <c r="Z227" s="985">
        <v>113234.88</v>
      </c>
      <c r="AA227" s="985">
        <v>93738.08</v>
      </c>
      <c r="AB227" s="985">
        <v>73349.320000000007</v>
      </c>
      <c r="AC227" s="985">
        <v>58081.760000000002</v>
      </c>
      <c r="AD227" s="985">
        <v>99803.76</v>
      </c>
      <c r="AE227" s="985">
        <v>118041.29</v>
      </c>
      <c r="AF227" s="985">
        <v>101453.57</v>
      </c>
      <c r="AG227" s="985">
        <v>81414.16</v>
      </c>
      <c r="AH227" s="985">
        <v>135380.81</v>
      </c>
      <c r="AI227" s="985">
        <v>131882.21</v>
      </c>
      <c r="AJ227" s="985">
        <v>106142.56</v>
      </c>
      <c r="AK227" s="985">
        <v>134992.07</v>
      </c>
      <c r="AL227" s="985">
        <v>116683.07</v>
      </c>
      <c r="AM227" s="985">
        <v>134190.99</v>
      </c>
      <c r="AN227" s="985">
        <v>137951.25</v>
      </c>
      <c r="AO227" s="985">
        <v>129616.29</v>
      </c>
      <c r="AP227" s="985">
        <v>117205.42</v>
      </c>
      <c r="AQ227" s="985">
        <v>115524.26</v>
      </c>
      <c r="AR227" s="985">
        <v>51822.73</v>
      </c>
      <c r="AS227" s="985">
        <v>131919.53</v>
      </c>
      <c r="AT227" s="985">
        <v>111869.49</v>
      </c>
      <c r="AU227" s="985">
        <v>104507.83</v>
      </c>
      <c r="AV227" s="985">
        <v>110201.79</v>
      </c>
      <c r="AW227" s="985">
        <v>142382.38</v>
      </c>
      <c r="AX227" s="985">
        <v>154562.67000000001</v>
      </c>
      <c r="AY227" s="985">
        <v>137965.26</v>
      </c>
      <c r="AZ227" s="985">
        <v>131587.76999999999</v>
      </c>
      <c r="BA227" s="985">
        <v>114462.34</v>
      </c>
      <c r="BB227" s="985">
        <v>-364374.22</v>
      </c>
      <c r="BC227" s="985">
        <v>147144.87</v>
      </c>
      <c r="BD227" s="985">
        <v>190021.66</v>
      </c>
      <c r="BF227" s="978"/>
    </row>
    <row r="228" spans="1:58" ht="15" customHeight="1">
      <c r="B228" s="983"/>
      <c r="C228" s="984"/>
      <c r="D228" s="983"/>
      <c r="E228" s="983"/>
      <c r="F228" s="983"/>
      <c r="G228" s="983"/>
      <c r="H228" s="983"/>
      <c r="I228" s="983"/>
      <c r="J228" s="983"/>
      <c r="K228" s="983"/>
      <c r="L228" s="983"/>
      <c r="M228" s="983"/>
      <c r="N228" s="983"/>
      <c r="O228" s="983"/>
      <c r="P228" s="983"/>
      <c r="Q228" s="983"/>
      <c r="R228" s="983"/>
      <c r="S228" s="983"/>
      <c r="T228" s="983"/>
      <c r="U228" s="983"/>
      <c r="V228" s="983"/>
      <c r="W228" s="983"/>
      <c r="X228" s="983"/>
      <c r="Y228" s="983"/>
      <c r="Z228" s="983"/>
      <c r="AA228" s="983"/>
      <c r="AB228" s="983"/>
      <c r="AC228" s="983"/>
      <c r="AD228" s="983"/>
      <c r="AE228" s="983"/>
      <c r="AF228" s="983"/>
      <c r="AG228" s="983"/>
      <c r="AH228" s="983"/>
      <c r="AI228" s="983"/>
      <c r="AJ228" s="983"/>
      <c r="AK228" s="983"/>
      <c r="AL228" s="983"/>
      <c r="AM228" s="983"/>
      <c r="AN228" s="983"/>
      <c r="AO228" s="983"/>
      <c r="AP228" s="983"/>
      <c r="AQ228" s="983"/>
      <c r="AR228" s="983"/>
      <c r="AS228" s="983"/>
      <c r="AT228" s="983"/>
      <c r="AU228" s="983"/>
      <c r="AV228" s="983"/>
      <c r="AW228" s="983"/>
      <c r="AX228" s="983"/>
      <c r="AY228" s="983"/>
      <c r="AZ228" s="983"/>
      <c r="BA228" s="983"/>
      <c r="BB228" s="983"/>
      <c r="BC228" s="983"/>
      <c r="BD228" s="983"/>
      <c r="BF228" s="978"/>
    </row>
    <row r="229" spans="1:58" ht="15" customHeight="1">
      <c r="B229" s="981" t="s">
        <v>801</v>
      </c>
      <c r="C229" s="980" t="s">
        <v>800</v>
      </c>
      <c r="D229" s="991"/>
      <c r="E229" s="991"/>
      <c r="F229" s="991"/>
      <c r="G229" s="991"/>
      <c r="H229" s="991"/>
      <c r="I229" s="991"/>
      <c r="J229" s="991"/>
      <c r="K229" s="991"/>
      <c r="L229" s="991"/>
      <c r="M229" s="991"/>
      <c r="N229" s="991"/>
      <c r="O229" s="991"/>
      <c r="P229" s="991"/>
      <c r="Q229" s="991"/>
      <c r="R229" s="991"/>
      <c r="S229" s="991"/>
      <c r="T229" s="991"/>
      <c r="U229" s="991"/>
      <c r="V229" s="991"/>
      <c r="W229" s="991"/>
      <c r="X229" s="991"/>
      <c r="Y229" s="991"/>
      <c r="Z229" s="991"/>
      <c r="AA229" s="991"/>
      <c r="AB229" s="991"/>
      <c r="AC229" s="991"/>
      <c r="AD229" s="991"/>
      <c r="AE229" s="991"/>
      <c r="AF229" s="991"/>
      <c r="AG229" s="991"/>
      <c r="AH229" s="991"/>
      <c r="AI229" s="991"/>
      <c r="AJ229" s="991"/>
      <c r="AK229" s="991"/>
      <c r="AL229" s="991"/>
      <c r="AM229" s="991"/>
      <c r="AN229" s="991"/>
      <c r="AO229" s="991"/>
      <c r="AP229" s="991"/>
      <c r="AQ229" s="991"/>
      <c r="AR229" s="991"/>
      <c r="AS229" s="991"/>
      <c r="AT229" s="991"/>
      <c r="AU229" s="991"/>
      <c r="AV229" s="991"/>
      <c r="AW229" s="991"/>
      <c r="AX229" s="991"/>
      <c r="AY229" s="991"/>
      <c r="AZ229" s="991"/>
      <c r="BA229" s="991"/>
      <c r="BB229" s="991"/>
      <c r="BC229" s="991"/>
      <c r="BD229" s="991"/>
      <c r="BF229" s="978"/>
    </row>
    <row r="230" spans="1:58" ht="15" customHeight="1">
      <c r="B230" s="981" t="s">
        <v>1195</v>
      </c>
      <c r="C230" s="980" t="s">
        <v>1194</v>
      </c>
      <c r="D230" s="991"/>
      <c r="E230" s="991"/>
      <c r="F230" s="991"/>
      <c r="G230" s="991"/>
      <c r="H230" s="991"/>
      <c r="I230" s="991"/>
      <c r="J230" s="991"/>
      <c r="K230" s="991"/>
      <c r="L230" s="991"/>
      <c r="M230" s="991"/>
      <c r="N230" s="991"/>
      <c r="O230" s="991"/>
      <c r="P230" s="991"/>
      <c r="Q230" s="991"/>
      <c r="R230" s="991"/>
      <c r="S230" s="991"/>
      <c r="T230" s="991"/>
      <c r="U230" s="991"/>
      <c r="V230" s="991"/>
      <c r="W230" s="991"/>
      <c r="X230" s="991"/>
      <c r="Y230" s="991"/>
      <c r="Z230" s="991"/>
      <c r="AA230" s="991"/>
      <c r="AB230" s="991"/>
      <c r="AC230" s="991"/>
      <c r="AD230" s="991"/>
      <c r="AE230" s="991"/>
      <c r="AF230" s="991"/>
      <c r="AG230" s="991"/>
      <c r="AH230" s="991"/>
      <c r="AI230" s="991"/>
      <c r="AJ230" s="991"/>
      <c r="AK230" s="991"/>
      <c r="AL230" s="991"/>
      <c r="AM230" s="991"/>
      <c r="AN230" s="991"/>
      <c r="AO230" s="991"/>
      <c r="AP230" s="991"/>
      <c r="AQ230" s="991"/>
      <c r="AR230" s="991"/>
      <c r="AS230" s="991"/>
      <c r="AT230" s="991"/>
      <c r="AU230" s="991"/>
      <c r="AV230" s="991"/>
      <c r="AW230" s="991"/>
      <c r="AX230" s="991"/>
      <c r="AY230" s="991"/>
      <c r="AZ230" s="991"/>
      <c r="BA230" s="991"/>
      <c r="BB230" s="991"/>
      <c r="BC230" s="991"/>
      <c r="BD230" s="991"/>
      <c r="BF230" s="978"/>
    </row>
    <row r="231" spans="1:58" ht="15" customHeight="1">
      <c r="B231" s="983" t="s">
        <v>1193</v>
      </c>
      <c r="C231" s="984" t="s">
        <v>1192</v>
      </c>
      <c r="D231" s="989"/>
      <c r="E231" s="989"/>
      <c r="F231" s="989"/>
      <c r="G231" s="989"/>
      <c r="H231" s="989"/>
      <c r="I231" s="989"/>
      <c r="J231" s="989"/>
      <c r="K231" s="989"/>
      <c r="L231" s="989"/>
      <c r="M231" s="989"/>
      <c r="N231" s="989"/>
      <c r="O231" s="989"/>
      <c r="P231" s="989"/>
      <c r="Q231" s="989"/>
      <c r="R231" s="989"/>
      <c r="S231" s="989"/>
      <c r="T231" s="989"/>
      <c r="U231" s="989"/>
      <c r="V231" s="989"/>
      <c r="W231" s="989"/>
      <c r="X231" s="989"/>
      <c r="Y231" s="989"/>
      <c r="Z231" s="989"/>
      <c r="AA231" s="989"/>
      <c r="AB231" s="989"/>
      <c r="AC231" s="989"/>
      <c r="AD231" s="989"/>
      <c r="AE231" s="989"/>
      <c r="AF231" s="989"/>
      <c r="AG231" s="989"/>
      <c r="AH231" s="989"/>
      <c r="AI231" s="989"/>
      <c r="AJ231" s="989"/>
      <c r="AK231" s="989"/>
      <c r="AL231" s="989"/>
      <c r="AM231" s="989"/>
      <c r="AN231" s="989"/>
      <c r="AO231" s="989"/>
      <c r="AP231" s="989"/>
      <c r="AQ231" s="989"/>
      <c r="AR231" s="989"/>
      <c r="AS231" s="989"/>
      <c r="AT231" s="989"/>
      <c r="AU231" s="989"/>
      <c r="AV231" s="989"/>
      <c r="AW231" s="989"/>
      <c r="AX231" s="989"/>
      <c r="AY231" s="989"/>
      <c r="AZ231" s="989"/>
      <c r="BA231" s="989"/>
      <c r="BB231" s="989"/>
      <c r="BC231" s="989"/>
      <c r="BD231" s="989"/>
      <c r="BF231" s="978"/>
    </row>
    <row r="232" spans="1:58" ht="15" customHeight="1">
      <c r="B232" s="983" t="s">
        <v>1191</v>
      </c>
      <c r="C232" s="984" t="s">
        <v>1190</v>
      </c>
      <c r="D232" s="989"/>
      <c r="E232" s="989"/>
      <c r="F232" s="989"/>
      <c r="G232" s="989"/>
      <c r="H232" s="989"/>
      <c r="I232" s="989"/>
      <c r="J232" s="989"/>
      <c r="K232" s="989"/>
      <c r="L232" s="989"/>
      <c r="M232" s="989"/>
      <c r="N232" s="989"/>
      <c r="O232" s="989"/>
      <c r="P232" s="989"/>
      <c r="Q232" s="989"/>
      <c r="R232" s="989"/>
      <c r="S232" s="989"/>
      <c r="T232" s="989"/>
      <c r="U232" s="989"/>
      <c r="V232" s="989"/>
      <c r="W232" s="989"/>
      <c r="X232" s="989"/>
      <c r="Y232" s="989"/>
      <c r="Z232" s="989"/>
      <c r="AA232" s="989"/>
      <c r="AB232" s="989"/>
      <c r="AC232" s="989"/>
      <c r="AD232" s="989"/>
      <c r="AE232" s="989"/>
      <c r="AF232" s="989"/>
      <c r="AG232" s="989"/>
      <c r="AH232" s="989"/>
      <c r="AI232" s="989"/>
      <c r="AJ232" s="989"/>
      <c r="AK232" s="989"/>
      <c r="AL232" s="989"/>
      <c r="AM232" s="989"/>
      <c r="AN232" s="989"/>
      <c r="AO232" s="989"/>
      <c r="AP232" s="989"/>
      <c r="AQ232" s="989"/>
      <c r="AR232" s="989"/>
      <c r="AS232" s="989"/>
      <c r="AT232" s="989"/>
      <c r="AU232" s="989"/>
      <c r="AV232" s="989"/>
      <c r="AW232" s="989"/>
      <c r="AX232" s="989"/>
      <c r="AY232" s="989"/>
      <c r="AZ232" s="989"/>
      <c r="BA232" s="989"/>
      <c r="BB232" s="989"/>
      <c r="BC232" s="989"/>
      <c r="BD232" s="989"/>
      <c r="BF232" s="978"/>
    </row>
    <row r="233" spans="1:58" ht="15" customHeight="1">
      <c r="B233" s="983" t="s">
        <v>1189</v>
      </c>
      <c r="C233" s="984" t="s">
        <v>1188</v>
      </c>
      <c r="D233" s="988">
        <v>0</v>
      </c>
      <c r="E233" s="988">
        <v>0</v>
      </c>
      <c r="F233" s="988">
        <v>0</v>
      </c>
      <c r="G233" s="988">
        <v>0</v>
      </c>
      <c r="H233" s="988">
        <v>0</v>
      </c>
      <c r="I233" s="988">
        <v>0</v>
      </c>
      <c r="J233" s="988">
        <v>0</v>
      </c>
      <c r="K233" s="988">
        <v>0</v>
      </c>
      <c r="L233" s="988">
        <v>0</v>
      </c>
      <c r="M233" s="988">
        <v>0</v>
      </c>
      <c r="N233" s="988">
        <v>0</v>
      </c>
      <c r="O233" s="988">
        <v>0</v>
      </c>
      <c r="P233" s="988">
        <v>0</v>
      </c>
      <c r="Q233" s="988">
        <v>0</v>
      </c>
      <c r="R233" s="988">
        <v>0</v>
      </c>
      <c r="S233" s="988">
        <v>0</v>
      </c>
      <c r="T233" s="988">
        <v>0</v>
      </c>
      <c r="U233" s="988">
        <v>0</v>
      </c>
      <c r="V233" s="988">
        <v>0</v>
      </c>
      <c r="W233" s="988">
        <v>0</v>
      </c>
      <c r="X233" s="988">
        <v>0</v>
      </c>
      <c r="Y233" s="988">
        <v>0</v>
      </c>
      <c r="Z233" s="988">
        <v>0</v>
      </c>
      <c r="AA233" s="988">
        <v>0</v>
      </c>
      <c r="AB233" s="988">
        <v>0</v>
      </c>
      <c r="AC233" s="988">
        <v>0</v>
      </c>
      <c r="AD233" s="988">
        <v>0</v>
      </c>
      <c r="AE233" s="988">
        <v>0</v>
      </c>
      <c r="AF233" s="988">
        <v>0</v>
      </c>
      <c r="AG233" s="988">
        <v>0</v>
      </c>
      <c r="AH233" s="988">
        <v>0</v>
      </c>
      <c r="AI233" s="988">
        <v>0</v>
      </c>
      <c r="AJ233" s="988">
        <v>0</v>
      </c>
      <c r="AK233" s="988">
        <v>0</v>
      </c>
      <c r="AL233" s="988">
        <v>0</v>
      </c>
      <c r="AM233" s="988">
        <v>0</v>
      </c>
      <c r="AN233" s="988">
        <v>0</v>
      </c>
      <c r="AO233" s="988">
        <v>313.68</v>
      </c>
      <c r="AP233" s="988">
        <v>0</v>
      </c>
      <c r="AQ233" s="988">
        <v>0</v>
      </c>
      <c r="AR233" s="988">
        <v>0</v>
      </c>
      <c r="AS233" s="988">
        <v>0</v>
      </c>
      <c r="AT233" s="988">
        <v>0</v>
      </c>
      <c r="AU233" s="988">
        <v>0</v>
      </c>
      <c r="AV233" s="988">
        <v>0</v>
      </c>
      <c r="AW233" s="988">
        <v>0</v>
      </c>
      <c r="AX233" s="988">
        <v>0</v>
      </c>
      <c r="AY233" s="988">
        <v>0</v>
      </c>
      <c r="AZ233" s="988">
        <v>0</v>
      </c>
      <c r="BA233" s="988">
        <v>0</v>
      </c>
      <c r="BB233" s="988">
        <v>0</v>
      </c>
      <c r="BC233" s="988">
        <v>0</v>
      </c>
      <c r="BD233" s="988">
        <v>0</v>
      </c>
      <c r="BF233" s="978"/>
    </row>
    <row r="234" spans="1:58" ht="15" customHeight="1">
      <c r="B234" s="983" t="s">
        <v>1187</v>
      </c>
      <c r="C234" s="984" t="s">
        <v>1186</v>
      </c>
      <c r="D234" s="986">
        <v>0</v>
      </c>
      <c r="E234" s="986">
        <v>0</v>
      </c>
      <c r="F234" s="986">
        <v>0</v>
      </c>
      <c r="G234" s="986">
        <v>0</v>
      </c>
      <c r="H234" s="986">
        <v>0</v>
      </c>
      <c r="I234" s="986">
        <v>0</v>
      </c>
      <c r="J234" s="986">
        <v>0</v>
      </c>
      <c r="K234" s="986">
        <v>0</v>
      </c>
      <c r="L234" s="986">
        <v>0</v>
      </c>
      <c r="M234" s="986">
        <v>0</v>
      </c>
      <c r="N234" s="986">
        <v>0</v>
      </c>
      <c r="O234" s="986">
        <v>0</v>
      </c>
      <c r="P234" s="986">
        <v>0</v>
      </c>
      <c r="Q234" s="986">
        <v>0</v>
      </c>
      <c r="R234" s="986">
        <v>0</v>
      </c>
      <c r="S234" s="986">
        <v>0</v>
      </c>
      <c r="T234" s="986">
        <v>0</v>
      </c>
      <c r="U234" s="986">
        <v>0</v>
      </c>
      <c r="V234" s="986">
        <v>0</v>
      </c>
      <c r="W234" s="986">
        <v>0</v>
      </c>
      <c r="X234" s="986">
        <v>0</v>
      </c>
      <c r="Y234" s="986">
        <v>0</v>
      </c>
      <c r="Z234" s="986">
        <v>0</v>
      </c>
      <c r="AA234" s="986">
        <v>0</v>
      </c>
      <c r="AB234" s="986">
        <v>0</v>
      </c>
      <c r="AC234" s="986">
        <v>0</v>
      </c>
      <c r="AD234" s="986">
        <v>0</v>
      </c>
      <c r="AE234" s="986">
        <v>0</v>
      </c>
      <c r="AF234" s="986">
        <v>0</v>
      </c>
      <c r="AG234" s="986">
        <v>0</v>
      </c>
      <c r="AH234" s="986">
        <v>0</v>
      </c>
      <c r="AI234" s="986">
        <v>0</v>
      </c>
      <c r="AJ234" s="986">
        <v>0</v>
      </c>
      <c r="AK234" s="986">
        <v>0</v>
      </c>
      <c r="AL234" s="986">
        <v>0</v>
      </c>
      <c r="AM234" s="986">
        <v>0</v>
      </c>
      <c r="AN234" s="986">
        <v>0</v>
      </c>
      <c r="AO234" s="986">
        <v>313.68</v>
      </c>
      <c r="AP234" s="986">
        <v>0</v>
      </c>
      <c r="AQ234" s="986">
        <v>0</v>
      </c>
      <c r="AR234" s="986">
        <v>0</v>
      </c>
      <c r="AS234" s="986">
        <v>0</v>
      </c>
      <c r="AT234" s="986">
        <v>0</v>
      </c>
      <c r="AU234" s="986">
        <v>0</v>
      </c>
      <c r="AV234" s="986">
        <v>0</v>
      </c>
      <c r="AW234" s="986">
        <v>0</v>
      </c>
      <c r="AX234" s="986">
        <v>0</v>
      </c>
      <c r="AY234" s="986">
        <v>0</v>
      </c>
      <c r="AZ234" s="986">
        <v>0</v>
      </c>
      <c r="BA234" s="986">
        <v>0</v>
      </c>
      <c r="BB234" s="986">
        <v>0</v>
      </c>
      <c r="BC234" s="986">
        <v>0</v>
      </c>
      <c r="BD234" s="986">
        <v>0</v>
      </c>
      <c r="BF234" s="978"/>
    </row>
    <row r="235" spans="1:58" ht="15" customHeight="1">
      <c r="B235" s="983" t="s">
        <v>1185</v>
      </c>
      <c r="C235" s="984" t="s">
        <v>1184</v>
      </c>
      <c r="D235" s="986">
        <v>0</v>
      </c>
      <c r="E235" s="986">
        <v>0</v>
      </c>
      <c r="F235" s="986">
        <v>0</v>
      </c>
      <c r="G235" s="986">
        <v>0</v>
      </c>
      <c r="H235" s="986">
        <v>0</v>
      </c>
      <c r="I235" s="986">
        <v>0</v>
      </c>
      <c r="J235" s="986">
        <v>0</v>
      </c>
      <c r="K235" s="986">
        <v>0</v>
      </c>
      <c r="L235" s="986">
        <v>0</v>
      </c>
      <c r="M235" s="986">
        <v>0</v>
      </c>
      <c r="N235" s="986">
        <v>0</v>
      </c>
      <c r="O235" s="986">
        <v>0</v>
      </c>
      <c r="P235" s="986">
        <v>0</v>
      </c>
      <c r="Q235" s="986">
        <v>0</v>
      </c>
      <c r="R235" s="986">
        <v>0</v>
      </c>
      <c r="S235" s="986">
        <v>0</v>
      </c>
      <c r="T235" s="986">
        <v>0</v>
      </c>
      <c r="U235" s="986">
        <v>0</v>
      </c>
      <c r="V235" s="986">
        <v>0</v>
      </c>
      <c r="W235" s="986">
        <v>0</v>
      </c>
      <c r="X235" s="986">
        <v>0</v>
      </c>
      <c r="Y235" s="986">
        <v>0</v>
      </c>
      <c r="Z235" s="986">
        <v>0</v>
      </c>
      <c r="AA235" s="986">
        <v>0</v>
      </c>
      <c r="AB235" s="986">
        <v>0</v>
      </c>
      <c r="AC235" s="986">
        <v>0</v>
      </c>
      <c r="AD235" s="986">
        <v>0</v>
      </c>
      <c r="AE235" s="986">
        <v>0</v>
      </c>
      <c r="AF235" s="986">
        <v>0</v>
      </c>
      <c r="AG235" s="986">
        <v>0</v>
      </c>
      <c r="AH235" s="986">
        <v>0</v>
      </c>
      <c r="AI235" s="986">
        <v>0</v>
      </c>
      <c r="AJ235" s="986">
        <v>0</v>
      </c>
      <c r="AK235" s="986">
        <v>0</v>
      </c>
      <c r="AL235" s="986">
        <v>0</v>
      </c>
      <c r="AM235" s="986">
        <v>0</v>
      </c>
      <c r="AN235" s="986">
        <v>0</v>
      </c>
      <c r="AO235" s="986">
        <v>313.68</v>
      </c>
      <c r="AP235" s="986">
        <v>0</v>
      </c>
      <c r="AQ235" s="986">
        <v>0</v>
      </c>
      <c r="AR235" s="986">
        <v>0</v>
      </c>
      <c r="AS235" s="986">
        <v>0</v>
      </c>
      <c r="AT235" s="986">
        <v>0</v>
      </c>
      <c r="AU235" s="986">
        <v>0</v>
      </c>
      <c r="AV235" s="986">
        <v>0</v>
      </c>
      <c r="AW235" s="986">
        <v>0</v>
      </c>
      <c r="AX235" s="986">
        <v>0</v>
      </c>
      <c r="AY235" s="986">
        <v>0</v>
      </c>
      <c r="AZ235" s="986">
        <v>0</v>
      </c>
      <c r="BA235" s="986">
        <v>0</v>
      </c>
      <c r="BB235" s="986">
        <v>0</v>
      </c>
      <c r="BC235" s="986">
        <v>0</v>
      </c>
      <c r="BD235" s="986">
        <v>0</v>
      </c>
      <c r="BF235" s="978"/>
    </row>
    <row r="236" spans="1:58" ht="15" customHeight="1">
      <c r="B236" s="981" t="s">
        <v>1183</v>
      </c>
      <c r="C236" s="980" t="s">
        <v>1182</v>
      </c>
      <c r="D236" s="985">
        <v>0</v>
      </c>
      <c r="E236" s="985">
        <v>0</v>
      </c>
      <c r="F236" s="985">
        <v>0</v>
      </c>
      <c r="G236" s="985">
        <v>0</v>
      </c>
      <c r="H236" s="985">
        <v>0</v>
      </c>
      <c r="I236" s="985">
        <v>0</v>
      </c>
      <c r="J236" s="985">
        <v>0</v>
      </c>
      <c r="K236" s="985">
        <v>0</v>
      </c>
      <c r="L236" s="985">
        <v>0</v>
      </c>
      <c r="M236" s="985">
        <v>0</v>
      </c>
      <c r="N236" s="985">
        <v>0</v>
      </c>
      <c r="O236" s="985">
        <v>0</v>
      </c>
      <c r="P236" s="985">
        <v>0</v>
      </c>
      <c r="Q236" s="985">
        <v>0</v>
      </c>
      <c r="R236" s="985">
        <v>0</v>
      </c>
      <c r="S236" s="985">
        <v>0</v>
      </c>
      <c r="T236" s="985">
        <v>0</v>
      </c>
      <c r="U236" s="985">
        <v>0</v>
      </c>
      <c r="V236" s="985">
        <v>0</v>
      </c>
      <c r="W236" s="985">
        <v>0</v>
      </c>
      <c r="X236" s="985">
        <v>0</v>
      </c>
      <c r="Y236" s="985">
        <v>0</v>
      </c>
      <c r="Z236" s="985">
        <v>0</v>
      </c>
      <c r="AA236" s="985">
        <v>0</v>
      </c>
      <c r="AB236" s="985">
        <v>0</v>
      </c>
      <c r="AC236" s="985">
        <v>0</v>
      </c>
      <c r="AD236" s="985">
        <v>0</v>
      </c>
      <c r="AE236" s="985">
        <v>0</v>
      </c>
      <c r="AF236" s="985">
        <v>0</v>
      </c>
      <c r="AG236" s="985">
        <v>0</v>
      </c>
      <c r="AH236" s="985">
        <v>0</v>
      </c>
      <c r="AI236" s="985">
        <v>0</v>
      </c>
      <c r="AJ236" s="985">
        <v>0</v>
      </c>
      <c r="AK236" s="985">
        <v>0</v>
      </c>
      <c r="AL236" s="985">
        <v>0</v>
      </c>
      <c r="AM236" s="985">
        <v>0</v>
      </c>
      <c r="AN236" s="985">
        <v>0</v>
      </c>
      <c r="AO236" s="985">
        <v>313.68</v>
      </c>
      <c r="AP236" s="985">
        <v>0</v>
      </c>
      <c r="AQ236" s="985">
        <v>0</v>
      </c>
      <c r="AR236" s="985">
        <v>0</v>
      </c>
      <c r="AS236" s="985">
        <v>0</v>
      </c>
      <c r="AT236" s="985">
        <v>0</v>
      </c>
      <c r="AU236" s="985">
        <v>0</v>
      </c>
      <c r="AV236" s="985">
        <v>0</v>
      </c>
      <c r="AW236" s="985">
        <v>0</v>
      </c>
      <c r="AX236" s="985">
        <v>0</v>
      </c>
      <c r="AY236" s="985">
        <v>0</v>
      </c>
      <c r="AZ236" s="985">
        <v>0</v>
      </c>
      <c r="BA236" s="985">
        <v>0</v>
      </c>
      <c r="BB236" s="985">
        <v>0</v>
      </c>
      <c r="BC236" s="985">
        <v>0</v>
      </c>
      <c r="BD236" s="985">
        <v>0</v>
      </c>
      <c r="BF236" s="978"/>
    </row>
    <row r="237" spans="1:58" ht="15" customHeight="1">
      <c r="B237" s="983"/>
      <c r="C237" s="984"/>
      <c r="D237" s="983"/>
      <c r="E237" s="983"/>
      <c r="F237" s="983"/>
      <c r="G237" s="983"/>
      <c r="H237" s="983"/>
      <c r="I237" s="983"/>
      <c r="J237" s="983"/>
      <c r="K237" s="983"/>
      <c r="L237" s="983"/>
      <c r="M237" s="983"/>
      <c r="N237" s="983"/>
      <c r="O237" s="983"/>
      <c r="P237" s="983"/>
      <c r="Q237" s="983"/>
      <c r="R237" s="983"/>
      <c r="S237" s="983"/>
      <c r="T237" s="983"/>
      <c r="U237" s="983"/>
      <c r="V237" s="983"/>
      <c r="W237" s="983"/>
      <c r="X237" s="983"/>
      <c r="Y237" s="983"/>
      <c r="Z237" s="983"/>
      <c r="AA237" s="983"/>
      <c r="AB237" s="983"/>
      <c r="AC237" s="983"/>
      <c r="AD237" s="983"/>
      <c r="AE237" s="983"/>
      <c r="AF237" s="983"/>
      <c r="AG237" s="983"/>
      <c r="AH237" s="983"/>
      <c r="AI237" s="983"/>
      <c r="AJ237" s="983"/>
      <c r="AK237" s="983"/>
      <c r="AL237" s="983"/>
      <c r="AM237" s="983"/>
      <c r="AN237" s="983"/>
      <c r="AO237" s="983"/>
      <c r="AP237" s="983"/>
      <c r="AQ237" s="983"/>
      <c r="AR237" s="983"/>
      <c r="AS237" s="983"/>
      <c r="AT237" s="983"/>
      <c r="AU237" s="983"/>
      <c r="AV237" s="983"/>
      <c r="AW237" s="983"/>
      <c r="AX237" s="983"/>
      <c r="AY237" s="983"/>
      <c r="AZ237" s="983"/>
      <c r="BA237" s="983"/>
      <c r="BB237" s="983"/>
      <c r="BC237" s="983"/>
      <c r="BD237" s="983"/>
      <c r="BF237" s="978"/>
    </row>
    <row r="238" spans="1:58" ht="15" customHeight="1">
      <c r="B238" s="981" t="s">
        <v>799</v>
      </c>
      <c r="C238" s="980" t="s">
        <v>798</v>
      </c>
      <c r="D238" s="991"/>
      <c r="E238" s="991"/>
      <c r="F238" s="991"/>
      <c r="G238" s="991"/>
      <c r="H238" s="991"/>
      <c r="I238" s="991"/>
      <c r="J238" s="991"/>
      <c r="K238" s="991"/>
      <c r="L238" s="991"/>
      <c r="M238" s="991"/>
      <c r="N238" s="991"/>
      <c r="O238" s="991"/>
      <c r="P238" s="991"/>
      <c r="Q238" s="991"/>
      <c r="R238" s="991"/>
      <c r="S238" s="991"/>
      <c r="T238" s="991"/>
      <c r="U238" s="991"/>
      <c r="V238" s="991"/>
      <c r="W238" s="991"/>
      <c r="X238" s="991"/>
      <c r="Y238" s="991"/>
      <c r="Z238" s="991"/>
      <c r="AA238" s="991"/>
      <c r="AB238" s="991"/>
      <c r="AC238" s="991"/>
      <c r="AD238" s="991"/>
      <c r="AE238" s="991"/>
      <c r="AF238" s="991"/>
      <c r="AG238" s="991"/>
      <c r="AH238" s="991"/>
      <c r="AI238" s="991"/>
      <c r="AJ238" s="991"/>
      <c r="AK238" s="991"/>
      <c r="AL238" s="991"/>
      <c r="AM238" s="991"/>
      <c r="AN238" s="991"/>
      <c r="AO238" s="991"/>
      <c r="AP238" s="991"/>
      <c r="AQ238" s="991"/>
      <c r="AR238" s="991"/>
      <c r="AS238" s="991"/>
      <c r="AT238" s="991"/>
      <c r="AU238" s="991"/>
      <c r="AV238" s="991"/>
      <c r="AW238" s="991"/>
      <c r="AX238" s="991"/>
      <c r="AY238" s="991"/>
      <c r="AZ238" s="991"/>
      <c r="BA238" s="991"/>
      <c r="BB238" s="991"/>
      <c r="BC238" s="991"/>
      <c r="BD238" s="991"/>
      <c r="BF238" s="978"/>
    </row>
    <row r="239" spans="1:58" ht="15" customHeight="1">
      <c r="B239" s="983" t="s">
        <v>797</v>
      </c>
      <c r="C239" s="984" t="s">
        <v>796</v>
      </c>
      <c r="D239" s="989"/>
      <c r="E239" s="989"/>
      <c r="F239" s="989"/>
      <c r="G239" s="989"/>
      <c r="H239" s="989"/>
      <c r="I239" s="989"/>
      <c r="J239" s="989"/>
      <c r="K239" s="989"/>
      <c r="L239" s="989"/>
      <c r="M239" s="989"/>
      <c r="N239" s="989"/>
      <c r="O239" s="989"/>
      <c r="P239" s="989"/>
      <c r="Q239" s="989"/>
      <c r="R239" s="989"/>
      <c r="S239" s="989"/>
      <c r="T239" s="989"/>
      <c r="U239" s="989"/>
      <c r="V239" s="989"/>
      <c r="W239" s="989"/>
      <c r="X239" s="989"/>
      <c r="Y239" s="989"/>
      <c r="Z239" s="989"/>
      <c r="AA239" s="989"/>
      <c r="AB239" s="989"/>
      <c r="AC239" s="989"/>
      <c r="AD239" s="989"/>
      <c r="AE239" s="989"/>
      <c r="AF239" s="989"/>
      <c r="AG239" s="989"/>
      <c r="AH239" s="989"/>
      <c r="AI239" s="989"/>
      <c r="AJ239" s="989"/>
      <c r="AK239" s="989"/>
      <c r="AL239" s="989"/>
      <c r="AM239" s="989"/>
      <c r="AN239" s="989"/>
      <c r="AO239" s="989"/>
      <c r="AP239" s="989"/>
      <c r="AQ239" s="989"/>
      <c r="AR239" s="989"/>
      <c r="AS239" s="989"/>
      <c r="AT239" s="989"/>
      <c r="AU239" s="989"/>
      <c r="AV239" s="989"/>
      <c r="AW239" s="989"/>
      <c r="AX239" s="989"/>
      <c r="AY239" s="989"/>
      <c r="AZ239" s="989"/>
      <c r="BA239" s="989"/>
      <c r="BB239" s="989"/>
      <c r="BC239" s="989"/>
      <c r="BD239" s="989"/>
      <c r="BF239" s="978"/>
    </row>
    <row r="240" spans="1:58" ht="15" customHeight="1">
      <c r="B240" s="983" t="s">
        <v>795</v>
      </c>
      <c r="C240" s="984" t="s">
        <v>794</v>
      </c>
      <c r="D240" s="989"/>
      <c r="E240" s="989"/>
      <c r="F240" s="989"/>
      <c r="G240" s="989"/>
      <c r="H240" s="989"/>
      <c r="I240" s="989"/>
      <c r="J240" s="989"/>
      <c r="K240" s="989"/>
      <c r="L240" s="989"/>
      <c r="M240" s="989"/>
      <c r="N240" s="989"/>
      <c r="O240" s="989"/>
      <c r="P240" s="989"/>
      <c r="Q240" s="989"/>
      <c r="R240" s="989"/>
      <c r="S240" s="989"/>
      <c r="T240" s="989"/>
      <c r="U240" s="989"/>
      <c r="V240" s="989"/>
      <c r="W240" s="989"/>
      <c r="X240" s="989"/>
      <c r="Y240" s="989"/>
      <c r="Z240" s="989"/>
      <c r="AA240" s="989"/>
      <c r="AB240" s="989"/>
      <c r="AC240" s="989"/>
      <c r="AD240" s="989"/>
      <c r="AE240" s="989"/>
      <c r="AF240" s="989"/>
      <c r="AG240" s="989"/>
      <c r="AH240" s="989"/>
      <c r="AI240" s="989"/>
      <c r="AJ240" s="989"/>
      <c r="AK240" s="989"/>
      <c r="AL240" s="989"/>
      <c r="AM240" s="989"/>
      <c r="AN240" s="989"/>
      <c r="AO240" s="989"/>
      <c r="AP240" s="989"/>
      <c r="AQ240" s="989"/>
      <c r="AR240" s="989"/>
      <c r="AS240" s="989"/>
      <c r="AT240" s="989"/>
      <c r="AU240" s="989"/>
      <c r="AV240" s="989"/>
      <c r="AW240" s="989"/>
      <c r="AX240" s="989"/>
      <c r="AY240" s="989"/>
      <c r="AZ240" s="989"/>
      <c r="BA240" s="989"/>
      <c r="BB240" s="989"/>
      <c r="BC240" s="989"/>
      <c r="BD240" s="989"/>
      <c r="BF240" s="978"/>
    </row>
    <row r="241" spans="1:58" ht="15" customHeight="1">
      <c r="B241" s="983" t="s">
        <v>793</v>
      </c>
      <c r="C241" s="984" t="s">
        <v>792</v>
      </c>
      <c r="D241" s="990">
        <v>99876.22</v>
      </c>
      <c r="E241" s="990">
        <v>96755.09</v>
      </c>
      <c r="F241" s="990">
        <v>93633.96</v>
      </c>
      <c r="G241" s="990">
        <v>97440.65</v>
      </c>
      <c r="H241" s="990">
        <v>94069.28</v>
      </c>
      <c r="I241" s="990">
        <v>97411.34</v>
      </c>
      <c r="J241" s="990">
        <v>97411.34</v>
      </c>
      <c r="K241" s="990">
        <v>94241.36</v>
      </c>
      <c r="L241" s="990">
        <v>101298.37</v>
      </c>
      <c r="M241" s="990">
        <v>100359.32</v>
      </c>
      <c r="N241" s="990">
        <v>106007.56</v>
      </c>
      <c r="O241" s="990">
        <v>102522.24000000001</v>
      </c>
      <c r="P241" s="990">
        <v>109646.59</v>
      </c>
      <c r="Q241" s="990">
        <v>110213.68</v>
      </c>
      <c r="R241" s="990">
        <v>106674.87</v>
      </c>
      <c r="S241" s="990">
        <v>113306.82</v>
      </c>
      <c r="T241" s="990">
        <v>109324.41</v>
      </c>
      <c r="U241" s="990">
        <v>113177.47</v>
      </c>
      <c r="V241" s="990">
        <v>126275.15</v>
      </c>
      <c r="W241" s="990">
        <v>116498.6</v>
      </c>
      <c r="X241" s="990">
        <v>128339.69</v>
      </c>
      <c r="Y241" s="990">
        <v>127632.54</v>
      </c>
      <c r="Z241" s="990">
        <v>134139.19</v>
      </c>
      <c r="AA241" s="990">
        <v>130211.71</v>
      </c>
      <c r="AB241" s="990">
        <v>137461.23000000001</v>
      </c>
      <c r="AC241" s="990">
        <v>137423.70000000001</v>
      </c>
      <c r="AD241" s="990">
        <v>132827.21</v>
      </c>
      <c r="AE241" s="990">
        <v>139056.57</v>
      </c>
      <c r="AF241" s="990">
        <v>136768.60999999999</v>
      </c>
      <c r="AG241" s="990">
        <v>141834.32</v>
      </c>
      <c r="AH241" s="990">
        <v>144630.84</v>
      </c>
      <c r="AI241" s="990">
        <v>131532.78</v>
      </c>
      <c r="AJ241" s="990">
        <v>145250.20000000001</v>
      </c>
      <c r="AK241" s="990">
        <v>140473.9</v>
      </c>
      <c r="AL241" s="990">
        <v>144949.91</v>
      </c>
      <c r="AM241" s="990">
        <v>139674.72</v>
      </c>
      <c r="AN241" s="990">
        <v>143485.96</v>
      </c>
      <c r="AO241" s="990">
        <v>142172.15</v>
      </c>
      <c r="AP241" s="990">
        <v>135242.91</v>
      </c>
      <c r="AQ241" s="990">
        <v>136597.88</v>
      </c>
      <c r="AR241" s="990">
        <v>130120.9</v>
      </c>
      <c r="AS241" s="990">
        <v>131680.51</v>
      </c>
      <c r="AT241" s="990">
        <v>131192.51999999999</v>
      </c>
      <c r="AU241" s="990">
        <v>121622.35</v>
      </c>
      <c r="AV241" s="990">
        <v>129672.27</v>
      </c>
      <c r="AW241" s="990">
        <v>108161.63</v>
      </c>
      <c r="AX241" s="990">
        <v>113812.8</v>
      </c>
      <c r="AY241" s="990">
        <v>104438.18</v>
      </c>
      <c r="AZ241" s="990">
        <v>107919.46</v>
      </c>
      <c r="BA241" s="990">
        <v>107919.46</v>
      </c>
      <c r="BB241" s="990">
        <v>104438.18</v>
      </c>
      <c r="BC241" s="990">
        <v>107919.46</v>
      </c>
      <c r="BD241" s="990">
        <v>0</v>
      </c>
      <c r="BF241" s="978"/>
    </row>
    <row r="242" spans="1:58" ht="15" customHeight="1">
      <c r="A242" s="977" t="s">
        <v>1181</v>
      </c>
      <c r="B242" s="983" t="s">
        <v>791</v>
      </c>
      <c r="C242" s="984" t="s">
        <v>790</v>
      </c>
      <c r="D242" s="986">
        <v>99876.22</v>
      </c>
      <c r="E242" s="986">
        <v>96755.09</v>
      </c>
      <c r="F242" s="986">
        <v>93633.96</v>
      </c>
      <c r="G242" s="986">
        <v>97440.65</v>
      </c>
      <c r="H242" s="986">
        <v>94069.28</v>
      </c>
      <c r="I242" s="986">
        <v>97411.34</v>
      </c>
      <c r="J242" s="986">
        <v>97411.34</v>
      </c>
      <c r="K242" s="986">
        <v>94241.36</v>
      </c>
      <c r="L242" s="986">
        <v>101298.37</v>
      </c>
      <c r="M242" s="986">
        <v>100359.32</v>
      </c>
      <c r="N242" s="986">
        <v>106007.56</v>
      </c>
      <c r="O242" s="986">
        <v>102522.24000000001</v>
      </c>
      <c r="P242" s="986">
        <v>109646.59</v>
      </c>
      <c r="Q242" s="986">
        <v>110213.68</v>
      </c>
      <c r="R242" s="986">
        <v>106674.87</v>
      </c>
      <c r="S242" s="986">
        <v>113306.82</v>
      </c>
      <c r="T242" s="986">
        <v>109324.41</v>
      </c>
      <c r="U242" s="986">
        <v>113177.47</v>
      </c>
      <c r="V242" s="986">
        <v>126275.15</v>
      </c>
      <c r="W242" s="986">
        <v>116498.6</v>
      </c>
      <c r="X242" s="986">
        <v>128339.69</v>
      </c>
      <c r="Y242" s="986">
        <v>127632.54</v>
      </c>
      <c r="Z242" s="986">
        <v>134139.19</v>
      </c>
      <c r="AA242" s="986">
        <v>130211.71</v>
      </c>
      <c r="AB242" s="986">
        <v>137461.23000000001</v>
      </c>
      <c r="AC242" s="986">
        <v>137423.70000000001</v>
      </c>
      <c r="AD242" s="986">
        <v>132827.21</v>
      </c>
      <c r="AE242" s="986">
        <v>139056.57</v>
      </c>
      <c r="AF242" s="986">
        <v>136768.60999999999</v>
      </c>
      <c r="AG242" s="986">
        <v>141834.32</v>
      </c>
      <c r="AH242" s="986">
        <v>144630.84</v>
      </c>
      <c r="AI242" s="986">
        <v>131532.78</v>
      </c>
      <c r="AJ242" s="986">
        <v>145250.20000000001</v>
      </c>
      <c r="AK242" s="986">
        <v>140473.9</v>
      </c>
      <c r="AL242" s="986">
        <v>144949.91</v>
      </c>
      <c r="AM242" s="986">
        <v>139674.72</v>
      </c>
      <c r="AN242" s="986">
        <v>143485.96</v>
      </c>
      <c r="AO242" s="986">
        <v>142172.15</v>
      </c>
      <c r="AP242" s="986">
        <v>135242.91</v>
      </c>
      <c r="AQ242" s="986">
        <v>136597.88</v>
      </c>
      <c r="AR242" s="986">
        <v>130120.9</v>
      </c>
      <c r="AS242" s="986">
        <v>131680.51</v>
      </c>
      <c r="AT242" s="986">
        <v>131192.51999999999</v>
      </c>
      <c r="AU242" s="986">
        <v>121622.35</v>
      </c>
      <c r="AV242" s="986">
        <v>129672.27</v>
      </c>
      <c r="AW242" s="986">
        <v>108161.63</v>
      </c>
      <c r="AX242" s="986">
        <v>113812.8</v>
      </c>
      <c r="AY242" s="986">
        <v>104438.18</v>
      </c>
      <c r="AZ242" s="986">
        <v>107919.46</v>
      </c>
      <c r="BA242" s="986">
        <v>107919.46</v>
      </c>
      <c r="BB242" s="986">
        <v>104438.18</v>
      </c>
      <c r="BC242" s="986">
        <v>107919.46</v>
      </c>
      <c r="BD242" s="986">
        <v>0</v>
      </c>
      <c r="BF242" s="978"/>
    </row>
    <row r="243" spans="1:58" ht="15" customHeight="1">
      <c r="B243" s="983" t="s">
        <v>789</v>
      </c>
      <c r="C243" s="984" t="s">
        <v>788</v>
      </c>
      <c r="D243" s="989"/>
      <c r="E243" s="989"/>
      <c r="F243" s="989"/>
      <c r="G243" s="989"/>
      <c r="H243" s="989"/>
      <c r="I243" s="989"/>
      <c r="J243" s="989"/>
      <c r="K243" s="989"/>
      <c r="L243" s="989"/>
      <c r="M243" s="989"/>
      <c r="N243" s="989"/>
      <c r="O243" s="989"/>
      <c r="P243" s="989"/>
      <c r="Q243" s="989"/>
      <c r="R243" s="989"/>
      <c r="S243" s="989"/>
      <c r="T243" s="989"/>
      <c r="U243" s="989"/>
      <c r="V243" s="989"/>
      <c r="W243" s="989"/>
      <c r="X243" s="989"/>
      <c r="Y243" s="989"/>
      <c r="Z243" s="989"/>
      <c r="AA243" s="989"/>
      <c r="AB243" s="989"/>
      <c r="AC243" s="989"/>
      <c r="AD243" s="989"/>
      <c r="AE243" s="989"/>
      <c r="AF243" s="989"/>
      <c r="AG243" s="989"/>
      <c r="AH243" s="989"/>
      <c r="AI243" s="989"/>
      <c r="AJ243" s="989"/>
      <c r="AK243" s="989"/>
      <c r="AL243" s="989"/>
      <c r="AM243" s="989"/>
      <c r="AN243" s="989"/>
      <c r="AO243" s="989"/>
      <c r="AP243" s="989"/>
      <c r="AQ243" s="989"/>
      <c r="AR243" s="989"/>
      <c r="AS243" s="989"/>
      <c r="AT243" s="989"/>
      <c r="AU243" s="989"/>
      <c r="AV243" s="989"/>
      <c r="AW243" s="989"/>
      <c r="AX243" s="989"/>
      <c r="AY243" s="989"/>
      <c r="AZ243" s="989"/>
      <c r="BA243" s="989"/>
      <c r="BB243" s="989"/>
      <c r="BC243" s="989"/>
      <c r="BD243" s="989"/>
      <c r="BF243" s="978"/>
    </row>
    <row r="244" spans="1:58" ht="15" customHeight="1">
      <c r="B244" s="983" t="s">
        <v>787</v>
      </c>
      <c r="C244" s="984" t="s">
        <v>786</v>
      </c>
      <c r="D244" s="990">
        <v>11594.71</v>
      </c>
      <c r="E244" s="990">
        <v>11594.71</v>
      </c>
      <c r="F244" s="990">
        <v>11374.83</v>
      </c>
      <c r="G244" s="990">
        <v>11521.41</v>
      </c>
      <c r="H244" s="990">
        <v>11521.41</v>
      </c>
      <c r="I244" s="990">
        <v>495420.85</v>
      </c>
      <c r="J244" s="990">
        <v>0</v>
      </c>
      <c r="K244" s="990">
        <v>0</v>
      </c>
      <c r="L244" s="990">
        <v>0</v>
      </c>
      <c r="M244" s="990">
        <v>0</v>
      </c>
      <c r="N244" s="990">
        <v>0</v>
      </c>
      <c r="O244" s="990">
        <v>0</v>
      </c>
      <c r="P244" s="990">
        <v>0</v>
      </c>
      <c r="Q244" s="990">
        <v>0</v>
      </c>
      <c r="R244" s="990">
        <v>0</v>
      </c>
      <c r="S244" s="990">
        <v>0</v>
      </c>
      <c r="T244" s="990">
        <v>0</v>
      </c>
      <c r="U244" s="990">
        <v>0</v>
      </c>
      <c r="V244" s="990">
        <v>0</v>
      </c>
      <c r="W244" s="990">
        <v>0</v>
      </c>
      <c r="X244" s="990">
        <v>0</v>
      </c>
      <c r="Y244" s="990">
        <v>0</v>
      </c>
      <c r="Z244" s="990">
        <v>375</v>
      </c>
      <c r="AA244" s="990">
        <v>0</v>
      </c>
      <c r="AB244" s="990">
        <v>0</v>
      </c>
      <c r="AC244" s="990">
        <v>0</v>
      </c>
      <c r="AD244" s="990">
        <v>0</v>
      </c>
      <c r="AE244" s="990">
        <v>0</v>
      </c>
      <c r="AF244" s="990">
        <v>0</v>
      </c>
      <c r="AG244" s="990">
        <v>0</v>
      </c>
      <c r="AH244" s="990">
        <v>0</v>
      </c>
      <c r="AI244" s="990">
        <v>0</v>
      </c>
      <c r="AJ244" s="990">
        <v>0</v>
      </c>
      <c r="AK244" s="990">
        <v>0</v>
      </c>
      <c r="AL244" s="990">
        <v>0</v>
      </c>
      <c r="AM244" s="990">
        <v>0</v>
      </c>
      <c r="AN244" s="990">
        <v>0</v>
      </c>
      <c r="AO244" s="990">
        <v>0</v>
      </c>
      <c r="AP244" s="990">
        <v>0</v>
      </c>
      <c r="AQ244" s="990">
        <v>0</v>
      </c>
      <c r="AR244" s="990">
        <v>0</v>
      </c>
      <c r="AS244" s="990">
        <v>0</v>
      </c>
      <c r="AT244" s="990">
        <v>0</v>
      </c>
      <c r="AU244" s="990">
        <v>0</v>
      </c>
      <c r="AV244" s="990">
        <v>0</v>
      </c>
      <c r="AW244" s="990">
        <v>3360</v>
      </c>
      <c r="AX244" s="990">
        <v>18987.5</v>
      </c>
      <c r="AY244" s="990">
        <v>112979</v>
      </c>
      <c r="AZ244" s="990">
        <v>-108979</v>
      </c>
      <c r="BA244" s="990">
        <v>65800</v>
      </c>
      <c r="BB244" s="990">
        <v>0</v>
      </c>
      <c r="BC244" s="990">
        <v>0</v>
      </c>
      <c r="BD244" s="990">
        <v>0</v>
      </c>
      <c r="BF244" s="978"/>
    </row>
    <row r="245" spans="1:58" ht="15" customHeight="1">
      <c r="A245" s="977" t="s">
        <v>1180</v>
      </c>
      <c r="B245" s="983" t="s">
        <v>785</v>
      </c>
      <c r="C245" s="984" t="s">
        <v>784</v>
      </c>
      <c r="D245" s="986">
        <v>11594.71</v>
      </c>
      <c r="E245" s="986">
        <v>11594.71</v>
      </c>
      <c r="F245" s="986">
        <v>11374.83</v>
      </c>
      <c r="G245" s="986">
        <v>11521.41</v>
      </c>
      <c r="H245" s="986">
        <v>11521.41</v>
      </c>
      <c r="I245" s="986">
        <v>495420.85</v>
      </c>
      <c r="J245" s="986">
        <v>0</v>
      </c>
      <c r="K245" s="986">
        <v>0</v>
      </c>
      <c r="L245" s="986">
        <v>0</v>
      </c>
      <c r="M245" s="986">
        <v>0</v>
      </c>
      <c r="N245" s="986">
        <v>0</v>
      </c>
      <c r="O245" s="986">
        <v>0</v>
      </c>
      <c r="P245" s="986">
        <v>0</v>
      </c>
      <c r="Q245" s="986">
        <v>0</v>
      </c>
      <c r="R245" s="986">
        <v>0</v>
      </c>
      <c r="S245" s="986">
        <v>0</v>
      </c>
      <c r="T245" s="986">
        <v>0</v>
      </c>
      <c r="U245" s="986">
        <v>0</v>
      </c>
      <c r="V245" s="986">
        <v>0</v>
      </c>
      <c r="W245" s="986">
        <v>0</v>
      </c>
      <c r="X245" s="986">
        <v>0</v>
      </c>
      <c r="Y245" s="986">
        <v>0</v>
      </c>
      <c r="Z245" s="986">
        <v>375</v>
      </c>
      <c r="AA245" s="986">
        <v>0</v>
      </c>
      <c r="AB245" s="986">
        <v>0</v>
      </c>
      <c r="AC245" s="986">
        <v>0</v>
      </c>
      <c r="AD245" s="986">
        <v>0</v>
      </c>
      <c r="AE245" s="986">
        <v>0</v>
      </c>
      <c r="AF245" s="986">
        <v>0</v>
      </c>
      <c r="AG245" s="986">
        <v>0</v>
      </c>
      <c r="AH245" s="986">
        <v>0</v>
      </c>
      <c r="AI245" s="986">
        <v>0</v>
      </c>
      <c r="AJ245" s="986">
        <v>0</v>
      </c>
      <c r="AK245" s="986">
        <v>0</v>
      </c>
      <c r="AL245" s="986">
        <v>0</v>
      </c>
      <c r="AM245" s="986">
        <v>0</v>
      </c>
      <c r="AN245" s="986">
        <v>0</v>
      </c>
      <c r="AO245" s="986">
        <v>0</v>
      </c>
      <c r="AP245" s="986">
        <v>0</v>
      </c>
      <c r="AQ245" s="986">
        <v>0</v>
      </c>
      <c r="AR245" s="986">
        <v>0</v>
      </c>
      <c r="AS245" s="986">
        <v>0</v>
      </c>
      <c r="AT245" s="986">
        <v>0</v>
      </c>
      <c r="AU245" s="986">
        <v>0</v>
      </c>
      <c r="AV245" s="986">
        <v>0</v>
      </c>
      <c r="AW245" s="986">
        <v>3360</v>
      </c>
      <c r="AX245" s="986">
        <v>18987.5</v>
      </c>
      <c r="AY245" s="986">
        <v>112979</v>
      </c>
      <c r="AZ245" s="986">
        <v>-108979</v>
      </c>
      <c r="BA245" s="986">
        <v>65800</v>
      </c>
      <c r="BB245" s="986">
        <v>0</v>
      </c>
      <c r="BC245" s="986">
        <v>0</v>
      </c>
      <c r="BD245" s="986">
        <v>0</v>
      </c>
      <c r="BF245" s="978"/>
    </row>
    <row r="246" spans="1:58" ht="15" customHeight="1">
      <c r="B246" s="983" t="s">
        <v>1179</v>
      </c>
      <c r="C246" s="984" t="s">
        <v>1178</v>
      </c>
      <c r="D246" s="989"/>
      <c r="E246" s="989"/>
      <c r="F246" s="989"/>
      <c r="G246" s="989"/>
      <c r="H246" s="989"/>
      <c r="I246" s="989"/>
      <c r="J246" s="989"/>
      <c r="K246" s="989"/>
      <c r="L246" s="989"/>
      <c r="M246" s="989"/>
      <c r="N246" s="989"/>
      <c r="O246" s="989"/>
      <c r="P246" s="989"/>
      <c r="Q246" s="989"/>
      <c r="R246" s="989"/>
      <c r="S246" s="989"/>
      <c r="T246" s="989"/>
      <c r="U246" s="989"/>
      <c r="V246" s="989"/>
      <c r="W246" s="989"/>
      <c r="X246" s="989"/>
      <c r="Y246" s="989"/>
      <c r="Z246" s="989"/>
      <c r="AA246" s="989"/>
      <c r="AB246" s="989"/>
      <c r="AC246" s="989"/>
      <c r="AD246" s="989"/>
      <c r="AE246" s="989"/>
      <c r="AF246" s="989"/>
      <c r="AG246" s="989"/>
      <c r="AH246" s="989"/>
      <c r="AI246" s="989"/>
      <c r="AJ246" s="989"/>
      <c r="AK246" s="989"/>
      <c r="AL246" s="989"/>
      <c r="AM246" s="989"/>
      <c r="AN246" s="989"/>
      <c r="AO246" s="989"/>
      <c r="AP246" s="989"/>
      <c r="AQ246" s="989"/>
      <c r="AR246" s="989"/>
      <c r="AS246" s="989"/>
      <c r="AT246" s="989"/>
      <c r="AU246" s="989"/>
      <c r="AV246" s="989"/>
      <c r="AW246" s="989"/>
      <c r="AX246" s="989"/>
      <c r="AY246" s="989"/>
      <c r="AZ246" s="989"/>
      <c r="BA246" s="989"/>
      <c r="BB246" s="989"/>
      <c r="BC246" s="989"/>
      <c r="BD246" s="989"/>
      <c r="BF246" s="978"/>
    </row>
    <row r="247" spans="1:58" ht="15" customHeight="1">
      <c r="B247" s="983" t="s">
        <v>1177</v>
      </c>
      <c r="C247" s="984" t="s">
        <v>1176</v>
      </c>
      <c r="D247" s="990">
        <v>0</v>
      </c>
      <c r="E247" s="990">
        <v>0</v>
      </c>
      <c r="F247" s="990">
        <v>0</v>
      </c>
      <c r="G247" s="990">
        <v>0</v>
      </c>
      <c r="H247" s="990">
        <v>0</v>
      </c>
      <c r="I247" s="990">
        <v>0</v>
      </c>
      <c r="J247" s="990">
        <v>0</v>
      </c>
      <c r="K247" s="990">
        <v>0</v>
      </c>
      <c r="L247" s="990">
        <v>0</v>
      </c>
      <c r="M247" s="990">
        <v>0</v>
      </c>
      <c r="N247" s="990">
        <v>0</v>
      </c>
      <c r="O247" s="990">
        <v>0</v>
      </c>
      <c r="P247" s="990">
        <v>0</v>
      </c>
      <c r="Q247" s="990">
        <v>0</v>
      </c>
      <c r="R247" s="990">
        <v>150</v>
      </c>
      <c r="S247" s="990">
        <v>0</v>
      </c>
      <c r="T247" s="990">
        <v>0</v>
      </c>
      <c r="U247" s="990">
        <v>0</v>
      </c>
      <c r="V247" s="990">
        <v>0</v>
      </c>
      <c r="W247" s="990">
        <v>0</v>
      </c>
      <c r="X247" s="990">
        <v>0</v>
      </c>
      <c r="Y247" s="990">
        <v>0</v>
      </c>
      <c r="Z247" s="990">
        <v>150</v>
      </c>
      <c r="AA247" s="990">
        <v>0</v>
      </c>
      <c r="AB247" s="990">
        <v>0</v>
      </c>
      <c r="AC247" s="990">
        <v>0</v>
      </c>
      <c r="AD247" s="990">
        <v>0</v>
      </c>
      <c r="AE247" s="990">
        <v>0</v>
      </c>
      <c r="AF247" s="990">
        <v>0</v>
      </c>
      <c r="AG247" s="990">
        <v>0</v>
      </c>
      <c r="AH247" s="990">
        <v>0</v>
      </c>
      <c r="AI247" s="990">
        <v>0</v>
      </c>
      <c r="AJ247" s="990">
        <v>0</v>
      </c>
      <c r="AK247" s="990">
        <v>0</v>
      </c>
      <c r="AL247" s="990">
        <v>0</v>
      </c>
      <c r="AM247" s="990">
        <v>0</v>
      </c>
      <c r="AN247" s="990">
        <v>0</v>
      </c>
      <c r="AO247" s="990">
        <v>0</v>
      </c>
      <c r="AP247" s="990">
        <v>0</v>
      </c>
      <c r="AQ247" s="990">
        <v>0</v>
      </c>
      <c r="AR247" s="990">
        <v>0</v>
      </c>
      <c r="AS247" s="990">
        <v>0</v>
      </c>
      <c r="AT247" s="990">
        <v>0</v>
      </c>
      <c r="AU247" s="990">
        <v>0</v>
      </c>
      <c r="AV247" s="990">
        <v>0</v>
      </c>
      <c r="AW247" s="990">
        <v>0</v>
      </c>
      <c r="AX247" s="990">
        <v>0</v>
      </c>
      <c r="AY247" s="990">
        <v>0</v>
      </c>
      <c r="AZ247" s="990">
        <v>0</v>
      </c>
      <c r="BA247" s="990">
        <v>0</v>
      </c>
      <c r="BB247" s="990">
        <v>0</v>
      </c>
      <c r="BC247" s="990">
        <v>0</v>
      </c>
      <c r="BD247" s="990">
        <v>0</v>
      </c>
      <c r="BF247" s="978"/>
    </row>
    <row r="248" spans="1:58" ht="15" customHeight="1">
      <c r="B248" s="983" t="s">
        <v>1175</v>
      </c>
      <c r="C248" s="984" t="s">
        <v>1174</v>
      </c>
      <c r="D248" s="986">
        <v>0</v>
      </c>
      <c r="E248" s="986">
        <v>0</v>
      </c>
      <c r="F248" s="986">
        <v>0</v>
      </c>
      <c r="G248" s="986">
        <v>0</v>
      </c>
      <c r="H248" s="986">
        <v>0</v>
      </c>
      <c r="I248" s="986">
        <v>0</v>
      </c>
      <c r="J248" s="986">
        <v>0</v>
      </c>
      <c r="K248" s="986">
        <v>0</v>
      </c>
      <c r="L248" s="986">
        <v>0</v>
      </c>
      <c r="M248" s="986">
        <v>0</v>
      </c>
      <c r="N248" s="986">
        <v>0</v>
      </c>
      <c r="O248" s="986">
        <v>0</v>
      </c>
      <c r="P248" s="986">
        <v>0</v>
      </c>
      <c r="Q248" s="986">
        <v>0</v>
      </c>
      <c r="R248" s="986">
        <v>150</v>
      </c>
      <c r="S248" s="986">
        <v>0</v>
      </c>
      <c r="T248" s="986">
        <v>0</v>
      </c>
      <c r="U248" s="986">
        <v>0</v>
      </c>
      <c r="V248" s="986">
        <v>0</v>
      </c>
      <c r="W248" s="986">
        <v>0</v>
      </c>
      <c r="X248" s="986">
        <v>0</v>
      </c>
      <c r="Y248" s="986">
        <v>0</v>
      </c>
      <c r="Z248" s="986">
        <v>150</v>
      </c>
      <c r="AA248" s="986">
        <v>0</v>
      </c>
      <c r="AB248" s="986">
        <v>0</v>
      </c>
      <c r="AC248" s="986">
        <v>0</v>
      </c>
      <c r="AD248" s="986">
        <v>0</v>
      </c>
      <c r="AE248" s="986">
        <v>0</v>
      </c>
      <c r="AF248" s="986">
        <v>0</v>
      </c>
      <c r="AG248" s="986">
        <v>0</v>
      </c>
      <c r="AH248" s="986">
        <v>0</v>
      </c>
      <c r="AI248" s="986">
        <v>0</v>
      </c>
      <c r="AJ248" s="986">
        <v>0</v>
      </c>
      <c r="AK248" s="986">
        <v>0</v>
      </c>
      <c r="AL248" s="986">
        <v>0</v>
      </c>
      <c r="AM248" s="986">
        <v>0</v>
      </c>
      <c r="AN248" s="986">
        <v>0</v>
      </c>
      <c r="AO248" s="986">
        <v>0</v>
      </c>
      <c r="AP248" s="986">
        <v>0</v>
      </c>
      <c r="AQ248" s="986">
        <v>0</v>
      </c>
      <c r="AR248" s="986">
        <v>0</v>
      </c>
      <c r="AS248" s="986">
        <v>0</v>
      </c>
      <c r="AT248" s="986">
        <v>0</v>
      </c>
      <c r="AU248" s="986">
        <v>0</v>
      </c>
      <c r="AV248" s="986">
        <v>0</v>
      </c>
      <c r="AW248" s="986">
        <v>0</v>
      </c>
      <c r="AX248" s="986">
        <v>0</v>
      </c>
      <c r="AY248" s="986">
        <v>0</v>
      </c>
      <c r="AZ248" s="986">
        <v>0</v>
      </c>
      <c r="BA248" s="986">
        <v>0</v>
      </c>
      <c r="BB248" s="986">
        <v>0</v>
      </c>
      <c r="BC248" s="986">
        <v>0</v>
      </c>
      <c r="BD248" s="986">
        <v>0</v>
      </c>
      <c r="BF248" s="978"/>
    </row>
    <row r="249" spans="1:58" ht="15" customHeight="1">
      <c r="B249" s="983" t="s">
        <v>783</v>
      </c>
      <c r="C249" s="984" t="s">
        <v>782</v>
      </c>
      <c r="D249" s="986">
        <v>111470.93</v>
      </c>
      <c r="E249" s="986">
        <v>108349.8</v>
      </c>
      <c r="F249" s="986">
        <v>105008.79</v>
      </c>
      <c r="G249" s="986">
        <v>108962.06</v>
      </c>
      <c r="H249" s="986">
        <v>105590.69</v>
      </c>
      <c r="I249" s="986">
        <v>592832.18999999994</v>
      </c>
      <c r="J249" s="986">
        <v>97411.34</v>
      </c>
      <c r="K249" s="986">
        <v>94241.36</v>
      </c>
      <c r="L249" s="986">
        <v>101298.37</v>
      </c>
      <c r="M249" s="986">
        <v>100359.32</v>
      </c>
      <c r="N249" s="986">
        <v>106007.56</v>
      </c>
      <c r="O249" s="986">
        <v>102522.24000000001</v>
      </c>
      <c r="P249" s="986">
        <v>109646.59</v>
      </c>
      <c r="Q249" s="986">
        <v>110213.68</v>
      </c>
      <c r="R249" s="986">
        <v>106824.87</v>
      </c>
      <c r="S249" s="986">
        <v>113306.82</v>
      </c>
      <c r="T249" s="986">
        <v>109324.41</v>
      </c>
      <c r="U249" s="986">
        <v>113177.47</v>
      </c>
      <c r="V249" s="986">
        <v>126275.15</v>
      </c>
      <c r="W249" s="986">
        <v>116498.6</v>
      </c>
      <c r="X249" s="986">
        <v>128339.69</v>
      </c>
      <c r="Y249" s="986">
        <v>127632.54</v>
      </c>
      <c r="Z249" s="986">
        <v>134664.19</v>
      </c>
      <c r="AA249" s="986">
        <v>130211.71</v>
      </c>
      <c r="AB249" s="986">
        <v>137461.23000000001</v>
      </c>
      <c r="AC249" s="986">
        <v>137423.70000000001</v>
      </c>
      <c r="AD249" s="986">
        <v>132827.21</v>
      </c>
      <c r="AE249" s="986">
        <v>139056.57</v>
      </c>
      <c r="AF249" s="986">
        <v>136768.60999999999</v>
      </c>
      <c r="AG249" s="986">
        <v>141834.32</v>
      </c>
      <c r="AH249" s="986">
        <v>144630.84</v>
      </c>
      <c r="AI249" s="986">
        <v>131532.78</v>
      </c>
      <c r="AJ249" s="986">
        <v>145250.20000000001</v>
      </c>
      <c r="AK249" s="986">
        <v>140473.9</v>
      </c>
      <c r="AL249" s="986">
        <v>144949.91</v>
      </c>
      <c r="AM249" s="986">
        <v>139674.72</v>
      </c>
      <c r="AN249" s="986">
        <v>143485.96</v>
      </c>
      <c r="AO249" s="986">
        <v>142172.15</v>
      </c>
      <c r="AP249" s="986">
        <v>135242.91</v>
      </c>
      <c r="AQ249" s="986">
        <v>136597.88</v>
      </c>
      <c r="AR249" s="986">
        <v>130120.9</v>
      </c>
      <c r="AS249" s="986">
        <v>131680.51</v>
      </c>
      <c r="AT249" s="986">
        <v>131192.51999999999</v>
      </c>
      <c r="AU249" s="986">
        <v>121622.35</v>
      </c>
      <c r="AV249" s="986">
        <v>129672.27</v>
      </c>
      <c r="AW249" s="986">
        <v>111521.63</v>
      </c>
      <c r="AX249" s="986">
        <v>132800.29999999999</v>
      </c>
      <c r="AY249" s="986">
        <v>217417.18</v>
      </c>
      <c r="AZ249" s="986">
        <v>-1059.54</v>
      </c>
      <c r="BA249" s="986">
        <v>173719.46</v>
      </c>
      <c r="BB249" s="986">
        <v>104438.18</v>
      </c>
      <c r="BC249" s="986">
        <v>107919.46</v>
      </c>
      <c r="BD249" s="986">
        <v>0</v>
      </c>
      <c r="BF249" s="978"/>
    </row>
    <row r="250" spans="1:58" ht="15" customHeight="1">
      <c r="B250" s="983" t="s">
        <v>781</v>
      </c>
      <c r="C250" s="984" t="s">
        <v>780</v>
      </c>
      <c r="D250" s="989"/>
      <c r="E250" s="989"/>
      <c r="F250" s="989"/>
      <c r="G250" s="989"/>
      <c r="H250" s="989"/>
      <c r="I250" s="989"/>
      <c r="J250" s="989"/>
      <c r="K250" s="989"/>
      <c r="L250" s="989"/>
      <c r="M250" s="989"/>
      <c r="N250" s="989"/>
      <c r="O250" s="989"/>
      <c r="P250" s="989"/>
      <c r="Q250" s="989"/>
      <c r="R250" s="989"/>
      <c r="S250" s="989"/>
      <c r="T250" s="989"/>
      <c r="U250" s="989"/>
      <c r="V250" s="989"/>
      <c r="W250" s="989"/>
      <c r="X250" s="989"/>
      <c r="Y250" s="989"/>
      <c r="Z250" s="989"/>
      <c r="AA250" s="989"/>
      <c r="AB250" s="989"/>
      <c r="AC250" s="989"/>
      <c r="AD250" s="989"/>
      <c r="AE250" s="989"/>
      <c r="AF250" s="989"/>
      <c r="AG250" s="989"/>
      <c r="AH250" s="989"/>
      <c r="AI250" s="989"/>
      <c r="AJ250" s="989"/>
      <c r="AK250" s="989"/>
      <c r="AL250" s="989"/>
      <c r="AM250" s="989"/>
      <c r="AN250" s="989"/>
      <c r="AO250" s="989"/>
      <c r="AP250" s="989"/>
      <c r="AQ250" s="989"/>
      <c r="AR250" s="989"/>
      <c r="AS250" s="989"/>
      <c r="AT250" s="989"/>
      <c r="AU250" s="989"/>
      <c r="AV250" s="989"/>
      <c r="AW250" s="989"/>
      <c r="AX250" s="989"/>
      <c r="AY250" s="989"/>
      <c r="AZ250" s="989"/>
      <c r="BA250" s="989"/>
      <c r="BB250" s="989"/>
      <c r="BC250" s="989"/>
      <c r="BD250" s="989"/>
      <c r="BF250" s="978"/>
    </row>
    <row r="251" spans="1:58" ht="15" customHeight="1">
      <c r="B251" s="983" t="s">
        <v>779</v>
      </c>
      <c r="C251" s="984" t="s">
        <v>778</v>
      </c>
      <c r="D251" s="989"/>
      <c r="E251" s="989"/>
      <c r="F251" s="989"/>
      <c r="G251" s="989"/>
      <c r="H251" s="989"/>
      <c r="I251" s="989"/>
      <c r="J251" s="989"/>
      <c r="K251" s="989"/>
      <c r="L251" s="989"/>
      <c r="M251" s="989"/>
      <c r="N251" s="989"/>
      <c r="O251" s="989"/>
      <c r="P251" s="989"/>
      <c r="Q251" s="989"/>
      <c r="R251" s="989"/>
      <c r="S251" s="989"/>
      <c r="T251" s="989"/>
      <c r="U251" s="989"/>
      <c r="V251" s="989"/>
      <c r="W251" s="989"/>
      <c r="X251" s="989"/>
      <c r="Y251" s="989"/>
      <c r="Z251" s="989"/>
      <c r="AA251" s="989"/>
      <c r="AB251" s="989"/>
      <c r="AC251" s="989"/>
      <c r="AD251" s="989"/>
      <c r="AE251" s="989"/>
      <c r="AF251" s="989"/>
      <c r="AG251" s="989"/>
      <c r="AH251" s="989"/>
      <c r="AI251" s="989"/>
      <c r="AJ251" s="989"/>
      <c r="AK251" s="989"/>
      <c r="AL251" s="989"/>
      <c r="AM251" s="989"/>
      <c r="AN251" s="989"/>
      <c r="AO251" s="989"/>
      <c r="AP251" s="989"/>
      <c r="AQ251" s="989"/>
      <c r="AR251" s="989"/>
      <c r="AS251" s="989"/>
      <c r="AT251" s="989"/>
      <c r="AU251" s="989"/>
      <c r="AV251" s="989"/>
      <c r="AW251" s="989"/>
      <c r="AX251" s="989"/>
      <c r="AY251" s="989"/>
      <c r="AZ251" s="989"/>
      <c r="BA251" s="989"/>
      <c r="BB251" s="989"/>
      <c r="BC251" s="989"/>
      <c r="BD251" s="989"/>
      <c r="BF251" s="978"/>
    </row>
    <row r="252" spans="1:58" ht="15" customHeight="1">
      <c r="B252" s="983" t="s">
        <v>777</v>
      </c>
      <c r="C252" s="984" t="s">
        <v>776</v>
      </c>
      <c r="D252" s="990">
        <v>-58.34</v>
      </c>
      <c r="E252" s="990">
        <v>10317.540000000001</v>
      </c>
      <c r="F252" s="990">
        <v>122.59</v>
      </c>
      <c r="G252" s="990">
        <v>36.42</v>
      </c>
      <c r="H252" s="990">
        <v>-266.88</v>
      </c>
      <c r="I252" s="990">
        <v>-163.92</v>
      </c>
      <c r="J252" s="990">
        <v>302.93</v>
      </c>
      <c r="K252" s="990">
        <v>76.680000000000007</v>
      </c>
      <c r="L252" s="990">
        <v>48.88</v>
      </c>
      <c r="M252" s="990">
        <v>27.96</v>
      </c>
      <c r="N252" s="990">
        <v>1.76</v>
      </c>
      <c r="O252" s="990">
        <v>3.25</v>
      </c>
      <c r="P252" s="990">
        <v>0.88</v>
      </c>
      <c r="Q252" s="990">
        <v>0.24</v>
      </c>
      <c r="R252" s="990">
        <v>0</v>
      </c>
      <c r="S252" s="990">
        <v>-0.06</v>
      </c>
      <c r="T252" s="990">
        <v>7.0000000000000007E-2</v>
      </c>
      <c r="U252" s="990">
        <v>0</v>
      </c>
      <c r="V252" s="990">
        <v>0</v>
      </c>
      <c r="W252" s="990">
        <v>0</v>
      </c>
      <c r="X252" s="990">
        <v>0</v>
      </c>
      <c r="Y252" s="990">
        <v>0</v>
      </c>
      <c r="Z252" s="990">
        <v>0</v>
      </c>
      <c r="AA252" s="990">
        <v>0</v>
      </c>
      <c r="AB252" s="990">
        <v>0</v>
      </c>
      <c r="AC252" s="990">
        <v>0</v>
      </c>
      <c r="AD252" s="990">
        <v>14307.41</v>
      </c>
      <c r="AE252" s="990">
        <v>-11031.92</v>
      </c>
      <c r="AF252" s="990">
        <v>25779.11</v>
      </c>
      <c r="AG252" s="990">
        <v>19698.259999999998</v>
      </c>
      <c r="AH252" s="990">
        <v>7603.3</v>
      </c>
      <c r="AI252" s="990">
        <v>558.45000000000005</v>
      </c>
      <c r="AJ252" s="990">
        <v>1010.43</v>
      </c>
      <c r="AK252" s="990">
        <v>710.14</v>
      </c>
      <c r="AL252" s="990">
        <v>2.54</v>
      </c>
      <c r="AM252" s="990">
        <v>310.67</v>
      </c>
      <c r="AN252" s="990">
        <v>35.75</v>
      </c>
      <c r="AO252" s="990">
        <v>-3.38</v>
      </c>
      <c r="AP252" s="990">
        <v>15.49</v>
      </c>
      <c r="AQ252" s="990">
        <v>3.68</v>
      </c>
      <c r="AR252" s="990">
        <v>0</v>
      </c>
      <c r="AS252" s="990">
        <v>7.0000000000000007E-2</v>
      </c>
      <c r="AT252" s="990">
        <v>-0.05</v>
      </c>
      <c r="AU252" s="990">
        <v>0.05</v>
      </c>
      <c r="AV252" s="990">
        <v>-0.9</v>
      </c>
      <c r="AW252" s="990">
        <v>0.9</v>
      </c>
      <c r="AX252" s="990">
        <v>0</v>
      </c>
      <c r="AY252" s="990">
        <v>5734.8</v>
      </c>
      <c r="AZ252" s="990">
        <v>1226.6099999999999</v>
      </c>
      <c r="BA252" s="990">
        <v>27.05</v>
      </c>
      <c r="BB252" s="990">
        <v>8</v>
      </c>
      <c r="BC252" s="990">
        <v>2.71</v>
      </c>
      <c r="BD252" s="990">
        <v>0</v>
      </c>
      <c r="BF252" s="978"/>
    </row>
    <row r="253" spans="1:58" ht="15" customHeight="1">
      <c r="B253" s="983" t="s">
        <v>1173</v>
      </c>
      <c r="C253" s="984" t="s">
        <v>1172</v>
      </c>
      <c r="D253" s="988">
        <v>0</v>
      </c>
      <c r="E253" s="988">
        <v>0</v>
      </c>
      <c r="F253" s="988">
        <v>0</v>
      </c>
      <c r="G253" s="988">
        <v>0</v>
      </c>
      <c r="H253" s="988">
        <v>0</v>
      </c>
      <c r="I253" s="988">
        <v>0</v>
      </c>
      <c r="J253" s="988">
        <v>0</v>
      </c>
      <c r="K253" s="988">
        <v>0</v>
      </c>
      <c r="L253" s="988">
        <v>0</v>
      </c>
      <c r="M253" s="988">
        <v>0</v>
      </c>
      <c r="N253" s="988">
        <v>0</v>
      </c>
      <c r="O253" s="988">
        <v>0</v>
      </c>
      <c r="P253" s="988">
        <v>0</v>
      </c>
      <c r="Q253" s="988">
        <v>0</v>
      </c>
      <c r="R253" s="988">
        <v>0</v>
      </c>
      <c r="S253" s="988">
        <v>0</v>
      </c>
      <c r="T253" s="988">
        <v>0</v>
      </c>
      <c r="U253" s="988">
        <v>0</v>
      </c>
      <c r="V253" s="988">
        <v>0</v>
      </c>
      <c r="W253" s="988">
        <v>0</v>
      </c>
      <c r="X253" s="988">
        <v>0</v>
      </c>
      <c r="Y253" s="988">
        <v>0</v>
      </c>
      <c r="Z253" s="988">
        <v>0</v>
      </c>
      <c r="AA253" s="988">
        <v>0</v>
      </c>
      <c r="AB253" s="988">
        <v>0</v>
      </c>
      <c r="AC253" s="988">
        <v>0</v>
      </c>
      <c r="AD253" s="988">
        <v>0</v>
      </c>
      <c r="AE253" s="988">
        <v>0</v>
      </c>
      <c r="AF253" s="988">
        <v>0</v>
      </c>
      <c r="AG253" s="988">
        <v>0</v>
      </c>
      <c r="AH253" s="988">
        <v>0</v>
      </c>
      <c r="AI253" s="988">
        <v>0</v>
      </c>
      <c r="AJ253" s="988">
        <v>0</v>
      </c>
      <c r="AK253" s="988">
        <v>0</v>
      </c>
      <c r="AL253" s="988">
        <v>0</v>
      </c>
      <c r="AM253" s="988">
        <v>0</v>
      </c>
      <c r="AN253" s="988">
        <v>0</v>
      </c>
      <c r="AO253" s="988">
        <v>0</v>
      </c>
      <c r="AP253" s="988">
        <v>0</v>
      </c>
      <c r="AQ253" s="988">
        <v>0</v>
      </c>
      <c r="AR253" s="988">
        <v>0</v>
      </c>
      <c r="AS253" s="988">
        <v>0</v>
      </c>
      <c r="AT253" s="988">
        <v>0</v>
      </c>
      <c r="AU253" s="988">
        <v>0</v>
      </c>
      <c r="AV253" s="988">
        <v>0</v>
      </c>
      <c r="AW253" s="988">
        <v>0</v>
      </c>
      <c r="AX253" s="988">
        <v>0</v>
      </c>
      <c r="AY253" s="988">
        <v>0</v>
      </c>
      <c r="AZ253" s="988">
        <v>0</v>
      </c>
      <c r="BA253" s="988">
        <v>0</v>
      </c>
      <c r="BB253" s="988">
        <v>0</v>
      </c>
      <c r="BC253" s="988">
        <v>0</v>
      </c>
      <c r="BD253" s="988">
        <v>0</v>
      </c>
      <c r="BF253" s="978"/>
    </row>
    <row r="254" spans="1:58" ht="15" customHeight="1">
      <c r="B254" s="983" t="s">
        <v>775</v>
      </c>
      <c r="C254" s="984" t="s">
        <v>774</v>
      </c>
      <c r="D254" s="987">
        <v>-58.34</v>
      </c>
      <c r="E254" s="987">
        <v>10317.540000000001</v>
      </c>
      <c r="F254" s="987">
        <v>122.59</v>
      </c>
      <c r="G254" s="987">
        <v>36.42</v>
      </c>
      <c r="H254" s="987">
        <v>-266.88</v>
      </c>
      <c r="I254" s="987">
        <v>-163.92</v>
      </c>
      <c r="J254" s="987">
        <v>302.93</v>
      </c>
      <c r="K254" s="987">
        <v>76.680000000000007</v>
      </c>
      <c r="L254" s="987">
        <v>48.88</v>
      </c>
      <c r="M254" s="987">
        <v>27.96</v>
      </c>
      <c r="N254" s="987">
        <v>1.76</v>
      </c>
      <c r="O254" s="987">
        <v>3.25</v>
      </c>
      <c r="P254" s="987">
        <v>0.88</v>
      </c>
      <c r="Q254" s="987">
        <v>0.24</v>
      </c>
      <c r="R254" s="987">
        <v>0</v>
      </c>
      <c r="S254" s="987">
        <v>-0.06</v>
      </c>
      <c r="T254" s="987">
        <v>7.0000000000000007E-2</v>
      </c>
      <c r="U254" s="987">
        <v>0</v>
      </c>
      <c r="V254" s="987">
        <v>0</v>
      </c>
      <c r="W254" s="987">
        <v>0</v>
      </c>
      <c r="X254" s="987">
        <v>0</v>
      </c>
      <c r="Y254" s="987">
        <v>0</v>
      </c>
      <c r="Z254" s="987">
        <v>0</v>
      </c>
      <c r="AA254" s="987">
        <v>0</v>
      </c>
      <c r="AB254" s="987">
        <v>0</v>
      </c>
      <c r="AC254" s="987">
        <v>0</v>
      </c>
      <c r="AD254" s="987">
        <v>14307.41</v>
      </c>
      <c r="AE254" s="987">
        <v>-11031.92</v>
      </c>
      <c r="AF254" s="987">
        <v>25779.11</v>
      </c>
      <c r="AG254" s="987">
        <v>19698.259999999998</v>
      </c>
      <c r="AH254" s="987">
        <v>7603.3</v>
      </c>
      <c r="AI254" s="987">
        <v>558.45000000000005</v>
      </c>
      <c r="AJ254" s="987">
        <v>1010.43</v>
      </c>
      <c r="AK254" s="987">
        <v>710.14</v>
      </c>
      <c r="AL254" s="987">
        <v>2.54</v>
      </c>
      <c r="AM254" s="987">
        <v>310.67</v>
      </c>
      <c r="AN254" s="987">
        <v>35.75</v>
      </c>
      <c r="AO254" s="987">
        <v>-3.38</v>
      </c>
      <c r="AP254" s="987">
        <v>15.49</v>
      </c>
      <c r="AQ254" s="987">
        <v>3.68</v>
      </c>
      <c r="AR254" s="987">
        <v>0</v>
      </c>
      <c r="AS254" s="987">
        <v>7.0000000000000007E-2</v>
      </c>
      <c r="AT254" s="987">
        <v>-0.05</v>
      </c>
      <c r="AU254" s="987">
        <v>0.05</v>
      </c>
      <c r="AV254" s="987">
        <v>-0.9</v>
      </c>
      <c r="AW254" s="987">
        <v>0.9</v>
      </c>
      <c r="AX254" s="987">
        <v>0</v>
      </c>
      <c r="AY254" s="987">
        <v>5734.8</v>
      </c>
      <c r="AZ254" s="987">
        <v>1226.6099999999999</v>
      </c>
      <c r="BA254" s="987">
        <v>27.05</v>
      </c>
      <c r="BB254" s="987">
        <v>8</v>
      </c>
      <c r="BC254" s="987">
        <v>2.71</v>
      </c>
      <c r="BD254" s="987">
        <v>0</v>
      </c>
      <c r="BF254" s="978"/>
    </row>
    <row r="255" spans="1:58" ht="15" customHeight="1">
      <c r="A255" s="977" t="s">
        <v>1181</v>
      </c>
      <c r="B255" s="983" t="s">
        <v>773</v>
      </c>
      <c r="C255" s="984" t="s">
        <v>772</v>
      </c>
      <c r="D255" s="986">
        <v>-58.34</v>
      </c>
      <c r="E255" s="986">
        <v>10317.540000000001</v>
      </c>
      <c r="F255" s="986">
        <v>122.59</v>
      </c>
      <c r="G255" s="986">
        <v>36.42</v>
      </c>
      <c r="H255" s="986">
        <v>-266.88</v>
      </c>
      <c r="I255" s="986">
        <v>-163.92</v>
      </c>
      <c r="J255" s="986">
        <v>302.93</v>
      </c>
      <c r="K255" s="986">
        <v>76.680000000000007</v>
      </c>
      <c r="L255" s="986">
        <v>48.88</v>
      </c>
      <c r="M255" s="986">
        <v>27.96</v>
      </c>
      <c r="N255" s="986">
        <v>1.76</v>
      </c>
      <c r="O255" s="986">
        <v>3.25</v>
      </c>
      <c r="P255" s="986">
        <v>0.88</v>
      </c>
      <c r="Q255" s="986">
        <v>0.24</v>
      </c>
      <c r="R255" s="986">
        <v>0</v>
      </c>
      <c r="S255" s="986">
        <v>-0.06</v>
      </c>
      <c r="T255" s="986">
        <v>7.0000000000000007E-2</v>
      </c>
      <c r="U255" s="986">
        <v>0</v>
      </c>
      <c r="V255" s="986">
        <v>0</v>
      </c>
      <c r="W255" s="986">
        <v>0</v>
      </c>
      <c r="X255" s="986">
        <v>0</v>
      </c>
      <c r="Y255" s="986">
        <v>0</v>
      </c>
      <c r="Z255" s="986">
        <v>0</v>
      </c>
      <c r="AA255" s="986">
        <v>0</v>
      </c>
      <c r="AB255" s="986">
        <v>0</v>
      </c>
      <c r="AC255" s="986">
        <v>0</v>
      </c>
      <c r="AD255" s="986">
        <v>14307.41</v>
      </c>
      <c r="AE255" s="986">
        <v>-11031.92</v>
      </c>
      <c r="AF255" s="986">
        <v>25779.11</v>
      </c>
      <c r="AG255" s="986">
        <v>19698.259999999998</v>
      </c>
      <c r="AH255" s="986">
        <v>7603.3</v>
      </c>
      <c r="AI255" s="986">
        <v>558.45000000000005</v>
      </c>
      <c r="AJ255" s="986">
        <v>1010.43</v>
      </c>
      <c r="AK255" s="986">
        <v>710.14</v>
      </c>
      <c r="AL255" s="986">
        <v>2.54</v>
      </c>
      <c r="AM255" s="986">
        <v>310.67</v>
      </c>
      <c r="AN255" s="986">
        <v>35.75</v>
      </c>
      <c r="AO255" s="986">
        <v>-3.38</v>
      </c>
      <c r="AP255" s="986">
        <v>15.49</v>
      </c>
      <c r="AQ255" s="986">
        <v>3.68</v>
      </c>
      <c r="AR255" s="986">
        <v>0</v>
      </c>
      <c r="AS255" s="986">
        <v>7.0000000000000007E-2</v>
      </c>
      <c r="AT255" s="986">
        <v>-0.05</v>
      </c>
      <c r="AU255" s="986">
        <v>0.05</v>
      </c>
      <c r="AV255" s="986">
        <v>-0.9</v>
      </c>
      <c r="AW255" s="986">
        <v>0.9</v>
      </c>
      <c r="AX255" s="986">
        <v>0</v>
      </c>
      <c r="AY255" s="986">
        <v>5734.8</v>
      </c>
      <c r="AZ255" s="986">
        <v>1226.6099999999999</v>
      </c>
      <c r="BA255" s="986">
        <v>27.05</v>
      </c>
      <c r="BB255" s="986">
        <v>8</v>
      </c>
      <c r="BC255" s="986">
        <v>2.71</v>
      </c>
      <c r="BD255" s="986">
        <v>0</v>
      </c>
      <c r="BF255" s="978"/>
    </row>
    <row r="256" spans="1:58" ht="15" customHeight="1">
      <c r="B256" s="983" t="s">
        <v>771</v>
      </c>
      <c r="C256" s="984" t="s">
        <v>770</v>
      </c>
      <c r="D256" s="989"/>
      <c r="E256" s="989"/>
      <c r="F256" s="989"/>
      <c r="G256" s="989"/>
      <c r="H256" s="989"/>
      <c r="I256" s="989"/>
      <c r="J256" s="989"/>
      <c r="K256" s="989"/>
      <c r="L256" s="989"/>
      <c r="M256" s="989"/>
      <c r="N256" s="989"/>
      <c r="O256" s="989"/>
      <c r="P256" s="989"/>
      <c r="Q256" s="989"/>
      <c r="R256" s="989"/>
      <c r="S256" s="989"/>
      <c r="T256" s="989"/>
      <c r="U256" s="989"/>
      <c r="V256" s="989"/>
      <c r="W256" s="989"/>
      <c r="X256" s="989"/>
      <c r="Y256" s="989"/>
      <c r="Z256" s="989"/>
      <c r="AA256" s="989"/>
      <c r="AB256" s="989"/>
      <c r="AC256" s="989"/>
      <c r="AD256" s="989"/>
      <c r="AE256" s="989"/>
      <c r="AF256" s="989"/>
      <c r="AG256" s="989"/>
      <c r="AH256" s="989"/>
      <c r="AI256" s="989"/>
      <c r="AJ256" s="989"/>
      <c r="AK256" s="989"/>
      <c r="AL256" s="989"/>
      <c r="AM256" s="989"/>
      <c r="AN256" s="989"/>
      <c r="AO256" s="989"/>
      <c r="AP256" s="989"/>
      <c r="AQ256" s="989"/>
      <c r="AR256" s="989"/>
      <c r="AS256" s="989"/>
      <c r="AT256" s="989"/>
      <c r="AU256" s="989"/>
      <c r="AV256" s="989"/>
      <c r="AW256" s="989"/>
      <c r="AX256" s="989"/>
      <c r="AY256" s="989"/>
      <c r="AZ256" s="989"/>
      <c r="BA256" s="989"/>
      <c r="BB256" s="989"/>
      <c r="BC256" s="989"/>
      <c r="BD256" s="989"/>
      <c r="BF256" s="978"/>
    </row>
    <row r="257" spans="2:58" ht="15" customHeight="1">
      <c r="B257" s="983" t="s">
        <v>769</v>
      </c>
      <c r="C257" s="984" t="s">
        <v>768</v>
      </c>
      <c r="D257" s="990">
        <v>202763.3</v>
      </c>
      <c r="E257" s="990">
        <v>0</v>
      </c>
      <c r="F257" s="990">
        <v>0</v>
      </c>
      <c r="G257" s="990">
        <v>0</v>
      </c>
      <c r="H257" s="990">
        <v>0</v>
      </c>
      <c r="I257" s="990">
        <v>0</v>
      </c>
      <c r="J257" s="990">
        <v>0</v>
      </c>
      <c r="K257" s="990">
        <v>0</v>
      </c>
      <c r="L257" s="990">
        <v>0</v>
      </c>
      <c r="M257" s="990">
        <v>0</v>
      </c>
      <c r="N257" s="990">
        <v>0</v>
      </c>
      <c r="O257" s="990">
        <v>-1873863.62</v>
      </c>
      <c r="P257" s="990">
        <v>0</v>
      </c>
      <c r="Q257" s="990">
        <v>0</v>
      </c>
      <c r="R257" s="990">
        <v>0</v>
      </c>
      <c r="S257" s="990">
        <v>0</v>
      </c>
      <c r="T257" s="990">
        <v>0</v>
      </c>
      <c r="U257" s="990">
        <v>0</v>
      </c>
      <c r="V257" s="990">
        <v>0</v>
      </c>
      <c r="W257" s="990">
        <v>0</v>
      </c>
      <c r="X257" s="990">
        <v>-432531.42</v>
      </c>
      <c r="Y257" s="990">
        <v>0</v>
      </c>
      <c r="Z257" s="990">
        <v>0</v>
      </c>
      <c r="AA257" s="990">
        <v>-6367817.5</v>
      </c>
      <c r="AB257" s="990">
        <v>0</v>
      </c>
      <c r="AC257" s="990">
        <v>0</v>
      </c>
      <c r="AD257" s="990">
        <v>4648245.6500000004</v>
      </c>
      <c r="AE257" s="990">
        <v>0</v>
      </c>
      <c r="AF257" s="990">
        <v>0</v>
      </c>
      <c r="AG257" s="990">
        <v>-101132.51</v>
      </c>
      <c r="AH257" s="990">
        <v>0</v>
      </c>
      <c r="AI257" s="990">
        <v>0</v>
      </c>
      <c r="AJ257" s="990">
        <v>-802627</v>
      </c>
      <c r="AK257" s="990">
        <v>0</v>
      </c>
      <c r="AL257" s="990">
        <v>0</v>
      </c>
      <c r="AM257" s="990">
        <v>-2003845.55</v>
      </c>
      <c r="AN257" s="990">
        <v>0</v>
      </c>
      <c r="AO257" s="990">
        <v>0</v>
      </c>
      <c r="AP257" s="990">
        <v>1394342.01</v>
      </c>
      <c r="AQ257" s="990">
        <v>0</v>
      </c>
      <c r="AR257" s="990">
        <v>0</v>
      </c>
      <c r="AS257" s="990">
        <v>-1627930.06</v>
      </c>
      <c r="AT257" s="990">
        <v>0</v>
      </c>
      <c r="AU257" s="990">
        <v>0</v>
      </c>
      <c r="AV257" s="990">
        <v>1385414.39</v>
      </c>
      <c r="AW257" s="990">
        <v>0</v>
      </c>
      <c r="AX257" s="990">
        <v>0</v>
      </c>
      <c r="AY257" s="990">
        <v>-139686.82</v>
      </c>
      <c r="AZ257" s="990">
        <v>0</v>
      </c>
      <c r="BA257" s="990">
        <v>0</v>
      </c>
      <c r="BB257" s="990">
        <v>1995500</v>
      </c>
      <c r="BC257" s="990">
        <v>0</v>
      </c>
      <c r="BD257" s="990">
        <v>0</v>
      </c>
      <c r="BF257" s="978"/>
    </row>
    <row r="258" spans="2:58" ht="15" customHeight="1">
      <c r="B258" s="983" t="s">
        <v>1171</v>
      </c>
      <c r="C258" s="984" t="s">
        <v>1170</v>
      </c>
      <c r="D258" s="988">
        <v>0</v>
      </c>
      <c r="E258" s="988">
        <v>0</v>
      </c>
      <c r="F258" s="988">
        <v>0</v>
      </c>
      <c r="G258" s="988">
        <v>0</v>
      </c>
      <c r="H258" s="988">
        <v>0</v>
      </c>
      <c r="I258" s="988">
        <v>0</v>
      </c>
      <c r="J258" s="988">
        <v>0</v>
      </c>
      <c r="K258" s="988">
        <v>0</v>
      </c>
      <c r="L258" s="988">
        <v>0</v>
      </c>
      <c r="M258" s="988">
        <v>0</v>
      </c>
      <c r="N258" s="988">
        <v>0</v>
      </c>
      <c r="O258" s="988">
        <v>0</v>
      </c>
      <c r="P258" s="988">
        <v>0</v>
      </c>
      <c r="Q258" s="988">
        <v>0</v>
      </c>
      <c r="R258" s="988">
        <v>0</v>
      </c>
      <c r="S258" s="988">
        <v>0</v>
      </c>
      <c r="T258" s="988">
        <v>0</v>
      </c>
      <c r="U258" s="988">
        <v>0</v>
      </c>
      <c r="V258" s="988">
        <v>0</v>
      </c>
      <c r="W258" s="988">
        <v>0</v>
      </c>
      <c r="X258" s="988">
        <v>0</v>
      </c>
      <c r="Y258" s="988">
        <v>0</v>
      </c>
      <c r="Z258" s="988">
        <v>0</v>
      </c>
      <c r="AA258" s="988">
        <v>0</v>
      </c>
      <c r="AB258" s="988">
        <v>0</v>
      </c>
      <c r="AC258" s="988">
        <v>0</v>
      </c>
      <c r="AD258" s="988">
        <v>0</v>
      </c>
      <c r="AE258" s="988">
        <v>0</v>
      </c>
      <c r="AF258" s="988">
        <v>0</v>
      </c>
      <c r="AG258" s="988">
        <v>0</v>
      </c>
      <c r="AH258" s="988">
        <v>0</v>
      </c>
      <c r="AI258" s="988">
        <v>0</v>
      </c>
      <c r="AJ258" s="988">
        <v>0</v>
      </c>
      <c r="AK258" s="988">
        <v>0</v>
      </c>
      <c r="AL258" s="988">
        <v>0</v>
      </c>
      <c r="AM258" s="988">
        <v>0</v>
      </c>
      <c r="AN258" s="988">
        <v>0</v>
      </c>
      <c r="AO258" s="988">
        <v>0</v>
      </c>
      <c r="AP258" s="988">
        <v>0</v>
      </c>
      <c r="AQ258" s="988">
        <v>0</v>
      </c>
      <c r="AR258" s="988">
        <v>0</v>
      </c>
      <c r="AS258" s="988">
        <v>0</v>
      </c>
      <c r="AT258" s="988">
        <v>0</v>
      </c>
      <c r="AU258" s="988">
        <v>0</v>
      </c>
      <c r="AV258" s="988">
        <v>0</v>
      </c>
      <c r="AW258" s="988">
        <v>0</v>
      </c>
      <c r="AX258" s="988">
        <v>0</v>
      </c>
      <c r="AY258" s="988">
        <v>0</v>
      </c>
      <c r="AZ258" s="988">
        <v>0</v>
      </c>
      <c r="BA258" s="988">
        <v>0</v>
      </c>
      <c r="BB258" s="988">
        <v>0</v>
      </c>
      <c r="BC258" s="988">
        <v>0</v>
      </c>
      <c r="BD258" s="988">
        <v>0</v>
      </c>
      <c r="BF258" s="978"/>
    </row>
    <row r="259" spans="2:58" ht="15" customHeight="1">
      <c r="B259" s="983" t="s">
        <v>767</v>
      </c>
      <c r="C259" s="984" t="s">
        <v>766</v>
      </c>
      <c r="D259" s="986">
        <v>202763.3</v>
      </c>
      <c r="E259" s="986">
        <v>0</v>
      </c>
      <c r="F259" s="986">
        <v>0</v>
      </c>
      <c r="G259" s="986">
        <v>0</v>
      </c>
      <c r="H259" s="986">
        <v>0</v>
      </c>
      <c r="I259" s="986">
        <v>0</v>
      </c>
      <c r="J259" s="986">
        <v>0</v>
      </c>
      <c r="K259" s="986">
        <v>0</v>
      </c>
      <c r="L259" s="986">
        <v>0</v>
      </c>
      <c r="M259" s="986">
        <v>0</v>
      </c>
      <c r="N259" s="986">
        <v>0</v>
      </c>
      <c r="O259" s="986">
        <v>-1873863.62</v>
      </c>
      <c r="P259" s="986">
        <v>0</v>
      </c>
      <c r="Q259" s="986">
        <v>0</v>
      </c>
      <c r="R259" s="986">
        <v>0</v>
      </c>
      <c r="S259" s="986">
        <v>0</v>
      </c>
      <c r="T259" s="986">
        <v>0</v>
      </c>
      <c r="U259" s="986">
        <v>0</v>
      </c>
      <c r="V259" s="986">
        <v>0</v>
      </c>
      <c r="W259" s="986">
        <v>0</v>
      </c>
      <c r="X259" s="986">
        <v>-432531.42</v>
      </c>
      <c r="Y259" s="986">
        <v>0</v>
      </c>
      <c r="Z259" s="986">
        <v>0</v>
      </c>
      <c r="AA259" s="986">
        <v>-6367817.5</v>
      </c>
      <c r="AB259" s="986">
        <v>0</v>
      </c>
      <c r="AC259" s="986">
        <v>0</v>
      </c>
      <c r="AD259" s="986">
        <v>4648245.6500000004</v>
      </c>
      <c r="AE259" s="986">
        <v>0</v>
      </c>
      <c r="AF259" s="986">
        <v>0</v>
      </c>
      <c r="AG259" s="986">
        <v>-101132.51</v>
      </c>
      <c r="AH259" s="986">
        <v>0</v>
      </c>
      <c r="AI259" s="986">
        <v>0</v>
      </c>
      <c r="AJ259" s="986">
        <v>-802627</v>
      </c>
      <c r="AK259" s="986">
        <v>0</v>
      </c>
      <c r="AL259" s="986">
        <v>0</v>
      </c>
      <c r="AM259" s="986">
        <v>-2003845.55</v>
      </c>
      <c r="AN259" s="986">
        <v>0</v>
      </c>
      <c r="AO259" s="986">
        <v>0</v>
      </c>
      <c r="AP259" s="986">
        <v>1394342.01</v>
      </c>
      <c r="AQ259" s="986">
        <v>0</v>
      </c>
      <c r="AR259" s="986">
        <v>0</v>
      </c>
      <c r="AS259" s="986">
        <v>-1627930.06</v>
      </c>
      <c r="AT259" s="986">
        <v>0</v>
      </c>
      <c r="AU259" s="986">
        <v>0</v>
      </c>
      <c r="AV259" s="986">
        <v>1385414.39</v>
      </c>
      <c r="AW259" s="986">
        <v>0</v>
      </c>
      <c r="AX259" s="986">
        <v>0</v>
      </c>
      <c r="AY259" s="986">
        <v>-139686.82</v>
      </c>
      <c r="AZ259" s="986">
        <v>0</v>
      </c>
      <c r="BA259" s="986">
        <v>0</v>
      </c>
      <c r="BB259" s="986">
        <v>1995500</v>
      </c>
      <c r="BC259" s="986">
        <v>0</v>
      </c>
      <c r="BD259" s="986">
        <v>0</v>
      </c>
      <c r="BF259" s="978"/>
    </row>
    <row r="260" spans="2:58" ht="15" customHeight="1">
      <c r="B260" s="983" t="s">
        <v>1169</v>
      </c>
      <c r="C260" s="984" t="s">
        <v>1168</v>
      </c>
      <c r="D260" s="989"/>
      <c r="E260" s="989"/>
      <c r="F260" s="989"/>
      <c r="G260" s="989"/>
      <c r="H260" s="989"/>
      <c r="I260" s="989"/>
      <c r="J260" s="989"/>
      <c r="K260" s="989"/>
      <c r="L260" s="989"/>
      <c r="M260" s="989"/>
      <c r="N260" s="989"/>
      <c r="O260" s="989"/>
      <c r="P260" s="989"/>
      <c r="Q260" s="989"/>
      <c r="R260" s="989"/>
      <c r="S260" s="989"/>
      <c r="T260" s="989"/>
      <c r="U260" s="989"/>
      <c r="V260" s="989"/>
      <c r="W260" s="989"/>
      <c r="X260" s="989"/>
      <c r="Y260" s="989"/>
      <c r="Z260" s="989"/>
      <c r="AA260" s="989"/>
      <c r="AB260" s="989"/>
      <c r="AC260" s="989"/>
      <c r="AD260" s="989"/>
      <c r="AE260" s="989"/>
      <c r="AF260" s="989"/>
      <c r="AG260" s="989"/>
      <c r="AH260" s="989"/>
      <c r="AI260" s="989"/>
      <c r="AJ260" s="989"/>
      <c r="AK260" s="989"/>
      <c r="AL260" s="989"/>
      <c r="AM260" s="989"/>
      <c r="AN260" s="989"/>
      <c r="AO260" s="989"/>
      <c r="AP260" s="989"/>
      <c r="AQ260" s="989"/>
      <c r="AR260" s="989"/>
      <c r="AS260" s="989"/>
      <c r="AT260" s="989"/>
      <c r="AU260" s="989"/>
      <c r="AV260" s="989"/>
      <c r="AW260" s="989"/>
      <c r="AX260" s="989"/>
      <c r="AY260" s="989"/>
      <c r="AZ260" s="989"/>
      <c r="BA260" s="989"/>
      <c r="BB260" s="989"/>
      <c r="BC260" s="989"/>
      <c r="BD260" s="989"/>
      <c r="BF260" s="978"/>
    </row>
    <row r="261" spans="2:58" ht="15" customHeight="1">
      <c r="B261" s="983" t="s">
        <v>1167</v>
      </c>
      <c r="C261" s="984" t="s">
        <v>1166</v>
      </c>
      <c r="D261" s="988">
        <v>0</v>
      </c>
      <c r="E261" s="988">
        <v>0</v>
      </c>
      <c r="F261" s="988">
        <v>0</v>
      </c>
      <c r="G261" s="988">
        <v>0</v>
      </c>
      <c r="H261" s="988">
        <v>0</v>
      </c>
      <c r="I261" s="988">
        <v>0</v>
      </c>
      <c r="J261" s="988">
        <v>0</v>
      </c>
      <c r="K261" s="988">
        <v>0</v>
      </c>
      <c r="L261" s="988">
        <v>0</v>
      </c>
      <c r="M261" s="988">
        <v>0</v>
      </c>
      <c r="N261" s="988">
        <v>0</v>
      </c>
      <c r="O261" s="988">
        <v>0</v>
      </c>
      <c r="P261" s="988">
        <v>0</v>
      </c>
      <c r="Q261" s="988">
        <v>0</v>
      </c>
      <c r="R261" s="988">
        <v>0</v>
      </c>
      <c r="S261" s="988">
        <v>0</v>
      </c>
      <c r="T261" s="988">
        <v>0</v>
      </c>
      <c r="U261" s="988">
        <v>0</v>
      </c>
      <c r="V261" s="988">
        <v>0</v>
      </c>
      <c r="W261" s="988">
        <v>0</v>
      </c>
      <c r="X261" s="988">
        <v>0</v>
      </c>
      <c r="Y261" s="988">
        <v>0</v>
      </c>
      <c r="Z261" s="988">
        <v>0</v>
      </c>
      <c r="AA261" s="988">
        <v>0</v>
      </c>
      <c r="AB261" s="988">
        <v>0</v>
      </c>
      <c r="AC261" s="988">
        <v>0</v>
      </c>
      <c r="AD261" s="988">
        <v>0</v>
      </c>
      <c r="AE261" s="988">
        <v>0</v>
      </c>
      <c r="AF261" s="988">
        <v>0</v>
      </c>
      <c r="AG261" s="988">
        <v>0</v>
      </c>
      <c r="AH261" s="988">
        <v>0</v>
      </c>
      <c r="AI261" s="988">
        <v>0</v>
      </c>
      <c r="AJ261" s="988">
        <v>0</v>
      </c>
      <c r="AK261" s="988">
        <v>0</v>
      </c>
      <c r="AL261" s="988">
        <v>0</v>
      </c>
      <c r="AM261" s="988">
        <v>0</v>
      </c>
      <c r="AN261" s="988">
        <v>0</v>
      </c>
      <c r="AO261" s="988">
        <v>0</v>
      </c>
      <c r="AP261" s="988">
        <v>0</v>
      </c>
      <c r="AQ261" s="988">
        <v>0</v>
      </c>
      <c r="AR261" s="988">
        <v>0</v>
      </c>
      <c r="AS261" s="988">
        <v>0</v>
      </c>
      <c r="AT261" s="988">
        <v>0</v>
      </c>
      <c r="AU261" s="988">
        <v>0</v>
      </c>
      <c r="AV261" s="988">
        <v>0</v>
      </c>
      <c r="AW261" s="988">
        <v>0</v>
      </c>
      <c r="AX261" s="988">
        <v>0</v>
      </c>
      <c r="AY261" s="988">
        <v>0</v>
      </c>
      <c r="AZ261" s="988">
        <v>0</v>
      </c>
      <c r="BA261" s="988">
        <v>0</v>
      </c>
      <c r="BB261" s="988">
        <v>0</v>
      </c>
      <c r="BC261" s="988">
        <v>0</v>
      </c>
      <c r="BD261" s="988">
        <v>0</v>
      </c>
      <c r="BF261" s="978"/>
    </row>
    <row r="262" spans="2:58" ht="15" customHeight="1">
      <c r="B262" s="983" t="s">
        <v>1165</v>
      </c>
      <c r="C262" s="984" t="s">
        <v>1164</v>
      </c>
      <c r="D262" s="987">
        <v>0</v>
      </c>
      <c r="E262" s="987">
        <v>0</v>
      </c>
      <c r="F262" s="987">
        <v>0</v>
      </c>
      <c r="G262" s="987">
        <v>0</v>
      </c>
      <c r="H262" s="987">
        <v>0</v>
      </c>
      <c r="I262" s="987">
        <v>0</v>
      </c>
      <c r="J262" s="987">
        <v>0</v>
      </c>
      <c r="K262" s="987">
        <v>0</v>
      </c>
      <c r="L262" s="987">
        <v>0</v>
      </c>
      <c r="M262" s="987">
        <v>0</v>
      </c>
      <c r="N262" s="987">
        <v>0</v>
      </c>
      <c r="O262" s="987">
        <v>0</v>
      </c>
      <c r="P262" s="987">
        <v>0</v>
      </c>
      <c r="Q262" s="987">
        <v>0</v>
      </c>
      <c r="R262" s="987">
        <v>0</v>
      </c>
      <c r="S262" s="987">
        <v>0</v>
      </c>
      <c r="T262" s="987">
        <v>0</v>
      </c>
      <c r="U262" s="987">
        <v>0</v>
      </c>
      <c r="V262" s="987">
        <v>0</v>
      </c>
      <c r="W262" s="987">
        <v>0</v>
      </c>
      <c r="X262" s="987">
        <v>0</v>
      </c>
      <c r="Y262" s="987">
        <v>0</v>
      </c>
      <c r="Z262" s="987">
        <v>0</v>
      </c>
      <c r="AA262" s="987">
        <v>0</v>
      </c>
      <c r="AB262" s="987">
        <v>0</v>
      </c>
      <c r="AC262" s="987">
        <v>0</v>
      </c>
      <c r="AD262" s="987">
        <v>0</v>
      </c>
      <c r="AE262" s="987">
        <v>0</v>
      </c>
      <c r="AF262" s="987">
        <v>0</v>
      </c>
      <c r="AG262" s="987">
        <v>0</v>
      </c>
      <c r="AH262" s="987">
        <v>0</v>
      </c>
      <c r="AI262" s="987">
        <v>0</v>
      </c>
      <c r="AJ262" s="987">
        <v>0</v>
      </c>
      <c r="AK262" s="987">
        <v>0</v>
      </c>
      <c r="AL262" s="987">
        <v>0</v>
      </c>
      <c r="AM262" s="987">
        <v>0</v>
      </c>
      <c r="AN262" s="987">
        <v>0</v>
      </c>
      <c r="AO262" s="987">
        <v>0</v>
      </c>
      <c r="AP262" s="987">
        <v>0</v>
      </c>
      <c r="AQ262" s="987">
        <v>0</v>
      </c>
      <c r="AR262" s="987">
        <v>0</v>
      </c>
      <c r="AS262" s="987">
        <v>0</v>
      </c>
      <c r="AT262" s="987">
        <v>0</v>
      </c>
      <c r="AU262" s="987">
        <v>0</v>
      </c>
      <c r="AV262" s="987">
        <v>0</v>
      </c>
      <c r="AW262" s="987">
        <v>0</v>
      </c>
      <c r="AX262" s="987">
        <v>0</v>
      </c>
      <c r="AY262" s="987">
        <v>0</v>
      </c>
      <c r="AZ262" s="987">
        <v>0</v>
      </c>
      <c r="BA262" s="987">
        <v>0</v>
      </c>
      <c r="BB262" s="987">
        <v>0</v>
      </c>
      <c r="BC262" s="987">
        <v>0</v>
      </c>
      <c r="BD262" s="987">
        <v>0</v>
      </c>
      <c r="BF262" s="978"/>
    </row>
    <row r="263" spans="2:58" ht="15" customHeight="1">
      <c r="B263" s="983" t="s">
        <v>765</v>
      </c>
      <c r="C263" s="984" t="s">
        <v>764</v>
      </c>
      <c r="D263" s="986">
        <v>202763.3</v>
      </c>
      <c r="E263" s="986">
        <v>0</v>
      </c>
      <c r="F263" s="986">
        <v>0</v>
      </c>
      <c r="G263" s="986">
        <v>0</v>
      </c>
      <c r="H263" s="986">
        <v>0</v>
      </c>
      <c r="I263" s="986">
        <v>0</v>
      </c>
      <c r="J263" s="986">
        <v>0</v>
      </c>
      <c r="K263" s="986">
        <v>0</v>
      </c>
      <c r="L263" s="986">
        <v>0</v>
      </c>
      <c r="M263" s="986">
        <v>0</v>
      </c>
      <c r="N263" s="986">
        <v>0</v>
      </c>
      <c r="O263" s="986">
        <v>-1873863.62</v>
      </c>
      <c r="P263" s="986">
        <v>0</v>
      </c>
      <c r="Q263" s="986">
        <v>0</v>
      </c>
      <c r="R263" s="986">
        <v>0</v>
      </c>
      <c r="S263" s="986">
        <v>0</v>
      </c>
      <c r="T263" s="986">
        <v>0</v>
      </c>
      <c r="U263" s="986">
        <v>0</v>
      </c>
      <c r="V263" s="986">
        <v>0</v>
      </c>
      <c r="W263" s="986">
        <v>0</v>
      </c>
      <c r="X263" s="986">
        <v>-432531.42</v>
      </c>
      <c r="Y263" s="986">
        <v>0</v>
      </c>
      <c r="Z263" s="986">
        <v>0</v>
      </c>
      <c r="AA263" s="986">
        <v>-6367817.5</v>
      </c>
      <c r="AB263" s="986">
        <v>0</v>
      </c>
      <c r="AC263" s="986">
        <v>0</v>
      </c>
      <c r="AD263" s="986">
        <v>4648245.6500000004</v>
      </c>
      <c r="AE263" s="986">
        <v>0</v>
      </c>
      <c r="AF263" s="986">
        <v>0</v>
      </c>
      <c r="AG263" s="986">
        <v>-101132.51</v>
      </c>
      <c r="AH263" s="986">
        <v>0</v>
      </c>
      <c r="AI263" s="986">
        <v>0</v>
      </c>
      <c r="AJ263" s="986">
        <v>-802627</v>
      </c>
      <c r="AK263" s="986">
        <v>0</v>
      </c>
      <c r="AL263" s="986">
        <v>0</v>
      </c>
      <c r="AM263" s="986">
        <v>-2003845.55</v>
      </c>
      <c r="AN263" s="986">
        <v>0</v>
      </c>
      <c r="AO263" s="986">
        <v>0</v>
      </c>
      <c r="AP263" s="986">
        <v>1394342.01</v>
      </c>
      <c r="AQ263" s="986">
        <v>0</v>
      </c>
      <c r="AR263" s="986">
        <v>0</v>
      </c>
      <c r="AS263" s="986">
        <v>-1627930.06</v>
      </c>
      <c r="AT263" s="986">
        <v>0</v>
      </c>
      <c r="AU263" s="986">
        <v>0</v>
      </c>
      <c r="AV263" s="986">
        <v>1385414.39</v>
      </c>
      <c r="AW263" s="986">
        <v>0</v>
      </c>
      <c r="AX263" s="986">
        <v>0</v>
      </c>
      <c r="AY263" s="986">
        <v>-139686.82</v>
      </c>
      <c r="AZ263" s="986">
        <v>0</v>
      </c>
      <c r="BA263" s="986">
        <v>0</v>
      </c>
      <c r="BB263" s="986">
        <v>1995500</v>
      </c>
      <c r="BC263" s="986">
        <v>0</v>
      </c>
      <c r="BD263" s="986">
        <v>0</v>
      </c>
      <c r="BF263" s="978"/>
    </row>
    <row r="264" spans="2:58" ht="15" customHeight="1">
      <c r="B264" s="981" t="s">
        <v>763</v>
      </c>
      <c r="C264" s="980" t="s">
        <v>762</v>
      </c>
      <c r="D264" s="985">
        <v>314175.89</v>
      </c>
      <c r="E264" s="985">
        <v>118667.34</v>
      </c>
      <c r="F264" s="985">
        <v>105131.38</v>
      </c>
      <c r="G264" s="985">
        <v>108998.48</v>
      </c>
      <c r="H264" s="985">
        <v>105323.81</v>
      </c>
      <c r="I264" s="985">
        <v>592668.27</v>
      </c>
      <c r="J264" s="985">
        <v>97714.27</v>
      </c>
      <c r="K264" s="985">
        <v>94318.04</v>
      </c>
      <c r="L264" s="985">
        <v>101347.25</v>
      </c>
      <c r="M264" s="985">
        <v>100387.28</v>
      </c>
      <c r="N264" s="985">
        <v>121278.77</v>
      </c>
      <c r="O264" s="985">
        <v>-1786607.58</v>
      </c>
      <c r="P264" s="985">
        <v>109647.47</v>
      </c>
      <c r="Q264" s="985">
        <v>110213.92</v>
      </c>
      <c r="R264" s="985">
        <v>106824.87</v>
      </c>
      <c r="S264" s="985">
        <v>113306.76</v>
      </c>
      <c r="T264" s="985">
        <v>109324.48</v>
      </c>
      <c r="U264" s="985">
        <v>113177.47</v>
      </c>
      <c r="V264" s="985">
        <v>126275.15</v>
      </c>
      <c r="W264" s="985">
        <v>116498.6</v>
      </c>
      <c r="X264" s="985">
        <v>-304191.73</v>
      </c>
      <c r="Y264" s="985">
        <v>127632.54</v>
      </c>
      <c r="Z264" s="985">
        <v>134664.19</v>
      </c>
      <c r="AA264" s="985">
        <v>-6237605.79</v>
      </c>
      <c r="AB264" s="985">
        <v>137461.23000000001</v>
      </c>
      <c r="AC264" s="985">
        <v>137423.70000000001</v>
      </c>
      <c r="AD264" s="985">
        <v>4795380.2699999996</v>
      </c>
      <c r="AE264" s="985">
        <v>128024.65</v>
      </c>
      <c r="AF264" s="985">
        <v>162547.72</v>
      </c>
      <c r="AG264" s="985">
        <v>60400.07</v>
      </c>
      <c r="AH264" s="985">
        <v>152234.14000000001</v>
      </c>
      <c r="AI264" s="985">
        <v>132091.23000000001</v>
      </c>
      <c r="AJ264" s="985">
        <v>-656366.37</v>
      </c>
      <c r="AK264" s="985">
        <v>141184.04</v>
      </c>
      <c r="AL264" s="985">
        <v>144952.45000000001</v>
      </c>
      <c r="AM264" s="985">
        <v>-1863860.16</v>
      </c>
      <c r="AN264" s="985">
        <v>143521.71</v>
      </c>
      <c r="AO264" s="985">
        <v>142168.76999999999</v>
      </c>
      <c r="AP264" s="985">
        <v>1529600.41</v>
      </c>
      <c r="AQ264" s="985">
        <v>136601.56</v>
      </c>
      <c r="AR264" s="985">
        <v>130120.9</v>
      </c>
      <c r="AS264" s="985">
        <v>-1496249.48</v>
      </c>
      <c r="AT264" s="985">
        <v>131192.47</v>
      </c>
      <c r="AU264" s="985">
        <v>121622.39999999999</v>
      </c>
      <c r="AV264" s="985">
        <v>1515085.76</v>
      </c>
      <c r="AW264" s="985">
        <v>111522.53</v>
      </c>
      <c r="AX264" s="985">
        <v>132800.29999999999</v>
      </c>
      <c r="AY264" s="985">
        <v>83465.16</v>
      </c>
      <c r="AZ264" s="985">
        <v>167.07</v>
      </c>
      <c r="BA264" s="985">
        <v>173746.51</v>
      </c>
      <c r="BB264" s="985">
        <v>2099946.1800000002</v>
      </c>
      <c r="BC264" s="985">
        <v>107922.17</v>
      </c>
      <c r="BD264" s="985">
        <v>0</v>
      </c>
      <c r="BF264" s="978"/>
    </row>
    <row r="265" spans="2:58" ht="15" customHeight="1">
      <c r="B265" s="983"/>
      <c r="C265" s="984"/>
      <c r="D265" s="983"/>
      <c r="E265" s="983"/>
      <c r="F265" s="983"/>
      <c r="G265" s="983"/>
      <c r="H265" s="983"/>
      <c r="I265" s="983"/>
      <c r="J265" s="983"/>
      <c r="K265" s="983"/>
      <c r="L265" s="983"/>
      <c r="M265" s="983"/>
      <c r="N265" s="983"/>
      <c r="O265" s="983"/>
      <c r="P265" s="983"/>
      <c r="Q265" s="983"/>
      <c r="R265" s="983"/>
      <c r="S265" s="983"/>
      <c r="T265" s="983"/>
      <c r="U265" s="983"/>
      <c r="V265" s="983"/>
      <c r="W265" s="983"/>
      <c r="X265" s="983"/>
      <c r="Y265" s="983"/>
      <c r="Z265" s="983"/>
      <c r="AA265" s="983"/>
      <c r="AB265" s="983"/>
      <c r="AC265" s="983"/>
      <c r="AD265" s="983"/>
      <c r="AE265" s="983"/>
      <c r="AF265" s="983"/>
      <c r="AG265" s="983"/>
      <c r="AH265" s="983"/>
      <c r="AI265" s="983"/>
      <c r="AJ265" s="983"/>
      <c r="AK265" s="983"/>
      <c r="AL265" s="983"/>
      <c r="AM265" s="983"/>
      <c r="AN265" s="983"/>
      <c r="AO265" s="983"/>
      <c r="AP265" s="983"/>
      <c r="AQ265" s="983"/>
      <c r="AR265" s="983"/>
      <c r="AS265" s="983"/>
      <c r="AT265" s="983"/>
      <c r="AU265" s="983"/>
      <c r="AV265" s="983"/>
      <c r="AW265" s="983"/>
      <c r="AX265" s="983"/>
      <c r="AY265" s="983"/>
      <c r="AZ265" s="983"/>
      <c r="BA265" s="983"/>
      <c r="BB265" s="983"/>
      <c r="BC265" s="983"/>
      <c r="BD265" s="983"/>
      <c r="BF265" s="978"/>
    </row>
    <row r="266" spans="2:58" ht="15" customHeight="1">
      <c r="B266" s="983"/>
      <c r="C266" s="984"/>
      <c r="D266" s="983"/>
      <c r="E266" s="983"/>
      <c r="F266" s="983"/>
      <c r="G266" s="983"/>
      <c r="H266" s="983"/>
      <c r="I266" s="983"/>
      <c r="J266" s="983"/>
      <c r="K266" s="983"/>
      <c r="L266" s="983"/>
      <c r="M266" s="983"/>
      <c r="N266" s="983"/>
      <c r="O266" s="983"/>
      <c r="P266" s="983"/>
      <c r="Q266" s="983"/>
      <c r="R266" s="983"/>
      <c r="S266" s="983"/>
      <c r="T266" s="983"/>
      <c r="U266" s="983"/>
      <c r="V266" s="983"/>
      <c r="W266" s="983"/>
      <c r="X266" s="983"/>
      <c r="Y266" s="983"/>
      <c r="Z266" s="983"/>
      <c r="AA266" s="983"/>
      <c r="AB266" s="983"/>
      <c r="AC266" s="983"/>
      <c r="AD266" s="983"/>
      <c r="AE266" s="983"/>
      <c r="AF266" s="983"/>
      <c r="AG266" s="983"/>
      <c r="AH266" s="983"/>
      <c r="AI266" s="983"/>
      <c r="AJ266" s="983"/>
      <c r="AK266" s="983"/>
      <c r="AL266" s="983"/>
      <c r="AM266" s="983"/>
      <c r="AN266" s="983"/>
      <c r="AO266" s="983"/>
      <c r="AP266" s="983"/>
      <c r="AQ266" s="983"/>
      <c r="AR266" s="983"/>
      <c r="AS266" s="983"/>
      <c r="AT266" s="983"/>
      <c r="AU266" s="983"/>
      <c r="AV266" s="983"/>
      <c r="AW266" s="983"/>
      <c r="AX266" s="983"/>
      <c r="AY266" s="983"/>
      <c r="AZ266" s="983"/>
      <c r="BA266" s="983"/>
      <c r="BB266" s="983"/>
      <c r="BC266" s="983"/>
      <c r="BD266" s="983"/>
      <c r="BF266" s="978"/>
    </row>
    <row r="267" spans="2:58" ht="15" customHeight="1">
      <c r="B267" s="981" t="s">
        <v>761</v>
      </c>
      <c r="C267" s="980" t="s">
        <v>760</v>
      </c>
      <c r="D267" s="982">
        <v>-314175.89</v>
      </c>
      <c r="E267" s="982">
        <v>-118667.34</v>
      </c>
      <c r="F267" s="982">
        <v>-105131.38</v>
      </c>
      <c r="G267" s="982">
        <v>-108998.48</v>
      </c>
      <c r="H267" s="982">
        <v>-105323.81</v>
      </c>
      <c r="I267" s="982">
        <v>-592668.27</v>
      </c>
      <c r="J267" s="982">
        <v>-97714.27</v>
      </c>
      <c r="K267" s="982">
        <v>-94318.04</v>
      </c>
      <c r="L267" s="982">
        <v>-101347.25</v>
      </c>
      <c r="M267" s="982">
        <v>-100387.28</v>
      </c>
      <c r="N267" s="982">
        <v>-121278.77</v>
      </c>
      <c r="O267" s="982">
        <v>1786607.58</v>
      </c>
      <c r="P267" s="982">
        <v>-109647.47</v>
      </c>
      <c r="Q267" s="982">
        <v>-110213.92</v>
      </c>
      <c r="R267" s="982">
        <v>-106824.87</v>
      </c>
      <c r="S267" s="982">
        <v>-113306.76</v>
      </c>
      <c r="T267" s="982">
        <v>-109324.48</v>
      </c>
      <c r="U267" s="982">
        <v>-113177.47</v>
      </c>
      <c r="V267" s="982">
        <v>-126275.15</v>
      </c>
      <c r="W267" s="982">
        <v>-116498.6</v>
      </c>
      <c r="X267" s="982">
        <v>304191.73</v>
      </c>
      <c r="Y267" s="982">
        <v>-127632.54</v>
      </c>
      <c r="Z267" s="982">
        <v>-134664.19</v>
      </c>
      <c r="AA267" s="982">
        <v>6237605.79</v>
      </c>
      <c r="AB267" s="982">
        <v>-137461.23000000001</v>
      </c>
      <c r="AC267" s="982">
        <v>-137423.70000000001</v>
      </c>
      <c r="AD267" s="982">
        <v>-4795380.2699999996</v>
      </c>
      <c r="AE267" s="982">
        <v>-128024.65</v>
      </c>
      <c r="AF267" s="982">
        <v>-162547.72</v>
      </c>
      <c r="AG267" s="982">
        <v>-60400.07</v>
      </c>
      <c r="AH267" s="982">
        <v>-152234.14000000001</v>
      </c>
      <c r="AI267" s="982">
        <v>-132091.23000000001</v>
      </c>
      <c r="AJ267" s="982">
        <v>656366.37</v>
      </c>
      <c r="AK267" s="982">
        <v>-141184.04</v>
      </c>
      <c r="AL267" s="982">
        <v>-144952.45000000001</v>
      </c>
      <c r="AM267" s="982">
        <v>1863860.16</v>
      </c>
      <c r="AN267" s="982">
        <v>-143521.71</v>
      </c>
      <c r="AO267" s="982">
        <v>-141855.09</v>
      </c>
      <c r="AP267" s="982">
        <v>-1529600.41</v>
      </c>
      <c r="AQ267" s="982">
        <v>-136601.56</v>
      </c>
      <c r="AR267" s="982">
        <v>-130120.9</v>
      </c>
      <c r="AS267" s="982">
        <v>1496249.48</v>
      </c>
      <c r="AT267" s="982">
        <v>-131192.47</v>
      </c>
      <c r="AU267" s="982">
        <v>-121622.39999999999</v>
      </c>
      <c r="AV267" s="982">
        <v>-1515085.76</v>
      </c>
      <c r="AW267" s="982">
        <v>-111522.53</v>
      </c>
      <c r="AX267" s="982">
        <v>-132800.29999999999</v>
      </c>
      <c r="AY267" s="982">
        <v>-83465.16</v>
      </c>
      <c r="AZ267" s="982">
        <v>-167.07</v>
      </c>
      <c r="BA267" s="982">
        <v>-173746.51</v>
      </c>
      <c r="BB267" s="982">
        <v>-2099946.1800000002</v>
      </c>
      <c r="BC267" s="982">
        <v>-107922.17</v>
      </c>
      <c r="BD267" s="982">
        <v>0</v>
      </c>
      <c r="BF267" s="978"/>
    </row>
    <row r="268" spans="2:58" ht="15" customHeight="1" thickBot="1">
      <c r="B268" s="981" t="s">
        <v>759</v>
      </c>
      <c r="C268" s="980" t="s">
        <v>758</v>
      </c>
      <c r="D268" s="979">
        <v>-255587.48</v>
      </c>
      <c r="E268" s="979">
        <v>-79242.48</v>
      </c>
      <c r="F268" s="979">
        <v>-42966.87</v>
      </c>
      <c r="G268" s="979">
        <v>-85325.17</v>
      </c>
      <c r="H268" s="979">
        <v>-35895.97</v>
      </c>
      <c r="I268" s="979">
        <v>-539446.91</v>
      </c>
      <c r="J268" s="979">
        <v>-31574.7</v>
      </c>
      <c r="K268" s="979">
        <v>41945.56</v>
      </c>
      <c r="L268" s="979">
        <v>-34480.22</v>
      </c>
      <c r="M268" s="979">
        <v>54283.53</v>
      </c>
      <c r="N268" s="979">
        <v>117799.07</v>
      </c>
      <c r="O268" s="979">
        <v>1656807.35</v>
      </c>
      <c r="P268" s="979">
        <v>-27841.54</v>
      </c>
      <c r="Q268" s="979">
        <v>-115245.63</v>
      </c>
      <c r="R268" s="979">
        <v>-32998.720000000001</v>
      </c>
      <c r="S268" s="979">
        <v>5320.33</v>
      </c>
      <c r="T268" s="979">
        <v>-49037.24</v>
      </c>
      <c r="U268" s="979">
        <v>-86348.61</v>
      </c>
      <c r="V268" s="979">
        <v>-6612.04</v>
      </c>
      <c r="W268" s="979">
        <v>-11428.17</v>
      </c>
      <c r="X268" s="979">
        <v>399084.13</v>
      </c>
      <c r="Y268" s="979">
        <v>-41162.32</v>
      </c>
      <c r="Z268" s="979">
        <v>-21429.31</v>
      </c>
      <c r="AA268" s="979">
        <v>6331343.8700000001</v>
      </c>
      <c r="AB268" s="979">
        <v>-64111.91</v>
      </c>
      <c r="AC268" s="979">
        <v>-79341.94</v>
      </c>
      <c r="AD268" s="979">
        <v>-4695576.51</v>
      </c>
      <c r="AE268" s="979">
        <v>-9983.36</v>
      </c>
      <c r="AF268" s="979">
        <v>-61094.15</v>
      </c>
      <c r="AG268" s="979">
        <v>21014.09</v>
      </c>
      <c r="AH268" s="979">
        <v>-16853.330000000002</v>
      </c>
      <c r="AI268" s="979">
        <v>-209.02</v>
      </c>
      <c r="AJ268" s="979">
        <v>762508.93</v>
      </c>
      <c r="AK268" s="979">
        <v>-6191.97</v>
      </c>
      <c r="AL268" s="979">
        <v>-28269.38</v>
      </c>
      <c r="AM268" s="979">
        <v>1998051.15</v>
      </c>
      <c r="AN268" s="979">
        <v>-5570.46</v>
      </c>
      <c r="AO268" s="979">
        <v>-12238.8</v>
      </c>
      <c r="AP268" s="979">
        <v>-1412394.99</v>
      </c>
      <c r="AQ268" s="979">
        <v>-21077.3</v>
      </c>
      <c r="AR268" s="979">
        <v>-78298.17</v>
      </c>
      <c r="AS268" s="979">
        <v>1628169.01</v>
      </c>
      <c r="AT268" s="979">
        <v>-19322.98</v>
      </c>
      <c r="AU268" s="979">
        <v>-17114.57</v>
      </c>
      <c r="AV268" s="979">
        <v>-1404883.97</v>
      </c>
      <c r="AW268" s="979">
        <v>30859.85</v>
      </c>
      <c r="AX268" s="979">
        <v>21762.37</v>
      </c>
      <c r="AY268" s="979">
        <v>54500.1</v>
      </c>
      <c r="AZ268" s="979">
        <v>131420.70000000001</v>
      </c>
      <c r="BA268" s="979">
        <v>-59284.17</v>
      </c>
      <c r="BB268" s="979">
        <v>-2464320.4</v>
      </c>
      <c r="BC268" s="979">
        <v>39222.699999999997</v>
      </c>
      <c r="BD268" s="979">
        <v>190021.66</v>
      </c>
      <c r="BF268" s="978"/>
    </row>
    <row r="269" spans="2:58" ht="14" thickTop="1"/>
  </sheetData>
  <pageMargins left="0.7" right="0.7" top="0.7" bottom="0.7" header="0.5" footer="0.5"/>
  <pageSetup paperSize="5" scale="24" fitToHeight="990" orientation="landscape" useFirstPageNumber="1" r:id="rId1"/>
  <headerFooter alignWithMargins="0">
    <oddHeader>&amp;R&amp;B&amp;D &amp;T</oddHeader>
    <oddFooter>&amp;C&amp;B Page &amp;P of &amp;N</oddFooter>
  </headerFooter>
  <rowBreaks count="1" manualBreakCount="1">
    <brk id="45"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7A187-2EF6-4619-938C-AF847C4E8423}">
  <dimension ref="A2:N160"/>
  <sheetViews>
    <sheetView topLeftCell="A103" workbookViewId="0">
      <selection activeCell="D125" sqref="D125"/>
    </sheetView>
  </sheetViews>
  <sheetFormatPr baseColWidth="10" defaultColWidth="8.83203125" defaultRowHeight="15"/>
  <cols>
    <col min="1" max="1" width="13.33203125" style="927" customWidth="1"/>
    <col min="2" max="2" width="18.5" customWidth="1"/>
    <col min="3" max="3" width="24.33203125" customWidth="1"/>
    <col min="4" max="13" width="11" customWidth="1"/>
    <col min="14" max="14" width="20.1640625" customWidth="1"/>
  </cols>
  <sheetData>
    <row r="2" spans="1:14">
      <c r="B2" s="1632" t="s">
        <v>965</v>
      </c>
      <c r="C2" s="1632"/>
      <c r="D2" s="1632"/>
      <c r="E2" s="1632"/>
      <c r="F2" s="1632"/>
      <c r="G2" s="1632"/>
      <c r="H2" s="1632"/>
      <c r="I2" s="1632"/>
      <c r="J2" s="1632"/>
      <c r="K2" s="1632"/>
      <c r="L2" s="1632"/>
      <c r="M2" s="1632"/>
      <c r="N2" s="1632"/>
    </row>
    <row r="3" spans="1:14">
      <c r="B3" s="1633" t="s">
        <v>2370</v>
      </c>
      <c r="C3" s="1633"/>
      <c r="D3" s="1633"/>
      <c r="E3" s="1633"/>
      <c r="F3" s="1633"/>
      <c r="G3" s="1633"/>
      <c r="H3" s="1633"/>
      <c r="I3" s="1633"/>
      <c r="J3" s="1633"/>
      <c r="K3" s="1633"/>
      <c r="L3" s="1633"/>
      <c r="M3" s="1633"/>
      <c r="N3" s="1633"/>
    </row>
    <row r="4" spans="1:14">
      <c r="B4" s="1633" t="s">
        <v>2371</v>
      </c>
      <c r="C4" s="1633"/>
      <c r="D4" s="1633"/>
      <c r="E4" s="1633"/>
      <c r="F4" s="1633"/>
      <c r="G4" s="1633"/>
      <c r="H4" s="1633"/>
      <c r="I4" s="1633"/>
      <c r="J4" s="1633"/>
      <c r="K4" s="1633"/>
      <c r="L4" s="1633"/>
      <c r="M4" s="1633"/>
      <c r="N4" s="1633"/>
    </row>
    <row r="5" spans="1:14">
      <c r="B5" s="1389"/>
      <c r="C5" s="1390"/>
      <c r="D5" s="1389" t="s">
        <v>2372</v>
      </c>
      <c r="E5" s="1389" t="s">
        <v>2373</v>
      </c>
      <c r="F5" s="1389" t="s">
        <v>2374</v>
      </c>
      <c r="G5" s="1389" t="s">
        <v>2375</v>
      </c>
      <c r="H5" s="1389" t="s">
        <v>2376</v>
      </c>
      <c r="I5" s="1389" t="s">
        <v>2377</v>
      </c>
      <c r="J5" s="1389" t="s">
        <v>2378</v>
      </c>
      <c r="K5" s="1389" t="s">
        <v>2379</v>
      </c>
      <c r="L5" s="1389" t="s">
        <v>2380</v>
      </c>
      <c r="M5" s="1389"/>
      <c r="N5" s="1389" t="s">
        <v>84</v>
      </c>
    </row>
    <row r="6" spans="1:14">
      <c r="B6" s="1391" t="s">
        <v>964</v>
      </c>
      <c r="C6" s="1392" t="s">
        <v>963</v>
      </c>
      <c r="D6" s="1393"/>
      <c r="E6" s="1393"/>
      <c r="F6" s="1393"/>
      <c r="G6" s="1393"/>
      <c r="H6" s="1393"/>
      <c r="I6" s="1393"/>
      <c r="J6" s="1393"/>
      <c r="K6" s="1393"/>
      <c r="L6" s="1393"/>
      <c r="M6" s="1393"/>
      <c r="N6" s="1393"/>
    </row>
    <row r="7" spans="1:14">
      <c r="B7" s="1394"/>
      <c r="C7" s="1395"/>
      <c r="D7" s="1394"/>
      <c r="E7" s="1394"/>
      <c r="F7" s="1394"/>
      <c r="G7" s="1394"/>
      <c r="H7" s="1394"/>
      <c r="I7" s="1394"/>
      <c r="J7" s="1394"/>
      <c r="K7" s="1394"/>
      <c r="L7" s="1394"/>
      <c r="M7" s="1394"/>
      <c r="N7" s="1394"/>
    </row>
    <row r="8" spans="1:14">
      <c r="B8" s="1396" t="s">
        <v>962</v>
      </c>
      <c r="C8" s="1397" t="s">
        <v>2381</v>
      </c>
      <c r="D8" s="1398"/>
      <c r="E8" s="1398"/>
      <c r="F8" s="1398"/>
      <c r="G8" s="1398"/>
      <c r="H8" s="1398"/>
      <c r="I8" s="1398"/>
      <c r="J8" s="1398"/>
      <c r="K8" s="1398"/>
      <c r="L8" s="1398"/>
      <c r="M8" s="1398"/>
      <c r="N8" s="1398"/>
    </row>
    <row r="9" spans="1:14">
      <c r="B9" s="1394"/>
      <c r="C9" s="1395"/>
      <c r="D9" s="1394"/>
      <c r="E9" s="1394"/>
      <c r="F9" s="1394"/>
      <c r="G9" s="1394"/>
      <c r="H9" s="1394"/>
      <c r="I9" s="1394"/>
      <c r="J9" s="1394"/>
      <c r="K9" s="1394"/>
      <c r="L9" s="1394"/>
      <c r="M9" s="1394"/>
      <c r="N9" s="1394"/>
    </row>
    <row r="10" spans="1:14">
      <c r="B10" s="1396" t="s">
        <v>961</v>
      </c>
      <c r="C10" s="1397" t="s">
        <v>960</v>
      </c>
      <c r="D10" s="1398"/>
      <c r="E10" s="1398"/>
      <c r="F10" s="1398"/>
      <c r="G10" s="1398"/>
      <c r="H10" s="1398"/>
      <c r="I10" s="1398"/>
      <c r="J10" s="1398"/>
      <c r="K10" s="1398"/>
      <c r="L10" s="1398"/>
      <c r="M10" s="1398"/>
      <c r="N10" s="1398"/>
    </row>
    <row r="11" spans="1:14">
      <c r="B11" s="1394" t="s">
        <v>959</v>
      </c>
      <c r="C11" s="1395" t="s">
        <v>958</v>
      </c>
      <c r="D11" s="1399"/>
      <c r="E11" s="1399"/>
      <c r="F11" s="1399"/>
      <c r="G11" s="1399"/>
      <c r="H11" s="1399"/>
      <c r="I11" s="1399"/>
      <c r="J11" s="1399"/>
      <c r="K11" s="1399"/>
      <c r="L11" s="1399"/>
      <c r="M11" s="1399"/>
      <c r="N11" s="1399"/>
    </row>
    <row r="12" spans="1:14">
      <c r="B12" s="1394" t="s">
        <v>957</v>
      </c>
      <c r="C12" s="1395" t="s">
        <v>956</v>
      </c>
      <c r="D12" s="1399"/>
      <c r="E12" s="1399"/>
      <c r="F12" s="1399"/>
      <c r="G12" s="1399"/>
      <c r="H12" s="1399"/>
      <c r="I12" s="1399"/>
      <c r="J12" s="1399"/>
      <c r="K12" s="1399"/>
      <c r="L12" s="1399"/>
      <c r="M12" s="1399"/>
      <c r="N12" s="1399"/>
    </row>
    <row r="13" spans="1:14">
      <c r="A13" s="977" t="s">
        <v>1389</v>
      </c>
      <c r="B13" s="1394" t="s">
        <v>955</v>
      </c>
      <c r="C13" s="1395" t="s">
        <v>954</v>
      </c>
      <c r="D13" s="1400">
        <v>151352.53</v>
      </c>
      <c r="E13" s="1400">
        <v>153538.73000000001</v>
      </c>
      <c r="F13" s="1400">
        <v>154088.07999999999</v>
      </c>
      <c r="G13" s="1400">
        <v>146241.98000000001</v>
      </c>
      <c r="H13" s="1400">
        <v>155413.21</v>
      </c>
      <c r="I13" s="1400">
        <v>155791.79</v>
      </c>
      <c r="J13" s="1400">
        <v>156284.37</v>
      </c>
      <c r="K13" s="1400">
        <v>157380.13</v>
      </c>
      <c r="L13" s="1400">
        <v>160542.63</v>
      </c>
      <c r="M13" s="1400"/>
      <c r="N13" s="1400">
        <v>1390633.45</v>
      </c>
    </row>
    <row r="14" spans="1:14">
      <c r="A14" s="977" t="s">
        <v>1342</v>
      </c>
      <c r="B14" s="1394" t="s">
        <v>2260</v>
      </c>
      <c r="C14" s="1395" t="s">
        <v>2261</v>
      </c>
      <c r="D14" s="1400">
        <v>2631.79</v>
      </c>
      <c r="E14" s="1400">
        <v>2631.79</v>
      </c>
      <c r="F14" s="1400">
        <v>2631.79</v>
      </c>
      <c r="G14" s="1400">
        <v>2631.79</v>
      </c>
      <c r="H14" s="1400">
        <v>2631.79</v>
      </c>
      <c r="I14" s="1400">
        <v>2631.79</v>
      </c>
      <c r="J14" s="1400">
        <v>2631.79</v>
      </c>
      <c r="K14" s="1400">
        <v>2631.79</v>
      </c>
      <c r="L14" s="1400">
        <v>2631.79</v>
      </c>
      <c r="M14" s="1400"/>
      <c r="N14" s="1400">
        <v>23686.11</v>
      </c>
    </row>
    <row r="15" spans="1:14">
      <c r="A15" s="977" t="s">
        <v>1403</v>
      </c>
      <c r="B15" s="1394" t="s">
        <v>1395</v>
      </c>
      <c r="C15" s="1395" t="s">
        <v>1394</v>
      </c>
      <c r="D15" s="1401">
        <v>0</v>
      </c>
      <c r="E15" s="1401">
        <v>-15952.99</v>
      </c>
      <c r="F15" s="1401">
        <v>0</v>
      </c>
      <c r="G15" s="1401">
        <v>0</v>
      </c>
      <c r="H15" s="1401">
        <v>0</v>
      </c>
      <c r="I15" s="1401">
        <v>0</v>
      </c>
      <c r="J15" s="1401">
        <v>0</v>
      </c>
      <c r="K15" s="1401">
        <v>-11247.18</v>
      </c>
      <c r="L15" s="1401">
        <v>-10383.75</v>
      </c>
      <c r="M15" s="1401"/>
      <c r="N15" s="1401">
        <v>-37583.919999999998</v>
      </c>
    </row>
    <row r="16" spans="1:14">
      <c r="B16" s="1394" t="s">
        <v>953</v>
      </c>
      <c r="C16" s="1395" t="s">
        <v>952</v>
      </c>
      <c r="D16" s="1403">
        <v>153984.32000000001</v>
      </c>
      <c r="E16" s="1403">
        <v>140217.53</v>
      </c>
      <c r="F16" s="1403">
        <v>156719.87</v>
      </c>
      <c r="G16" s="1403">
        <v>148873.76999999999</v>
      </c>
      <c r="H16" s="1403">
        <v>158045</v>
      </c>
      <c r="I16" s="1403">
        <v>158423.57999999999</v>
      </c>
      <c r="J16" s="1403">
        <v>158916.16</v>
      </c>
      <c r="K16" s="1403">
        <v>148764.74</v>
      </c>
      <c r="L16" s="1403">
        <v>152790.67000000001</v>
      </c>
      <c r="M16" s="1403"/>
      <c r="N16" s="1403">
        <v>1376735.64</v>
      </c>
    </row>
    <row r="17" spans="1:14">
      <c r="B17" s="1394" t="s">
        <v>951</v>
      </c>
      <c r="C17" s="1395" t="s">
        <v>950</v>
      </c>
      <c r="D17" s="1402">
        <v>153984.32000000001</v>
      </c>
      <c r="E17" s="1402">
        <v>140217.53</v>
      </c>
      <c r="F17" s="1402">
        <v>156719.87</v>
      </c>
      <c r="G17" s="1402">
        <v>148873.76999999999</v>
      </c>
      <c r="H17" s="1402">
        <v>158045</v>
      </c>
      <c r="I17" s="1402">
        <v>158423.57999999999</v>
      </c>
      <c r="J17" s="1402">
        <v>158916.16</v>
      </c>
      <c r="K17" s="1402">
        <v>148764.74</v>
      </c>
      <c r="L17" s="1402">
        <v>152790.67000000001</v>
      </c>
      <c r="M17" s="1402"/>
      <c r="N17" s="1402">
        <v>1376735.64</v>
      </c>
    </row>
    <row r="18" spans="1:14">
      <c r="B18" s="1394" t="s">
        <v>949</v>
      </c>
      <c r="C18" s="1395" t="s">
        <v>948</v>
      </c>
      <c r="D18" s="1399"/>
      <c r="E18" s="1399"/>
      <c r="F18" s="1399"/>
      <c r="G18" s="1399"/>
      <c r="H18" s="1399"/>
      <c r="I18" s="1399"/>
      <c r="J18" s="1399"/>
      <c r="K18" s="1399"/>
      <c r="L18" s="1399"/>
      <c r="M18" s="1399"/>
      <c r="N18" s="1399"/>
    </row>
    <row r="19" spans="1:14">
      <c r="B19" s="1394" t="s">
        <v>947</v>
      </c>
      <c r="C19" s="1395" t="s">
        <v>946</v>
      </c>
      <c r="D19" s="1399"/>
      <c r="E19" s="1399"/>
      <c r="F19" s="1399"/>
      <c r="G19" s="1399"/>
      <c r="H19" s="1399"/>
      <c r="I19" s="1399"/>
      <c r="J19" s="1399"/>
      <c r="K19" s="1399"/>
      <c r="L19" s="1399"/>
      <c r="M19" s="1399"/>
      <c r="N19" s="1399"/>
    </row>
    <row r="20" spans="1:14">
      <c r="B20" s="1394" t="s">
        <v>945</v>
      </c>
      <c r="C20" s="1395" t="s">
        <v>944</v>
      </c>
      <c r="D20" s="1400">
        <v>100760.62</v>
      </c>
      <c r="E20" s="1400">
        <v>96542.42</v>
      </c>
      <c r="F20" s="1400">
        <v>96542.42</v>
      </c>
      <c r="G20" s="1400">
        <v>89745.94</v>
      </c>
      <c r="H20" s="1400">
        <v>96542.42</v>
      </c>
      <c r="I20" s="1400">
        <v>96542.42</v>
      </c>
      <c r="J20" s="1400">
        <v>96542.42</v>
      </c>
      <c r="K20" s="1400">
        <v>96542.42</v>
      </c>
      <c r="L20" s="1400">
        <v>96709.92</v>
      </c>
      <c r="M20" s="1400"/>
      <c r="N20" s="1400">
        <v>866471</v>
      </c>
    </row>
    <row r="21" spans="1:14">
      <c r="B21" s="1394" t="s">
        <v>1388</v>
      </c>
      <c r="C21" s="1395" t="s">
        <v>1387</v>
      </c>
      <c r="D21" s="1401">
        <v>0</v>
      </c>
      <c r="E21" s="1401">
        <v>0</v>
      </c>
      <c r="F21" s="1401">
        <v>0</v>
      </c>
      <c r="G21" s="1401">
        <v>0</v>
      </c>
      <c r="H21" s="1401">
        <v>0</v>
      </c>
      <c r="I21" s="1401">
        <v>-31360.83</v>
      </c>
      <c r="J21" s="1401">
        <v>0</v>
      </c>
      <c r="K21" s="1401">
        <v>0</v>
      </c>
      <c r="L21" s="1401">
        <v>0</v>
      </c>
      <c r="M21" s="1401"/>
      <c r="N21" s="1401">
        <v>-31360.83</v>
      </c>
    </row>
    <row r="22" spans="1:14">
      <c r="B22" s="1394" t="s">
        <v>943</v>
      </c>
      <c r="C22" s="1395" t="s">
        <v>942</v>
      </c>
      <c r="D22" s="1403">
        <v>100760.62</v>
      </c>
      <c r="E22" s="1403">
        <v>96542.42</v>
      </c>
      <c r="F22" s="1403">
        <v>96542.42</v>
      </c>
      <c r="G22" s="1403">
        <v>89745.94</v>
      </c>
      <c r="H22" s="1403">
        <v>96542.42</v>
      </c>
      <c r="I22" s="1403">
        <v>65181.59</v>
      </c>
      <c r="J22" s="1403">
        <v>96542.42</v>
      </c>
      <c r="K22" s="1403">
        <v>96542.42</v>
      </c>
      <c r="L22" s="1403">
        <v>96709.92</v>
      </c>
      <c r="M22" s="1403"/>
      <c r="N22" s="1403">
        <v>835110.17</v>
      </c>
    </row>
    <row r="23" spans="1:14">
      <c r="A23" s="977" t="s">
        <v>1360</v>
      </c>
      <c r="B23" s="1394" t="s">
        <v>941</v>
      </c>
      <c r="C23" s="1395" t="s">
        <v>940</v>
      </c>
      <c r="D23" s="1402">
        <v>100760.62</v>
      </c>
      <c r="E23" s="1402">
        <v>96542.42</v>
      </c>
      <c r="F23" s="1402">
        <v>96542.42</v>
      </c>
      <c r="G23" s="1402">
        <v>89745.94</v>
      </c>
      <c r="H23" s="1402">
        <v>96542.42</v>
      </c>
      <c r="I23" s="1402">
        <v>65181.59</v>
      </c>
      <c r="J23" s="1402">
        <v>96542.42</v>
      </c>
      <c r="K23" s="1402">
        <v>96542.42</v>
      </c>
      <c r="L23" s="1402">
        <v>96709.92</v>
      </c>
      <c r="M23" s="1402"/>
      <c r="N23" s="1402">
        <v>835110.17</v>
      </c>
    </row>
    <row r="24" spans="1:14">
      <c r="B24" s="1394" t="s">
        <v>1359</v>
      </c>
      <c r="C24" s="1395" t="s">
        <v>1358</v>
      </c>
      <c r="D24" s="1399"/>
      <c r="E24" s="1399"/>
      <c r="F24" s="1399"/>
      <c r="G24" s="1399"/>
      <c r="H24" s="1399"/>
      <c r="I24" s="1399"/>
      <c r="J24" s="1399"/>
      <c r="K24" s="1399"/>
      <c r="L24" s="1399"/>
      <c r="M24" s="1399"/>
      <c r="N24" s="1399"/>
    </row>
    <row r="25" spans="1:14">
      <c r="B25" s="1394" t="s">
        <v>1357</v>
      </c>
      <c r="C25" s="1395" t="s">
        <v>1356</v>
      </c>
      <c r="D25" s="1399"/>
      <c r="E25" s="1399"/>
      <c r="F25" s="1399"/>
      <c r="G25" s="1399"/>
      <c r="H25" s="1399"/>
      <c r="I25" s="1399"/>
      <c r="J25" s="1399"/>
      <c r="K25" s="1399"/>
      <c r="L25" s="1399"/>
      <c r="M25" s="1399"/>
      <c r="N25" s="1399"/>
    </row>
    <row r="26" spans="1:14">
      <c r="A26" s="977" t="s">
        <v>1355</v>
      </c>
      <c r="B26" s="1394" t="s">
        <v>1354</v>
      </c>
      <c r="C26" s="1395" t="s">
        <v>1353</v>
      </c>
      <c r="D26" s="1400">
        <v>18500</v>
      </c>
      <c r="E26" s="1400">
        <v>18500</v>
      </c>
      <c r="F26" s="1400">
        <v>16226</v>
      </c>
      <c r="G26" s="1400">
        <v>26995.82</v>
      </c>
      <c r="H26" s="1400">
        <v>30258.639999999999</v>
      </c>
      <c r="I26" s="1400">
        <v>22000</v>
      </c>
      <c r="J26" s="1400">
        <v>39273.949999999997</v>
      </c>
      <c r="K26" s="1400">
        <v>27579.040000000001</v>
      </c>
      <c r="L26" s="1400">
        <v>23141.99</v>
      </c>
      <c r="M26" s="1400"/>
      <c r="N26" s="1400">
        <v>222475.44</v>
      </c>
    </row>
    <row r="27" spans="1:14">
      <c r="A27" s="977" t="s">
        <v>1342</v>
      </c>
      <c r="B27" s="1394" t="s">
        <v>1344</v>
      </c>
      <c r="C27" s="1395" t="s">
        <v>1343</v>
      </c>
      <c r="D27" s="1401">
        <v>69</v>
      </c>
      <c r="E27" s="1401">
        <v>69</v>
      </c>
      <c r="F27" s="1401">
        <v>5069</v>
      </c>
      <c r="G27" s="1401">
        <v>69</v>
      </c>
      <c r="H27" s="1401">
        <v>69</v>
      </c>
      <c r="I27" s="1401">
        <v>69</v>
      </c>
      <c r="J27" s="1401">
        <v>69</v>
      </c>
      <c r="K27" s="1401">
        <v>69</v>
      </c>
      <c r="L27" s="1401">
        <v>69</v>
      </c>
      <c r="M27" s="1401"/>
      <c r="N27" s="1401">
        <v>5621</v>
      </c>
    </row>
    <row r="28" spans="1:14">
      <c r="B28" s="1394" t="s">
        <v>1341</v>
      </c>
      <c r="C28" s="1395" t="s">
        <v>1340</v>
      </c>
      <c r="D28" s="1403">
        <v>18569</v>
      </c>
      <c r="E28" s="1403">
        <v>18569</v>
      </c>
      <c r="F28" s="1403">
        <v>21295</v>
      </c>
      <c r="G28" s="1403">
        <v>27064.82</v>
      </c>
      <c r="H28" s="1403">
        <v>30327.64</v>
      </c>
      <c r="I28" s="1403">
        <v>22069</v>
      </c>
      <c r="J28" s="1403">
        <v>39342.949999999997</v>
      </c>
      <c r="K28" s="1403">
        <v>27648.04</v>
      </c>
      <c r="L28" s="1403">
        <v>23210.99</v>
      </c>
      <c r="M28" s="1403"/>
      <c r="N28" s="1403">
        <v>228096.44</v>
      </c>
    </row>
    <row r="29" spans="1:14">
      <c r="B29" s="1394" t="s">
        <v>1339</v>
      </c>
      <c r="C29" s="1395" t="s">
        <v>1338</v>
      </c>
      <c r="D29" s="1403">
        <v>18569</v>
      </c>
      <c r="E29" s="1403">
        <v>18569</v>
      </c>
      <c r="F29" s="1403">
        <v>21295</v>
      </c>
      <c r="G29" s="1403">
        <v>27064.82</v>
      </c>
      <c r="H29" s="1403">
        <v>30327.64</v>
      </c>
      <c r="I29" s="1403">
        <v>22069</v>
      </c>
      <c r="J29" s="1403">
        <v>39342.949999999997</v>
      </c>
      <c r="K29" s="1403">
        <v>27648.04</v>
      </c>
      <c r="L29" s="1403">
        <v>23210.99</v>
      </c>
      <c r="M29" s="1403"/>
      <c r="N29" s="1403">
        <v>228096.44</v>
      </c>
    </row>
    <row r="30" spans="1:14">
      <c r="B30" s="1396" t="s">
        <v>939</v>
      </c>
      <c r="C30" s="1397" t="s">
        <v>938</v>
      </c>
      <c r="D30" s="1404">
        <v>273313.94</v>
      </c>
      <c r="E30" s="1404">
        <v>255328.95</v>
      </c>
      <c r="F30" s="1404">
        <v>274557.28999999998</v>
      </c>
      <c r="G30" s="1404">
        <v>265684.53000000003</v>
      </c>
      <c r="H30" s="1404">
        <v>284915.06</v>
      </c>
      <c r="I30" s="1404">
        <v>245674.17</v>
      </c>
      <c r="J30" s="1404">
        <v>294801.53000000003</v>
      </c>
      <c r="K30" s="1404">
        <v>272955.2</v>
      </c>
      <c r="L30" s="1404">
        <v>272711.58</v>
      </c>
      <c r="M30" s="1404"/>
      <c r="N30" s="1404">
        <v>2439942.25</v>
      </c>
    </row>
    <row r="31" spans="1:14">
      <c r="B31" s="1394"/>
      <c r="C31" s="1395"/>
      <c r="D31" s="1394"/>
      <c r="E31" s="1394"/>
      <c r="F31" s="1394"/>
      <c r="G31" s="1394"/>
      <c r="H31" s="1394"/>
      <c r="I31" s="1394"/>
      <c r="J31" s="1394"/>
      <c r="K31" s="1394"/>
      <c r="L31" s="1394"/>
      <c r="M31" s="1394"/>
      <c r="N31" s="1394"/>
    </row>
    <row r="32" spans="1:14">
      <c r="B32" s="1396" t="s">
        <v>937</v>
      </c>
      <c r="C32" s="1397" t="s">
        <v>936</v>
      </c>
      <c r="D32" s="1398"/>
      <c r="E32" s="1398"/>
      <c r="F32" s="1398"/>
      <c r="G32" s="1398"/>
      <c r="H32" s="1398"/>
      <c r="I32" s="1398"/>
      <c r="J32" s="1398"/>
      <c r="K32" s="1398"/>
      <c r="L32" s="1398"/>
      <c r="M32" s="1398"/>
      <c r="N32" s="1398"/>
    </row>
    <row r="33" spans="1:14">
      <c r="A33" s="977"/>
      <c r="B33" s="1394" t="s">
        <v>935</v>
      </c>
      <c r="C33" s="1395" t="s">
        <v>934</v>
      </c>
      <c r="D33" s="1399"/>
      <c r="E33" s="1399"/>
      <c r="F33" s="1399"/>
      <c r="G33" s="1399"/>
      <c r="H33" s="1399"/>
      <c r="I33" s="1399"/>
      <c r="J33" s="1399"/>
      <c r="K33" s="1399"/>
      <c r="L33" s="1399"/>
      <c r="M33" s="1399"/>
      <c r="N33" s="1399"/>
    </row>
    <row r="34" spans="1:14">
      <c r="B34" s="1394" t="s">
        <v>933</v>
      </c>
      <c r="C34" s="1395" t="s">
        <v>932</v>
      </c>
      <c r="D34" s="1399"/>
      <c r="E34" s="1399"/>
      <c r="F34" s="1399"/>
      <c r="G34" s="1399"/>
      <c r="H34" s="1399"/>
      <c r="I34" s="1399"/>
      <c r="J34" s="1399"/>
      <c r="K34" s="1399"/>
      <c r="L34" s="1399"/>
      <c r="M34" s="1399"/>
      <c r="N34" s="1399"/>
    </row>
    <row r="35" spans="1:14">
      <c r="B35" s="1394" t="s">
        <v>931</v>
      </c>
      <c r="C35" s="1395" t="s">
        <v>930</v>
      </c>
      <c r="D35" s="1399"/>
      <c r="E35" s="1399"/>
      <c r="F35" s="1399"/>
      <c r="G35" s="1399"/>
      <c r="H35" s="1399"/>
      <c r="I35" s="1399"/>
      <c r="J35" s="1399"/>
      <c r="K35" s="1399"/>
      <c r="L35" s="1399"/>
      <c r="M35" s="1399"/>
      <c r="N35" s="1399"/>
    </row>
    <row r="36" spans="1:14">
      <c r="A36" s="977"/>
      <c r="B36" s="1394" t="s">
        <v>1333</v>
      </c>
      <c r="C36" s="1395" t="s">
        <v>1332</v>
      </c>
      <c r="D36" s="1400">
        <v>0</v>
      </c>
      <c r="E36" s="1400">
        <v>0</v>
      </c>
      <c r="F36" s="1400">
        <v>0</v>
      </c>
      <c r="G36" s="1400">
        <v>0</v>
      </c>
      <c r="H36" s="1400">
        <v>0</v>
      </c>
      <c r="I36" s="1400">
        <v>275</v>
      </c>
      <c r="J36" s="1400">
        <v>0</v>
      </c>
      <c r="K36" s="1400">
        <v>0</v>
      </c>
      <c r="L36" s="1400">
        <v>0</v>
      </c>
      <c r="M36" s="1400"/>
      <c r="N36" s="1400">
        <v>275</v>
      </c>
    </row>
    <row r="37" spans="1:14">
      <c r="A37" s="977"/>
      <c r="B37" s="1394" t="s">
        <v>970</v>
      </c>
      <c r="C37" s="1395" t="s">
        <v>971</v>
      </c>
      <c r="D37" s="1400">
        <v>105</v>
      </c>
      <c r="E37" s="1400">
        <v>0</v>
      </c>
      <c r="F37" s="1400">
        <v>0</v>
      </c>
      <c r="G37" s="1400">
        <v>0</v>
      </c>
      <c r="H37" s="1400">
        <v>0</v>
      </c>
      <c r="I37" s="1400">
        <v>0</v>
      </c>
      <c r="J37" s="1400">
        <v>0</v>
      </c>
      <c r="K37" s="1400">
        <v>0</v>
      </c>
      <c r="L37" s="1400">
        <v>3000</v>
      </c>
      <c r="M37" s="1400"/>
      <c r="N37" s="1400">
        <v>3105</v>
      </c>
    </row>
    <row r="38" spans="1:14">
      <c r="B38" s="1394" t="s">
        <v>972</v>
      </c>
      <c r="C38" s="1395" t="s">
        <v>973</v>
      </c>
      <c r="D38" s="1400">
        <v>0</v>
      </c>
      <c r="E38" s="1400">
        <v>0</v>
      </c>
      <c r="F38" s="1400">
        <v>0</v>
      </c>
      <c r="G38" s="1400">
        <v>1100</v>
      </c>
      <c r="H38" s="1400">
        <v>0</v>
      </c>
      <c r="I38" s="1400">
        <v>0</v>
      </c>
      <c r="J38" s="1400">
        <v>395</v>
      </c>
      <c r="K38" s="1400">
        <v>0</v>
      </c>
      <c r="L38" s="1400">
        <v>0</v>
      </c>
      <c r="M38" s="1400"/>
      <c r="N38" s="1400">
        <v>1495</v>
      </c>
    </row>
    <row r="39" spans="1:14">
      <c r="B39" s="1394" t="s">
        <v>929</v>
      </c>
      <c r="C39" s="1395" t="s">
        <v>928</v>
      </c>
      <c r="D39" s="1400">
        <v>0</v>
      </c>
      <c r="E39" s="1400">
        <v>0</v>
      </c>
      <c r="F39" s="1400">
        <v>0</v>
      </c>
      <c r="G39" s="1400">
        <v>0</v>
      </c>
      <c r="H39" s="1400">
        <v>0</v>
      </c>
      <c r="I39" s="1400">
        <v>500</v>
      </c>
      <c r="J39" s="1400">
        <v>900</v>
      </c>
      <c r="K39" s="1400">
        <v>0</v>
      </c>
      <c r="L39" s="1400">
        <v>0</v>
      </c>
      <c r="M39" s="1400"/>
      <c r="N39" s="1400">
        <v>1400</v>
      </c>
    </row>
    <row r="40" spans="1:14">
      <c r="B40" s="1394" t="s">
        <v>1331</v>
      </c>
      <c r="C40" s="1395" t="s">
        <v>1330</v>
      </c>
      <c r="D40" s="1400">
        <v>0</v>
      </c>
      <c r="E40" s="1400">
        <v>0</v>
      </c>
      <c r="F40" s="1400">
        <v>0</v>
      </c>
      <c r="G40" s="1400">
        <v>0</v>
      </c>
      <c r="H40" s="1400">
        <v>0</v>
      </c>
      <c r="I40" s="1400">
        <v>0</v>
      </c>
      <c r="J40" s="1400">
        <v>0</v>
      </c>
      <c r="K40" s="1400">
        <v>0</v>
      </c>
      <c r="L40" s="1400">
        <v>185</v>
      </c>
      <c r="M40" s="1400"/>
      <c r="N40" s="1400">
        <v>185</v>
      </c>
    </row>
    <row r="41" spans="1:14">
      <c r="B41" s="1394" t="s">
        <v>927</v>
      </c>
      <c r="C41" s="1395" t="s">
        <v>926</v>
      </c>
      <c r="D41" s="1400">
        <v>0</v>
      </c>
      <c r="E41" s="1400">
        <v>0</v>
      </c>
      <c r="F41" s="1400">
        <v>0</v>
      </c>
      <c r="G41" s="1400">
        <v>0</v>
      </c>
      <c r="H41" s="1400">
        <v>0</v>
      </c>
      <c r="I41" s="1400">
        <v>0</v>
      </c>
      <c r="J41" s="1400">
        <v>355</v>
      </c>
      <c r="K41" s="1400">
        <v>4850</v>
      </c>
      <c r="L41" s="1400">
        <v>0</v>
      </c>
      <c r="M41" s="1400"/>
      <c r="N41" s="1400">
        <v>5205</v>
      </c>
    </row>
    <row r="42" spans="1:14">
      <c r="B42" s="1394" t="s">
        <v>1329</v>
      </c>
      <c r="C42" s="1395" t="s">
        <v>1328</v>
      </c>
      <c r="D42" s="1400">
        <v>0</v>
      </c>
      <c r="E42" s="1400">
        <v>0</v>
      </c>
      <c r="F42" s="1400">
        <v>0</v>
      </c>
      <c r="G42" s="1400">
        <v>0</v>
      </c>
      <c r="H42" s="1400">
        <v>0</v>
      </c>
      <c r="I42" s="1400">
        <v>0</v>
      </c>
      <c r="J42" s="1400">
        <v>1490</v>
      </c>
      <c r="K42" s="1400">
        <v>0</v>
      </c>
      <c r="L42" s="1400">
        <v>0</v>
      </c>
      <c r="M42" s="1400"/>
      <c r="N42" s="1400">
        <v>1490</v>
      </c>
    </row>
    <row r="43" spans="1:14">
      <c r="B43" s="1394" t="s">
        <v>974</v>
      </c>
      <c r="C43" s="1395" t="s">
        <v>975</v>
      </c>
      <c r="D43" s="1401">
        <v>0</v>
      </c>
      <c r="E43" s="1401">
        <v>111</v>
      </c>
      <c r="F43" s="1401">
        <v>165</v>
      </c>
      <c r="G43" s="1401">
        <v>0</v>
      </c>
      <c r="H43" s="1401">
        <v>368.67</v>
      </c>
      <c r="I43" s="1401">
        <v>0</v>
      </c>
      <c r="J43" s="1401">
        <v>0</v>
      </c>
      <c r="K43" s="1401">
        <v>0</v>
      </c>
      <c r="L43" s="1401">
        <v>129.27000000000001</v>
      </c>
      <c r="M43" s="1401"/>
      <c r="N43" s="1401">
        <v>773.94</v>
      </c>
    </row>
    <row r="44" spans="1:14">
      <c r="B44" s="1394" t="s">
        <v>925</v>
      </c>
      <c r="C44" s="1395" t="s">
        <v>924</v>
      </c>
      <c r="D44" s="1402">
        <v>105</v>
      </c>
      <c r="E44" s="1402">
        <v>111</v>
      </c>
      <c r="F44" s="1402">
        <v>165</v>
      </c>
      <c r="G44" s="1402">
        <v>1100</v>
      </c>
      <c r="H44" s="1402">
        <v>368.67</v>
      </c>
      <c r="I44" s="1402">
        <v>775</v>
      </c>
      <c r="J44" s="1402">
        <v>3140</v>
      </c>
      <c r="K44" s="1402">
        <v>4850</v>
      </c>
      <c r="L44" s="1402">
        <v>3314.27</v>
      </c>
      <c r="M44" s="1402"/>
      <c r="N44" s="1402">
        <v>13928.94</v>
      </c>
    </row>
    <row r="45" spans="1:14">
      <c r="B45" s="1394" t="s">
        <v>923</v>
      </c>
      <c r="C45" s="1395" t="s">
        <v>922</v>
      </c>
      <c r="D45" s="1399"/>
      <c r="E45" s="1399"/>
      <c r="F45" s="1399"/>
      <c r="G45" s="1399"/>
      <c r="H45" s="1399"/>
      <c r="I45" s="1399"/>
      <c r="J45" s="1399"/>
      <c r="K45" s="1399"/>
      <c r="L45" s="1399"/>
      <c r="M45" s="1399"/>
      <c r="N45" s="1399"/>
    </row>
    <row r="46" spans="1:14">
      <c r="B46" s="1394" t="s">
        <v>921</v>
      </c>
      <c r="C46" s="1395" t="s">
        <v>920</v>
      </c>
      <c r="D46" s="1400">
        <v>0</v>
      </c>
      <c r="E46" s="1400">
        <v>67.95</v>
      </c>
      <c r="F46" s="1400">
        <v>135.9</v>
      </c>
      <c r="G46" s="1400">
        <v>562.79999999999995</v>
      </c>
      <c r="H46" s="1400">
        <v>339.83</v>
      </c>
      <c r="I46" s="1400">
        <v>350.1</v>
      </c>
      <c r="J46" s="1400">
        <v>204.7</v>
      </c>
      <c r="K46" s="1400">
        <v>2647.95</v>
      </c>
      <c r="L46" s="1400">
        <v>192.95</v>
      </c>
      <c r="M46" s="1400"/>
      <c r="N46" s="1400">
        <v>4502.18</v>
      </c>
    </row>
    <row r="47" spans="1:14">
      <c r="B47" s="1394" t="s">
        <v>917</v>
      </c>
      <c r="C47" s="1395" t="s">
        <v>916</v>
      </c>
      <c r="D47" s="1401">
        <v>0</v>
      </c>
      <c r="E47" s="1401">
        <v>33174.980000000003</v>
      </c>
      <c r="F47" s="1401">
        <v>495</v>
      </c>
      <c r="G47" s="1401">
        <v>0</v>
      </c>
      <c r="H47" s="1401">
        <v>67767.44</v>
      </c>
      <c r="I47" s="1401">
        <v>34121.08</v>
      </c>
      <c r="J47" s="1401">
        <v>0</v>
      </c>
      <c r="K47" s="1401">
        <v>16555.400000000001</v>
      </c>
      <c r="L47" s="1401">
        <v>19988.16</v>
      </c>
      <c r="M47" s="1401"/>
      <c r="N47" s="1401">
        <v>172102.06</v>
      </c>
    </row>
    <row r="48" spans="1:14">
      <c r="B48" s="1394" t="s">
        <v>915</v>
      </c>
      <c r="C48" s="1395" t="s">
        <v>914</v>
      </c>
      <c r="D48" s="1402">
        <v>0</v>
      </c>
      <c r="E48" s="1402">
        <v>33242.93</v>
      </c>
      <c r="F48" s="1402">
        <v>630.9</v>
      </c>
      <c r="G48" s="1402">
        <v>562.79999999999995</v>
      </c>
      <c r="H48" s="1402">
        <v>68107.27</v>
      </c>
      <c r="I48" s="1402">
        <v>34471.18</v>
      </c>
      <c r="J48" s="1402">
        <v>204.7</v>
      </c>
      <c r="K48" s="1402">
        <v>19203.349999999999</v>
      </c>
      <c r="L48" s="1402">
        <v>20181.11</v>
      </c>
      <c r="M48" s="1402"/>
      <c r="N48" s="1402">
        <v>176604.24</v>
      </c>
    </row>
    <row r="49" spans="2:14">
      <c r="B49" s="1394" t="s">
        <v>913</v>
      </c>
      <c r="C49" s="1395" t="s">
        <v>912</v>
      </c>
      <c r="D49" s="1399"/>
      <c r="E49" s="1399"/>
      <c r="F49" s="1399"/>
      <c r="G49" s="1399"/>
      <c r="H49" s="1399"/>
      <c r="I49" s="1399"/>
      <c r="J49" s="1399"/>
      <c r="K49" s="1399"/>
      <c r="L49" s="1399"/>
      <c r="M49" s="1399"/>
      <c r="N49" s="1399"/>
    </row>
    <row r="50" spans="2:14">
      <c r="B50" s="1394" t="s">
        <v>911</v>
      </c>
      <c r="C50" s="1395" t="s">
        <v>910</v>
      </c>
      <c r="D50" s="1400">
        <v>0</v>
      </c>
      <c r="E50" s="1400">
        <v>1600</v>
      </c>
      <c r="F50" s="1400">
        <v>800</v>
      </c>
      <c r="G50" s="1400">
        <v>800</v>
      </c>
      <c r="H50" s="1400">
        <v>800</v>
      </c>
      <c r="I50" s="1400">
        <v>0</v>
      </c>
      <c r="J50" s="1400">
        <v>1000</v>
      </c>
      <c r="K50" s="1400">
        <v>500</v>
      </c>
      <c r="L50" s="1400">
        <v>500</v>
      </c>
      <c r="M50" s="1400"/>
      <c r="N50" s="1400">
        <v>6000</v>
      </c>
    </row>
    <row r="51" spans="2:14">
      <c r="B51" s="1394" t="s">
        <v>2368</v>
      </c>
      <c r="C51" s="1395" t="s">
        <v>2369</v>
      </c>
      <c r="D51" s="1401">
        <v>0</v>
      </c>
      <c r="E51" s="1401">
        <v>2200</v>
      </c>
      <c r="F51" s="1401">
        <v>7750</v>
      </c>
      <c r="G51" s="1401">
        <v>400</v>
      </c>
      <c r="H51" s="1401">
        <v>0</v>
      </c>
      <c r="I51" s="1401">
        <v>0</v>
      </c>
      <c r="J51" s="1401">
        <v>0</v>
      </c>
      <c r="K51" s="1401">
        <v>0</v>
      </c>
      <c r="L51" s="1401">
        <v>0</v>
      </c>
      <c r="M51" s="1401"/>
      <c r="N51" s="1401">
        <v>10350</v>
      </c>
    </row>
    <row r="52" spans="2:14">
      <c r="B52" s="1394" t="s">
        <v>909</v>
      </c>
      <c r="C52" s="1395" t="s">
        <v>908</v>
      </c>
      <c r="D52" s="1402">
        <v>0</v>
      </c>
      <c r="E52" s="1402">
        <v>3800</v>
      </c>
      <c r="F52" s="1402">
        <v>8550</v>
      </c>
      <c r="G52" s="1402">
        <v>1200</v>
      </c>
      <c r="H52" s="1402">
        <v>800</v>
      </c>
      <c r="I52" s="1402">
        <v>0</v>
      </c>
      <c r="J52" s="1402">
        <v>1000</v>
      </c>
      <c r="K52" s="1402">
        <v>500</v>
      </c>
      <c r="L52" s="1402">
        <v>500</v>
      </c>
      <c r="M52" s="1402"/>
      <c r="N52" s="1402">
        <v>16350</v>
      </c>
    </row>
    <row r="53" spans="2:14">
      <c r="B53" s="1394" t="s">
        <v>907</v>
      </c>
      <c r="C53" s="1395" t="s">
        <v>906</v>
      </c>
      <c r="D53" s="1399"/>
      <c r="E53" s="1399"/>
      <c r="F53" s="1399"/>
      <c r="G53" s="1399"/>
      <c r="H53" s="1399"/>
      <c r="I53" s="1399"/>
      <c r="J53" s="1399"/>
      <c r="K53" s="1399"/>
      <c r="L53" s="1399"/>
      <c r="M53" s="1399"/>
      <c r="N53" s="1399"/>
    </row>
    <row r="54" spans="2:14">
      <c r="B54" s="1394" t="s">
        <v>1319</v>
      </c>
      <c r="C54" s="1395" t="s">
        <v>1318</v>
      </c>
      <c r="D54" s="1400">
        <v>0</v>
      </c>
      <c r="E54" s="1400">
        <v>1400</v>
      </c>
      <c r="F54" s="1400">
        <v>820</v>
      </c>
      <c r="G54" s="1400">
        <v>700</v>
      </c>
      <c r="H54" s="1400">
        <v>700</v>
      </c>
      <c r="I54" s="1400">
        <v>0</v>
      </c>
      <c r="J54" s="1400">
        <v>700</v>
      </c>
      <c r="K54" s="1400">
        <v>700</v>
      </c>
      <c r="L54" s="1400">
        <v>700</v>
      </c>
      <c r="M54" s="1400"/>
      <c r="N54" s="1400">
        <v>5720</v>
      </c>
    </row>
    <row r="55" spans="2:14">
      <c r="B55" s="1394" t="s">
        <v>905</v>
      </c>
      <c r="C55" s="1395" t="s">
        <v>904</v>
      </c>
      <c r="D55" s="1401">
        <v>0</v>
      </c>
      <c r="E55" s="1401">
        <v>0</v>
      </c>
      <c r="F55" s="1401">
        <v>0</v>
      </c>
      <c r="G55" s="1401">
        <v>800</v>
      </c>
      <c r="H55" s="1401">
        <v>225</v>
      </c>
      <c r="I55" s="1401">
        <v>0</v>
      </c>
      <c r="J55" s="1401">
        <v>0</v>
      </c>
      <c r="K55" s="1401">
        <v>0</v>
      </c>
      <c r="L55" s="1401">
        <v>0</v>
      </c>
      <c r="M55" s="1401"/>
      <c r="N55" s="1401">
        <v>1025</v>
      </c>
    </row>
    <row r="56" spans="2:14">
      <c r="B56" s="1394" t="s">
        <v>903</v>
      </c>
      <c r="C56" s="1395" t="s">
        <v>902</v>
      </c>
      <c r="D56" s="1402">
        <v>0</v>
      </c>
      <c r="E56" s="1402">
        <v>1400</v>
      </c>
      <c r="F56" s="1402">
        <v>820</v>
      </c>
      <c r="G56" s="1402">
        <v>1500</v>
      </c>
      <c r="H56" s="1402">
        <v>925</v>
      </c>
      <c r="I56" s="1402">
        <v>0</v>
      </c>
      <c r="J56" s="1402">
        <v>700</v>
      </c>
      <c r="K56" s="1402">
        <v>700</v>
      </c>
      <c r="L56" s="1402">
        <v>700</v>
      </c>
      <c r="M56" s="1402"/>
      <c r="N56" s="1402">
        <v>6745</v>
      </c>
    </row>
    <row r="57" spans="2:14">
      <c r="B57" s="1394" t="s">
        <v>901</v>
      </c>
      <c r="C57" s="1395" t="s">
        <v>900</v>
      </c>
      <c r="D57" s="1399"/>
      <c r="E57" s="1399"/>
      <c r="F57" s="1399"/>
      <c r="G57" s="1399"/>
      <c r="H57" s="1399"/>
      <c r="I57" s="1399"/>
      <c r="J57" s="1399"/>
      <c r="K57" s="1399"/>
      <c r="L57" s="1399"/>
      <c r="M57" s="1399"/>
      <c r="N57" s="1399"/>
    </row>
    <row r="58" spans="2:14">
      <c r="B58" s="1394" t="s">
        <v>899</v>
      </c>
      <c r="C58" s="1395" t="s">
        <v>898</v>
      </c>
      <c r="D58" s="1400">
        <v>0</v>
      </c>
      <c r="E58" s="1400">
        <v>0</v>
      </c>
      <c r="F58" s="1400">
        <v>0</v>
      </c>
      <c r="G58" s="1400">
        <v>530</v>
      </c>
      <c r="H58" s="1400">
        <v>0</v>
      </c>
      <c r="I58" s="1400">
        <v>380</v>
      </c>
      <c r="J58" s="1400">
        <v>0</v>
      </c>
      <c r="K58" s="1400">
        <v>0</v>
      </c>
      <c r="L58" s="1400">
        <v>0</v>
      </c>
      <c r="M58" s="1400"/>
      <c r="N58" s="1400">
        <v>910</v>
      </c>
    </row>
    <row r="59" spans="2:14">
      <c r="B59" s="1394" t="s">
        <v>1315</v>
      </c>
      <c r="C59" s="1395" t="s">
        <v>1314</v>
      </c>
      <c r="D59" s="1400">
        <v>0</v>
      </c>
      <c r="E59" s="1400">
        <v>12600</v>
      </c>
      <c r="F59" s="1400">
        <v>6300</v>
      </c>
      <c r="G59" s="1400">
        <v>7020</v>
      </c>
      <c r="H59" s="1400">
        <v>6300</v>
      </c>
      <c r="I59" s="1400">
        <v>0</v>
      </c>
      <c r="J59" s="1400">
        <v>12694</v>
      </c>
      <c r="K59" s="1400">
        <v>6300</v>
      </c>
      <c r="L59" s="1400">
        <v>6300</v>
      </c>
      <c r="M59" s="1400"/>
      <c r="N59" s="1400">
        <v>57514</v>
      </c>
    </row>
    <row r="60" spans="2:14">
      <c r="B60" s="1394" t="s">
        <v>1313</v>
      </c>
      <c r="C60" s="1395" t="s">
        <v>1312</v>
      </c>
      <c r="D60" s="1400">
        <v>0</v>
      </c>
      <c r="E60" s="1400">
        <v>0</v>
      </c>
      <c r="F60" s="1400">
        <v>0</v>
      </c>
      <c r="G60" s="1400">
        <v>295</v>
      </c>
      <c r="H60" s="1400">
        <v>0</v>
      </c>
      <c r="I60" s="1400">
        <v>0</v>
      </c>
      <c r="J60" s="1400">
        <v>0</v>
      </c>
      <c r="K60" s="1400">
        <v>0</v>
      </c>
      <c r="L60" s="1400">
        <v>0</v>
      </c>
      <c r="M60" s="1400"/>
      <c r="N60" s="1400">
        <v>295</v>
      </c>
    </row>
    <row r="61" spans="2:14">
      <c r="B61" s="1394" t="s">
        <v>1311</v>
      </c>
      <c r="C61" s="1395" t="s">
        <v>1310</v>
      </c>
      <c r="D61" s="1400">
        <v>0</v>
      </c>
      <c r="E61" s="1400">
        <v>0</v>
      </c>
      <c r="F61" s="1400">
        <v>0</v>
      </c>
      <c r="G61" s="1400">
        <v>1925</v>
      </c>
      <c r="H61" s="1400">
        <v>0</v>
      </c>
      <c r="I61" s="1400">
        <v>0</v>
      </c>
      <c r="J61" s="1400">
        <v>0</v>
      </c>
      <c r="K61" s="1400">
        <v>1600</v>
      </c>
      <c r="L61" s="1400">
        <v>0</v>
      </c>
      <c r="M61" s="1400"/>
      <c r="N61" s="1400">
        <v>3525</v>
      </c>
    </row>
    <row r="62" spans="2:14">
      <c r="B62" s="1394" t="s">
        <v>897</v>
      </c>
      <c r="C62" s="1395" t="s">
        <v>896</v>
      </c>
      <c r="D62" s="1400">
        <v>0</v>
      </c>
      <c r="E62" s="1400">
        <v>1696</v>
      </c>
      <c r="F62" s="1400">
        <v>683</v>
      </c>
      <c r="G62" s="1400">
        <v>893</v>
      </c>
      <c r="H62" s="1400">
        <v>285</v>
      </c>
      <c r="I62" s="1400">
        <v>0</v>
      </c>
      <c r="J62" s="1400">
        <v>198</v>
      </c>
      <c r="K62" s="1400">
        <v>235</v>
      </c>
      <c r="L62" s="1400">
        <v>435</v>
      </c>
      <c r="M62" s="1400"/>
      <c r="N62" s="1400">
        <v>4425</v>
      </c>
    </row>
    <row r="63" spans="2:14">
      <c r="B63" s="1394" t="s">
        <v>976</v>
      </c>
      <c r="C63" s="1395" t="s">
        <v>977</v>
      </c>
      <c r="D63" s="1401">
        <v>0</v>
      </c>
      <c r="E63" s="1401">
        <v>1665</v>
      </c>
      <c r="F63" s="1401">
        <v>820</v>
      </c>
      <c r="G63" s="1401">
        <v>815</v>
      </c>
      <c r="H63" s="1401">
        <v>815</v>
      </c>
      <c r="I63" s="1401">
        <v>0</v>
      </c>
      <c r="J63" s="1401">
        <v>1780</v>
      </c>
      <c r="K63" s="1401">
        <v>805</v>
      </c>
      <c r="L63" s="1401">
        <v>815</v>
      </c>
      <c r="M63" s="1401"/>
      <c r="N63" s="1401">
        <v>7515</v>
      </c>
    </row>
    <row r="64" spans="2:14">
      <c r="B64" s="1394" t="s">
        <v>895</v>
      </c>
      <c r="C64" s="1395" t="s">
        <v>894</v>
      </c>
      <c r="D64" s="1403">
        <v>0</v>
      </c>
      <c r="E64" s="1403">
        <v>15961</v>
      </c>
      <c r="F64" s="1403">
        <v>7803</v>
      </c>
      <c r="G64" s="1403">
        <v>11478</v>
      </c>
      <c r="H64" s="1403">
        <v>7400</v>
      </c>
      <c r="I64" s="1403">
        <v>380</v>
      </c>
      <c r="J64" s="1403">
        <v>14672</v>
      </c>
      <c r="K64" s="1403">
        <v>8940</v>
      </c>
      <c r="L64" s="1403">
        <v>7550</v>
      </c>
      <c r="M64" s="1403"/>
      <c r="N64" s="1403">
        <v>74184</v>
      </c>
    </row>
    <row r="65" spans="1:14">
      <c r="B65" s="1394" t="s">
        <v>893</v>
      </c>
      <c r="C65" s="1395" t="s">
        <v>892</v>
      </c>
      <c r="D65" s="1402">
        <v>105</v>
      </c>
      <c r="E65" s="1402">
        <v>54514.93</v>
      </c>
      <c r="F65" s="1402">
        <v>17968.900000000001</v>
      </c>
      <c r="G65" s="1402">
        <v>15840.8</v>
      </c>
      <c r="H65" s="1402">
        <v>77600.94</v>
      </c>
      <c r="I65" s="1402">
        <v>35626.18</v>
      </c>
      <c r="J65" s="1402">
        <v>19716.7</v>
      </c>
      <c r="K65" s="1402">
        <v>34193.35</v>
      </c>
      <c r="L65" s="1402">
        <v>32245.38</v>
      </c>
      <c r="M65" s="1402"/>
      <c r="N65" s="1402">
        <v>287812.18</v>
      </c>
    </row>
    <row r="66" spans="1:14">
      <c r="B66" s="1394" t="s">
        <v>891</v>
      </c>
      <c r="C66" s="1395" t="s">
        <v>890</v>
      </c>
      <c r="D66" s="1399"/>
      <c r="E66" s="1399"/>
      <c r="F66" s="1399"/>
      <c r="G66" s="1399"/>
      <c r="H66" s="1399"/>
      <c r="I66" s="1399"/>
      <c r="J66" s="1399"/>
      <c r="K66" s="1399"/>
      <c r="L66" s="1399"/>
      <c r="M66" s="1399"/>
      <c r="N66" s="1399"/>
    </row>
    <row r="67" spans="1:14">
      <c r="B67" s="1394" t="s">
        <v>889</v>
      </c>
      <c r="C67" s="1395" t="s">
        <v>888</v>
      </c>
      <c r="D67" s="1399"/>
      <c r="E67" s="1399"/>
      <c r="F67" s="1399"/>
      <c r="G67" s="1399"/>
      <c r="H67" s="1399"/>
      <c r="I67" s="1399"/>
      <c r="J67" s="1399"/>
      <c r="K67" s="1399"/>
      <c r="L67" s="1399"/>
      <c r="M67" s="1399"/>
      <c r="N67" s="1399"/>
    </row>
    <row r="68" spans="1:14">
      <c r="B68" s="1394" t="s">
        <v>887</v>
      </c>
      <c r="C68" s="1395" t="s">
        <v>886</v>
      </c>
      <c r="D68" s="1400">
        <v>19738.5</v>
      </c>
      <c r="E68" s="1400">
        <v>16214.79</v>
      </c>
      <c r="F68" s="1400">
        <v>21685.98</v>
      </c>
      <c r="G68" s="1400">
        <v>22415.38</v>
      </c>
      <c r="H68" s="1400">
        <v>22363.56</v>
      </c>
      <c r="I68" s="1400">
        <v>22696.58</v>
      </c>
      <c r="J68" s="1400">
        <v>29772.26</v>
      </c>
      <c r="K68" s="1400">
        <v>27195.01</v>
      </c>
      <c r="L68" s="1400">
        <v>31513.09</v>
      </c>
      <c r="M68" s="1400"/>
      <c r="N68" s="1400">
        <v>213595.15</v>
      </c>
    </row>
    <row r="69" spans="1:14">
      <c r="B69" s="1394" t="s">
        <v>885</v>
      </c>
      <c r="C69" s="1395" t="s">
        <v>884</v>
      </c>
      <c r="D69" s="1400">
        <v>11156.73</v>
      </c>
      <c r="E69" s="1400">
        <v>23789.56</v>
      </c>
      <c r="F69" s="1400">
        <v>11824.36</v>
      </c>
      <c r="G69" s="1400">
        <v>12628.96</v>
      </c>
      <c r="H69" s="1400">
        <v>14335.59</v>
      </c>
      <c r="I69" s="1400">
        <v>13785.17</v>
      </c>
      <c r="J69" s="1400">
        <v>16700.8</v>
      </c>
      <c r="K69" s="1400">
        <v>14906.12</v>
      </c>
      <c r="L69" s="1400">
        <v>13112.88</v>
      </c>
      <c r="M69" s="1400"/>
      <c r="N69" s="1400">
        <v>132240.17000000001</v>
      </c>
    </row>
    <row r="70" spans="1:14">
      <c r="B70" s="1394" t="s">
        <v>2267</v>
      </c>
      <c r="C70" s="1395" t="s">
        <v>2268</v>
      </c>
      <c r="D70" s="1400">
        <v>114.98</v>
      </c>
      <c r="E70" s="1400">
        <v>114.98</v>
      </c>
      <c r="F70" s="1400">
        <v>124.69</v>
      </c>
      <c r="G70" s="1400">
        <v>122.97</v>
      </c>
      <c r="H70" s="1400">
        <v>122.97</v>
      </c>
      <c r="I70" s="1400">
        <v>122.97</v>
      </c>
      <c r="J70" s="1400">
        <v>142.96</v>
      </c>
      <c r="K70" s="1400">
        <v>137.11000000000001</v>
      </c>
      <c r="L70" s="1400">
        <v>450.94</v>
      </c>
      <c r="M70" s="1400"/>
      <c r="N70" s="1400">
        <v>1454.57</v>
      </c>
    </row>
    <row r="71" spans="1:14">
      <c r="B71" s="1394" t="s">
        <v>883</v>
      </c>
      <c r="C71" s="1395" t="s">
        <v>882</v>
      </c>
      <c r="D71" s="1400">
        <v>-942.84</v>
      </c>
      <c r="E71" s="1400">
        <v>24520.6</v>
      </c>
      <c r="F71" s="1400">
        <v>15390.24</v>
      </c>
      <c r="G71" s="1400">
        <v>15296.44</v>
      </c>
      <c r="H71" s="1400">
        <v>13649.86</v>
      </c>
      <c r="I71" s="1400">
        <v>13200.6</v>
      </c>
      <c r="J71" s="1400">
        <v>15792.46</v>
      </c>
      <c r="K71" s="1400">
        <v>17237.36</v>
      </c>
      <c r="L71" s="1400">
        <v>17081.22</v>
      </c>
      <c r="M71" s="1400"/>
      <c r="N71" s="1400">
        <v>131225.94</v>
      </c>
    </row>
    <row r="72" spans="1:14">
      <c r="B72" s="1394" t="s">
        <v>1309</v>
      </c>
      <c r="C72" s="1395" t="s">
        <v>1308</v>
      </c>
      <c r="D72" s="1401">
        <v>16.07</v>
      </c>
      <c r="E72" s="1401">
        <v>0.08</v>
      </c>
      <c r="F72" s="1401">
        <v>18.57</v>
      </c>
      <c r="G72" s="1401">
        <v>17.100000000000001</v>
      </c>
      <c r="H72" s="1401">
        <v>18.670000000000002</v>
      </c>
      <c r="I72" s="1401">
        <v>15.71</v>
      </c>
      <c r="J72" s="1401">
        <v>87.83</v>
      </c>
      <c r="K72" s="1401">
        <v>-52.67</v>
      </c>
      <c r="L72" s="1401">
        <v>16.7</v>
      </c>
      <c r="M72" s="1401"/>
      <c r="N72" s="1401">
        <v>138.06</v>
      </c>
    </row>
    <row r="73" spans="1:14">
      <c r="B73" s="1394" t="s">
        <v>881</v>
      </c>
      <c r="C73" s="1395" t="s">
        <v>880</v>
      </c>
      <c r="D73" s="1403">
        <v>30083.439999999999</v>
      </c>
      <c r="E73" s="1403">
        <v>64640.01</v>
      </c>
      <c r="F73" s="1403">
        <v>49043.839999999997</v>
      </c>
      <c r="G73" s="1403">
        <v>50480.85</v>
      </c>
      <c r="H73" s="1403">
        <v>50490.65</v>
      </c>
      <c r="I73" s="1403">
        <v>49821.03</v>
      </c>
      <c r="J73" s="1403">
        <v>62496.31</v>
      </c>
      <c r="K73" s="1403">
        <v>59422.93</v>
      </c>
      <c r="L73" s="1403">
        <v>62174.83</v>
      </c>
      <c r="M73" s="1403"/>
      <c r="N73" s="1403">
        <v>478653.89</v>
      </c>
    </row>
    <row r="74" spans="1:14">
      <c r="A74" s="977" t="s">
        <v>1307</v>
      </c>
      <c r="B74" s="1394" t="s">
        <v>879</v>
      </c>
      <c r="C74" s="1395" t="s">
        <v>878</v>
      </c>
      <c r="D74" s="1402">
        <v>30083.439999999999</v>
      </c>
      <c r="E74" s="1402">
        <v>64640.01</v>
      </c>
      <c r="F74" s="1402">
        <v>49043.839999999997</v>
      </c>
      <c r="G74" s="1402">
        <v>50480.85</v>
      </c>
      <c r="H74" s="1402">
        <v>50490.65</v>
      </c>
      <c r="I74" s="1402">
        <v>49821.03</v>
      </c>
      <c r="J74" s="1402">
        <v>62496.31</v>
      </c>
      <c r="K74" s="1402">
        <v>59422.93</v>
      </c>
      <c r="L74" s="1402">
        <v>62174.83</v>
      </c>
      <c r="M74" s="1402"/>
      <c r="N74" s="1402">
        <v>478653.89</v>
      </c>
    </row>
    <row r="75" spans="1:14">
      <c r="B75" s="1394" t="s">
        <v>877</v>
      </c>
      <c r="C75" s="1395" t="s">
        <v>876</v>
      </c>
      <c r="D75" s="1399"/>
      <c r="E75" s="1399"/>
      <c r="F75" s="1399"/>
      <c r="G75" s="1399"/>
      <c r="H75" s="1399"/>
      <c r="I75" s="1399"/>
      <c r="J75" s="1399"/>
      <c r="K75" s="1399"/>
      <c r="L75" s="1399"/>
      <c r="M75" s="1399"/>
      <c r="N75" s="1399"/>
    </row>
    <row r="76" spans="1:14">
      <c r="B76" s="1394" t="s">
        <v>875</v>
      </c>
      <c r="C76" s="1395" t="s">
        <v>874</v>
      </c>
      <c r="D76" s="1399"/>
      <c r="E76" s="1399"/>
      <c r="F76" s="1399"/>
      <c r="G76" s="1399"/>
      <c r="H76" s="1399"/>
      <c r="I76" s="1399"/>
      <c r="J76" s="1399"/>
      <c r="K76" s="1399"/>
      <c r="L76" s="1399"/>
      <c r="M76" s="1399"/>
      <c r="N76" s="1399"/>
    </row>
    <row r="77" spans="1:14">
      <c r="B77" s="1394" t="s">
        <v>873</v>
      </c>
      <c r="C77" s="1395" t="s">
        <v>872</v>
      </c>
      <c r="D77" s="1401">
        <v>32166.09</v>
      </c>
      <c r="E77" s="1401">
        <v>32166.09</v>
      </c>
      <c r="F77" s="1401">
        <v>32166.09</v>
      </c>
      <c r="G77" s="1401">
        <v>32166.09</v>
      </c>
      <c r="H77" s="1401">
        <v>32166.09</v>
      </c>
      <c r="I77" s="1401">
        <v>32166.1</v>
      </c>
      <c r="J77" s="1401">
        <v>32166.1</v>
      </c>
      <c r="K77" s="1401">
        <v>32166.1</v>
      </c>
      <c r="L77" s="1401">
        <v>32166.1</v>
      </c>
      <c r="M77" s="1401"/>
      <c r="N77" s="1401">
        <v>289494.84999999998</v>
      </c>
    </row>
    <row r="78" spans="1:14">
      <c r="B78" s="1394" t="s">
        <v>871</v>
      </c>
      <c r="C78" s="1395" t="s">
        <v>870</v>
      </c>
      <c r="D78" s="1402">
        <v>32166.09</v>
      </c>
      <c r="E78" s="1402">
        <v>32166.09</v>
      </c>
      <c r="F78" s="1402">
        <v>32166.09</v>
      </c>
      <c r="G78" s="1402">
        <v>32166.09</v>
      </c>
      <c r="H78" s="1402">
        <v>32166.09</v>
      </c>
      <c r="I78" s="1402">
        <v>32166.1</v>
      </c>
      <c r="J78" s="1402">
        <v>32166.1</v>
      </c>
      <c r="K78" s="1402">
        <v>32166.1</v>
      </c>
      <c r="L78" s="1402">
        <v>32166.1</v>
      </c>
      <c r="M78" s="1402"/>
      <c r="N78" s="1402">
        <v>289494.84999999998</v>
      </c>
    </row>
    <row r="79" spans="1:14">
      <c r="B79" s="1394" t="s">
        <v>869</v>
      </c>
      <c r="C79" s="1395" t="s">
        <v>868</v>
      </c>
      <c r="D79" s="1399"/>
      <c r="E79" s="1399"/>
      <c r="F79" s="1399"/>
      <c r="G79" s="1399"/>
      <c r="H79" s="1399"/>
      <c r="I79" s="1399"/>
      <c r="J79" s="1399"/>
      <c r="K79" s="1399"/>
      <c r="L79" s="1399"/>
      <c r="M79" s="1399"/>
      <c r="N79" s="1399"/>
    </row>
    <row r="80" spans="1:14">
      <c r="B80" s="1394" t="s">
        <v>867</v>
      </c>
      <c r="C80" s="1395" t="s">
        <v>866</v>
      </c>
      <c r="D80" s="1400">
        <v>0</v>
      </c>
      <c r="E80" s="1400">
        <v>0</v>
      </c>
      <c r="F80" s="1400">
        <v>6800</v>
      </c>
      <c r="G80" s="1400">
        <v>0</v>
      </c>
      <c r="H80" s="1400">
        <v>0</v>
      </c>
      <c r="I80" s="1400">
        <v>0</v>
      </c>
      <c r="J80" s="1400">
        <v>0</v>
      </c>
      <c r="K80" s="1400">
        <v>9615.6299999999992</v>
      </c>
      <c r="L80" s="1400">
        <v>42.77</v>
      </c>
      <c r="M80" s="1400"/>
      <c r="N80" s="1400">
        <v>16458.400000000001</v>
      </c>
    </row>
    <row r="81" spans="1:14">
      <c r="B81" s="1394" t="s">
        <v>1300</v>
      </c>
      <c r="C81" s="1395" t="s">
        <v>1299</v>
      </c>
      <c r="D81" s="1400">
        <v>0</v>
      </c>
      <c r="E81" s="1400">
        <v>0</v>
      </c>
      <c r="F81" s="1400">
        <v>530.76</v>
      </c>
      <c r="G81" s="1400">
        <v>0</v>
      </c>
      <c r="H81" s="1400">
        <v>0</v>
      </c>
      <c r="I81" s="1400">
        <v>0</v>
      </c>
      <c r="J81" s="1400">
        <v>2000</v>
      </c>
      <c r="K81" s="1400">
        <v>0</v>
      </c>
      <c r="L81" s="1400">
        <v>0</v>
      </c>
      <c r="M81" s="1400"/>
      <c r="N81" s="1400">
        <v>2530.7600000000002</v>
      </c>
    </row>
    <row r="82" spans="1:14">
      <c r="B82" s="1394" t="s">
        <v>1298</v>
      </c>
      <c r="C82" s="1395" t="s">
        <v>1297</v>
      </c>
      <c r="D82" s="1401">
        <v>0</v>
      </c>
      <c r="E82" s="1401">
        <v>0</v>
      </c>
      <c r="F82" s="1401">
        <v>0</v>
      </c>
      <c r="G82" s="1401">
        <v>0</v>
      </c>
      <c r="H82" s="1401">
        <v>207.64</v>
      </c>
      <c r="I82" s="1401">
        <v>0</v>
      </c>
      <c r="J82" s="1401">
        <v>0</v>
      </c>
      <c r="K82" s="1401">
        <v>0</v>
      </c>
      <c r="L82" s="1401">
        <v>0</v>
      </c>
      <c r="M82" s="1401"/>
      <c r="N82" s="1401">
        <v>207.64</v>
      </c>
    </row>
    <row r="83" spans="1:14">
      <c r="B83" s="1394" t="s">
        <v>865</v>
      </c>
      <c r="C83" s="1395" t="s">
        <v>864</v>
      </c>
      <c r="D83" s="1403">
        <v>0</v>
      </c>
      <c r="E83" s="1403">
        <v>0</v>
      </c>
      <c r="F83" s="1403">
        <v>7330.76</v>
      </c>
      <c r="G83" s="1403">
        <v>0</v>
      </c>
      <c r="H83" s="1403">
        <v>207.64</v>
      </c>
      <c r="I83" s="1403">
        <v>0</v>
      </c>
      <c r="J83" s="1403">
        <v>2000</v>
      </c>
      <c r="K83" s="1403">
        <v>9615.6299999999992</v>
      </c>
      <c r="L83" s="1403">
        <v>42.77</v>
      </c>
      <c r="M83" s="1403"/>
      <c r="N83" s="1403">
        <v>19196.8</v>
      </c>
    </row>
    <row r="84" spans="1:14">
      <c r="A84" s="977" t="s">
        <v>1296</v>
      </c>
      <c r="B84" s="1394" t="s">
        <v>863</v>
      </c>
      <c r="C84" s="1395" t="s">
        <v>862</v>
      </c>
      <c r="D84" s="1402">
        <v>32166.09</v>
      </c>
      <c r="E84" s="1402">
        <v>32166.09</v>
      </c>
      <c r="F84" s="1402">
        <v>39496.85</v>
      </c>
      <c r="G84" s="1402">
        <v>32166.09</v>
      </c>
      <c r="H84" s="1402">
        <v>32373.73</v>
      </c>
      <c r="I84" s="1402">
        <v>32166.1</v>
      </c>
      <c r="J84" s="1402">
        <v>34166.1</v>
      </c>
      <c r="K84" s="1402">
        <v>41781.730000000003</v>
      </c>
      <c r="L84" s="1402">
        <v>32208.87</v>
      </c>
      <c r="M84" s="1402"/>
      <c r="N84" s="1402">
        <v>308691.65000000002</v>
      </c>
    </row>
    <row r="85" spans="1:14">
      <c r="B85" s="1394" t="s">
        <v>861</v>
      </c>
      <c r="C85" s="1395" t="s">
        <v>860</v>
      </c>
      <c r="D85" s="1399"/>
      <c r="E85" s="1399"/>
      <c r="F85" s="1399"/>
      <c r="G85" s="1399"/>
      <c r="H85" s="1399"/>
      <c r="I85" s="1399"/>
      <c r="J85" s="1399"/>
      <c r="K85" s="1399"/>
      <c r="L85" s="1399"/>
      <c r="M85" s="1399"/>
      <c r="N85" s="1399"/>
    </row>
    <row r="86" spans="1:14">
      <c r="B86" s="1394" t="s">
        <v>859</v>
      </c>
      <c r="C86" s="1395" t="s">
        <v>858</v>
      </c>
      <c r="D86" s="1399"/>
      <c r="E86" s="1399"/>
      <c r="F86" s="1399"/>
      <c r="G86" s="1399"/>
      <c r="H86" s="1399"/>
      <c r="I86" s="1399"/>
      <c r="J86" s="1399"/>
      <c r="K86" s="1399"/>
      <c r="L86" s="1399"/>
      <c r="M86" s="1399"/>
      <c r="N86" s="1399"/>
    </row>
    <row r="87" spans="1:14">
      <c r="B87" s="1394" t="s">
        <v>857</v>
      </c>
      <c r="C87" s="1395" t="s">
        <v>856</v>
      </c>
      <c r="D87" s="1400">
        <v>11835.23</v>
      </c>
      <c r="E87" s="1400">
        <v>11835.23</v>
      </c>
      <c r="F87" s="1400">
        <v>11835.23</v>
      </c>
      <c r="G87" s="1400">
        <v>11835.23</v>
      </c>
      <c r="H87" s="1400">
        <v>11835.23</v>
      </c>
      <c r="I87" s="1400">
        <v>11835.26</v>
      </c>
      <c r="J87" s="1400">
        <v>3534.19</v>
      </c>
      <c r="K87" s="1400">
        <v>4823.7</v>
      </c>
      <c r="L87" s="1400">
        <v>4178.96</v>
      </c>
      <c r="M87" s="1400"/>
      <c r="N87" s="1400">
        <v>83548.259999999995</v>
      </c>
    </row>
    <row r="88" spans="1:14">
      <c r="B88" s="1394" t="s">
        <v>1295</v>
      </c>
      <c r="C88" s="1395" t="s">
        <v>1294</v>
      </c>
      <c r="D88" s="1400">
        <v>128.9</v>
      </c>
      <c r="E88" s="1400">
        <v>128.9</v>
      </c>
      <c r="F88" s="1400">
        <v>128.9</v>
      </c>
      <c r="G88" s="1400">
        <v>128.9</v>
      </c>
      <c r="H88" s="1400">
        <v>128.9</v>
      </c>
      <c r="I88" s="1400">
        <v>128.91</v>
      </c>
      <c r="J88" s="1400">
        <v>644.77</v>
      </c>
      <c r="K88" s="1400">
        <v>-644.78</v>
      </c>
      <c r="L88" s="1400">
        <v>0</v>
      </c>
      <c r="M88" s="1400"/>
      <c r="N88" s="1400">
        <v>773.4</v>
      </c>
    </row>
    <row r="89" spans="1:14">
      <c r="B89" s="1394" t="s">
        <v>1291</v>
      </c>
      <c r="C89" s="1395" t="s">
        <v>1290</v>
      </c>
      <c r="D89" s="1401">
        <v>0</v>
      </c>
      <c r="E89" s="1401">
        <v>0</v>
      </c>
      <c r="F89" s="1401">
        <v>0</v>
      </c>
      <c r="G89" s="1401">
        <v>0</v>
      </c>
      <c r="H89" s="1401">
        <v>0</v>
      </c>
      <c r="I89" s="1401">
        <v>0</v>
      </c>
      <c r="J89" s="1401">
        <v>6098.33</v>
      </c>
      <c r="K89" s="1401">
        <v>-6098.33</v>
      </c>
      <c r="L89" s="1401">
        <v>0</v>
      </c>
      <c r="M89" s="1401"/>
      <c r="N89" s="1401">
        <v>0</v>
      </c>
    </row>
    <row r="90" spans="1:14">
      <c r="B90" s="1394" t="s">
        <v>855</v>
      </c>
      <c r="C90" s="1395" t="s">
        <v>854</v>
      </c>
      <c r="D90" s="1403">
        <v>11964.13</v>
      </c>
      <c r="E90" s="1403">
        <v>11964.13</v>
      </c>
      <c r="F90" s="1403">
        <v>11964.13</v>
      </c>
      <c r="G90" s="1403">
        <v>11964.13</v>
      </c>
      <c r="H90" s="1403">
        <v>11964.13</v>
      </c>
      <c r="I90" s="1403">
        <v>11964.17</v>
      </c>
      <c r="J90" s="1403">
        <v>10277.290000000001</v>
      </c>
      <c r="K90" s="1403">
        <v>-1919.41</v>
      </c>
      <c r="L90" s="1403">
        <v>4178.96</v>
      </c>
      <c r="M90" s="1403"/>
      <c r="N90" s="1403">
        <v>84321.66</v>
      </c>
    </row>
    <row r="91" spans="1:14">
      <c r="A91" s="977" t="s">
        <v>1289</v>
      </c>
      <c r="B91" s="1394" t="s">
        <v>853</v>
      </c>
      <c r="C91" s="1395" t="s">
        <v>852</v>
      </c>
      <c r="D91" s="1402">
        <v>11964.13</v>
      </c>
      <c r="E91" s="1402">
        <v>11964.13</v>
      </c>
      <c r="F91" s="1402">
        <v>11964.13</v>
      </c>
      <c r="G91" s="1402">
        <v>11964.13</v>
      </c>
      <c r="H91" s="1402">
        <v>11964.13</v>
      </c>
      <c r="I91" s="1402">
        <v>11964.17</v>
      </c>
      <c r="J91" s="1402">
        <v>10277.290000000001</v>
      </c>
      <c r="K91" s="1402">
        <v>-1919.41</v>
      </c>
      <c r="L91" s="1402">
        <v>4178.96</v>
      </c>
      <c r="M91" s="1402"/>
      <c r="N91" s="1402">
        <v>84321.66</v>
      </c>
    </row>
    <row r="92" spans="1:14">
      <c r="B92" s="1394" t="s">
        <v>851</v>
      </c>
      <c r="C92" s="1395" t="s">
        <v>850</v>
      </c>
      <c r="D92" s="1399"/>
      <c r="E92" s="1399"/>
      <c r="F92" s="1399"/>
      <c r="G92" s="1399"/>
      <c r="H92" s="1399"/>
      <c r="I92" s="1399"/>
      <c r="J92" s="1399"/>
      <c r="K92" s="1399"/>
      <c r="L92" s="1399"/>
      <c r="M92" s="1399"/>
      <c r="N92" s="1399"/>
    </row>
    <row r="93" spans="1:14">
      <c r="B93" s="1394" t="s">
        <v>841</v>
      </c>
      <c r="C93" s="1395" t="s">
        <v>840</v>
      </c>
      <c r="D93" s="1399"/>
      <c r="E93" s="1399"/>
      <c r="F93" s="1399"/>
      <c r="G93" s="1399"/>
      <c r="H93" s="1399"/>
      <c r="I93" s="1399"/>
      <c r="J93" s="1399"/>
      <c r="K93" s="1399"/>
      <c r="L93" s="1399"/>
      <c r="M93" s="1399"/>
      <c r="N93" s="1399"/>
    </row>
    <row r="94" spans="1:14">
      <c r="B94" s="1394" t="s">
        <v>839</v>
      </c>
      <c r="C94" s="1395" t="s">
        <v>838</v>
      </c>
      <c r="D94" s="1401">
        <v>7280.35</v>
      </c>
      <c r="E94" s="1401">
        <v>9425.23</v>
      </c>
      <c r="F94" s="1401">
        <v>7643.09</v>
      </c>
      <c r="G94" s="1401">
        <v>6959.81</v>
      </c>
      <c r="H94" s="1401">
        <v>10312.65</v>
      </c>
      <c r="I94" s="1401">
        <v>5000</v>
      </c>
      <c r="J94" s="1401">
        <v>5000</v>
      </c>
      <c r="K94" s="1401">
        <v>5000</v>
      </c>
      <c r="L94" s="1401">
        <v>9765.67</v>
      </c>
      <c r="M94" s="1401"/>
      <c r="N94" s="1401">
        <v>66386.8</v>
      </c>
    </row>
    <row r="95" spans="1:14">
      <c r="B95" s="1394" t="s">
        <v>837</v>
      </c>
      <c r="C95" s="1395" t="s">
        <v>836</v>
      </c>
      <c r="D95" s="1403">
        <v>7280.35</v>
      </c>
      <c r="E95" s="1403">
        <v>9425.23</v>
      </c>
      <c r="F95" s="1403">
        <v>7643.09</v>
      </c>
      <c r="G95" s="1403">
        <v>6959.81</v>
      </c>
      <c r="H95" s="1403">
        <v>10312.65</v>
      </c>
      <c r="I95" s="1403">
        <v>5000</v>
      </c>
      <c r="J95" s="1403">
        <v>5000</v>
      </c>
      <c r="K95" s="1403">
        <v>5000</v>
      </c>
      <c r="L95" s="1403">
        <v>9765.67</v>
      </c>
      <c r="M95" s="1403"/>
      <c r="N95" s="1403">
        <v>66386.8</v>
      </c>
    </row>
    <row r="96" spans="1:14">
      <c r="A96" s="977" t="s">
        <v>1288</v>
      </c>
      <c r="B96" s="1394" t="s">
        <v>835</v>
      </c>
      <c r="C96" s="1395" t="s">
        <v>834</v>
      </c>
      <c r="D96" s="1402">
        <v>7280.35</v>
      </c>
      <c r="E96" s="1402">
        <v>9425.23</v>
      </c>
      <c r="F96" s="1402">
        <v>7643.09</v>
      </c>
      <c r="G96" s="1402">
        <v>6959.81</v>
      </c>
      <c r="H96" s="1402">
        <v>10312.65</v>
      </c>
      <c r="I96" s="1402">
        <v>5000</v>
      </c>
      <c r="J96" s="1402">
        <v>5000</v>
      </c>
      <c r="K96" s="1402">
        <v>5000</v>
      </c>
      <c r="L96" s="1402">
        <v>9765.67</v>
      </c>
      <c r="M96" s="1402"/>
      <c r="N96" s="1402">
        <v>66386.8</v>
      </c>
    </row>
    <row r="97" spans="1:14">
      <c r="B97" s="1394" t="s">
        <v>833</v>
      </c>
      <c r="C97" s="1395" t="s">
        <v>807</v>
      </c>
      <c r="D97" s="1399"/>
      <c r="E97" s="1399"/>
      <c r="F97" s="1399"/>
      <c r="G97" s="1399"/>
      <c r="H97" s="1399"/>
      <c r="I97" s="1399"/>
      <c r="J97" s="1399"/>
      <c r="K97" s="1399"/>
      <c r="L97" s="1399"/>
      <c r="M97" s="1399"/>
      <c r="N97" s="1399"/>
    </row>
    <row r="98" spans="1:14">
      <c r="B98" s="1394" t="s">
        <v>832</v>
      </c>
      <c r="C98" s="1395" t="s">
        <v>831</v>
      </c>
      <c r="D98" s="1399"/>
      <c r="E98" s="1399"/>
      <c r="F98" s="1399"/>
      <c r="G98" s="1399"/>
      <c r="H98" s="1399"/>
      <c r="I98" s="1399"/>
      <c r="J98" s="1399"/>
      <c r="K98" s="1399"/>
      <c r="L98" s="1399"/>
      <c r="M98" s="1399"/>
      <c r="N98" s="1399"/>
    </row>
    <row r="99" spans="1:14">
      <c r="B99" s="1394" t="s">
        <v>828</v>
      </c>
      <c r="C99" s="1395" t="s">
        <v>827</v>
      </c>
      <c r="D99" s="1400">
        <v>44</v>
      </c>
      <c r="E99" s="1400">
        <v>18</v>
      </c>
      <c r="F99" s="1400">
        <v>150</v>
      </c>
      <c r="G99" s="1400">
        <v>0</v>
      </c>
      <c r="H99" s="1400">
        <v>0</v>
      </c>
      <c r="I99" s="1400">
        <v>62</v>
      </c>
      <c r="J99" s="1400">
        <v>44</v>
      </c>
      <c r="K99" s="1400">
        <v>50</v>
      </c>
      <c r="L99" s="1400">
        <v>56</v>
      </c>
      <c r="M99" s="1400"/>
      <c r="N99" s="1400">
        <v>424</v>
      </c>
    </row>
    <row r="100" spans="1:14">
      <c r="B100" s="1394" t="s">
        <v>826</v>
      </c>
      <c r="C100" s="1395" t="s">
        <v>825</v>
      </c>
      <c r="D100" s="1401">
        <v>1334.85</v>
      </c>
      <c r="E100" s="1401">
        <v>773.01</v>
      </c>
      <c r="F100" s="1401">
        <v>1181.18</v>
      </c>
      <c r="G100" s="1401">
        <v>910.2</v>
      </c>
      <c r="H100" s="1401">
        <v>1168.54</v>
      </c>
      <c r="I100" s="1401">
        <v>950.58</v>
      </c>
      <c r="J100" s="1401">
        <v>903.1</v>
      </c>
      <c r="K100" s="1401">
        <v>967.56</v>
      </c>
      <c r="L100" s="1401">
        <v>1049.6400000000001</v>
      </c>
      <c r="M100" s="1401"/>
      <c r="N100" s="1401">
        <v>9238.66</v>
      </c>
    </row>
    <row r="101" spans="1:14">
      <c r="A101" s="977"/>
      <c r="B101" s="1394" t="s">
        <v>824</v>
      </c>
      <c r="C101" s="1395" t="s">
        <v>823</v>
      </c>
      <c r="D101" s="1402">
        <v>1378.85</v>
      </c>
      <c r="E101" s="1402">
        <v>791.01</v>
      </c>
      <c r="F101" s="1402">
        <v>1331.18</v>
      </c>
      <c r="G101" s="1402">
        <v>910.2</v>
      </c>
      <c r="H101" s="1402">
        <v>1168.54</v>
      </c>
      <c r="I101" s="1402">
        <v>1012.58</v>
      </c>
      <c r="J101" s="1402">
        <v>947.1</v>
      </c>
      <c r="K101" s="1402">
        <v>1017.56</v>
      </c>
      <c r="L101" s="1402">
        <v>1105.6400000000001</v>
      </c>
      <c r="M101" s="1402"/>
      <c r="N101" s="1402">
        <v>9662.66</v>
      </c>
    </row>
    <row r="102" spans="1:14">
      <c r="B102" s="1394" t="s">
        <v>1024</v>
      </c>
      <c r="C102" s="1395" t="s">
        <v>1025</v>
      </c>
      <c r="D102" s="1399"/>
      <c r="E102" s="1399"/>
      <c r="F102" s="1399"/>
      <c r="G102" s="1399"/>
      <c r="H102" s="1399"/>
      <c r="I102" s="1399"/>
      <c r="J102" s="1399"/>
      <c r="K102" s="1399"/>
      <c r="L102" s="1399"/>
      <c r="M102" s="1399"/>
      <c r="N102" s="1399"/>
    </row>
    <row r="103" spans="1:14">
      <c r="B103" s="1394" t="s">
        <v>1026</v>
      </c>
      <c r="C103" s="1395" t="s">
        <v>1027</v>
      </c>
      <c r="D103" s="1401">
        <v>0</v>
      </c>
      <c r="E103" s="1401">
        <v>59838.25</v>
      </c>
      <c r="F103" s="1401">
        <v>0</v>
      </c>
      <c r="G103" s="1401">
        <v>0</v>
      </c>
      <c r="H103" s="1401">
        <v>0</v>
      </c>
      <c r="I103" s="1401">
        <v>0</v>
      </c>
      <c r="J103" s="1401">
        <v>0</v>
      </c>
      <c r="K103" s="1401">
        <v>0</v>
      </c>
      <c r="L103" s="1401">
        <v>0</v>
      </c>
      <c r="M103" s="1401"/>
      <c r="N103" s="1401">
        <v>59838.25</v>
      </c>
    </row>
    <row r="104" spans="1:14">
      <c r="B104" s="1394" t="s">
        <v>1028</v>
      </c>
      <c r="C104" s="1395" t="s">
        <v>1029</v>
      </c>
      <c r="D104" s="1403">
        <v>0</v>
      </c>
      <c r="E104" s="1403">
        <v>59838.25</v>
      </c>
      <c r="F104" s="1403">
        <v>0</v>
      </c>
      <c r="G104" s="1403">
        <v>0</v>
      </c>
      <c r="H104" s="1403">
        <v>0</v>
      </c>
      <c r="I104" s="1403">
        <v>0</v>
      </c>
      <c r="J104" s="1403">
        <v>0</v>
      </c>
      <c r="K104" s="1403">
        <v>0</v>
      </c>
      <c r="L104" s="1403">
        <v>0</v>
      </c>
      <c r="M104" s="1403"/>
      <c r="N104" s="1403">
        <v>59838.25</v>
      </c>
    </row>
    <row r="105" spans="1:14">
      <c r="A105" s="977" t="s">
        <v>1241</v>
      </c>
      <c r="B105" s="1394" t="s">
        <v>822</v>
      </c>
      <c r="C105" s="1395" t="s">
        <v>821</v>
      </c>
      <c r="D105" s="1402">
        <v>1378.85</v>
      </c>
      <c r="E105" s="1402">
        <v>60629.26</v>
      </c>
      <c r="F105" s="1402">
        <v>1331.18</v>
      </c>
      <c r="G105" s="1402">
        <v>910.2</v>
      </c>
      <c r="H105" s="1402">
        <v>1168.54</v>
      </c>
      <c r="I105" s="1402">
        <v>1012.58</v>
      </c>
      <c r="J105" s="1402">
        <v>947.1</v>
      </c>
      <c r="K105" s="1402">
        <v>1017.56</v>
      </c>
      <c r="L105" s="1402">
        <v>1105.6400000000001</v>
      </c>
      <c r="M105" s="1402"/>
      <c r="N105" s="1402">
        <v>69500.91</v>
      </c>
    </row>
    <row r="106" spans="1:14">
      <c r="B106" s="1394" t="s">
        <v>2234</v>
      </c>
      <c r="C106" s="1395" t="s">
        <v>2235</v>
      </c>
      <c r="D106" s="1399"/>
      <c r="E106" s="1399"/>
      <c r="F106" s="1399"/>
      <c r="G106" s="1399"/>
      <c r="H106" s="1399"/>
      <c r="I106" s="1399"/>
      <c r="J106" s="1399"/>
      <c r="K106" s="1399"/>
      <c r="L106" s="1399"/>
      <c r="M106" s="1399"/>
      <c r="N106" s="1399"/>
    </row>
    <row r="107" spans="1:14">
      <c r="B107" s="1394" t="s">
        <v>978</v>
      </c>
      <c r="C107" s="1395" t="s">
        <v>979</v>
      </c>
      <c r="D107" s="1399"/>
      <c r="E107" s="1399"/>
      <c r="F107" s="1399"/>
      <c r="G107" s="1399"/>
      <c r="H107" s="1399"/>
      <c r="I107" s="1399"/>
      <c r="J107" s="1399"/>
      <c r="K107" s="1399"/>
      <c r="L107" s="1399"/>
      <c r="M107" s="1399"/>
      <c r="N107" s="1399"/>
    </row>
    <row r="108" spans="1:14">
      <c r="B108" s="1394" t="s">
        <v>980</v>
      </c>
      <c r="C108" s="1395" t="s">
        <v>981</v>
      </c>
      <c r="D108" s="1400">
        <v>0</v>
      </c>
      <c r="E108" s="1400">
        <v>0</v>
      </c>
      <c r="F108" s="1400">
        <v>0</v>
      </c>
      <c r="G108" s="1400">
        <v>0</v>
      </c>
      <c r="H108" s="1400">
        <v>0</v>
      </c>
      <c r="I108" s="1400">
        <v>1073</v>
      </c>
      <c r="J108" s="1400">
        <v>0</v>
      </c>
      <c r="K108" s="1400">
        <v>0</v>
      </c>
      <c r="L108" s="1400">
        <v>0</v>
      </c>
      <c r="M108" s="1400"/>
      <c r="N108" s="1400">
        <v>1073</v>
      </c>
    </row>
    <row r="109" spans="1:14">
      <c r="B109" s="1394" t="s">
        <v>1277</v>
      </c>
      <c r="C109" s="1395" t="s">
        <v>1276</v>
      </c>
      <c r="D109" s="1401">
        <v>0</v>
      </c>
      <c r="E109" s="1401">
        <v>0</v>
      </c>
      <c r="F109" s="1401">
        <v>14994.76</v>
      </c>
      <c r="G109" s="1401">
        <v>4105.05</v>
      </c>
      <c r="H109" s="1401">
        <v>0</v>
      </c>
      <c r="I109" s="1401">
        <v>3187.5</v>
      </c>
      <c r="J109" s="1401">
        <v>0</v>
      </c>
      <c r="K109" s="1401">
        <v>0</v>
      </c>
      <c r="L109" s="1401">
        <v>0</v>
      </c>
      <c r="M109" s="1401"/>
      <c r="N109" s="1401">
        <v>22287.31</v>
      </c>
    </row>
    <row r="110" spans="1:14">
      <c r="B110" s="1394" t="s">
        <v>982</v>
      </c>
      <c r="C110" s="1395" t="s">
        <v>983</v>
      </c>
      <c r="D110" s="1403">
        <v>0</v>
      </c>
      <c r="E110" s="1403">
        <v>0</v>
      </c>
      <c r="F110" s="1403">
        <v>14994.76</v>
      </c>
      <c r="G110" s="1403">
        <v>4105.05</v>
      </c>
      <c r="H110" s="1403">
        <v>0</v>
      </c>
      <c r="I110" s="1403">
        <v>4260.5</v>
      </c>
      <c r="J110" s="1403">
        <v>0</v>
      </c>
      <c r="K110" s="1403">
        <v>0</v>
      </c>
      <c r="L110" s="1403">
        <v>0</v>
      </c>
      <c r="M110" s="1403"/>
      <c r="N110" s="1403">
        <v>23360.31</v>
      </c>
    </row>
    <row r="111" spans="1:14">
      <c r="B111" s="1394" t="s">
        <v>984</v>
      </c>
      <c r="C111" s="1395" t="s">
        <v>985</v>
      </c>
      <c r="D111" s="1402">
        <v>0</v>
      </c>
      <c r="E111" s="1402">
        <v>0</v>
      </c>
      <c r="F111" s="1402">
        <v>14994.76</v>
      </c>
      <c r="G111" s="1402">
        <v>4105.05</v>
      </c>
      <c r="H111" s="1402">
        <v>0</v>
      </c>
      <c r="I111" s="1402">
        <v>4260.5</v>
      </c>
      <c r="J111" s="1402">
        <v>0</v>
      </c>
      <c r="K111" s="1402">
        <v>0</v>
      </c>
      <c r="L111" s="1402">
        <v>0</v>
      </c>
      <c r="M111" s="1402"/>
      <c r="N111" s="1402">
        <v>23360.31</v>
      </c>
    </row>
    <row r="112" spans="1:14">
      <c r="B112" s="1394" t="s">
        <v>820</v>
      </c>
      <c r="C112" s="1395" t="s">
        <v>806</v>
      </c>
      <c r="D112" s="1399"/>
      <c r="E112" s="1399"/>
      <c r="F112" s="1399"/>
      <c r="G112" s="1399"/>
      <c r="H112" s="1399"/>
      <c r="I112" s="1399"/>
      <c r="J112" s="1399"/>
      <c r="K112" s="1399"/>
      <c r="L112" s="1399"/>
      <c r="M112" s="1399"/>
      <c r="N112" s="1399"/>
    </row>
    <row r="113" spans="1:14">
      <c r="B113" s="1394" t="s">
        <v>1275</v>
      </c>
      <c r="C113" s="1395" t="s">
        <v>1274</v>
      </c>
      <c r="D113" s="1399"/>
      <c r="E113" s="1399"/>
      <c r="F113" s="1399"/>
      <c r="G113" s="1399"/>
      <c r="H113" s="1399"/>
      <c r="I113" s="1399"/>
      <c r="J113" s="1399"/>
      <c r="K113" s="1399"/>
      <c r="L113" s="1399"/>
      <c r="M113" s="1399"/>
      <c r="N113" s="1399"/>
    </row>
    <row r="114" spans="1:14">
      <c r="B114" s="1394" t="s">
        <v>1267</v>
      </c>
      <c r="C114" s="1395" t="s">
        <v>1266</v>
      </c>
      <c r="D114" s="1401">
        <v>817</v>
      </c>
      <c r="E114" s="1401">
        <v>115</v>
      </c>
      <c r="F114" s="1401">
        <v>1697.5</v>
      </c>
      <c r="G114" s="1401">
        <v>4932.45</v>
      </c>
      <c r="H114" s="1401">
        <v>0</v>
      </c>
      <c r="I114" s="1401">
        <v>2167.9</v>
      </c>
      <c r="J114" s="1401">
        <v>0</v>
      </c>
      <c r="K114" s="1401">
        <v>106</v>
      </c>
      <c r="L114" s="1401">
        <v>0</v>
      </c>
      <c r="M114" s="1401"/>
      <c r="N114" s="1401">
        <v>9835.85</v>
      </c>
    </row>
    <row r="115" spans="1:14">
      <c r="B115" s="1394" t="s">
        <v>1261</v>
      </c>
      <c r="C115" s="1395" t="s">
        <v>1260</v>
      </c>
      <c r="D115" s="1402">
        <v>817</v>
      </c>
      <c r="E115" s="1402">
        <v>115</v>
      </c>
      <c r="F115" s="1402">
        <v>1697.5</v>
      </c>
      <c r="G115" s="1402">
        <v>4932.45</v>
      </c>
      <c r="H115" s="1402">
        <v>0</v>
      </c>
      <c r="I115" s="1402">
        <v>2167.9</v>
      </c>
      <c r="J115" s="1402">
        <v>0</v>
      </c>
      <c r="K115" s="1402">
        <v>106</v>
      </c>
      <c r="L115" s="1402">
        <v>0</v>
      </c>
      <c r="M115" s="1402"/>
      <c r="N115" s="1402">
        <v>9835.85</v>
      </c>
    </row>
    <row r="116" spans="1:14">
      <c r="B116" s="1394" t="s">
        <v>1259</v>
      </c>
      <c r="C116" s="1395" t="s">
        <v>1258</v>
      </c>
      <c r="D116" s="1399"/>
      <c r="E116" s="1399"/>
      <c r="F116" s="1399"/>
      <c r="G116" s="1399"/>
      <c r="H116" s="1399"/>
      <c r="I116" s="1399"/>
      <c r="J116" s="1399"/>
      <c r="K116" s="1399"/>
      <c r="L116" s="1399"/>
      <c r="M116" s="1399"/>
      <c r="N116" s="1399"/>
    </row>
    <row r="117" spans="1:14">
      <c r="A117" s="977"/>
      <c r="B117" s="1394" t="s">
        <v>1253</v>
      </c>
      <c r="C117" s="1395" t="s">
        <v>1252</v>
      </c>
      <c r="D117" s="1401">
        <v>1900</v>
      </c>
      <c r="E117" s="1401">
        <v>1950</v>
      </c>
      <c r="F117" s="1401">
        <v>1650</v>
      </c>
      <c r="G117" s="1401">
        <v>2204.69</v>
      </c>
      <c r="H117" s="1401">
        <v>1950</v>
      </c>
      <c r="I117" s="1401">
        <v>1950</v>
      </c>
      <c r="J117" s="1401">
        <v>1950</v>
      </c>
      <c r="K117" s="1401">
        <v>1950</v>
      </c>
      <c r="L117" s="1401">
        <v>1950</v>
      </c>
      <c r="M117" s="1401"/>
      <c r="N117" s="1401">
        <v>17454.689999999999</v>
      </c>
    </row>
    <row r="118" spans="1:14">
      <c r="A118" s="977"/>
      <c r="B118" s="1394" t="s">
        <v>1251</v>
      </c>
      <c r="C118" s="1395" t="s">
        <v>1250</v>
      </c>
      <c r="D118" s="1402">
        <v>1900</v>
      </c>
      <c r="E118" s="1402">
        <v>1950</v>
      </c>
      <c r="F118" s="1402">
        <v>1650</v>
      </c>
      <c r="G118" s="1402">
        <v>2204.69</v>
      </c>
      <c r="H118" s="1402">
        <v>1950</v>
      </c>
      <c r="I118" s="1402">
        <v>1950</v>
      </c>
      <c r="J118" s="1402">
        <v>1950</v>
      </c>
      <c r="K118" s="1402">
        <v>1950</v>
      </c>
      <c r="L118" s="1402">
        <v>1950</v>
      </c>
      <c r="M118" s="1402"/>
      <c r="N118" s="1402">
        <v>17454.689999999999</v>
      </c>
    </row>
    <row r="119" spans="1:14">
      <c r="A119" s="977"/>
      <c r="B119" s="1394" t="s">
        <v>819</v>
      </c>
      <c r="C119" s="1395" t="s">
        <v>818</v>
      </c>
      <c r="D119" s="1399"/>
      <c r="E119" s="1399"/>
      <c r="F119" s="1399"/>
      <c r="G119" s="1399"/>
      <c r="H119" s="1399"/>
      <c r="I119" s="1399"/>
      <c r="J119" s="1399"/>
      <c r="K119" s="1399"/>
      <c r="L119" s="1399"/>
      <c r="M119" s="1399"/>
      <c r="N119" s="1399"/>
    </row>
    <row r="120" spans="1:14">
      <c r="A120" s="977"/>
      <c r="B120" s="1394" t="s">
        <v>817</v>
      </c>
      <c r="C120" s="1395" t="s">
        <v>816</v>
      </c>
      <c r="D120" s="1401">
        <v>5372.7</v>
      </c>
      <c r="E120" s="1401">
        <v>4664.6899999999996</v>
      </c>
      <c r="F120" s="1401">
        <v>1500</v>
      </c>
      <c r="G120" s="1401">
        <v>1500</v>
      </c>
      <c r="H120" s="1401">
        <v>1071.67</v>
      </c>
      <c r="I120" s="1401">
        <v>1500</v>
      </c>
      <c r="J120" s="1401">
        <v>1500</v>
      </c>
      <c r="K120" s="1401">
        <v>1500</v>
      </c>
      <c r="L120" s="1401">
        <v>1500</v>
      </c>
      <c r="M120" s="1401"/>
      <c r="N120" s="1401">
        <v>20109.060000000001</v>
      </c>
    </row>
    <row r="121" spans="1:14">
      <c r="A121" s="977"/>
      <c r="B121" s="1394" t="s">
        <v>815</v>
      </c>
      <c r="C121" s="1395" t="s">
        <v>814</v>
      </c>
      <c r="D121" s="1403">
        <v>5372.7</v>
      </c>
      <c r="E121" s="1403">
        <v>4664.6899999999996</v>
      </c>
      <c r="F121" s="1403">
        <v>1500</v>
      </c>
      <c r="G121" s="1403">
        <v>1500</v>
      </c>
      <c r="H121" s="1403">
        <v>1071.67</v>
      </c>
      <c r="I121" s="1403">
        <v>1500</v>
      </c>
      <c r="J121" s="1403">
        <v>1500</v>
      </c>
      <c r="K121" s="1403">
        <v>1500</v>
      </c>
      <c r="L121" s="1403">
        <v>1500</v>
      </c>
      <c r="M121" s="1403"/>
      <c r="N121" s="1403">
        <v>20109.060000000001</v>
      </c>
    </row>
    <row r="122" spans="1:14">
      <c r="A122" s="977" t="s">
        <v>1241</v>
      </c>
      <c r="B122" s="1394" t="s">
        <v>813</v>
      </c>
      <c r="C122" s="1395" t="s">
        <v>812</v>
      </c>
      <c r="D122" s="1403">
        <v>8089.7</v>
      </c>
      <c r="E122" s="1403">
        <v>6729.69</v>
      </c>
      <c r="F122" s="1403">
        <v>4847.5</v>
      </c>
      <c r="G122" s="1403">
        <v>8637.14</v>
      </c>
      <c r="H122" s="1403">
        <v>3021.67</v>
      </c>
      <c r="I122" s="1403">
        <v>5617.9</v>
      </c>
      <c r="J122" s="1403">
        <v>3450</v>
      </c>
      <c r="K122" s="1403">
        <v>3556</v>
      </c>
      <c r="L122" s="1403">
        <v>3450</v>
      </c>
      <c r="M122" s="1403"/>
      <c r="N122" s="1403">
        <v>47399.6</v>
      </c>
    </row>
    <row r="123" spans="1:14">
      <c r="A123" s="977"/>
      <c r="B123" s="1394" t="s">
        <v>809</v>
      </c>
      <c r="C123" s="1395" t="s">
        <v>808</v>
      </c>
      <c r="D123" s="1403">
        <v>91067.56</v>
      </c>
      <c r="E123" s="1403">
        <v>240069.34</v>
      </c>
      <c r="F123" s="1403">
        <v>147290.25</v>
      </c>
      <c r="G123" s="1403">
        <v>131064.07</v>
      </c>
      <c r="H123" s="1403">
        <v>186932.31</v>
      </c>
      <c r="I123" s="1403">
        <v>145468.46</v>
      </c>
      <c r="J123" s="1403">
        <v>136053.5</v>
      </c>
      <c r="K123" s="1403">
        <v>143052.16</v>
      </c>
      <c r="L123" s="1403">
        <v>145129.35</v>
      </c>
      <c r="M123" s="1403"/>
      <c r="N123" s="1403">
        <v>1366127</v>
      </c>
    </row>
    <row r="124" spans="1:14">
      <c r="A124" s="977" t="s">
        <v>1196</v>
      </c>
      <c r="B124" s="1396" t="s">
        <v>805</v>
      </c>
      <c r="C124" s="1397" t="s">
        <v>804</v>
      </c>
      <c r="D124" s="1405">
        <v>91067.56</v>
      </c>
      <c r="E124" s="1405">
        <v>240069.34</v>
      </c>
      <c r="F124" s="1405">
        <v>147290.25</v>
      </c>
      <c r="G124" s="1405">
        <v>131064.07</v>
      </c>
      <c r="H124" s="1405">
        <v>186932.31</v>
      </c>
      <c r="I124" s="1405">
        <v>145468.46</v>
      </c>
      <c r="J124" s="1405">
        <v>136053.5</v>
      </c>
      <c r="K124" s="1405">
        <v>143052.16</v>
      </c>
      <c r="L124" s="1405">
        <v>145129.35</v>
      </c>
      <c r="M124" s="1405"/>
      <c r="N124" s="1405">
        <v>1366127</v>
      </c>
    </row>
    <row r="125" spans="1:14">
      <c r="A125" s="977"/>
      <c r="B125" s="1396" t="s">
        <v>803</v>
      </c>
      <c r="C125" s="1397" t="s">
        <v>802</v>
      </c>
      <c r="D125" s="1404">
        <v>182246.38</v>
      </c>
      <c r="E125" s="1404">
        <v>15259.61</v>
      </c>
      <c r="F125" s="1404">
        <v>127267.04</v>
      </c>
      <c r="G125" s="1404">
        <v>134620.46</v>
      </c>
      <c r="H125" s="1404">
        <v>97982.75</v>
      </c>
      <c r="I125" s="1404">
        <v>100205.71</v>
      </c>
      <c r="J125" s="1404">
        <v>158748.03</v>
      </c>
      <c r="K125" s="1404">
        <v>129903.03999999999</v>
      </c>
      <c r="L125" s="1404">
        <v>127582.23</v>
      </c>
      <c r="M125" s="1404"/>
      <c r="N125" s="1404">
        <v>1073815.25</v>
      </c>
    </row>
    <row r="126" spans="1:14">
      <c r="A126" s="977"/>
      <c r="B126" s="1394"/>
      <c r="C126" s="1395"/>
      <c r="D126" s="1394"/>
      <c r="E126" s="1394"/>
      <c r="F126" s="1394"/>
      <c r="G126" s="1394"/>
      <c r="H126" s="1394"/>
      <c r="I126" s="1394"/>
      <c r="J126" s="1394"/>
      <c r="K126" s="1394"/>
      <c r="L126" s="1394"/>
      <c r="M126" s="1394"/>
      <c r="N126" s="1394"/>
    </row>
    <row r="127" spans="1:14">
      <c r="A127" s="977"/>
      <c r="B127" s="1396" t="s">
        <v>801</v>
      </c>
      <c r="C127" s="1397" t="s">
        <v>800</v>
      </c>
      <c r="D127" s="1398"/>
      <c r="E127" s="1398"/>
      <c r="F127" s="1398"/>
      <c r="G127" s="1398"/>
      <c r="H127" s="1398"/>
      <c r="I127" s="1398"/>
      <c r="J127" s="1398"/>
      <c r="K127" s="1398"/>
      <c r="L127" s="1398"/>
      <c r="M127" s="1398"/>
      <c r="N127" s="1398"/>
    </row>
    <row r="128" spans="1:14">
      <c r="B128" s="1394"/>
      <c r="C128" s="1395"/>
      <c r="D128" s="1394"/>
      <c r="E128" s="1394"/>
      <c r="F128" s="1394"/>
      <c r="G128" s="1394"/>
      <c r="H128" s="1394"/>
      <c r="I128" s="1394"/>
      <c r="J128" s="1394"/>
      <c r="K128" s="1394"/>
      <c r="L128" s="1394"/>
      <c r="M128" s="1394"/>
      <c r="N128" s="1394"/>
    </row>
    <row r="129" spans="1:14">
      <c r="B129" s="1396" t="s">
        <v>799</v>
      </c>
      <c r="C129" s="1397" t="s">
        <v>798</v>
      </c>
      <c r="D129" s="1398"/>
      <c r="E129" s="1398"/>
      <c r="F129" s="1398"/>
      <c r="G129" s="1398"/>
      <c r="H129" s="1398"/>
      <c r="I129" s="1398"/>
      <c r="J129" s="1398"/>
      <c r="K129" s="1398"/>
      <c r="L129" s="1398"/>
      <c r="M129" s="1398"/>
      <c r="N129" s="1398"/>
    </row>
    <row r="130" spans="1:14">
      <c r="B130" s="1394" t="s">
        <v>797</v>
      </c>
      <c r="C130" s="1395" t="s">
        <v>796</v>
      </c>
      <c r="D130" s="1399"/>
      <c r="E130" s="1399"/>
      <c r="F130" s="1399"/>
      <c r="G130" s="1399"/>
      <c r="H130" s="1399"/>
      <c r="I130" s="1399"/>
      <c r="J130" s="1399"/>
      <c r="K130" s="1399"/>
      <c r="L130" s="1399"/>
      <c r="M130" s="1399"/>
      <c r="N130" s="1399"/>
    </row>
    <row r="131" spans="1:14">
      <c r="B131" s="1394" t="s">
        <v>795</v>
      </c>
      <c r="C131" s="1395" t="s">
        <v>794</v>
      </c>
      <c r="D131" s="1399"/>
      <c r="E131" s="1399"/>
      <c r="F131" s="1399"/>
      <c r="G131" s="1399"/>
      <c r="H131" s="1399"/>
      <c r="I131" s="1399"/>
      <c r="J131" s="1399"/>
      <c r="K131" s="1399"/>
      <c r="L131" s="1399"/>
      <c r="M131" s="1399"/>
      <c r="N131" s="1399"/>
    </row>
    <row r="132" spans="1:14">
      <c r="B132" s="1394" t="s">
        <v>793</v>
      </c>
      <c r="C132" s="1395" t="s">
        <v>792</v>
      </c>
      <c r="D132" s="1401">
        <v>100072.24</v>
      </c>
      <c r="E132" s="1401">
        <v>90387.83</v>
      </c>
      <c r="F132" s="1401">
        <v>101282.79</v>
      </c>
      <c r="G132" s="1401">
        <v>100180.88</v>
      </c>
      <c r="H132" s="1401">
        <v>110849.81</v>
      </c>
      <c r="I132" s="1401">
        <v>108563.45</v>
      </c>
      <c r="J132" s="1401">
        <v>133174.31</v>
      </c>
      <c r="K132" s="1401">
        <v>141790.45000000001</v>
      </c>
      <c r="L132" s="1401">
        <v>112835.33</v>
      </c>
      <c r="M132" s="1401"/>
      <c r="N132" s="1401">
        <v>999137.09</v>
      </c>
    </row>
    <row r="133" spans="1:14">
      <c r="A133" s="927" t="s">
        <v>1181</v>
      </c>
      <c r="B133" s="1394" t="s">
        <v>791</v>
      </c>
      <c r="C133" s="1395" t="s">
        <v>790</v>
      </c>
      <c r="D133" s="1403">
        <v>100072.24</v>
      </c>
      <c r="E133" s="1403">
        <v>90387.83</v>
      </c>
      <c r="F133" s="1403">
        <v>101282.79</v>
      </c>
      <c r="G133" s="1403">
        <v>100180.88</v>
      </c>
      <c r="H133" s="1403">
        <v>110849.81</v>
      </c>
      <c r="I133" s="1403">
        <v>108563.45</v>
      </c>
      <c r="J133" s="1403">
        <v>133174.31</v>
      </c>
      <c r="K133" s="1403">
        <v>141790.45000000001</v>
      </c>
      <c r="L133" s="1403">
        <v>112835.33</v>
      </c>
      <c r="M133" s="1403"/>
      <c r="N133" s="1403">
        <v>999137.09</v>
      </c>
    </row>
    <row r="134" spans="1:14">
      <c r="B134" s="1394" t="s">
        <v>783</v>
      </c>
      <c r="C134" s="1395" t="s">
        <v>782</v>
      </c>
      <c r="D134" s="1402">
        <v>100072.24</v>
      </c>
      <c r="E134" s="1402">
        <v>90387.83</v>
      </c>
      <c r="F134" s="1402">
        <v>101282.79</v>
      </c>
      <c r="G134" s="1402">
        <v>100180.88</v>
      </c>
      <c r="H134" s="1402">
        <v>110849.81</v>
      </c>
      <c r="I134" s="1402">
        <v>108563.45</v>
      </c>
      <c r="J134" s="1402">
        <v>133174.31</v>
      </c>
      <c r="K134" s="1402">
        <v>141790.45000000001</v>
      </c>
      <c r="L134" s="1402">
        <v>112835.33</v>
      </c>
      <c r="M134" s="1402"/>
      <c r="N134" s="1402">
        <v>999137.09</v>
      </c>
    </row>
    <row r="135" spans="1:14">
      <c r="B135" s="1394" t="s">
        <v>781</v>
      </c>
      <c r="C135" s="1395" t="s">
        <v>2382</v>
      </c>
      <c r="D135" s="1399"/>
      <c r="E135" s="1399"/>
      <c r="F135" s="1399"/>
      <c r="G135" s="1399"/>
      <c r="H135" s="1399"/>
      <c r="I135" s="1399"/>
      <c r="J135" s="1399"/>
      <c r="K135" s="1399"/>
      <c r="L135" s="1399"/>
      <c r="M135" s="1399"/>
      <c r="N135" s="1399"/>
    </row>
    <row r="136" spans="1:14">
      <c r="B136" s="1394" t="s">
        <v>779</v>
      </c>
      <c r="C136" s="1395" t="s">
        <v>778</v>
      </c>
      <c r="D136" s="1399"/>
      <c r="E136" s="1399"/>
      <c r="F136" s="1399"/>
      <c r="G136" s="1399"/>
      <c r="H136" s="1399"/>
      <c r="I136" s="1399"/>
      <c r="J136" s="1399"/>
      <c r="K136" s="1399"/>
      <c r="L136" s="1399"/>
      <c r="M136" s="1399"/>
      <c r="N136" s="1399"/>
    </row>
    <row r="137" spans="1:14">
      <c r="B137" s="1394" t="s">
        <v>777</v>
      </c>
      <c r="C137" s="1395" t="s">
        <v>776</v>
      </c>
      <c r="D137" s="1401">
        <v>-54824.83</v>
      </c>
      <c r="E137" s="1401">
        <v>-79447.47</v>
      </c>
      <c r="F137" s="1401">
        <v>-286585.15999999997</v>
      </c>
      <c r="G137" s="1401">
        <v>0</v>
      </c>
      <c r="H137" s="1401">
        <v>0</v>
      </c>
      <c r="I137" s="1401">
        <v>0</v>
      </c>
      <c r="J137" s="1401">
        <v>0</v>
      </c>
      <c r="K137" s="1401">
        <v>0</v>
      </c>
      <c r="L137" s="1401">
        <v>0</v>
      </c>
      <c r="M137" s="1401"/>
      <c r="N137" s="1401">
        <v>-420857.46</v>
      </c>
    </row>
    <row r="138" spans="1:14">
      <c r="B138" s="1394" t="s">
        <v>775</v>
      </c>
      <c r="C138" s="1395" t="s">
        <v>774</v>
      </c>
      <c r="D138" s="1403">
        <v>-54824.83</v>
      </c>
      <c r="E138" s="1403">
        <v>-79447.47</v>
      </c>
      <c r="F138" s="1403">
        <v>-286585.15999999997</v>
      </c>
      <c r="G138" s="1403">
        <v>0</v>
      </c>
      <c r="H138" s="1403">
        <v>0</v>
      </c>
      <c r="I138" s="1403">
        <v>0</v>
      </c>
      <c r="J138" s="1403">
        <v>0</v>
      </c>
      <c r="K138" s="1403">
        <v>0</v>
      </c>
      <c r="L138" s="1403">
        <v>0</v>
      </c>
      <c r="M138" s="1403"/>
      <c r="N138" s="1403">
        <v>-420857.46</v>
      </c>
    </row>
    <row r="139" spans="1:14">
      <c r="A139" s="977"/>
      <c r="B139" s="1394" t="s">
        <v>773</v>
      </c>
      <c r="C139" s="1395" t="s">
        <v>2383</v>
      </c>
      <c r="D139" s="1403">
        <v>-54824.83</v>
      </c>
      <c r="E139" s="1403">
        <v>-79447.47</v>
      </c>
      <c r="F139" s="1403">
        <v>-286585.15999999997</v>
      </c>
      <c r="G139" s="1403">
        <v>0</v>
      </c>
      <c r="H139" s="1403">
        <v>0</v>
      </c>
      <c r="I139" s="1403">
        <v>0</v>
      </c>
      <c r="J139" s="1403">
        <v>0</v>
      </c>
      <c r="K139" s="1403">
        <v>0</v>
      </c>
      <c r="L139" s="1403">
        <v>0</v>
      </c>
      <c r="M139" s="1403"/>
      <c r="N139" s="1403">
        <v>-420857.46</v>
      </c>
    </row>
    <row r="140" spans="1:14">
      <c r="B140" s="1396" t="s">
        <v>763</v>
      </c>
      <c r="C140" s="1397" t="s">
        <v>762</v>
      </c>
      <c r="D140" s="1405">
        <v>45247.41</v>
      </c>
      <c r="E140" s="1405">
        <v>10940.36</v>
      </c>
      <c r="F140" s="1405">
        <v>-185302.37</v>
      </c>
      <c r="G140" s="1405">
        <v>100180.88</v>
      </c>
      <c r="H140" s="1405">
        <v>110849.81</v>
      </c>
      <c r="I140" s="1405">
        <v>108563.45</v>
      </c>
      <c r="J140" s="1405">
        <v>133174.31</v>
      </c>
      <c r="K140" s="1405">
        <v>141790.45000000001</v>
      </c>
      <c r="L140" s="1405">
        <v>112835.33</v>
      </c>
      <c r="M140" s="1405"/>
      <c r="N140" s="1405">
        <v>578279.63</v>
      </c>
    </row>
    <row r="141" spans="1:14">
      <c r="B141" s="1396" t="s">
        <v>761</v>
      </c>
      <c r="C141" s="1397" t="s">
        <v>760</v>
      </c>
      <c r="D141" s="1406">
        <v>-45247.41</v>
      </c>
      <c r="E141" s="1406">
        <v>-10940.36</v>
      </c>
      <c r="F141" s="1406">
        <v>185302.37</v>
      </c>
      <c r="G141" s="1406">
        <v>-100180.88</v>
      </c>
      <c r="H141" s="1406">
        <v>-110849.81</v>
      </c>
      <c r="I141" s="1406">
        <v>-108563.45</v>
      </c>
      <c r="J141" s="1406">
        <v>-133174.31</v>
      </c>
      <c r="K141" s="1406">
        <v>-141790.45000000001</v>
      </c>
      <c r="L141" s="1406">
        <v>-112835.33</v>
      </c>
      <c r="M141" s="1406"/>
      <c r="N141" s="1406">
        <v>-578279.63</v>
      </c>
    </row>
    <row r="142" spans="1:14" ht="16" thickBot="1">
      <c r="B142" s="1396" t="s">
        <v>759</v>
      </c>
      <c r="C142" s="1397" t="s">
        <v>758</v>
      </c>
      <c r="D142" s="1407">
        <v>136998.97</v>
      </c>
      <c r="E142" s="1407">
        <v>4319.25</v>
      </c>
      <c r="F142" s="1407">
        <v>312569.40999999997</v>
      </c>
      <c r="G142" s="1407">
        <v>34439.58</v>
      </c>
      <c r="H142" s="1407">
        <v>-12867.06</v>
      </c>
      <c r="I142" s="1407">
        <v>-8357.74</v>
      </c>
      <c r="J142" s="1407">
        <v>25573.72</v>
      </c>
      <c r="K142" s="1407">
        <v>-11887.41</v>
      </c>
      <c r="L142" s="1407">
        <v>14746.9</v>
      </c>
      <c r="M142" s="1407"/>
      <c r="N142" s="1407">
        <v>495535.62</v>
      </c>
    </row>
    <row r="143" spans="1:14" ht="16" thickTop="1"/>
    <row r="148" spans="1:1">
      <c r="A148" s="977"/>
    </row>
    <row r="149" spans="1:1">
      <c r="A149" s="1411"/>
    </row>
    <row r="157" spans="1:1">
      <c r="A157" s="927" t="s">
        <v>1181</v>
      </c>
    </row>
    <row r="160" spans="1:1">
      <c r="A160" s="927" t="s">
        <v>1180</v>
      </c>
    </row>
  </sheetData>
  <mergeCells count="3">
    <mergeCell ref="B2:N2"/>
    <mergeCell ref="B3:N3"/>
    <mergeCell ref="B4:N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D4ED1-9E91-42D0-AEEB-CBEBE436D2AC}">
  <sheetPr>
    <pageSetUpPr fitToPage="1"/>
  </sheetPr>
  <dimension ref="A2:P175"/>
  <sheetViews>
    <sheetView showGridLines="0" zoomScale="90" zoomScaleNormal="90" workbookViewId="0">
      <pane xSplit="3" ySplit="6" topLeftCell="D147" activePane="bottomRight" state="frozen"/>
      <selection pane="topRight" activeCell="D1" sqref="D1"/>
      <selection pane="bottomLeft" activeCell="A7" sqref="A7"/>
      <selection pane="bottomRight" activeCell="J156" sqref="J156"/>
    </sheetView>
  </sheetViews>
  <sheetFormatPr baseColWidth="10" defaultColWidth="9.1640625" defaultRowHeight="13"/>
  <cols>
    <col min="1" max="1" width="13.33203125" style="927" customWidth="1"/>
    <col min="2" max="2" width="11.5" style="927" customWidth="1"/>
    <col min="3" max="3" width="37.1640625" style="927" customWidth="1"/>
    <col min="4" max="16" width="17.1640625" style="927" customWidth="1"/>
    <col min="17" max="17" width="13.33203125" style="927" customWidth="1"/>
    <col min="18" max="18" width="12.1640625" style="927" customWidth="1"/>
    <col min="19" max="16384" width="9.1640625" style="927"/>
  </cols>
  <sheetData>
    <row r="2" spans="1:16" ht="15" customHeight="1">
      <c r="B2" s="928" t="s">
        <v>1398</v>
      </c>
      <c r="C2" s="928"/>
      <c r="D2" s="928"/>
      <c r="E2" s="928"/>
      <c r="F2" s="928"/>
      <c r="G2" s="928"/>
      <c r="H2" s="928"/>
      <c r="I2" s="928"/>
      <c r="J2" s="928"/>
      <c r="K2" s="928"/>
      <c r="L2" s="928"/>
      <c r="M2" s="928"/>
      <c r="N2" s="928"/>
      <c r="O2" s="928"/>
      <c r="P2" s="928"/>
    </row>
    <row r="3" spans="1:16" ht="15.75" customHeight="1">
      <c r="B3" s="929" t="s">
        <v>965</v>
      </c>
      <c r="C3" s="929"/>
      <c r="D3" s="929"/>
      <c r="E3" s="929"/>
      <c r="F3" s="929"/>
      <c r="G3" s="929"/>
      <c r="H3" s="929"/>
      <c r="I3" s="929"/>
      <c r="J3" s="929"/>
      <c r="K3" s="929"/>
      <c r="L3" s="929"/>
      <c r="M3" s="929"/>
      <c r="N3" s="929"/>
      <c r="O3" s="929"/>
      <c r="P3" s="929"/>
    </row>
    <row r="4" spans="1:16" ht="15" customHeight="1">
      <c r="B4" s="928" t="s">
        <v>2251</v>
      </c>
      <c r="C4" s="928"/>
      <c r="D4" s="928"/>
      <c r="E4" s="928"/>
      <c r="F4" s="928"/>
      <c r="G4" s="928"/>
      <c r="H4" s="928"/>
      <c r="I4" s="928"/>
      <c r="J4" s="928"/>
      <c r="K4" s="928"/>
      <c r="L4" s="928"/>
      <c r="M4" s="928"/>
      <c r="N4" s="928"/>
      <c r="O4" s="928"/>
      <c r="P4" s="928"/>
    </row>
    <row r="5" spans="1:16" ht="15" customHeight="1">
      <c r="B5" s="928" t="s">
        <v>1396</v>
      </c>
      <c r="C5" s="928"/>
      <c r="D5" s="928"/>
      <c r="E5" s="928"/>
      <c r="F5" s="928"/>
      <c r="G5" s="928"/>
      <c r="H5" s="928"/>
      <c r="I5" s="928"/>
      <c r="J5" s="928"/>
      <c r="K5" s="928"/>
      <c r="L5" s="928"/>
      <c r="M5" s="928"/>
      <c r="N5" s="928"/>
      <c r="O5" s="928"/>
      <c r="P5" s="928"/>
    </row>
    <row r="6" spans="1:16" ht="15" customHeight="1">
      <c r="B6" s="998"/>
      <c r="C6" s="997"/>
      <c r="D6" s="998" t="s">
        <v>2240</v>
      </c>
      <c r="E6" s="998" t="s">
        <v>2241</v>
      </c>
      <c r="F6" s="998" t="s">
        <v>2242</v>
      </c>
      <c r="G6" s="1389" t="s">
        <v>2262</v>
      </c>
      <c r="H6" s="1389" t="s">
        <v>2263</v>
      </c>
      <c r="I6" s="1389" t="s">
        <v>2264</v>
      </c>
      <c r="J6" s="1389" t="s">
        <v>2265</v>
      </c>
      <c r="K6" s="1389" t="s">
        <v>2266</v>
      </c>
      <c r="L6" s="1491">
        <v>44469</v>
      </c>
      <c r="M6" s="1491">
        <v>44500</v>
      </c>
      <c r="N6" s="1491">
        <v>44530</v>
      </c>
      <c r="O6" s="1491">
        <v>44561</v>
      </c>
      <c r="P6" s="998" t="s">
        <v>84</v>
      </c>
    </row>
    <row r="7" spans="1:16" ht="15" customHeight="1">
      <c r="B7" s="995" t="s">
        <v>964</v>
      </c>
      <c r="C7" s="994" t="s">
        <v>963</v>
      </c>
      <c r="D7" s="993"/>
      <c r="E7" s="993"/>
      <c r="F7" s="993"/>
      <c r="G7" s="993"/>
      <c r="H7" s="993"/>
      <c r="I7" s="993"/>
      <c r="J7" s="993"/>
      <c r="K7" s="993"/>
      <c r="L7" s="993"/>
      <c r="M7" s="993"/>
      <c r="N7" s="993"/>
      <c r="O7" s="993"/>
      <c r="P7" s="993"/>
    </row>
    <row r="8" spans="1:16" ht="15" customHeight="1">
      <c r="B8" s="983"/>
      <c r="C8" s="984"/>
      <c r="D8" s="983"/>
      <c r="E8" s="983"/>
      <c r="F8" s="983"/>
      <c r="G8" s="983"/>
      <c r="H8" s="983"/>
      <c r="I8" s="983"/>
      <c r="J8" s="983"/>
      <c r="K8" s="983"/>
      <c r="L8" s="983"/>
      <c r="M8" s="983"/>
      <c r="N8" s="983"/>
      <c r="O8" s="983"/>
      <c r="P8" s="983"/>
    </row>
    <row r="9" spans="1:16" ht="15" customHeight="1">
      <c r="B9" s="981" t="s">
        <v>962</v>
      </c>
      <c r="C9" s="980" t="s">
        <v>802</v>
      </c>
      <c r="D9" s="991"/>
      <c r="E9" s="991"/>
      <c r="F9" s="991"/>
      <c r="G9" s="991"/>
      <c r="H9" s="991"/>
      <c r="I9" s="991"/>
      <c r="J9" s="991"/>
      <c r="K9" s="991"/>
      <c r="L9" s="991"/>
      <c r="M9" s="991"/>
      <c r="N9" s="991"/>
      <c r="O9" s="991"/>
      <c r="P9" s="991"/>
    </row>
    <row r="10" spans="1:16" ht="15" customHeight="1">
      <c r="B10" s="983"/>
      <c r="C10" s="984"/>
      <c r="D10" s="983"/>
      <c r="E10" s="983"/>
      <c r="F10" s="983"/>
      <c r="G10" s="983"/>
      <c r="H10" s="983"/>
      <c r="I10" s="983"/>
      <c r="J10" s="983"/>
      <c r="K10" s="983"/>
      <c r="L10" s="983"/>
      <c r="M10" s="983"/>
      <c r="N10" s="983"/>
      <c r="O10" s="983"/>
      <c r="P10" s="983"/>
    </row>
    <row r="11" spans="1:16" ht="15" customHeight="1">
      <c r="B11" s="981" t="s">
        <v>961</v>
      </c>
      <c r="C11" s="980" t="s">
        <v>960</v>
      </c>
      <c r="D11" s="991"/>
      <c r="E11" s="991"/>
      <c r="F11" s="991"/>
      <c r="G11" s="991"/>
      <c r="H11" s="991"/>
      <c r="I11" s="991"/>
      <c r="J11" s="991"/>
      <c r="K11" s="991"/>
      <c r="L11" s="991"/>
      <c r="M11" s="991"/>
      <c r="N11" s="991"/>
      <c r="O11" s="991"/>
      <c r="P11" s="991"/>
    </row>
    <row r="12" spans="1:16" ht="15" customHeight="1">
      <c r="B12" s="983" t="s">
        <v>959</v>
      </c>
      <c r="C12" s="984" t="s">
        <v>958</v>
      </c>
      <c r="D12" s="989"/>
      <c r="E12" s="989"/>
      <c r="F12" s="989"/>
      <c r="G12" s="989"/>
      <c r="H12" s="989"/>
      <c r="I12" s="989"/>
      <c r="J12" s="989"/>
      <c r="K12" s="989"/>
      <c r="L12" s="989"/>
      <c r="M12" s="989"/>
      <c r="N12" s="989"/>
      <c r="O12" s="989"/>
      <c r="P12" s="989"/>
    </row>
    <row r="13" spans="1:16" ht="15" customHeight="1">
      <c r="B13" s="983" t="s">
        <v>957</v>
      </c>
      <c r="C13" s="984" t="s">
        <v>956</v>
      </c>
      <c r="D13" s="989"/>
      <c r="E13" s="989"/>
      <c r="F13" s="989"/>
      <c r="G13" s="989"/>
      <c r="H13" s="989"/>
      <c r="I13" s="989"/>
      <c r="J13" s="989"/>
      <c r="K13" s="989"/>
      <c r="L13" s="989"/>
      <c r="M13" s="989"/>
      <c r="N13" s="989"/>
      <c r="O13" s="989"/>
      <c r="P13" s="989"/>
    </row>
    <row r="14" spans="1:16" ht="15" customHeight="1">
      <c r="A14" s="977" t="s">
        <v>1389</v>
      </c>
      <c r="B14" s="983" t="s">
        <v>955</v>
      </c>
      <c r="C14" s="984" t="s">
        <v>954</v>
      </c>
      <c r="D14" s="990">
        <v>136867.97</v>
      </c>
      <c r="E14" s="990">
        <v>136867.97</v>
      </c>
      <c r="F14" s="990">
        <v>72601.66</v>
      </c>
      <c r="G14" s="1400">
        <v>137332.62</v>
      </c>
      <c r="H14" s="1400">
        <v>137518.62</v>
      </c>
      <c r="I14" s="1400">
        <v>137853.16</v>
      </c>
      <c r="J14" s="1400">
        <v>137853.16</v>
      </c>
      <c r="K14" s="1400">
        <v>150188.57999999999</v>
      </c>
      <c r="L14" s="1400">
        <v>141492.74</v>
      </c>
      <c r="M14" s="1400">
        <v>150821.07999999999</v>
      </c>
      <c r="N14" s="1400">
        <v>150821.07999999999</v>
      </c>
      <c r="O14" s="1400">
        <v>157578.66</v>
      </c>
      <c r="P14" s="990"/>
    </row>
    <row r="15" spans="1:16" ht="15" customHeight="1">
      <c r="A15" s="977" t="s">
        <v>1342</v>
      </c>
      <c r="B15" s="1394" t="s">
        <v>2260</v>
      </c>
      <c r="C15" s="1395" t="s">
        <v>2261</v>
      </c>
      <c r="D15" s="990"/>
      <c r="E15" s="990"/>
      <c r="F15" s="990"/>
      <c r="G15" s="1400">
        <v>0</v>
      </c>
      <c r="H15" s="1400">
        <v>2631.79</v>
      </c>
      <c r="I15" s="1400">
        <v>4881.05</v>
      </c>
      <c r="J15" s="1400">
        <v>4881.05</v>
      </c>
      <c r="K15" s="1400">
        <v>4881.05</v>
      </c>
      <c r="L15" s="1400">
        <v>4881.05</v>
      </c>
      <c r="M15" s="1400">
        <v>4881.05</v>
      </c>
      <c r="N15" s="1400">
        <v>4881.05</v>
      </c>
      <c r="O15" s="1400">
        <v>2631.79</v>
      </c>
      <c r="P15" s="990"/>
    </row>
    <row r="16" spans="1:16" ht="15" customHeight="1">
      <c r="A16" s="977" t="s">
        <v>1403</v>
      </c>
      <c r="B16" s="983" t="s">
        <v>1395</v>
      </c>
      <c r="C16" s="984" t="s">
        <v>1394</v>
      </c>
      <c r="D16" s="988">
        <v>-14155.14</v>
      </c>
      <c r="E16" s="988">
        <v>0</v>
      </c>
      <c r="F16" s="988">
        <v>0</v>
      </c>
      <c r="G16" s="1401">
        <v>0</v>
      </c>
      <c r="H16" s="1401">
        <v>0</v>
      </c>
      <c r="I16" s="1401">
        <v>0</v>
      </c>
      <c r="J16" s="1401">
        <v>0</v>
      </c>
      <c r="K16" s="1401">
        <v>-11247.18</v>
      </c>
      <c r="L16" s="1401">
        <v>0</v>
      </c>
      <c r="M16" s="1401">
        <v>0</v>
      </c>
      <c r="N16" s="1401">
        <v>0</v>
      </c>
      <c r="O16" s="1401">
        <v>0</v>
      </c>
      <c r="P16" s="990"/>
    </row>
    <row r="17" spans="2:16" ht="15" customHeight="1">
      <c r="B17" s="983" t="s">
        <v>953</v>
      </c>
      <c r="C17" s="984" t="s">
        <v>952</v>
      </c>
      <c r="D17" s="987">
        <v>122712.83</v>
      </c>
      <c r="E17" s="987">
        <v>136867.97</v>
      </c>
      <c r="F17" s="987">
        <v>72601.66</v>
      </c>
      <c r="G17" s="1403">
        <v>137332.62</v>
      </c>
      <c r="H17" s="1403">
        <v>140150.41</v>
      </c>
      <c r="I17" s="1403">
        <v>142734.21</v>
      </c>
      <c r="J17" s="1403">
        <v>142734.21</v>
      </c>
      <c r="K17" s="1403">
        <v>143822.45000000001</v>
      </c>
      <c r="L17" s="1403">
        <v>146373.79</v>
      </c>
      <c r="M17" s="1403">
        <v>155702.13</v>
      </c>
      <c r="N17" s="1403">
        <v>155702.13</v>
      </c>
      <c r="O17" s="1403">
        <v>160210.45000000001</v>
      </c>
      <c r="P17" s="987"/>
    </row>
    <row r="18" spans="2:16" ht="15" customHeight="1">
      <c r="B18" s="983" t="s">
        <v>951</v>
      </c>
      <c r="C18" s="984" t="s">
        <v>950</v>
      </c>
      <c r="D18" s="986">
        <v>122712.83</v>
      </c>
      <c r="E18" s="986">
        <v>136867.97</v>
      </c>
      <c r="F18" s="986">
        <v>72601.66</v>
      </c>
      <c r="G18" s="1402">
        <v>137332.62</v>
      </c>
      <c r="H18" s="1402">
        <v>140150.41</v>
      </c>
      <c r="I18" s="1402">
        <v>142734.21</v>
      </c>
      <c r="J18" s="1402">
        <v>142734.21</v>
      </c>
      <c r="K18" s="1402">
        <v>143822.45000000001</v>
      </c>
      <c r="L18" s="1402">
        <v>146373.79</v>
      </c>
      <c r="M18" s="1402">
        <v>155702.13</v>
      </c>
      <c r="N18" s="1402">
        <v>155702.13</v>
      </c>
      <c r="O18" s="1402">
        <v>160210.45000000001</v>
      </c>
      <c r="P18" s="986"/>
    </row>
    <row r="19" spans="2:16" ht="15" customHeight="1">
      <c r="B19" s="983" t="s">
        <v>949</v>
      </c>
      <c r="C19" s="984" t="s">
        <v>948</v>
      </c>
      <c r="D19" s="989"/>
      <c r="E19" s="989"/>
      <c r="F19" s="989"/>
      <c r="G19" s="989"/>
      <c r="H19" s="989"/>
      <c r="I19" s="989"/>
      <c r="J19" s="989"/>
      <c r="K19" s="989"/>
      <c r="L19" s="989"/>
      <c r="M19" s="989"/>
      <c r="N19" s="989"/>
      <c r="O19" s="989"/>
      <c r="P19" s="989"/>
    </row>
    <row r="20" spans="2:16" ht="15" customHeight="1">
      <c r="B20" s="983" t="s">
        <v>947</v>
      </c>
      <c r="C20" s="984" t="s">
        <v>946</v>
      </c>
      <c r="D20" s="989"/>
      <c r="E20" s="989"/>
      <c r="F20" s="989"/>
      <c r="G20" s="989"/>
      <c r="H20" s="989"/>
      <c r="I20" s="989"/>
      <c r="J20" s="989"/>
      <c r="K20" s="989"/>
      <c r="L20" s="989"/>
      <c r="M20" s="989"/>
      <c r="N20" s="989"/>
      <c r="O20" s="989"/>
      <c r="P20" s="989"/>
    </row>
    <row r="21" spans="2:16" ht="15" customHeight="1">
      <c r="B21" s="983" t="s">
        <v>945</v>
      </c>
      <c r="C21" s="984" t="s">
        <v>944</v>
      </c>
      <c r="D21" s="990">
        <v>78971</v>
      </c>
      <c r="E21" s="990">
        <v>78971</v>
      </c>
      <c r="F21" s="990">
        <v>45426.62</v>
      </c>
      <c r="G21" s="1400">
        <v>78971</v>
      </c>
      <c r="H21" s="1400">
        <v>78971</v>
      </c>
      <c r="I21" s="1400">
        <v>78971</v>
      </c>
      <c r="J21" s="1400">
        <v>78971</v>
      </c>
      <c r="K21" s="1400">
        <v>78971</v>
      </c>
      <c r="L21" s="1400">
        <v>80072.53</v>
      </c>
      <c r="M21" s="1400">
        <v>87232.46</v>
      </c>
      <c r="N21" s="1400">
        <v>87510</v>
      </c>
      <c r="O21" s="1400">
        <v>90041.48</v>
      </c>
      <c r="P21" s="990"/>
    </row>
    <row r="22" spans="2:16" ht="15" customHeight="1">
      <c r="B22" s="983" t="s">
        <v>1388</v>
      </c>
      <c r="C22" s="984" t="s">
        <v>1387</v>
      </c>
      <c r="D22" s="990">
        <v>0</v>
      </c>
      <c r="E22" s="990">
        <v>0</v>
      </c>
      <c r="F22" s="990">
        <v>-1047.5899999999999</v>
      </c>
      <c r="G22" s="1400">
        <v>0</v>
      </c>
      <c r="H22" s="1400">
        <v>0</v>
      </c>
      <c r="I22" s="1400">
        <v>0</v>
      </c>
      <c r="J22" s="1400">
        <v>-37109.99</v>
      </c>
      <c r="K22" s="1400">
        <v>0</v>
      </c>
      <c r="L22" s="1400">
        <v>-7834.91</v>
      </c>
      <c r="M22" s="1400">
        <v>0</v>
      </c>
      <c r="N22" s="1400">
        <v>0</v>
      </c>
      <c r="O22" s="1400">
        <v>0</v>
      </c>
      <c r="P22" s="990"/>
    </row>
    <row r="23" spans="2:16" ht="15" customHeight="1">
      <c r="B23" s="983" t="s">
        <v>1386</v>
      </c>
      <c r="C23" s="984" t="s">
        <v>1385</v>
      </c>
      <c r="D23" s="988">
        <v>-13143.35</v>
      </c>
      <c r="E23" s="988">
        <v>0</v>
      </c>
      <c r="F23" s="988">
        <v>0</v>
      </c>
      <c r="G23" s="1401">
        <v>0</v>
      </c>
      <c r="H23" s="1401">
        <v>0</v>
      </c>
      <c r="I23" s="1401">
        <v>0</v>
      </c>
      <c r="J23" s="1401">
        <v>0</v>
      </c>
      <c r="K23" s="1401">
        <v>0</v>
      </c>
      <c r="L23" s="1401">
        <v>0</v>
      </c>
      <c r="M23" s="1401"/>
      <c r="N23" s="1401"/>
      <c r="O23" s="1401"/>
      <c r="P23" s="988"/>
    </row>
    <row r="24" spans="2:16" ht="15" customHeight="1">
      <c r="B24" s="983" t="s">
        <v>943</v>
      </c>
      <c r="C24" s="984" t="s">
        <v>942</v>
      </c>
      <c r="D24" s="986">
        <v>65827.649999999994</v>
      </c>
      <c r="E24" s="986">
        <v>78971</v>
      </c>
      <c r="F24" s="986">
        <v>44379.03</v>
      </c>
      <c r="G24" s="1402">
        <v>78971</v>
      </c>
      <c r="H24" s="1402">
        <v>78971</v>
      </c>
      <c r="I24" s="1402">
        <v>78971</v>
      </c>
      <c r="J24" s="1402">
        <v>41861.01</v>
      </c>
      <c r="K24" s="1402">
        <v>78971</v>
      </c>
      <c r="L24" s="1402">
        <v>72237.62</v>
      </c>
      <c r="M24" s="1402">
        <v>87232.46</v>
      </c>
      <c r="N24" s="1402">
        <v>87510</v>
      </c>
      <c r="O24" s="1402">
        <v>90041.48</v>
      </c>
      <c r="P24" s="986"/>
    </row>
    <row r="25" spans="2:16" ht="15" customHeight="1">
      <c r="B25" s="983" t="s">
        <v>2243</v>
      </c>
      <c r="C25" s="984" t="s">
        <v>2244</v>
      </c>
      <c r="D25" s="989"/>
      <c r="E25" s="989"/>
      <c r="F25" s="989"/>
      <c r="G25" s="989"/>
      <c r="H25" s="989"/>
      <c r="I25" s="989"/>
      <c r="J25" s="989"/>
      <c r="K25" s="989"/>
      <c r="L25" s="989"/>
      <c r="M25" s="989"/>
      <c r="N25" s="989"/>
      <c r="O25" s="989"/>
      <c r="P25" s="989"/>
    </row>
    <row r="26" spans="2:16" ht="15" customHeight="1">
      <c r="B26" s="983" t="s">
        <v>2245</v>
      </c>
      <c r="C26" s="984" t="s">
        <v>2246</v>
      </c>
      <c r="D26" s="988">
        <v>0</v>
      </c>
      <c r="E26" s="988">
        <v>0</v>
      </c>
      <c r="F26" s="988">
        <v>1725.85</v>
      </c>
      <c r="G26" s="1401">
        <v>-0.02</v>
      </c>
      <c r="H26" s="1401">
        <v>0</v>
      </c>
      <c r="I26" s="1401">
        <v>0</v>
      </c>
      <c r="J26" s="1401">
        <v>0</v>
      </c>
      <c r="K26" s="1401">
        <v>0</v>
      </c>
      <c r="L26" s="1401"/>
      <c r="M26" s="1401">
        <v>0</v>
      </c>
      <c r="N26" s="1401">
        <v>0</v>
      </c>
      <c r="O26" s="1401">
        <v>0</v>
      </c>
      <c r="P26" s="988"/>
    </row>
    <row r="27" spans="2:16" ht="15" customHeight="1">
      <c r="B27" s="983" t="s">
        <v>2247</v>
      </c>
      <c r="C27" s="984" t="s">
        <v>2248</v>
      </c>
      <c r="D27" s="986">
        <v>0</v>
      </c>
      <c r="E27" s="986">
        <v>0</v>
      </c>
      <c r="F27" s="986">
        <v>1725.85</v>
      </c>
      <c r="G27" s="1402">
        <v>-0.02</v>
      </c>
      <c r="H27" s="1402">
        <v>0</v>
      </c>
      <c r="I27" s="1402">
        <v>0</v>
      </c>
      <c r="J27" s="1402">
        <v>0</v>
      </c>
      <c r="K27" s="1402">
        <v>0</v>
      </c>
      <c r="L27" s="1402"/>
      <c r="M27" s="1403">
        <v>0</v>
      </c>
      <c r="N27" s="1403">
        <v>0</v>
      </c>
      <c r="O27" s="1403">
        <v>0</v>
      </c>
      <c r="P27" s="986"/>
    </row>
    <row r="28" spans="2:16" ht="15" customHeight="1">
      <c r="B28" s="983" t="s">
        <v>1384</v>
      </c>
      <c r="C28" s="984" t="s">
        <v>1383</v>
      </c>
      <c r="D28" s="989"/>
      <c r="E28" s="989"/>
      <c r="F28" s="989"/>
      <c r="G28" s="989"/>
      <c r="H28" s="989"/>
      <c r="I28" s="989"/>
      <c r="J28" s="989"/>
      <c r="K28" s="989"/>
      <c r="L28" s="989"/>
      <c r="M28" s="989"/>
      <c r="N28" s="989"/>
      <c r="O28" s="989"/>
      <c r="P28" s="989"/>
    </row>
    <row r="29" spans="2:16" ht="15" customHeight="1">
      <c r="B29" s="983" t="s">
        <v>1382</v>
      </c>
      <c r="C29" s="984" t="s">
        <v>1381</v>
      </c>
      <c r="D29" s="989"/>
      <c r="E29" s="989"/>
      <c r="F29" s="989"/>
      <c r="G29" s="989"/>
      <c r="H29" s="989"/>
      <c r="I29" s="989"/>
      <c r="J29" s="989"/>
      <c r="K29" s="989"/>
      <c r="L29" s="989"/>
      <c r="M29" s="989"/>
      <c r="N29" s="989"/>
      <c r="O29" s="989"/>
      <c r="P29" s="989"/>
    </row>
    <row r="30" spans="2:16" ht="15" customHeight="1">
      <c r="B30" s="983" t="s">
        <v>2232</v>
      </c>
      <c r="C30" s="984" t="s">
        <v>2233</v>
      </c>
      <c r="D30" s="988">
        <v>-340</v>
      </c>
      <c r="E30" s="988">
        <v>340</v>
      </c>
      <c r="F30" s="988">
        <v>0</v>
      </c>
      <c r="G30" s="1401">
        <v>0</v>
      </c>
      <c r="H30" s="1401">
        <v>0</v>
      </c>
      <c r="I30" s="1401">
        <v>0</v>
      </c>
      <c r="J30" s="1401">
        <v>0</v>
      </c>
      <c r="K30" s="1401">
        <v>0</v>
      </c>
      <c r="L30" s="1401">
        <v>0</v>
      </c>
      <c r="M30" s="1401"/>
      <c r="N30" s="1401"/>
      <c r="O30" s="1401"/>
      <c r="P30" s="988"/>
    </row>
    <row r="31" spans="2:16" ht="15" customHeight="1">
      <c r="B31" s="983" t="s">
        <v>1372</v>
      </c>
      <c r="C31" s="984" t="s">
        <v>1371</v>
      </c>
      <c r="D31" s="987">
        <v>-340</v>
      </c>
      <c r="E31" s="987">
        <v>340</v>
      </c>
      <c r="F31" s="987">
        <v>0</v>
      </c>
      <c r="G31" s="1403">
        <v>0</v>
      </c>
      <c r="H31" s="1403">
        <v>0</v>
      </c>
      <c r="I31" s="1403">
        <v>0</v>
      </c>
      <c r="J31" s="1403">
        <v>0</v>
      </c>
      <c r="K31" s="1403">
        <v>0</v>
      </c>
      <c r="L31" s="1403">
        <v>0</v>
      </c>
      <c r="M31" s="1403"/>
      <c r="N31" s="1403"/>
      <c r="O31" s="1403"/>
      <c r="P31" s="987"/>
    </row>
    <row r="32" spans="2:16" ht="15" customHeight="1">
      <c r="B32" s="983" t="s">
        <v>1362</v>
      </c>
      <c r="C32" s="984" t="s">
        <v>1361</v>
      </c>
      <c r="D32" s="987">
        <v>-340</v>
      </c>
      <c r="E32" s="987">
        <v>340</v>
      </c>
      <c r="F32" s="987">
        <v>0</v>
      </c>
      <c r="G32" s="1403">
        <v>0</v>
      </c>
      <c r="H32" s="1403">
        <v>0</v>
      </c>
      <c r="I32" s="1403">
        <v>0</v>
      </c>
      <c r="J32" s="1403">
        <v>0</v>
      </c>
      <c r="K32" s="1403">
        <v>0</v>
      </c>
      <c r="L32" s="1403">
        <v>0</v>
      </c>
      <c r="M32" s="1403"/>
      <c r="N32" s="1403"/>
      <c r="O32" s="1403"/>
      <c r="P32" s="987"/>
    </row>
    <row r="33" spans="1:16" ht="15" customHeight="1">
      <c r="A33" s="977" t="s">
        <v>1360</v>
      </c>
      <c r="B33" s="983" t="s">
        <v>941</v>
      </c>
      <c r="C33" s="984" t="s">
        <v>940</v>
      </c>
      <c r="D33" s="986">
        <v>65487.65</v>
      </c>
      <c r="E33" s="986">
        <v>79311</v>
      </c>
      <c r="F33" s="986">
        <v>46104.88</v>
      </c>
      <c r="G33" s="1402">
        <v>78970.98</v>
      </c>
      <c r="H33" s="1402">
        <v>78971</v>
      </c>
      <c r="I33" s="1402">
        <v>78971</v>
      </c>
      <c r="J33" s="1402">
        <v>41861.01</v>
      </c>
      <c r="K33" s="1402">
        <v>78971</v>
      </c>
      <c r="L33" s="1402">
        <v>72237.62</v>
      </c>
      <c r="M33" s="1402">
        <v>87232.46</v>
      </c>
      <c r="N33" s="1402">
        <v>87510</v>
      </c>
      <c r="O33" s="1402">
        <v>90041.48</v>
      </c>
      <c r="P33" s="986"/>
    </row>
    <row r="34" spans="1:16" ht="15" customHeight="1">
      <c r="B34" s="983" t="s">
        <v>1359</v>
      </c>
      <c r="C34" s="984" t="s">
        <v>1358</v>
      </c>
      <c r="D34" s="989"/>
      <c r="E34" s="989"/>
      <c r="F34" s="989"/>
      <c r="G34" s="989"/>
      <c r="H34" s="989"/>
      <c r="I34" s="989"/>
      <c r="J34" s="989"/>
      <c r="K34" s="989"/>
      <c r="L34" s="989"/>
      <c r="M34" s="989"/>
      <c r="N34" s="989"/>
      <c r="O34" s="989"/>
      <c r="P34" s="989"/>
    </row>
    <row r="35" spans="1:16" ht="15" customHeight="1">
      <c r="B35" s="983" t="s">
        <v>1357</v>
      </c>
      <c r="C35" s="984" t="s">
        <v>1356</v>
      </c>
      <c r="D35" s="989"/>
      <c r="E35" s="989"/>
      <c r="F35" s="989"/>
      <c r="G35" s="989"/>
      <c r="H35" s="989"/>
      <c r="I35" s="989"/>
      <c r="J35" s="989"/>
      <c r="K35" s="989"/>
      <c r="L35" s="989"/>
      <c r="M35" s="989"/>
      <c r="N35" s="989"/>
      <c r="O35" s="989"/>
      <c r="P35" s="989"/>
    </row>
    <row r="36" spans="1:16" ht="15" customHeight="1">
      <c r="A36" s="977" t="s">
        <v>1355</v>
      </c>
      <c r="B36" s="983" t="s">
        <v>1354</v>
      </c>
      <c r="C36" s="984" t="s">
        <v>1353</v>
      </c>
      <c r="D36" s="990">
        <v>0</v>
      </c>
      <c r="E36" s="990">
        <v>0</v>
      </c>
      <c r="F36" s="990">
        <v>9677.17</v>
      </c>
      <c r="G36" s="1400">
        <v>11276.35</v>
      </c>
      <c r="H36" s="1400">
        <v>0</v>
      </c>
      <c r="I36" s="1400">
        <v>24528.3</v>
      </c>
      <c r="J36" s="1400">
        <v>25933.200000000001</v>
      </c>
      <c r="K36" s="1400">
        <v>20701.5</v>
      </c>
      <c r="L36" s="1400">
        <v>16834.05</v>
      </c>
      <c r="M36" s="1400">
        <v>16834.05</v>
      </c>
      <c r="N36" s="1400">
        <v>24319.17</v>
      </c>
      <c r="O36" s="1400">
        <v>-11729.46</v>
      </c>
      <c r="P36" s="990"/>
    </row>
    <row r="37" spans="1:16" ht="15" customHeight="1">
      <c r="A37" s="977" t="s">
        <v>1342</v>
      </c>
      <c r="B37" s="983" t="s">
        <v>1344</v>
      </c>
      <c r="C37" s="984" t="s">
        <v>1343</v>
      </c>
      <c r="D37" s="988">
        <v>69</v>
      </c>
      <c r="E37" s="988">
        <v>69</v>
      </c>
      <c r="F37" s="988">
        <v>-379.5</v>
      </c>
      <c r="G37" s="1401">
        <v>69</v>
      </c>
      <c r="H37" s="1401">
        <v>69</v>
      </c>
      <c r="I37" s="1401">
        <v>7569</v>
      </c>
      <c r="J37" s="1401">
        <v>69</v>
      </c>
      <c r="K37" s="1401">
        <v>69</v>
      </c>
      <c r="L37" s="1401">
        <v>69</v>
      </c>
      <c r="M37" s="1401">
        <v>69</v>
      </c>
      <c r="N37" s="1401">
        <v>69</v>
      </c>
      <c r="O37" s="1401">
        <v>69</v>
      </c>
      <c r="P37" s="988"/>
    </row>
    <row r="38" spans="1:16" ht="15" customHeight="1">
      <c r="B38" s="983" t="s">
        <v>1341</v>
      </c>
      <c r="C38" s="984" t="s">
        <v>1340</v>
      </c>
      <c r="D38" s="987">
        <v>69</v>
      </c>
      <c r="E38" s="987">
        <v>69</v>
      </c>
      <c r="F38" s="987">
        <v>9297.67</v>
      </c>
      <c r="G38" s="1403">
        <v>11345.35</v>
      </c>
      <c r="H38" s="1403">
        <v>69</v>
      </c>
      <c r="I38" s="1403">
        <v>32097.3</v>
      </c>
      <c r="J38" s="1403">
        <v>26002.2</v>
      </c>
      <c r="K38" s="1403">
        <v>20770.5</v>
      </c>
      <c r="L38" s="1403">
        <v>16903.05</v>
      </c>
      <c r="M38" s="1403">
        <v>16903.05</v>
      </c>
      <c r="N38" s="1403">
        <v>24388.17</v>
      </c>
      <c r="O38" s="1403">
        <v>-11660.46</v>
      </c>
      <c r="P38" s="987"/>
    </row>
    <row r="39" spans="1:16" ht="15" customHeight="1">
      <c r="B39" s="983" t="s">
        <v>1339</v>
      </c>
      <c r="C39" s="984" t="s">
        <v>1338</v>
      </c>
      <c r="D39" s="987">
        <v>69</v>
      </c>
      <c r="E39" s="987">
        <v>69</v>
      </c>
      <c r="F39" s="987">
        <v>9297.67</v>
      </c>
      <c r="G39" s="1403">
        <v>11345.35</v>
      </c>
      <c r="H39" s="1403">
        <v>69</v>
      </c>
      <c r="I39" s="1403">
        <v>32097.3</v>
      </c>
      <c r="J39" s="1403">
        <v>26002.2</v>
      </c>
      <c r="K39" s="1403">
        <v>20770.5</v>
      </c>
      <c r="L39" s="1403">
        <v>16903.05</v>
      </c>
      <c r="M39" s="1403">
        <v>16903.05</v>
      </c>
      <c r="N39" s="1403">
        <v>24388.17</v>
      </c>
      <c r="O39" s="1403">
        <v>-11660.46</v>
      </c>
      <c r="P39" s="987"/>
    </row>
    <row r="40" spans="1:16" ht="15" customHeight="1">
      <c r="B40" s="981" t="s">
        <v>939</v>
      </c>
      <c r="C40" s="980" t="s">
        <v>938</v>
      </c>
      <c r="D40" s="985">
        <v>188269.48</v>
      </c>
      <c r="E40" s="985">
        <v>216247.97</v>
      </c>
      <c r="F40" s="985">
        <v>128004.21</v>
      </c>
      <c r="G40" s="1404">
        <v>227648.95</v>
      </c>
      <c r="H40" s="1404">
        <v>219190.41</v>
      </c>
      <c r="I40" s="1404">
        <v>253802.51</v>
      </c>
      <c r="J40" s="1404">
        <v>210597.42</v>
      </c>
      <c r="K40" s="1404">
        <v>243563.95</v>
      </c>
      <c r="L40" s="1404">
        <v>235514.46</v>
      </c>
      <c r="M40" s="1404">
        <v>259837.64</v>
      </c>
      <c r="N40" s="1404">
        <v>267600.3</v>
      </c>
      <c r="O40" s="1404">
        <v>238591.47</v>
      </c>
      <c r="P40" s="985"/>
    </row>
    <row r="41" spans="1:16" ht="15" customHeight="1">
      <c r="B41" s="983"/>
      <c r="C41" s="984"/>
      <c r="D41" s="983"/>
      <c r="E41" s="983"/>
      <c r="F41" s="983"/>
      <c r="G41" s="983"/>
      <c r="H41" s="983"/>
      <c r="I41" s="983"/>
      <c r="J41" s="983"/>
      <c r="K41" s="983"/>
      <c r="L41" s="983"/>
      <c r="M41" s="983"/>
      <c r="N41" s="983"/>
      <c r="O41" s="983"/>
      <c r="P41" s="983"/>
    </row>
    <row r="42" spans="1:16" ht="15" customHeight="1">
      <c r="B42" s="981" t="s">
        <v>937</v>
      </c>
      <c r="C42" s="980" t="s">
        <v>936</v>
      </c>
      <c r="D42" s="991"/>
      <c r="E42" s="991"/>
      <c r="F42" s="991"/>
      <c r="G42" s="991"/>
      <c r="H42" s="991"/>
      <c r="I42" s="991"/>
      <c r="J42" s="991"/>
      <c r="K42" s="991"/>
      <c r="L42" s="991"/>
      <c r="M42" s="991"/>
      <c r="N42" s="991"/>
      <c r="O42" s="991"/>
      <c r="P42" s="991"/>
    </row>
    <row r="43" spans="1:16" ht="15" customHeight="1">
      <c r="B43" s="983" t="s">
        <v>935</v>
      </c>
      <c r="C43" s="984" t="s">
        <v>934</v>
      </c>
      <c r="D43" s="989"/>
      <c r="E43" s="989"/>
      <c r="F43" s="989"/>
      <c r="G43" s="989"/>
      <c r="H43" s="989"/>
      <c r="I43" s="989"/>
      <c r="J43" s="989"/>
      <c r="K43" s="989"/>
      <c r="L43" s="989"/>
      <c r="M43" s="989"/>
      <c r="N43" s="989"/>
      <c r="O43" s="989"/>
      <c r="P43" s="989"/>
    </row>
    <row r="44" spans="1:16" ht="15" customHeight="1">
      <c r="B44" s="983" t="s">
        <v>933</v>
      </c>
      <c r="C44" s="984" t="s">
        <v>932</v>
      </c>
      <c r="D44" s="989"/>
      <c r="E44" s="989"/>
      <c r="F44" s="989"/>
      <c r="G44" s="989"/>
      <c r="H44" s="989"/>
      <c r="I44" s="989"/>
      <c r="J44" s="989"/>
      <c r="K44" s="989"/>
      <c r="L44" s="989"/>
      <c r="M44" s="989"/>
      <c r="N44" s="989"/>
      <c r="O44" s="989"/>
      <c r="P44" s="989"/>
    </row>
    <row r="45" spans="1:16" ht="15" customHeight="1">
      <c r="B45" s="983" t="s">
        <v>931</v>
      </c>
      <c r="C45" s="984" t="s">
        <v>930</v>
      </c>
      <c r="D45" s="989"/>
      <c r="E45" s="989"/>
      <c r="F45" s="989"/>
      <c r="G45" s="989"/>
      <c r="H45" s="989"/>
      <c r="I45" s="989"/>
      <c r="J45" s="989"/>
      <c r="K45" s="989"/>
      <c r="L45" s="989"/>
      <c r="M45" s="989"/>
      <c r="N45" s="989"/>
      <c r="O45" s="989"/>
      <c r="P45" s="989"/>
    </row>
    <row r="46" spans="1:16" ht="15" customHeight="1">
      <c r="B46" s="1394" t="s">
        <v>970</v>
      </c>
      <c r="C46" s="1395" t="s">
        <v>971</v>
      </c>
      <c r="D46" s="989"/>
      <c r="E46" s="989"/>
      <c r="F46" s="989"/>
      <c r="G46" s="989"/>
      <c r="H46" s="989"/>
      <c r="I46" s="989"/>
      <c r="J46" s="989"/>
      <c r="K46" s="989"/>
      <c r="L46" s="989"/>
      <c r="M46" s="1400">
        <v>0</v>
      </c>
      <c r="N46" s="1400">
        <v>0</v>
      </c>
      <c r="O46" s="1400">
        <v>0</v>
      </c>
      <c r="P46" s="989"/>
    </row>
    <row r="47" spans="1:16" ht="15" customHeight="1">
      <c r="B47" s="1394" t="s">
        <v>972</v>
      </c>
      <c r="C47" s="1395" t="s">
        <v>973</v>
      </c>
      <c r="D47" s="989"/>
      <c r="E47" s="989"/>
      <c r="F47" s="989"/>
      <c r="G47" s="1400">
        <v>0</v>
      </c>
      <c r="H47" s="1400">
        <v>0</v>
      </c>
      <c r="I47" s="1400">
        <v>425</v>
      </c>
      <c r="J47" s="1400">
        <v>0</v>
      </c>
      <c r="K47" s="1400">
        <v>0</v>
      </c>
      <c r="L47" s="1400">
        <v>185</v>
      </c>
      <c r="M47" s="1400">
        <v>0</v>
      </c>
      <c r="N47" s="1400">
        <v>650</v>
      </c>
      <c r="O47" s="1400">
        <v>0</v>
      </c>
      <c r="P47" s="989"/>
    </row>
    <row r="48" spans="1:16" ht="15" customHeight="1">
      <c r="B48" s="983" t="s">
        <v>929</v>
      </c>
      <c r="C48" s="984" t="s">
        <v>928</v>
      </c>
      <c r="D48" s="990">
        <v>0</v>
      </c>
      <c r="E48" s="990">
        <v>0</v>
      </c>
      <c r="F48" s="990">
        <v>585</v>
      </c>
      <c r="G48" s="1400">
        <v>0</v>
      </c>
      <c r="H48" s="1400">
        <v>0</v>
      </c>
      <c r="I48" s="1400">
        <v>0</v>
      </c>
      <c r="J48" s="1400">
        <v>390</v>
      </c>
      <c r="K48" s="1400">
        <v>0</v>
      </c>
      <c r="L48" s="1400">
        <v>105</v>
      </c>
      <c r="M48" s="1400">
        <v>0</v>
      </c>
      <c r="N48" s="1400">
        <v>10500</v>
      </c>
      <c r="O48" s="1400">
        <v>0</v>
      </c>
      <c r="P48" s="990"/>
    </row>
    <row r="49" spans="2:16" ht="15" customHeight="1">
      <c r="B49" s="983" t="s">
        <v>1331</v>
      </c>
      <c r="C49" s="984" t="s">
        <v>1330</v>
      </c>
      <c r="D49" s="990">
        <v>0</v>
      </c>
      <c r="E49" s="990">
        <v>0</v>
      </c>
      <c r="F49" s="990">
        <v>4678</v>
      </c>
      <c r="G49" s="1400">
        <v>0</v>
      </c>
      <c r="H49" s="1400">
        <v>0</v>
      </c>
      <c r="I49" s="1400">
        <v>0</v>
      </c>
      <c r="J49" s="1400">
        <v>0</v>
      </c>
      <c r="K49" s="1400">
        <v>0</v>
      </c>
      <c r="L49" s="1400">
        <v>0</v>
      </c>
      <c r="M49" s="1400">
        <v>0</v>
      </c>
      <c r="N49" s="1400">
        <v>0</v>
      </c>
      <c r="O49" s="1400">
        <v>0</v>
      </c>
      <c r="P49" s="990"/>
    </row>
    <row r="50" spans="2:16" ht="15" customHeight="1">
      <c r="B50" s="1394" t="s">
        <v>1329</v>
      </c>
      <c r="C50" s="1395" t="s">
        <v>1328</v>
      </c>
      <c r="D50" s="990"/>
      <c r="E50" s="990"/>
      <c r="F50" s="990"/>
      <c r="G50" s="1400">
        <v>0</v>
      </c>
      <c r="H50" s="1400">
        <v>0</v>
      </c>
      <c r="I50" s="1400">
        <v>0</v>
      </c>
      <c r="J50" s="1400">
        <v>0</v>
      </c>
      <c r="K50" s="1400">
        <v>0</v>
      </c>
      <c r="L50" s="1400">
        <v>1100</v>
      </c>
      <c r="M50" s="1400">
        <v>0</v>
      </c>
      <c r="N50" s="1400">
        <v>0</v>
      </c>
      <c r="O50" s="1400">
        <v>0</v>
      </c>
      <c r="P50" s="990"/>
    </row>
    <row r="51" spans="2:16" ht="15" customHeight="1">
      <c r="B51" s="983" t="s">
        <v>974</v>
      </c>
      <c r="C51" s="984" t="s">
        <v>975</v>
      </c>
      <c r="D51" s="988">
        <v>972.92</v>
      </c>
      <c r="E51" s="988">
        <v>0</v>
      </c>
      <c r="F51" s="988">
        <v>0</v>
      </c>
      <c r="G51" s="1400">
        <v>0</v>
      </c>
      <c r="H51" s="1400">
        <v>0</v>
      </c>
      <c r="I51" s="1400">
        <v>597.30999999999995</v>
      </c>
      <c r="J51" s="1400">
        <v>0</v>
      </c>
      <c r="K51" s="1400">
        <v>0</v>
      </c>
      <c r="L51" s="1400">
        <v>0</v>
      </c>
      <c r="M51" s="1400">
        <v>0</v>
      </c>
      <c r="N51" s="1400">
        <v>68</v>
      </c>
      <c r="O51" s="1400">
        <v>0</v>
      </c>
      <c r="P51" s="988"/>
    </row>
    <row r="52" spans="2:16" ht="15" customHeight="1">
      <c r="B52" s="1394" t="s">
        <v>1327</v>
      </c>
      <c r="C52" s="1395" t="s">
        <v>1326</v>
      </c>
      <c r="D52" s="990"/>
      <c r="E52" s="990"/>
      <c r="F52" s="990"/>
      <c r="G52" s="1401">
        <v>0</v>
      </c>
      <c r="H52" s="1401">
        <v>0</v>
      </c>
      <c r="I52" s="1401">
        <v>0</v>
      </c>
      <c r="J52" s="1401">
        <v>750</v>
      </c>
      <c r="K52" s="1401">
        <v>0</v>
      </c>
      <c r="L52" s="1401">
        <v>0</v>
      </c>
      <c r="M52" s="1401">
        <v>0</v>
      </c>
      <c r="N52" s="1401">
        <v>600</v>
      </c>
      <c r="O52" s="1401">
        <v>0</v>
      </c>
      <c r="P52" s="990"/>
    </row>
    <row r="53" spans="2:16" ht="15" customHeight="1">
      <c r="B53" s="983" t="s">
        <v>925</v>
      </c>
      <c r="C53" s="984" t="s">
        <v>924</v>
      </c>
      <c r="D53" s="986">
        <v>972.92</v>
      </c>
      <c r="E53" s="986">
        <v>0</v>
      </c>
      <c r="F53" s="986">
        <v>5263</v>
      </c>
      <c r="G53" s="1402">
        <v>0</v>
      </c>
      <c r="H53" s="1402">
        <v>0</v>
      </c>
      <c r="I53" s="1402">
        <v>1022.31</v>
      </c>
      <c r="J53" s="1402">
        <v>1140</v>
      </c>
      <c r="K53" s="1402">
        <v>0</v>
      </c>
      <c r="L53" s="1402">
        <v>1390</v>
      </c>
      <c r="M53" s="1402">
        <v>0</v>
      </c>
      <c r="N53" s="1402">
        <v>11818</v>
      </c>
      <c r="O53" s="1402">
        <v>0</v>
      </c>
      <c r="P53" s="986"/>
    </row>
    <row r="54" spans="2:16" ht="15" customHeight="1">
      <c r="B54" s="983" t="s">
        <v>923</v>
      </c>
      <c r="C54" s="984" t="s">
        <v>922</v>
      </c>
      <c r="D54" s="989"/>
      <c r="E54" s="989"/>
      <c r="F54" s="989"/>
      <c r="G54" s="989"/>
      <c r="H54" s="989"/>
      <c r="I54" s="989"/>
      <c r="J54" s="989"/>
      <c r="K54" s="989"/>
      <c r="L54" s="989"/>
      <c r="M54" s="989"/>
      <c r="N54" s="989"/>
      <c r="O54" s="989"/>
      <c r="P54" s="989"/>
    </row>
    <row r="55" spans="2:16" ht="15" customHeight="1">
      <c r="B55" s="983" t="s">
        <v>921</v>
      </c>
      <c r="C55" s="984" t="s">
        <v>920</v>
      </c>
      <c r="D55" s="990">
        <v>553.95000000000005</v>
      </c>
      <c r="E55" s="990">
        <v>0</v>
      </c>
      <c r="F55" s="990">
        <v>67.95</v>
      </c>
      <c r="G55" s="1400">
        <v>67.95</v>
      </c>
      <c r="H55" s="1400">
        <v>135.9</v>
      </c>
      <c r="I55" s="1400">
        <v>0</v>
      </c>
      <c r="J55" s="1400">
        <v>499.95</v>
      </c>
      <c r="K55" s="1400">
        <v>67.95</v>
      </c>
      <c r="L55" s="1400">
        <v>176.3</v>
      </c>
      <c r="M55" s="1400">
        <v>0</v>
      </c>
      <c r="N55" s="1400">
        <v>67.95</v>
      </c>
      <c r="O55" s="1400">
        <v>176.3</v>
      </c>
      <c r="P55" s="990"/>
    </row>
    <row r="56" spans="2:16" ht="15" customHeight="1">
      <c r="B56" s="1394" t="s">
        <v>2366</v>
      </c>
      <c r="C56" s="1395" t="s">
        <v>2367</v>
      </c>
      <c r="D56" s="990"/>
      <c r="E56" s="990"/>
      <c r="F56" s="990"/>
      <c r="G56" s="1400"/>
      <c r="H56" s="1400"/>
      <c r="I56" s="1400"/>
      <c r="J56" s="1400"/>
      <c r="K56" s="1400"/>
      <c r="L56" s="1400"/>
      <c r="M56" s="1400">
        <v>0</v>
      </c>
      <c r="N56" s="1400">
        <v>2850</v>
      </c>
      <c r="O56" s="1400">
        <v>0</v>
      </c>
      <c r="P56" s="990"/>
    </row>
    <row r="57" spans="2:16" ht="15" customHeight="1">
      <c r="B57" s="983" t="s">
        <v>917</v>
      </c>
      <c r="C57" s="984" t="s">
        <v>916</v>
      </c>
      <c r="D57" s="988">
        <v>0</v>
      </c>
      <c r="E57" s="988">
        <v>16104.3</v>
      </c>
      <c r="F57" s="988">
        <v>15618.3</v>
      </c>
      <c r="G57" s="1401">
        <v>32208.6</v>
      </c>
      <c r="H57" s="1401">
        <v>16104.3</v>
      </c>
      <c r="I57" s="1401">
        <v>15618.3</v>
      </c>
      <c r="J57" s="1401">
        <v>0</v>
      </c>
      <c r="K57" s="1401">
        <v>31722.6</v>
      </c>
      <c r="L57" s="1401">
        <v>15618.3</v>
      </c>
      <c r="M57" s="1401">
        <v>490</v>
      </c>
      <c r="N57" s="1401">
        <v>31236.6</v>
      </c>
      <c r="O57" s="1401">
        <v>610</v>
      </c>
      <c r="P57" s="988"/>
    </row>
    <row r="58" spans="2:16" ht="15" customHeight="1">
      <c r="B58" s="983" t="s">
        <v>915</v>
      </c>
      <c r="C58" s="984" t="s">
        <v>914</v>
      </c>
      <c r="D58" s="986">
        <v>553.95000000000005</v>
      </c>
      <c r="E58" s="986">
        <v>16104.3</v>
      </c>
      <c r="F58" s="986">
        <v>15686.25</v>
      </c>
      <c r="G58" s="1402">
        <v>32276.55</v>
      </c>
      <c r="H58" s="1402">
        <v>16240.2</v>
      </c>
      <c r="I58" s="1402">
        <v>15618.3</v>
      </c>
      <c r="J58" s="1402">
        <v>499.95</v>
      </c>
      <c r="K58" s="1402">
        <v>31790.55</v>
      </c>
      <c r="L58" s="1402">
        <v>15794.6</v>
      </c>
      <c r="M58" s="1402">
        <v>490</v>
      </c>
      <c r="N58" s="1402">
        <v>34154.550000000003</v>
      </c>
      <c r="O58" s="1402">
        <v>786.3</v>
      </c>
      <c r="P58" s="986"/>
    </row>
    <row r="59" spans="2:16" ht="15" customHeight="1">
      <c r="B59" s="983" t="s">
        <v>913</v>
      </c>
      <c r="C59" s="984" t="s">
        <v>912</v>
      </c>
      <c r="D59" s="989"/>
      <c r="E59" s="989"/>
      <c r="F59" s="989"/>
      <c r="G59" s="989"/>
      <c r="H59" s="989"/>
      <c r="I59" s="989"/>
      <c r="J59" s="989"/>
      <c r="K59" s="989"/>
      <c r="L59" s="989"/>
      <c r="M59" s="989"/>
      <c r="N59" s="989"/>
      <c r="O59" s="989"/>
      <c r="P59" s="989"/>
    </row>
    <row r="60" spans="2:16" ht="15" customHeight="1">
      <c r="B60" s="983" t="s">
        <v>911</v>
      </c>
      <c r="C60" s="984" t="s">
        <v>910</v>
      </c>
      <c r="D60" s="988">
        <v>800</v>
      </c>
      <c r="E60" s="988">
        <v>800</v>
      </c>
      <c r="F60" s="988">
        <v>800</v>
      </c>
      <c r="G60" s="1401">
        <v>800</v>
      </c>
      <c r="H60" s="1401">
        <v>1440</v>
      </c>
      <c r="I60" s="1401">
        <v>0</v>
      </c>
      <c r="J60" s="1401">
        <v>1600</v>
      </c>
      <c r="K60" s="1401">
        <v>800</v>
      </c>
      <c r="L60" s="1401">
        <v>2000</v>
      </c>
      <c r="M60" s="1400">
        <v>800</v>
      </c>
      <c r="N60" s="1400">
        <v>800</v>
      </c>
      <c r="O60" s="1400">
        <v>800</v>
      </c>
      <c r="P60" s="988"/>
    </row>
    <row r="61" spans="2:16" ht="15" customHeight="1">
      <c r="B61" s="1394" t="s">
        <v>2368</v>
      </c>
      <c r="C61" s="1395" t="s">
        <v>2369</v>
      </c>
      <c r="D61" s="990"/>
      <c r="E61" s="990"/>
      <c r="F61" s="990"/>
      <c r="G61" s="1400"/>
      <c r="H61" s="1400"/>
      <c r="I61" s="1400"/>
      <c r="J61" s="1400"/>
      <c r="K61" s="1400"/>
      <c r="L61" s="1400"/>
      <c r="M61" s="1400">
        <v>0</v>
      </c>
      <c r="N61" s="1400">
        <v>1100</v>
      </c>
      <c r="O61" s="1400">
        <v>0</v>
      </c>
      <c r="P61" s="990"/>
    </row>
    <row r="62" spans="2:16" ht="15" customHeight="1">
      <c r="B62" s="983" t="s">
        <v>909</v>
      </c>
      <c r="C62" s="984" t="s">
        <v>908</v>
      </c>
      <c r="D62" s="986">
        <v>800</v>
      </c>
      <c r="E62" s="986">
        <v>800</v>
      </c>
      <c r="F62" s="986">
        <v>800</v>
      </c>
      <c r="G62" s="1402">
        <v>800</v>
      </c>
      <c r="H62" s="1402">
        <v>1440</v>
      </c>
      <c r="I62" s="1402">
        <v>0</v>
      </c>
      <c r="J62" s="1402">
        <v>1600</v>
      </c>
      <c r="K62" s="1402">
        <v>800</v>
      </c>
      <c r="L62" s="1402">
        <v>2000</v>
      </c>
      <c r="M62" s="1402">
        <v>800</v>
      </c>
      <c r="N62" s="1402">
        <v>1900</v>
      </c>
      <c r="O62" s="1402">
        <v>800</v>
      </c>
      <c r="P62" s="986"/>
    </row>
    <row r="63" spans="2:16" ht="15" customHeight="1">
      <c r="B63" s="983" t="s">
        <v>907</v>
      </c>
      <c r="C63" s="984" t="s">
        <v>906</v>
      </c>
      <c r="D63" s="989"/>
      <c r="E63" s="989"/>
      <c r="F63" s="989"/>
      <c r="G63" s="989"/>
      <c r="H63" s="989"/>
      <c r="I63" s="989"/>
      <c r="J63" s="989"/>
      <c r="K63" s="989"/>
      <c r="L63" s="989"/>
      <c r="M63" s="989"/>
      <c r="N63" s="989"/>
      <c r="O63" s="989"/>
      <c r="P63" s="989"/>
    </row>
    <row r="64" spans="2:16" ht="15" customHeight="1">
      <c r="B64" s="983" t="s">
        <v>1319</v>
      </c>
      <c r="C64" s="984" t="s">
        <v>1318</v>
      </c>
      <c r="D64" s="990">
        <v>700</v>
      </c>
      <c r="E64" s="990">
        <v>700</v>
      </c>
      <c r="F64" s="990">
        <v>700</v>
      </c>
      <c r="G64" s="1400">
        <v>700</v>
      </c>
      <c r="H64" s="1400">
        <v>700</v>
      </c>
      <c r="I64" s="1400">
        <v>0</v>
      </c>
      <c r="J64" s="1400">
        <v>1400</v>
      </c>
      <c r="K64" s="1400">
        <v>700</v>
      </c>
      <c r="L64" s="1400">
        <v>700</v>
      </c>
      <c r="M64" s="1400">
        <v>700</v>
      </c>
      <c r="N64" s="1400">
        <v>700</v>
      </c>
      <c r="O64" s="1400">
        <v>700</v>
      </c>
      <c r="P64" s="990"/>
    </row>
    <row r="65" spans="2:16" ht="15" customHeight="1">
      <c r="B65" s="983" t="s">
        <v>905</v>
      </c>
      <c r="C65" s="984" t="s">
        <v>904</v>
      </c>
      <c r="D65" s="988">
        <v>443.6</v>
      </c>
      <c r="E65" s="988">
        <v>0</v>
      </c>
      <c r="F65" s="988">
        <v>0</v>
      </c>
      <c r="G65" s="1401">
        <v>0</v>
      </c>
      <c r="H65" s="1401">
        <v>0</v>
      </c>
      <c r="I65" s="1401">
        <v>0</v>
      </c>
      <c r="J65" s="1401">
        <v>0</v>
      </c>
      <c r="K65" s="1401">
        <v>0</v>
      </c>
      <c r="L65" s="1401">
        <v>0</v>
      </c>
      <c r="M65" s="1401"/>
      <c r="N65" s="1401"/>
      <c r="O65" s="1401"/>
      <c r="P65" s="988"/>
    </row>
    <row r="66" spans="2:16" ht="15" customHeight="1">
      <c r="B66" s="983" t="s">
        <v>903</v>
      </c>
      <c r="C66" s="984" t="s">
        <v>902</v>
      </c>
      <c r="D66" s="986">
        <v>1143.5999999999999</v>
      </c>
      <c r="E66" s="986">
        <v>700</v>
      </c>
      <c r="F66" s="986">
        <v>700</v>
      </c>
      <c r="G66" s="1402">
        <v>700</v>
      </c>
      <c r="H66" s="1402">
        <v>700</v>
      </c>
      <c r="I66" s="1402">
        <v>0</v>
      </c>
      <c r="J66" s="1402">
        <v>1400</v>
      </c>
      <c r="K66" s="1402">
        <v>700</v>
      </c>
      <c r="L66" s="1402">
        <v>700</v>
      </c>
      <c r="M66" s="1402">
        <v>700</v>
      </c>
      <c r="N66" s="1402">
        <v>700</v>
      </c>
      <c r="O66" s="1402">
        <v>700</v>
      </c>
      <c r="P66" s="986"/>
    </row>
    <row r="67" spans="2:16" ht="15" customHeight="1">
      <c r="B67" s="983" t="s">
        <v>901</v>
      </c>
      <c r="C67" s="984" t="s">
        <v>900</v>
      </c>
      <c r="D67" s="989"/>
      <c r="E67" s="989"/>
      <c r="F67" s="989"/>
      <c r="G67" s="989"/>
      <c r="H67" s="989"/>
      <c r="I67" s="989"/>
      <c r="J67" s="989"/>
      <c r="K67" s="989"/>
      <c r="L67" s="989"/>
      <c r="M67" s="989"/>
      <c r="N67" s="989"/>
      <c r="O67" s="989"/>
      <c r="P67" s="989"/>
    </row>
    <row r="68" spans="2:16" ht="15" customHeight="1">
      <c r="B68" s="983" t="s">
        <v>899</v>
      </c>
      <c r="C68" s="984" t="s">
        <v>898</v>
      </c>
      <c r="D68" s="990">
        <v>8500</v>
      </c>
      <c r="E68" s="990">
        <v>0</v>
      </c>
      <c r="F68" s="990">
        <v>0</v>
      </c>
      <c r="G68" s="1400">
        <v>1200</v>
      </c>
      <c r="H68" s="1400">
        <v>0</v>
      </c>
      <c r="I68" s="1400">
        <v>0</v>
      </c>
      <c r="J68" s="1400">
        <v>0</v>
      </c>
      <c r="K68" s="1400">
        <v>3200</v>
      </c>
      <c r="L68" s="1400">
        <v>120</v>
      </c>
      <c r="M68" s="1400">
        <v>0</v>
      </c>
      <c r="N68" s="1400">
        <v>0</v>
      </c>
      <c r="O68" s="1400">
        <v>0</v>
      </c>
      <c r="P68" s="990"/>
    </row>
    <row r="69" spans="2:16" ht="15" customHeight="1">
      <c r="B69" s="983" t="s">
        <v>1315</v>
      </c>
      <c r="C69" s="984" t="s">
        <v>1314</v>
      </c>
      <c r="D69" s="990">
        <v>6300</v>
      </c>
      <c r="E69" s="990">
        <v>6300</v>
      </c>
      <c r="F69" s="990">
        <v>6300</v>
      </c>
      <c r="G69" s="1400">
        <v>6300</v>
      </c>
      <c r="H69" s="1400">
        <v>6300</v>
      </c>
      <c r="I69" s="1400">
        <v>0</v>
      </c>
      <c r="J69" s="1400">
        <v>12600</v>
      </c>
      <c r="K69" s="1400">
        <v>6300</v>
      </c>
      <c r="L69" s="1400">
        <v>6300</v>
      </c>
      <c r="M69" s="1400">
        <v>6300</v>
      </c>
      <c r="N69" s="1400">
        <v>6300</v>
      </c>
      <c r="O69" s="1400">
        <v>6300</v>
      </c>
      <c r="P69" s="990"/>
    </row>
    <row r="70" spans="2:16" ht="15" customHeight="1">
      <c r="B70" s="1394" t="s">
        <v>1311</v>
      </c>
      <c r="C70" s="1395" t="s">
        <v>1310</v>
      </c>
      <c r="D70" s="990"/>
      <c r="E70" s="990"/>
      <c r="F70" s="990"/>
      <c r="G70" s="1400">
        <v>0</v>
      </c>
      <c r="H70" s="1400">
        <v>0</v>
      </c>
      <c r="I70" s="1400">
        <v>0</v>
      </c>
      <c r="J70" s="1400">
        <v>2400</v>
      </c>
      <c r="K70" s="1400">
        <v>0</v>
      </c>
      <c r="L70" s="1400">
        <v>0</v>
      </c>
      <c r="M70" s="1400">
        <v>95</v>
      </c>
      <c r="N70" s="1400">
        <v>1500</v>
      </c>
      <c r="O70" s="1400">
        <v>0</v>
      </c>
      <c r="P70" s="990"/>
    </row>
    <row r="71" spans="2:16" ht="15" customHeight="1">
      <c r="B71" s="983" t="s">
        <v>897</v>
      </c>
      <c r="C71" s="984" t="s">
        <v>896</v>
      </c>
      <c r="D71" s="990">
        <v>0</v>
      </c>
      <c r="E71" s="990">
        <v>1051</v>
      </c>
      <c r="F71" s="990">
        <v>0</v>
      </c>
      <c r="G71" s="1400">
        <v>383</v>
      </c>
      <c r="H71" s="1400">
        <v>0</v>
      </c>
      <c r="I71" s="1400">
        <v>974</v>
      </c>
      <c r="J71" s="1400">
        <v>0</v>
      </c>
      <c r="K71" s="1400">
        <v>766</v>
      </c>
      <c r="L71" s="1400">
        <v>766</v>
      </c>
      <c r="M71" s="1400">
        <v>0</v>
      </c>
      <c r="N71" s="1400">
        <v>931</v>
      </c>
      <c r="O71" s="1400">
        <v>383</v>
      </c>
      <c r="P71" s="990"/>
    </row>
    <row r="72" spans="2:16" ht="15" customHeight="1">
      <c r="B72" s="983" t="s">
        <v>976</v>
      </c>
      <c r="C72" s="984" t="s">
        <v>977</v>
      </c>
      <c r="D72" s="988">
        <v>595</v>
      </c>
      <c r="E72" s="988">
        <v>485</v>
      </c>
      <c r="F72" s="988">
        <v>485</v>
      </c>
      <c r="G72" s="1401">
        <v>675</v>
      </c>
      <c r="H72" s="1401">
        <v>725</v>
      </c>
      <c r="I72" s="1401">
        <v>0</v>
      </c>
      <c r="J72" s="1401">
        <v>1490</v>
      </c>
      <c r="K72" s="1401">
        <v>750</v>
      </c>
      <c r="L72" s="1401">
        <v>795</v>
      </c>
      <c r="M72" s="1401">
        <v>775</v>
      </c>
      <c r="N72" s="1401">
        <v>805</v>
      </c>
      <c r="O72" s="1401">
        <v>825</v>
      </c>
      <c r="P72" s="988"/>
    </row>
    <row r="73" spans="2:16" ht="15" customHeight="1">
      <c r="B73" s="983" t="s">
        <v>895</v>
      </c>
      <c r="C73" s="984" t="s">
        <v>894</v>
      </c>
      <c r="D73" s="987">
        <v>15395</v>
      </c>
      <c r="E73" s="987">
        <v>7836</v>
      </c>
      <c r="F73" s="987">
        <v>6785</v>
      </c>
      <c r="G73" s="1403">
        <v>8558</v>
      </c>
      <c r="H73" s="1403">
        <v>7025</v>
      </c>
      <c r="I73" s="1403">
        <v>974</v>
      </c>
      <c r="J73" s="1403">
        <v>16490</v>
      </c>
      <c r="K73" s="1403">
        <v>11016</v>
      </c>
      <c r="L73" s="1403">
        <v>7981</v>
      </c>
      <c r="M73" s="1403">
        <v>7170</v>
      </c>
      <c r="N73" s="1403">
        <v>9536</v>
      </c>
      <c r="O73" s="1403">
        <v>7508</v>
      </c>
      <c r="P73" s="987"/>
    </row>
    <row r="74" spans="2:16" ht="15" customHeight="1">
      <c r="B74" s="983" t="s">
        <v>893</v>
      </c>
      <c r="C74" s="984" t="s">
        <v>892</v>
      </c>
      <c r="D74" s="986">
        <v>18865.47</v>
      </c>
      <c r="E74" s="986">
        <v>25440.3</v>
      </c>
      <c r="F74" s="986">
        <v>29234.25</v>
      </c>
      <c r="G74" s="1402">
        <v>42334.55</v>
      </c>
      <c r="H74" s="1402">
        <v>25405.200000000001</v>
      </c>
      <c r="I74" s="1402">
        <v>17614.61</v>
      </c>
      <c r="J74" s="1402">
        <v>21129.95</v>
      </c>
      <c r="K74" s="1402">
        <v>44306.55</v>
      </c>
      <c r="L74" s="1402">
        <v>27865.599999999999</v>
      </c>
      <c r="M74" s="1402">
        <v>9160</v>
      </c>
      <c r="N74" s="1402">
        <v>58108.55</v>
      </c>
      <c r="O74" s="1402">
        <v>9794.2999999999993</v>
      </c>
      <c r="P74" s="986"/>
    </row>
    <row r="75" spans="2:16" ht="15" customHeight="1">
      <c r="B75" s="983" t="s">
        <v>891</v>
      </c>
      <c r="C75" s="984" t="s">
        <v>890</v>
      </c>
      <c r="D75" s="989"/>
      <c r="E75" s="989"/>
      <c r="F75" s="989"/>
      <c r="G75" s="989"/>
      <c r="H75" s="989"/>
      <c r="I75" s="989"/>
      <c r="J75" s="989"/>
      <c r="K75" s="989"/>
      <c r="L75" s="989"/>
      <c r="M75" s="989"/>
      <c r="N75" s="989"/>
      <c r="O75" s="989"/>
      <c r="P75" s="989"/>
    </row>
    <row r="76" spans="2:16" ht="15" customHeight="1">
      <c r="B76" s="983" t="s">
        <v>889</v>
      </c>
      <c r="C76" s="984" t="s">
        <v>888</v>
      </c>
      <c r="D76" s="989"/>
      <c r="E76" s="989"/>
      <c r="F76" s="989"/>
      <c r="G76" s="989"/>
      <c r="H76" s="989"/>
      <c r="I76" s="989"/>
      <c r="J76" s="989"/>
      <c r="K76" s="989"/>
      <c r="L76" s="989"/>
      <c r="M76" s="989"/>
      <c r="N76" s="989"/>
      <c r="O76" s="989"/>
      <c r="P76" s="989"/>
    </row>
    <row r="77" spans="2:16" ht="15" customHeight="1">
      <c r="B77" s="983" t="s">
        <v>887</v>
      </c>
      <c r="C77" s="984" t="s">
        <v>886</v>
      </c>
      <c r="D77" s="990">
        <v>6557.22</v>
      </c>
      <c r="E77" s="990">
        <v>11766.08</v>
      </c>
      <c r="F77" s="990">
        <v>15829.63</v>
      </c>
      <c r="G77" s="1400">
        <v>7795.8</v>
      </c>
      <c r="H77" s="1400">
        <v>44017.36</v>
      </c>
      <c r="I77" s="1400">
        <v>-7512.17</v>
      </c>
      <c r="J77" s="1400">
        <v>40069.58</v>
      </c>
      <c r="K77" s="1400">
        <v>25914.85</v>
      </c>
      <c r="L77" s="1400">
        <v>25644.26</v>
      </c>
      <c r="M77" s="1400">
        <v>24716.03</v>
      </c>
      <c r="N77" s="1400">
        <v>16623.310000000001</v>
      </c>
      <c r="O77" s="1400">
        <v>19981.04</v>
      </c>
      <c r="P77" s="990"/>
    </row>
    <row r="78" spans="2:16" ht="15" customHeight="1">
      <c r="B78" s="983" t="s">
        <v>2249</v>
      </c>
      <c r="C78" s="984" t="s">
        <v>2250</v>
      </c>
      <c r="D78" s="990">
        <v>0</v>
      </c>
      <c r="E78" s="990">
        <v>0</v>
      </c>
      <c r="F78" s="990">
        <v>88.48</v>
      </c>
      <c r="G78" s="1400">
        <v>0</v>
      </c>
      <c r="H78" s="1400">
        <v>0</v>
      </c>
      <c r="I78" s="1400">
        <v>0</v>
      </c>
      <c r="J78" s="1400">
        <v>0</v>
      </c>
      <c r="K78" s="1400">
        <v>0</v>
      </c>
      <c r="L78" s="1400">
        <v>0</v>
      </c>
      <c r="M78" s="1400">
        <v>0</v>
      </c>
      <c r="N78" s="1400">
        <v>0</v>
      </c>
      <c r="O78" s="1400">
        <v>0</v>
      </c>
      <c r="P78" s="990"/>
    </row>
    <row r="79" spans="2:16" ht="15" customHeight="1">
      <c r="B79" s="983" t="s">
        <v>885</v>
      </c>
      <c r="C79" s="984" t="s">
        <v>884</v>
      </c>
      <c r="D79" s="990">
        <v>2683.79</v>
      </c>
      <c r="E79" s="990">
        <v>5554.24</v>
      </c>
      <c r="F79" s="990">
        <v>11275.7</v>
      </c>
      <c r="G79" s="1400">
        <v>1513</v>
      </c>
      <c r="H79" s="1400">
        <v>18689.02</v>
      </c>
      <c r="I79" s="1400">
        <v>-16129.93</v>
      </c>
      <c r="J79" s="1400">
        <v>20992.2</v>
      </c>
      <c r="K79" s="1400">
        <v>31023.200000000001</v>
      </c>
      <c r="L79" s="1400">
        <v>14052.25</v>
      </c>
      <c r="M79" s="1400">
        <v>-11569.54</v>
      </c>
      <c r="N79" s="1400">
        <v>22624.400000000001</v>
      </c>
      <c r="O79" s="1400">
        <v>11582.93</v>
      </c>
      <c r="P79" s="990"/>
    </row>
    <row r="80" spans="2:16" ht="15" customHeight="1">
      <c r="B80" s="1394" t="s">
        <v>2267</v>
      </c>
      <c r="C80" s="1395" t="s">
        <v>2268</v>
      </c>
      <c r="D80" s="990"/>
      <c r="E80" s="990"/>
      <c r="F80" s="990"/>
      <c r="G80" s="1400">
        <v>0</v>
      </c>
      <c r="H80" s="1400">
        <v>0</v>
      </c>
      <c r="I80" s="1400">
        <v>0</v>
      </c>
      <c r="J80" s="1400">
        <v>471.91</v>
      </c>
      <c r="K80" s="1400">
        <v>0</v>
      </c>
      <c r="L80" s="1400">
        <v>120.03</v>
      </c>
      <c r="M80" s="1400">
        <v>114.98</v>
      </c>
      <c r="N80" s="1400">
        <v>114.98</v>
      </c>
      <c r="O80" s="1400">
        <v>114.98</v>
      </c>
      <c r="P80" s="990"/>
    </row>
    <row r="81" spans="1:16" ht="15" customHeight="1">
      <c r="B81" s="983" t="s">
        <v>883</v>
      </c>
      <c r="C81" s="984" t="s">
        <v>882</v>
      </c>
      <c r="D81" s="990">
        <v>3512.69</v>
      </c>
      <c r="E81" s="990">
        <v>8901.5499999999993</v>
      </c>
      <c r="F81" s="990">
        <v>13184.01</v>
      </c>
      <c r="G81" s="1400">
        <v>6998.2</v>
      </c>
      <c r="H81" s="1400">
        <v>20358.419999999998</v>
      </c>
      <c r="I81" s="1400">
        <v>15586.77</v>
      </c>
      <c r="J81" s="1400">
        <v>14124.34</v>
      </c>
      <c r="K81" s="1400">
        <v>15226.96</v>
      </c>
      <c r="L81" s="1400">
        <v>13350.69</v>
      </c>
      <c r="M81" s="1400">
        <v>12629</v>
      </c>
      <c r="N81" s="1400">
        <v>12832.29</v>
      </c>
      <c r="O81" s="1400">
        <v>15592.65</v>
      </c>
      <c r="P81" s="990"/>
    </row>
    <row r="82" spans="1:16" ht="15" customHeight="1">
      <c r="B82" s="983" t="s">
        <v>1309</v>
      </c>
      <c r="C82" s="984" t="s">
        <v>1308</v>
      </c>
      <c r="D82" s="988">
        <v>15.44</v>
      </c>
      <c r="E82" s="988">
        <v>16.920000000000002</v>
      </c>
      <c r="F82" s="988">
        <v>18.55</v>
      </c>
      <c r="G82" s="1401">
        <v>6.27</v>
      </c>
      <c r="H82" s="1401">
        <v>26.18</v>
      </c>
      <c r="I82" s="1401">
        <v>36.15</v>
      </c>
      <c r="J82" s="1401">
        <v>15.92</v>
      </c>
      <c r="K82" s="1401">
        <v>19.22</v>
      </c>
      <c r="L82" s="1401">
        <v>16.71</v>
      </c>
      <c r="M82" s="1401">
        <v>18.63</v>
      </c>
      <c r="N82" s="1401">
        <v>15.75</v>
      </c>
      <c r="O82" s="1401">
        <v>33.32</v>
      </c>
      <c r="P82" s="988"/>
    </row>
    <row r="83" spans="1:16" ht="15" customHeight="1">
      <c r="B83" s="983" t="s">
        <v>881</v>
      </c>
      <c r="C83" s="984" t="s">
        <v>880</v>
      </c>
      <c r="D83" s="987">
        <v>12769.14</v>
      </c>
      <c r="E83" s="987">
        <v>26238.79</v>
      </c>
      <c r="F83" s="987">
        <v>40396.370000000003</v>
      </c>
      <c r="G83" s="1403">
        <v>16313.27</v>
      </c>
      <c r="H83" s="1403">
        <v>83090.98</v>
      </c>
      <c r="I83" s="1403">
        <v>-8019.18</v>
      </c>
      <c r="J83" s="1403">
        <v>75673.95</v>
      </c>
      <c r="K83" s="1403">
        <v>72184.23</v>
      </c>
      <c r="L83" s="1403">
        <v>53183.94</v>
      </c>
      <c r="M83" s="1403">
        <v>25909.1</v>
      </c>
      <c r="N83" s="1403">
        <v>52210.73</v>
      </c>
      <c r="O83" s="1403">
        <v>47304.92</v>
      </c>
      <c r="P83" s="987"/>
    </row>
    <row r="84" spans="1:16" ht="15" customHeight="1">
      <c r="A84" s="977" t="s">
        <v>1307</v>
      </c>
      <c r="B84" s="983" t="s">
        <v>879</v>
      </c>
      <c r="C84" s="984" t="s">
        <v>878</v>
      </c>
      <c r="D84" s="986">
        <v>12769.14</v>
      </c>
      <c r="E84" s="986">
        <v>26238.79</v>
      </c>
      <c r="F84" s="986">
        <v>40396.370000000003</v>
      </c>
      <c r="G84" s="1402">
        <v>16313.27</v>
      </c>
      <c r="H84" s="1402">
        <v>83090.98</v>
      </c>
      <c r="I84" s="1402">
        <v>-8019.18</v>
      </c>
      <c r="J84" s="1402">
        <v>75673.95</v>
      </c>
      <c r="K84" s="1402">
        <v>72184.23</v>
      </c>
      <c r="L84" s="1402">
        <v>53183.94</v>
      </c>
      <c r="M84" s="1402">
        <v>25909.1</v>
      </c>
      <c r="N84" s="1402">
        <v>52210.73</v>
      </c>
      <c r="O84" s="1402">
        <v>47304.92</v>
      </c>
      <c r="P84" s="986"/>
    </row>
    <row r="85" spans="1:16" ht="15" customHeight="1">
      <c r="B85" s="983" t="s">
        <v>877</v>
      </c>
      <c r="C85" s="984" t="s">
        <v>876</v>
      </c>
      <c r="D85" s="989"/>
      <c r="E85" s="989"/>
      <c r="F85" s="989"/>
      <c r="G85" s="989"/>
      <c r="H85" s="989"/>
      <c r="I85" s="989"/>
      <c r="J85" s="989"/>
      <c r="K85" s="989"/>
      <c r="L85" s="989"/>
      <c r="M85" s="989"/>
      <c r="N85" s="989"/>
      <c r="O85" s="989"/>
      <c r="P85" s="989"/>
    </row>
    <row r="86" spans="1:16" ht="15" customHeight="1">
      <c r="B86" s="983" t="s">
        <v>875</v>
      </c>
      <c r="C86" s="984" t="s">
        <v>874</v>
      </c>
      <c r="D86" s="989"/>
      <c r="E86" s="989"/>
      <c r="F86" s="989"/>
      <c r="G86" s="989"/>
      <c r="H86" s="989"/>
      <c r="I86" s="989"/>
      <c r="J86" s="989"/>
      <c r="K86" s="989"/>
      <c r="L86" s="989"/>
      <c r="M86" s="989"/>
      <c r="N86" s="989"/>
      <c r="O86" s="989"/>
      <c r="P86" s="989"/>
    </row>
    <row r="87" spans="1:16" ht="15" customHeight="1">
      <c r="B87" s="983" t="s">
        <v>873</v>
      </c>
      <c r="C87" s="984" t="s">
        <v>872</v>
      </c>
      <c r="D87" s="988">
        <v>32502.01</v>
      </c>
      <c r="E87" s="988">
        <v>32502.01</v>
      </c>
      <c r="F87" s="988">
        <v>32502.01</v>
      </c>
      <c r="G87" s="1401">
        <v>32502.01</v>
      </c>
      <c r="H87" s="1401">
        <v>32502.01</v>
      </c>
      <c r="I87" s="1401">
        <v>32502</v>
      </c>
      <c r="J87" s="1401">
        <v>32502.01</v>
      </c>
      <c r="K87" s="1401">
        <v>32502.01</v>
      </c>
      <c r="L87" s="1401">
        <v>32502.01</v>
      </c>
      <c r="M87" s="1401">
        <v>31158.38</v>
      </c>
      <c r="N87" s="1401">
        <v>32166.1</v>
      </c>
      <c r="O87" s="1401">
        <v>32166.080000000002</v>
      </c>
      <c r="P87" s="988"/>
    </row>
    <row r="88" spans="1:16" ht="15" customHeight="1">
      <c r="B88" s="983" t="s">
        <v>871</v>
      </c>
      <c r="C88" s="984" t="s">
        <v>870</v>
      </c>
      <c r="D88" s="986">
        <v>32502.01</v>
      </c>
      <c r="E88" s="986">
        <v>32502.01</v>
      </c>
      <c r="F88" s="986">
        <v>32502.01</v>
      </c>
      <c r="G88" s="1402">
        <v>32502.01</v>
      </c>
      <c r="H88" s="1402">
        <v>32502.01</v>
      </c>
      <c r="I88" s="1402">
        <v>32502</v>
      </c>
      <c r="J88" s="1402">
        <v>32502.01</v>
      </c>
      <c r="K88" s="1402">
        <v>32502.01</v>
      </c>
      <c r="L88" s="1402">
        <v>32502.01</v>
      </c>
      <c r="M88" s="1402">
        <v>31158.38</v>
      </c>
      <c r="N88" s="1402">
        <v>32166.1</v>
      </c>
      <c r="O88" s="1402">
        <v>32166.080000000002</v>
      </c>
      <c r="P88" s="986"/>
    </row>
    <row r="89" spans="1:16" ht="15" customHeight="1">
      <c r="B89" s="983" t="s">
        <v>869</v>
      </c>
      <c r="C89" s="984" t="s">
        <v>868</v>
      </c>
      <c r="D89" s="989"/>
      <c r="E89" s="989"/>
      <c r="F89" s="989"/>
      <c r="G89" s="989"/>
      <c r="H89" s="989"/>
      <c r="I89" s="989"/>
      <c r="J89" s="989"/>
      <c r="K89" s="989"/>
      <c r="L89" s="989"/>
      <c r="M89" s="989"/>
      <c r="N89" s="989"/>
      <c r="O89" s="989"/>
      <c r="P89" s="989"/>
    </row>
    <row r="90" spans="1:16" ht="15" customHeight="1">
      <c r="B90" s="983" t="s">
        <v>867</v>
      </c>
      <c r="C90" s="984" t="s">
        <v>866</v>
      </c>
      <c r="D90" s="990">
        <v>0</v>
      </c>
      <c r="E90" s="990">
        <v>0</v>
      </c>
      <c r="F90" s="990">
        <v>6800</v>
      </c>
      <c r="G90" s="1400">
        <v>0</v>
      </c>
      <c r="H90" s="1400">
        <v>0</v>
      </c>
      <c r="I90" s="1400">
        <v>0</v>
      </c>
      <c r="J90" s="1400">
        <v>0</v>
      </c>
      <c r="K90" s="1400">
        <v>0</v>
      </c>
      <c r="L90" s="1400">
        <v>0</v>
      </c>
      <c r="M90" s="1400">
        <v>0</v>
      </c>
      <c r="N90" s="1400">
        <v>0</v>
      </c>
      <c r="O90" s="1400">
        <v>0</v>
      </c>
      <c r="P90" s="990"/>
    </row>
    <row r="91" spans="1:16" ht="15" customHeight="1">
      <c r="B91" s="983" t="s">
        <v>1302</v>
      </c>
      <c r="C91" s="984" t="s">
        <v>1301</v>
      </c>
      <c r="D91" s="990">
        <v>0</v>
      </c>
      <c r="E91" s="990">
        <v>3095.18</v>
      </c>
      <c r="F91" s="990">
        <v>0</v>
      </c>
      <c r="G91" s="1400">
        <v>0</v>
      </c>
      <c r="H91" s="1400">
        <v>0</v>
      </c>
      <c r="I91" s="1400">
        <v>0</v>
      </c>
      <c r="J91" s="1400">
        <v>0</v>
      </c>
      <c r="K91" s="1400">
        <v>0</v>
      </c>
      <c r="L91" s="1400">
        <v>0</v>
      </c>
      <c r="M91" s="1400"/>
      <c r="N91" s="1400"/>
      <c r="O91" s="1400"/>
      <c r="P91" s="990"/>
    </row>
    <row r="92" spans="1:16" ht="15" customHeight="1">
      <c r="B92" s="983" t="s">
        <v>1300</v>
      </c>
      <c r="C92" s="984" t="s">
        <v>1299</v>
      </c>
      <c r="D92" s="988">
        <v>0</v>
      </c>
      <c r="E92" s="988">
        <v>523.84</v>
      </c>
      <c r="F92" s="988">
        <v>0</v>
      </c>
      <c r="G92" s="1401">
        <v>0</v>
      </c>
      <c r="H92" s="1401">
        <v>0</v>
      </c>
      <c r="I92" s="1401">
        <v>0</v>
      </c>
      <c r="J92" s="1401">
        <v>2000</v>
      </c>
      <c r="K92" s="1401">
        <v>0</v>
      </c>
      <c r="L92" s="1401">
        <v>0</v>
      </c>
      <c r="M92" s="1401">
        <v>0</v>
      </c>
      <c r="N92" s="1401">
        <v>0</v>
      </c>
      <c r="O92" s="1401">
        <v>0</v>
      </c>
      <c r="P92" s="988"/>
    </row>
    <row r="93" spans="1:16" ht="15" customHeight="1">
      <c r="B93" s="983" t="s">
        <v>865</v>
      </c>
      <c r="C93" s="984" t="s">
        <v>864</v>
      </c>
      <c r="D93" s="987">
        <v>0</v>
      </c>
      <c r="E93" s="987">
        <v>3619.02</v>
      </c>
      <c r="F93" s="987">
        <v>6800</v>
      </c>
      <c r="G93" s="1403">
        <v>0</v>
      </c>
      <c r="H93" s="1403">
        <v>0</v>
      </c>
      <c r="I93" s="1403">
        <v>0</v>
      </c>
      <c r="J93" s="1403">
        <v>2000</v>
      </c>
      <c r="K93" s="1403">
        <v>0</v>
      </c>
      <c r="L93" s="1403">
        <v>0</v>
      </c>
      <c r="M93" s="1403">
        <v>0</v>
      </c>
      <c r="N93" s="1403">
        <v>0</v>
      </c>
      <c r="O93" s="1403">
        <v>0</v>
      </c>
      <c r="P93" s="987"/>
    </row>
    <row r="94" spans="1:16" ht="15" customHeight="1">
      <c r="A94" s="977" t="s">
        <v>1296</v>
      </c>
      <c r="B94" s="983" t="s">
        <v>863</v>
      </c>
      <c r="C94" s="984" t="s">
        <v>862</v>
      </c>
      <c r="D94" s="986">
        <v>32502.01</v>
      </c>
      <c r="E94" s="986">
        <v>36121.03</v>
      </c>
      <c r="F94" s="986">
        <v>39302.01</v>
      </c>
      <c r="G94" s="1402">
        <v>32502.01</v>
      </c>
      <c r="H94" s="1402">
        <v>32502.01</v>
      </c>
      <c r="I94" s="1402">
        <v>32502</v>
      </c>
      <c r="J94" s="1402">
        <v>34502.01</v>
      </c>
      <c r="K94" s="1402">
        <v>32502.01</v>
      </c>
      <c r="L94" s="1402">
        <v>32502.01</v>
      </c>
      <c r="M94" s="1402">
        <v>31158.38</v>
      </c>
      <c r="N94" s="1402">
        <v>32166.1</v>
      </c>
      <c r="O94" s="1402">
        <v>32166.080000000002</v>
      </c>
      <c r="P94" s="986"/>
    </row>
    <row r="95" spans="1:16" ht="15" customHeight="1">
      <c r="B95" s="983" t="s">
        <v>861</v>
      </c>
      <c r="C95" s="984" t="s">
        <v>860</v>
      </c>
      <c r="D95" s="989"/>
      <c r="E95" s="989"/>
      <c r="F95" s="989"/>
      <c r="G95" s="989"/>
      <c r="H95" s="989"/>
      <c r="I95" s="989"/>
      <c r="J95" s="989"/>
      <c r="K95" s="989"/>
      <c r="L95" s="989"/>
      <c r="M95" s="989"/>
      <c r="N95" s="989"/>
      <c r="O95" s="989"/>
      <c r="P95" s="989"/>
    </row>
    <row r="96" spans="1:16" ht="15" customHeight="1">
      <c r="B96" s="983" t="s">
        <v>859</v>
      </c>
      <c r="C96" s="984" t="s">
        <v>858</v>
      </c>
      <c r="D96" s="989"/>
      <c r="E96" s="989"/>
      <c r="F96" s="989"/>
      <c r="G96" s="989"/>
      <c r="H96" s="989"/>
      <c r="I96" s="989"/>
      <c r="J96" s="989"/>
      <c r="K96" s="989"/>
      <c r="L96" s="989"/>
      <c r="M96" s="989"/>
      <c r="N96" s="989"/>
      <c r="O96" s="989"/>
      <c r="P96" s="989"/>
    </row>
    <row r="97" spans="1:16" ht="15" customHeight="1">
      <c r="B97" s="983" t="s">
        <v>857</v>
      </c>
      <c r="C97" s="984" t="s">
        <v>856</v>
      </c>
      <c r="D97" s="990">
        <v>7931.5</v>
      </c>
      <c r="E97" s="990">
        <v>7931.5</v>
      </c>
      <c r="F97" s="990">
        <v>7931.5</v>
      </c>
      <c r="G97" s="1400">
        <v>7931.5</v>
      </c>
      <c r="H97" s="1400">
        <v>7931.5</v>
      </c>
      <c r="I97" s="1400">
        <v>7931.5</v>
      </c>
      <c r="J97" s="1400">
        <v>8664.83</v>
      </c>
      <c r="K97" s="1400">
        <v>8664.83</v>
      </c>
      <c r="L97" s="1400">
        <v>5508.33</v>
      </c>
      <c r="M97" s="1400">
        <v>5508.33</v>
      </c>
      <c r="N97" s="1400">
        <v>21734.78</v>
      </c>
      <c r="O97" s="1400">
        <v>4859.28</v>
      </c>
      <c r="P97" s="990"/>
    </row>
    <row r="98" spans="1:16" ht="15" customHeight="1">
      <c r="B98" s="983" t="s">
        <v>1295</v>
      </c>
      <c r="C98" s="984" t="s">
        <v>1294</v>
      </c>
      <c r="D98" s="990">
        <v>128.9</v>
      </c>
      <c r="E98" s="990">
        <v>128.9</v>
      </c>
      <c r="F98" s="990">
        <v>128.9</v>
      </c>
      <c r="G98" s="1400">
        <v>128.9</v>
      </c>
      <c r="H98" s="1400">
        <v>128.9</v>
      </c>
      <c r="I98" s="1400">
        <v>128.9</v>
      </c>
      <c r="J98" s="1400">
        <v>128.9</v>
      </c>
      <c r="K98" s="1400">
        <v>128.9</v>
      </c>
      <c r="L98" s="1400">
        <v>128.9</v>
      </c>
      <c r="M98" s="1400">
        <v>128.9</v>
      </c>
      <c r="N98" s="1400">
        <v>128.9</v>
      </c>
      <c r="O98" s="1400">
        <v>128.9</v>
      </c>
      <c r="P98" s="990"/>
    </row>
    <row r="99" spans="1:16" ht="15" customHeight="1">
      <c r="B99" s="983" t="s">
        <v>1293</v>
      </c>
      <c r="C99" s="984" t="s">
        <v>1292</v>
      </c>
      <c r="D99" s="988">
        <v>2324.83</v>
      </c>
      <c r="E99" s="988">
        <v>2324.83</v>
      </c>
      <c r="F99" s="988">
        <v>2324.83</v>
      </c>
      <c r="G99" s="1401">
        <v>2324.83</v>
      </c>
      <c r="H99" s="1401">
        <v>2324.83</v>
      </c>
      <c r="I99" s="1401">
        <v>2324.83</v>
      </c>
      <c r="J99" s="1401">
        <v>2432.5500000000002</v>
      </c>
      <c r="K99" s="1401">
        <v>2432.5500000000002</v>
      </c>
      <c r="L99" s="1401">
        <v>2432.5500000000002</v>
      </c>
      <c r="M99" s="1400">
        <v>2432.5500000000002</v>
      </c>
      <c r="N99" s="1400">
        <v>2432.5500000000002</v>
      </c>
      <c r="O99" s="1400">
        <v>2432.5500000000002</v>
      </c>
      <c r="P99" s="988"/>
    </row>
    <row r="100" spans="1:16" ht="15" customHeight="1">
      <c r="B100" s="983" t="s">
        <v>855</v>
      </c>
      <c r="C100" s="984" t="s">
        <v>854</v>
      </c>
      <c r="D100" s="987">
        <v>10385.23</v>
      </c>
      <c r="E100" s="987">
        <v>10385.23</v>
      </c>
      <c r="F100" s="987">
        <v>10385.23</v>
      </c>
      <c r="G100" s="1403">
        <v>10385.23</v>
      </c>
      <c r="H100" s="1403">
        <v>10385.23</v>
      </c>
      <c r="I100" s="1403">
        <v>10385.23</v>
      </c>
      <c r="J100" s="1403">
        <v>11226.28</v>
      </c>
      <c r="K100" s="1403">
        <v>11226.28</v>
      </c>
      <c r="L100" s="1403">
        <v>8069.78</v>
      </c>
      <c r="M100" s="1403">
        <v>8069.78</v>
      </c>
      <c r="N100" s="1403">
        <v>24296.23</v>
      </c>
      <c r="O100" s="1403">
        <v>7420.73</v>
      </c>
      <c r="P100" s="987"/>
    </row>
    <row r="101" spans="1:16" ht="15" customHeight="1">
      <c r="A101" s="977" t="s">
        <v>1289</v>
      </c>
      <c r="B101" s="983" t="s">
        <v>853</v>
      </c>
      <c r="C101" s="984" t="s">
        <v>852</v>
      </c>
      <c r="D101" s="986">
        <v>10385.23</v>
      </c>
      <c r="E101" s="986">
        <v>10385.23</v>
      </c>
      <c r="F101" s="986">
        <v>10385.23</v>
      </c>
      <c r="G101" s="1402">
        <v>10385.23</v>
      </c>
      <c r="H101" s="1402">
        <v>10385.23</v>
      </c>
      <c r="I101" s="1402">
        <v>10385.23</v>
      </c>
      <c r="J101" s="1402">
        <v>11226.28</v>
      </c>
      <c r="K101" s="1402">
        <v>11226.28</v>
      </c>
      <c r="L101" s="1402">
        <v>8069.78</v>
      </c>
      <c r="M101" s="1402">
        <v>8069.78</v>
      </c>
      <c r="N101" s="1402">
        <v>24296.23</v>
      </c>
      <c r="O101" s="1402">
        <v>7420.73</v>
      </c>
      <c r="P101" s="986"/>
    </row>
    <row r="102" spans="1:16" ht="15" customHeight="1">
      <c r="B102" s="983" t="s">
        <v>851</v>
      </c>
      <c r="C102" s="984" t="s">
        <v>850</v>
      </c>
      <c r="D102" s="989"/>
      <c r="E102" s="989"/>
      <c r="F102" s="989"/>
      <c r="G102" s="989"/>
      <c r="H102" s="989"/>
      <c r="I102" s="989"/>
      <c r="J102" s="989"/>
      <c r="K102" s="989"/>
      <c r="L102" s="989"/>
      <c r="M102" s="989"/>
      <c r="N102" s="989"/>
      <c r="O102" s="989"/>
      <c r="P102" s="989"/>
    </row>
    <row r="103" spans="1:16" ht="15" customHeight="1">
      <c r="B103" s="983" t="s">
        <v>841</v>
      </c>
      <c r="C103" s="984" t="s">
        <v>840</v>
      </c>
      <c r="D103" s="989"/>
      <c r="E103" s="989"/>
      <c r="F103" s="989"/>
      <c r="G103" s="989"/>
      <c r="H103" s="989"/>
      <c r="I103" s="989"/>
      <c r="J103" s="989"/>
      <c r="K103" s="989"/>
      <c r="L103" s="989"/>
      <c r="M103" s="989"/>
      <c r="N103" s="989"/>
      <c r="O103" s="989"/>
      <c r="P103" s="989"/>
    </row>
    <row r="104" spans="1:16" ht="15" customHeight="1">
      <c r="B104" s="983" t="s">
        <v>839</v>
      </c>
      <c r="C104" s="984" t="s">
        <v>838</v>
      </c>
      <c r="D104" s="988">
        <v>5000</v>
      </c>
      <c r="E104" s="988">
        <v>6180.06</v>
      </c>
      <c r="F104" s="988">
        <v>8253.2900000000009</v>
      </c>
      <c r="G104" s="1401">
        <v>6906.04</v>
      </c>
      <c r="H104" s="1401">
        <v>5141.93</v>
      </c>
      <c r="I104" s="1401">
        <v>7009.87</v>
      </c>
      <c r="J104" s="1401">
        <v>5354.47</v>
      </c>
      <c r="K104" s="1401">
        <v>6089.1</v>
      </c>
      <c r="L104" s="1401">
        <v>5349.05</v>
      </c>
      <c r="M104" s="1401">
        <v>5420.85</v>
      </c>
      <c r="N104" s="1401">
        <v>5410.04</v>
      </c>
      <c r="O104" s="1401">
        <v>5484.89</v>
      </c>
      <c r="P104" s="988"/>
    </row>
    <row r="105" spans="1:16" ht="15" customHeight="1">
      <c r="B105" s="983" t="s">
        <v>837</v>
      </c>
      <c r="C105" s="984" t="s">
        <v>836</v>
      </c>
      <c r="D105" s="987">
        <v>5000</v>
      </c>
      <c r="E105" s="987">
        <v>6180.06</v>
      </c>
      <c r="F105" s="987">
        <v>8253.2900000000009</v>
      </c>
      <c r="G105" s="1403">
        <v>6906.04</v>
      </c>
      <c r="H105" s="1403">
        <v>5141.93</v>
      </c>
      <c r="I105" s="1403">
        <v>7009.87</v>
      </c>
      <c r="J105" s="1403">
        <v>5354.47</v>
      </c>
      <c r="K105" s="1403">
        <v>6089.1</v>
      </c>
      <c r="L105" s="1403">
        <v>5349.05</v>
      </c>
      <c r="M105" s="1403">
        <v>5420.85</v>
      </c>
      <c r="N105" s="1403">
        <v>5410.04</v>
      </c>
      <c r="O105" s="1403">
        <v>5484.89</v>
      </c>
      <c r="P105" s="987"/>
    </row>
    <row r="106" spans="1:16" ht="15" customHeight="1">
      <c r="A106" s="977" t="s">
        <v>1288</v>
      </c>
      <c r="B106" s="983" t="s">
        <v>835</v>
      </c>
      <c r="C106" s="984" t="s">
        <v>834</v>
      </c>
      <c r="D106" s="986">
        <v>5000</v>
      </c>
      <c r="E106" s="986">
        <v>6180.06</v>
      </c>
      <c r="F106" s="986">
        <v>8253.2900000000009</v>
      </c>
      <c r="G106" s="1402">
        <v>6906.04</v>
      </c>
      <c r="H106" s="1402">
        <v>5141.93</v>
      </c>
      <c r="I106" s="1402">
        <v>7009.87</v>
      </c>
      <c r="J106" s="1402">
        <v>5354.47</v>
      </c>
      <c r="K106" s="1402">
        <v>6089.1</v>
      </c>
      <c r="L106" s="1402">
        <v>5349.05</v>
      </c>
      <c r="M106" s="1402">
        <v>5420.85</v>
      </c>
      <c r="N106" s="1402">
        <v>5410.04</v>
      </c>
      <c r="O106" s="1402">
        <v>5484.89</v>
      </c>
      <c r="P106" s="986"/>
    </row>
    <row r="107" spans="1:16" ht="15" customHeight="1">
      <c r="B107" s="983" t="s">
        <v>833</v>
      </c>
      <c r="C107" s="984" t="s">
        <v>807</v>
      </c>
      <c r="D107" s="989"/>
      <c r="E107" s="989"/>
      <c r="F107" s="989"/>
      <c r="G107" s="989"/>
      <c r="H107" s="989"/>
      <c r="I107" s="989"/>
      <c r="J107" s="989"/>
      <c r="K107" s="989"/>
      <c r="L107" s="989"/>
      <c r="M107" s="989"/>
      <c r="N107" s="989"/>
      <c r="O107" s="989"/>
      <c r="P107" s="989"/>
    </row>
    <row r="108" spans="1:16" ht="15" customHeight="1">
      <c r="B108" s="983" t="s">
        <v>832</v>
      </c>
      <c r="C108" s="984" t="s">
        <v>831</v>
      </c>
      <c r="D108" s="989"/>
      <c r="E108" s="989"/>
      <c r="F108" s="989"/>
      <c r="G108" s="989"/>
      <c r="H108" s="989"/>
      <c r="I108" s="989"/>
      <c r="J108" s="989"/>
      <c r="K108" s="989"/>
      <c r="L108" s="989"/>
      <c r="M108" s="989"/>
      <c r="N108" s="989"/>
      <c r="O108" s="989"/>
      <c r="P108" s="989"/>
    </row>
    <row r="109" spans="1:16" ht="15" customHeight="1">
      <c r="B109" s="983" t="s">
        <v>828</v>
      </c>
      <c r="C109" s="984" t="s">
        <v>827</v>
      </c>
      <c r="D109" s="990">
        <v>16</v>
      </c>
      <c r="E109" s="990">
        <v>24</v>
      </c>
      <c r="F109" s="990">
        <v>0</v>
      </c>
      <c r="G109" s="1400">
        <v>50</v>
      </c>
      <c r="H109" s="1400">
        <v>50.49</v>
      </c>
      <c r="I109" s="1400">
        <v>20</v>
      </c>
      <c r="J109" s="1400">
        <v>44</v>
      </c>
      <c r="K109" s="1400">
        <v>76.84</v>
      </c>
      <c r="L109" s="1400">
        <v>34</v>
      </c>
      <c r="M109" s="1400">
        <v>76.22</v>
      </c>
      <c r="N109" s="1400">
        <v>34</v>
      </c>
      <c r="O109" s="1400">
        <v>18</v>
      </c>
      <c r="P109" s="990"/>
    </row>
    <row r="110" spans="1:16" ht="15" customHeight="1">
      <c r="B110" s="983" t="s">
        <v>826</v>
      </c>
      <c r="C110" s="984" t="s">
        <v>825</v>
      </c>
      <c r="D110" s="988">
        <v>1160.0999999999999</v>
      </c>
      <c r="E110" s="988">
        <v>1292.74</v>
      </c>
      <c r="F110" s="988">
        <v>1194.8599999999999</v>
      </c>
      <c r="G110" s="1401">
        <v>1355.85</v>
      </c>
      <c r="H110" s="1401">
        <v>1231.8</v>
      </c>
      <c r="I110" s="1401">
        <v>1209.19</v>
      </c>
      <c r="J110" s="1401">
        <v>1576.26</v>
      </c>
      <c r="K110" s="1401">
        <v>1288.6099999999999</v>
      </c>
      <c r="L110" s="1401">
        <v>629.42999999999995</v>
      </c>
      <c r="M110" s="1400">
        <v>1992.34</v>
      </c>
      <c r="N110" s="1400">
        <v>1029.8800000000001</v>
      </c>
      <c r="O110" s="1400">
        <v>1149.23</v>
      </c>
      <c r="P110" s="988"/>
    </row>
    <row r="111" spans="1:16" ht="15" customHeight="1">
      <c r="B111" s="983" t="s">
        <v>824</v>
      </c>
      <c r="C111" s="984" t="s">
        <v>823</v>
      </c>
      <c r="D111" s="986">
        <v>1176.0999999999999</v>
      </c>
      <c r="E111" s="986">
        <v>1316.74</v>
      </c>
      <c r="F111" s="986">
        <v>1194.8599999999999</v>
      </c>
      <c r="G111" s="1402">
        <v>1405.85</v>
      </c>
      <c r="H111" s="1402">
        <v>1282.29</v>
      </c>
      <c r="I111" s="1402">
        <v>1229.19</v>
      </c>
      <c r="J111" s="1402">
        <v>1620.26</v>
      </c>
      <c r="K111" s="1402">
        <v>1365.45</v>
      </c>
      <c r="L111" s="1402">
        <v>663.43</v>
      </c>
      <c r="M111" s="1402">
        <v>2068.56</v>
      </c>
      <c r="N111" s="1402">
        <v>1063.8800000000001</v>
      </c>
      <c r="O111" s="1402">
        <v>1167.23</v>
      </c>
      <c r="P111" s="986"/>
    </row>
    <row r="112" spans="1:16" ht="15" customHeight="1">
      <c r="B112" s="1394" t="s">
        <v>1281</v>
      </c>
      <c r="C112" s="1395" t="s">
        <v>1280</v>
      </c>
      <c r="G112" s="1401">
        <v>0</v>
      </c>
      <c r="H112" s="1401">
        <v>0</v>
      </c>
      <c r="I112" s="1401">
        <v>0</v>
      </c>
      <c r="J112" s="1401">
        <v>0</v>
      </c>
      <c r="K112" s="1401">
        <v>122.9</v>
      </c>
      <c r="L112" s="1400"/>
      <c r="M112" s="1401">
        <v>0</v>
      </c>
      <c r="N112" s="1401">
        <v>0</v>
      </c>
      <c r="O112" s="1401">
        <v>0</v>
      </c>
      <c r="P112" s="990"/>
    </row>
    <row r="113" spans="1:16" ht="15" customHeight="1">
      <c r="B113" s="1394" t="s">
        <v>1279</v>
      </c>
      <c r="C113" s="1395" t="s">
        <v>1278</v>
      </c>
      <c r="G113" s="1402">
        <v>0</v>
      </c>
      <c r="H113" s="1402">
        <v>0</v>
      </c>
      <c r="I113" s="1402">
        <v>0</v>
      </c>
      <c r="J113" s="1402">
        <v>0</v>
      </c>
      <c r="K113" s="1402">
        <v>122.9</v>
      </c>
      <c r="L113" s="1400"/>
      <c r="M113" s="1402">
        <v>0</v>
      </c>
      <c r="N113" s="1402">
        <v>0</v>
      </c>
      <c r="O113" s="1402">
        <v>0</v>
      </c>
      <c r="P113" s="990"/>
    </row>
    <row r="114" spans="1:16" ht="15" customHeight="1">
      <c r="B114" s="983" t="s">
        <v>1024</v>
      </c>
      <c r="C114" s="984" t="s">
        <v>1025</v>
      </c>
      <c r="D114" s="989"/>
      <c r="E114" s="989"/>
      <c r="F114" s="989"/>
      <c r="G114" s="989"/>
      <c r="H114" s="989"/>
      <c r="I114" s="989"/>
      <c r="J114" s="989"/>
      <c r="K114" s="989"/>
      <c r="L114" s="989"/>
      <c r="M114" s="989"/>
      <c r="N114" s="989"/>
      <c r="O114" s="989"/>
      <c r="P114" s="989"/>
    </row>
    <row r="115" spans="1:16" ht="15" customHeight="1">
      <c r="B115" s="983" t="s">
        <v>1026</v>
      </c>
      <c r="C115" s="984" t="s">
        <v>1027</v>
      </c>
      <c r="D115" s="988">
        <v>0</v>
      </c>
      <c r="E115" s="988">
        <v>0</v>
      </c>
      <c r="F115" s="988">
        <v>-25298.49</v>
      </c>
      <c r="G115" s="1401">
        <v>0</v>
      </c>
      <c r="H115" s="1401">
        <v>0</v>
      </c>
      <c r="I115" s="1401">
        <v>0</v>
      </c>
      <c r="J115" s="1401">
        <v>0</v>
      </c>
      <c r="K115" s="1401">
        <v>0</v>
      </c>
      <c r="L115" s="1401">
        <v>0</v>
      </c>
      <c r="M115" s="1401">
        <v>0</v>
      </c>
      <c r="N115" s="1401">
        <v>0</v>
      </c>
      <c r="O115" s="1401">
        <v>0</v>
      </c>
      <c r="P115" s="988"/>
    </row>
    <row r="116" spans="1:16" ht="15" customHeight="1">
      <c r="B116" s="983" t="s">
        <v>1028</v>
      </c>
      <c r="C116" s="984" t="s">
        <v>1029</v>
      </c>
      <c r="D116" s="987">
        <v>0</v>
      </c>
      <c r="E116" s="987">
        <v>0</v>
      </c>
      <c r="F116" s="987">
        <v>-25298.49</v>
      </c>
      <c r="G116" s="1403">
        <v>0</v>
      </c>
      <c r="H116" s="1403">
        <v>0</v>
      </c>
      <c r="I116" s="1403">
        <v>0</v>
      </c>
      <c r="J116" s="1403">
        <v>0</v>
      </c>
      <c r="K116" s="1403">
        <v>0</v>
      </c>
      <c r="L116" s="1403">
        <v>0</v>
      </c>
      <c r="M116" s="1403">
        <v>0</v>
      </c>
      <c r="N116" s="1403">
        <v>0</v>
      </c>
      <c r="O116" s="1403">
        <v>0</v>
      </c>
      <c r="P116" s="987"/>
    </row>
    <row r="117" spans="1:16" ht="15" customHeight="1">
      <c r="A117" s="977" t="s">
        <v>1241</v>
      </c>
      <c r="B117" s="983" t="s">
        <v>822</v>
      </c>
      <c r="C117" s="984" t="s">
        <v>821</v>
      </c>
      <c r="D117" s="986">
        <v>1176.0999999999999</v>
      </c>
      <c r="E117" s="986">
        <v>1316.74</v>
      </c>
      <c r="F117" s="986">
        <v>-24103.63</v>
      </c>
      <c r="G117" s="1402">
        <v>1405.85</v>
      </c>
      <c r="H117" s="1402">
        <v>1282.29</v>
      </c>
      <c r="I117" s="1402">
        <v>1229.19</v>
      </c>
      <c r="J117" s="1402">
        <v>1620.26</v>
      </c>
      <c r="K117" s="1402">
        <v>1488.35</v>
      </c>
      <c r="L117" s="1402">
        <v>663.43</v>
      </c>
      <c r="M117" s="1402">
        <v>2068.56</v>
      </c>
      <c r="N117" s="1402">
        <v>1063.8800000000001</v>
      </c>
      <c r="O117" s="1402">
        <v>1167.23</v>
      </c>
      <c r="P117" s="986"/>
    </row>
    <row r="118" spans="1:16" ht="15" customHeight="1">
      <c r="A118" s="977"/>
      <c r="B118" s="1394" t="s">
        <v>2234</v>
      </c>
      <c r="C118" s="1395" t="s">
        <v>2235</v>
      </c>
      <c r="D118" s="1399"/>
      <c r="E118" s="1399"/>
      <c r="F118" s="1399"/>
      <c r="G118" s="1399"/>
      <c r="H118" s="1399"/>
      <c r="I118" s="1400"/>
      <c r="J118" s="1400"/>
      <c r="K118" s="1400"/>
      <c r="L118" s="1400"/>
      <c r="M118" s="1400"/>
      <c r="N118" s="1400"/>
      <c r="O118" s="1400"/>
      <c r="P118" s="990"/>
    </row>
    <row r="119" spans="1:16" ht="15" customHeight="1">
      <c r="A119" s="977"/>
      <c r="B119" s="1394" t="s">
        <v>978</v>
      </c>
      <c r="C119" s="1395" t="s">
        <v>979</v>
      </c>
      <c r="D119" s="1399"/>
      <c r="E119" s="1399"/>
      <c r="F119" s="1399"/>
      <c r="G119" s="1399"/>
      <c r="H119" s="1399"/>
      <c r="I119" s="1400"/>
      <c r="J119" s="1400"/>
      <c r="K119" s="1400"/>
      <c r="L119" s="1400"/>
      <c r="M119" s="1400"/>
      <c r="N119" s="1400"/>
      <c r="O119" s="1400"/>
      <c r="P119" s="990"/>
    </row>
    <row r="120" spans="1:16" ht="15" customHeight="1">
      <c r="A120" s="977"/>
      <c r="B120" s="1394" t="s">
        <v>980</v>
      </c>
      <c r="C120" s="1395" t="s">
        <v>981</v>
      </c>
      <c r="G120" s="1400">
        <v>0</v>
      </c>
      <c r="H120" s="1400">
        <v>0</v>
      </c>
      <c r="I120" s="1400">
        <v>0</v>
      </c>
      <c r="J120" s="1400">
        <v>0</v>
      </c>
      <c r="K120" s="1400">
        <v>0</v>
      </c>
      <c r="L120" s="1400">
        <v>0</v>
      </c>
      <c r="M120" s="1400"/>
      <c r="N120" s="1400"/>
      <c r="O120" s="1400"/>
      <c r="P120" s="1400"/>
    </row>
    <row r="121" spans="1:16" ht="15" customHeight="1">
      <c r="A121" s="977"/>
      <c r="B121" s="1394" t="s">
        <v>1277</v>
      </c>
      <c r="C121" s="1395" t="s">
        <v>1276</v>
      </c>
      <c r="G121" s="1401">
        <v>250</v>
      </c>
      <c r="H121" s="1401">
        <v>0</v>
      </c>
      <c r="I121" s="1401">
        <v>0</v>
      </c>
      <c r="J121" s="1401">
        <v>0</v>
      </c>
      <c r="K121" s="1401">
        <v>0</v>
      </c>
      <c r="L121" s="1401">
        <v>0</v>
      </c>
      <c r="M121" s="1401">
        <v>0</v>
      </c>
      <c r="N121" s="1401">
        <v>0</v>
      </c>
      <c r="O121" s="1401">
        <v>0</v>
      </c>
      <c r="P121" s="1401"/>
    </row>
    <row r="122" spans="1:16" ht="15" customHeight="1">
      <c r="A122" s="977"/>
      <c r="B122" s="1394" t="s">
        <v>982</v>
      </c>
      <c r="C122" s="1395" t="s">
        <v>983</v>
      </c>
      <c r="G122" s="1403">
        <v>250</v>
      </c>
      <c r="H122" s="1403">
        <v>0</v>
      </c>
      <c r="I122" s="1403">
        <v>0</v>
      </c>
      <c r="J122" s="1403">
        <v>0</v>
      </c>
      <c r="K122" s="1403">
        <v>0</v>
      </c>
      <c r="L122" s="1403">
        <v>0</v>
      </c>
      <c r="M122" s="1403">
        <v>0</v>
      </c>
      <c r="N122" s="1403">
        <v>0</v>
      </c>
      <c r="O122" s="1403">
        <v>0</v>
      </c>
      <c r="P122" s="1403"/>
    </row>
    <row r="123" spans="1:16" ht="15" customHeight="1">
      <c r="A123" s="977"/>
      <c r="B123" s="1394" t="s">
        <v>984</v>
      </c>
      <c r="C123" s="1395" t="s">
        <v>985</v>
      </c>
      <c r="G123" s="1402">
        <v>250</v>
      </c>
      <c r="H123" s="1402">
        <v>0</v>
      </c>
      <c r="I123" s="1402">
        <v>0</v>
      </c>
      <c r="J123" s="1402">
        <v>0</v>
      </c>
      <c r="K123" s="1402">
        <v>0</v>
      </c>
      <c r="L123" s="1402">
        <v>0</v>
      </c>
      <c r="M123" s="1402">
        <v>0</v>
      </c>
      <c r="N123" s="1402">
        <v>0</v>
      </c>
      <c r="O123" s="1402">
        <v>0</v>
      </c>
      <c r="P123" s="1402"/>
    </row>
    <row r="124" spans="1:16" ht="15" customHeight="1">
      <c r="A124" s="977"/>
      <c r="B124" s="1394" t="s">
        <v>820</v>
      </c>
      <c r="C124" s="1395" t="s">
        <v>806</v>
      </c>
      <c r="H124" s="1399"/>
      <c r="I124" s="1399"/>
      <c r="J124" s="1399"/>
      <c r="K124" s="1399"/>
      <c r="L124" s="1399"/>
      <c r="M124" s="1399"/>
      <c r="N124" s="1399"/>
      <c r="O124" s="1399"/>
      <c r="P124" s="1399"/>
    </row>
    <row r="125" spans="1:16" ht="15" customHeight="1">
      <c r="A125" s="977"/>
      <c r="B125" s="1394" t="s">
        <v>1275</v>
      </c>
      <c r="C125" s="1395" t="s">
        <v>1274</v>
      </c>
      <c r="H125" s="1399"/>
      <c r="I125" s="1399"/>
      <c r="J125" s="1399"/>
      <c r="K125" s="1399"/>
      <c r="L125" s="1399"/>
      <c r="M125" s="1399"/>
      <c r="N125" s="1399"/>
      <c r="O125" s="1399"/>
      <c r="P125" s="1399"/>
    </row>
    <row r="126" spans="1:16" ht="15" customHeight="1">
      <c r="A126" s="977"/>
      <c r="B126" s="1394" t="s">
        <v>1263</v>
      </c>
      <c r="C126" s="1395" t="s">
        <v>1262</v>
      </c>
      <c r="G126" s="1401">
        <v>3350</v>
      </c>
      <c r="H126" s="1401">
        <v>86</v>
      </c>
      <c r="I126" s="1401">
        <v>0</v>
      </c>
      <c r="J126" s="1401">
        <v>0</v>
      </c>
      <c r="K126" s="1401">
        <v>566.57000000000005</v>
      </c>
      <c r="L126" s="1401">
        <v>0</v>
      </c>
      <c r="M126" s="1401">
        <v>0</v>
      </c>
      <c r="N126" s="1401">
        <v>0</v>
      </c>
      <c r="O126" s="1401">
        <v>212</v>
      </c>
      <c r="P126" s="1401"/>
    </row>
    <row r="127" spans="1:16" ht="15" customHeight="1">
      <c r="A127" s="977"/>
      <c r="B127" s="1394" t="s">
        <v>1261</v>
      </c>
      <c r="C127" s="1395" t="s">
        <v>1260</v>
      </c>
      <c r="G127" s="1402">
        <v>3350</v>
      </c>
      <c r="H127" s="1402">
        <v>86</v>
      </c>
      <c r="I127" s="1402">
        <v>0</v>
      </c>
      <c r="J127" s="1402">
        <v>0</v>
      </c>
      <c r="K127" s="1402">
        <v>566.57000000000005</v>
      </c>
      <c r="L127" s="1402">
        <v>0</v>
      </c>
      <c r="M127" s="1402"/>
      <c r="N127" s="1402"/>
      <c r="O127" s="1402"/>
      <c r="P127" s="1402"/>
    </row>
    <row r="128" spans="1:16" ht="15" customHeight="1">
      <c r="B128" s="983" t="s">
        <v>1259</v>
      </c>
      <c r="C128" s="984" t="s">
        <v>1258</v>
      </c>
      <c r="D128" s="989"/>
      <c r="E128" s="989"/>
      <c r="F128" s="989"/>
      <c r="G128" s="989"/>
      <c r="H128" s="989"/>
      <c r="I128" s="989"/>
      <c r="J128" s="989"/>
      <c r="K128" s="989"/>
      <c r="L128" s="989"/>
      <c r="M128" s="989"/>
      <c r="N128" s="989"/>
      <c r="O128" s="989"/>
      <c r="P128" s="989"/>
    </row>
    <row r="129" spans="1:16" ht="15" customHeight="1">
      <c r="B129" s="983" t="s">
        <v>1253</v>
      </c>
      <c r="C129" s="984" t="s">
        <v>1252</v>
      </c>
      <c r="D129" s="988">
        <v>1899</v>
      </c>
      <c r="E129" s="988">
        <v>1851</v>
      </c>
      <c r="F129" s="988">
        <v>1875</v>
      </c>
      <c r="G129" s="1401">
        <v>1875</v>
      </c>
      <c r="H129" s="1401">
        <v>1875</v>
      </c>
      <c r="I129" s="1401">
        <v>1875</v>
      </c>
      <c r="J129" s="1401">
        <v>2025</v>
      </c>
      <c r="K129" s="1401">
        <v>3250</v>
      </c>
      <c r="L129" s="1401">
        <v>1950</v>
      </c>
      <c r="M129" s="1401">
        <v>1300</v>
      </c>
      <c r="N129" s="1401">
        <v>1950</v>
      </c>
      <c r="O129" s="1401">
        <v>2050</v>
      </c>
      <c r="P129" s="988"/>
    </row>
    <row r="130" spans="1:16" ht="15" customHeight="1">
      <c r="B130" s="983" t="s">
        <v>1251</v>
      </c>
      <c r="C130" s="984" t="s">
        <v>1250</v>
      </c>
      <c r="D130" s="986">
        <v>1899</v>
      </c>
      <c r="E130" s="986">
        <v>1851</v>
      </c>
      <c r="F130" s="986">
        <v>1875</v>
      </c>
      <c r="G130" s="1402">
        <v>1875</v>
      </c>
      <c r="H130" s="1402">
        <v>1875</v>
      </c>
      <c r="I130" s="1402">
        <v>1875</v>
      </c>
      <c r="J130" s="1402">
        <v>2025</v>
      </c>
      <c r="K130" s="1402">
        <v>3250</v>
      </c>
      <c r="L130" s="1402">
        <v>1950</v>
      </c>
      <c r="M130" s="1402">
        <v>1300</v>
      </c>
      <c r="N130" s="1402">
        <v>1950</v>
      </c>
      <c r="O130" s="1402">
        <v>2050</v>
      </c>
      <c r="P130" s="986"/>
    </row>
    <row r="131" spans="1:16" ht="15" customHeight="1">
      <c r="B131" s="983" t="s">
        <v>819</v>
      </c>
      <c r="C131" s="984" t="s">
        <v>818</v>
      </c>
      <c r="D131" s="989"/>
      <c r="E131" s="989"/>
      <c r="F131" s="989"/>
      <c r="G131" s="989"/>
      <c r="H131" s="989"/>
      <c r="I131" s="989"/>
      <c r="J131" s="989"/>
      <c r="K131" s="989"/>
      <c r="L131" s="989"/>
      <c r="M131" s="989"/>
      <c r="N131" s="989"/>
      <c r="O131" s="989"/>
      <c r="P131" s="989"/>
    </row>
    <row r="132" spans="1:16" ht="15" customHeight="1">
      <c r="B132" s="983" t="s">
        <v>817</v>
      </c>
      <c r="C132" s="984" t="s">
        <v>816</v>
      </c>
      <c r="D132" s="988">
        <v>0</v>
      </c>
      <c r="E132" s="988">
        <v>0</v>
      </c>
      <c r="F132" s="988">
        <v>515.04</v>
      </c>
      <c r="G132" s="1401">
        <v>0</v>
      </c>
      <c r="H132" s="1401">
        <v>0</v>
      </c>
      <c r="I132" s="1401">
        <v>0</v>
      </c>
      <c r="J132" s="1401">
        <v>0</v>
      </c>
      <c r="K132" s="1401">
        <v>1500</v>
      </c>
      <c r="L132" s="1401">
        <v>1500</v>
      </c>
      <c r="M132" s="1401">
        <v>1500</v>
      </c>
      <c r="N132" s="1401">
        <v>1500</v>
      </c>
      <c r="O132" s="1401">
        <v>5250</v>
      </c>
      <c r="P132" s="988"/>
    </row>
    <row r="133" spans="1:16" ht="15" customHeight="1">
      <c r="B133" s="983" t="s">
        <v>815</v>
      </c>
      <c r="C133" s="984" t="s">
        <v>814</v>
      </c>
      <c r="D133" s="987">
        <v>0</v>
      </c>
      <c r="E133" s="987">
        <v>0</v>
      </c>
      <c r="F133" s="987">
        <v>515.04</v>
      </c>
      <c r="G133" s="1403">
        <v>0</v>
      </c>
      <c r="H133" s="1403">
        <v>0</v>
      </c>
      <c r="I133" s="1403">
        <v>0</v>
      </c>
      <c r="J133" s="1403">
        <v>0</v>
      </c>
      <c r="K133" s="1403">
        <v>1500</v>
      </c>
      <c r="L133" s="1403">
        <v>1500</v>
      </c>
      <c r="M133" s="1403">
        <v>1500</v>
      </c>
      <c r="N133" s="1403">
        <v>1500</v>
      </c>
      <c r="O133" s="1403">
        <v>5250</v>
      </c>
      <c r="P133" s="987"/>
    </row>
    <row r="134" spans="1:16" ht="15" customHeight="1">
      <c r="A134" s="977" t="s">
        <v>1241</v>
      </c>
      <c r="B134" s="983" t="s">
        <v>813</v>
      </c>
      <c r="C134" s="984" t="s">
        <v>812</v>
      </c>
      <c r="D134" s="986">
        <v>1899</v>
      </c>
      <c r="E134" s="986">
        <v>1851</v>
      </c>
      <c r="F134" s="986">
        <v>2390.04</v>
      </c>
      <c r="G134" s="1402">
        <v>5225</v>
      </c>
      <c r="H134" s="1402">
        <v>1961</v>
      </c>
      <c r="I134" s="1402">
        <v>1875</v>
      </c>
      <c r="J134" s="1402">
        <v>2025</v>
      </c>
      <c r="K134" s="1402">
        <v>5316.57</v>
      </c>
      <c r="L134" s="1402">
        <v>3450</v>
      </c>
      <c r="M134" s="1402">
        <v>2800</v>
      </c>
      <c r="N134" s="1402">
        <v>3450</v>
      </c>
      <c r="O134" s="1402">
        <v>7512</v>
      </c>
      <c r="P134" s="986"/>
    </row>
    <row r="135" spans="1:16" ht="15" customHeight="1">
      <c r="B135" s="983" t="s">
        <v>811</v>
      </c>
      <c r="C135" s="984" t="s">
        <v>810</v>
      </c>
      <c r="D135" s="989"/>
      <c r="E135" s="989"/>
      <c r="F135" s="989"/>
      <c r="G135" s="989"/>
      <c r="H135" s="989"/>
      <c r="I135" s="989"/>
      <c r="J135" s="989"/>
      <c r="K135" s="989"/>
      <c r="L135" s="989"/>
      <c r="M135" s="989"/>
      <c r="N135" s="989"/>
      <c r="O135" s="989"/>
      <c r="P135" s="989"/>
    </row>
    <row r="136" spans="1:16" ht="15" customHeight="1">
      <c r="B136" s="983" t="s">
        <v>1230</v>
      </c>
      <c r="C136" s="984" t="s">
        <v>1229</v>
      </c>
      <c r="D136" s="989"/>
      <c r="E136" s="989"/>
      <c r="F136" s="989"/>
      <c r="G136" s="989"/>
      <c r="H136" s="989"/>
      <c r="I136" s="989"/>
      <c r="J136" s="989"/>
      <c r="K136" s="989"/>
      <c r="L136" s="989"/>
      <c r="M136" s="989"/>
      <c r="N136" s="989"/>
      <c r="O136" s="989"/>
      <c r="P136" s="989"/>
    </row>
    <row r="137" spans="1:16" ht="15" customHeight="1">
      <c r="B137" s="983" t="s">
        <v>1228</v>
      </c>
      <c r="C137" s="984" t="s">
        <v>1227</v>
      </c>
      <c r="D137" s="988">
        <v>0</v>
      </c>
      <c r="E137" s="988">
        <v>1463</v>
      </c>
      <c r="F137" s="988">
        <v>2926</v>
      </c>
      <c r="G137" s="1401">
        <v>0</v>
      </c>
      <c r="H137" s="1401">
        <v>0</v>
      </c>
      <c r="I137" s="1401">
        <v>2926</v>
      </c>
      <c r="J137" s="1401">
        <v>0</v>
      </c>
      <c r="K137" s="1401">
        <v>1463</v>
      </c>
      <c r="L137" s="1401">
        <v>0</v>
      </c>
      <c r="M137" s="1401">
        <v>0</v>
      </c>
      <c r="N137" s="1401">
        <v>0</v>
      </c>
      <c r="O137" s="1401">
        <v>0</v>
      </c>
      <c r="P137" s="988"/>
    </row>
    <row r="138" spans="1:16" ht="15" customHeight="1">
      <c r="B138" s="983" t="s">
        <v>1226</v>
      </c>
      <c r="C138" s="984" t="s">
        <v>1225</v>
      </c>
      <c r="D138" s="987">
        <v>0</v>
      </c>
      <c r="E138" s="987">
        <v>1463</v>
      </c>
      <c r="F138" s="987">
        <v>2926</v>
      </c>
      <c r="G138" s="1403">
        <v>0</v>
      </c>
      <c r="H138" s="1403">
        <v>0</v>
      </c>
      <c r="I138" s="1403">
        <v>2926</v>
      </c>
      <c r="J138" s="1403">
        <v>0</v>
      </c>
      <c r="K138" s="1403">
        <v>1463</v>
      </c>
      <c r="L138" s="1403">
        <v>0</v>
      </c>
      <c r="M138" s="1403">
        <v>0</v>
      </c>
      <c r="N138" s="1403">
        <v>0</v>
      </c>
      <c r="O138" s="1403">
        <v>0</v>
      </c>
      <c r="P138" s="987"/>
    </row>
    <row r="139" spans="1:16" ht="15" customHeight="1">
      <c r="A139" s="977" t="s">
        <v>1241</v>
      </c>
      <c r="B139" s="983" t="s">
        <v>990</v>
      </c>
      <c r="C139" s="984" t="s">
        <v>991</v>
      </c>
      <c r="D139" s="987">
        <v>0</v>
      </c>
      <c r="E139" s="987">
        <v>1463</v>
      </c>
      <c r="F139" s="987">
        <v>2926</v>
      </c>
      <c r="G139" s="1402">
        <v>0</v>
      </c>
      <c r="H139" s="1402">
        <v>0</v>
      </c>
      <c r="I139" s="1402">
        <v>2926</v>
      </c>
      <c r="J139" s="1402">
        <v>0</v>
      </c>
      <c r="K139" s="1402">
        <v>1463</v>
      </c>
      <c r="L139" s="1402">
        <v>0</v>
      </c>
      <c r="M139" s="1402">
        <v>0</v>
      </c>
      <c r="N139" s="1402">
        <v>0</v>
      </c>
      <c r="O139" s="1402">
        <v>0</v>
      </c>
      <c r="P139" s="987"/>
    </row>
    <row r="140" spans="1:16" ht="15" customHeight="1">
      <c r="B140" s="983" t="s">
        <v>809</v>
      </c>
      <c r="C140" s="984" t="s">
        <v>808</v>
      </c>
      <c r="D140" s="987">
        <v>82596.95</v>
      </c>
      <c r="E140" s="987">
        <v>108996.15</v>
      </c>
      <c r="F140" s="987">
        <v>108783.56</v>
      </c>
      <c r="G140" s="1402">
        <v>115321.95</v>
      </c>
      <c r="H140" s="1402">
        <v>159768.64000000001</v>
      </c>
      <c r="I140" s="1402">
        <v>65522.720000000001</v>
      </c>
      <c r="J140" s="1402">
        <v>151531.92000000001</v>
      </c>
      <c r="K140" s="1402">
        <v>174009.52</v>
      </c>
      <c r="L140" s="1403">
        <v>131083.81</v>
      </c>
      <c r="M140" s="1401">
        <v>84586.67</v>
      </c>
      <c r="N140" s="1401">
        <v>176705.53</v>
      </c>
      <c r="O140" s="1401">
        <v>110850.15</v>
      </c>
      <c r="P140" s="987"/>
    </row>
    <row r="141" spans="1:16" ht="15" customHeight="1">
      <c r="B141" s="1394" t="s">
        <v>2269</v>
      </c>
      <c r="C141" s="1395" t="s">
        <v>2270</v>
      </c>
      <c r="D141" s="1399"/>
      <c r="E141" s="1399"/>
      <c r="F141" s="1399"/>
      <c r="G141" s="1399"/>
      <c r="H141" s="1399"/>
      <c r="I141" s="1402"/>
      <c r="J141" s="1402"/>
      <c r="K141" s="1402"/>
      <c r="L141" s="1402"/>
      <c r="P141" s="987"/>
    </row>
    <row r="142" spans="1:16" ht="15" customHeight="1">
      <c r="B142" s="1394" t="s">
        <v>2271</v>
      </c>
      <c r="C142" s="1395" t="s">
        <v>806</v>
      </c>
      <c r="D142" s="1399"/>
      <c r="E142" s="1399"/>
      <c r="F142" s="1399"/>
      <c r="G142" s="1399"/>
      <c r="H142" s="1399"/>
      <c r="I142" s="1402"/>
      <c r="J142" s="1402"/>
      <c r="K142" s="1402"/>
      <c r="L142" s="1402"/>
      <c r="M142" s="1402"/>
      <c r="N142" s="1402"/>
      <c r="O142" s="1402"/>
      <c r="P142" s="987"/>
    </row>
    <row r="143" spans="1:16" ht="15" customHeight="1">
      <c r="B143" s="1394" t="s">
        <v>2272</v>
      </c>
      <c r="C143" s="1395" t="s">
        <v>1274</v>
      </c>
      <c r="D143" s="1399"/>
      <c r="E143" s="1399"/>
      <c r="F143" s="1399"/>
      <c r="G143" s="1399"/>
      <c r="H143" s="1399"/>
      <c r="I143" s="1402"/>
      <c r="J143" s="1402"/>
      <c r="K143" s="1402"/>
      <c r="L143" s="1402"/>
      <c r="M143" s="1402"/>
      <c r="N143" s="1402"/>
      <c r="O143" s="1402"/>
      <c r="P143" s="987"/>
    </row>
    <row r="144" spans="1:16" ht="15" customHeight="1">
      <c r="B144" s="1394" t="s">
        <v>2273</v>
      </c>
      <c r="C144" s="1395" t="s">
        <v>2274</v>
      </c>
      <c r="G144" s="1401">
        <v>0</v>
      </c>
      <c r="H144" s="1401">
        <v>0</v>
      </c>
      <c r="I144" s="1401">
        <v>0</v>
      </c>
      <c r="J144" s="1401">
        <v>0</v>
      </c>
      <c r="K144" s="1401">
        <v>566.57000000000005</v>
      </c>
      <c r="L144" s="1401"/>
      <c r="M144" s="1401"/>
      <c r="N144" s="1401"/>
      <c r="O144" s="1401"/>
      <c r="P144" s="987"/>
    </row>
    <row r="145" spans="1:16" ht="15" customHeight="1">
      <c r="B145" s="1394" t="s">
        <v>2275</v>
      </c>
      <c r="C145" s="1395" t="s">
        <v>1260</v>
      </c>
      <c r="G145" s="1403">
        <v>0</v>
      </c>
      <c r="H145" s="1403">
        <v>0</v>
      </c>
      <c r="I145" s="1403">
        <v>0</v>
      </c>
      <c r="J145" s="1403">
        <v>0</v>
      </c>
      <c r="K145" s="1403">
        <v>566.57000000000005</v>
      </c>
      <c r="L145" s="1403"/>
      <c r="M145" s="1403"/>
      <c r="N145" s="1403"/>
      <c r="O145" s="1403"/>
      <c r="P145" s="987"/>
    </row>
    <row r="146" spans="1:16" ht="15" customHeight="1">
      <c r="B146" s="1394" t="s">
        <v>2276</v>
      </c>
      <c r="C146" s="1395" t="s">
        <v>812</v>
      </c>
      <c r="G146" s="1403">
        <v>0</v>
      </c>
      <c r="H146" s="1403">
        <v>0</v>
      </c>
      <c r="I146" s="1403">
        <v>0</v>
      </c>
      <c r="J146" s="1403">
        <v>0</v>
      </c>
      <c r="K146" s="1403">
        <v>566.57000000000005</v>
      </c>
      <c r="L146" s="1403"/>
      <c r="M146" s="1403"/>
      <c r="N146" s="1403"/>
      <c r="O146" s="1403"/>
      <c r="P146" s="987"/>
    </row>
    <row r="147" spans="1:16" ht="15" customHeight="1">
      <c r="B147" s="1394" t="s">
        <v>2277</v>
      </c>
      <c r="C147" s="1395" t="s">
        <v>2278</v>
      </c>
      <c r="G147" s="1403">
        <v>0</v>
      </c>
      <c r="H147" s="1403">
        <v>0</v>
      </c>
      <c r="I147" s="1403">
        <v>0</v>
      </c>
      <c r="J147" s="1403">
        <v>0</v>
      </c>
      <c r="K147" s="1403">
        <v>566.57000000000005</v>
      </c>
      <c r="L147" s="1403"/>
      <c r="M147" s="1403"/>
      <c r="N147" s="1403"/>
      <c r="O147" s="1403"/>
      <c r="P147" s="987"/>
    </row>
    <row r="148" spans="1:16" ht="15" customHeight="1">
      <c r="A148" s="977" t="s">
        <v>1196</v>
      </c>
      <c r="B148" s="981" t="s">
        <v>805</v>
      </c>
      <c r="C148" s="980" t="s">
        <v>804</v>
      </c>
      <c r="D148" s="992">
        <v>82596.95</v>
      </c>
      <c r="E148" s="992">
        <v>108996.15</v>
      </c>
      <c r="F148" s="992">
        <v>108783.56</v>
      </c>
      <c r="G148" s="1405">
        <v>115321.95</v>
      </c>
      <c r="H148" s="1405">
        <v>159768.64000000001</v>
      </c>
      <c r="I148" s="1405">
        <v>65522.720000000001</v>
      </c>
      <c r="J148" s="1405">
        <v>151531.92000000001</v>
      </c>
      <c r="K148" s="1405">
        <v>174576.09</v>
      </c>
      <c r="L148" s="1405">
        <v>131083.81</v>
      </c>
      <c r="M148" s="1405">
        <v>84586.67</v>
      </c>
      <c r="N148" s="1405">
        <v>176705.53</v>
      </c>
      <c r="O148" s="1405">
        <v>110850.15</v>
      </c>
      <c r="P148" s="1414"/>
    </row>
    <row r="149" spans="1:16" ht="15" customHeight="1">
      <c r="A149" s="1411"/>
      <c r="B149" s="1412" t="s">
        <v>803</v>
      </c>
      <c r="C149" s="1413" t="s">
        <v>802</v>
      </c>
      <c r="D149" s="1414">
        <v>105672.53</v>
      </c>
      <c r="E149" s="1414">
        <v>107251.82</v>
      </c>
      <c r="F149" s="1414">
        <v>19220.650000000001</v>
      </c>
      <c r="G149" s="1404">
        <v>112327</v>
      </c>
      <c r="H149" s="1404">
        <v>59421.77</v>
      </c>
      <c r="I149" s="1404">
        <v>188279.79</v>
      </c>
      <c r="J149" s="1404">
        <v>59065.5</v>
      </c>
      <c r="K149" s="1404">
        <v>68987.86</v>
      </c>
      <c r="L149" s="1404">
        <v>104430.65</v>
      </c>
      <c r="M149" s="1404">
        <v>175250.97</v>
      </c>
      <c r="N149" s="1404">
        <v>90894.77</v>
      </c>
      <c r="O149" s="1404">
        <v>127741.32</v>
      </c>
      <c r="P149" s="1414"/>
    </row>
    <row r="150" spans="1:16" ht="15" customHeight="1">
      <c r="B150" s="983"/>
      <c r="C150" s="984"/>
      <c r="D150" s="983"/>
      <c r="E150" s="983"/>
      <c r="F150" s="983"/>
      <c r="G150" s="983"/>
      <c r="H150" s="983"/>
      <c r="I150" s="983"/>
      <c r="J150" s="983"/>
      <c r="K150" s="983"/>
      <c r="L150" s="983"/>
      <c r="M150" s="983"/>
      <c r="N150" s="983"/>
      <c r="O150" s="983"/>
      <c r="P150" s="983"/>
    </row>
    <row r="151" spans="1:16" ht="15" customHeight="1">
      <c r="B151" s="981" t="s">
        <v>801</v>
      </c>
      <c r="C151" s="980" t="s">
        <v>800</v>
      </c>
      <c r="D151" s="991"/>
      <c r="E151" s="991"/>
      <c r="F151" s="991"/>
      <c r="G151" s="991"/>
      <c r="H151" s="991"/>
      <c r="I151" s="991"/>
      <c r="J151" s="991"/>
      <c r="K151" s="991"/>
      <c r="L151" s="991"/>
      <c r="M151" s="991"/>
      <c r="N151" s="991"/>
      <c r="O151" s="991"/>
      <c r="P151" s="991"/>
    </row>
    <row r="152" spans="1:16" ht="15" customHeight="1">
      <c r="B152" s="983"/>
      <c r="C152" s="984"/>
      <c r="D152" s="983"/>
      <c r="E152" s="983"/>
      <c r="F152" s="983"/>
      <c r="G152" s="983"/>
      <c r="H152" s="983"/>
      <c r="I152" s="983"/>
      <c r="J152" s="983"/>
      <c r="K152" s="983"/>
      <c r="L152" s="983"/>
      <c r="M152" s="983"/>
      <c r="N152" s="983"/>
      <c r="O152" s="983"/>
      <c r="P152" s="983"/>
    </row>
    <row r="153" spans="1:16" ht="15" customHeight="1">
      <c r="B153" s="981" t="s">
        <v>799</v>
      </c>
      <c r="C153" s="980" t="s">
        <v>798</v>
      </c>
      <c r="D153" s="991"/>
      <c r="E153" s="991"/>
      <c r="F153" s="991"/>
      <c r="G153" s="991"/>
      <c r="H153" s="991"/>
      <c r="I153" s="991"/>
      <c r="J153" s="991"/>
      <c r="K153" s="991"/>
      <c r="L153" s="991"/>
      <c r="M153" s="991"/>
      <c r="N153" s="991"/>
      <c r="O153" s="991"/>
      <c r="P153" s="991"/>
    </row>
    <row r="154" spans="1:16" ht="15" customHeight="1">
      <c r="B154" s="983" t="s">
        <v>797</v>
      </c>
      <c r="C154" s="984" t="s">
        <v>796</v>
      </c>
      <c r="D154" s="989"/>
      <c r="E154" s="989"/>
      <c r="F154" s="989"/>
      <c r="G154" s="989"/>
      <c r="H154" s="989"/>
      <c r="I154" s="989"/>
      <c r="J154" s="989"/>
      <c r="K154" s="989"/>
      <c r="L154" s="989"/>
      <c r="M154" s="989"/>
      <c r="N154" s="989"/>
      <c r="O154" s="989"/>
      <c r="P154" s="989"/>
    </row>
    <row r="155" spans="1:16" ht="15" customHeight="1">
      <c r="B155" s="983" t="s">
        <v>795</v>
      </c>
      <c r="C155" s="984" t="s">
        <v>794</v>
      </c>
      <c r="D155" s="989"/>
      <c r="E155" s="989"/>
      <c r="F155" s="989"/>
      <c r="G155" s="989"/>
      <c r="H155" s="989"/>
      <c r="I155" s="989"/>
      <c r="J155" s="989"/>
      <c r="K155" s="989"/>
      <c r="L155" s="989"/>
      <c r="M155" s="989"/>
      <c r="N155" s="989"/>
      <c r="O155" s="989"/>
      <c r="P155" s="989"/>
    </row>
    <row r="156" spans="1:16" ht="15" customHeight="1">
      <c r="B156" s="983" t="s">
        <v>793</v>
      </c>
      <c r="C156" s="984" t="s">
        <v>792</v>
      </c>
      <c r="D156" s="988">
        <v>107919.45</v>
      </c>
      <c r="E156" s="988">
        <v>97475.63</v>
      </c>
      <c r="F156" s="988">
        <v>107919.45</v>
      </c>
      <c r="G156" s="1401">
        <v>104438.18</v>
      </c>
      <c r="H156" s="1401">
        <v>107919.46</v>
      </c>
      <c r="I156" s="1401">
        <v>107635.29</v>
      </c>
      <c r="J156" s="1401">
        <v>99109.53</v>
      </c>
      <c r="K156" s="1401">
        <v>99109.52</v>
      </c>
      <c r="L156" s="1401">
        <v>95912.44</v>
      </c>
      <c r="M156" s="1401">
        <v>99109.51</v>
      </c>
      <c r="N156" s="1401">
        <v>96316.160000000003</v>
      </c>
      <c r="O156" s="1401">
        <v>100072.24</v>
      </c>
      <c r="P156" s="988"/>
    </row>
    <row r="157" spans="1:16" ht="15" customHeight="1">
      <c r="A157" s="927" t="s">
        <v>1181</v>
      </c>
      <c r="B157" s="983" t="s">
        <v>791</v>
      </c>
      <c r="C157" s="984" t="s">
        <v>790</v>
      </c>
      <c r="D157" s="986">
        <v>107919.45</v>
      </c>
      <c r="E157" s="986">
        <v>97475.63</v>
      </c>
      <c r="F157" s="986">
        <v>107919.45</v>
      </c>
      <c r="G157" s="1402">
        <v>104438.18</v>
      </c>
      <c r="H157" s="1402">
        <v>107919.46</v>
      </c>
      <c r="I157" s="1402">
        <v>107635.29</v>
      </c>
      <c r="J157" s="1402">
        <v>99109.53</v>
      </c>
      <c r="K157" s="1402">
        <v>99109.52</v>
      </c>
      <c r="L157" s="1402">
        <v>95912.44</v>
      </c>
      <c r="M157" s="1402">
        <v>99109.51</v>
      </c>
      <c r="N157" s="1402">
        <v>96316.160000000003</v>
      </c>
      <c r="O157" s="1402">
        <v>100072.24</v>
      </c>
      <c r="P157" s="986"/>
    </row>
    <row r="158" spans="1:16" ht="15" customHeight="1">
      <c r="B158" s="983" t="s">
        <v>789</v>
      </c>
      <c r="C158" s="984" t="s">
        <v>788</v>
      </c>
      <c r="D158" s="989"/>
      <c r="E158" s="989"/>
      <c r="F158" s="989"/>
      <c r="G158" s="989"/>
      <c r="H158" s="989"/>
      <c r="I158" s="989"/>
      <c r="J158" s="989"/>
      <c r="K158" s="989"/>
      <c r="L158" s="989"/>
      <c r="M158" s="989"/>
      <c r="N158" s="989"/>
      <c r="O158" s="989"/>
      <c r="P158" s="989"/>
    </row>
    <row r="159" spans="1:16" ht="15" customHeight="1">
      <c r="B159" s="983" t="s">
        <v>787</v>
      </c>
      <c r="C159" s="984" t="s">
        <v>786</v>
      </c>
      <c r="D159" s="988">
        <v>0</v>
      </c>
      <c r="E159" s="988">
        <v>0</v>
      </c>
      <c r="F159" s="988">
        <v>-18626.25</v>
      </c>
      <c r="G159" s="1401">
        <v>0</v>
      </c>
      <c r="H159" s="1401">
        <v>0</v>
      </c>
      <c r="I159" s="1401">
        <v>840875.29</v>
      </c>
      <c r="J159" s="1401">
        <v>0</v>
      </c>
      <c r="K159" s="1401">
        <v>-53317</v>
      </c>
      <c r="L159" s="1401">
        <v>0</v>
      </c>
      <c r="M159" s="1401">
        <v>-6000</v>
      </c>
      <c r="N159" s="1401">
        <v>0</v>
      </c>
      <c r="O159" s="1401">
        <v>0</v>
      </c>
      <c r="P159" s="988"/>
    </row>
    <row r="160" spans="1:16" ht="15" customHeight="1">
      <c r="A160" s="927" t="s">
        <v>1180</v>
      </c>
      <c r="B160" s="983" t="s">
        <v>785</v>
      </c>
      <c r="C160" s="984" t="s">
        <v>784</v>
      </c>
      <c r="D160" s="987">
        <v>0</v>
      </c>
      <c r="E160" s="987">
        <v>0</v>
      </c>
      <c r="F160" s="987">
        <v>-18626.25</v>
      </c>
      <c r="G160" s="1403">
        <v>0</v>
      </c>
      <c r="H160" s="1403">
        <v>0</v>
      </c>
      <c r="I160" s="1403">
        <v>840875.29</v>
      </c>
      <c r="J160" s="1403">
        <v>0</v>
      </c>
      <c r="K160" s="1403">
        <v>-53317</v>
      </c>
      <c r="L160" s="1403">
        <v>0</v>
      </c>
      <c r="M160" s="1403">
        <v>-6000</v>
      </c>
      <c r="N160" s="1403">
        <v>0</v>
      </c>
      <c r="O160" s="1403">
        <v>0</v>
      </c>
      <c r="P160" s="987"/>
    </row>
    <row r="161" spans="2:16" ht="15" customHeight="1">
      <c r="B161" s="983" t="s">
        <v>783</v>
      </c>
      <c r="C161" s="984" t="s">
        <v>782</v>
      </c>
      <c r="D161" s="986">
        <v>107919.45</v>
      </c>
      <c r="E161" s="986">
        <v>97475.63</v>
      </c>
      <c r="F161" s="986">
        <v>89293.2</v>
      </c>
      <c r="G161" s="1402">
        <v>104438.18</v>
      </c>
      <c r="H161" s="1402">
        <v>107919.46</v>
      </c>
      <c r="I161" s="1402">
        <v>948510.58</v>
      </c>
      <c r="J161" s="1402">
        <v>99109.53</v>
      </c>
      <c r="K161" s="1402">
        <v>45792.52</v>
      </c>
      <c r="L161" s="1402">
        <v>95912.44</v>
      </c>
      <c r="M161" s="1402">
        <v>93109.51</v>
      </c>
      <c r="N161" s="1402">
        <v>96316.160000000003</v>
      </c>
      <c r="O161" s="1402">
        <v>100072.24</v>
      </c>
      <c r="P161" s="986"/>
    </row>
    <row r="162" spans="2:16" ht="15" customHeight="1">
      <c r="B162" s="983" t="s">
        <v>781</v>
      </c>
      <c r="C162" s="984" t="s">
        <v>780</v>
      </c>
      <c r="D162" s="989"/>
      <c r="E162" s="989"/>
      <c r="F162" s="989"/>
      <c r="G162" s="989"/>
      <c r="H162" s="989"/>
      <c r="I162" s="989"/>
      <c r="J162" s="989"/>
      <c r="K162" s="989"/>
      <c r="L162" s="989"/>
      <c r="M162" s="989"/>
      <c r="N162" s="989"/>
      <c r="O162" s="989"/>
      <c r="P162" s="989"/>
    </row>
    <row r="163" spans="2:16" ht="15" customHeight="1">
      <c r="B163" s="983" t="s">
        <v>779</v>
      </c>
      <c r="C163" s="984" t="s">
        <v>778</v>
      </c>
      <c r="D163" s="989"/>
      <c r="E163" s="989"/>
      <c r="F163" s="989"/>
      <c r="G163" s="989"/>
      <c r="H163" s="989"/>
      <c r="I163" s="989"/>
      <c r="J163" s="989"/>
      <c r="K163" s="989"/>
      <c r="L163" s="989"/>
      <c r="M163" s="989"/>
      <c r="N163" s="989"/>
      <c r="O163" s="989"/>
      <c r="P163" s="989"/>
    </row>
    <row r="164" spans="2:16" ht="15" customHeight="1">
      <c r="B164" s="983" t="s">
        <v>777</v>
      </c>
      <c r="C164" s="984" t="s">
        <v>776</v>
      </c>
      <c r="D164" s="988">
        <v>0.04</v>
      </c>
      <c r="E164" s="988">
        <v>0.01</v>
      </c>
      <c r="F164" s="988">
        <v>0.01</v>
      </c>
      <c r="G164" s="1401">
        <v>0</v>
      </c>
      <c r="H164" s="1401">
        <v>0</v>
      </c>
      <c r="I164" s="1401">
        <v>0</v>
      </c>
      <c r="J164" s="1401">
        <v>0</v>
      </c>
      <c r="K164" s="1401">
        <v>44587.26</v>
      </c>
      <c r="L164" s="1401">
        <v>0</v>
      </c>
      <c r="M164" s="1401">
        <v>0</v>
      </c>
      <c r="N164" s="1401">
        <v>0</v>
      </c>
      <c r="O164" s="1401">
        <v>-45788.32</v>
      </c>
      <c r="P164" s="988"/>
    </row>
    <row r="165" spans="2:16" ht="15" customHeight="1">
      <c r="B165" s="983" t="s">
        <v>775</v>
      </c>
      <c r="C165" s="984" t="s">
        <v>774</v>
      </c>
      <c r="D165" s="987">
        <v>0.04</v>
      </c>
      <c r="E165" s="987">
        <v>0.01</v>
      </c>
      <c r="F165" s="987">
        <v>0.01</v>
      </c>
      <c r="G165" s="1403">
        <v>0</v>
      </c>
      <c r="H165" s="1403">
        <v>0</v>
      </c>
      <c r="I165" s="1403">
        <v>0</v>
      </c>
      <c r="J165" s="1403">
        <v>0</v>
      </c>
      <c r="K165" s="1403">
        <v>44587.26</v>
      </c>
      <c r="L165" s="1403">
        <v>0</v>
      </c>
      <c r="M165" s="1403">
        <v>0</v>
      </c>
      <c r="N165" s="1403">
        <v>0</v>
      </c>
      <c r="O165" s="1403">
        <v>-45788.32</v>
      </c>
      <c r="P165" s="987"/>
    </row>
    <row r="166" spans="2:16" ht="15" customHeight="1">
      <c r="B166" s="983" t="s">
        <v>773</v>
      </c>
      <c r="C166" s="984" t="s">
        <v>772</v>
      </c>
      <c r="D166" s="986">
        <v>0.04</v>
      </c>
      <c r="E166" s="986">
        <v>0.01</v>
      </c>
      <c r="F166" s="986">
        <v>0.01</v>
      </c>
      <c r="G166" s="1402">
        <v>0</v>
      </c>
      <c r="H166" s="1402">
        <v>0</v>
      </c>
      <c r="I166" s="1402">
        <v>0</v>
      </c>
      <c r="J166" s="1402">
        <v>0</v>
      </c>
      <c r="K166" s="1402">
        <v>44587.26</v>
      </c>
      <c r="L166" s="1402">
        <v>0</v>
      </c>
      <c r="M166" s="1402">
        <v>0</v>
      </c>
      <c r="N166" s="1402">
        <v>0</v>
      </c>
      <c r="O166" s="1402">
        <v>-45788.32</v>
      </c>
      <c r="P166" s="986"/>
    </row>
    <row r="167" spans="2:16" ht="15" customHeight="1">
      <c r="B167" s="983" t="s">
        <v>2238</v>
      </c>
      <c r="C167" s="984" t="s">
        <v>2239</v>
      </c>
      <c r="D167" s="989"/>
      <c r="E167" s="989"/>
      <c r="F167" s="989"/>
      <c r="G167" s="989"/>
      <c r="H167" s="989"/>
      <c r="I167" s="989"/>
      <c r="J167" s="989"/>
      <c r="K167" s="989"/>
      <c r="L167" s="989"/>
      <c r="M167" s="989"/>
      <c r="N167" s="989"/>
      <c r="O167" s="989"/>
      <c r="P167" s="989"/>
    </row>
    <row r="168" spans="2:16" ht="15" customHeight="1">
      <c r="B168" s="983" t="s">
        <v>771</v>
      </c>
      <c r="C168" s="984" t="s">
        <v>770</v>
      </c>
      <c r="D168" s="989"/>
      <c r="E168" s="989"/>
      <c r="F168" s="989"/>
      <c r="G168" s="989"/>
      <c r="H168" s="989"/>
      <c r="I168" s="989"/>
      <c r="J168" s="989"/>
      <c r="K168" s="989"/>
      <c r="L168" s="989"/>
      <c r="M168" s="989"/>
      <c r="N168" s="989"/>
      <c r="O168" s="989"/>
      <c r="P168" s="989"/>
    </row>
    <row r="169" spans="2:16" ht="15" customHeight="1">
      <c r="B169" s="983" t="s">
        <v>769</v>
      </c>
      <c r="C169" s="984" t="s">
        <v>768</v>
      </c>
      <c r="D169" s="988">
        <v>0</v>
      </c>
      <c r="E169" s="988">
        <v>0</v>
      </c>
      <c r="F169" s="988">
        <v>-512453.22</v>
      </c>
      <c r="G169" s="1401">
        <v>0</v>
      </c>
      <c r="H169" s="1401">
        <v>0</v>
      </c>
      <c r="I169" s="1401">
        <v>-515714.34</v>
      </c>
      <c r="J169" s="1401">
        <v>0</v>
      </c>
      <c r="K169" s="1401">
        <v>0</v>
      </c>
      <c r="L169" s="1401">
        <v>-8537983</v>
      </c>
      <c r="M169" s="1401">
        <v>0</v>
      </c>
      <c r="N169" s="1401">
        <v>0</v>
      </c>
      <c r="O169" s="1401">
        <v>4142145.63</v>
      </c>
      <c r="P169" s="988"/>
    </row>
    <row r="170" spans="2:16" ht="15" customHeight="1">
      <c r="B170" s="983" t="s">
        <v>767</v>
      </c>
      <c r="C170" s="984" t="s">
        <v>766</v>
      </c>
      <c r="D170" s="987">
        <v>0</v>
      </c>
      <c r="E170" s="987">
        <v>0</v>
      </c>
      <c r="F170" s="987">
        <v>-512453.22</v>
      </c>
      <c r="G170" s="1403">
        <v>0</v>
      </c>
      <c r="H170" s="1403">
        <v>0</v>
      </c>
      <c r="I170" s="1403">
        <v>-515714.34</v>
      </c>
      <c r="J170" s="1403">
        <v>0</v>
      </c>
      <c r="K170" s="1403">
        <v>0</v>
      </c>
      <c r="L170" s="1403">
        <v>-8537983</v>
      </c>
      <c r="M170" s="1403">
        <v>0</v>
      </c>
      <c r="N170" s="1403">
        <v>0</v>
      </c>
      <c r="O170" s="1403">
        <v>4142145.63</v>
      </c>
      <c r="P170" s="987"/>
    </row>
    <row r="171" spans="2:16" ht="15" customHeight="1">
      <c r="B171" s="983" t="s">
        <v>765</v>
      </c>
      <c r="C171" s="984" t="s">
        <v>764</v>
      </c>
      <c r="D171" s="987">
        <v>0</v>
      </c>
      <c r="E171" s="987">
        <v>0</v>
      </c>
      <c r="F171" s="987">
        <v>-512453.22</v>
      </c>
      <c r="G171" s="1403">
        <v>0</v>
      </c>
      <c r="H171" s="1403">
        <v>0</v>
      </c>
      <c r="I171" s="1403">
        <v>-515714.34</v>
      </c>
      <c r="J171" s="1403">
        <v>0</v>
      </c>
      <c r="K171" s="1403">
        <v>0</v>
      </c>
      <c r="L171" s="1403">
        <v>-8537983</v>
      </c>
      <c r="M171" s="1403">
        <v>0</v>
      </c>
      <c r="N171" s="1403">
        <v>0</v>
      </c>
      <c r="O171" s="1403">
        <v>4142145.63</v>
      </c>
      <c r="P171" s="987"/>
    </row>
    <row r="172" spans="2:16" ht="15" customHeight="1">
      <c r="B172" s="981" t="s">
        <v>763</v>
      </c>
      <c r="C172" s="980" t="s">
        <v>762</v>
      </c>
      <c r="D172" s="992">
        <v>107919.49</v>
      </c>
      <c r="E172" s="992">
        <v>97475.64</v>
      </c>
      <c r="F172" s="992">
        <v>-423160.01</v>
      </c>
      <c r="G172" s="1405">
        <v>104438.18</v>
      </c>
      <c r="H172" s="1405">
        <v>107919.46</v>
      </c>
      <c r="I172" s="1405">
        <v>432796.24</v>
      </c>
      <c r="J172" s="1405">
        <v>99109.53</v>
      </c>
      <c r="K172" s="1405">
        <v>90379.78</v>
      </c>
      <c r="L172" s="1405">
        <v>-8442070.5600000005</v>
      </c>
      <c r="M172" s="1405">
        <v>93109.51</v>
      </c>
      <c r="N172" s="1405">
        <v>96316.160000000003</v>
      </c>
      <c r="O172" s="1405">
        <v>4196429.55</v>
      </c>
      <c r="P172" s="992"/>
    </row>
    <row r="173" spans="2:16" ht="15" customHeight="1">
      <c r="B173" s="981" t="s">
        <v>761</v>
      </c>
      <c r="C173" s="980" t="s">
        <v>760</v>
      </c>
      <c r="D173" s="982">
        <v>-107919.49</v>
      </c>
      <c r="E173" s="982">
        <v>-97475.64</v>
      </c>
      <c r="F173" s="982">
        <v>423160.01</v>
      </c>
      <c r="G173" s="1406">
        <v>-104438.18</v>
      </c>
      <c r="H173" s="1406">
        <v>-107919.46</v>
      </c>
      <c r="I173" s="1406">
        <v>-432796.24</v>
      </c>
      <c r="J173" s="1406">
        <v>-99109.53</v>
      </c>
      <c r="K173" s="1406">
        <v>-90379.78</v>
      </c>
      <c r="L173" s="1406">
        <v>8442070.5600000005</v>
      </c>
      <c r="M173" s="1406">
        <v>-93109.51</v>
      </c>
      <c r="N173" s="1406">
        <v>-96316.160000000003</v>
      </c>
      <c r="O173" s="1406">
        <v>-4196429.55</v>
      </c>
      <c r="P173" s="982"/>
    </row>
    <row r="174" spans="2:16" ht="15" customHeight="1" thickBot="1">
      <c r="B174" s="981" t="s">
        <v>759</v>
      </c>
      <c r="C174" s="980" t="s">
        <v>758</v>
      </c>
      <c r="D174" s="979">
        <v>-2246.96</v>
      </c>
      <c r="E174" s="979">
        <v>9776.18</v>
      </c>
      <c r="F174" s="979">
        <v>442380.66</v>
      </c>
      <c r="G174" s="1407">
        <v>7888.82</v>
      </c>
      <c r="H174" s="1407">
        <v>-48497.69</v>
      </c>
      <c r="I174" s="1407">
        <v>-244516.45</v>
      </c>
      <c r="J174" s="1407">
        <v>-40044.03</v>
      </c>
      <c r="K174" s="1407">
        <v>-21391.919999999998</v>
      </c>
      <c r="L174" s="1407">
        <v>8546501.2100000009</v>
      </c>
      <c r="M174" s="1407">
        <v>82141.460000000006</v>
      </c>
      <c r="N174" s="1407">
        <v>-5421.39</v>
      </c>
      <c r="O174" s="1407">
        <v>-4068688.23</v>
      </c>
      <c r="P174" s="979"/>
    </row>
    <row r="175" spans="2:16" ht="14" thickTop="1"/>
  </sheetData>
  <phoneticPr fontId="158" type="noConversion"/>
  <pageMargins left="0.7" right="0.7" top="0.7" bottom="0.7" header="0.5" footer="0.5"/>
  <pageSetup paperSize="5" fitToHeight="990" orientation="landscape" useFirstPageNumber="1"/>
  <headerFooter alignWithMargins="0">
    <oddHeader>&amp;R&amp;B&amp;D &amp;T</oddHeader>
    <oddFooter>&amp;C&amp;B Page &amp;P of &amp;N</oddFooter>
  </headerFooter>
  <rowBreaks count="1" manualBreakCount="1">
    <brk id="47" max="16383" man="1"/>
  </rowBreaks>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6E0AF-E9AA-46BF-85A2-13088F136BED}">
  <sheetPr>
    <pageSetUpPr fitToPage="1"/>
  </sheetPr>
  <dimension ref="A2:P184"/>
  <sheetViews>
    <sheetView showGridLines="0" workbookViewId="0">
      <pane xSplit="3" ySplit="1" topLeftCell="D2" activePane="bottomRight" state="frozen"/>
      <selection activeCell="AU3" sqref="AU3"/>
      <selection pane="topRight" activeCell="AU3" sqref="AU3"/>
      <selection pane="bottomLeft" activeCell="AU3" sqref="AU3"/>
      <selection pane="bottomRight" activeCell="F16" sqref="F16"/>
    </sheetView>
  </sheetViews>
  <sheetFormatPr baseColWidth="10" defaultColWidth="9.1640625" defaultRowHeight="13"/>
  <cols>
    <col min="1" max="1" width="9.1640625" style="977"/>
    <col min="2" max="2" width="11.5" style="927" customWidth="1"/>
    <col min="3" max="3" width="37.1640625" style="927" customWidth="1"/>
    <col min="4" max="15" width="12.83203125" style="927" customWidth="1"/>
    <col min="16" max="42" width="9.1640625" style="927"/>
    <col min="43" max="44" width="10.5" style="927" bestFit="1" customWidth="1"/>
    <col min="45" max="45" width="10.33203125" style="927" customWidth="1"/>
    <col min="46" max="57" width="9.1640625" style="927"/>
    <col min="58" max="58" width="14.33203125" style="927" customWidth="1"/>
    <col min="59" max="16384" width="9.1640625" style="927"/>
  </cols>
  <sheetData>
    <row r="2" spans="1:16" ht="15" customHeight="1">
      <c r="B2" s="1387" t="s">
        <v>1398</v>
      </c>
      <c r="C2" s="1387"/>
      <c r="D2" s="1387"/>
      <c r="E2" s="1387"/>
      <c r="F2" s="1387"/>
      <c r="G2" s="1387"/>
      <c r="H2" s="1387"/>
      <c r="I2" s="1387"/>
      <c r="J2" s="1387"/>
      <c r="K2" s="1387"/>
      <c r="L2" s="1387"/>
      <c r="M2" s="1387"/>
      <c r="N2" s="1387"/>
      <c r="O2" s="1387"/>
      <c r="P2" s="1387"/>
    </row>
    <row r="3" spans="1:16" ht="15.75" customHeight="1">
      <c r="B3" s="1388" t="s">
        <v>965</v>
      </c>
      <c r="C3" s="1388"/>
      <c r="D3" s="1388"/>
      <c r="E3" s="1388"/>
      <c r="F3" s="1388"/>
      <c r="G3" s="1388"/>
      <c r="H3" s="1388"/>
      <c r="I3" s="1388"/>
      <c r="J3" s="1388"/>
      <c r="K3" s="1388"/>
      <c r="L3" s="1388"/>
      <c r="M3" s="1388"/>
      <c r="N3" s="1388"/>
      <c r="O3" s="1388"/>
      <c r="P3" s="1388"/>
    </row>
    <row r="4" spans="1:16" ht="15" customHeight="1">
      <c r="B4" s="1387" t="s">
        <v>2209</v>
      </c>
      <c r="C4" s="1387"/>
      <c r="D4" s="1387"/>
      <c r="E4" s="1387"/>
      <c r="F4" s="1387"/>
      <c r="G4" s="1387"/>
      <c r="H4" s="1387"/>
      <c r="I4" s="1387"/>
      <c r="J4" s="1387"/>
      <c r="K4" s="1387"/>
      <c r="L4" s="1387"/>
      <c r="M4" s="1387"/>
      <c r="N4" s="1387"/>
      <c r="O4" s="1387"/>
      <c r="P4" s="1387"/>
    </row>
    <row r="5" spans="1:16" ht="15" customHeight="1">
      <c r="B5" s="1387" t="s">
        <v>1396</v>
      </c>
      <c r="C5" s="1387"/>
      <c r="D5" s="1387"/>
      <c r="E5" s="1387"/>
      <c r="F5" s="1387"/>
      <c r="G5" s="1387"/>
      <c r="H5" s="1387"/>
      <c r="I5" s="1387"/>
      <c r="J5" s="1387"/>
      <c r="K5" s="1387"/>
      <c r="L5" s="1387"/>
      <c r="M5" s="1387"/>
      <c r="N5" s="1387"/>
      <c r="O5" s="1387"/>
      <c r="P5" s="1387"/>
    </row>
    <row r="6" spans="1:16" ht="15" customHeight="1">
      <c r="B6" s="1389"/>
      <c r="C6" s="1390"/>
      <c r="D6" s="1389" t="s">
        <v>2210</v>
      </c>
      <c r="E6" s="1389" t="s">
        <v>2211</v>
      </c>
      <c r="F6" s="1389" t="s">
        <v>2212</v>
      </c>
      <c r="G6" s="1389" t="s">
        <v>2213</v>
      </c>
      <c r="H6" s="1389" t="s">
        <v>2214</v>
      </c>
      <c r="I6" s="1389" t="s">
        <v>2215</v>
      </c>
      <c r="J6" s="1389" t="s">
        <v>2216</v>
      </c>
      <c r="K6" s="1389" t="s">
        <v>2217</v>
      </c>
      <c r="L6" s="1389" t="s">
        <v>2218</v>
      </c>
      <c r="M6" s="1389" t="s">
        <v>2219</v>
      </c>
      <c r="N6" s="1389" t="s">
        <v>2220</v>
      </c>
      <c r="O6" s="1389" t="s">
        <v>2221</v>
      </c>
      <c r="P6" s="1389" t="s">
        <v>84</v>
      </c>
    </row>
    <row r="7" spans="1:16" ht="15" customHeight="1">
      <c r="B7" s="1391" t="s">
        <v>964</v>
      </c>
      <c r="C7" s="1392" t="s">
        <v>963</v>
      </c>
      <c r="D7" s="1393"/>
      <c r="E7" s="1393"/>
      <c r="F7" s="1393"/>
      <c r="G7" s="1393"/>
      <c r="H7" s="1393"/>
      <c r="I7" s="1393"/>
      <c r="J7" s="1393"/>
      <c r="K7" s="1393"/>
      <c r="L7" s="1393"/>
      <c r="M7" s="1393"/>
      <c r="N7" s="1393"/>
      <c r="O7" s="1393"/>
      <c r="P7" s="1393"/>
    </row>
    <row r="8" spans="1:16" ht="15" customHeight="1">
      <c r="B8" s="1394"/>
      <c r="C8" s="1395"/>
      <c r="D8" s="1394"/>
      <c r="E8" s="1394"/>
      <c r="F8" s="1394"/>
      <c r="G8" s="1394"/>
      <c r="H8" s="1394"/>
      <c r="I8" s="1394"/>
      <c r="J8" s="1394"/>
      <c r="K8" s="1394"/>
      <c r="L8" s="1394"/>
      <c r="M8" s="1394"/>
      <c r="N8" s="1394"/>
      <c r="O8" s="1394"/>
      <c r="P8" s="1394"/>
    </row>
    <row r="9" spans="1:16" ht="15" customHeight="1">
      <c r="B9" s="1396" t="s">
        <v>962</v>
      </c>
      <c r="C9" s="1397" t="s">
        <v>802</v>
      </c>
      <c r="D9" s="1398"/>
      <c r="E9" s="1398"/>
      <c r="F9" s="1398"/>
      <c r="G9" s="1398"/>
      <c r="H9" s="1398"/>
      <c r="I9" s="1398"/>
      <c r="J9" s="1398"/>
      <c r="K9" s="1398"/>
      <c r="L9" s="1398"/>
      <c r="M9" s="1398"/>
      <c r="N9" s="1398"/>
      <c r="O9" s="1398"/>
      <c r="P9" s="1398"/>
    </row>
    <row r="10" spans="1:16" ht="15" customHeight="1">
      <c r="B10" s="1394"/>
      <c r="C10" s="1395"/>
      <c r="D10" s="1394"/>
      <c r="E10" s="1394"/>
      <c r="F10" s="1394"/>
      <c r="G10" s="1394"/>
      <c r="H10" s="1394"/>
      <c r="I10" s="1394"/>
      <c r="J10" s="1394"/>
      <c r="K10" s="1394"/>
      <c r="L10" s="1394"/>
      <c r="M10" s="1394"/>
      <c r="N10" s="1394"/>
      <c r="O10" s="1394"/>
      <c r="P10" s="1394"/>
    </row>
    <row r="11" spans="1:16" ht="15" customHeight="1">
      <c r="B11" s="1396" t="s">
        <v>961</v>
      </c>
      <c r="C11" s="1397" t="s">
        <v>960</v>
      </c>
      <c r="D11" s="1398"/>
      <c r="E11" s="1398"/>
      <c r="F11" s="1398"/>
      <c r="G11" s="1398"/>
      <c r="H11" s="1398"/>
      <c r="I11" s="1398"/>
      <c r="J11" s="1398"/>
      <c r="K11" s="1398"/>
      <c r="L11" s="1398"/>
      <c r="M11" s="1398"/>
      <c r="N11" s="1398"/>
      <c r="O11" s="1398"/>
      <c r="P11" s="1398"/>
    </row>
    <row r="12" spans="1:16" ht="15" customHeight="1">
      <c r="B12" s="1394" t="s">
        <v>959</v>
      </c>
      <c r="C12" s="1395" t="s">
        <v>958</v>
      </c>
      <c r="D12" s="1399"/>
      <c r="E12" s="1399"/>
      <c r="F12" s="1399"/>
      <c r="G12" s="1399"/>
      <c r="H12" s="1399"/>
      <c r="I12" s="1399"/>
      <c r="J12" s="1399"/>
      <c r="K12" s="1399"/>
      <c r="L12" s="1399"/>
      <c r="M12" s="1399"/>
      <c r="N12" s="1399"/>
      <c r="O12" s="1399"/>
      <c r="P12" s="1399"/>
    </row>
    <row r="13" spans="1:16" ht="15" customHeight="1">
      <c r="B13" s="1394" t="s">
        <v>957</v>
      </c>
      <c r="C13" s="1395" t="s">
        <v>956</v>
      </c>
      <c r="D13" s="1399"/>
      <c r="E13" s="1399"/>
      <c r="F13" s="1399"/>
      <c r="G13" s="1399"/>
      <c r="H13" s="1399"/>
      <c r="I13" s="1399"/>
      <c r="J13" s="1399"/>
      <c r="K13" s="1399"/>
      <c r="L13" s="1399"/>
      <c r="M13" s="1399"/>
      <c r="N13" s="1399"/>
      <c r="O13" s="1399"/>
      <c r="P13" s="1399"/>
    </row>
    <row r="14" spans="1:16" ht="15" customHeight="1">
      <c r="A14" s="977" t="s">
        <v>1389</v>
      </c>
      <c r="B14" s="1394" t="s">
        <v>955</v>
      </c>
      <c r="C14" s="1395" t="s">
        <v>954</v>
      </c>
      <c r="D14" s="1400">
        <v>153172.75</v>
      </c>
      <c r="E14" s="1400">
        <v>153535.96</v>
      </c>
      <c r="F14" s="1400">
        <v>153987.07</v>
      </c>
      <c r="G14" s="1400">
        <v>153987.07</v>
      </c>
      <c r="H14" s="1400">
        <v>159507.56</v>
      </c>
      <c r="I14" s="1400">
        <v>146712.82999999999</v>
      </c>
      <c r="J14" s="1400">
        <v>146712.82999999999</v>
      </c>
      <c r="K14" s="1400">
        <v>147725.92000000001</v>
      </c>
      <c r="L14" s="1400">
        <v>147915.35999999999</v>
      </c>
      <c r="M14" s="1400">
        <v>148234.85</v>
      </c>
      <c r="N14" s="1400">
        <v>155673.9</v>
      </c>
      <c r="O14" s="1400">
        <v>156297.88</v>
      </c>
      <c r="P14" s="1400">
        <v>1823463.98</v>
      </c>
    </row>
    <row r="15" spans="1:16" ht="15" customHeight="1">
      <c r="A15" s="977" t="s">
        <v>1403</v>
      </c>
      <c r="B15" s="1394" t="s">
        <v>1395</v>
      </c>
      <c r="C15" s="1395" t="s">
        <v>1394</v>
      </c>
      <c r="D15" s="1401">
        <v>-5951.75</v>
      </c>
      <c r="E15" s="1401">
        <v>0</v>
      </c>
      <c r="F15" s="1401">
        <v>-15488.34</v>
      </c>
      <c r="G15" s="1401">
        <v>0</v>
      </c>
      <c r="H15" s="1401">
        <v>0</v>
      </c>
      <c r="I15" s="1401">
        <v>0</v>
      </c>
      <c r="J15" s="1401">
        <v>0</v>
      </c>
      <c r="K15" s="1401">
        <v>-11247.18</v>
      </c>
      <c r="L15" s="1401">
        <v>0</v>
      </c>
      <c r="M15" s="1401">
        <v>0</v>
      </c>
      <c r="N15" s="1401">
        <v>-33858.75</v>
      </c>
      <c r="O15" s="1401">
        <v>0</v>
      </c>
      <c r="P15" s="1401">
        <v>-66546.02</v>
      </c>
    </row>
    <row r="16" spans="1:16" ht="15" customHeight="1">
      <c r="B16" s="1394" t="s">
        <v>953</v>
      </c>
      <c r="C16" s="1395" t="s">
        <v>952</v>
      </c>
      <c r="D16" s="1402">
        <v>147221</v>
      </c>
      <c r="E16" s="1402">
        <v>153535.96</v>
      </c>
      <c r="F16" s="1402">
        <v>138498.73000000001</v>
      </c>
      <c r="G16" s="1402">
        <v>153987.07</v>
      </c>
      <c r="H16" s="1402">
        <v>159507.56</v>
      </c>
      <c r="I16" s="1402">
        <v>146712.82999999999</v>
      </c>
      <c r="J16" s="1402">
        <v>146712.82999999999</v>
      </c>
      <c r="K16" s="1402">
        <v>136478.74</v>
      </c>
      <c r="L16" s="1402">
        <v>147915.35999999999</v>
      </c>
      <c r="M16" s="1402">
        <v>148234.85</v>
      </c>
      <c r="N16" s="1402">
        <v>121815.15</v>
      </c>
      <c r="O16" s="1402">
        <v>156297.88</v>
      </c>
      <c r="P16" s="1402">
        <v>1756917.96</v>
      </c>
    </row>
    <row r="17" spans="1:16" ht="15" customHeight="1">
      <c r="B17" s="1394" t="s">
        <v>2222</v>
      </c>
      <c r="C17" s="1395" t="s">
        <v>2223</v>
      </c>
      <c r="D17" s="1399"/>
      <c r="E17" s="1399"/>
      <c r="F17" s="1399"/>
      <c r="G17" s="1399"/>
      <c r="H17" s="1399"/>
      <c r="I17" s="1399"/>
      <c r="J17" s="1399"/>
      <c r="K17" s="1399"/>
      <c r="L17" s="1399"/>
      <c r="M17" s="1399"/>
      <c r="N17" s="1399"/>
      <c r="O17" s="1399"/>
      <c r="P17" s="1399"/>
    </row>
    <row r="18" spans="1:16" ht="15" customHeight="1">
      <c r="B18" s="1394" t="s">
        <v>2224</v>
      </c>
      <c r="C18" s="1395" t="s">
        <v>2225</v>
      </c>
      <c r="D18" s="1399"/>
      <c r="E18" s="1399"/>
      <c r="F18" s="1399"/>
      <c r="G18" s="1399"/>
      <c r="H18" s="1399"/>
      <c r="I18" s="1399"/>
      <c r="J18" s="1399"/>
      <c r="K18" s="1399"/>
      <c r="L18" s="1399"/>
      <c r="M18" s="1399"/>
      <c r="N18" s="1399"/>
      <c r="O18" s="1399"/>
      <c r="P18" s="1399"/>
    </row>
    <row r="19" spans="1:16" ht="15" customHeight="1">
      <c r="B19" s="1394" t="s">
        <v>2226</v>
      </c>
      <c r="C19" s="1395" t="s">
        <v>2227</v>
      </c>
      <c r="D19" s="1401">
        <v>22190.32</v>
      </c>
      <c r="E19" s="1401">
        <v>-22190.32</v>
      </c>
      <c r="F19" s="1401">
        <v>0</v>
      </c>
      <c r="G19" s="1401">
        <v>0</v>
      </c>
      <c r="H19" s="1401">
        <v>0</v>
      </c>
      <c r="I19" s="1401">
        <v>0</v>
      </c>
      <c r="J19" s="1401">
        <v>0</v>
      </c>
      <c r="K19" s="1401">
        <v>0</v>
      </c>
      <c r="L19" s="1401">
        <v>0</v>
      </c>
      <c r="M19" s="1401">
        <v>0</v>
      </c>
      <c r="N19" s="1401">
        <v>0</v>
      </c>
      <c r="O19" s="1401">
        <v>0</v>
      </c>
      <c r="P19" s="1401">
        <v>0</v>
      </c>
    </row>
    <row r="20" spans="1:16" ht="15" customHeight="1">
      <c r="B20" s="1394" t="s">
        <v>2228</v>
      </c>
      <c r="C20" s="1395" t="s">
        <v>2229</v>
      </c>
      <c r="D20" s="1403">
        <v>22190.32</v>
      </c>
      <c r="E20" s="1403">
        <v>-22190.32</v>
      </c>
      <c r="F20" s="1403">
        <v>0</v>
      </c>
      <c r="G20" s="1403">
        <v>0</v>
      </c>
      <c r="H20" s="1403">
        <v>0</v>
      </c>
      <c r="I20" s="1403">
        <v>0</v>
      </c>
      <c r="J20" s="1403">
        <v>0</v>
      </c>
      <c r="K20" s="1403">
        <v>0</v>
      </c>
      <c r="L20" s="1403">
        <v>0</v>
      </c>
      <c r="M20" s="1403">
        <v>0</v>
      </c>
      <c r="N20" s="1403">
        <v>0</v>
      </c>
      <c r="O20" s="1403">
        <v>0</v>
      </c>
      <c r="P20" s="1403">
        <v>0</v>
      </c>
    </row>
    <row r="21" spans="1:16" ht="15" customHeight="1">
      <c r="A21" s="977" t="s">
        <v>1389</v>
      </c>
      <c r="B21" s="1394" t="s">
        <v>2230</v>
      </c>
      <c r="C21" s="1395" t="s">
        <v>2231</v>
      </c>
      <c r="D21" s="1403">
        <v>22190.32</v>
      </c>
      <c r="E21" s="1403">
        <v>-22190.32</v>
      </c>
      <c r="F21" s="1403">
        <v>0</v>
      </c>
      <c r="G21" s="1403">
        <v>0</v>
      </c>
      <c r="H21" s="1403">
        <v>0</v>
      </c>
      <c r="I21" s="1403">
        <v>0</v>
      </c>
      <c r="J21" s="1403">
        <v>0</v>
      </c>
      <c r="K21" s="1403">
        <v>0</v>
      </c>
      <c r="L21" s="1403">
        <v>0</v>
      </c>
      <c r="M21" s="1403">
        <v>0</v>
      </c>
      <c r="N21" s="1403">
        <v>0</v>
      </c>
      <c r="O21" s="1403">
        <v>0</v>
      </c>
      <c r="P21" s="1403">
        <v>0</v>
      </c>
    </row>
    <row r="22" spans="1:16" ht="15" customHeight="1">
      <c r="B22" s="1394" t="s">
        <v>951</v>
      </c>
      <c r="C22" s="1395" t="s">
        <v>950</v>
      </c>
      <c r="D22" s="1402">
        <v>169411.32</v>
      </c>
      <c r="E22" s="1402">
        <v>131345.64000000001</v>
      </c>
      <c r="F22" s="1402">
        <v>138498.73000000001</v>
      </c>
      <c r="G22" s="1402">
        <v>153987.07</v>
      </c>
      <c r="H22" s="1402">
        <v>159507.56</v>
      </c>
      <c r="I22" s="1402">
        <v>146712.82999999999</v>
      </c>
      <c r="J22" s="1402">
        <v>146712.82999999999</v>
      </c>
      <c r="K22" s="1402">
        <v>136478.74</v>
      </c>
      <c r="L22" s="1402">
        <v>147915.35999999999</v>
      </c>
      <c r="M22" s="1402">
        <v>148234.85</v>
      </c>
      <c r="N22" s="1402">
        <v>121815.15</v>
      </c>
      <c r="O22" s="1402">
        <v>156297.88</v>
      </c>
      <c r="P22" s="1402">
        <v>1756917.96</v>
      </c>
    </row>
    <row r="23" spans="1:16" ht="15" customHeight="1">
      <c r="B23" s="1394" t="s">
        <v>949</v>
      </c>
      <c r="C23" s="1395" t="s">
        <v>948</v>
      </c>
      <c r="D23" s="1399"/>
      <c r="E23" s="1399"/>
      <c r="F23" s="1399"/>
      <c r="G23" s="1399"/>
      <c r="H23" s="1399"/>
      <c r="I23" s="1399"/>
      <c r="J23" s="1399"/>
      <c r="K23" s="1399"/>
      <c r="L23" s="1399"/>
      <c r="M23" s="1399"/>
      <c r="N23" s="1399"/>
      <c r="O23" s="1399"/>
      <c r="P23" s="1399"/>
    </row>
    <row r="24" spans="1:16" ht="15" customHeight="1">
      <c r="B24" s="1394" t="s">
        <v>947</v>
      </c>
      <c r="C24" s="1395" t="s">
        <v>946</v>
      </c>
      <c r="D24" s="1399"/>
      <c r="E24" s="1399"/>
      <c r="F24" s="1399"/>
      <c r="G24" s="1399"/>
      <c r="H24" s="1399"/>
      <c r="I24" s="1399"/>
      <c r="J24" s="1399"/>
      <c r="K24" s="1399"/>
      <c r="L24" s="1399"/>
      <c r="M24" s="1399"/>
      <c r="N24" s="1399"/>
      <c r="O24" s="1399"/>
      <c r="P24" s="1399"/>
    </row>
    <row r="25" spans="1:16" ht="15" customHeight="1">
      <c r="B25" s="1394" t="s">
        <v>945</v>
      </c>
      <c r="C25" s="1395" t="s">
        <v>944</v>
      </c>
      <c r="D25" s="1400">
        <v>101403</v>
      </c>
      <c r="E25" s="1400">
        <v>101403</v>
      </c>
      <c r="F25" s="1400">
        <v>101403</v>
      </c>
      <c r="G25" s="1400">
        <v>101403</v>
      </c>
      <c r="H25" s="1400">
        <v>110094</v>
      </c>
      <c r="I25" s="1400">
        <v>94673</v>
      </c>
      <c r="J25" s="1400">
        <v>94673</v>
      </c>
      <c r="K25" s="1400">
        <v>102586.31</v>
      </c>
      <c r="L25" s="1400">
        <v>77217.73</v>
      </c>
      <c r="M25" s="1400">
        <v>102586.31</v>
      </c>
      <c r="N25" s="1400">
        <v>94673</v>
      </c>
      <c r="O25" s="1400">
        <v>94673</v>
      </c>
      <c r="P25" s="1400">
        <v>1176788.3500000001</v>
      </c>
    </row>
    <row r="26" spans="1:16" ht="15" customHeight="1">
      <c r="B26" s="1394" t="s">
        <v>1388</v>
      </c>
      <c r="C26" s="1395" t="s">
        <v>1387</v>
      </c>
      <c r="D26" s="1400">
        <v>0</v>
      </c>
      <c r="E26" s="1400">
        <v>0</v>
      </c>
      <c r="F26" s="1400">
        <v>0</v>
      </c>
      <c r="G26" s="1400">
        <v>0</v>
      </c>
      <c r="H26" s="1400">
        <v>0</v>
      </c>
      <c r="I26" s="1400">
        <v>0</v>
      </c>
      <c r="J26" s="1400">
        <v>0</v>
      </c>
      <c r="K26" s="1400">
        <v>0</v>
      </c>
      <c r="L26" s="1400">
        <v>17455.27</v>
      </c>
      <c r="M26" s="1400">
        <v>-7913.31</v>
      </c>
      <c r="N26" s="1400">
        <v>0</v>
      </c>
      <c r="O26" s="1400">
        <v>0</v>
      </c>
      <c r="P26" s="1400">
        <v>9541.9599999999991</v>
      </c>
    </row>
    <row r="27" spans="1:16" ht="15" customHeight="1">
      <c r="B27" s="1394" t="s">
        <v>1386</v>
      </c>
      <c r="C27" s="1395" t="s">
        <v>1385</v>
      </c>
      <c r="D27" s="1401">
        <v>-3672</v>
      </c>
      <c r="E27" s="1401">
        <v>0</v>
      </c>
      <c r="F27" s="1401">
        <v>-8827</v>
      </c>
      <c r="G27" s="1401">
        <v>-12443.25</v>
      </c>
      <c r="H27" s="1401">
        <v>0</v>
      </c>
      <c r="I27" s="1401">
        <v>0</v>
      </c>
      <c r="J27" s="1401">
        <v>0</v>
      </c>
      <c r="K27" s="1401">
        <v>0</v>
      </c>
      <c r="L27" s="1401">
        <v>0</v>
      </c>
      <c r="M27" s="1401">
        <v>0</v>
      </c>
      <c r="N27" s="1401">
        <v>0</v>
      </c>
      <c r="O27" s="1401">
        <v>0</v>
      </c>
      <c r="P27" s="1401">
        <v>-24942.25</v>
      </c>
    </row>
    <row r="28" spans="1:16" ht="15" customHeight="1">
      <c r="B28" s="1394" t="s">
        <v>943</v>
      </c>
      <c r="C28" s="1395" t="s">
        <v>942</v>
      </c>
      <c r="D28" s="1402">
        <v>97731</v>
      </c>
      <c r="E28" s="1402">
        <v>101403</v>
      </c>
      <c r="F28" s="1402">
        <v>92576</v>
      </c>
      <c r="G28" s="1402">
        <v>88959.75</v>
      </c>
      <c r="H28" s="1402">
        <v>110094</v>
      </c>
      <c r="I28" s="1402">
        <v>94673</v>
      </c>
      <c r="J28" s="1402">
        <v>94673</v>
      </c>
      <c r="K28" s="1402">
        <v>102586.31</v>
      </c>
      <c r="L28" s="1402">
        <v>94673</v>
      </c>
      <c r="M28" s="1402">
        <v>94673</v>
      </c>
      <c r="N28" s="1402">
        <v>94673</v>
      </c>
      <c r="O28" s="1402">
        <v>94673</v>
      </c>
      <c r="P28" s="1402">
        <v>1161388.06</v>
      </c>
    </row>
    <row r="29" spans="1:16" ht="15" customHeight="1">
      <c r="B29" s="1394" t="s">
        <v>1384</v>
      </c>
      <c r="C29" s="1395" t="s">
        <v>1383</v>
      </c>
      <c r="D29" s="1399"/>
      <c r="E29" s="1399"/>
      <c r="F29" s="1399"/>
      <c r="G29" s="1399"/>
      <c r="H29" s="1399"/>
      <c r="I29" s="1399"/>
      <c r="J29" s="1399"/>
      <c r="K29" s="1399"/>
      <c r="L29" s="1399"/>
      <c r="M29" s="1399"/>
      <c r="N29" s="1399"/>
      <c r="O29" s="1399"/>
      <c r="P29" s="1399"/>
    </row>
    <row r="30" spans="1:16" ht="15" customHeight="1">
      <c r="B30" s="1394" t="s">
        <v>1382</v>
      </c>
      <c r="C30" s="1395" t="s">
        <v>1381</v>
      </c>
      <c r="D30" s="1399"/>
      <c r="E30" s="1399"/>
      <c r="F30" s="1399"/>
      <c r="G30" s="1399"/>
      <c r="H30" s="1399"/>
      <c r="I30" s="1399"/>
      <c r="J30" s="1399"/>
      <c r="K30" s="1399"/>
      <c r="L30" s="1399"/>
      <c r="M30" s="1399"/>
      <c r="N30" s="1399"/>
      <c r="O30" s="1399"/>
      <c r="P30" s="1399"/>
    </row>
    <row r="31" spans="1:16" ht="15" customHeight="1">
      <c r="B31" s="1394" t="s">
        <v>2232</v>
      </c>
      <c r="C31" s="1395" t="s">
        <v>2233</v>
      </c>
      <c r="D31" s="1401">
        <v>0</v>
      </c>
      <c r="E31" s="1401">
        <v>0</v>
      </c>
      <c r="F31" s="1401">
        <v>0</v>
      </c>
      <c r="G31" s="1401">
        <v>0</v>
      </c>
      <c r="H31" s="1401">
        <v>0</v>
      </c>
      <c r="I31" s="1401">
        <v>0</v>
      </c>
      <c r="J31" s="1401">
        <v>0</v>
      </c>
      <c r="K31" s="1401">
        <v>0</v>
      </c>
      <c r="L31" s="1401">
        <v>0</v>
      </c>
      <c r="M31" s="1401">
        <v>0</v>
      </c>
      <c r="N31" s="1401">
        <v>0</v>
      </c>
      <c r="O31" s="1401">
        <v>340</v>
      </c>
      <c r="P31" s="1401">
        <v>340</v>
      </c>
    </row>
    <row r="32" spans="1:16" ht="15" customHeight="1">
      <c r="B32" s="1394" t="s">
        <v>1372</v>
      </c>
      <c r="C32" s="1395" t="s">
        <v>1371</v>
      </c>
      <c r="D32" s="1403">
        <v>0</v>
      </c>
      <c r="E32" s="1403">
        <v>0</v>
      </c>
      <c r="F32" s="1403">
        <v>0</v>
      </c>
      <c r="G32" s="1403">
        <v>0</v>
      </c>
      <c r="H32" s="1403">
        <v>0</v>
      </c>
      <c r="I32" s="1403">
        <v>0</v>
      </c>
      <c r="J32" s="1403">
        <v>0</v>
      </c>
      <c r="K32" s="1403">
        <v>0</v>
      </c>
      <c r="L32" s="1403">
        <v>0</v>
      </c>
      <c r="M32" s="1403">
        <v>0</v>
      </c>
      <c r="N32" s="1403">
        <v>0</v>
      </c>
      <c r="O32" s="1403">
        <v>340</v>
      </c>
      <c r="P32" s="1403">
        <v>340</v>
      </c>
    </row>
    <row r="33" spans="1:16" ht="15" customHeight="1">
      <c r="B33" s="1394" t="s">
        <v>1362</v>
      </c>
      <c r="C33" s="1395" t="s">
        <v>1361</v>
      </c>
      <c r="D33" s="1403">
        <v>0</v>
      </c>
      <c r="E33" s="1403">
        <v>0</v>
      </c>
      <c r="F33" s="1403">
        <v>0</v>
      </c>
      <c r="G33" s="1403">
        <v>0</v>
      </c>
      <c r="H33" s="1403">
        <v>0</v>
      </c>
      <c r="I33" s="1403">
        <v>0</v>
      </c>
      <c r="J33" s="1403">
        <v>0</v>
      </c>
      <c r="K33" s="1403">
        <v>0</v>
      </c>
      <c r="L33" s="1403">
        <v>0</v>
      </c>
      <c r="M33" s="1403">
        <v>0</v>
      </c>
      <c r="N33" s="1403">
        <v>0</v>
      </c>
      <c r="O33" s="1403">
        <v>340</v>
      </c>
      <c r="P33" s="1403">
        <v>340</v>
      </c>
    </row>
    <row r="34" spans="1:16" ht="15" customHeight="1">
      <c r="A34" s="977" t="s">
        <v>1360</v>
      </c>
      <c r="B34" s="1394" t="s">
        <v>941</v>
      </c>
      <c r="C34" s="1395" t="s">
        <v>940</v>
      </c>
      <c r="D34" s="1402">
        <v>97731</v>
      </c>
      <c r="E34" s="1402">
        <v>101403</v>
      </c>
      <c r="F34" s="1402">
        <v>92576</v>
      </c>
      <c r="G34" s="1402">
        <v>88959.75</v>
      </c>
      <c r="H34" s="1402">
        <v>110094</v>
      </c>
      <c r="I34" s="1402">
        <v>94673</v>
      </c>
      <c r="J34" s="1402">
        <v>94673</v>
      </c>
      <c r="K34" s="1402">
        <v>102586.31</v>
      </c>
      <c r="L34" s="1402">
        <v>94673</v>
      </c>
      <c r="M34" s="1402">
        <v>94673</v>
      </c>
      <c r="N34" s="1402">
        <v>94673</v>
      </c>
      <c r="O34" s="1402">
        <v>95013</v>
      </c>
      <c r="P34" s="1402">
        <v>1161728.06</v>
      </c>
    </row>
    <row r="35" spans="1:16" ht="15" customHeight="1">
      <c r="B35" s="1394" t="s">
        <v>1359</v>
      </c>
      <c r="C35" s="1395" t="s">
        <v>1358</v>
      </c>
      <c r="D35" s="1399"/>
      <c r="E35" s="1399"/>
      <c r="F35" s="1399"/>
      <c r="G35" s="1399"/>
      <c r="H35" s="1399"/>
      <c r="I35" s="1399"/>
      <c r="J35" s="1399"/>
      <c r="K35" s="1399"/>
      <c r="L35" s="1399"/>
      <c r="M35" s="1399"/>
      <c r="N35" s="1399"/>
      <c r="O35" s="1399"/>
      <c r="P35" s="1399"/>
    </row>
    <row r="36" spans="1:16" ht="15" customHeight="1">
      <c r="B36" s="1394" t="s">
        <v>1357</v>
      </c>
      <c r="C36" s="1395" t="s">
        <v>1356</v>
      </c>
      <c r="D36" s="1399"/>
      <c r="E36" s="1399"/>
      <c r="F36" s="1399"/>
      <c r="G36" s="1399"/>
      <c r="H36" s="1399"/>
      <c r="I36" s="1399"/>
      <c r="J36" s="1399"/>
      <c r="K36" s="1399"/>
      <c r="L36" s="1399"/>
      <c r="M36" s="1399"/>
      <c r="N36" s="1399"/>
      <c r="O36" s="1399"/>
      <c r="P36" s="1399"/>
    </row>
    <row r="37" spans="1:16" ht="15" customHeight="1">
      <c r="A37" s="977" t="s">
        <v>1355</v>
      </c>
      <c r="B37" s="1394" t="s">
        <v>1354</v>
      </c>
      <c r="C37" s="1395" t="s">
        <v>1353</v>
      </c>
      <c r="D37" s="1400">
        <v>13000</v>
      </c>
      <c r="E37" s="1400">
        <v>4464.8</v>
      </c>
      <c r="F37" s="1400">
        <v>2232.4</v>
      </c>
      <c r="G37" s="1400">
        <v>2232.4</v>
      </c>
      <c r="H37" s="1400">
        <v>-2232.4</v>
      </c>
      <c r="I37" s="1400">
        <v>0</v>
      </c>
      <c r="J37" s="1400">
        <v>0</v>
      </c>
      <c r="K37" s="1400">
        <v>14624.52</v>
      </c>
      <c r="L37" s="1400">
        <v>18473.580000000002</v>
      </c>
      <c r="M37" s="1400">
        <v>12212.16</v>
      </c>
      <c r="N37" s="1400">
        <v>206.46</v>
      </c>
      <c r="O37" s="1400">
        <v>8222.41</v>
      </c>
      <c r="P37" s="1400">
        <v>73436.33</v>
      </c>
    </row>
    <row r="38" spans="1:16" ht="15" customHeight="1">
      <c r="A38" s="977" t="s">
        <v>1342</v>
      </c>
      <c r="B38" s="1394" t="s">
        <v>1344</v>
      </c>
      <c r="C38" s="1395" t="s">
        <v>1343</v>
      </c>
      <c r="D38" s="1401">
        <v>69</v>
      </c>
      <c r="E38" s="1401">
        <v>69</v>
      </c>
      <c r="F38" s="1401">
        <v>69</v>
      </c>
      <c r="G38" s="1401">
        <v>69</v>
      </c>
      <c r="H38" s="1401">
        <v>69</v>
      </c>
      <c r="I38" s="1401">
        <v>69</v>
      </c>
      <c r="J38" s="1401">
        <v>69</v>
      </c>
      <c r="K38" s="1401">
        <v>69</v>
      </c>
      <c r="L38" s="1401">
        <v>69</v>
      </c>
      <c r="M38" s="1401">
        <v>69</v>
      </c>
      <c r="N38" s="1401">
        <v>69</v>
      </c>
      <c r="O38" s="1401">
        <v>69</v>
      </c>
      <c r="P38" s="1401">
        <v>828</v>
      </c>
    </row>
    <row r="39" spans="1:16" ht="15" customHeight="1">
      <c r="B39" s="1394" t="s">
        <v>1341</v>
      </c>
      <c r="C39" s="1395" t="s">
        <v>1340</v>
      </c>
      <c r="D39" s="1403">
        <v>13069</v>
      </c>
      <c r="E39" s="1403">
        <v>4533.8</v>
      </c>
      <c r="F39" s="1403">
        <v>2301.4</v>
      </c>
      <c r="G39" s="1403">
        <v>2301.4</v>
      </c>
      <c r="H39" s="1403">
        <v>-2163.4</v>
      </c>
      <c r="I39" s="1403">
        <v>69</v>
      </c>
      <c r="J39" s="1403">
        <v>69</v>
      </c>
      <c r="K39" s="1403">
        <v>14693.52</v>
      </c>
      <c r="L39" s="1403">
        <v>18542.580000000002</v>
      </c>
      <c r="M39" s="1403">
        <v>12281.16</v>
      </c>
      <c r="N39" s="1403">
        <v>275.45999999999998</v>
      </c>
      <c r="O39" s="1403">
        <v>8291.41</v>
      </c>
      <c r="P39" s="1403">
        <v>74264.33</v>
      </c>
    </row>
    <row r="40" spans="1:16" ht="15" customHeight="1">
      <c r="B40" s="1394" t="s">
        <v>1339</v>
      </c>
      <c r="C40" s="1395" t="s">
        <v>1338</v>
      </c>
      <c r="D40" s="1403">
        <v>13069</v>
      </c>
      <c r="E40" s="1403">
        <v>4533.8</v>
      </c>
      <c r="F40" s="1403">
        <v>2301.4</v>
      </c>
      <c r="G40" s="1403">
        <v>2301.4</v>
      </c>
      <c r="H40" s="1403">
        <v>-2163.4</v>
      </c>
      <c r="I40" s="1403">
        <v>69</v>
      </c>
      <c r="J40" s="1403">
        <v>69</v>
      </c>
      <c r="K40" s="1403">
        <v>14693.52</v>
      </c>
      <c r="L40" s="1403">
        <v>18542.580000000002</v>
      </c>
      <c r="M40" s="1403">
        <v>12281.16</v>
      </c>
      <c r="N40" s="1403">
        <v>275.45999999999998</v>
      </c>
      <c r="O40" s="1403">
        <v>8291.41</v>
      </c>
      <c r="P40" s="1403">
        <v>74264.33</v>
      </c>
    </row>
    <row r="41" spans="1:16" ht="15" customHeight="1">
      <c r="B41" s="1396" t="s">
        <v>939</v>
      </c>
      <c r="C41" s="1397" t="s">
        <v>938</v>
      </c>
      <c r="D41" s="1404">
        <v>280211.32</v>
      </c>
      <c r="E41" s="1404">
        <v>237282.44</v>
      </c>
      <c r="F41" s="1404">
        <v>233376.13</v>
      </c>
      <c r="G41" s="1404">
        <v>245248.22</v>
      </c>
      <c r="H41" s="1404">
        <v>267438.15999999997</v>
      </c>
      <c r="I41" s="1404">
        <v>241454.83</v>
      </c>
      <c r="J41" s="1404">
        <v>241454.83</v>
      </c>
      <c r="K41" s="1404">
        <v>253758.57</v>
      </c>
      <c r="L41" s="1404">
        <v>261130.94</v>
      </c>
      <c r="M41" s="1404">
        <v>255189.01</v>
      </c>
      <c r="N41" s="1404">
        <v>216763.61</v>
      </c>
      <c r="O41" s="1404">
        <v>259602.29</v>
      </c>
      <c r="P41" s="1404">
        <v>2992910.35</v>
      </c>
    </row>
    <row r="42" spans="1:16" ht="15" customHeight="1">
      <c r="B42" s="1394"/>
      <c r="C42" s="1395"/>
      <c r="D42" s="1394"/>
      <c r="E42" s="1394"/>
      <c r="F42" s="1394"/>
      <c r="G42" s="1394"/>
      <c r="H42" s="1394"/>
      <c r="I42" s="1394"/>
      <c r="J42" s="1394"/>
      <c r="K42" s="1394"/>
      <c r="L42" s="1394"/>
      <c r="M42" s="1394"/>
      <c r="N42" s="1394"/>
      <c r="O42" s="1394"/>
      <c r="P42" s="1394"/>
    </row>
    <row r="43" spans="1:16" ht="15" customHeight="1">
      <c r="B43" s="1396" t="s">
        <v>937</v>
      </c>
      <c r="C43" s="1397" t="s">
        <v>936</v>
      </c>
      <c r="D43" s="1398"/>
      <c r="E43" s="1398"/>
      <c r="F43" s="1398"/>
      <c r="G43" s="1398"/>
      <c r="H43" s="1398"/>
      <c r="I43" s="1398"/>
      <c r="J43" s="1398"/>
      <c r="K43" s="1398"/>
      <c r="L43" s="1398"/>
      <c r="M43" s="1398"/>
      <c r="N43" s="1398"/>
      <c r="O43" s="1398"/>
      <c r="P43" s="1398"/>
    </row>
    <row r="44" spans="1:16" ht="15" customHeight="1">
      <c r="B44" s="1394" t="s">
        <v>935</v>
      </c>
      <c r="C44" s="1395" t="s">
        <v>934</v>
      </c>
      <c r="D44" s="1399"/>
      <c r="E44" s="1399"/>
      <c r="F44" s="1399"/>
      <c r="G44" s="1399"/>
      <c r="H44" s="1399"/>
      <c r="I44" s="1399"/>
      <c r="J44" s="1399"/>
      <c r="K44" s="1399"/>
      <c r="L44" s="1399"/>
      <c r="M44" s="1399"/>
      <c r="N44" s="1399"/>
      <c r="O44" s="1399"/>
      <c r="P44" s="1399"/>
    </row>
    <row r="45" spans="1:16" ht="15" customHeight="1">
      <c r="B45" s="1394" t="s">
        <v>933</v>
      </c>
      <c r="C45" s="1395" t="s">
        <v>932</v>
      </c>
      <c r="D45" s="1399"/>
      <c r="E45" s="1399"/>
      <c r="F45" s="1399"/>
      <c r="G45" s="1399"/>
      <c r="H45" s="1399"/>
      <c r="I45" s="1399"/>
      <c r="J45" s="1399"/>
      <c r="K45" s="1399"/>
      <c r="L45" s="1399"/>
      <c r="M45" s="1399"/>
      <c r="N45" s="1399"/>
      <c r="O45" s="1399"/>
      <c r="P45" s="1399"/>
    </row>
    <row r="46" spans="1:16" ht="15" customHeight="1">
      <c r="B46" s="1394" t="s">
        <v>931</v>
      </c>
      <c r="C46" s="1395" t="s">
        <v>930</v>
      </c>
      <c r="D46" s="1399"/>
      <c r="E46" s="1399"/>
      <c r="F46" s="1399"/>
      <c r="G46" s="1399"/>
      <c r="H46" s="1399"/>
      <c r="I46" s="1399"/>
      <c r="J46" s="1399"/>
      <c r="K46" s="1399"/>
      <c r="L46" s="1399"/>
      <c r="M46" s="1399"/>
      <c r="N46" s="1399"/>
      <c r="O46" s="1399"/>
      <c r="P46" s="1399"/>
    </row>
    <row r="47" spans="1:16" ht="15" customHeight="1">
      <c r="B47" s="1394" t="s">
        <v>968</v>
      </c>
      <c r="C47" s="1395" t="s">
        <v>969</v>
      </c>
      <c r="D47" s="1400">
        <v>0</v>
      </c>
      <c r="E47" s="1400">
        <v>0</v>
      </c>
      <c r="F47" s="1400">
        <v>0</v>
      </c>
      <c r="G47" s="1400">
        <v>0</v>
      </c>
      <c r="H47" s="1400">
        <v>0</v>
      </c>
      <c r="I47" s="1400">
        <v>0</v>
      </c>
      <c r="J47" s="1400">
        <v>11410</v>
      </c>
      <c r="K47" s="1400">
        <v>0</v>
      </c>
      <c r="L47" s="1400">
        <v>0</v>
      </c>
      <c r="M47" s="1400">
        <v>0</v>
      </c>
      <c r="N47" s="1400">
        <v>0</v>
      </c>
      <c r="O47" s="1400">
        <v>0</v>
      </c>
      <c r="P47" s="1400">
        <v>11410</v>
      </c>
    </row>
    <row r="48" spans="1:16" ht="15" customHeight="1">
      <c r="B48" s="1394" t="s">
        <v>970</v>
      </c>
      <c r="C48" s="1395" t="s">
        <v>971</v>
      </c>
      <c r="D48" s="1400">
        <v>1692</v>
      </c>
      <c r="E48" s="1400">
        <v>0</v>
      </c>
      <c r="F48" s="1400">
        <v>0</v>
      </c>
      <c r="G48" s="1400">
        <v>0</v>
      </c>
      <c r="H48" s="1400">
        <v>0</v>
      </c>
      <c r="I48" s="1400">
        <v>0</v>
      </c>
      <c r="J48" s="1400">
        <v>0</v>
      </c>
      <c r="K48" s="1400">
        <v>0</v>
      </c>
      <c r="L48" s="1400">
        <v>0</v>
      </c>
      <c r="M48" s="1400">
        <v>0</v>
      </c>
      <c r="N48" s="1400">
        <v>0</v>
      </c>
      <c r="O48" s="1400">
        <v>0</v>
      </c>
      <c r="P48" s="1400">
        <v>1692</v>
      </c>
    </row>
    <row r="49" spans="2:16" ht="15" customHeight="1">
      <c r="B49" s="1394" t="s">
        <v>972</v>
      </c>
      <c r="C49" s="1395" t="s">
        <v>973</v>
      </c>
      <c r="D49" s="1400">
        <v>0</v>
      </c>
      <c r="E49" s="1400">
        <v>0</v>
      </c>
      <c r="F49" s="1400">
        <v>1500</v>
      </c>
      <c r="G49" s="1400">
        <v>0</v>
      </c>
      <c r="H49" s="1400">
        <v>0</v>
      </c>
      <c r="I49" s="1400">
        <v>0</v>
      </c>
      <c r="J49" s="1400">
        <v>0</v>
      </c>
      <c r="K49" s="1400">
        <v>0</v>
      </c>
      <c r="L49" s="1400">
        <v>0</v>
      </c>
      <c r="M49" s="1400">
        <v>0</v>
      </c>
      <c r="N49" s="1400">
        <v>0</v>
      </c>
      <c r="O49" s="1400">
        <v>0</v>
      </c>
      <c r="P49" s="1400">
        <v>1500</v>
      </c>
    </row>
    <row r="50" spans="2:16" ht="15" customHeight="1">
      <c r="B50" s="1394" t="s">
        <v>929</v>
      </c>
      <c r="C50" s="1395" t="s">
        <v>928</v>
      </c>
      <c r="D50" s="1400">
        <v>0</v>
      </c>
      <c r="E50" s="1400">
        <v>0</v>
      </c>
      <c r="F50" s="1400">
        <v>645</v>
      </c>
      <c r="G50" s="1400">
        <v>825</v>
      </c>
      <c r="H50" s="1400">
        <v>0</v>
      </c>
      <c r="I50" s="1400">
        <v>0</v>
      </c>
      <c r="J50" s="1400">
        <v>0</v>
      </c>
      <c r="K50" s="1400">
        <v>0</v>
      </c>
      <c r="L50" s="1400">
        <v>0</v>
      </c>
      <c r="M50" s="1400">
        <v>0</v>
      </c>
      <c r="N50" s="1400">
        <v>0</v>
      </c>
      <c r="O50" s="1400">
        <v>0</v>
      </c>
      <c r="P50" s="1400">
        <v>1470</v>
      </c>
    </row>
    <row r="51" spans="2:16" ht="15" customHeight="1">
      <c r="B51" s="1394" t="s">
        <v>1331</v>
      </c>
      <c r="C51" s="1395" t="s">
        <v>1330</v>
      </c>
      <c r="D51" s="1400">
        <v>1000</v>
      </c>
      <c r="E51" s="1400">
        <v>0</v>
      </c>
      <c r="F51" s="1400">
        <v>0</v>
      </c>
      <c r="G51" s="1400">
        <v>0</v>
      </c>
      <c r="H51" s="1400">
        <v>0</v>
      </c>
      <c r="I51" s="1400">
        <v>0</v>
      </c>
      <c r="J51" s="1400">
        <v>0</v>
      </c>
      <c r="K51" s="1400">
        <v>0</v>
      </c>
      <c r="L51" s="1400">
        <v>0</v>
      </c>
      <c r="M51" s="1400">
        <v>0</v>
      </c>
      <c r="N51" s="1400">
        <v>0</v>
      </c>
      <c r="O51" s="1400">
        <v>0</v>
      </c>
      <c r="P51" s="1400">
        <v>1000</v>
      </c>
    </row>
    <row r="52" spans="2:16" ht="15" customHeight="1">
      <c r="B52" s="1394" t="s">
        <v>927</v>
      </c>
      <c r="C52" s="1395" t="s">
        <v>926</v>
      </c>
      <c r="D52" s="1400">
        <v>4955</v>
      </c>
      <c r="E52" s="1400">
        <v>0</v>
      </c>
      <c r="F52" s="1400">
        <v>0</v>
      </c>
      <c r="G52" s="1400">
        <v>1445</v>
      </c>
      <c r="H52" s="1400">
        <v>0</v>
      </c>
      <c r="I52" s="1400">
        <v>0</v>
      </c>
      <c r="J52" s="1400">
        <v>0</v>
      </c>
      <c r="K52" s="1400">
        <v>0</v>
      </c>
      <c r="L52" s="1400">
        <v>0</v>
      </c>
      <c r="M52" s="1400">
        <v>0</v>
      </c>
      <c r="N52" s="1400">
        <v>0</v>
      </c>
      <c r="O52" s="1400">
        <v>0</v>
      </c>
      <c r="P52" s="1400">
        <v>6400</v>
      </c>
    </row>
    <row r="53" spans="2:16" ht="15" customHeight="1">
      <c r="B53" s="1394" t="s">
        <v>1329</v>
      </c>
      <c r="C53" s="1395" t="s">
        <v>1328</v>
      </c>
      <c r="D53" s="1400">
        <v>0</v>
      </c>
      <c r="E53" s="1400">
        <v>0</v>
      </c>
      <c r="F53" s="1400">
        <v>0</v>
      </c>
      <c r="G53" s="1400">
        <v>0</v>
      </c>
      <c r="H53" s="1400">
        <v>0</v>
      </c>
      <c r="I53" s="1400">
        <v>0</v>
      </c>
      <c r="J53" s="1400">
        <v>0</v>
      </c>
      <c r="K53" s="1400">
        <v>0</v>
      </c>
      <c r="L53" s="1400">
        <v>213.82</v>
      </c>
      <c r="M53" s="1400">
        <v>0</v>
      </c>
      <c r="N53" s="1400">
        <v>0</v>
      </c>
      <c r="O53" s="1400">
        <v>0</v>
      </c>
      <c r="P53" s="1400">
        <v>213.82</v>
      </c>
    </row>
    <row r="54" spans="2:16" ht="15" customHeight="1">
      <c r="B54" s="1394" t="s">
        <v>974</v>
      </c>
      <c r="C54" s="1395" t="s">
        <v>975</v>
      </c>
      <c r="D54" s="1400">
        <v>1887.65</v>
      </c>
      <c r="E54" s="1400">
        <v>0</v>
      </c>
      <c r="F54" s="1400">
        <v>78</v>
      </c>
      <c r="G54" s="1400">
        <v>109.34</v>
      </c>
      <c r="H54" s="1400">
        <v>39</v>
      </c>
      <c r="I54" s="1400">
        <v>39</v>
      </c>
      <c r="J54" s="1400">
        <v>315.58</v>
      </c>
      <c r="K54" s="1400">
        <v>78</v>
      </c>
      <c r="L54" s="1400">
        <v>0</v>
      </c>
      <c r="M54" s="1400">
        <v>0</v>
      </c>
      <c r="N54" s="1400">
        <v>0</v>
      </c>
      <c r="O54" s="1400">
        <v>184.5</v>
      </c>
      <c r="P54" s="1400">
        <v>2731.07</v>
      </c>
    </row>
    <row r="55" spans="2:16" ht="15" customHeight="1">
      <c r="B55" s="1394" t="s">
        <v>1327</v>
      </c>
      <c r="C55" s="1395" t="s">
        <v>1326</v>
      </c>
      <c r="D55" s="1401">
        <v>0</v>
      </c>
      <c r="E55" s="1401">
        <v>0</v>
      </c>
      <c r="F55" s="1401">
        <v>0</v>
      </c>
      <c r="G55" s="1401">
        <v>0</v>
      </c>
      <c r="H55" s="1401">
        <v>0</v>
      </c>
      <c r="I55" s="1401">
        <v>200</v>
      </c>
      <c r="J55" s="1401">
        <v>0</v>
      </c>
      <c r="K55" s="1401">
        <v>0</v>
      </c>
      <c r="L55" s="1401">
        <v>0</v>
      </c>
      <c r="M55" s="1401">
        <v>0</v>
      </c>
      <c r="N55" s="1401">
        <v>0</v>
      </c>
      <c r="O55" s="1401">
        <v>0</v>
      </c>
      <c r="P55" s="1401">
        <v>200</v>
      </c>
    </row>
    <row r="56" spans="2:16" ht="15" customHeight="1">
      <c r="B56" s="1394" t="s">
        <v>925</v>
      </c>
      <c r="C56" s="1395" t="s">
        <v>924</v>
      </c>
      <c r="D56" s="1402">
        <v>9534.65</v>
      </c>
      <c r="E56" s="1402">
        <v>0</v>
      </c>
      <c r="F56" s="1402">
        <v>2223</v>
      </c>
      <c r="G56" s="1402">
        <v>2379.34</v>
      </c>
      <c r="H56" s="1402">
        <v>39</v>
      </c>
      <c r="I56" s="1402">
        <v>239</v>
      </c>
      <c r="J56" s="1402">
        <v>11725.58</v>
      </c>
      <c r="K56" s="1402">
        <v>78</v>
      </c>
      <c r="L56" s="1402">
        <v>213.82</v>
      </c>
      <c r="M56" s="1402">
        <v>0</v>
      </c>
      <c r="N56" s="1402">
        <v>0</v>
      </c>
      <c r="O56" s="1402">
        <v>184.5</v>
      </c>
      <c r="P56" s="1402">
        <v>26616.89</v>
      </c>
    </row>
    <row r="57" spans="2:16" ht="15" customHeight="1">
      <c r="B57" s="1394" t="s">
        <v>923</v>
      </c>
      <c r="C57" s="1395" t="s">
        <v>922</v>
      </c>
      <c r="D57" s="1399"/>
      <c r="E57" s="1399"/>
      <c r="F57" s="1399"/>
      <c r="G57" s="1399"/>
      <c r="H57" s="1399"/>
      <c r="I57" s="1399"/>
      <c r="J57" s="1399"/>
      <c r="K57" s="1399"/>
      <c r="L57" s="1399"/>
      <c r="M57" s="1399"/>
      <c r="N57" s="1399"/>
      <c r="O57" s="1399"/>
      <c r="P57" s="1399"/>
    </row>
    <row r="58" spans="2:16" ht="15" customHeight="1">
      <c r="B58" s="1394" t="s">
        <v>921</v>
      </c>
      <c r="C58" s="1395" t="s">
        <v>920</v>
      </c>
      <c r="D58" s="1400">
        <v>260.02999999999997</v>
      </c>
      <c r="E58" s="1400">
        <v>0</v>
      </c>
      <c r="F58" s="1400">
        <v>0</v>
      </c>
      <c r="G58" s="1400">
        <v>181.5</v>
      </c>
      <c r="H58" s="1400">
        <v>67.95</v>
      </c>
      <c r="I58" s="1400">
        <v>0</v>
      </c>
      <c r="J58" s="1400">
        <v>181.5</v>
      </c>
      <c r="K58" s="1400">
        <v>285.63</v>
      </c>
      <c r="L58" s="1400">
        <v>0</v>
      </c>
      <c r="M58" s="1400">
        <v>67.95</v>
      </c>
      <c r="N58" s="1400">
        <v>127.85</v>
      </c>
      <c r="O58" s="1400">
        <v>166.3</v>
      </c>
      <c r="P58" s="1400">
        <v>1338.71</v>
      </c>
    </row>
    <row r="59" spans="2:16" ht="15" customHeight="1">
      <c r="B59" s="1394" t="s">
        <v>919</v>
      </c>
      <c r="C59" s="1395" t="s">
        <v>918</v>
      </c>
      <c r="D59" s="1400">
        <v>3500</v>
      </c>
      <c r="E59" s="1400">
        <v>0</v>
      </c>
      <c r="F59" s="1400">
        <v>0</v>
      </c>
      <c r="G59" s="1400">
        <v>0</v>
      </c>
      <c r="H59" s="1400">
        <v>0</v>
      </c>
      <c r="I59" s="1400">
        <v>0</v>
      </c>
      <c r="J59" s="1400">
        <v>0</v>
      </c>
      <c r="K59" s="1400">
        <v>0</v>
      </c>
      <c r="L59" s="1400">
        <v>0</v>
      </c>
      <c r="M59" s="1400">
        <v>0</v>
      </c>
      <c r="N59" s="1400">
        <v>0</v>
      </c>
      <c r="O59" s="1400">
        <v>0</v>
      </c>
      <c r="P59" s="1400">
        <v>3500</v>
      </c>
    </row>
    <row r="60" spans="2:16" ht="15" customHeight="1">
      <c r="B60" s="1394" t="s">
        <v>917</v>
      </c>
      <c r="C60" s="1395" t="s">
        <v>916</v>
      </c>
      <c r="D60" s="1401">
        <v>16074.11</v>
      </c>
      <c r="E60" s="1401">
        <v>18177</v>
      </c>
      <c r="F60" s="1401">
        <v>19556.7</v>
      </c>
      <c r="G60" s="1401">
        <v>18571.21</v>
      </c>
      <c r="H60" s="1401">
        <v>18401.48</v>
      </c>
      <c r="I60" s="1401">
        <v>3942</v>
      </c>
      <c r="J60" s="1401">
        <v>0</v>
      </c>
      <c r="K60" s="1401">
        <v>43202.76</v>
      </c>
      <c r="L60" s="1401">
        <v>20882.189999999999</v>
      </c>
      <c r="M60" s="1401">
        <v>1433.92</v>
      </c>
      <c r="N60" s="1401">
        <v>2107.88</v>
      </c>
      <c r="O60" s="1401">
        <v>50026.9</v>
      </c>
      <c r="P60" s="1401">
        <v>212376.15</v>
      </c>
    </row>
    <row r="61" spans="2:16" ht="15" customHeight="1">
      <c r="B61" s="1394" t="s">
        <v>915</v>
      </c>
      <c r="C61" s="1395" t="s">
        <v>914</v>
      </c>
      <c r="D61" s="1402">
        <v>19834.14</v>
      </c>
      <c r="E61" s="1402">
        <v>18177</v>
      </c>
      <c r="F61" s="1402">
        <v>19556.7</v>
      </c>
      <c r="G61" s="1402">
        <v>18752.71</v>
      </c>
      <c r="H61" s="1402">
        <v>18469.43</v>
      </c>
      <c r="I61" s="1402">
        <v>3942</v>
      </c>
      <c r="J61" s="1402">
        <v>181.5</v>
      </c>
      <c r="K61" s="1402">
        <v>43488.39</v>
      </c>
      <c r="L61" s="1402">
        <v>20882.189999999999</v>
      </c>
      <c r="M61" s="1402">
        <v>1501.87</v>
      </c>
      <c r="N61" s="1402">
        <v>2235.73</v>
      </c>
      <c r="O61" s="1402">
        <v>50193.2</v>
      </c>
      <c r="P61" s="1402">
        <v>217214.86</v>
      </c>
    </row>
    <row r="62" spans="2:16" ht="15" customHeight="1">
      <c r="B62" s="1394" t="s">
        <v>913</v>
      </c>
      <c r="C62" s="1395" t="s">
        <v>912</v>
      </c>
      <c r="D62" s="1399"/>
      <c r="E62" s="1399"/>
      <c r="F62" s="1399"/>
      <c r="G62" s="1399"/>
      <c r="H62" s="1399"/>
      <c r="I62" s="1399"/>
      <c r="J62" s="1399"/>
      <c r="K62" s="1399"/>
      <c r="L62" s="1399"/>
      <c r="M62" s="1399"/>
      <c r="N62" s="1399"/>
      <c r="O62" s="1399"/>
      <c r="P62" s="1399"/>
    </row>
    <row r="63" spans="2:16" ht="15" customHeight="1">
      <c r="B63" s="1394" t="s">
        <v>911</v>
      </c>
      <c r="C63" s="1395" t="s">
        <v>910</v>
      </c>
      <c r="D63" s="1400">
        <v>995</v>
      </c>
      <c r="E63" s="1400">
        <v>0</v>
      </c>
      <c r="F63" s="1400">
        <v>995</v>
      </c>
      <c r="G63" s="1400">
        <v>930</v>
      </c>
      <c r="H63" s="1400">
        <v>1600</v>
      </c>
      <c r="I63" s="1400">
        <v>0</v>
      </c>
      <c r="J63" s="1400">
        <v>0</v>
      </c>
      <c r="K63" s="1400">
        <v>0</v>
      </c>
      <c r="L63" s="1400">
        <v>2400</v>
      </c>
      <c r="M63" s="1400">
        <v>0</v>
      </c>
      <c r="N63" s="1400">
        <v>0</v>
      </c>
      <c r="O63" s="1400">
        <v>1600</v>
      </c>
      <c r="P63" s="1400">
        <v>8520</v>
      </c>
    </row>
    <row r="64" spans="2:16" ht="15" customHeight="1">
      <c r="B64" s="1394" t="s">
        <v>1325</v>
      </c>
      <c r="C64" s="1395" t="s">
        <v>1324</v>
      </c>
      <c r="D64" s="1400">
        <v>268</v>
      </c>
      <c r="E64" s="1400">
        <v>0</v>
      </c>
      <c r="F64" s="1400">
        <v>0</v>
      </c>
      <c r="G64" s="1400">
        <v>0</v>
      </c>
      <c r="H64" s="1400">
        <v>0</v>
      </c>
      <c r="I64" s="1400">
        <v>0</v>
      </c>
      <c r="J64" s="1400">
        <v>0</v>
      </c>
      <c r="K64" s="1400">
        <v>0</v>
      </c>
      <c r="L64" s="1400">
        <v>0</v>
      </c>
      <c r="M64" s="1400">
        <v>0</v>
      </c>
      <c r="N64" s="1400">
        <v>0</v>
      </c>
      <c r="O64" s="1400">
        <v>0</v>
      </c>
      <c r="P64" s="1400">
        <v>268</v>
      </c>
    </row>
    <row r="65" spans="2:16" ht="15" customHeight="1">
      <c r="B65" s="1394" t="s">
        <v>1321</v>
      </c>
      <c r="C65" s="1395" t="s">
        <v>1320</v>
      </c>
      <c r="D65" s="1401">
        <v>130</v>
      </c>
      <c r="E65" s="1401">
        <v>0</v>
      </c>
      <c r="F65" s="1401">
        <v>0</v>
      </c>
      <c r="G65" s="1401">
        <v>130</v>
      </c>
      <c r="H65" s="1401">
        <v>260</v>
      </c>
      <c r="I65" s="1401">
        <v>0</v>
      </c>
      <c r="J65" s="1401">
        <v>0</v>
      </c>
      <c r="K65" s="1401">
        <v>0</v>
      </c>
      <c r="L65" s="1401">
        <v>0</v>
      </c>
      <c r="M65" s="1401">
        <v>0</v>
      </c>
      <c r="N65" s="1401">
        <v>0</v>
      </c>
      <c r="O65" s="1401">
        <v>0</v>
      </c>
      <c r="P65" s="1401">
        <v>520</v>
      </c>
    </row>
    <row r="66" spans="2:16" ht="15" customHeight="1">
      <c r="B66" s="1394" t="s">
        <v>909</v>
      </c>
      <c r="C66" s="1395" t="s">
        <v>908</v>
      </c>
      <c r="D66" s="1402">
        <v>1393</v>
      </c>
      <c r="E66" s="1402">
        <v>0</v>
      </c>
      <c r="F66" s="1402">
        <v>995</v>
      </c>
      <c r="G66" s="1402">
        <v>1060</v>
      </c>
      <c r="H66" s="1402">
        <v>1860</v>
      </c>
      <c r="I66" s="1402">
        <v>0</v>
      </c>
      <c r="J66" s="1402">
        <v>0</v>
      </c>
      <c r="K66" s="1402">
        <v>0</v>
      </c>
      <c r="L66" s="1402">
        <v>2400</v>
      </c>
      <c r="M66" s="1402">
        <v>0</v>
      </c>
      <c r="N66" s="1402">
        <v>0</v>
      </c>
      <c r="O66" s="1402">
        <v>1600</v>
      </c>
      <c r="P66" s="1402">
        <v>9308</v>
      </c>
    </row>
    <row r="67" spans="2:16" ht="15" customHeight="1">
      <c r="B67" s="1394" t="s">
        <v>907</v>
      </c>
      <c r="C67" s="1395" t="s">
        <v>906</v>
      </c>
      <c r="D67" s="1399"/>
      <c r="E67" s="1399"/>
      <c r="F67" s="1399"/>
      <c r="G67" s="1399"/>
      <c r="H67" s="1399"/>
      <c r="I67" s="1399"/>
      <c r="J67" s="1399"/>
      <c r="K67" s="1399"/>
      <c r="L67" s="1399"/>
      <c r="M67" s="1399"/>
      <c r="N67" s="1399"/>
      <c r="O67" s="1399"/>
      <c r="P67" s="1399"/>
    </row>
    <row r="68" spans="2:16" ht="15" customHeight="1">
      <c r="B68" s="1394" t="s">
        <v>1319</v>
      </c>
      <c r="C68" s="1395" t="s">
        <v>1318</v>
      </c>
      <c r="D68" s="1401">
        <v>600</v>
      </c>
      <c r="E68" s="1401">
        <v>-600</v>
      </c>
      <c r="F68" s="1401">
        <v>0</v>
      </c>
      <c r="G68" s="1401">
        <v>3768</v>
      </c>
      <c r="H68" s="1401">
        <v>1400</v>
      </c>
      <c r="I68" s="1401">
        <v>0</v>
      </c>
      <c r="J68" s="1401">
        <v>700</v>
      </c>
      <c r="K68" s="1401">
        <v>0</v>
      </c>
      <c r="L68" s="1401">
        <v>700</v>
      </c>
      <c r="M68" s="1401">
        <v>0</v>
      </c>
      <c r="N68" s="1401">
        <v>700</v>
      </c>
      <c r="O68" s="1401">
        <v>1400</v>
      </c>
      <c r="P68" s="1401">
        <v>8668</v>
      </c>
    </row>
    <row r="69" spans="2:16" ht="15" customHeight="1">
      <c r="B69" s="1394" t="s">
        <v>903</v>
      </c>
      <c r="C69" s="1395" t="s">
        <v>902</v>
      </c>
      <c r="D69" s="1402">
        <v>600</v>
      </c>
      <c r="E69" s="1402">
        <v>-600</v>
      </c>
      <c r="F69" s="1402">
        <v>0</v>
      </c>
      <c r="G69" s="1402">
        <v>3768</v>
      </c>
      <c r="H69" s="1402">
        <v>1400</v>
      </c>
      <c r="I69" s="1402">
        <v>0</v>
      </c>
      <c r="J69" s="1402">
        <v>700</v>
      </c>
      <c r="K69" s="1402">
        <v>0</v>
      </c>
      <c r="L69" s="1402">
        <v>700</v>
      </c>
      <c r="M69" s="1402">
        <v>0</v>
      </c>
      <c r="N69" s="1402">
        <v>700</v>
      </c>
      <c r="O69" s="1402">
        <v>1400</v>
      </c>
      <c r="P69" s="1402">
        <v>8668</v>
      </c>
    </row>
    <row r="70" spans="2:16" ht="15" customHeight="1">
      <c r="B70" s="1394" t="s">
        <v>901</v>
      </c>
      <c r="C70" s="1395" t="s">
        <v>900</v>
      </c>
      <c r="D70" s="1399"/>
      <c r="E70" s="1399"/>
      <c r="F70" s="1399"/>
      <c r="G70" s="1399"/>
      <c r="H70" s="1399"/>
      <c r="I70" s="1399"/>
      <c r="J70" s="1399"/>
      <c r="K70" s="1399"/>
      <c r="L70" s="1399"/>
      <c r="M70" s="1399"/>
      <c r="N70" s="1399"/>
      <c r="O70" s="1399"/>
      <c r="P70" s="1399"/>
    </row>
    <row r="71" spans="2:16" ht="15" customHeight="1">
      <c r="B71" s="1394" t="s">
        <v>899</v>
      </c>
      <c r="C71" s="1395" t="s">
        <v>898</v>
      </c>
      <c r="D71" s="1400">
        <v>455.41</v>
      </c>
      <c r="E71" s="1400">
        <v>0</v>
      </c>
      <c r="F71" s="1400">
        <v>0</v>
      </c>
      <c r="G71" s="1400">
        <v>242</v>
      </c>
      <c r="H71" s="1400">
        <v>0</v>
      </c>
      <c r="I71" s="1400">
        <v>450</v>
      </c>
      <c r="J71" s="1400">
        <v>0</v>
      </c>
      <c r="K71" s="1400">
        <v>0</v>
      </c>
      <c r="L71" s="1400">
        <v>0</v>
      </c>
      <c r="M71" s="1400">
        <v>0</v>
      </c>
      <c r="N71" s="1400">
        <v>0</v>
      </c>
      <c r="O71" s="1400">
        <v>0</v>
      </c>
      <c r="P71" s="1400">
        <v>1147.4100000000001</v>
      </c>
    </row>
    <row r="72" spans="2:16" ht="15" customHeight="1">
      <c r="B72" s="1394" t="s">
        <v>1315</v>
      </c>
      <c r="C72" s="1395" t="s">
        <v>1314</v>
      </c>
      <c r="D72" s="1400">
        <v>12521.96</v>
      </c>
      <c r="E72" s="1400">
        <v>6309</v>
      </c>
      <c r="F72" s="1400">
        <v>0</v>
      </c>
      <c r="G72" s="1400">
        <v>6300</v>
      </c>
      <c r="H72" s="1400">
        <v>6300</v>
      </c>
      <c r="I72" s="1400">
        <v>6300</v>
      </c>
      <c r="J72" s="1400">
        <v>6300</v>
      </c>
      <c r="K72" s="1400">
        <v>0</v>
      </c>
      <c r="L72" s="1400">
        <v>12600</v>
      </c>
      <c r="M72" s="1400">
        <v>6300</v>
      </c>
      <c r="N72" s="1400">
        <v>6300</v>
      </c>
      <c r="O72" s="1400">
        <v>6300</v>
      </c>
      <c r="P72" s="1400">
        <v>75530.960000000006</v>
      </c>
    </row>
    <row r="73" spans="2:16" ht="15" customHeight="1">
      <c r="B73" s="1394" t="s">
        <v>1313</v>
      </c>
      <c r="C73" s="1395" t="s">
        <v>1312</v>
      </c>
      <c r="D73" s="1400">
        <v>150</v>
      </c>
      <c r="E73" s="1400">
        <v>0</v>
      </c>
      <c r="F73" s="1400">
        <v>0</v>
      </c>
      <c r="G73" s="1400">
        <v>0</v>
      </c>
      <c r="H73" s="1400">
        <v>0</v>
      </c>
      <c r="I73" s="1400">
        <v>220</v>
      </c>
      <c r="J73" s="1400">
        <v>0</v>
      </c>
      <c r="K73" s="1400">
        <v>0</v>
      </c>
      <c r="L73" s="1400">
        <v>0</v>
      </c>
      <c r="M73" s="1400">
        <v>0</v>
      </c>
      <c r="N73" s="1400">
        <v>0</v>
      </c>
      <c r="O73" s="1400">
        <v>0</v>
      </c>
      <c r="P73" s="1400">
        <v>370</v>
      </c>
    </row>
    <row r="74" spans="2:16" ht="15" customHeight="1">
      <c r="B74" s="1394" t="s">
        <v>1311</v>
      </c>
      <c r="C74" s="1395" t="s">
        <v>1310</v>
      </c>
      <c r="D74" s="1400">
        <v>2266</v>
      </c>
      <c r="E74" s="1400">
        <v>-1133</v>
      </c>
      <c r="F74" s="1400">
        <v>0</v>
      </c>
      <c r="G74" s="1400">
        <v>2033</v>
      </c>
      <c r="H74" s="1400">
        <v>0</v>
      </c>
      <c r="I74" s="1400">
        <v>0</v>
      </c>
      <c r="J74" s="1400">
        <v>0</v>
      </c>
      <c r="K74" s="1400">
        <v>0</v>
      </c>
      <c r="L74" s="1400">
        <v>0</v>
      </c>
      <c r="M74" s="1400">
        <v>0</v>
      </c>
      <c r="N74" s="1400">
        <v>0</v>
      </c>
      <c r="O74" s="1400">
        <v>0</v>
      </c>
      <c r="P74" s="1400">
        <v>3166</v>
      </c>
    </row>
    <row r="75" spans="2:16" ht="15" customHeight="1">
      <c r="B75" s="1394" t="s">
        <v>897</v>
      </c>
      <c r="C75" s="1395" t="s">
        <v>896</v>
      </c>
      <c r="D75" s="1400">
        <v>3100</v>
      </c>
      <c r="E75" s="1400">
        <v>1200</v>
      </c>
      <c r="F75" s="1400">
        <v>0</v>
      </c>
      <c r="G75" s="1400">
        <v>400</v>
      </c>
      <c r="H75" s="1400">
        <v>6219</v>
      </c>
      <c r="I75" s="1400">
        <v>0</v>
      </c>
      <c r="J75" s="1400">
        <v>0</v>
      </c>
      <c r="K75" s="1400">
        <v>383</v>
      </c>
      <c r="L75" s="1400">
        <v>766</v>
      </c>
      <c r="M75" s="1400">
        <v>483</v>
      </c>
      <c r="N75" s="1400">
        <v>693</v>
      </c>
      <c r="O75" s="1400">
        <v>273</v>
      </c>
      <c r="P75" s="1400">
        <v>13517</v>
      </c>
    </row>
    <row r="76" spans="2:16" ht="15" customHeight="1">
      <c r="B76" s="1394" t="s">
        <v>976</v>
      </c>
      <c r="C76" s="1395" t="s">
        <v>977</v>
      </c>
      <c r="D76" s="1401">
        <v>0</v>
      </c>
      <c r="E76" s="1401">
        <v>0</v>
      </c>
      <c r="F76" s="1401">
        <v>0</v>
      </c>
      <c r="G76" s="1401">
        <v>743</v>
      </c>
      <c r="H76" s="1401">
        <v>0</v>
      </c>
      <c r="I76" s="1401">
        <v>435</v>
      </c>
      <c r="J76" s="1401">
        <v>255</v>
      </c>
      <c r="K76" s="1401">
        <v>0</v>
      </c>
      <c r="L76" s="1401">
        <v>1460.26</v>
      </c>
      <c r="M76" s="1401">
        <v>635</v>
      </c>
      <c r="N76" s="1401">
        <v>655</v>
      </c>
      <c r="O76" s="1401">
        <v>1230</v>
      </c>
      <c r="P76" s="1401">
        <v>5413.26</v>
      </c>
    </row>
    <row r="77" spans="2:16" ht="15" customHeight="1">
      <c r="B77" s="1394" t="s">
        <v>895</v>
      </c>
      <c r="C77" s="1395" t="s">
        <v>894</v>
      </c>
      <c r="D77" s="1403">
        <v>18493.37</v>
      </c>
      <c r="E77" s="1403">
        <v>6376</v>
      </c>
      <c r="F77" s="1403">
        <v>0</v>
      </c>
      <c r="G77" s="1403">
        <v>9718</v>
      </c>
      <c r="H77" s="1403">
        <v>12519</v>
      </c>
      <c r="I77" s="1403">
        <v>7405</v>
      </c>
      <c r="J77" s="1403">
        <v>6555</v>
      </c>
      <c r="K77" s="1403">
        <v>383</v>
      </c>
      <c r="L77" s="1403">
        <v>14826.26</v>
      </c>
      <c r="M77" s="1403">
        <v>7418</v>
      </c>
      <c r="N77" s="1403">
        <v>7648</v>
      </c>
      <c r="O77" s="1403">
        <v>7803</v>
      </c>
      <c r="P77" s="1403">
        <v>99144.63</v>
      </c>
    </row>
    <row r="78" spans="2:16" ht="15" customHeight="1">
      <c r="B78" s="1394" t="s">
        <v>893</v>
      </c>
      <c r="C78" s="1395" t="s">
        <v>892</v>
      </c>
      <c r="D78" s="1402">
        <v>49855.16</v>
      </c>
      <c r="E78" s="1402">
        <v>23953</v>
      </c>
      <c r="F78" s="1402">
        <v>22774.7</v>
      </c>
      <c r="G78" s="1402">
        <v>35678.050000000003</v>
      </c>
      <c r="H78" s="1402">
        <v>34287.43</v>
      </c>
      <c r="I78" s="1402">
        <v>11586</v>
      </c>
      <c r="J78" s="1402">
        <v>19162.080000000002</v>
      </c>
      <c r="K78" s="1402">
        <v>43949.39</v>
      </c>
      <c r="L78" s="1402">
        <v>39022.269999999997</v>
      </c>
      <c r="M78" s="1402">
        <v>8919.8700000000008</v>
      </c>
      <c r="N78" s="1402">
        <v>10583.73</v>
      </c>
      <c r="O78" s="1402">
        <v>61180.7</v>
      </c>
      <c r="P78" s="1402">
        <v>360952.38</v>
      </c>
    </row>
    <row r="79" spans="2:16" ht="15" customHeight="1">
      <c r="B79" s="1394" t="s">
        <v>891</v>
      </c>
      <c r="C79" s="1395" t="s">
        <v>890</v>
      </c>
      <c r="D79" s="1399"/>
      <c r="E79" s="1399"/>
      <c r="F79" s="1399"/>
      <c r="G79" s="1399"/>
      <c r="H79" s="1399"/>
      <c r="I79" s="1399"/>
      <c r="J79" s="1399"/>
      <c r="K79" s="1399"/>
      <c r="L79" s="1399"/>
      <c r="M79" s="1399"/>
      <c r="N79" s="1399"/>
      <c r="O79" s="1399"/>
      <c r="P79" s="1399"/>
    </row>
    <row r="80" spans="2:16" ht="15" customHeight="1">
      <c r="B80" s="1394" t="s">
        <v>889</v>
      </c>
      <c r="C80" s="1395" t="s">
        <v>888</v>
      </c>
      <c r="D80" s="1399"/>
      <c r="E80" s="1399"/>
      <c r="F80" s="1399"/>
      <c r="G80" s="1399"/>
      <c r="H80" s="1399"/>
      <c r="I80" s="1399"/>
      <c r="J80" s="1399"/>
      <c r="K80" s="1399"/>
      <c r="L80" s="1399"/>
      <c r="M80" s="1399"/>
      <c r="N80" s="1399"/>
      <c r="O80" s="1399"/>
      <c r="P80" s="1399"/>
    </row>
    <row r="81" spans="1:16" ht="15" customHeight="1">
      <c r="B81" s="1394" t="s">
        <v>887</v>
      </c>
      <c r="C81" s="1395" t="s">
        <v>886</v>
      </c>
      <c r="D81" s="1400">
        <v>15687.07</v>
      </c>
      <c r="E81" s="1400">
        <v>17274.080000000002</v>
      </c>
      <c r="F81" s="1400">
        <v>17574.79</v>
      </c>
      <c r="G81" s="1400">
        <v>8016.54</v>
      </c>
      <c r="H81" s="1400">
        <v>12307.57</v>
      </c>
      <c r="I81" s="1400">
        <v>16504.330000000002</v>
      </c>
      <c r="J81" s="1400">
        <v>26559.16</v>
      </c>
      <c r="K81" s="1400">
        <v>21636.240000000002</v>
      </c>
      <c r="L81" s="1400">
        <v>27040.400000000001</v>
      </c>
      <c r="M81" s="1400">
        <v>21418.82</v>
      </c>
      <c r="N81" s="1400">
        <v>16443.189999999999</v>
      </c>
      <c r="O81" s="1400">
        <v>17474.82</v>
      </c>
      <c r="P81" s="1400">
        <v>217937.01</v>
      </c>
    </row>
    <row r="82" spans="1:16" ht="15" customHeight="1">
      <c r="B82" s="1394" t="s">
        <v>885</v>
      </c>
      <c r="C82" s="1395" t="s">
        <v>884</v>
      </c>
      <c r="D82" s="1400">
        <v>7405.43</v>
      </c>
      <c r="E82" s="1400">
        <v>12122.01</v>
      </c>
      <c r="F82" s="1400">
        <v>9483.98</v>
      </c>
      <c r="G82" s="1400">
        <v>6683.87</v>
      </c>
      <c r="H82" s="1400">
        <v>4459.55</v>
      </c>
      <c r="I82" s="1400">
        <v>2480.44</v>
      </c>
      <c r="J82" s="1400">
        <v>10250.790000000001</v>
      </c>
      <c r="K82" s="1400">
        <v>6919.36</v>
      </c>
      <c r="L82" s="1400">
        <v>9608.2900000000009</v>
      </c>
      <c r="M82" s="1400">
        <v>7622.38</v>
      </c>
      <c r="N82" s="1400">
        <v>7504.69</v>
      </c>
      <c r="O82" s="1400">
        <v>7761.44</v>
      </c>
      <c r="P82" s="1400">
        <v>92302.23</v>
      </c>
    </row>
    <row r="83" spans="1:16" ht="15" customHeight="1">
      <c r="B83" s="1394" t="s">
        <v>883</v>
      </c>
      <c r="C83" s="1395" t="s">
        <v>882</v>
      </c>
      <c r="D83" s="1400">
        <v>12076.64</v>
      </c>
      <c r="E83" s="1400">
        <v>11552.79</v>
      </c>
      <c r="F83" s="1400">
        <v>10299.209999999999</v>
      </c>
      <c r="G83" s="1400">
        <v>-563.24</v>
      </c>
      <c r="H83" s="1400">
        <v>3902.2</v>
      </c>
      <c r="I83" s="1400">
        <v>9694.15</v>
      </c>
      <c r="J83" s="1400">
        <v>10984.06</v>
      </c>
      <c r="K83" s="1400">
        <v>8987.2199999999993</v>
      </c>
      <c r="L83" s="1400">
        <v>10325.620000000001</v>
      </c>
      <c r="M83" s="1400">
        <v>10554.6</v>
      </c>
      <c r="N83" s="1400">
        <v>13273.62</v>
      </c>
      <c r="O83" s="1400">
        <v>6027.61</v>
      </c>
      <c r="P83" s="1400">
        <v>107114.48</v>
      </c>
    </row>
    <row r="84" spans="1:16" ht="15" customHeight="1">
      <c r="B84" s="1394" t="s">
        <v>1309</v>
      </c>
      <c r="C84" s="1395" t="s">
        <v>1308</v>
      </c>
      <c r="D84" s="1401">
        <v>15</v>
      </c>
      <c r="E84" s="1401">
        <v>1.71</v>
      </c>
      <c r="F84" s="1401">
        <v>16.97</v>
      </c>
      <c r="G84" s="1401">
        <v>18.02</v>
      </c>
      <c r="H84" s="1401">
        <v>16.39</v>
      </c>
      <c r="I84" s="1401">
        <v>17.440000000000001</v>
      </c>
      <c r="J84" s="1401">
        <v>17.649999999999999</v>
      </c>
      <c r="K84" s="1401">
        <v>16.739999999999998</v>
      </c>
      <c r="L84" s="1401">
        <v>17.46</v>
      </c>
      <c r="M84" s="1401">
        <v>18.63</v>
      </c>
      <c r="N84" s="1401">
        <v>14.87</v>
      </c>
      <c r="O84" s="1401">
        <v>17.440000000000001</v>
      </c>
      <c r="P84" s="1401">
        <v>188.32</v>
      </c>
    </row>
    <row r="85" spans="1:16" ht="15" customHeight="1">
      <c r="B85" s="1394" t="s">
        <v>881</v>
      </c>
      <c r="C85" s="1395" t="s">
        <v>880</v>
      </c>
      <c r="D85" s="1403">
        <v>35184.14</v>
      </c>
      <c r="E85" s="1403">
        <v>40950.589999999997</v>
      </c>
      <c r="F85" s="1403">
        <v>37374.949999999997</v>
      </c>
      <c r="G85" s="1403">
        <v>14155.19</v>
      </c>
      <c r="H85" s="1403">
        <v>20685.71</v>
      </c>
      <c r="I85" s="1403">
        <v>28696.36</v>
      </c>
      <c r="J85" s="1403">
        <v>47811.66</v>
      </c>
      <c r="K85" s="1403">
        <v>37559.56</v>
      </c>
      <c r="L85" s="1403">
        <v>46991.77</v>
      </c>
      <c r="M85" s="1403">
        <v>39614.43</v>
      </c>
      <c r="N85" s="1403">
        <v>37236.370000000003</v>
      </c>
      <c r="O85" s="1403">
        <v>31281.31</v>
      </c>
      <c r="P85" s="1403">
        <v>417542.04</v>
      </c>
    </row>
    <row r="86" spans="1:16" ht="15" customHeight="1">
      <c r="A86" s="977" t="s">
        <v>1307</v>
      </c>
      <c r="B86" s="1394" t="s">
        <v>879</v>
      </c>
      <c r="C86" s="1395" t="s">
        <v>878</v>
      </c>
      <c r="D86" s="1402">
        <v>35184.14</v>
      </c>
      <c r="E86" s="1402">
        <v>40950.589999999997</v>
      </c>
      <c r="F86" s="1402">
        <v>37374.949999999997</v>
      </c>
      <c r="G86" s="1402">
        <v>14155.19</v>
      </c>
      <c r="H86" s="1402">
        <v>20685.71</v>
      </c>
      <c r="I86" s="1402">
        <v>28696.36</v>
      </c>
      <c r="J86" s="1402">
        <v>47811.66</v>
      </c>
      <c r="K86" s="1402">
        <v>37559.56</v>
      </c>
      <c r="L86" s="1402">
        <v>46991.77</v>
      </c>
      <c r="M86" s="1402">
        <v>39614.43</v>
      </c>
      <c r="N86" s="1402">
        <v>37236.370000000003</v>
      </c>
      <c r="O86" s="1402">
        <v>31281.31</v>
      </c>
      <c r="P86" s="1402">
        <v>417542.04</v>
      </c>
    </row>
    <row r="87" spans="1:16" ht="15" customHeight="1">
      <c r="B87" s="1394" t="s">
        <v>877</v>
      </c>
      <c r="C87" s="1395" t="s">
        <v>876</v>
      </c>
      <c r="D87" s="1399"/>
      <c r="E87" s="1399"/>
      <c r="F87" s="1399"/>
      <c r="G87" s="1399"/>
      <c r="H87" s="1399"/>
      <c r="I87" s="1399"/>
      <c r="J87" s="1399"/>
      <c r="K87" s="1399"/>
      <c r="L87" s="1399"/>
      <c r="M87" s="1399"/>
      <c r="N87" s="1399"/>
      <c r="O87" s="1399"/>
      <c r="P87" s="1399"/>
    </row>
    <row r="88" spans="1:16" ht="15" customHeight="1">
      <c r="B88" s="1394" t="s">
        <v>875</v>
      </c>
      <c r="C88" s="1395" t="s">
        <v>874</v>
      </c>
      <c r="D88" s="1399"/>
      <c r="E88" s="1399"/>
      <c r="F88" s="1399"/>
      <c r="G88" s="1399"/>
      <c r="H88" s="1399"/>
      <c r="I88" s="1399"/>
      <c r="J88" s="1399"/>
      <c r="K88" s="1399"/>
      <c r="L88" s="1399"/>
      <c r="M88" s="1399"/>
      <c r="N88" s="1399"/>
      <c r="O88" s="1399"/>
      <c r="P88" s="1399"/>
    </row>
    <row r="89" spans="1:16" ht="15" customHeight="1">
      <c r="B89" s="1394" t="s">
        <v>873</v>
      </c>
      <c r="C89" s="1395" t="s">
        <v>872</v>
      </c>
      <c r="D89" s="1401">
        <v>31200.75</v>
      </c>
      <c r="E89" s="1401">
        <v>31200.75</v>
      </c>
      <c r="F89" s="1401">
        <v>30863.13</v>
      </c>
      <c r="G89" s="1401">
        <v>31763.42</v>
      </c>
      <c r="H89" s="1401">
        <v>31088.21</v>
      </c>
      <c r="I89" s="1401">
        <v>31088.23</v>
      </c>
      <c r="J89" s="1401">
        <v>31088.21</v>
      </c>
      <c r="K89" s="1401">
        <v>31088.21</v>
      </c>
      <c r="L89" s="1401">
        <v>31088.21</v>
      </c>
      <c r="M89" s="1401">
        <v>36743.410000000003</v>
      </c>
      <c r="N89" s="1401">
        <v>32502.01</v>
      </c>
      <c r="O89" s="1401">
        <v>32502.01</v>
      </c>
      <c r="P89" s="1401">
        <v>382216.55</v>
      </c>
    </row>
    <row r="90" spans="1:16" ht="15" customHeight="1">
      <c r="B90" s="1394" t="s">
        <v>871</v>
      </c>
      <c r="C90" s="1395" t="s">
        <v>870</v>
      </c>
      <c r="D90" s="1402">
        <v>31200.75</v>
      </c>
      <c r="E90" s="1402">
        <v>31200.75</v>
      </c>
      <c r="F90" s="1402">
        <v>30863.13</v>
      </c>
      <c r="G90" s="1402">
        <v>31763.42</v>
      </c>
      <c r="H90" s="1402">
        <v>31088.21</v>
      </c>
      <c r="I90" s="1402">
        <v>31088.23</v>
      </c>
      <c r="J90" s="1402">
        <v>31088.21</v>
      </c>
      <c r="K90" s="1402">
        <v>31088.21</v>
      </c>
      <c r="L90" s="1402">
        <v>31088.21</v>
      </c>
      <c r="M90" s="1402">
        <v>36743.410000000003</v>
      </c>
      <c r="N90" s="1402">
        <v>32502.01</v>
      </c>
      <c r="O90" s="1402">
        <v>32502.01</v>
      </c>
      <c r="P90" s="1402">
        <v>382216.55</v>
      </c>
    </row>
    <row r="91" spans="1:16" ht="15" customHeight="1">
      <c r="B91" s="1394" t="s">
        <v>869</v>
      </c>
      <c r="C91" s="1395" t="s">
        <v>868</v>
      </c>
      <c r="D91" s="1399"/>
      <c r="E91" s="1399"/>
      <c r="F91" s="1399"/>
      <c r="G91" s="1399"/>
      <c r="H91" s="1399"/>
      <c r="I91" s="1399"/>
      <c r="J91" s="1399"/>
      <c r="K91" s="1399"/>
      <c r="L91" s="1399"/>
      <c r="M91" s="1399"/>
      <c r="N91" s="1399"/>
      <c r="O91" s="1399"/>
      <c r="P91" s="1399"/>
    </row>
    <row r="92" spans="1:16" ht="15" customHeight="1">
      <c r="B92" s="1394" t="s">
        <v>867</v>
      </c>
      <c r="C92" s="1395" t="s">
        <v>866</v>
      </c>
      <c r="D92" s="1400">
        <v>0</v>
      </c>
      <c r="E92" s="1400">
        <v>734.95</v>
      </c>
      <c r="F92" s="1400">
        <v>6800</v>
      </c>
      <c r="G92" s="1400">
        <v>0</v>
      </c>
      <c r="H92" s="1400">
        <v>0</v>
      </c>
      <c r="I92" s="1400">
        <v>0</v>
      </c>
      <c r="J92" s="1400">
        <v>0</v>
      </c>
      <c r="K92" s="1400">
        <v>0</v>
      </c>
      <c r="L92" s="1400">
        <v>0</v>
      </c>
      <c r="M92" s="1400">
        <v>0</v>
      </c>
      <c r="N92" s="1400">
        <v>0</v>
      </c>
      <c r="O92" s="1400">
        <v>0</v>
      </c>
      <c r="P92" s="1400">
        <v>7534.95</v>
      </c>
    </row>
    <row r="93" spans="1:16" ht="15" customHeight="1">
      <c r="B93" s="1394" t="s">
        <v>1302</v>
      </c>
      <c r="C93" s="1395" t="s">
        <v>1301</v>
      </c>
      <c r="D93" s="1400">
        <v>3767.01</v>
      </c>
      <c r="E93" s="1400">
        <v>0</v>
      </c>
      <c r="F93" s="1400">
        <v>0</v>
      </c>
      <c r="G93" s="1400">
        <v>0</v>
      </c>
      <c r="H93" s="1400">
        <v>0</v>
      </c>
      <c r="I93" s="1400">
        <v>0</v>
      </c>
      <c r="J93" s="1400">
        <v>0</v>
      </c>
      <c r="K93" s="1400">
        <v>0</v>
      </c>
      <c r="L93" s="1400">
        <v>0</v>
      </c>
      <c r="M93" s="1400">
        <v>0</v>
      </c>
      <c r="N93" s="1400">
        <v>0</v>
      </c>
      <c r="O93" s="1400">
        <v>0</v>
      </c>
      <c r="P93" s="1400">
        <v>3767.01</v>
      </c>
    </row>
    <row r="94" spans="1:16" ht="15" customHeight="1">
      <c r="B94" s="1394" t="s">
        <v>1300</v>
      </c>
      <c r="C94" s="1395" t="s">
        <v>1299</v>
      </c>
      <c r="D94" s="1401">
        <v>0</v>
      </c>
      <c r="E94" s="1401">
        <v>62.56</v>
      </c>
      <c r="F94" s="1401">
        <v>0</v>
      </c>
      <c r="G94" s="1401">
        <v>460</v>
      </c>
      <c r="H94" s="1401">
        <v>0</v>
      </c>
      <c r="I94" s="1401">
        <v>2000</v>
      </c>
      <c r="J94" s="1401">
        <v>0</v>
      </c>
      <c r="K94" s="1401">
        <v>180</v>
      </c>
      <c r="L94" s="1401">
        <v>0</v>
      </c>
      <c r="M94" s="1401">
        <v>0</v>
      </c>
      <c r="N94" s="1401">
        <v>0</v>
      </c>
      <c r="O94" s="1401">
        <v>0</v>
      </c>
      <c r="P94" s="1401">
        <v>2702.56</v>
      </c>
    </row>
    <row r="95" spans="1:16" ht="15" customHeight="1">
      <c r="B95" s="1394" t="s">
        <v>865</v>
      </c>
      <c r="C95" s="1395" t="s">
        <v>864</v>
      </c>
      <c r="D95" s="1403">
        <v>3767.01</v>
      </c>
      <c r="E95" s="1403">
        <v>797.51</v>
      </c>
      <c r="F95" s="1403">
        <v>6800</v>
      </c>
      <c r="G95" s="1403">
        <v>460</v>
      </c>
      <c r="H95" s="1403">
        <v>0</v>
      </c>
      <c r="I95" s="1403">
        <v>2000</v>
      </c>
      <c r="J95" s="1403">
        <v>0</v>
      </c>
      <c r="K95" s="1403">
        <v>180</v>
      </c>
      <c r="L95" s="1403">
        <v>0</v>
      </c>
      <c r="M95" s="1403">
        <v>0</v>
      </c>
      <c r="N95" s="1403">
        <v>0</v>
      </c>
      <c r="O95" s="1403">
        <v>0</v>
      </c>
      <c r="P95" s="1403">
        <v>14004.52</v>
      </c>
    </row>
    <row r="96" spans="1:16" ht="15" customHeight="1">
      <c r="A96" s="977" t="s">
        <v>1296</v>
      </c>
      <c r="B96" s="1394" t="s">
        <v>863</v>
      </c>
      <c r="C96" s="1395" t="s">
        <v>862</v>
      </c>
      <c r="D96" s="1402">
        <v>34967.760000000002</v>
      </c>
      <c r="E96" s="1402">
        <v>31998.26</v>
      </c>
      <c r="F96" s="1402">
        <v>37663.129999999997</v>
      </c>
      <c r="G96" s="1402">
        <v>32223.42</v>
      </c>
      <c r="H96" s="1402">
        <v>31088.21</v>
      </c>
      <c r="I96" s="1402">
        <v>33088.230000000003</v>
      </c>
      <c r="J96" s="1402">
        <v>31088.21</v>
      </c>
      <c r="K96" s="1402">
        <v>31268.21</v>
      </c>
      <c r="L96" s="1402">
        <v>31088.21</v>
      </c>
      <c r="M96" s="1402">
        <v>36743.410000000003</v>
      </c>
      <c r="N96" s="1402">
        <v>32502.01</v>
      </c>
      <c r="O96" s="1402">
        <v>32502.01</v>
      </c>
      <c r="P96" s="1402">
        <v>396221.07</v>
      </c>
    </row>
    <row r="97" spans="1:16" ht="15" customHeight="1">
      <c r="B97" s="1394" t="s">
        <v>861</v>
      </c>
      <c r="C97" s="1395" t="s">
        <v>860</v>
      </c>
      <c r="D97" s="1399"/>
      <c r="E97" s="1399"/>
      <c r="F97" s="1399"/>
      <c r="G97" s="1399"/>
      <c r="H97" s="1399"/>
      <c r="I97" s="1399"/>
      <c r="J97" s="1399"/>
      <c r="K97" s="1399"/>
      <c r="L97" s="1399"/>
      <c r="M97" s="1399"/>
      <c r="N97" s="1399"/>
      <c r="O97" s="1399"/>
      <c r="P97" s="1399"/>
    </row>
    <row r="98" spans="1:16" ht="15" customHeight="1">
      <c r="B98" s="1394" t="s">
        <v>859</v>
      </c>
      <c r="C98" s="1395" t="s">
        <v>858</v>
      </c>
      <c r="D98" s="1399"/>
      <c r="E98" s="1399"/>
      <c r="F98" s="1399"/>
      <c r="G98" s="1399"/>
      <c r="H98" s="1399"/>
      <c r="I98" s="1399"/>
      <c r="J98" s="1399"/>
      <c r="K98" s="1399"/>
      <c r="L98" s="1399"/>
      <c r="M98" s="1399"/>
      <c r="N98" s="1399"/>
      <c r="O98" s="1399"/>
      <c r="P98" s="1399"/>
    </row>
    <row r="99" spans="1:16" ht="15" customHeight="1">
      <c r="B99" s="1394" t="s">
        <v>857</v>
      </c>
      <c r="C99" s="1395" t="s">
        <v>856</v>
      </c>
      <c r="D99" s="1400">
        <v>2223.75</v>
      </c>
      <c r="E99" s="1400">
        <v>2223.7600000000002</v>
      </c>
      <c r="F99" s="1400">
        <v>2223.75</v>
      </c>
      <c r="G99" s="1400">
        <v>2223.75</v>
      </c>
      <c r="H99" s="1400">
        <v>2223.7600000000002</v>
      </c>
      <c r="I99" s="1400">
        <v>2223.75</v>
      </c>
      <c r="J99" s="1400">
        <v>2223.75</v>
      </c>
      <c r="K99" s="1400">
        <v>11773.76</v>
      </c>
      <c r="L99" s="1400">
        <v>4775</v>
      </c>
      <c r="M99" s="1400">
        <v>11088</v>
      </c>
      <c r="N99" s="1400">
        <v>7931.5</v>
      </c>
      <c r="O99" s="1400">
        <v>7931.5</v>
      </c>
      <c r="P99" s="1400">
        <v>59066.03</v>
      </c>
    </row>
    <row r="100" spans="1:16" ht="15" customHeight="1">
      <c r="B100" s="1394" t="s">
        <v>1295</v>
      </c>
      <c r="C100" s="1395" t="s">
        <v>1294</v>
      </c>
      <c r="D100" s="1400">
        <v>-3.67</v>
      </c>
      <c r="E100" s="1400">
        <v>128.9</v>
      </c>
      <c r="F100" s="1400">
        <v>129.1</v>
      </c>
      <c r="G100" s="1400">
        <v>128.9</v>
      </c>
      <c r="H100" s="1400">
        <v>128.9</v>
      </c>
      <c r="I100" s="1400">
        <v>128.9</v>
      </c>
      <c r="J100" s="1400">
        <v>128.9</v>
      </c>
      <c r="K100" s="1400">
        <v>128.9</v>
      </c>
      <c r="L100" s="1400">
        <v>128.9</v>
      </c>
      <c r="M100" s="1400">
        <v>128.9</v>
      </c>
      <c r="N100" s="1400">
        <v>128.9</v>
      </c>
      <c r="O100" s="1400">
        <v>128.9</v>
      </c>
      <c r="P100" s="1400">
        <v>1414.43</v>
      </c>
    </row>
    <row r="101" spans="1:16" ht="15" customHeight="1">
      <c r="B101" s="1394" t="s">
        <v>1293</v>
      </c>
      <c r="C101" s="1395" t="s">
        <v>1292</v>
      </c>
      <c r="D101" s="1400">
        <v>2255.36</v>
      </c>
      <c r="E101" s="1400">
        <v>2255.36</v>
      </c>
      <c r="F101" s="1400">
        <v>2255.36</v>
      </c>
      <c r="G101" s="1400">
        <v>2255.36</v>
      </c>
      <c r="H101" s="1400">
        <v>2255.36</v>
      </c>
      <c r="I101" s="1400">
        <v>2255.36</v>
      </c>
      <c r="J101" s="1400">
        <v>287</v>
      </c>
      <c r="K101" s="1400">
        <v>4362.66</v>
      </c>
      <c r="L101" s="1400">
        <v>2324.83</v>
      </c>
      <c r="M101" s="1400">
        <v>2324.83</v>
      </c>
      <c r="N101" s="1400">
        <v>3924.82</v>
      </c>
      <c r="O101" s="1400">
        <v>2324.83</v>
      </c>
      <c r="P101" s="1400">
        <v>29081.13</v>
      </c>
    </row>
    <row r="102" spans="1:16" ht="15" customHeight="1">
      <c r="B102" s="1394" t="s">
        <v>1291</v>
      </c>
      <c r="C102" s="1395" t="s">
        <v>1290</v>
      </c>
      <c r="D102" s="1401">
        <v>3329.08</v>
      </c>
      <c r="E102" s="1401">
        <v>3329.08</v>
      </c>
      <c r="F102" s="1401">
        <v>3329.08</v>
      </c>
      <c r="G102" s="1401">
        <v>3329.08</v>
      </c>
      <c r="H102" s="1401">
        <v>3329.08</v>
      </c>
      <c r="I102" s="1401">
        <v>3329.08</v>
      </c>
      <c r="J102" s="1401">
        <v>0</v>
      </c>
      <c r="K102" s="1401">
        <v>0</v>
      </c>
      <c r="L102" s="1401">
        <v>0</v>
      </c>
      <c r="M102" s="1401">
        <v>0</v>
      </c>
      <c r="N102" s="1401">
        <v>0</v>
      </c>
      <c r="O102" s="1401">
        <v>0</v>
      </c>
      <c r="P102" s="1401">
        <v>19974.48</v>
      </c>
    </row>
    <row r="103" spans="1:16" ht="15" customHeight="1">
      <c r="B103" s="1394" t="s">
        <v>855</v>
      </c>
      <c r="C103" s="1395" t="s">
        <v>854</v>
      </c>
      <c r="D103" s="1403">
        <v>7804.52</v>
      </c>
      <c r="E103" s="1403">
        <v>7937.1</v>
      </c>
      <c r="F103" s="1403">
        <v>7937.29</v>
      </c>
      <c r="G103" s="1403">
        <v>7937.09</v>
      </c>
      <c r="H103" s="1403">
        <v>7937.1</v>
      </c>
      <c r="I103" s="1403">
        <v>7937.09</v>
      </c>
      <c r="J103" s="1403">
        <v>2639.65</v>
      </c>
      <c r="K103" s="1403">
        <v>16265.32</v>
      </c>
      <c r="L103" s="1403">
        <v>7228.73</v>
      </c>
      <c r="M103" s="1403">
        <v>13541.73</v>
      </c>
      <c r="N103" s="1403">
        <v>11985.22</v>
      </c>
      <c r="O103" s="1403">
        <v>10385.23</v>
      </c>
      <c r="P103" s="1403">
        <v>109536.07</v>
      </c>
    </row>
    <row r="104" spans="1:16" ht="15" customHeight="1">
      <c r="A104" s="977" t="s">
        <v>1289</v>
      </c>
      <c r="B104" s="1394" t="s">
        <v>853</v>
      </c>
      <c r="C104" s="1395" t="s">
        <v>852</v>
      </c>
      <c r="D104" s="1402">
        <v>7804.52</v>
      </c>
      <c r="E104" s="1402">
        <v>7937.1</v>
      </c>
      <c r="F104" s="1402">
        <v>7937.29</v>
      </c>
      <c r="G104" s="1402">
        <v>7937.09</v>
      </c>
      <c r="H104" s="1402">
        <v>7937.1</v>
      </c>
      <c r="I104" s="1402">
        <v>7937.09</v>
      </c>
      <c r="J104" s="1402">
        <v>2639.65</v>
      </c>
      <c r="K104" s="1402">
        <v>16265.32</v>
      </c>
      <c r="L104" s="1402">
        <v>7228.73</v>
      </c>
      <c r="M104" s="1402">
        <v>13541.73</v>
      </c>
      <c r="N104" s="1402">
        <v>11985.22</v>
      </c>
      <c r="O104" s="1402">
        <v>10385.23</v>
      </c>
      <c r="P104" s="1402">
        <v>109536.07</v>
      </c>
    </row>
    <row r="105" spans="1:16" ht="15" customHeight="1">
      <c r="B105" s="1394" t="s">
        <v>851</v>
      </c>
      <c r="C105" s="1395" t="s">
        <v>850</v>
      </c>
      <c r="D105" s="1399"/>
      <c r="E105" s="1399"/>
      <c r="F105" s="1399"/>
      <c r="G105" s="1399"/>
      <c r="H105" s="1399"/>
      <c r="I105" s="1399"/>
      <c r="J105" s="1399"/>
      <c r="K105" s="1399"/>
      <c r="L105" s="1399"/>
      <c r="M105" s="1399"/>
      <c r="N105" s="1399"/>
      <c r="O105" s="1399"/>
      <c r="P105" s="1399"/>
    </row>
    <row r="106" spans="1:16" ht="15" customHeight="1">
      <c r="B106" s="1394" t="s">
        <v>841</v>
      </c>
      <c r="C106" s="1395" t="s">
        <v>840</v>
      </c>
      <c r="D106" s="1399"/>
      <c r="E106" s="1399"/>
      <c r="F106" s="1399"/>
      <c r="G106" s="1399"/>
      <c r="H106" s="1399"/>
      <c r="I106" s="1399"/>
      <c r="J106" s="1399"/>
      <c r="K106" s="1399"/>
      <c r="L106" s="1399"/>
      <c r="M106" s="1399"/>
      <c r="N106" s="1399"/>
      <c r="O106" s="1399"/>
      <c r="P106" s="1399"/>
    </row>
    <row r="107" spans="1:16" ht="15" customHeight="1">
      <c r="B107" s="1394" t="s">
        <v>839</v>
      </c>
      <c r="C107" s="1395" t="s">
        <v>838</v>
      </c>
      <c r="D107" s="1401">
        <v>7250.34</v>
      </c>
      <c r="E107" s="1401">
        <v>14418.63</v>
      </c>
      <c r="F107" s="1401">
        <v>6786.7</v>
      </c>
      <c r="G107" s="1401">
        <v>5000</v>
      </c>
      <c r="H107" s="1401">
        <v>6344.2</v>
      </c>
      <c r="I107" s="1401">
        <v>5000</v>
      </c>
      <c r="J107" s="1401">
        <v>5000</v>
      </c>
      <c r="K107" s="1401">
        <v>5000</v>
      </c>
      <c r="L107" s="1401">
        <v>6879.1</v>
      </c>
      <c r="M107" s="1401">
        <v>5920.12</v>
      </c>
      <c r="N107" s="1401">
        <v>5000</v>
      </c>
      <c r="O107" s="1401">
        <v>5000</v>
      </c>
      <c r="P107" s="1401">
        <v>77599.09</v>
      </c>
    </row>
    <row r="108" spans="1:16" ht="15" customHeight="1">
      <c r="B108" s="1394" t="s">
        <v>837</v>
      </c>
      <c r="C108" s="1395" t="s">
        <v>836</v>
      </c>
      <c r="D108" s="1403">
        <v>7250.34</v>
      </c>
      <c r="E108" s="1403">
        <v>14418.63</v>
      </c>
      <c r="F108" s="1403">
        <v>6786.7</v>
      </c>
      <c r="G108" s="1403">
        <v>5000</v>
      </c>
      <c r="H108" s="1403">
        <v>6344.2</v>
      </c>
      <c r="I108" s="1403">
        <v>5000</v>
      </c>
      <c r="J108" s="1403">
        <v>5000</v>
      </c>
      <c r="K108" s="1403">
        <v>5000</v>
      </c>
      <c r="L108" s="1403">
        <v>6879.1</v>
      </c>
      <c r="M108" s="1403">
        <v>5920.12</v>
      </c>
      <c r="N108" s="1403">
        <v>5000</v>
      </c>
      <c r="O108" s="1403">
        <v>5000</v>
      </c>
      <c r="P108" s="1403">
        <v>77599.09</v>
      </c>
    </row>
    <row r="109" spans="1:16" ht="15" customHeight="1">
      <c r="A109" s="977" t="s">
        <v>1288</v>
      </c>
      <c r="B109" s="1394" t="s">
        <v>835</v>
      </c>
      <c r="C109" s="1395" t="s">
        <v>834</v>
      </c>
      <c r="D109" s="1402">
        <v>7250.34</v>
      </c>
      <c r="E109" s="1402">
        <v>14418.63</v>
      </c>
      <c r="F109" s="1402">
        <v>6786.7</v>
      </c>
      <c r="G109" s="1402">
        <v>5000</v>
      </c>
      <c r="H109" s="1402">
        <v>6344.2</v>
      </c>
      <c r="I109" s="1402">
        <v>5000</v>
      </c>
      <c r="J109" s="1402">
        <v>5000</v>
      </c>
      <c r="K109" s="1402">
        <v>5000</v>
      </c>
      <c r="L109" s="1402">
        <v>6879.1</v>
      </c>
      <c r="M109" s="1402">
        <v>5920.12</v>
      </c>
      <c r="N109" s="1402">
        <v>5000</v>
      </c>
      <c r="O109" s="1402">
        <v>5000</v>
      </c>
      <c r="P109" s="1402">
        <v>77599.09</v>
      </c>
    </row>
    <row r="110" spans="1:16" ht="15" customHeight="1">
      <c r="B110" s="1394" t="s">
        <v>833</v>
      </c>
      <c r="C110" s="1395" t="s">
        <v>807</v>
      </c>
      <c r="D110" s="1399"/>
      <c r="E110" s="1399"/>
      <c r="F110" s="1399"/>
      <c r="G110" s="1399"/>
      <c r="H110" s="1399"/>
      <c r="I110" s="1399"/>
      <c r="J110" s="1399"/>
      <c r="K110" s="1399"/>
      <c r="L110" s="1399"/>
      <c r="M110" s="1399"/>
      <c r="N110" s="1399"/>
      <c r="O110" s="1399"/>
      <c r="P110" s="1399"/>
    </row>
    <row r="111" spans="1:16" ht="15" customHeight="1">
      <c r="B111" s="1394" t="s">
        <v>832</v>
      </c>
      <c r="C111" s="1395" t="s">
        <v>831</v>
      </c>
      <c r="D111" s="1399"/>
      <c r="E111" s="1399"/>
      <c r="F111" s="1399"/>
      <c r="G111" s="1399"/>
      <c r="H111" s="1399"/>
      <c r="I111" s="1399"/>
      <c r="J111" s="1399"/>
      <c r="K111" s="1399"/>
      <c r="L111" s="1399"/>
      <c r="M111" s="1399"/>
      <c r="N111" s="1399"/>
      <c r="O111" s="1399"/>
      <c r="P111" s="1399"/>
    </row>
    <row r="112" spans="1:16" ht="15" customHeight="1">
      <c r="B112" s="1394" t="s">
        <v>830</v>
      </c>
      <c r="C112" s="1395" t="s">
        <v>829</v>
      </c>
      <c r="D112" s="1400">
        <v>0</v>
      </c>
      <c r="E112" s="1400">
        <v>0</v>
      </c>
      <c r="F112" s="1400">
        <v>0</v>
      </c>
      <c r="G112" s="1400">
        <v>0</v>
      </c>
      <c r="H112" s="1400">
        <v>0</v>
      </c>
      <c r="I112" s="1400">
        <v>0</v>
      </c>
      <c r="J112" s="1400">
        <v>492.75</v>
      </c>
      <c r="K112" s="1400">
        <v>0</v>
      </c>
      <c r="L112" s="1400">
        <v>0</v>
      </c>
      <c r="M112" s="1400">
        <v>0</v>
      </c>
      <c r="N112" s="1400">
        <v>0</v>
      </c>
      <c r="O112" s="1400">
        <v>0</v>
      </c>
      <c r="P112" s="1400">
        <v>492.75</v>
      </c>
    </row>
    <row r="113" spans="1:16" ht="15" customHeight="1">
      <c r="B113" s="1394" t="s">
        <v>828</v>
      </c>
      <c r="C113" s="1395" t="s">
        <v>827</v>
      </c>
      <c r="D113" s="1400">
        <v>174.41</v>
      </c>
      <c r="E113" s="1400">
        <v>15.5</v>
      </c>
      <c r="F113" s="1400">
        <v>220.72</v>
      </c>
      <c r="G113" s="1400">
        <v>0</v>
      </c>
      <c r="H113" s="1400">
        <v>138</v>
      </c>
      <c r="I113" s="1400">
        <v>16</v>
      </c>
      <c r="J113" s="1400">
        <v>52</v>
      </c>
      <c r="K113" s="1400">
        <v>18</v>
      </c>
      <c r="L113" s="1400">
        <v>74</v>
      </c>
      <c r="M113" s="1400">
        <v>26</v>
      </c>
      <c r="N113" s="1400">
        <v>36</v>
      </c>
      <c r="O113" s="1400">
        <v>0</v>
      </c>
      <c r="P113" s="1400">
        <v>770.63</v>
      </c>
    </row>
    <row r="114" spans="1:16" ht="15" customHeight="1">
      <c r="B114" s="1394" t="s">
        <v>826</v>
      </c>
      <c r="C114" s="1395" t="s">
        <v>825</v>
      </c>
      <c r="D114" s="1400">
        <v>1236.04</v>
      </c>
      <c r="E114" s="1400">
        <v>1300</v>
      </c>
      <c r="F114" s="1400">
        <v>5528.82</v>
      </c>
      <c r="G114" s="1400">
        <v>-2957.77</v>
      </c>
      <c r="H114" s="1400">
        <v>1518.09</v>
      </c>
      <c r="I114" s="1400">
        <v>1274.96</v>
      </c>
      <c r="J114" s="1400">
        <v>1297.27</v>
      </c>
      <c r="K114" s="1400">
        <v>1353.75</v>
      </c>
      <c r="L114" s="1400">
        <v>1246.08</v>
      </c>
      <c r="M114" s="1400">
        <v>1328.58</v>
      </c>
      <c r="N114" s="1400">
        <v>1238.8599999999999</v>
      </c>
      <c r="O114" s="1400">
        <v>1140.45</v>
      </c>
      <c r="P114" s="1400">
        <v>15505.13</v>
      </c>
    </row>
    <row r="115" spans="1:16" ht="15" customHeight="1">
      <c r="B115" s="1394" t="s">
        <v>1287</v>
      </c>
      <c r="C115" s="1395" t="s">
        <v>1286</v>
      </c>
      <c r="D115" s="1401">
        <v>0</v>
      </c>
      <c r="E115" s="1401">
        <v>0</v>
      </c>
      <c r="F115" s="1401">
        <v>0</v>
      </c>
      <c r="G115" s="1401">
        <v>83.43</v>
      </c>
      <c r="H115" s="1401">
        <v>0</v>
      </c>
      <c r="I115" s="1401">
        <v>0</v>
      </c>
      <c r="J115" s="1401">
        <v>0</v>
      </c>
      <c r="K115" s="1401">
        <v>0</v>
      </c>
      <c r="L115" s="1401">
        <v>0</v>
      </c>
      <c r="M115" s="1401">
        <v>0</v>
      </c>
      <c r="N115" s="1401">
        <v>0</v>
      </c>
      <c r="O115" s="1401">
        <v>0</v>
      </c>
      <c r="P115" s="1401">
        <v>83.43</v>
      </c>
    </row>
    <row r="116" spans="1:16" ht="15" customHeight="1">
      <c r="B116" s="1394" t="s">
        <v>824</v>
      </c>
      <c r="C116" s="1395" t="s">
        <v>823</v>
      </c>
      <c r="D116" s="1402">
        <v>1410.45</v>
      </c>
      <c r="E116" s="1402">
        <v>1315.5</v>
      </c>
      <c r="F116" s="1402">
        <v>5749.54</v>
      </c>
      <c r="G116" s="1402">
        <v>-2874.34</v>
      </c>
      <c r="H116" s="1402">
        <v>1656.09</v>
      </c>
      <c r="I116" s="1402">
        <v>1290.96</v>
      </c>
      <c r="J116" s="1402">
        <v>1842.02</v>
      </c>
      <c r="K116" s="1402">
        <v>1371.75</v>
      </c>
      <c r="L116" s="1402">
        <v>1320.08</v>
      </c>
      <c r="M116" s="1402">
        <v>1354.58</v>
      </c>
      <c r="N116" s="1402">
        <v>1274.8599999999999</v>
      </c>
      <c r="O116" s="1402">
        <v>1140.45</v>
      </c>
      <c r="P116" s="1402">
        <v>16851.939999999999</v>
      </c>
    </row>
    <row r="117" spans="1:16" ht="15" customHeight="1">
      <c r="B117" s="1394" t="s">
        <v>1285</v>
      </c>
      <c r="C117" s="1395" t="s">
        <v>1284</v>
      </c>
      <c r="D117" s="1399"/>
      <c r="E117" s="1399"/>
      <c r="F117" s="1399"/>
      <c r="G117" s="1399"/>
      <c r="H117" s="1399"/>
      <c r="I117" s="1399"/>
      <c r="J117" s="1399"/>
      <c r="K117" s="1399"/>
      <c r="L117" s="1399"/>
      <c r="M117" s="1399"/>
      <c r="N117" s="1399"/>
      <c r="O117" s="1399"/>
      <c r="P117" s="1399"/>
    </row>
    <row r="118" spans="1:16" ht="15" customHeight="1">
      <c r="B118" s="1394" t="s">
        <v>1283</v>
      </c>
      <c r="C118" s="1395" t="s">
        <v>1282</v>
      </c>
      <c r="D118" s="1400">
        <v>10</v>
      </c>
      <c r="E118" s="1400">
        <v>0</v>
      </c>
      <c r="F118" s="1400">
        <v>0</v>
      </c>
      <c r="G118" s="1400">
        <v>0</v>
      </c>
      <c r="H118" s="1400">
        <v>0</v>
      </c>
      <c r="I118" s="1400">
        <v>0</v>
      </c>
      <c r="J118" s="1400">
        <v>29.57</v>
      </c>
      <c r="K118" s="1400">
        <v>0</v>
      </c>
      <c r="L118" s="1400">
        <v>0</v>
      </c>
      <c r="M118" s="1400">
        <v>0</v>
      </c>
      <c r="N118" s="1400">
        <v>0</v>
      </c>
      <c r="O118" s="1400">
        <v>0</v>
      </c>
      <c r="P118" s="1400">
        <v>39.57</v>
      </c>
    </row>
    <row r="119" spans="1:16" ht="15" customHeight="1">
      <c r="B119" s="1394" t="s">
        <v>1281</v>
      </c>
      <c r="C119" s="1395" t="s">
        <v>1280</v>
      </c>
      <c r="D119" s="1401">
        <v>65.7</v>
      </c>
      <c r="E119" s="1401">
        <v>0</v>
      </c>
      <c r="F119" s="1401">
        <v>83.18</v>
      </c>
      <c r="G119" s="1401">
        <v>0</v>
      </c>
      <c r="H119" s="1401">
        <v>0</v>
      </c>
      <c r="I119" s="1401">
        <v>0</v>
      </c>
      <c r="J119" s="1401">
        <v>114.32</v>
      </c>
      <c r="K119" s="1401">
        <v>0</v>
      </c>
      <c r="L119" s="1401">
        <v>0</v>
      </c>
      <c r="M119" s="1401">
        <v>0</v>
      </c>
      <c r="N119" s="1401">
        <v>0</v>
      </c>
      <c r="O119" s="1401">
        <v>0</v>
      </c>
      <c r="P119" s="1401">
        <v>263.2</v>
      </c>
    </row>
    <row r="120" spans="1:16" ht="15" customHeight="1">
      <c r="B120" s="1394" t="s">
        <v>1279</v>
      </c>
      <c r="C120" s="1395" t="s">
        <v>1278</v>
      </c>
      <c r="D120" s="1402">
        <v>75.7</v>
      </c>
      <c r="E120" s="1402">
        <v>0</v>
      </c>
      <c r="F120" s="1402">
        <v>83.18</v>
      </c>
      <c r="G120" s="1402">
        <v>0</v>
      </c>
      <c r="H120" s="1402">
        <v>0</v>
      </c>
      <c r="I120" s="1402">
        <v>0</v>
      </c>
      <c r="J120" s="1402">
        <v>143.88999999999999</v>
      </c>
      <c r="K120" s="1402">
        <v>0</v>
      </c>
      <c r="L120" s="1402">
        <v>0</v>
      </c>
      <c r="M120" s="1402">
        <v>0</v>
      </c>
      <c r="N120" s="1402">
        <v>0</v>
      </c>
      <c r="O120" s="1402">
        <v>0</v>
      </c>
      <c r="P120" s="1402">
        <v>302.77</v>
      </c>
    </row>
    <row r="121" spans="1:16" ht="15" customHeight="1">
      <c r="B121" s="1394" t="s">
        <v>1024</v>
      </c>
      <c r="C121" s="1395" t="s">
        <v>1025</v>
      </c>
      <c r="D121" s="1399"/>
      <c r="E121" s="1399"/>
      <c r="F121" s="1399"/>
      <c r="G121" s="1399"/>
      <c r="H121" s="1399"/>
      <c r="I121" s="1399"/>
      <c r="J121" s="1399"/>
      <c r="K121" s="1399"/>
      <c r="L121" s="1399"/>
      <c r="M121" s="1399"/>
      <c r="N121" s="1399"/>
      <c r="O121" s="1399"/>
      <c r="P121" s="1399"/>
    </row>
    <row r="122" spans="1:16" ht="15" customHeight="1">
      <c r="B122" s="1394" t="s">
        <v>1026</v>
      </c>
      <c r="C122" s="1395" t="s">
        <v>1027</v>
      </c>
      <c r="D122" s="1401">
        <v>0</v>
      </c>
      <c r="E122" s="1401">
        <v>0</v>
      </c>
      <c r="F122" s="1401">
        <v>0</v>
      </c>
      <c r="G122" s="1401">
        <v>0</v>
      </c>
      <c r="H122" s="1401">
        <v>0</v>
      </c>
      <c r="I122" s="1401">
        <v>0</v>
      </c>
      <c r="J122" s="1401">
        <v>0</v>
      </c>
      <c r="K122" s="1401">
        <v>0</v>
      </c>
      <c r="L122" s="1401">
        <v>489075</v>
      </c>
      <c r="M122" s="1401">
        <v>0</v>
      </c>
      <c r="N122" s="1401">
        <v>0</v>
      </c>
      <c r="O122" s="1401">
        <v>104555.45</v>
      </c>
      <c r="P122" s="1401">
        <v>593630.44999999995</v>
      </c>
    </row>
    <row r="123" spans="1:16" ht="15" customHeight="1">
      <c r="B123" s="1394" t="s">
        <v>1028</v>
      </c>
      <c r="C123" s="1395" t="s">
        <v>1029</v>
      </c>
      <c r="D123" s="1403">
        <v>0</v>
      </c>
      <c r="E123" s="1403">
        <v>0</v>
      </c>
      <c r="F123" s="1403">
        <v>0</v>
      </c>
      <c r="G123" s="1403">
        <v>0</v>
      </c>
      <c r="H123" s="1403">
        <v>0</v>
      </c>
      <c r="I123" s="1403">
        <v>0</v>
      </c>
      <c r="J123" s="1403">
        <v>0</v>
      </c>
      <c r="K123" s="1403">
        <v>0</v>
      </c>
      <c r="L123" s="1403">
        <v>489075</v>
      </c>
      <c r="M123" s="1403">
        <v>0</v>
      </c>
      <c r="N123" s="1403">
        <v>0</v>
      </c>
      <c r="O123" s="1403">
        <v>104555.45</v>
      </c>
      <c r="P123" s="1403">
        <v>593630.44999999995</v>
      </c>
    </row>
    <row r="124" spans="1:16" ht="15" customHeight="1">
      <c r="A124" s="977" t="s">
        <v>1241</v>
      </c>
      <c r="B124" s="1394" t="s">
        <v>822</v>
      </c>
      <c r="C124" s="1395" t="s">
        <v>821</v>
      </c>
      <c r="D124" s="1402">
        <v>1486.15</v>
      </c>
      <c r="E124" s="1402">
        <v>1315.5</v>
      </c>
      <c r="F124" s="1402">
        <v>5832.72</v>
      </c>
      <c r="G124" s="1402">
        <v>-2874.34</v>
      </c>
      <c r="H124" s="1402">
        <v>1656.09</v>
      </c>
      <c r="I124" s="1402">
        <v>1290.96</v>
      </c>
      <c r="J124" s="1402">
        <v>1985.91</v>
      </c>
      <c r="K124" s="1402">
        <v>1371.75</v>
      </c>
      <c r="L124" s="1402">
        <v>490395.08</v>
      </c>
      <c r="M124" s="1402">
        <v>1354.58</v>
      </c>
      <c r="N124" s="1402">
        <v>1274.8599999999999</v>
      </c>
      <c r="O124" s="1402">
        <v>105695.9</v>
      </c>
      <c r="P124" s="1402">
        <v>610785.16</v>
      </c>
    </row>
    <row r="125" spans="1:16" ht="15" customHeight="1">
      <c r="B125" s="1394" t="s">
        <v>2234</v>
      </c>
      <c r="C125" s="1395" t="s">
        <v>2235</v>
      </c>
      <c r="D125" s="1399"/>
      <c r="E125" s="1399"/>
      <c r="F125" s="1399"/>
      <c r="G125" s="1399"/>
      <c r="H125" s="1399"/>
      <c r="I125" s="1399"/>
      <c r="J125" s="1399"/>
      <c r="K125" s="1399"/>
      <c r="L125" s="1399"/>
      <c r="M125" s="1399"/>
      <c r="N125" s="1399"/>
      <c r="O125" s="1399"/>
      <c r="P125" s="1399"/>
    </row>
    <row r="126" spans="1:16" ht="15" customHeight="1">
      <c r="B126" s="1394" t="s">
        <v>978</v>
      </c>
      <c r="C126" s="1395" t="s">
        <v>979</v>
      </c>
      <c r="D126" s="1399"/>
      <c r="E126" s="1399"/>
      <c r="F126" s="1399"/>
      <c r="G126" s="1399"/>
      <c r="H126" s="1399"/>
      <c r="I126" s="1399"/>
      <c r="J126" s="1399"/>
      <c r="K126" s="1399"/>
      <c r="L126" s="1399"/>
      <c r="M126" s="1399"/>
      <c r="N126" s="1399"/>
      <c r="O126" s="1399"/>
      <c r="P126" s="1399"/>
    </row>
    <row r="127" spans="1:16" ht="15" customHeight="1">
      <c r="B127" s="1394" t="s">
        <v>980</v>
      </c>
      <c r="C127" s="1395" t="s">
        <v>981</v>
      </c>
      <c r="D127" s="1400">
        <v>51.25</v>
      </c>
      <c r="E127" s="1400">
        <v>584.13</v>
      </c>
      <c r="F127" s="1400">
        <v>51.25</v>
      </c>
      <c r="G127" s="1400">
        <v>291.25</v>
      </c>
      <c r="H127" s="1400">
        <v>716.25</v>
      </c>
      <c r="I127" s="1400">
        <v>0</v>
      </c>
      <c r="J127" s="1400">
        <v>0</v>
      </c>
      <c r="K127" s="1400">
        <v>0</v>
      </c>
      <c r="L127" s="1400">
        <v>0</v>
      </c>
      <c r="M127" s="1400">
        <v>0</v>
      </c>
      <c r="N127" s="1400">
        <v>310</v>
      </c>
      <c r="O127" s="1400">
        <v>1436</v>
      </c>
      <c r="P127" s="1400">
        <v>3440.13</v>
      </c>
    </row>
    <row r="128" spans="1:16" ht="15" customHeight="1">
      <c r="B128" s="1394" t="s">
        <v>1277</v>
      </c>
      <c r="C128" s="1395" t="s">
        <v>1276</v>
      </c>
      <c r="D128" s="1401">
        <v>254.26</v>
      </c>
      <c r="E128" s="1401">
        <v>0</v>
      </c>
      <c r="F128" s="1401">
        <v>0</v>
      </c>
      <c r="G128" s="1401">
        <v>250</v>
      </c>
      <c r="H128" s="1401">
        <v>0</v>
      </c>
      <c r="I128" s="1401">
        <v>8645.7800000000007</v>
      </c>
      <c r="J128" s="1401">
        <v>0</v>
      </c>
      <c r="K128" s="1401">
        <v>0</v>
      </c>
      <c r="L128" s="1401">
        <v>0</v>
      </c>
      <c r="M128" s="1401">
        <v>0</v>
      </c>
      <c r="N128" s="1401">
        <v>0</v>
      </c>
      <c r="O128" s="1401">
        <v>0</v>
      </c>
      <c r="P128" s="1401">
        <v>9150.0400000000009</v>
      </c>
    </row>
    <row r="129" spans="1:16" ht="15" customHeight="1">
      <c r="B129" s="1394" t="s">
        <v>982</v>
      </c>
      <c r="C129" s="1395" t="s">
        <v>983</v>
      </c>
      <c r="D129" s="1403">
        <v>305.51</v>
      </c>
      <c r="E129" s="1403">
        <v>584.13</v>
      </c>
      <c r="F129" s="1403">
        <v>51.25</v>
      </c>
      <c r="G129" s="1403">
        <v>541.25</v>
      </c>
      <c r="H129" s="1403">
        <v>716.25</v>
      </c>
      <c r="I129" s="1403">
        <v>8645.7800000000007</v>
      </c>
      <c r="J129" s="1403">
        <v>0</v>
      </c>
      <c r="K129" s="1403">
        <v>0</v>
      </c>
      <c r="L129" s="1403">
        <v>0</v>
      </c>
      <c r="M129" s="1403">
        <v>0</v>
      </c>
      <c r="N129" s="1403">
        <v>310</v>
      </c>
      <c r="O129" s="1403">
        <v>1436</v>
      </c>
      <c r="P129" s="1403">
        <v>12590.17</v>
      </c>
    </row>
    <row r="130" spans="1:16" ht="15" customHeight="1">
      <c r="A130" s="977" t="s">
        <v>1241</v>
      </c>
      <c r="B130" s="1394" t="s">
        <v>984</v>
      </c>
      <c r="C130" s="1395" t="s">
        <v>985</v>
      </c>
      <c r="D130" s="1402">
        <v>305.51</v>
      </c>
      <c r="E130" s="1402">
        <v>584.13</v>
      </c>
      <c r="F130" s="1402">
        <v>51.25</v>
      </c>
      <c r="G130" s="1402">
        <v>541.25</v>
      </c>
      <c r="H130" s="1402">
        <v>716.25</v>
      </c>
      <c r="I130" s="1402">
        <v>8645.7800000000007</v>
      </c>
      <c r="J130" s="1402">
        <v>0</v>
      </c>
      <c r="K130" s="1402">
        <v>0</v>
      </c>
      <c r="L130" s="1402">
        <v>0</v>
      </c>
      <c r="M130" s="1402">
        <v>0</v>
      </c>
      <c r="N130" s="1402">
        <v>310</v>
      </c>
      <c r="O130" s="1402">
        <v>1436</v>
      </c>
      <c r="P130" s="1402">
        <v>12590.17</v>
      </c>
    </row>
    <row r="131" spans="1:16" ht="15" customHeight="1">
      <c r="B131" s="1394" t="s">
        <v>820</v>
      </c>
      <c r="C131" s="1395" t="s">
        <v>806</v>
      </c>
      <c r="D131" s="1399"/>
      <c r="E131" s="1399"/>
      <c r="F131" s="1399"/>
      <c r="G131" s="1399"/>
      <c r="H131" s="1399"/>
      <c r="I131" s="1399"/>
      <c r="J131" s="1399"/>
      <c r="K131" s="1399"/>
      <c r="L131" s="1399"/>
      <c r="M131" s="1399"/>
      <c r="N131" s="1399"/>
      <c r="O131" s="1399"/>
      <c r="P131" s="1399"/>
    </row>
    <row r="132" spans="1:16" ht="15" customHeight="1">
      <c r="B132" s="1394" t="s">
        <v>1275</v>
      </c>
      <c r="C132" s="1395" t="s">
        <v>1274</v>
      </c>
      <c r="D132" s="1399"/>
      <c r="E132" s="1399"/>
      <c r="F132" s="1399"/>
      <c r="G132" s="1399"/>
      <c r="H132" s="1399"/>
      <c r="I132" s="1399"/>
      <c r="J132" s="1399"/>
      <c r="K132" s="1399"/>
      <c r="L132" s="1399"/>
      <c r="M132" s="1399"/>
      <c r="N132" s="1399"/>
      <c r="O132" s="1399"/>
      <c r="P132" s="1399"/>
    </row>
    <row r="133" spans="1:16" ht="15" customHeight="1">
      <c r="B133" s="1394" t="s">
        <v>1267</v>
      </c>
      <c r="C133" s="1395" t="s">
        <v>1266</v>
      </c>
      <c r="D133" s="1400">
        <v>5478.25</v>
      </c>
      <c r="E133" s="1400">
        <v>217.4</v>
      </c>
      <c r="F133" s="1400">
        <v>853.6</v>
      </c>
      <c r="G133" s="1400">
        <v>332.65</v>
      </c>
      <c r="H133" s="1400">
        <v>0</v>
      </c>
      <c r="I133" s="1400">
        <v>259.14999999999998</v>
      </c>
      <c r="J133" s="1400">
        <v>150</v>
      </c>
      <c r="K133" s="1400">
        <v>0</v>
      </c>
      <c r="L133" s="1400">
        <v>0</v>
      </c>
      <c r="M133" s="1400">
        <v>0</v>
      </c>
      <c r="N133" s="1400">
        <v>0</v>
      </c>
      <c r="O133" s="1400">
        <v>0</v>
      </c>
      <c r="P133" s="1400">
        <v>7291.05</v>
      </c>
    </row>
    <row r="134" spans="1:16" ht="15" customHeight="1">
      <c r="B134" s="1394" t="s">
        <v>1263</v>
      </c>
      <c r="C134" s="1395" t="s">
        <v>1262</v>
      </c>
      <c r="D134" s="1401">
        <v>14310</v>
      </c>
      <c r="E134" s="1401">
        <v>0</v>
      </c>
      <c r="F134" s="1401">
        <v>0</v>
      </c>
      <c r="G134" s="1401">
        <v>1001.25</v>
      </c>
      <c r="H134" s="1401">
        <v>0</v>
      </c>
      <c r="I134" s="1401">
        <v>0</v>
      </c>
      <c r="J134" s="1401">
        <v>0</v>
      </c>
      <c r="K134" s="1401">
        <v>0</v>
      </c>
      <c r="L134" s="1401">
        <v>0</v>
      </c>
      <c r="M134" s="1401">
        <v>0</v>
      </c>
      <c r="N134" s="1401">
        <v>0</v>
      </c>
      <c r="O134" s="1401">
        <v>0</v>
      </c>
      <c r="P134" s="1401">
        <v>15311.25</v>
      </c>
    </row>
    <row r="135" spans="1:16" ht="15" customHeight="1">
      <c r="B135" s="1394" t="s">
        <v>1261</v>
      </c>
      <c r="C135" s="1395" t="s">
        <v>1260</v>
      </c>
      <c r="D135" s="1402">
        <v>19788.25</v>
      </c>
      <c r="E135" s="1402">
        <v>217.4</v>
      </c>
      <c r="F135" s="1402">
        <v>853.6</v>
      </c>
      <c r="G135" s="1402">
        <v>1333.9</v>
      </c>
      <c r="H135" s="1402">
        <v>0</v>
      </c>
      <c r="I135" s="1402">
        <v>259.14999999999998</v>
      </c>
      <c r="J135" s="1402">
        <v>150</v>
      </c>
      <c r="K135" s="1402">
        <v>0</v>
      </c>
      <c r="L135" s="1402">
        <v>0</v>
      </c>
      <c r="M135" s="1402">
        <v>0</v>
      </c>
      <c r="N135" s="1402">
        <v>0</v>
      </c>
      <c r="O135" s="1402">
        <v>0</v>
      </c>
      <c r="P135" s="1402">
        <v>22602.3</v>
      </c>
    </row>
    <row r="136" spans="1:16" ht="15" customHeight="1">
      <c r="B136" s="1394" t="s">
        <v>1259</v>
      </c>
      <c r="C136" s="1395" t="s">
        <v>1258</v>
      </c>
      <c r="D136" s="1399"/>
      <c r="E136" s="1399"/>
      <c r="F136" s="1399"/>
      <c r="G136" s="1399"/>
      <c r="H136" s="1399"/>
      <c r="I136" s="1399"/>
      <c r="J136" s="1399"/>
      <c r="K136" s="1399"/>
      <c r="L136" s="1399"/>
      <c r="M136" s="1399"/>
      <c r="N136" s="1399"/>
      <c r="O136" s="1399"/>
      <c r="P136" s="1399"/>
    </row>
    <row r="137" spans="1:16" ht="15" customHeight="1">
      <c r="B137" s="1394" t="s">
        <v>1253</v>
      </c>
      <c r="C137" s="1395" t="s">
        <v>1252</v>
      </c>
      <c r="D137" s="1401">
        <v>0</v>
      </c>
      <c r="E137" s="1401">
        <v>0</v>
      </c>
      <c r="F137" s="1401">
        <v>0</v>
      </c>
      <c r="G137" s="1401">
        <v>2700</v>
      </c>
      <c r="H137" s="1401">
        <v>3916</v>
      </c>
      <c r="I137" s="1401">
        <v>1986</v>
      </c>
      <c r="J137" s="1401">
        <v>1916</v>
      </c>
      <c r="K137" s="1401">
        <v>1932</v>
      </c>
      <c r="L137" s="1401">
        <v>1950</v>
      </c>
      <c r="M137" s="1401">
        <v>1950</v>
      </c>
      <c r="N137" s="1401">
        <v>1950</v>
      </c>
      <c r="O137" s="1401">
        <v>1950</v>
      </c>
      <c r="P137" s="1401">
        <v>20250</v>
      </c>
    </row>
    <row r="138" spans="1:16" ht="15" customHeight="1">
      <c r="B138" s="1394" t="s">
        <v>1251</v>
      </c>
      <c r="C138" s="1395" t="s">
        <v>1250</v>
      </c>
      <c r="D138" s="1402">
        <v>0</v>
      </c>
      <c r="E138" s="1402">
        <v>0</v>
      </c>
      <c r="F138" s="1402">
        <v>0</v>
      </c>
      <c r="G138" s="1402">
        <v>2700</v>
      </c>
      <c r="H138" s="1402">
        <v>3916</v>
      </c>
      <c r="I138" s="1402">
        <v>1986</v>
      </c>
      <c r="J138" s="1402">
        <v>1916</v>
      </c>
      <c r="K138" s="1402">
        <v>1932</v>
      </c>
      <c r="L138" s="1402">
        <v>1950</v>
      </c>
      <c r="M138" s="1402">
        <v>1950</v>
      </c>
      <c r="N138" s="1402">
        <v>1950</v>
      </c>
      <c r="O138" s="1402">
        <v>1950</v>
      </c>
      <c r="P138" s="1402">
        <v>20250</v>
      </c>
    </row>
    <row r="139" spans="1:16" ht="15" customHeight="1">
      <c r="B139" s="1394" t="s">
        <v>819</v>
      </c>
      <c r="C139" s="1395" t="s">
        <v>818</v>
      </c>
      <c r="D139" s="1399"/>
      <c r="E139" s="1399"/>
      <c r="F139" s="1399"/>
      <c r="G139" s="1399"/>
      <c r="H139" s="1399"/>
      <c r="I139" s="1399"/>
      <c r="J139" s="1399"/>
      <c r="K139" s="1399"/>
      <c r="L139" s="1399"/>
      <c r="M139" s="1399"/>
      <c r="N139" s="1399"/>
      <c r="O139" s="1399"/>
      <c r="P139" s="1399"/>
    </row>
    <row r="140" spans="1:16" ht="15" customHeight="1">
      <c r="B140" s="1394" t="s">
        <v>817</v>
      </c>
      <c r="C140" s="1395" t="s">
        <v>816</v>
      </c>
      <c r="D140" s="1401">
        <v>0</v>
      </c>
      <c r="E140" s="1401">
        <v>7500</v>
      </c>
      <c r="F140" s="1401">
        <v>0</v>
      </c>
      <c r="G140" s="1401">
        <v>2271.2800000000002</v>
      </c>
      <c r="H140" s="1401">
        <v>4294.5</v>
      </c>
      <c r="I140" s="1401">
        <v>5000</v>
      </c>
      <c r="J140" s="1401">
        <v>0</v>
      </c>
      <c r="K140" s="1401">
        <v>0</v>
      </c>
      <c r="L140" s="1401">
        <v>0</v>
      </c>
      <c r="M140" s="1401">
        <v>0</v>
      </c>
      <c r="N140" s="1401">
        <v>0</v>
      </c>
      <c r="O140" s="1401">
        <v>0</v>
      </c>
      <c r="P140" s="1401">
        <v>19065.78</v>
      </c>
    </row>
    <row r="141" spans="1:16" ht="15" customHeight="1">
      <c r="B141" s="1394" t="s">
        <v>815</v>
      </c>
      <c r="C141" s="1395" t="s">
        <v>814</v>
      </c>
      <c r="D141" s="1403">
        <v>0</v>
      </c>
      <c r="E141" s="1403">
        <v>7500</v>
      </c>
      <c r="F141" s="1403">
        <v>0</v>
      </c>
      <c r="G141" s="1403">
        <v>2271.2800000000002</v>
      </c>
      <c r="H141" s="1403">
        <v>4294.5</v>
      </c>
      <c r="I141" s="1403">
        <v>5000</v>
      </c>
      <c r="J141" s="1403">
        <v>0</v>
      </c>
      <c r="K141" s="1403">
        <v>0</v>
      </c>
      <c r="L141" s="1403">
        <v>0</v>
      </c>
      <c r="M141" s="1403">
        <v>0</v>
      </c>
      <c r="N141" s="1403">
        <v>0</v>
      </c>
      <c r="O141" s="1403">
        <v>0</v>
      </c>
      <c r="P141" s="1403">
        <v>19065.78</v>
      </c>
    </row>
    <row r="142" spans="1:16" ht="15" customHeight="1">
      <c r="A142" s="977" t="s">
        <v>1241</v>
      </c>
      <c r="B142" s="1394" t="s">
        <v>813</v>
      </c>
      <c r="C142" s="1395" t="s">
        <v>812</v>
      </c>
      <c r="D142" s="1402">
        <v>19788.25</v>
      </c>
      <c r="E142" s="1402">
        <v>7717.4</v>
      </c>
      <c r="F142" s="1402">
        <v>853.6</v>
      </c>
      <c r="G142" s="1402">
        <v>6305.18</v>
      </c>
      <c r="H142" s="1402">
        <v>8210.5</v>
      </c>
      <c r="I142" s="1402">
        <v>7245.15</v>
      </c>
      <c r="J142" s="1402">
        <v>2066</v>
      </c>
      <c r="K142" s="1402">
        <v>1932</v>
      </c>
      <c r="L142" s="1402">
        <v>1950</v>
      </c>
      <c r="M142" s="1402">
        <v>1950</v>
      </c>
      <c r="N142" s="1402">
        <v>1950</v>
      </c>
      <c r="O142" s="1402">
        <v>1950</v>
      </c>
      <c r="P142" s="1402">
        <v>61918.080000000002</v>
      </c>
    </row>
    <row r="143" spans="1:16" ht="15" customHeight="1">
      <c r="B143" s="1394" t="s">
        <v>811</v>
      </c>
      <c r="C143" s="1395" t="s">
        <v>810</v>
      </c>
      <c r="D143" s="1399"/>
      <c r="E143" s="1399"/>
      <c r="F143" s="1399"/>
      <c r="G143" s="1399"/>
      <c r="H143" s="1399"/>
      <c r="I143" s="1399"/>
      <c r="J143" s="1399"/>
      <c r="K143" s="1399"/>
      <c r="L143" s="1399"/>
      <c r="M143" s="1399"/>
      <c r="N143" s="1399"/>
      <c r="O143" s="1399"/>
      <c r="P143" s="1399"/>
    </row>
    <row r="144" spans="1:16" ht="15" customHeight="1">
      <c r="B144" s="1394" t="s">
        <v>1236</v>
      </c>
      <c r="C144" s="1395" t="s">
        <v>1235</v>
      </c>
      <c r="D144" s="1399"/>
      <c r="E144" s="1399"/>
      <c r="F144" s="1399"/>
      <c r="G144" s="1399"/>
      <c r="H144" s="1399"/>
      <c r="I144" s="1399"/>
      <c r="J144" s="1399"/>
      <c r="K144" s="1399"/>
      <c r="L144" s="1399"/>
      <c r="M144" s="1399"/>
      <c r="N144" s="1399"/>
      <c r="O144" s="1399"/>
      <c r="P144" s="1399"/>
    </row>
    <row r="145" spans="1:16" ht="15" customHeight="1">
      <c r="B145" s="1394" t="s">
        <v>1234</v>
      </c>
      <c r="C145" s="1395" t="s">
        <v>1233</v>
      </c>
      <c r="D145" s="1401">
        <v>0</v>
      </c>
      <c r="E145" s="1401">
        <v>0</v>
      </c>
      <c r="F145" s="1401">
        <v>0</v>
      </c>
      <c r="G145" s="1401">
        <v>0</v>
      </c>
      <c r="H145" s="1401">
        <v>0</v>
      </c>
      <c r="I145" s="1401">
        <v>0</v>
      </c>
      <c r="J145" s="1401">
        <v>113.55</v>
      </c>
      <c r="K145" s="1401">
        <v>0</v>
      </c>
      <c r="L145" s="1401">
        <v>0</v>
      </c>
      <c r="M145" s="1401">
        <v>0</v>
      </c>
      <c r="N145" s="1401">
        <v>0</v>
      </c>
      <c r="O145" s="1401">
        <v>0</v>
      </c>
      <c r="P145" s="1401">
        <v>113.55</v>
      </c>
    </row>
    <row r="146" spans="1:16" ht="15" customHeight="1">
      <c r="B146" s="1394" t="s">
        <v>1232</v>
      </c>
      <c r="C146" s="1395" t="s">
        <v>1231</v>
      </c>
      <c r="D146" s="1402">
        <v>0</v>
      </c>
      <c r="E146" s="1402">
        <v>0</v>
      </c>
      <c r="F146" s="1402">
        <v>0</v>
      </c>
      <c r="G146" s="1402">
        <v>0</v>
      </c>
      <c r="H146" s="1402">
        <v>0</v>
      </c>
      <c r="I146" s="1402">
        <v>0</v>
      </c>
      <c r="J146" s="1402">
        <v>113.55</v>
      </c>
      <c r="K146" s="1402">
        <v>0</v>
      </c>
      <c r="L146" s="1402">
        <v>0</v>
      </c>
      <c r="M146" s="1402">
        <v>0</v>
      </c>
      <c r="N146" s="1402">
        <v>0</v>
      </c>
      <c r="O146" s="1402">
        <v>0</v>
      </c>
      <c r="P146" s="1402">
        <v>113.55</v>
      </c>
    </row>
    <row r="147" spans="1:16" ht="15" customHeight="1">
      <c r="B147" s="1394" t="s">
        <v>1230</v>
      </c>
      <c r="C147" s="1395" t="s">
        <v>1229</v>
      </c>
      <c r="D147" s="1399"/>
      <c r="E147" s="1399"/>
      <c r="F147" s="1399"/>
      <c r="G147" s="1399"/>
      <c r="H147" s="1399"/>
      <c r="I147" s="1399"/>
      <c r="J147" s="1399"/>
      <c r="K147" s="1399"/>
      <c r="L147" s="1399"/>
      <c r="M147" s="1399"/>
      <c r="N147" s="1399"/>
      <c r="O147" s="1399"/>
      <c r="P147" s="1399"/>
    </row>
    <row r="148" spans="1:16" ht="15" customHeight="1">
      <c r="B148" s="1394" t="s">
        <v>1228</v>
      </c>
      <c r="C148" s="1395" t="s">
        <v>1227</v>
      </c>
      <c r="D148" s="1401">
        <v>11700</v>
      </c>
      <c r="E148" s="1401">
        <v>3900</v>
      </c>
      <c r="F148" s="1401">
        <v>3900</v>
      </c>
      <c r="G148" s="1401">
        <v>3900</v>
      </c>
      <c r="H148" s="1401">
        <v>1950</v>
      </c>
      <c r="I148" s="1401">
        <v>0</v>
      </c>
      <c r="J148" s="1401">
        <v>0</v>
      </c>
      <c r="K148" s="1401">
        <v>1950</v>
      </c>
      <c r="L148" s="1401">
        <v>1950</v>
      </c>
      <c r="M148" s="1401">
        <v>0</v>
      </c>
      <c r="N148" s="1401">
        <v>3900</v>
      </c>
      <c r="O148" s="1401">
        <v>0</v>
      </c>
      <c r="P148" s="1401">
        <v>33150</v>
      </c>
    </row>
    <row r="149" spans="1:16" ht="15" customHeight="1">
      <c r="B149" s="1394" t="s">
        <v>1226</v>
      </c>
      <c r="C149" s="1395" t="s">
        <v>1225</v>
      </c>
      <c r="D149" s="1403">
        <v>11700</v>
      </c>
      <c r="E149" s="1403">
        <v>3900</v>
      </c>
      <c r="F149" s="1403">
        <v>3900</v>
      </c>
      <c r="G149" s="1403">
        <v>3900</v>
      </c>
      <c r="H149" s="1403">
        <v>1950</v>
      </c>
      <c r="I149" s="1403">
        <v>0</v>
      </c>
      <c r="J149" s="1403">
        <v>0</v>
      </c>
      <c r="K149" s="1403">
        <v>1950</v>
      </c>
      <c r="L149" s="1403">
        <v>1950</v>
      </c>
      <c r="M149" s="1403">
        <v>0</v>
      </c>
      <c r="N149" s="1403">
        <v>3900</v>
      </c>
      <c r="O149" s="1403">
        <v>0</v>
      </c>
      <c r="P149" s="1403">
        <v>33150</v>
      </c>
    </row>
    <row r="150" spans="1:16" ht="15" customHeight="1">
      <c r="A150" s="977" t="s">
        <v>1241</v>
      </c>
      <c r="B150" s="1394" t="s">
        <v>990</v>
      </c>
      <c r="C150" s="1395" t="s">
        <v>991</v>
      </c>
      <c r="D150" s="1402">
        <v>11700</v>
      </c>
      <c r="E150" s="1402">
        <v>3900</v>
      </c>
      <c r="F150" s="1402">
        <v>3900</v>
      </c>
      <c r="G150" s="1402">
        <v>3900</v>
      </c>
      <c r="H150" s="1402">
        <v>1950</v>
      </c>
      <c r="I150" s="1402">
        <v>0</v>
      </c>
      <c r="J150" s="1402">
        <v>113.55</v>
      </c>
      <c r="K150" s="1402">
        <v>1950</v>
      </c>
      <c r="L150" s="1402">
        <v>1950</v>
      </c>
      <c r="M150" s="1402">
        <v>0</v>
      </c>
      <c r="N150" s="1402">
        <v>3900</v>
      </c>
      <c r="O150" s="1402">
        <v>0</v>
      </c>
      <c r="P150" s="1402">
        <v>33263.550000000003</v>
      </c>
    </row>
    <row r="151" spans="1:16" ht="15" customHeight="1">
      <c r="B151" s="1394" t="s">
        <v>1224</v>
      </c>
      <c r="C151" s="1395" t="s">
        <v>1223</v>
      </c>
      <c r="D151" s="1399"/>
      <c r="E151" s="1399"/>
      <c r="F151" s="1399"/>
      <c r="G151" s="1399"/>
      <c r="H151" s="1399"/>
      <c r="I151" s="1399"/>
      <c r="J151" s="1399"/>
      <c r="K151" s="1399"/>
      <c r="L151" s="1399"/>
      <c r="M151" s="1399"/>
      <c r="N151" s="1399"/>
      <c r="O151" s="1399"/>
      <c r="P151" s="1399"/>
    </row>
    <row r="152" spans="1:16" ht="15" customHeight="1">
      <c r="B152" s="1394" t="s">
        <v>1222</v>
      </c>
      <c r="C152" s="1395" t="s">
        <v>1221</v>
      </c>
      <c r="D152" s="1399"/>
      <c r="E152" s="1399"/>
      <c r="F152" s="1399"/>
      <c r="G152" s="1399"/>
      <c r="H152" s="1399"/>
      <c r="I152" s="1399"/>
      <c r="J152" s="1399"/>
      <c r="K152" s="1399"/>
      <c r="L152" s="1399"/>
      <c r="M152" s="1399"/>
      <c r="N152" s="1399"/>
      <c r="O152" s="1399"/>
      <c r="P152" s="1399"/>
    </row>
    <row r="153" spans="1:16" ht="15" customHeight="1">
      <c r="B153" s="1394" t="s">
        <v>2236</v>
      </c>
      <c r="C153" s="1395" t="s">
        <v>2237</v>
      </c>
      <c r="D153" s="1401">
        <v>0</v>
      </c>
      <c r="E153" s="1401">
        <v>0</v>
      </c>
      <c r="F153" s="1401">
        <v>0</v>
      </c>
      <c r="G153" s="1401">
        <v>0</v>
      </c>
      <c r="H153" s="1401">
        <v>0</v>
      </c>
      <c r="I153" s="1401">
        <v>0</v>
      </c>
      <c r="J153" s="1401">
        <v>0</v>
      </c>
      <c r="K153" s="1401">
        <v>0</v>
      </c>
      <c r="L153" s="1401">
        <v>0</v>
      </c>
      <c r="M153" s="1401">
        <v>0</v>
      </c>
      <c r="N153" s="1401">
        <v>0</v>
      </c>
      <c r="O153" s="1401">
        <v>340</v>
      </c>
      <c r="P153" s="1401">
        <v>340</v>
      </c>
    </row>
    <row r="154" spans="1:16" ht="15" customHeight="1">
      <c r="B154" s="1394" t="s">
        <v>1206</v>
      </c>
      <c r="C154" s="1395" t="s">
        <v>1205</v>
      </c>
      <c r="D154" s="1403">
        <v>0</v>
      </c>
      <c r="E154" s="1403">
        <v>0</v>
      </c>
      <c r="F154" s="1403">
        <v>0</v>
      </c>
      <c r="G154" s="1403">
        <v>0</v>
      </c>
      <c r="H154" s="1403">
        <v>0</v>
      </c>
      <c r="I154" s="1403">
        <v>0</v>
      </c>
      <c r="J154" s="1403">
        <v>0</v>
      </c>
      <c r="K154" s="1403">
        <v>0</v>
      </c>
      <c r="L154" s="1403">
        <v>0</v>
      </c>
      <c r="M154" s="1403">
        <v>0</v>
      </c>
      <c r="N154" s="1403">
        <v>0</v>
      </c>
      <c r="O154" s="1403">
        <v>340</v>
      </c>
      <c r="P154" s="1403">
        <v>340</v>
      </c>
    </row>
    <row r="155" spans="1:16" ht="15" customHeight="1">
      <c r="B155" s="1394" t="s">
        <v>1198</v>
      </c>
      <c r="C155" s="1395" t="s">
        <v>1197</v>
      </c>
      <c r="D155" s="1403">
        <v>0</v>
      </c>
      <c r="E155" s="1403">
        <v>0</v>
      </c>
      <c r="F155" s="1403">
        <v>0</v>
      </c>
      <c r="G155" s="1403">
        <v>0</v>
      </c>
      <c r="H155" s="1403">
        <v>0</v>
      </c>
      <c r="I155" s="1403">
        <v>0</v>
      </c>
      <c r="J155" s="1403">
        <v>0</v>
      </c>
      <c r="K155" s="1403">
        <v>0</v>
      </c>
      <c r="L155" s="1403">
        <v>0</v>
      </c>
      <c r="M155" s="1403">
        <v>0</v>
      </c>
      <c r="N155" s="1403">
        <v>0</v>
      </c>
      <c r="O155" s="1403">
        <v>340</v>
      </c>
      <c r="P155" s="1403">
        <v>340</v>
      </c>
    </row>
    <row r="156" spans="1:16" ht="15" customHeight="1">
      <c r="B156" s="1394" t="s">
        <v>809</v>
      </c>
      <c r="C156" s="1395" t="s">
        <v>808</v>
      </c>
      <c r="D156" s="1403">
        <v>168341.83</v>
      </c>
      <c r="E156" s="1403">
        <v>132774.60999999999</v>
      </c>
      <c r="F156" s="1403">
        <v>123174.34</v>
      </c>
      <c r="G156" s="1403">
        <v>102865.84</v>
      </c>
      <c r="H156" s="1403">
        <v>112875.49</v>
      </c>
      <c r="I156" s="1403">
        <v>103489.57</v>
      </c>
      <c r="J156" s="1403">
        <v>109867.06</v>
      </c>
      <c r="K156" s="1403">
        <v>139296.23000000001</v>
      </c>
      <c r="L156" s="1403">
        <v>625505.16</v>
      </c>
      <c r="M156" s="1403">
        <v>108044.14</v>
      </c>
      <c r="N156" s="1403">
        <v>104742.19</v>
      </c>
      <c r="O156" s="1403">
        <v>249771.15</v>
      </c>
      <c r="P156" s="1403">
        <v>2080747.61</v>
      </c>
    </row>
    <row r="157" spans="1:16" ht="15" customHeight="1">
      <c r="A157" s="977" t="s">
        <v>1196</v>
      </c>
      <c r="B157" s="1396" t="s">
        <v>805</v>
      </c>
      <c r="C157" s="1397" t="s">
        <v>804</v>
      </c>
      <c r="D157" s="1405">
        <v>168341.83</v>
      </c>
      <c r="E157" s="1405">
        <v>132774.60999999999</v>
      </c>
      <c r="F157" s="1405">
        <v>123174.34</v>
      </c>
      <c r="G157" s="1405">
        <v>102865.84</v>
      </c>
      <c r="H157" s="1405">
        <v>112875.49</v>
      </c>
      <c r="I157" s="1405">
        <v>103489.57</v>
      </c>
      <c r="J157" s="1405">
        <v>109867.06</v>
      </c>
      <c r="K157" s="1405">
        <v>139296.23000000001</v>
      </c>
      <c r="L157" s="1405">
        <v>625505.16</v>
      </c>
      <c r="M157" s="1405">
        <v>108044.14</v>
      </c>
      <c r="N157" s="1405">
        <v>104742.19</v>
      </c>
      <c r="O157" s="1405">
        <v>249771.15</v>
      </c>
      <c r="P157" s="1405">
        <v>2080747.61</v>
      </c>
    </row>
    <row r="158" spans="1:16" ht="15" customHeight="1">
      <c r="B158" s="1396" t="s">
        <v>803</v>
      </c>
      <c r="C158" s="1397" t="s">
        <v>802</v>
      </c>
      <c r="D158" s="1404">
        <v>111869.49</v>
      </c>
      <c r="E158" s="1404">
        <v>104507.83</v>
      </c>
      <c r="F158" s="1404">
        <v>110201.79</v>
      </c>
      <c r="G158" s="1404">
        <v>142382.38</v>
      </c>
      <c r="H158" s="1404">
        <v>154562.67000000001</v>
      </c>
      <c r="I158" s="1404">
        <v>137965.26</v>
      </c>
      <c r="J158" s="1404">
        <v>131587.76999999999</v>
      </c>
      <c r="K158" s="1404">
        <v>114462.34</v>
      </c>
      <c r="L158" s="1404">
        <v>-364374.22</v>
      </c>
      <c r="M158" s="1404">
        <v>147144.87</v>
      </c>
      <c r="N158" s="1404">
        <v>112021.42</v>
      </c>
      <c r="O158" s="1404">
        <v>9831.14</v>
      </c>
      <c r="P158" s="1404">
        <v>912162.74</v>
      </c>
    </row>
    <row r="159" spans="1:16" ht="15" customHeight="1">
      <c r="B159" s="1394"/>
      <c r="C159" s="1395"/>
      <c r="D159" s="1408"/>
      <c r="E159" s="1394"/>
      <c r="F159" s="1394"/>
      <c r="G159" s="1394"/>
      <c r="H159" s="1394"/>
      <c r="I159" s="1394"/>
      <c r="J159" s="1394"/>
      <c r="K159" s="1394"/>
      <c r="L159" s="1394"/>
      <c r="M159" s="1394"/>
      <c r="N159" s="1394"/>
      <c r="O159" s="1394"/>
      <c r="P159" s="1394"/>
    </row>
    <row r="160" spans="1:16" ht="15" customHeight="1">
      <c r="B160" s="1396" t="s">
        <v>801</v>
      </c>
      <c r="C160" s="1397" t="s">
        <v>800</v>
      </c>
      <c r="D160" s="1398"/>
      <c r="E160" s="1398"/>
      <c r="F160" s="1398"/>
      <c r="G160" s="1398"/>
      <c r="H160" s="1398"/>
      <c r="I160" s="1398"/>
      <c r="J160" s="1398"/>
      <c r="K160" s="1398"/>
      <c r="L160" s="1398"/>
      <c r="M160" s="1398"/>
      <c r="N160" s="1398"/>
      <c r="O160" s="1398"/>
      <c r="P160" s="1398"/>
    </row>
    <row r="161" spans="1:16" ht="15" customHeight="1">
      <c r="B161" s="1394"/>
      <c r="C161" s="1395"/>
      <c r="D161" s="1394"/>
      <c r="E161" s="1394"/>
      <c r="F161" s="1394"/>
      <c r="G161" s="1394"/>
      <c r="H161" s="1394"/>
      <c r="I161" s="1394"/>
      <c r="J161" s="1394"/>
      <c r="K161" s="1394"/>
      <c r="L161" s="1394"/>
      <c r="M161" s="1394"/>
      <c r="N161" s="1394"/>
      <c r="O161" s="1394"/>
      <c r="P161" s="1394"/>
    </row>
    <row r="162" spans="1:16" ht="15" customHeight="1">
      <c r="B162" s="1396" t="s">
        <v>799</v>
      </c>
      <c r="C162" s="1397" t="s">
        <v>798</v>
      </c>
      <c r="D162" s="1398"/>
      <c r="E162" s="1398"/>
      <c r="F162" s="1398"/>
      <c r="G162" s="1398"/>
      <c r="H162" s="1398"/>
      <c r="I162" s="1398"/>
      <c r="J162" s="1398"/>
      <c r="K162" s="1398"/>
      <c r="L162" s="1398"/>
      <c r="M162" s="1398"/>
      <c r="N162" s="1398"/>
      <c r="O162" s="1398"/>
      <c r="P162" s="1398"/>
    </row>
    <row r="163" spans="1:16" ht="15" customHeight="1">
      <c r="B163" s="1394" t="s">
        <v>797</v>
      </c>
      <c r="C163" s="1395" t="s">
        <v>796</v>
      </c>
      <c r="D163" s="1399"/>
      <c r="E163" s="1399"/>
      <c r="F163" s="1399"/>
      <c r="G163" s="1399"/>
      <c r="H163" s="1399"/>
      <c r="I163" s="1399"/>
      <c r="J163" s="1399"/>
      <c r="K163" s="1399"/>
      <c r="L163" s="1399"/>
      <c r="M163" s="1399"/>
      <c r="N163" s="1399"/>
      <c r="O163" s="1399"/>
      <c r="P163" s="1399"/>
    </row>
    <row r="164" spans="1:16" ht="15" customHeight="1">
      <c r="B164" s="1394" t="s">
        <v>795</v>
      </c>
      <c r="C164" s="1395" t="s">
        <v>794</v>
      </c>
      <c r="D164" s="1399"/>
      <c r="E164" s="1399"/>
      <c r="F164" s="1399"/>
      <c r="G164" s="1399"/>
      <c r="H164" s="1399"/>
      <c r="I164" s="1399"/>
      <c r="J164" s="1399"/>
      <c r="K164" s="1399"/>
      <c r="L164" s="1399"/>
      <c r="M164" s="1399"/>
      <c r="N164" s="1399"/>
      <c r="O164" s="1399"/>
      <c r="P164" s="1399"/>
    </row>
    <row r="165" spans="1:16" ht="15" customHeight="1">
      <c r="B165" s="1394" t="s">
        <v>793</v>
      </c>
      <c r="C165" s="1395" t="s">
        <v>792</v>
      </c>
      <c r="D165" s="1401">
        <v>131192.51999999999</v>
      </c>
      <c r="E165" s="1401">
        <v>121622.35</v>
      </c>
      <c r="F165" s="1401">
        <v>129672.27</v>
      </c>
      <c r="G165" s="1401">
        <v>108161.63</v>
      </c>
      <c r="H165" s="1401">
        <v>113812.8</v>
      </c>
      <c r="I165" s="1401">
        <v>104438.18</v>
      </c>
      <c r="J165" s="1401">
        <v>107919.46</v>
      </c>
      <c r="K165" s="1401">
        <v>107919.46</v>
      </c>
      <c r="L165" s="1401">
        <v>104438.18</v>
      </c>
      <c r="M165" s="1401">
        <v>107919.46</v>
      </c>
      <c r="N165" s="1401">
        <v>104438.18</v>
      </c>
      <c r="O165" s="1401">
        <v>107919.46</v>
      </c>
      <c r="P165" s="1401">
        <v>1349453.95</v>
      </c>
    </row>
    <row r="166" spans="1:16" ht="15" customHeight="1">
      <c r="A166" s="977" t="s">
        <v>1181</v>
      </c>
      <c r="B166" s="1394" t="s">
        <v>791</v>
      </c>
      <c r="C166" s="1395" t="s">
        <v>790</v>
      </c>
      <c r="D166" s="1402">
        <v>131192.51999999999</v>
      </c>
      <c r="E166" s="1402">
        <v>121622.35</v>
      </c>
      <c r="F166" s="1402">
        <v>129672.27</v>
      </c>
      <c r="G166" s="1402">
        <v>108161.63</v>
      </c>
      <c r="H166" s="1402">
        <v>113812.8</v>
      </c>
      <c r="I166" s="1402">
        <v>104438.18</v>
      </c>
      <c r="J166" s="1402">
        <v>107919.46</v>
      </c>
      <c r="K166" s="1402">
        <v>107919.46</v>
      </c>
      <c r="L166" s="1402">
        <v>104438.18</v>
      </c>
      <c r="M166" s="1402">
        <v>107919.46</v>
      </c>
      <c r="N166" s="1402">
        <v>104438.18</v>
      </c>
      <c r="O166" s="1402">
        <v>107919.46</v>
      </c>
      <c r="P166" s="1402">
        <v>1349453.95</v>
      </c>
    </row>
    <row r="167" spans="1:16" ht="15" customHeight="1">
      <c r="B167" s="1394" t="s">
        <v>789</v>
      </c>
      <c r="C167" s="1395" t="s">
        <v>788</v>
      </c>
      <c r="D167" s="1399"/>
      <c r="E167" s="1399"/>
      <c r="F167" s="1399"/>
      <c r="G167" s="1399"/>
      <c r="H167" s="1399"/>
      <c r="I167" s="1399"/>
      <c r="J167" s="1399"/>
      <c r="K167" s="1399"/>
      <c r="L167" s="1399"/>
      <c r="M167" s="1399"/>
      <c r="N167" s="1399"/>
      <c r="O167" s="1399"/>
      <c r="P167" s="1399"/>
    </row>
    <row r="168" spans="1:16" ht="15" customHeight="1">
      <c r="B168" s="1394" t="s">
        <v>787</v>
      </c>
      <c r="C168" s="1395" t="s">
        <v>786</v>
      </c>
      <c r="D168" s="1401">
        <v>0</v>
      </c>
      <c r="E168" s="1401">
        <v>0</v>
      </c>
      <c r="F168" s="1401">
        <v>0</v>
      </c>
      <c r="G168" s="1401">
        <v>3360</v>
      </c>
      <c r="H168" s="1401">
        <v>18987.5</v>
      </c>
      <c r="I168" s="1401">
        <v>112979</v>
      </c>
      <c r="J168" s="1401">
        <v>-108979</v>
      </c>
      <c r="K168" s="1401">
        <v>65800</v>
      </c>
      <c r="L168" s="1401">
        <v>0</v>
      </c>
      <c r="M168" s="1401">
        <v>0</v>
      </c>
      <c r="N168" s="1401">
        <v>0</v>
      </c>
      <c r="O168" s="1401">
        <v>108979</v>
      </c>
      <c r="P168" s="1401">
        <v>201126.5</v>
      </c>
    </row>
    <row r="169" spans="1:16" ht="15" customHeight="1">
      <c r="B169" s="1394" t="s">
        <v>785</v>
      </c>
      <c r="C169" s="1395" t="s">
        <v>784</v>
      </c>
      <c r="D169" s="1403">
        <v>0</v>
      </c>
      <c r="E169" s="1403">
        <v>0</v>
      </c>
      <c r="F169" s="1403">
        <v>0</v>
      </c>
      <c r="G169" s="1403">
        <v>3360</v>
      </c>
      <c r="H169" s="1403">
        <v>18987.5</v>
      </c>
      <c r="I169" s="1403">
        <v>112979</v>
      </c>
      <c r="J169" s="1403">
        <v>-108979</v>
      </c>
      <c r="K169" s="1403">
        <v>65800</v>
      </c>
      <c r="L169" s="1403">
        <v>0</v>
      </c>
      <c r="M169" s="1403">
        <v>0</v>
      </c>
      <c r="N169" s="1403">
        <v>0</v>
      </c>
      <c r="O169" s="1403">
        <v>108979</v>
      </c>
      <c r="P169" s="1403">
        <v>201126.5</v>
      </c>
    </row>
    <row r="170" spans="1:16" ht="15" customHeight="1">
      <c r="B170" s="1394" t="s">
        <v>783</v>
      </c>
      <c r="C170" s="1395" t="s">
        <v>782</v>
      </c>
      <c r="D170" s="1402">
        <v>131192.51999999999</v>
      </c>
      <c r="E170" s="1402">
        <v>121622.35</v>
      </c>
      <c r="F170" s="1402">
        <v>129672.27</v>
      </c>
      <c r="G170" s="1402">
        <v>111521.63</v>
      </c>
      <c r="H170" s="1402">
        <v>132800.29999999999</v>
      </c>
      <c r="I170" s="1402">
        <v>217417.18</v>
      </c>
      <c r="J170" s="1402">
        <v>-1059.54</v>
      </c>
      <c r="K170" s="1402">
        <v>173719.46</v>
      </c>
      <c r="L170" s="1402">
        <v>104438.18</v>
      </c>
      <c r="M170" s="1402">
        <v>107919.46</v>
      </c>
      <c r="N170" s="1402">
        <v>104438.18</v>
      </c>
      <c r="O170" s="1402">
        <v>216898.46</v>
      </c>
      <c r="P170" s="1402">
        <v>1550580.45</v>
      </c>
    </row>
    <row r="171" spans="1:16" ht="15" customHeight="1">
      <c r="B171" s="1394" t="s">
        <v>781</v>
      </c>
      <c r="C171" s="1395" t="s">
        <v>780</v>
      </c>
      <c r="D171" s="1399"/>
      <c r="E171" s="1399"/>
      <c r="F171" s="1399"/>
      <c r="G171" s="1399"/>
      <c r="H171" s="1399"/>
      <c r="I171" s="1399"/>
      <c r="J171" s="1399"/>
      <c r="K171" s="1399"/>
      <c r="L171" s="1399"/>
      <c r="M171" s="1399"/>
      <c r="N171" s="1399"/>
      <c r="O171" s="1399"/>
      <c r="P171" s="1399"/>
    </row>
    <row r="172" spans="1:16" ht="15" customHeight="1">
      <c r="B172" s="1394" t="s">
        <v>779</v>
      </c>
      <c r="C172" s="1395" t="s">
        <v>778</v>
      </c>
      <c r="D172" s="1399"/>
      <c r="E172" s="1399"/>
      <c r="F172" s="1399"/>
      <c r="G172" s="1399"/>
      <c r="H172" s="1399"/>
      <c r="I172" s="1399"/>
      <c r="J172" s="1399"/>
      <c r="K172" s="1399"/>
      <c r="L172" s="1399"/>
      <c r="M172" s="1399"/>
      <c r="N172" s="1399"/>
      <c r="O172" s="1399"/>
      <c r="P172" s="1399"/>
    </row>
    <row r="173" spans="1:16" ht="15" customHeight="1">
      <c r="B173" s="1394" t="s">
        <v>777</v>
      </c>
      <c r="C173" s="1395" t="s">
        <v>776</v>
      </c>
      <c r="D173" s="1401">
        <v>-0.05</v>
      </c>
      <c r="E173" s="1401">
        <v>0.05</v>
      </c>
      <c r="F173" s="1401">
        <v>-0.9</v>
      </c>
      <c r="G173" s="1401">
        <v>0.9</v>
      </c>
      <c r="H173" s="1401">
        <v>0</v>
      </c>
      <c r="I173" s="1401">
        <v>5734.8</v>
      </c>
      <c r="J173" s="1401">
        <v>1226.6099999999999</v>
      </c>
      <c r="K173" s="1401">
        <v>27.05</v>
      </c>
      <c r="L173" s="1401">
        <v>8</v>
      </c>
      <c r="M173" s="1401">
        <v>2.71</v>
      </c>
      <c r="N173" s="1401">
        <v>0.79</v>
      </c>
      <c r="O173" s="1401">
        <v>-0.02</v>
      </c>
      <c r="P173" s="1401">
        <v>6999.94</v>
      </c>
    </row>
    <row r="174" spans="1:16" ht="15" customHeight="1">
      <c r="B174" s="1394" t="s">
        <v>775</v>
      </c>
      <c r="C174" s="1395" t="s">
        <v>774</v>
      </c>
      <c r="D174" s="1403">
        <v>-0.05</v>
      </c>
      <c r="E174" s="1403">
        <v>0.05</v>
      </c>
      <c r="F174" s="1403">
        <v>-0.9</v>
      </c>
      <c r="G174" s="1403">
        <v>0.9</v>
      </c>
      <c r="H174" s="1403">
        <v>0</v>
      </c>
      <c r="I174" s="1403">
        <v>5734.8</v>
      </c>
      <c r="J174" s="1403">
        <v>1226.6099999999999</v>
      </c>
      <c r="K174" s="1403">
        <v>27.05</v>
      </c>
      <c r="L174" s="1403">
        <v>8</v>
      </c>
      <c r="M174" s="1403">
        <v>2.71</v>
      </c>
      <c r="N174" s="1403">
        <v>0.79</v>
      </c>
      <c r="O174" s="1403">
        <v>-0.02</v>
      </c>
      <c r="P174" s="1403">
        <v>6999.94</v>
      </c>
    </row>
    <row r="175" spans="1:16" ht="15" customHeight="1">
      <c r="B175" s="1394" t="s">
        <v>773</v>
      </c>
      <c r="C175" s="1395" t="s">
        <v>772</v>
      </c>
      <c r="D175" s="1402">
        <v>-0.05</v>
      </c>
      <c r="E175" s="1402">
        <v>0.05</v>
      </c>
      <c r="F175" s="1402">
        <v>-0.9</v>
      </c>
      <c r="G175" s="1402">
        <v>0.9</v>
      </c>
      <c r="H175" s="1402">
        <v>0</v>
      </c>
      <c r="I175" s="1402">
        <v>5734.8</v>
      </c>
      <c r="J175" s="1402">
        <v>1226.6099999999999</v>
      </c>
      <c r="K175" s="1402">
        <v>27.05</v>
      </c>
      <c r="L175" s="1402">
        <v>8</v>
      </c>
      <c r="M175" s="1402">
        <v>2.71</v>
      </c>
      <c r="N175" s="1402">
        <v>0.79</v>
      </c>
      <c r="O175" s="1402">
        <v>-0.02</v>
      </c>
      <c r="P175" s="1402">
        <v>6999.94</v>
      </c>
    </row>
    <row r="176" spans="1:16" ht="15" customHeight="1">
      <c r="B176" s="1394" t="s">
        <v>2238</v>
      </c>
      <c r="C176" s="1395" t="s">
        <v>2239</v>
      </c>
      <c r="D176" s="1399"/>
      <c r="E176" s="1399"/>
      <c r="F176" s="1399"/>
      <c r="G176" s="1399"/>
      <c r="H176" s="1399"/>
      <c r="I176" s="1399"/>
      <c r="J176" s="1399"/>
      <c r="K176" s="1399"/>
      <c r="L176" s="1399"/>
      <c r="M176" s="1399"/>
      <c r="N176" s="1399"/>
      <c r="O176" s="1399"/>
      <c r="P176" s="1399"/>
    </row>
    <row r="177" spans="2:16" ht="15" customHeight="1">
      <c r="B177" s="1394" t="s">
        <v>771</v>
      </c>
      <c r="C177" s="1395" t="s">
        <v>770</v>
      </c>
      <c r="D177" s="1399"/>
      <c r="E177" s="1399"/>
      <c r="F177" s="1399"/>
      <c r="G177" s="1399"/>
      <c r="H177" s="1399"/>
      <c r="I177" s="1399"/>
      <c r="J177" s="1399"/>
      <c r="K177" s="1399"/>
      <c r="L177" s="1399"/>
      <c r="M177" s="1399"/>
      <c r="N177" s="1399"/>
      <c r="O177" s="1399"/>
      <c r="P177" s="1399"/>
    </row>
    <row r="178" spans="2:16" ht="15" customHeight="1">
      <c r="B178" s="1394" t="s">
        <v>769</v>
      </c>
      <c r="C178" s="1395" t="s">
        <v>768</v>
      </c>
      <c r="D178" s="1401">
        <v>0</v>
      </c>
      <c r="E178" s="1401">
        <v>0</v>
      </c>
      <c r="F178" s="1401">
        <v>1385414.39</v>
      </c>
      <c r="G178" s="1401">
        <v>0</v>
      </c>
      <c r="H178" s="1401">
        <v>0</v>
      </c>
      <c r="I178" s="1401">
        <v>-139686.82</v>
      </c>
      <c r="J178" s="1401">
        <v>0</v>
      </c>
      <c r="K178" s="1401">
        <v>0</v>
      </c>
      <c r="L178" s="1401">
        <v>1995500</v>
      </c>
      <c r="M178" s="1401">
        <v>0</v>
      </c>
      <c r="N178" s="1401">
        <v>0</v>
      </c>
      <c r="O178" s="1401">
        <v>2456366.9</v>
      </c>
      <c r="P178" s="1401">
        <v>5697594.4699999997</v>
      </c>
    </row>
    <row r="179" spans="2:16" ht="15" customHeight="1">
      <c r="B179" s="1394" t="s">
        <v>767</v>
      </c>
      <c r="C179" s="1395" t="s">
        <v>766</v>
      </c>
      <c r="D179" s="1403">
        <v>0</v>
      </c>
      <c r="E179" s="1403">
        <v>0</v>
      </c>
      <c r="F179" s="1403">
        <v>1385414.39</v>
      </c>
      <c r="G179" s="1403">
        <v>0</v>
      </c>
      <c r="H179" s="1403">
        <v>0</v>
      </c>
      <c r="I179" s="1403">
        <v>-139686.82</v>
      </c>
      <c r="J179" s="1403">
        <v>0</v>
      </c>
      <c r="K179" s="1403">
        <v>0</v>
      </c>
      <c r="L179" s="1403">
        <v>1995500</v>
      </c>
      <c r="M179" s="1403">
        <v>0</v>
      </c>
      <c r="N179" s="1403">
        <v>0</v>
      </c>
      <c r="O179" s="1403">
        <v>2456366.9</v>
      </c>
      <c r="P179" s="1403">
        <v>5697594.4699999997</v>
      </c>
    </row>
    <row r="180" spans="2:16" ht="15" customHeight="1">
      <c r="B180" s="1394" t="s">
        <v>765</v>
      </c>
      <c r="C180" s="1395" t="s">
        <v>764</v>
      </c>
      <c r="D180" s="1403">
        <v>0</v>
      </c>
      <c r="E180" s="1403">
        <v>0</v>
      </c>
      <c r="F180" s="1403">
        <v>1385414.39</v>
      </c>
      <c r="G180" s="1403">
        <v>0</v>
      </c>
      <c r="H180" s="1403">
        <v>0</v>
      </c>
      <c r="I180" s="1403">
        <v>-139686.82</v>
      </c>
      <c r="J180" s="1403">
        <v>0</v>
      </c>
      <c r="K180" s="1403">
        <v>0</v>
      </c>
      <c r="L180" s="1403">
        <v>1995500</v>
      </c>
      <c r="M180" s="1403">
        <v>0</v>
      </c>
      <c r="N180" s="1403">
        <v>0</v>
      </c>
      <c r="O180" s="1403">
        <v>2456366.9</v>
      </c>
      <c r="P180" s="1403">
        <v>5697594.4699999997</v>
      </c>
    </row>
    <row r="181" spans="2:16" ht="15" customHeight="1">
      <c r="B181" s="1396" t="s">
        <v>763</v>
      </c>
      <c r="C181" s="1397" t="s">
        <v>762</v>
      </c>
      <c r="D181" s="1405">
        <v>131192.47</v>
      </c>
      <c r="E181" s="1405">
        <v>121622.39999999999</v>
      </c>
      <c r="F181" s="1405">
        <v>1515085.76</v>
      </c>
      <c r="G181" s="1405">
        <v>111522.53</v>
      </c>
      <c r="H181" s="1405">
        <v>132800.29999999999</v>
      </c>
      <c r="I181" s="1405">
        <v>83465.16</v>
      </c>
      <c r="J181" s="1405">
        <v>167.07</v>
      </c>
      <c r="K181" s="1405">
        <v>173746.51</v>
      </c>
      <c r="L181" s="1405">
        <v>2099946.1800000002</v>
      </c>
      <c r="M181" s="1405">
        <v>107922.17</v>
      </c>
      <c r="N181" s="1405">
        <v>104438.97</v>
      </c>
      <c r="O181" s="1405">
        <v>2673265.34</v>
      </c>
      <c r="P181" s="1405">
        <v>7255174.8600000003</v>
      </c>
    </row>
    <row r="182" spans="2:16" ht="15" customHeight="1">
      <c r="B182" s="1396" t="s">
        <v>761</v>
      </c>
      <c r="C182" s="1397" t="s">
        <v>760</v>
      </c>
      <c r="D182" s="1406">
        <v>-131192.47</v>
      </c>
      <c r="E182" s="1406">
        <v>-121622.39999999999</v>
      </c>
      <c r="F182" s="1406">
        <v>-1515085.76</v>
      </c>
      <c r="G182" s="1406">
        <v>-111522.53</v>
      </c>
      <c r="H182" s="1406">
        <v>-132800.29999999999</v>
      </c>
      <c r="I182" s="1406">
        <v>-83465.16</v>
      </c>
      <c r="J182" s="1406">
        <v>-167.07</v>
      </c>
      <c r="K182" s="1406">
        <v>-173746.51</v>
      </c>
      <c r="L182" s="1406">
        <v>-2099946.1800000002</v>
      </c>
      <c r="M182" s="1406">
        <v>-107922.17</v>
      </c>
      <c r="N182" s="1406">
        <v>-104438.97</v>
      </c>
      <c r="O182" s="1406">
        <v>-2673265.34</v>
      </c>
      <c r="P182" s="1406">
        <v>-7255174.8600000003</v>
      </c>
    </row>
    <row r="183" spans="2:16" ht="15" customHeight="1" thickBot="1">
      <c r="B183" s="1396" t="s">
        <v>759</v>
      </c>
      <c r="C183" s="1397" t="s">
        <v>758</v>
      </c>
      <c r="D183" s="1407">
        <v>-19322.98</v>
      </c>
      <c r="E183" s="1407">
        <v>-17114.57</v>
      </c>
      <c r="F183" s="1407">
        <v>-1404883.97</v>
      </c>
      <c r="G183" s="1407">
        <v>30859.85</v>
      </c>
      <c r="H183" s="1407">
        <v>21762.37</v>
      </c>
      <c r="I183" s="1407">
        <v>54500.1</v>
      </c>
      <c r="J183" s="1407">
        <v>131420.70000000001</v>
      </c>
      <c r="K183" s="1407">
        <v>-59284.17</v>
      </c>
      <c r="L183" s="1407">
        <v>-2464320.4</v>
      </c>
      <c r="M183" s="1407">
        <v>39222.699999999997</v>
      </c>
      <c r="N183" s="1407">
        <v>7582.45</v>
      </c>
      <c r="O183" s="1407">
        <v>-2663434.2000000002</v>
      </c>
      <c r="P183" s="1407">
        <v>-6343012.1200000001</v>
      </c>
    </row>
    <row r="184" spans="2:16" ht="14" thickTop="1"/>
  </sheetData>
  <pageMargins left="0.7" right="0.7" top="0.7" bottom="0.7" header="0.5" footer="0.5"/>
  <pageSetup paperSize="5" scale="80" fitToHeight="990" orientation="landscape" useFirstPageNumber="1" r:id="rId1"/>
  <headerFooter alignWithMargins="0">
    <oddHeader>&amp;R&amp;B&amp;D &amp;T</oddHeader>
    <oddFooter>&amp;C&amp;B Page &amp;P of &amp;N</oddFooter>
  </headerFooter>
  <rowBreaks count="1" manualBreakCount="1">
    <brk id="19"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FI100"/>
  <sheetViews>
    <sheetView showGridLines="0" zoomScale="90" zoomScaleNormal="90" workbookViewId="0">
      <pane xSplit="1" ySplit="4" topLeftCell="B19" activePane="bottomRight" state="frozen"/>
      <selection pane="topRight" activeCell="C1" sqref="C1"/>
      <selection pane="bottomLeft" activeCell="A6" sqref="A6"/>
      <selection pane="bottomRight" activeCell="B42" sqref="B42"/>
    </sheetView>
  </sheetViews>
  <sheetFormatPr baseColWidth="10" defaultColWidth="8.83203125" defaultRowHeight="15"/>
  <cols>
    <col min="1" max="1" width="9.1640625" style="448"/>
    <col min="2" max="9" width="10.1640625" bestFit="1" customWidth="1"/>
    <col min="10" max="10" width="10.5" bestFit="1" customWidth="1"/>
    <col min="11" max="19" width="10.1640625" bestFit="1" customWidth="1"/>
    <col min="20" max="20" width="11" bestFit="1" customWidth="1"/>
    <col min="21" max="24" width="10.1640625" bestFit="1" customWidth="1"/>
    <col min="25" max="25" width="11" bestFit="1" customWidth="1"/>
    <col min="26" max="27" width="10.1640625" bestFit="1" customWidth="1"/>
    <col min="28" max="28" width="11" bestFit="1" customWidth="1"/>
    <col min="29" max="30" width="9.5" bestFit="1" customWidth="1"/>
    <col min="31" max="31" width="11" bestFit="1" customWidth="1"/>
    <col min="32" max="32" width="10.1640625" bestFit="1" customWidth="1"/>
    <col min="33" max="108" width="9.5" bestFit="1" customWidth="1"/>
    <col min="109" max="110" width="10.33203125" bestFit="1" customWidth="1"/>
    <col min="111" max="111" width="11" bestFit="1" customWidth="1"/>
    <col min="112" max="116" width="10.33203125" bestFit="1" customWidth="1"/>
    <col min="117" max="117" width="11" bestFit="1" customWidth="1"/>
    <col min="118" max="133" width="10.33203125" bestFit="1" customWidth="1"/>
    <col min="134" max="165" width="8.83203125" style="1416"/>
  </cols>
  <sheetData>
    <row r="2" spans="1:165" ht="16">
      <c r="B2" s="926" t="s">
        <v>757</v>
      </c>
    </row>
    <row r="3" spans="1:165">
      <c r="B3" s="432" t="str">
        <f>'Argus Drop'!F3</f>
        <v>Month 1</v>
      </c>
      <c r="C3" s="432" t="str">
        <f>'Argus Drop'!G3</f>
        <v>Month 2</v>
      </c>
      <c r="D3" s="432" t="str">
        <f>'Argus Drop'!H3</f>
        <v>Month 3</v>
      </c>
      <c r="E3" s="432" t="str">
        <f>'Argus Drop'!I3</f>
        <v>Month 4</v>
      </c>
      <c r="F3" s="432" t="str">
        <f>'Argus Drop'!J3</f>
        <v>Month 5</v>
      </c>
      <c r="G3" s="432" t="str">
        <f>'Argus Drop'!K3</f>
        <v>Month 6</v>
      </c>
      <c r="H3" s="432" t="str">
        <f>'Argus Drop'!L3</f>
        <v>Month 7</v>
      </c>
      <c r="I3" s="432" t="str">
        <f>'Argus Drop'!M3</f>
        <v>Month 8</v>
      </c>
      <c r="J3" s="432" t="str">
        <f>'Argus Drop'!N3</f>
        <v>Month 9</v>
      </c>
      <c r="K3" s="432" t="str">
        <f>'Argus Drop'!O3</f>
        <v>Month 10</v>
      </c>
      <c r="L3" s="432" t="str">
        <f>'Argus Drop'!P3</f>
        <v>Month 11</v>
      </c>
      <c r="M3" s="432" t="str">
        <f>'Argus Drop'!Q3</f>
        <v>Month 12</v>
      </c>
      <c r="N3" s="432" t="str">
        <f>'Argus Drop'!R3</f>
        <v>Month 13</v>
      </c>
      <c r="O3" s="432" t="str">
        <f>'Argus Drop'!S3</f>
        <v>Month 14</v>
      </c>
      <c r="P3" s="432" t="str">
        <f>'Argus Drop'!T3</f>
        <v>Month 15</v>
      </c>
      <c r="Q3" s="432" t="str">
        <f>'Argus Drop'!U3</f>
        <v>Month 16</v>
      </c>
      <c r="R3" s="432" t="str">
        <f>'Argus Drop'!V3</f>
        <v>Month 17</v>
      </c>
      <c r="S3" s="432" t="str">
        <f>'Argus Drop'!W3</f>
        <v>Month 18</v>
      </c>
      <c r="T3" s="432" t="str">
        <f>'Argus Drop'!X3</f>
        <v>Month 19</v>
      </c>
      <c r="U3" s="432" t="str">
        <f>'Argus Drop'!Y3</f>
        <v>Month 20</v>
      </c>
      <c r="V3" s="432" t="str">
        <f>'Argus Drop'!Z3</f>
        <v>Month 21</v>
      </c>
      <c r="W3" s="432" t="str">
        <f>'Argus Drop'!AA3</f>
        <v>Month 22</v>
      </c>
      <c r="X3" s="432" t="str">
        <f>'Argus Drop'!AB3</f>
        <v>Month 23</v>
      </c>
      <c r="Y3" s="432" t="str">
        <f>'Argus Drop'!AC3</f>
        <v>Month 24</v>
      </c>
      <c r="Z3" s="432" t="str">
        <f>'Argus Drop'!AD3</f>
        <v>Month 25</v>
      </c>
      <c r="AA3" s="432" t="str">
        <f>'Argus Drop'!AE3</f>
        <v>Month 26</v>
      </c>
      <c r="AB3" s="432" t="str">
        <f>'Argus Drop'!AF3</f>
        <v>Month 27</v>
      </c>
      <c r="AC3" s="432" t="str">
        <f>'Argus Drop'!AG3</f>
        <v>Month 28</v>
      </c>
      <c r="AD3" s="432" t="str">
        <f>'Argus Drop'!AH3</f>
        <v>Month 29</v>
      </c>
      <c r="AE3" s="432" t="str">
        <f>'Argus Drop'!AI3</f>
        <v>Month 30</v>
      </c>
      <c r="AF3" s="432" t="str">
        <f>'Argus Drop'!AJ3</f>
        <v>Month 31</v>
      </c>
      <c r="AG3" s="432" t="str">
        <f>'Argus Drop'!AK3</f>
        <v>Month 32</v>
      </c>
      <c r="AH3" s="432" t="str">
        <f>'Argus Drop'!AL3</f>
        <v>Month 33</v>
      </c>
      <c r="AI3" s="432" t="str">
        <f>'Argus Drop'!AM3</f>
        <v>Month 34</v>
      </c>
      <c r="AJ3" s="432" t="str">
        <f>'Argus Drop'!AN3</f>
        <v>Month 35</v>
      </c>
      <c r="AK3" s="432" t="str">
        <f>'Argus Drop'!AO3</f>
        <v>Month 36</v>
      </c>
      <c r="AL3" s="432" t="str">
        <f>'Argus Drop'!AP3</f>
        <v>Month 37</v>
      </c>
      <c r="AM3" s="432" t="str">
        <f>'Argus Drop'!AQ3</f>
        <v>Month 38</v>
      </c>
      <c r="AN3" s="432" t="str">
        <f>'Argus Drop'!AR3</f>
        <v>Month 39</v>
      </c>
      <c r="AO3" s="432" t="str">
        <f>'Argus Drop'!AS3</f>
        <v>Month 40</v>
      </c>
      <c r="AP3" s="432" t="str">
        <f>'Argus Drop'!AT3</f>
        <v>Month 41</v>
      </c>
      <c r="AQ3" s="432" t="str">
        <f>'Argus Drop'!AU3</f>
        <v>Month 42</v>
      </c>
      <c r="AR3" s="432" t="str">
        <f>'Argus Drop'!AV3</f>
        <v>Month 43</v>
      </c>
      <c r="AS3" s="432" t="str">
        <f>'Argus Drop'!AW3</f>
        <v>Month 44</v>
      </c>
      <c r="AT3" s="432" t="str">
        <f>'Argus Drop'!AX3</f>
        <v>Month 45</v>
      </c>
      <c r="AU3" s="432" t="str">
        <f>'Argus Drop'!AY3</f>
        <v>Month 46</v>
      </c>
      <c r="AV3" s="432" t="str">
        <f>'Argus Drop'!AZ3</f>
        <v>Month 47</v>
      </c>
      <c r="AW3" s="432" t="str">
        <f>'Argus Drop'!BA3</f>
        <v>Month 48</v>
      </c>
      <c r="AX3" s="432" t="str">
        <f>'Argus Drop'!BB3</f>
        <v>Month 49</v>
      </c>
      <c r="AY3" s="432" t="str">
        <f>'Argus Drop'!BC3</f>
        <v>Month 50</v>
      </c>
      <c r="AZ3" s="432" t="str">
        <f>'Argus Drop'!BD3</f>
        <v>Month 51</v>
      </c>
      <c r="BA3" s="432" t="str">
        <f>'Argus Drop'!BE3</f>
        <v>Month 52</v>
      </c>
      <c r="BB3" s="432" t="str">
        <f>'Argus Drop'!BF3</f>
        <v>Month 53</v>
      </c>
      <c r="BC3" s="432" t="str">
        <f>'Argus Drop'!BG3</f>
        <v>Month 54</v>
      </c>
      <c r="BD3" s="432" t="str">
        <f>'Argus Drop'!BH3</f>
        <v>Month 55</v>
      </c>
      <c r="BE3" s="432" t="str">
        <f>'Argus Drop'!BI3</f>
        <v>Month 56</v>
      </c>
      <c r="BF3" s="432" t="str">
        <f>'Argus Drop'!BJ3</f>
        <v>Month 57</v>
      </c>
      <c r="BG3" s="432" t="str">
        <f>'Argus Drop'!BK3</f>
        <v>Month 58</v>
      </c>
      <c r="BH3" s="432" t="str">
        <f>'Argus Drop'!BL3</f>
        <v>Month 59</v>
      </c>
      <c r="BI3" s="432" t="str">
        <f>'Argus Drop'!BM3</f>
        <v>Month 60</v>
      </c>
      <c r="BJ3" s="432" t="str">
        <f>'Argus Drop'!BN3</f>
        <v>Month 61</v>
      </c>
      <c r="BK3" s="432" t="str">
        <f>'Argus Drop'!BO3</f>
        <v>Month 62</v>
      </c>
      <c r="BL3" s="432" t="str">
        <f>'Argus Drop'!BP3</f>
        <v>Month 63</v>
      </c>
      <c r="BM3" s="432" t="str">
        <f>'Argus Drop'!BQ3</f>
        <v>Month 64</v>
      </c>
      <c r="BN3" s="432" t="str">
        <f>'Argus Drop'!BR3</f>
        <v>Month 65</v>
      </c>
      <c r="BO3" s="432" t="str">
        <f>'Argus Drop'!BS3</f>
        <v>Month 66</v>
      </c>
      <c r="BP3" s="432" t="str">
        <f>'Argus Drop'!BT3</f>
        <v>Month 67</v>
      </c>
      <c r="BQ3" s="432" t="str">
        <f>'Argus Drop'!BU3</f>
        <v>Month 68</v>
      </c>
      <c r="BR3" s="432" t="str">
        <f>'Argus Drop'!BV3</f>
        <v>Month 69</v>
      </c>
      <c r="BS3" s="432" t="str">
        <f>'Argus Drop'!BW3</f>
        <v>Month 70</v>
      </c>
      <c r="BT3" s="432" t="str">
        <f>'Argus Drop'!BX3</f>
        <v>Month 71</v>
      </c>
      <c r="BU3" s="432" t="str">
        <f>'Argus Drop'!BY3</f>
        <v>Month 72</v>
      </c>
      <c r="BV3" s="432" t="str">
        <f>'Argus Drop'!BZ3</f>
        <v>Month 73</v>
      </c>
      <c r="BW3" s="432" t="str">
        <f>'Argus Drop'!CA3</f>
        <v>Month 74</v>
      </c>
      <c r="BX3" s="432" t="str">
        <f>'Argus Drop'!CB3</f>
        <v>Month 75</v>
      </c>
      <c r="BY3" s="432" t="str">
        <f>'Argus Drop'!CC3</f>
        <v>Month 76</v>
      </c>
      <c r="BZ3" s="432" t="str">
        <f>'Argus Drop'!CD3</f>
        <v>Month 77</v>
      </c>
      <c r="CA3" s="432" t="str">
        <f>'Argus Drop'!CE3</f>
        <v>Month 78</v>
      </c>
      <c r="CB3" s="432" t="str">
        <f>'Argus Drop'!CF3</f>
        <v>Month 79</v>
      </c>
      <c r="CC3" s="432" t="str">
        <f>'Argus Drop'!CG3</f>
        <v>Month 80</v>
      </c>
      <c r="CD3" s="432" t="str">
        <f>'Argus Drop'!CH3</f>
        <v>Month 81</v>
      </c>
      <c r="CE3" s="432" t="str">
        <f>'Argus Drop'!CI3</f>
        <v>Month 82</v>
      </c>
      <c r="CF3" s="432" t="str">
        <f>'Argus Drop'!CJ3</f>
        <v>Month 83</v>
      </c>
      <c r="CG3" s="432" t="str">
        <f>'Argus Drop'!CK3</f>
        <v>Month 84</v>
      </c>
      <c r="CH3" s="432" t="str">
        <f>'Argus Drop'!CL3</f>
        <v>Month 85</v>
      </c>
      <c r="CI3" s="432" t="str">
        <f>'Argus Drop'!CM3</f>
        <v>Month 86</v>
      </c>
      <c r="CJ3" s="432" t="str">
        <f>'Argus Drop'!CN3</f>
        <v>Month 87</v>
      </c>
      <c r="CK3" s="432" t="str">
        <f>'Argus Drop'!CO3</f>
        <v>Month 88</v>
      </c>
      <c r="CL3" s="432" t="str">
        <f>'Argus Drop'!CP3</f>
        <v>Month 89</v>
      </c>
      <c r="CM3" s="432" t="str">
        <f>'Argus Drop'!CQ3</f>
        <v>Month 90</v>
      </c>
      <c r="CN3" s="432" t="str">
        <f>'Argus Drop'!CR3</f>
        <v>Month 91</v>
      </c>
      <c r="CO3" s="432" t="str">
        <f>'Argus Drop'!CS3</f>
        <v>Month 92</v>
      </c>
      <c r="CP3" s="432" t="str">
        <f>'Argus Drop'!CT3</f>
        <v>Month 93</v>
      </c>
      <c r="CQ3" s="432" t="str">
        <f>'Argus Drop'!CU3</f>
        <v>Month 94</v>
      </c>
      <c r="CR3" s="432" t="str">
        <f>'Argus Drop'!CV3</f>
        <v>Month 95</v>
      </c>
      <c r="CS3" s="432" t="str">
        <f>'Argus Drop'!CW3</f>
        <v>Month 96</v>
      </c>
      <c r="CT3" s="432" t="str">
        <f>'Argus Drop'!CX3</f>
        <v>Month 97</v>
      </c>
      <c r="CU3" s="432" t="str">
        <f>'Argus Drop'!CY3</f>
        <v>Month 98</v>
      </c>
      <c r="CV3" s="432" t="str">
        <f>'Argus Drop'!CZ3</f>
        <v>Month 99</v>
      </c>
      <c r="CW3" s="432" t="str">
        <f>'Argus Drop'!DA3</f>
        <v>Month 100</v>
      </c>
      <c r="CX3" s="432" t="str">
        <f>'Argus Drop'!DB3</f>
        <v>Month 101</v>
      </c>
      <c r="CY3" s="432" t="str">
        <f>'Argus Drop'!DC3</f>
        <v>Month 102</v>
      </c>
      <c r="CZ3" s="432" t="str">
        <f>'Argus Drop'!DD3</f>
        <v>Month 103</v>
      </c>
      <c r="DA3" s="432" t="str">
        <f>'Argus Drop'!DE3</f>
        <v>Month 104</v>
      </c>
      <c r="DB3" s="432" t="str">
        <f>'Argus Drop'!DF3</f>
        <v>Month 105</v>
      </c>
      <c r="DC3" s="432" t="str">
        <f>'Argus Drop'!DG3</f>
        <v>Month 106</v>
      </c>
      <c r="DD3" s="432" t="str">
        <f>'Argus Drop'!DH3</f>
        <v>Month 107</v>
      </c>
      <c r="DE3" s="432" t="str">
        <f>'Argus Drop'!DI3</f>
        <v>Month 108</v>
      </c>
      <c r="DF3" s="432" t="str">
        <f>'Argus Drop'!DJ3</f>
        <v>Month 109</v>
      </c>
      <c r="DG3" s="432" t="str">
        <f>'Argus Drop'!DK3</f>
        <v>Month 110</v>
      </c>
      <c r="DH3" s="432" t="str">
        <f>'Argus Drop'!DL3</f>
        <v>Month 111</v>
      </c>
      <c r="DI3" s="432" t="str">
        <f>'Argus Drop'!DM3</f>
        <v>Month 112</v>
      </c>
      <c r="DJ3" s="432" t="str">
        <f>'Argus Drop'!DN3</f>
        <v>Month 113</v>
      </c>
      <c r="DK3" s="432" t="str">
        <f>'Argus Drop'!DO3</f>
        <v>Month 114</v>
      </c>
      <c r="DL3" s="432" t="str">
        <f>'Argus Drop'!DP3</f>
        <v>Month 115</v>
      </c>
      <c r="DM3" s="432" t="str">
        <f>'Argus Drop'!DQ3</f>
        <v>Month 116</v>
      </c>
      <c r="DN3" s="432" t="str">
        <f>'Argus Drop'!DR3</f>
        <v>Month 117</v>
      </c>
      <c r="DO3" s="432" t="str">
        <f>'Argus Drop'!DS3</f>
        <v>Month 118</v>
      </c>
      <c r="DP3" s="432" t="str">
        <f>'Argus Drop'!DT3</f>
        <v>Month 119</v>
      </c>
      <c r="DQ3" s="432" t="str">
        <f>'Argus Drop'!DU3</f>
        <v>Month 120</v>
      </c>
      <c r="DR3" s="432" t="str">
        <f>'Argus Drop'!DV3</f>
        <v>Month 121</v>
      </c>
      <c r="DS3" s="432"/>
      <c r="DT3" s="432"/>
      <c r="DU3" s="432"/>
      <c r="DV3" s="432"/>
      <c r="DW3" s="432"/>
      <c r="DX3" s="432"/>
      <c r="DY3" s="432"/>
      <c r="DZ3" s="432"/>
      <c r="EA3" s="432"/>
      <c r="EB3" s="432"/>
      <c r="EC3" s="432"/>
      <c r="ED3" s="1417"/>
      <c r="EE3" s="1417"/>
      <c r="EF3" s="1417"/>
      <c r="EG3" s="1417"/>
      <c r="EH3" s="1417"/>
      <c r="EI3" s="1417"/>
      <c r="EJ3" s="1417"/>
      <c r="EK3" s="1417"/>
      <c r="EL3" s="1417"/>
      <c r="EM3" s="1417"/>
      <c r="EN3" s="1417"/>
      <c r="EO3" s="1417"/>
      <c r="EP3" s="1417"/>
      <c r="EQ3" s="1417"/>
      <c r="ER3" s="1417"/>
      <c r="ES3" s="1417"/>
      <c r="ET3" s="1417"/>
      <c r="EU3" s="1417"/>
      <c r="EV3" s="1417"/>
      <c r="EW3" s="1417"/>
      <c r="EX3" s="1417"/>
      <c r="EY3" s="1417"/>
      <c r="EZ3" s="1417"/>
      <c r="FA3" s="1417"/>
      <c r="FB3" s="1417"/>
      <c r="FC3" s="1417"/>
      <c r="FD3" s="1417"/>
      <c r="FE3" s="1417"/>
      <c r="FF3" s="1417"/>
      <c r="FG3" s="1417"/>
      <c r="FH3" s="1417"/>
      <c r="FI3" s="1417"/>
    </row>
    <row r="4" spans="1:165">
      <c r="B4" s="594" t="str">
        <f>'Argus Drop'!F4</f>
        <v>Oct-2022</v>
      </c>
      <c r="C4" s="510">
        <f>+EOMONTH(B4,1)</f>
        <v>44895</v>
      </c>
      <c r="D4" s="510">
        <f t="shared" ref="D4:BO4" si="0">+EOMONTH(C4,1)</f>
        <v>44926</v>
      </c>
      <c r="E4" s="510">
        <f t="shared" si="0"/>
        <v>44957</v>
      </c>
      <c r="F4" s="1496">
        <f t="shared" si="0"/>
        <v>44985</v>
      </c>
      <c r="G4" s="1496">
        <f t="shared" si="0"/>
        <v>45016</v>
      </c>
      <c r="H4" s="1496">
        <f t="shared" si="0"/>
        <v>45046</v>
      </c>
      <c r="I4" s="1496">
        <f t="shared" si="0"/>
        <v>45077</v>
      </c>
      <c r="J4" s="1496">
        <f t="shared" si="0"/>
        <v>45107</v>
      </c>
      <c r="K4" s="1496">
        <f t="shared" si="0"/>
        <v>45138</v>
      </c>
      <c r="L4" s="1496">
        <f t="shared" si="0"/>
        <v>45169</v>
      </c>
      <c r="M4" s="1496">
        <f t="shared" si="0"/>
        <v>45199</v>
      </c>
      <c r="N4" s="1496">
        <f t="shared" si="0"/>
        <v>45230</v>
      </c>
      <c r="O4" s="1496">
        <f t="shared" si="0"/>
        <v>45260</v>
      </c>
      <c r="P4" s="1496">
        <f t="shared" si="0"/>
        <v>45291</v>
      </c>
      <c r="Q4" s="1496">
        <f t="shared" si="0"/>
        <v>45322</v>
      </c>
      <c r="R4" s="510">
        <f t="shared" si="0"/>
        <v>45351</v>
      </c>
      <c r="S4" s="510">
        <f t="shared" si="0"/>
        <v>45382</v>
      </c>
      <c r="T4" s="510">
        <f t="shared" si="0"/>
        <v>45412</v>
      </c>
      <c r="U4" s="510">
        <f t="shared" si="0"/>
        <v>45443</v>
      </c>
      <c r="V4" s="510">
        <f t="shared" si="0"/>
        <v>45473</v>
      </c>
      <c r="W4" s="510">
        <f t="shared" si="0"/>
        <v>45504</v>
      </c>
      <c r="X4" s="510">
        <f t="shared" si="0"/>
        <v>45535</v>
      </c>
      <c r="Y4" s="510">
        <f t="shared" si="0"/>
        <v>45565</v>
      </c>
      <c r="Z4" s="510">
        <f t="shared" si="0"/>
        <v>45596</v>
      </c>
      <c r="AA4" s="510">
        <f t="shared" si="0"/>
        <v>45626</v>
      </c>
      <c r="AB4" s="510">
        <f t="shared" si="0"/>
        <v>45657</v>
      </c>
      <c r="AC4" s="510">
        <f t="shared" si="0"/>
        <v>45688</v>
      </c>
      <c r="AD4" s="510">
        <f t="shared" si="0"/>
        <v>45716</v>
      </c>
      <c r="AE4" s="510">
        <f t="shared" si="0"/>
        <v>45747</v>
      </c>
      <c r="AF4" s="510">
        <f t="shared" si="0"/>
        <v>45777</v>
      </c>
      <c r="AG4" s="510">
        <f t="shared" si="0"/>
        <v>45808</v>
      </c>
      <c r="AH4" s="510">
        <f t="shared" si="0"/>
        <v>45838</v>
      </c>
      <c r="AI4" s="510">
        <f t="shared" si="0"/>
        <v>45869</v>
      </c>
      <c r="AJ4" s="510">
        <f t="shared" si="0"/>
        <v>45900</v>
      </c>
      <c r="AK4" s="510">
        <f t="shared" si="0"/>
        <v>45930</v>
      </c>
      <c r="AL4" s="510">
        <f t="shared" si="0"/>
        <v>45961</v>
      </c>
      <c r="AM4" s="510">
        <f t="shared" si="0"/>
        <v>45991</v>
      </c>
      <c r="AN4" s="510">
        <f t="shared" si="0"/>
        <v>46022</v>
      </c>
      <c r="AO4" s="510">
        <f t="shared" si="0"/>
        <v>46053</v>
      </c>
      <c r="AP4" s="510">
        <f t="shared" si="0"/>
        <v>46081</v>
      </c>
      <c r="AQ4" s="510">
        <f t="shared" si="0"/>
        <v>46112</v>
      </c>
      <c r="AR4" s="510">
        <f t="shared" si="0"/>
        <v>46142</v>
      </c>
      <c r="AS4" s="510">
        <f t="shared" si="0"/>
        <v>46173</v>
      </c>
      <c r="AT4" s="510">
        <f t="shared" si="0"/>
        <v>46203</v>
      </c>
      <c r="AU4" s="510">
        <f t="shared" si="0"/>
        <v>46234</v>
      </c>
      <c r="AV4" s="510">
        <f t="shared" si="0"/>
        <v>46265</v>
      </c>
      <c r="AW4" s="510">
        <f t="shared" si="0"/>
        <v>46295</v>
      </c>
      <c r="AX4" s="510">
        <f t="shared" si="0"/>
        <v>46326</v>
      </c>
      <c r="AY4" s="510">
        <f t="shared" si="0"/>
        <v>46356</v>
      </c>
      <c r="AZ4" s="510">
        <f t="shared" si="0"/>
        <v>46387</v>
      </c>
      <c r="BA4" s="510">
        <f t="shared" si="0"/>
        <v>46418</v>
      </c>
      <c r="BB4" s="510">
        <f t="shared" si="0"/>
        <v>46446</v>
      </c>
      <c r="BC4" s="510">
        <f t="shared" si="0"/>
        <v>46477</v>
      </c>
      <c r="BD4" s="510">
        <f t="shared" si="0"/>
        <v>46507</v>
      </c>
      <c r="BE4" s="510">
        <f t="shared" si="0"/>
        <v>46538</v>
      </c>
      <c r="BF4" s="510">
        <f t="shared" si="0"/>
        <v>46568</v>
      </c>
      <c r="BG4" s="510">
        <f t="shared" si="0"/>
        <v>46599</v>
      </c>
      <c r="BH4" s="510">
        <f t="shared" si="0"/>
        <v>46630</v>
      </c>
      <c r="BI4" s="510">
        <f t="shared" si="0"/>
        <v>46660</v>
      </c>
      <c r="BJ4" s="510">
        <f t="shared" si="0"/>
        <v>46691</v>
      </c>
      <c r="BK4" s="510">
        <f t="shared" si="0"/>
        <v>46721</v>
      </c>
      <c r="BL4" s="510">
        <f t="shared" si="0"/>
        <v>46752</v>
      </c>
      <c r="BM4" s="510">
        <f t="shared" si="0"/>
        <v>46783</v>
      </c>
      <c r="BN4" s="510">
        <f t="shared" si="0"/>
        <v>46812</v>
      </c>
      <c r="BO4" s="510">
        <f t="shared" si="0"/>
        <v>46843</v>
      </c>
      <c r="BP4" s="510">
        <f t="shared" ref="BP4:DR4" si="1">+EOMONTH(BO4,1)</f>
        <v>46873</v>
      </c>
      <c r="BQ4" s="510">
        <f t="shared" si="1"/>
        <v>46904</v>
      </c>
      <c r="BR4" s="510">
        <f t="shared" si="1"/>
        <v>46934</v>
      </c>
      <c r="BS4" s="510">
        <f t="shared" si="1"/>
        <v>46965</v>
      </c>
      <c r="BT4" s="510">
        <f t="shared" si="1"/>
        <v>46996</v>
      </c>
      <c r="BU4" s="510">
        <f t="shared" si="1"/>
        <v>47026</v>
      </c>
      <c r="BV4" s="510">
        <f t="shared" si="1"/>
        <v>47057</v>
      </c>
      <c r="BW4" s="510">
        <f t="shared" si="1"/>
        <v>47087</v>
      </c>
      <c r="BX4" s="510">
        <f t="shared" si="1"/>
        <v>47118</v>
      </c>
      <c r="BY4" s="510">
        <f t="shared" si="1"/>
        <v>47149</v>
      </c>
      <c r="BZ4" s="510">
        <f t="shared" si="1"/>
        <v>47177</v>
      </c>
      <c r="CA4" s="510">
        <f t="shared" si="1"/>
        <v>47208</v>
      </c>
      <c r="CB4" s="510">
        <f t="shared" si="1"/>
        <v>47238</v>
      </c>
      <c r="CC4" s="510">
        <f t="shared" si="1"/>
        <v>47269</v>
      </c>
      <c r="CD4" s="510">
        <f t="shared" si="1"/>
        <v>47299</v>
      </c>
      <c r="CE4" s="510">
        <f t="shared" si="1"/>
        <v>47330</v>
      </c>
      <c r="CF4" s="510">
        <f t="shared" si="1"/>
        <v>47361</v>
      </c>
      <c r="CG4" s="510">
        <f t="shared" si="1"/>
        <v>47391</v>
      </c>
      <c r="CH4" s="510">
        <f t="shared" si="1"/>
        <v>47422</v>
      </c>
      <c r="CI4" s="510">
        <f t="shared" si="1"/>
        <v>47452</v>
      </c>
      <c r="CJ4" s="510">
        <f t="shared" si="1"/>
        <v>47483</v>
      </c>
      <c r="CK4" s="510">
        <f t="shared" si="1"/>
        <v>47514</v>
      </c>
      <c r="CL4" s="510">
        <f t="shared" si="1"/>
        <v>47542</v>
      </c>
      <c r="CM4" s="510">
        <f t="shared" si="1"/>
        <v>47573</v>
      </c>
      <c r="CN4" s="510">
        <f t="shared" si="1"/>
        <v>47603</v>
      </c>
      <c r="CO4" s="510">
        <f t="shared" si="1"/>
        <v>47634</v>
      </c>
      <c r="CP4" s="510">
        <f t="shared" si="1"/>
        <v>47664</v>
      </c>
      <c r="CQ4" s="510">
        <f t="shared" si="1"/>
        <v>47695</v>
      </c>
      <c r="CR4" s="510">
        <f t="shared" si="1"/>
        <v>47726</v>
      </c>
      <c r="CS4" s="510">
        <f t="shared" si="1"/>
        <v>47756</v>
      </c>
      <c r="CT4" s="510">
        <f t="shared" si="1"/>
        <v>47787</v>
      </c>
      <c r="CU4" s="510">
        <f t="shared" si="1"/>
        <v>47817</v>
      </c>
      <c r="CV4" s="510">
        <f t="shared" si="1"/>
        <v>47848</v>
      </c>
      <c r="CW4" s="510">
        <f t="shared" si="1"/>
        <v>47879</v>
      </c>
      <c r="CX4" s="510">
        <f t="shared" si="1"/>
        <v>47907</v>
      </c>
      <c r="CY4" s="510">
        <f t="shared" si="1"/>
        <v>47938</v>
      </c>
      <c r="CZ4" s="510">
        <f t="shared" si="1"/>
        <v>47968</v>
      </c>
      <c r="DA4" s="510">
        <f t="shared" si="1"/>
        <v>47999</v>
      </c>
      <c r="DB4" s="510">
        <f t="shared" si="1"/>
        <v>48029</v>
      </c>
      <c r="DC4" s="510">
        <f t="shared" si="1"/>
        <v>48060</v>
      </c>
      <c r="DD4" s="510">
        <f t="shared" si="1"/>
        <v>48091</v>
      </c>
      <c r="DE4" s="510">
        <f t="shared" si="1"/>
        <v>48121</v>
      </c>
      <c r="DF4" s="510">
        <f t="shared" si="1"/>
        <v>48152</v>
      </c>
      <c r="DG4" s="510">
        <f t="shared" si="1"/>
        <v>48182</v>
      </c>
      <c r="DH4" s="510">
        <f t="shared" si="1"/>
        <v>48213</v>
      </c>
      <c r="DI4" s="510">
        <f t="shared" si="1"/>
        <v>48244</v>
      </c>
      <c r="DJ4" s="510">
        <f t="shared" si="1"/>
        <v>48273</v>
      </c>
      <c r="DK4" s="510">
        <f t="shared" si="1"/>
        <v>48304</v>
      </c>
      <c r="DL4" s="510">
        <f t="shared" si="1"/>
        <v>48334</v>
      </c>
      <c r="DM4" s="510">
        <f t="shared" si="1"/>
        <v>48365</v>
      </c>
      <c r="DN4" s="510">
        <f t="shared" si="1"/>
        <v>48395</v>
      </c>
      <c r="DO4" s="510">
        <f t="shared" si="1"/>
        <v>48426</v>
      </c>
      <c r="DP4" s="510">
        <f t="shared" si="1"/>
        <v>48457</v>
      </c>
      <c r="DQ4" s="510">
        <f t="shared" si="1"/>
        <v>48487</v>
      </c>
      <c r="DR4" s="510">
        <f t="shared" si="1"/>
        <v>48518</v>
      </c>
      <c r="DS4" s="510"/>
      <c r="DT4" s="510"/>
      <c r="DU4" s="510"/>
      <c r="DV4" s="510"/>
      <c r="DW4" s="510"/>
      <c r="DX4" s="510"/>
      <c r="DY4" s="510"/>
      <c r="DZ4" s="510"/>
      <c r="EA4" s="510"/>
      <c r="EB4" s="510"/>
      <c r="EC4" s="510"/>
      <c r="ED4" s="1418"/>
      <c r="EE4" s="1418"/>
      <c r="EF4" s="1418"/>
      <c r="EG4" s="1418"/>
      <c r="EH4" s="1418"/>
      <c r="EI4" s="1418"/>
      <c r="EJ4" s="1418"/>
      <c r="EK4" s="1418"/>
      <c r="EL4" s="1418"/>
      <c r="EM4" s="1418"/>
      <c r="EN4" s="1418"/>
      <c r="EO4" s="1418"/>
      <c r="EP4" s="1418"/>
      <c r="EQ4" s="1418"/>
      <c r="ER4" s="1418"/>
      <c r="ES4" s="1418"/>
      <c r="ET4" s="1418"/>
      <c r="EU4" s="1418"/>
      <c r="EV4" s="1418"/>
      <c r="EW4" s="1418"/>
      <c r="EX4" s="1418"/>
      <c r="EY4" s="1418"/>
      <c r="EZ4" s="1418"/>
      <c r="FA4" s="1418"/>
      <c r="FB4" s="1418"/>
      <c r="FC4" s="1418"/>
      <c r="FD4" s="1418"/>
      <c r="FE4" s="1418"/>
      <c r="FF4" s="1418"/>
      <c r="FG4" s="1418"/>
      <c r="FH4" s="1418"/>
      <c r="FI4" s="1418"/>
    </row>
    <row r="6" spans="1:165">
      <c r="A6" s="448" t="s">
        <v>419</v>
      </c>
    </row>
    <row r="7" spans="1:165">
      <c r="A7" s="448">
        <f>IF(+'Argus Drop'!B7="","",'Argus Drop'!B7)</f>
        <v>1</v>
      </c>
      <c r="B7" s="440">
        <f>SUMIF('Argus Drop'!$D:$D,$A7,'Argus Drop'!F:F)</f>
        <v>191442</v>
      </c>
      <c r="C7" s="440">
        <f>SUMIF('Argus Drop'!$D:$D,$A7,'Argus Drop'!G:G)</f>
        <v>192470</v>
      </c>
      <c r="D7" s="440">
        <f>SUMIF('Argus Drop'!$D:$D,$A7,'Argus Drop'!H:H)</f>
        <v>192470</v>
      </c>
      <c r="E7" s="440">
        <f>SUMIF('Argus Drop'!$D:$D,$A7,'Argus Drop'!I:I)</f>
        <v>193017</v>
      </c>
      <c r="F7" s="440">
        <f>SUMIF('Argus Drop'!$D:$D,$A7,'Argus Drop'!J:J)</f>
        <v>193017</v>
      </c>
      <c r="G7" s="440">
        <f>SUMIF('Argus Drop'!$D:$D,$A7,'Argus Drop'!K:K)</f>
        <v>193510</v>
      </c>
      <c r="H7" s="440">
        <f>SUMIF('Argus Drop'!$D:$D,$A7,'Argus Drop'!L:L)</f>
        <v>193510</v>
      </c>
      <c r="I7" s="440">
        <f>SUMIF('Argus Drop'!$D:$D,$A7,'Argus Drop'!M:M)</f>
        <v>193707</v>
      </c>
      <c r="J7" s="440">
        <f>SUMIF('Argus Drop'!$D:$D,$A7,'Argus Drop'!N:N)</f>
        <v>194752</v>
      </c>
      <c r="K7" s="440">
        <f>SUMIF('Argus Drop'!$D:$D,$A7,'Argus Drop'!O:O)</f>
        <v>202998</v>
      </c>
      <c r="L7" s="440">
        <f>SUMIF('Argus Drop'!$D:$D,$A7,'Argus Drop'!P:P)</f>
        <v>204653</v>
      </c>
      <c r="M7" s="440">
        <f>SUMIF('Argus Drop'!$D:$D,$A7,'Argus Drop'!Q:Q)</f>
        <v>204653</v>
      </c>
      <c r="N7" s="440">
        <f>SUMIF('Argus Drop'!$D:$D,$A7,'Argus Drop'!R:R)</f>
        <v>207771</v>
      </c>
      <c r="O7" s="440">
        <f>SUMIF('Argus Drop'!$D:$D,$A7,'Argus Drop'!S:S)</f>
        <v>208634</v>
      </c>
      <c r="P7" s="440">
        <f>SUMIF('Argus Drop'!$D:$D,$A7,'Argus Drop'!T:T)</f>
        <v>208634</v>
      </c>
      <c r="Q7" s="440">
        <f>SUMIF('Argus Drop'!$D:$D,$A7,'Argus Drop'!U:U)</f>
        <v>208593</v>
      </c>
      <c r="R7" s="440">
        <f>SUMIF('Argus Drop'!$D:$D,$A7,'Argus Drop'!V:V)</f>
        <v>208579</v>
      </c>
      <c r="S7" s="440">
        <f>SUMIF('Argus Drop'!$D:$D,$A7,'Argus Drop'!W:W)</f>
        <v>208173</v>
      </c>
      <c r="T7" s="440">
        <f>SUMIF('Argus Drop'!$D:$D,$A7,'Argus Drop'!X:X)</f>
        <v>208173</v>
      </c>
      <c r="U7" s="440">
        <f>SUMIF('Argus Drop'!$D:$D,$A7,'Argus Drop'!Y:Y)</f>
        <v>206979</v>
      </c>
      <c r="V7" s="440">
        <f>SUMIF('Argus Drop'!$D:$D,$A7,'Argus Drop'!Z:Z)</f>
        <v>206721</v>
      </c>
      <c r="W7" s="440">
        <f>SUMIF('Argus Drop'!$D:$D,$A7,'Argus Drop'!AA:AA)</f>
        <v>206721</v>
      </c>
      <c r="X7" s="440">
        <f>SUMIF('Argus Drop'!$D:$D,$A7,'Argus Drop'!AB:AB)</f>
        <v>207279</v>
      </c>
      <c r="Y7" s="440">
        <f>SUMIF('Argus Drop'!$D:$D,$A7,'Argus Drop'!AC:AC)</f>
        <v>208183</v>
      </c>
      <c r="Z7" s="440">
        <f>SUMIF('Argus Drop'!$D:$D,$A7,'Argus Drop'!AD:AD)</f>
        <v>208938</v>
      </c>
      <c r="AA7" s="440">
        <f>SUMIF('Argus Drop'!$D:$D,$A7,'Argus Drop'!AE:AE)</f>
        <v>209835</v>
      </c>
      <c r="AB7" s="440">
        <f>SUMIF('Argus Drop'!$D:$D,$A7,'Argus Drop'!AF:AF)</f>
        <v>210433</v>
      </c>
      <c r="AC7" s="440">
        <f>SUMIF('Argus Drop'!$D:$D,$A7,'Argus Drop'!AG:AG)</f>
        <v>210641</v>
      </c>
      <c r="AD7" s="440">
        <f>SUMIF('Argus Drop'!$D:$D,$A7,'Argus Drop'!AH:AH)</f>
        <v>211204</v>
      </c>
      <c r="AE7" s="440">
        <f>SUMIF('Argus Drop'!$D:$D,$A7,'Argus Drop'!AI:AI)</f>
        <v>211204</v>
      </c>
      <c r="AF7" s="440">
        <f>SUMIF('Argus Drop'!$D:$D,$A7,'Argus Drop'!AJ:AJ)</f>
        <v>211699</v>
      </c>
      <c r="AG7" s="440">
        <f>SUMIF('Argus Drop'!$D:$D,$A7,'Argus Drop'!AK:AK)</f>
        <v>211226</v>
      </c>
      <c r="AH7" s="440">
        <f>SUMIF('Argus Drop'!$D:$D,$A7,'Argus Drop'!AL:AL)</f>
        <v>212150</v>
      </c>
      <c r="AI7" s="440">
        <f>SUMIF('Argus Drop'!$D:$D,$A7,'Argus Drop'!AM:AM)</f>
        <v>212150</v>
      </c>
      <c r="AJ7" s="440">
        <f>SUMIF('Argus Drop'!$D:$D,$A7,'Argus Drop'!AN:AN)</f>
        <v>212725</v>
      </c>
      <c r="AK7" s="440">
        <f>SUMIF('Argus Drop'!$D:$D,$A7,'Argus Drop'!AO:AO)</f>
        <v>213656</v>
      </c>
      <c r="AL7" s="440">
        <f>SUMIF('Argus Drop'!$D:$D,$A7,'Argus Drop'!AP:AP)</f>
        <v>214433</v>
      </c>
      <c r="AM7" s="440">
        <f>SUMIF('Argus Drop'!$D:$D,$A7,'Argus Drop'!AQ:AQ)</f>
        <v>215366</v>
      </c>
      <c r="AN7" s="440">
        <f>SUMIF('Argus Drop'!$D:$D,$A7,'Argus Drop'!AR:AR)</f>
        <v>216054</v>
      </c>
      <c r="AO7" s="440">
        <f>SUMIF('Argus Drop'!$D:$D,$A7,'Argus Drop'!AS:AS)</f>
        <v>216054</v>
      </c>
      <c r="AP7" s="440">
        <f>SUMIF('Argus Drop'!$D:$D,$A7,'Argus Drop'!AT:AT)</f>
        <v>216634</v>
      </c>
      <c r="AQ7" s="440">
        <f>SUMIF('Argus Drop'!$D:$D,$A7,'Argus Drop'!AU:AU)</f>
        <v>216634</v>
      </c>
      <c r="AR7" s="440">
        <f>SUMIF('Argus Drop'!$D:$D,$A7,'Argus Drop'!AV:AV)</f>
        <v>217144</v>
      </c>
      <c r="AS7" s="440">
        <f>SUMIF('Argus Drop'!$D:$D,$A7,'Argus Drop'!AW:AW)</f>
        <v>217579</v>
      </c>
      <c r="AT7" s="440">
        <f>SUMIF('Argus Drop'!$D:$D,$A7,'Argus Drop'!AX:AX)</f>
        <v>218635</v>
      </c>
      <c r="AU7" s="440">
        <f>SUMIF('Argus Drop'!$D:$D,$A7,'Argus Drop'!AY:AY)</f>
        <v>218635</v>
      </c>
      <c r="AV7" s="440">
        <f>SUMIF('Argus Drop'!$D:$D,$A7,'Argus Drop'!AZ:AZ)</f>
        <v>219227</v>
      </c>
      <c r="AW7" s="440">
        <f>SUMIF('Argus Drop'!$D:$D,$A7,'Argus Drop'!BA:BA)</f>
        <v>220187</v>
      </c>
      <c r="AX7" s="440">
        <f>SUMIF('Argus Drop'!$D:$D,$A7,'Argus Drop'!BB:BB)</f>
        <v>222536</v>
      </c>
      <c r="AY7" s="440">
        <f>SUMIF('Argus Drop'!$D:$D,$A7,'Argus Drop'!BC:BC)</f>
        <v>219024</v>
      </c>
      <c r="AZ7" s="440">
        <f>SUMIF('Argus Drop'!$D:$D,$A7,'Argus Drop'!BD:BD)</f>
        <v>219024</v>
      </c>
      <c r="BA7" s="440">
        <f>SUMIF('Argus Drop'!$D:$D,$A7,'Argus Drop'!BE:BE)</f>
        <v>219024</v>
      </c>
      <c r="BB7" s="440">
        <f>SUMIF('Argus Drop'!$D:$D,$A7,'Argus Drop'!BF:BF)</f>
        <v>219621</v>
      </c>
      <c r="BC7" s="440">
        <f>SUMIF('Argus Drop'!$D:$D,$A7,'Argus Drop'!BG:BG)</f>
        <v>219621</v>
      </c>
      <c r="BD7" s="440">
        <f>SUMIF('Argus Drop'!$D:$D,$A7,'Argus Drop'!BH:BH)</f>
        <v>220146</v>
      </c>
      <c r="BE7" s="440">
        <f>SUMIF('Argus Drop'!$D:$D,$A7,'Argus Drop'!BI:BI)</f>
        <v>220594</v>
      </c>
      <c r="BF7" s="440">
        <f>SUMIF('Argus Drop'!$D:$D,$A7,'Argus Drop'!BJ:BJ)</f>
        <v>221683</v>
      </c>
      <c r="BG7" s="440">
        <f>SUMIF('Argus Drop'!$D:$D,$A7,'Argus Drop'!BK:BK)</f>
        <v>221683</v>
      </c>
      <c r="BH7" s="440">
        <f>SUMIF('Argus Drop'!$D:$D,$A7,'Argus Drop'!BL:BL)</f>
        <v>222292</v>
      </c>
      <c r="BI7" s="440">
        <f>SUMIF('Argus Drop'!$D:$D,$A7,'Argus Drop'!BM:BM)</f>
        <v>223599</v>
      </c>
      <c r="BJ7" s="440">
        <f>SUMIF('Argus Drop'!$D:$D,$A7,'Argus Drop'!BN:BN)</f>
        <v>220541</v>
      </c>
      <c r="BK7" s="440">
        <f>SUMIF('Argus Drop'!$D:$D,$A7,'Argus Drop'!BO:BO)</f>
        <v>221019</v>
      </c>
      <c r="BL7" s="440">
        <f>SUMIF('Argus Drop'!$D:$D,$A7,'Argus Drop'!BP:BP)</f>
        <v>222293</v>
      </c>
      <c r="BM7" s="440">
        <f>SUMIF('Argus Drop'!$D:$D,$A7,'Argus Drop'!BQ:BQ)</f>
        <v>222520</v>
      </c>
      <c r="BN7" s="440">
        <f>SUMIF('Argus Drop'!$D:$D,$A7,'Argus Drop'!BR:BR)</f>
        <v>223135</v>
      </c>
      <c r="BO7" s="440">
        <f>SUMIF('Argus Drop'!$D:$D,$A7,'Argus Drop'!BS:BS)</f>
        <v>223135</v>
      </c>
      <c r="BP7" s="440">
        <f>SUMIF('Argus Drop'!$D:$D,$A7,'Argus Drop'!BT:BT)</f>
        <v>223676</v>
      </c>
      <c r="BQ7" s="440">
        <f>SUMIF('Argus Drop'!$D:$D,$A7,'Argus Drop'!BU:BU)</f>
        <v>222997</v>
      </c>
      <c r="BR7" s="440">
        <f>SUMIF('Argus Drop'!$D:$D,$A7,'Argus Drop'!BV:BV)</f>
        <v>222718</v>
      </c>
      <c r="BS7" s="440">
        <f>SUMIF('Argus Drop'!$D:$D,$A7,'Argus Drop'!BW:BW)</f>
        <v>222718</v>
      </c>
      <c r="BT7" s="440">
        <f>SUMIF('Argus Drop'!$D:$D,$A7,'Argus Drop'!BX:BX)</f>
        <v>220385</v>
      </c>
      <c r="BU7" s="440">
        <f>SUMIF('Argus Drop'!$D:$D,$A7,'Argus Drop'!BY:BY)</f>
        <v>216601</v>
      </c>
      <c r="BV7" s="440">
        <f>SUMIF('Argus Drop'!$D:$D,$A7,'Argus Drop'!BZ:BZ)</f>
        <v>216601</v>
      </c>
      <c r="BW7" s="440">
        <f>SUMIF('Argus Drop'!$D:$D,$A7,'Argus Drop'!CA:CA)</f>
        <v>217394</v>
      </c>
      <c r="BX7" s="440">
        <f>SUMIF('Argus Drop'!$D:$D,$A7,'Argus Drop'!CB:CB)</f>
        <v>218036</v>
      </c>
      <c r="BY7" s="440">
        <f>SUMIF('Argus Drop'!$D:$D,$A7,'Argus Drop'!CC:CC)</f>
        <v>218036</v>
      </c>
      <c r="BZ7" s="440">
        <f>SUMIF('Argus Drop'!$D:$D,$A7,'Argus Drop'!CD:CD)</f>
        <v>215682</v>
      </c>
      <c r="CA7" s="440">
        <f>SUMIF('Argus Drop'!$D:$D,$A7,'Argus Drop'!CE:CE)</f>
        <v>215682</v>
      </c>
      <c r="CB7" s="440">
        <f>SUMIF('Argus Drop'!$D:$D,$A7,'Argus Drop'!CF:CF)</f>
        <v>213611</v>
      </c>
      <c r="CC7" s="440">
        <f>SUMIF('Argus Drop'!$D:$D,$A7,'Argus Drop'!CG:CG)</f>
        <v>213837</v>
      </c>
      <c r="CD7" s="440">
        <f>SUMIF('Argus Drop'!$D:$D,$A7,'Argus Drop'!CH:CH)</f>
        <v>208532</v>
      </c>
      <c r="CE7" s="440">
        <f>SUMIF('Argus Drop'!$D:$D,$A7,'Argus Drop'!CI:CI)</f>
        <v>208923</v>
      </c>
      <c r="CF7" s="440">
        <f>SUMIF('Argus Drop'!$D:$D,$A7,'Argus Drop'!CJ:CJ)</f>
        <v>208923</v>
      </c>
      <c r="CG7" s="440">
        <f>SUMIF('Argus Drop'!$D:$D,$A7,'Argus Drop'!CK:CK)</f>
        <v>209481</v>
      </c>
      <c r="CH7" s="440">
        <f>SUMIF('Argus Drop'!$D:$D,$A7,'Argus Drop'!CL:CL)</f>
        <v>210385</v>
      </c>
      <c r="CI7" s="440">
        <f>SUMIF('Argus Drop'!$D:$D,$A7,'Argus Drop'!CM:CM)</f>
        <v>211202</v>
      </c>
      <c r="CJ7" s="440">
        <f>SUMIF('Argus Drop'!$D:$D,$A7,'Argus Drop'!CN:CN)</f>
        <v>211863</v>
      </c>
      <c r="CK7" s="440">
        <f>SUMIF('Argus Drop'!$D:$D,$A7,'Argus Drop'!CO:CO)</f>
        <v>211863</v>
      </c>
      <c r="CL7" s="440">
        <f>SUMIF('Argus Drop'!$D:$D,$A7,'Argus Drop'!CP:CP)</f>
        <v>211863</v>
      </c>
      <c r="CM7" s="440">
        <f>SUMIF('Argus Drop'!$D:$D,$A7,'Argus Drop'!CQ:CQ)</f>
        <v>212425</v>
      </c>
      <c r="CN7" s="440">
        <f>SUMIF('Argus Drop'!$D:$D,$A7,'Argus Drop'!CR:CR)</f>
        <v>212425</v>
      </c>
      <c r="CO7" s="440">
        <f>SUMIF('Argus Drop'!$D:$D,$A7,'Argus Drop'!CS:CS)</f>
        <v>213153</v>
      </c>
      <c r="CP7" s="440">
        <f>SUMIF('Argus Drop'!$D:$D,$A7,'Argus Drop'!CT:CT)</f>
        <v>212728</v>
      </c>
      <c r="CQ7" s="440">
        <f>SUMIF('Argus Drop'!$D:$D,$A7,'Argus Drop'!CU:CU)</f>
        <v>213467</v>
      </c>
      <c r="CR7" s="440">
        <f>SUMIF('Argus Drop'!$D:$D,$A7,'Argus Drop'!CV:CV)</f>
        <v>213825</v>
      </c>
      <c r="CS7" s="440">
        <f>SUMIF('Argus Drop'!$D:$D,$A7,'Argus Drop'!CW:CW)</f>
        <v>214400</v>
      </c>
      <c r="CT7" s="440">
        <f>SUMIF('Argus Drop'!$D:$D,$A7,'Argus Drop'!CX:CX)</f>
        <v>215331</v>
      </c>
      <c r="CU7" s="440">
        <f>SUMIF('Argus Drop'!$D:$D,$A7,'Argus Drop'!CY:CY)</f>
        <v>216173</v>
      </c>
      <c r="CV7" s="440">
        <f>SUMIF('Argus Drop'!$D:$D,$A7,'Argus Drop'!CZ:CZ)</f>
        <v>217564</v>
      </c>
      <c r="CW7" s="440">
        <f>SUMIF('Argus Drop'!$D:$D,$A7,'Argus Drop'!DA:DA)</f>
        <v>217811</v>
      </c>
      <c r="CX7" s="440">
        <f>SUMIF('Argus Drop'!$D:$D,$A7,'Argus Drop'!DB:DB)</f>
        <v>217811</v>
      </c>
      <c r="CY7" s="440">
        <f>SUMIF('Argus Drop'!$D:$D,$A7,'Argus Drop'!DC:DC)</f>
        <v>218391</v>
      </c>
      <c r="CZ7" s="440">
        <f>SUMIF('Argus Drop'!$D:$D,$A7,'Argus Drop'!DD:DD)</f>
        <v>218391</v>
      </c>
      <c r="DA7" s="440">
        <f>SUMIF('Argus Drop'!$D:$D,$A7,'Argus Drop'!DE:DE)</f>
        <v>219140</v>
      </c>
      <c r="DB7" s="440">
        <f>SUMIF('Argus Drop'!$D:$D,$A7,'Argus Drop'!DF:DF)</f>
        <v>219467</v>
      </c>
      <c r="DC7" s="440">
        <f>SUMIF('Argus Drop'!$D:$D,$A7,'Argus Drop'!DG:DG)</f>
        <v>220406</v>
      </c>
      <c r="DD7" s="440">
        <f>SUMIF('Argus Drop'!$D:$D,$A7,'Argus Drop'!DH:DH)</f>
        <v>220774</v>
      </c>
      <c r="DE7" s="440">
        <f>SUMIF('Argus Drop'!$D:$D,$A7,'Argus Drop'!DI:DI)</f>
        <v>221366</v>
      </c>
      <c r="DF7" s="440">
        <f>SUMIF('Argus Drop'!$D:$D,$A7,'Argus Drop'!DJ:DJ)</f>
        <v>222325</v>
      </c>
      <c r="DG7" s="440">
        <f>SUMIF('Argus Drop'!$D:$D,$A7,'Argus Drop'!DK:DK)</f>
        <v>220656</v>
      </c>
      <c r="DH7" s="440">
        <f>SUMIF('Argus Drop'!$D:$D,$A7,'Argus Drop'!DL:DL)</f>
        <v>218051</v>
      </c>
      <c r="DI7" s="440">
        <f>SUMIF('Argus Drop'!$D:$D,$A7,'Argus Drop'!DM:DM)</f>
        <v>218051</v>
      </c>
      <c r="DJ7" s="440">
        <f>SUMIF('Argus Drop'!$D:$D,$A7,'Argus Drop'!DN:DN)</f>
        <v>218051</v>
      </c>
      <c r="DK7" s="440">
        <f>SUMIF('Argus Drop'!$D:$D,$A7,'Argus Drop'!DO:DO)</f>
        <v>218647</v>
      </c>
      <c r="DL7" s="440">
        <f>SUMIF('Argus Drop'!$D:$D,$A7,'Argus Drop'!DP:DP)</f>
        <v>218647</v>
      </c>
      <c r="DM7" s="440">
        <f>SUMIF('Argus Drop'!$D:$D,$A7,'Argus Drop'!DQ:DQ)</f>
        <v>219420</v>
      </c>
      <c r="DN7" s="440">
        <f>SUMIF('Argus Drop'!$D:$D,$A7,'Argus Drop'!DR:DR)</f>
        <v>219755</v>
      </c>
      <c r="DO7" s="440">
        <f>SUMIF('Argus Drop'!$D:$D,$A7,'Argus Drop'!DS:DS)</f>
        <v>220723</v>
      </c>
      <c r="DP7" s="440">
        <f>SUMIF('Argus Drop'!$D:$D,$A7,'Argus Drop'!DT:DT)</f>
        <v>221102</v>
      </c>
      <c r="DQ7" s="440">
        <f>SUMIF('Argus Drop'!$D:$D,$A7,'Argus Drop'!DU:DU)</f>
        <v>221393</v>
      </c>
      <c r="DR7" s="440">
        <f>SUMIF('Argus Drop'!$D:$D,$A7,'Argus Drop'!DV:DV)</f>
        <v>222381</v>
      </c>
      <c r="DS7" s="440"/>
      <c r="DT7" s="440"/>
      <c r="DU7" s="440"/>
      <c r="DV7" s="440"/>
      <c r="DW7" s="440"/>
      <c r="DX7" s="440"/>
      <c r="DY7" s="440"/>
      <c r="DZ7" s="440"/>
      <c r="EA7" s="440"/>
      <c r="EB7" s="440"/>
      <c r="EC7" s="440"/>
      <c r="ED7" s="1419"/>
      <c r="EE7" s="1419"/>
      <c r="EF7" s="1419"/>
      <c r="EG7" s="1419"/>
      <c r="EH7" s="1419"/>
      <c r="EI7" s="1419"/>
      <c r="EJ7" s="1419"/>
      <c r="EK7" s="1419"/>
      <c r="EL7" s="1419"/>
      <c r="EM7" s="1419"/>
      <c r="EN7" s="1419"/>
      <c r="EO7" s="1419"/>
      <c r="EP7" s="1419"/>
      <c r="EQ7" s="1419"/>
      <c r="ER7" s="1419"/>
      <c r="ES7" s="1419"/>
      <c r="ET7" s="1419"/>
      <c r="EU7" s="1419"/>
      <c r="EV7" s="1419"/>
      <c r="EW7" s="1419"/>
      <c r="EX7" s="1419"/>
      <c r="EY7" s="1419"/>
      <c r="EZ7" s="1419"/>
      <c r="FA7" s="1419"/>
      <c r="FB7" s="1419"/>
      <c r="FC7" s="1419"/>
      <c r="FD7" s="1419"/>
      <c r="FE7" s="1419"/>
      <c r="FF7" s="1419"/>
      <c r="FG7" s="1419"/>
      <c r="FH7" s="1419"/>
      <c r="FI7" s="1419"/>
    </row>
    <row r="8" spans="1:165">
      <c r="A8" s="448">
        <f>IF(+'Argus Drop'!B8="","",'Argus Drop'!B8)</f>
        <v>2</v>
      </c>
      <c r="B8" s="440">
        <f>SUMIF('Argus Drop'!$D:$D,$A8,'Argus Drop'!F:F)</f>
        <v>-30559</v>
      </c>
      <c r="C8" s="440">
        <f>SUMIF('Argus Drop'!$D:$D,$A8,'Argus Drop'!G:G)</f>
        <v>-30559</v>
      </c>
      <c r="D8" s="440">
        <f>SUMIF('Argus Drop'!$D:$D,$A8,'Argus Drop'!H:H)</f>
        <v>-30559</v>
      </c>
      <c r="E8" s="440">
        <f>SUMIF('Argus Drop'!$D:$D,$A8,'Argus Drop'!I:I)</f>
        <v>-30559</v>
      </c>
      <c r="F8" s="440">
        <f>SUMIF('Argus Drop'!$D:$D,$A8,'Argus Drop'!J:J)</f>
        <v>-30559</v>
      </c>
      <c r="G8" s="440">
        <f>SUMIF('Argus Drop'!$D:$D,$A8,'Argus Drop'!K:K)</f>
        <v>-30559</v>
      </c>
      <c r="H8" s="440">
        <f>SUMIF('Argus Drop'!$D:$D,$A8,'Argus Drop'!L:L)</f>
        <v>-30559</v>
      </c>
      <c r="I8" s="440">
        <f>SUMIF('Argus Drop'!$D:$D,$A8,'Argus Drop'!M:M)</f>
        <v>-23399</v>
      </c>
      <c r="J8" s="440">
        <f>SUMIF('Argus Drop'!$D:$D,$A8,'Argus Drop'!N:N)</f>
        <v>-23399</v>
      </c>
      <c r="K8" s="440">
        <f>SUMIF('Argus Drop'!$D:$D,$A8,'Argus Drop'!O:O)</f>
        <v>-41989</v>
      </c>
      <c r="L8" s="440">
        <f>SUMIF('Argus Drop'!$D:$D,$A8,'Argus Drop'!P:P)</f>
        <v>-53546</v>
      </c>
      <c r="M8" s="440">
        <f>SUMIF('Argus Drop'!$D:$D,$A8,'Argus Drop'!Q:Q)</f>
        <v>-23399</v>
      </c>
      <c r="N8" s="440">
        <f>SUMIF('Argus Drop'!$D:$D,$A8,'Argus Drop'!R:R)</f>
        <v>-23399</v>
      </c>
      <c r="O8" s="440">
        <f>SUMIF('Argus Drop'!$D:$D,$A8,'Argus Drop'!S:S)</f>
        <v>-23399</v>
      </c>
      <c r="P8" s="440">
        <f>SUMIF('Argus Drop'!$D:$D,$A8,'Argus Drop'!T:T)</f>
        <v>-23399</v>
      </c>
      <c r="Q8" s="440">
        <f>SUMIF('Argus Drop'!$D:$D,$A8,'Argus Drop'!U:U)</f>
        <v>-42151</v>
      </c>
      <c r="R8" s="440">
        <f>SUMIF('Argus Drop'!$D:$D,$A8,'Argus Drop'!V:V)</f>
        <v>-23968</v>
      </c>
      <c r="S8" s="440">
        <f>SUMIF('Argus Drop'!$D:$D,$A8,'Argus Drop'!W:W)</f>
        <v>-39902</v>
      </c>
      <c r="T8" s="440">
        <f>SUMIF('Argus Drop'!$D:$D,$A8,'Argus Drop'!X:X)</f>
        <v>-23399</v>
      </c>
      <c r="U8" s="440">
        <f>SUMIF('Argus Drop'!$D:$D,$A8,'Argus Drop'!Y:Y)</f>
        <v>-15263</v>
      </c>
      <c r="V8" s="440">
        <f>SUMIF('Argus Drop'!$D:$D,$A8,'Argus Drop'!Z:Z)</f>
        <v>0</v>
      </c>
      <c r="W8" s="440">
        <f>SUMIF('Argus Drop'!$D:$D,$A8,'Argus Drop'!AA:AA)</f>
        <v>0</v>
      </c>
      <c r="X8" s="440">
        <f>SUMIF('Argus Drop'!$D:$D,$A8,'Argus Drop'!AB:AB)</f>
        <v>0</v>
      </c>
      <c r="Y8" s="440">
        <f>SUMIF('Argus Drop'!$D:$D,$A8,'Argus Drop'!AC:AC)</f>
        <v>0</v>
      </c>
      <c r="Z8" s="440">
        <f>SUMIF('Argus Drop'!$D:$D,$A8,'Argus Drop'!AD:AD)</f>
        <v>0</v>
      </c>
      <c r="AA8" s="440">
        <f>SUMIF('Argus Drop'!$D:$D,$A8,'Argus Drop'!AE:AE)</f>
        <v>0</v>
      </c>
      <c r="AB8" s="440">
        <f>SUMIF('Argus Drop'!$D:$D,$A8,'Argus Drop'!AF:AF)</f>
        <v>0</v>
      </c>
      <c r="AC8" s="440">
        <f>SUMIF('Argus Drop'!$D:$D,$A8,'Argus Drop'!AG:AG)</f>
        <v>0</v>
      </c>
      <c r="AD8" s="440">
        <f>SUMIF('Argus Drop'!$D:$D,$A8,'Argus Drop'!AH:AH)</f>
        <v>0</v>
      </c>
      <c r="AE8" s="440">
        <f>SUMIF('Argus Drop'!$D:$D,$A8,'Argus Drop'!AI:AI)</f>
        <v>0</v>
      </c>
      <c r="AF8" s="440">
        <f>SUMIF('Argus Drop'!$D:$D,$A8,'Argus Drop'!AJ:AJ)</f>
        <v>0</v>
      </c>
      <c r="AG8" s="440">
        <f>SUMIF('Argus Drop'!$D:$D,$A8,'Argus Drop'!AK:AK)</f>
        <v>-5911</v>
      </c>
      <c r="AH8" s="440">
        <f>SUMIF('Argus Drop'!$D:$D,$A8,'Argus Drop'!AL:AL)</f>
        <v>0</v>
      </c>
      <c r="AI8" s="440">
        <f>SUMIF('Argus Drop'!$D:$D,$A8,'Argus Drop'!AM:AM)</f>
        <v>0</v>
      </c>
      <c r="AJ8" s="440">
        <f>SUMIF('Argus Drop'!$D:$D,$A8,'Argus Drop'!AN:AN)</f>
        <v>0</v>
      </c>
      <c r="AK8" s="440">
        <f>SUMIF('Argus Drop'!$D:$D,$A8,'Argus Drop'!AO:AO)</f>
        <v>0</v>
      </c>
      <c r="AL8" s="440">
        <f>SUMIF('Argus Drop'!$D:$D,$A8,'Argus Drop'!AP:AP)</f>
        <v>0</v>
      </c>
      <c r="AM8" s="440">
        <f>SUMIF('Argus Drop'!$D:$D,$A8,'Argus Drop'!AQ:AQ)</f>
        <v>0</v>
      </c>
      <c r="AN8" s="440">
        <f>SUMIF('Argus Drop'!$D:$D,$A8,'Argus Drop'!AR:AR)</f>
        <v>0</v>
      </c>
      <c r="AO8" s="440">
        <f>SUMIF('Argus Drop'!$D:$D,$A8,'Argus Drop'!AS:AS)</f>
        <v>0</v>
      </c>
      <c r="AP8" s="440">
        <f>SUMIF('Argus Drop'!$D:$D,$A8,'Argus Drop'!AT:AT)</f>
        <v>0</v>
      </c>
      <c r="AQ8" s="440">
        <f>SUMIF('Argus Drop'!$D:$D,$A8,'Argus Drop'!AU:AU)</f>
        <v>0</v>
      </c>
      <c r="AR8" s="440">
        <f>SUMIF('Argus Drop'!$D:$D,$A8,'Argus Drop'!AV:AV)</f>
        <v>0</v>
      </c>
      <c r="AS8" s="440">
        <f>SUMIF('Argus Drop'!$D:$D,$A8,'Argus Drop'!AW:AW)</f>
        <v>0</v>
      </c>
      <c r="AT8" s="440">
        <f>SUMIF('Argus Drop'!$D:$D,$A8,'Argus Drop'!AX:AX)</f>
        <v>0</v>
      </c>
      <c r="AU8" s="440">
        <f>SUMIF('Argus Drop'!$D:$D,$A8,'Argus Drop'!AY:AY)</f>
        <v>0</v>
      </c>
      <c r="AV8" s="440">
        <f>SUMIF('Argus Drop'!$D:$D,$A8,'Argus Drop'!AZ:AZ)</f>
        <v>0</v>
      </c>
      <c r="AW8" s="440">
        <f>SUMIF('Argus Drop'!$D:$D,$A8,'Argus Drop'!BA:BA)</f>
        <v>0</v>
      </c>
      <c r="AX8" s="440">
        <f>SUMIF('Argus Drop'!$D:$D,$A8,'Argus Drop'!BB:BB)</f>
        <v>-15922</v>
      </c>
      <c r="AY8" s="440">
        <f>SUMIF('Argus Drop'!$D:$D,$A8,'Argus Drop'!BC:BC)</f>
        <v>-20761</v>
      </c>
      <c r="AZ8" s="440">
        <f>SUMIF('Argus Drop'!$D:$D,$A8,'Argus Drop'!BD:BD)</f>
        <v>0</v>
      </c>
      <c r="BA8" s="440">
        <f>SUMIF('Argus Drop'!$D:$D,$A8,'Argus Drop'!BE:BE)</f>
        <v>0</v>
      </c>
      <c r="BB8" s="440">
        <f>SUMIF('Argus Drop'!$D:$D,$A8,'Argus Drop'!BF:BF)</f>
        <v>0</v>
      </c>
      <c r="BC8" s="440">
        <f>SUMIF('Argus Drop'!$D:$D,$A8,'Argus Drop'!BG:BG)</f>
        <v>0</v>
      </c>
      <c r="BD8" s="440">
        <f>SUMIF('Argus Drop'!$D:$D,$A8,'Argus Drop'!BH:BH)</f>
        <v>0</v>
      </c>
      <c r="BE8" s="440">
        <f>SUMIF('Argus Drop'!$D:$D,$A8,'Argus Drop'!BI:BI)</f>
        <v>0</v>
      </c>
      <c r="BF8" s="440">
        <f>SUMIF('Argus Drop'!$D:$D,$A8,'Argus Drop'!BJ:BJ)</f>
        <v>0</v>
      </c>
      <c r="BG8" s="440">
        <f>SUMIF('Argus Drop'!$D:$D,$A8,'Argus Drop'!BK:BK)</f>
        <v>0</v>
      </c>
      <c r="BH8" s="440">
        <f>SUMIF('Argus Drop'!$D:$D,$A8,'Argus Drop'!BL:BL)</f>
        <v>0</v>
      </c>
      <c r="BI8" s="440">
        <f>SUMIF('Argus Drop'!$D:$D,$A8,'Argus Drop'!BM:BM)</f>
        <v>0</v>
      </c>
      <c r="BJ8" s="440">
        <f>SUMIF('Argus Drop'!$D:$D,$A8,'Argus Drop'!BN:BN)</f>
        <v>-10040</v>
      </c>
      <c r="BK8" s="440">
        <f>SUMIF('Argus Drop'!$D:$D,$A8,'Argus Drop'!BO:BO)</f>
        <v>0</v>
      </c>
      <c r="BL8" s="440">
        <f>SUMIF('Argus Drop'!$D:$D,$A8,'Argus Drop'!BP:BP)</f>
        <v>0</v>
      </c>
      <c r="BM8" s="440">
        <f>SUMIF('Argus Drop'!$D:$D,$A8,'Argus Drop'!BQ:BQ)</f>
        <v>0</v>
      </c>
      <c r="BN8" s="440">
        <f>SUMIF('Argus Drop'!$D:$D,$A8,'Argus Drop'!BR:BR)</f>
        <v>0</v>
      </c>
      <c r="BO8" s="440">
        <f>SUMIF('Argus Drop'!$D:$D,$A8,'Argus Drop'!BS:BS)</f>
        <v>0</v>
      </c>
      <c r="BP8" s="440">
        <f>SUMIF('Argus Drop'!$D:$D,$A8,'Argus Drop'!BT:BT)</f>
        <v>0</v>
      </c>
      <c r="BQ8" s="440">
        <f>SUMIF('Argus Drop'!$D:$D,$A8,'Argus Drop'!BU:BU)</f>
        <v>-7160</v>
      </c>
      <c r="BR8" s="440">
        <f>SUMIF('Argus Drop'!$D:$D,$A8,'Argus Drop'!BV:BV)</f>
        <v>-13047</v>
      </c>
      <c r="BS8" s="440">
        <f>SUMIF('Argus Drop'!$D:$D,$A8,'Argus Drop'!BW:BW)</f>
        <v>0</v>
      </c>
      <c r="BT8" s="440">
        <f>SUMIF('Argus Drop'!$D:$D,$A8,'Argus Drop'!BX:BX)</f>
        <v>-18590</v>
      </c>
      <c r="BU8" s="440">
        <f>SUMIF('Argus Drop'!$D:$D,$A8,'Argus Drop'!BY:BY)</f>
        <v>-30147</v>
      </c>
      <c r="BV8" s="440">
        <f>SUMIF('Argus Drop'!$D:$D,$A8,'Argus Drop'!BZ:BZ)</f>
        <v>0</v>
      </c>
      <c r="BW8" s="440">
        <f>SUMIF('Argus Drop'!$D:$D,$A8,'Argus Drop'!CA:CA)</f>
        <v>0</v>
      </c>
      <c r="BX8" s="440">
        <f>SUMIF('Argus Drop'!$D:$D,$A8,'Argus Drop'!CB:CB)</f>
        <v>0</v>
      </c>
      <c r="BY8" s="440">
        <f>SUMIF('Argus Drop'!$D:$D,$A8,'Argus Drop'!CC:CC)</f>
        <v>0</v>
      </c>
      <c r="BZ8" s="440">
        <f>SUMIF('Argus Drop'!$D:$D,$A8,'Argus Drop'!CD:CD)</f>
        <v>-18753</v>
      </c>
      <c r="CA8" s="440">
        <f>SUMIF('Argus Drop'!$D:$D,$A8,'Argus Drop'!CE:CE)</f>
        <v>0</v>
      </c>
      <c r="CB8" s="440">
        <f>SUMIF('Argus Drop'!$D:$D,$A8,'Argus Drop'!CF:CF)</f>
        <v>-16504</v>
      </c>
      <c r="CC8" s="440">
        <f>SUMIF('Argus Drop'!$D:$D,$A8,'Argus Drop'!CG:CG)</f>
        <v>0</v>
      </c>
      <c r="CD8" s="440">
        <f>SUMIF('Argus Drop'!$D:$D,$A8,'Argus Drop'!CH:CH)</f>
        <v>-23146</v>
      </c>
      <c r="CE8" s="440">
        <f>SUMIF('Argus Drop'!$D:$D,$A8,'Argus Drop'!CI:CI)</f>
        <v>-11935</v>
      </c>
      <c r="CF8" s="440">
        <f>SUMIF('Argus Drop'!$D:$D,$A8,'Argus Drop'!CJ:CJ)</f>
        <v>0</v>
      </c>
      <c r="CG8" s="440">
        <f>SUMIF('Argus Drop'!$D:$D,$A8,'Argus Drop'!CK:CK)</f>
        <v>0</v>
      </c>
      <c r="CH8" s="440">
        <f>SUMIF('Argus Drop'!$D:$D,$A8,'Argus Drop'!CL:CL)</f>
        <v>0</v>
      </c>
      <c r="CI8" s="440">
        <f>SUMIF('Argus Drop'!$D:$D,$A8,'Argus Drop'!CM:CM)</f>
        <v>0</v>
      </c>
      <c r="CJ8" s="440">
        <f>SUMIF('Argus Drop'!$D:$D,$A8,'Argus Drop'!CN:CN)</f>
        <v>0</v>
      </c>
      <c r="CK8" s="440">
        <f>SUMIF('Argus Drop'!$D:$D,$A8,'Argus Drop'!CO:CO)</f>
        <v>0</v>
      </c>
      <c r="CL8" s="440">
        <f>SUMIF('Argus Drop'!$D:$D,$A8,'Argus Drop'!CP:CP)</f>
        <v>0</v>
      </c>
      <c r="CM8" s="440">
        <f>SUMIF('Argus Drop'!$D:$D,$A8,'Argus Drop'!CQ:CQ)</f>
        <v>0</v>
      </c>
      <c r="CN8" s="440">
        <f>SUMIF('Argus Drop'!$D:$D,$A8,'Argus Drop'!CR:CR)</f>
        <v>0</v>
      </c>
      <c r="CO8" s="440">
        <f>SUMIF('Argus Drop'!$D:$D,$A8,'Argus Drop'!CS:CS)</f>
        <v>0</v>
      </c>
      <c r="CP8" s="440">
        <f>SUMIF('Argus Drop'!$D:$D,$A8,'Argus Drop'!CT:CT)</f>
        <v>-5911</v>
      </c>
      <c r="CQ8" s="440">
        <f>SUMIF('Argus Drop'!$D:$D,$A8,'Argus Drop'!CU:CU)</f>
        <v>0</v>
      </c>
      <c r="CR8" s="440">
        <f>SUMIF('Argus Drop'!$D:$D,$A8,'Argus Drop'!CV:CV)</f>
        <v>0</v>
      </c>
      <c r="CS8" s="440">
        <f>SUMIF('Argus Drop'!$D:$D,$A8,'Argus Drop'!CW:CW)</f>
        <v>0</v>
      </c>
      <c r="CT8" s="440">
        <f>SUMIF('Argus Drop'!$D:$D,$A8,'Argus Drop'!CX:CX)</f>
        <v>0</v>
      </c>
      <c r="CU8" s="440">
        <f>SUMIF('Argus Drop'!$D:$D,$A8,'Argus Drop'!CY:CY)</f>
        <v>0</v>
      </c>
      <c r="CV8" s="440">
        <f>SUMIF('Argus Drop'!$D:$D,$A8,'Argus Drop'!CZ:CZ)</f>
        <v>0</v>
      </c>
      <c r="CW8" s="440">
        <f>SUMIF('Argus Drop'!$D:$D,$A8,'Argus Drop'!DA:DA)</f>
        <v>0</v>
      </c>
      <c r="CX8" s="440">
        <f>SUMIF('Argus Drop'!$D:$D,$A8,'Argus Drop'!DB:DB)</f>
        <v>0</v>
      </c>
      <c r="CY8" s="440">
        <f>SUMIF('Argus Drop'!$D:$D,$A8,'Argus Drop'!DC:DC)</f>
        <v>0</v>
      </c>
      <c r="CZ8" s="440">
        <f>SUMIF('Argus Drop'!$D:$D,$A8,'Argus Drop'!DD:DD)</f>
        <v>0</v>
      </c>
      <c r="DA8" s="440">
        <f>SUMIF('Argus Drop'!$D:$D,$A8,'Argus Drop'!DE:DE)</f>
        <v>0</v>
      </c>
      <c r="DB8" s="440">
        <f>SUMIF('Argus Drop'!$D:$D,$A8,'Argus Drop'!DF:DF)</f>
        <v>0</v>
      </c>
      <c r="DC8" s="440">
        <f>SUMIF('Argus Drop'!$D:$D,$A8,'Argus Drop'!DG:DG)</f>
        <v>0</v>
      </c>
      <c r="DD8" s="440">
        <f>SUMIF('Argus Drop'!$D:$D,$A8,'Argus Drop'!DH:DH)</f>
        <v>0</v>
      </c>
      <c r="DE8" s="440">
        <f>SUMIF('Argus Drop'!$D:$D,$A8,'Argus Drop'!DI:DI)</f>
        <v>0</v>
      </c>
      <c r="DF8" s="440">
        <f>SUMIF('Argus Drop'!$D:$D,$A8,'Argus Drop'!DJ:DJ)</f>
        <v>0</v>
      </c>
      <c r="DG8" s="440">
        <f>SUMIF('Argus Drop'!$D:$D,$A8,'Argus Drop'!DK:DK)</f>
        <v>-15922</v>
      </c>
      <c r="DH8" s="440">
        <f>SUMIF('Argus Drop'!$D:$D,$A8,'Argus Drop'!DL:DL)</f>
        <v>-20761</v>
      </c>
      <c r="DI8" s="440">
        <f>SUMIF('Argus Drop'!$D:$D,$A8,'Argus Drop'!DM:DM)</f>
        <v>0</v>
      </c>
      <c r="DJ8" s="440">
        <f>SUMIF('Argus Drop'!$D:$D,$A8,'Argus Drop'!DN:DN)</f>
        <v>0</v>
      </c>
      <c r="DK8" s="440">
        <f>SUMIF('Argus Drop'!$D:$D,$A8,'Argus Drop'!DO:DO)</f>
        <v>0</v>
      </c>
      <c r="DL8" s="440">
        <f>SUMIF('Argus Drop'!$D:$D,$A8,'Argus Drop'!DP:DP)</f>
        <v>0</v>
      </c>
      <c r="DM8" s="440">
        <f>SUMIF('Argus Drop'!$D:$D,$A8,'Argus Drop'!DQ:DQ)</f>
        <v>0</v>
      </c>
      <c r="DN8" s="440">
        <f>SUMIF('Argus Drop'!$D:$D,$A8,'Argus Drop'!DR:DR)</f>
        <v>0</v>
      </c>
      <c r="DO8" s="440">
        <f>SUMIF('Argus Drop'!$D:$D,$A8,'Argus Drop'!DS:DS)</f>
        <v>0</v>
      </c>
      <c r="DP8" s="440">
        <f>SUMIF('Argus Drop'!$D:$D,$A8,'Argus Drop'!DT:DT)</f>
        <v>0</v>
      </c>
      <c r="DQ8" s="440">
        <f>SUMIF('Argus Drop'!$D:$D,$A8,'Argus Drop'!DU:DU)</f>
        <v>-3163</v>
      </c>
      <c r="DR8" s="440">
        <f>SUMIF('Argus Drop'!$D:$D,$A8,'Argus Drop'!DV:DV)</f>
        <v>0</v>
      </c>
      <c r="DS8" s="440"/>
      <c r="DT8" s="440"/>
      <c r="DU8" s="440"/>
      <c r="DV8" s="440"/>
      <c r="DW8" s="440"/>
      <c r="DX8" s="440"/>
      <c r="DY8" s="440"/>
      <c r="DZ8" s="440"/>
      <c r="EA8" s="440"/>
      <c r="EB8" s="440"/>
      <c r="EC8" s="440"/>
      <c r="ED8" s="1419"/>
      <c r="EE8" s="1419"/>
      <c r="EF8" s="1419"/>
      <c r="EG8" s="1419"/>
      <c r="EH8" s="1419"/>
      <c r="EI8" s="1419"/>
      <c r="EJ8" s="1419"/>
      <c r="EK8" s="1419"/>
      <c r="EL8" s="1419"/>
      <c r="EM8" s="1419"/>
      <c r="EN8" s="1419"/>
      <c r="EO8" s="1419"/>
      <c r="EP8" s="1419"/>
      <c r="EQ8" s="1419"/>
      <c r="ER8" s="1419"/>
      <c r="ES8" s="1419"/>
      <c r="ET8" s="1419"/>
      <c r="EU8" s="1419"/>
      <c r="EV8" s="1419"/>
      <c r="EW8" s="1419"/>
      <c r="EX8" s="1419"/>
      <c r="EY8" s="1419"/>
      <c r="EZ8" s="1419"/>
      <c r="FA8" s="1419"/>
      <c r="FB8" s="1419"/>
      <c r="FC8" s="1419"/>
      <c r="FD8" s="1419"/>
      <c r="FE8" s="1419"/>
      <c r="FF8" s="1419"/>
      <c r="FG8" s="1419"/>
      <c r="FH8" s="1419"/>
      <c r="FI8" s="1419"/>
    </row>
    <row r="9" spans="1:165">
      <c r="A9" s="448">
        <f>IF(+'Argus Drop'!B9="","",'Argus Drop'!B9)</f>
        <v>3</v>
      </c>
      <c r="B9" s="440">
        <f>SUMIF('Argus Drop'!$D:$D,$A9,'Argus Drop'!F:F)</f>
        <v>-27128</v>
      </c>
      <c r="C9" s="440">
        <f>SUMIF('Argus Drop'!$D:$D,$A9,'Argus Drop'!G:G)</f>
        <v>0</v>
      </c>
      <c r="D9" s="440">
        <f>SUMIF('Argus Drop'!$D:$D,$A9,'Argus Drop'!H:H)</f>
        <v>0</v>
      </c>
      <c r="E9" s="440">
        <f>SUMIF('Argus Drop'!$D:$D,$A9,'Argus Drop'!I:I)</f>
        <v>0</v>
      </c>
      <c r="F9" s="440">
        <f>SUMIF('Argus Drop'!$D:$D,$A9,'Argus Drop'!J:J)</f>
        <v>0</v>
      </c>
      <c r="G9" s="440">
        <f>SUMIF('Argus Drop'!$D:$D,$A9,'Argus Drop'!K:K)</f>
        <v>0</v>
      </c>
      <c r="H9" s="440">
        <f>SUMIF('Argus Drop'!$D:$D,$A9,'Argus Drop'!L:L)</f>
        <v>0</v>
      </c>
      <c r="I9" s="440">
        <f>SUMIF('Argus Drop'!$D:$D,$A9,'Argus Drop'!M:M)</f>
        <v>0</v>
      </c>
      <c r="J9" s="440">
        <f>SUMIF('Argus Drop'!$D:$D,$A9,'Argus Drop'!N:N)</f>
        <v>0</v>
      </c>
      <c r="K9" s="440">
        <f>SUMIF('Argus Drop'!$D:$D,$A9,'Argus Drop'!O:O)</f>
        <v>0</v>
      </c>
      <c r="L9" s="440">
        <f>SUMIF('Argus Drop'!$D:$D,$A9,'Argus Drop'!P:P)</f>
        <v>0</v>
      </c>
      <c r="M9" s="440">
        <f>SUMIF('Argus Drop'!$D:$D,$A9,'Argus Drop'!Q:Q)</f>
        <v>0</v>
      </c>
      <c r="N9" s="440">
        <f>SUMIF('Argus Drop'!$D:$D,$A9,'Argus Drop'!R:R)</f>
        <v>-6775</v>
      </c>
      <c r="O9" s="440">
        <f>SUMIF('Argus Drop'!$D:$D,$A9,'Argus Drop'!S:S)</f>
        <v>0</v>
      </c>
      <c r="P9" s="440">
        <f>SUMIF('Argus Drop'!$D:$D,$A9,'Argus Drop'!T:T)</f>
        <v>0</v>
      </c>
      <c r="Q9" s="440">
        <f>SUMIF('Argus Drop'!$D:$D,$A9,'Argus Drop'!U:U)</f>
        <v>0</v>
      </c>
      <c r="R9" s="440">
        <f>SUMIF('Argus Drop'!$D:$D,$A9,'Argus Drop'!V:V)</f>
        <v>0</v>
      </c>
      <c r="S9" s="440">
        <f>SUMIF('Argus Drop'!$D:$D,$A9,'Argus Drop'!W:W)</f>
        <v>0</v>
      </c>
      <c r="T9" s="440">
        <f>SUMIF('Argus Drop'!$D:$D,$A9,'Argus Drop'!X:X)</f>
        <v>0</v>
      </c>
      <c r="U9" s="440">
        <f>SUMIF('Argus Drop'!$D:$D,$A9,'Argus Drop'!Y:Y)</f>
        <v>0</v>
      </c>
      <c r="V9" s="440">
        <f>SUMIF('Argus Drop'!$D:$D,$A9,'Argus Drop'!Z:Z)</f>
        <v>0</v>
      </c>
      <c r="W9" s="440">
        <f>SUMIF('Argus Drop'!$D:$D,$A9,'Argus Drop'!AA:AA)</f>
        <v>0</v>
      </c>
      <c r="X9" s="440">
        <f>SUMIF('Argus Drop'!$D:$D,$A9,'Argus Drop'!AB:AB)</f>
        <v>0</v>
      </c>
      <c r="Y9" s="440">
        <f>SUMIF('Argus Drop'!$D:$D,$A9,'Argus Drop'!AC:AC)</f>
        <v>0</v>
      </c>
      <c r="Z9" s="440">
        <f>SUMIF('Argus Drop'!$D:$D,$A9,'Argus Drop'!AD:AD)</f>
        <v>0</v>
      </c>
      <c r="AA9" s="440">
        <f>SUMIF('Argus Drop'!$D:$D,$A9,'Argus Drop'!AE:AE)</f>
        <v>0</v>
      </c>
      <c r="AB9" s="440">
        <f>SUMIF('Argus Drop'!$D:$D,$A9,'Argus Drop'!AF:AF)</f>
        <v>0</v>
      </c>
      <c r="AC9" s="440">
        <f>SUMIF('Argus Drop'!$D:$D,$A9,'Argus Drop'!AG:AG)</f>
        <v>0</v>
      </c>
      <c r="AD9" s="440">
        <f>SUMIF('Argus Drop'!$D:$D,$A9,'Argus Drop'!AH:AH)</f>
        <v>0</v>
      </c>
      <c r="AE9" s="440">
        <f>SUMIF('Argus Drop'!$D:$D,$A9,'Argus Drop'!AI:AI)</f>
        <v>0</v>
      </c>
      <c r="AF9" s="440">
        <f>SUMIF('Argus Drop'!$D:$D,$A9,'Argus Drop'!AJ:AJ)</f>
        <v>0</v>
      </c>
      <c r="AG9" s="440">
        <f>SUMIF('Argus Drop'!$D:$D,$A9,'Argus Drop'!AK:AK)</f>
        <v>0</v>
      </c>
      <c r="AH9" s="440">
        <f>SUMIF('Argus Drop'!$D:$D,$A9,'Argus Drop'!AL:AL)</f>
        <v>0</v>
      </c>
      <c r="AI9" s="440">
        <f>SUMIF('Argus Drop'!$D:$D,$A9,'Argus Drop'!AM:AM)</f>
        <v>0</v>
      </c>
      <c r="AJ9" s="440">
        <f>SUMIF('Argus Drop'!$D:$D,$A9,'Argus Drop'!AN:AN)</f>
        <v>0</v>
      </c>
      <c r="AK9" s="440">
        <f>SUMIF('Argus Drop'!$D:$D,$A9,'Argus Drop'!AO:AO)</f>
        <v>0</v>
      </c>
      <c r="AL9" s="440">
        <f>SUMIF('Argus Drop'!$D:$D,$A9,'Argus Drop'!AP:AP)</f>
        <v>0</v>
      </c>
      <c r="AM9" s="440">
        <f>SUMIF('Argus Drop'!$D:$D,$A9,'Argus Drop'!AQ:AQ)</f>
        <v>0</v>
      </c>
      <c r="AN9" s="440">
        <f>SUMIF('Argus Drop'!$D:$D,$A9,'Argus Drop'!AR:AR)</f>
        <v>0</v>
      </c>
      <c r="AO9" s="440">
        <f>SUMIF('Argus Drop'!$D:$D,$A9,'Argus Drop'!AS:AS)</f>
        <v>0</v>
      </c>
      <c r="AP9" s="440">
        <f>SUMIF('Argus Drop'!$D:$D,$A9,'Argus Drop'!AT:AT)</f>
        <v>0</v>
      </c>
      <c r="AQ9" s="440">
        <f>SUMIF('Argus Drop'!$D:$D,$A9,'Argus Drop'!AU:AU)</f>
        <v>0</v>
      </c>
      <c r="AR9" s="440">
        <f>SUMIF('Argus Drop'!$D:$D,$A9,'Argus Drop'!AV:AV)</f>
        <v>0</v>
      </c>
      <c r="AS9" s="440">
        <f>SUMIF('Argus Drop'!$D:$D,$A9,'Argus Drop'!AW:AW)</f>
        <v>0</v>
      </c>
      <c r="AT9" s="440">
        <f>SUMIF('Argus Drop'!$D:$D,$A9,'Argus Drop'!AX:AX)</f>
        <v>0</v>
      </c>
      <c r="AU9" s="440">
        <f>SUMIF('Argus Drop'!$D:$D,$A9,'Argus Drop'!AY:AY)</f>
        <v>0</v>
      </c>
      <c r="AV9" s="440">
        <f>SUMIF('Argus Drop'!$D:$D,$A9,'Argus Drop'!AZ:AZ)</f>
        <v>0</v>
      </c>
      <c r="AW9" s="440">
        <f>SUMIF('Argus Drop'!$D:$D,$A9,'Argus Drop'!BA:BA)</f>
        <v>0</v>
      </c>
      <c r="AX9" s="440">
        <f>SUMIF('Argus Drop'!$D:$D,$A9,'Argus Drop'!BB:BB)</f>
        <v>0</v>
      </c>
      <c r="AY9" s="440">
        <f>SUMIF('Argus Drop'!$D:$D,$A9,'Argus Drop'!BC:BC)</f>
        <v>0</v>
      </c>
      <c r="AZ9" s="440">
        <f>SUMIF('Argus Drop'!$D:$D,$A9,'Argus Drop'!BD:BD)</f>
        <v>0</v>
      </c>
      <c r="BA9" s="440">
        <f>SUMIF('Argus Drop'!$D:$D,$A9,'Argus Drop'!BE:BE)</f>
        <v>0</v>
      </c>
      <c r="BB9" s="440">
        <f>SUMIF('Argus Drop'!$D:$D,$A9,'Argus Drop'!BF:BF)</f>
        <v>0</v>
      </c>
      <c r="BC9" s="440">
        <f>SUMIF('Argus Drop'!$D:$D,$A9,'Argus Drop'!BG:BG)</f>
        <v>0</v>
      </c>
      <c r="BD9" s="440">
        <f>SUMIF('Argus Drop'!$D:$D,$A9,'Argus Drop'!BH:BH)</f>
        <v>0</v>
      </c>
      <c r="BE9" s="440">
        <f>SUMIF('Argus Drop'!$D:$D,$A9,'Argus Drop'!BI:BI)</f>
        <v>0</v>
      </c>
      <c r="BF9" s="440">
        <f>SUMIF('Argus Drop'!$D:$D,$A9,'Argus Drop'!BJ:BJ)</f>
        <v>0</v>
      </c>
      <c r="BG9" s="440">
        <f>SUMIF('Argus Drop'!$D:$D,$A9,'Argus Drop'!BK:BK)</f>
        <v>0</v>
      </c>
      <c r="BH9" s="440">
        <f>SUMIF('Argus Drop'!$D:$D,$A9,'Argus Drop'!BL:BL)</f>
        <v>0</v>
      </c>
      <c r="BI9" s="440">
        <f>SUMIF('Argus Drop'!$D:$D,$A9,'Argus Drop'!BM:BM)</f>
        <v>0</v>
      </c>
      <c r="BJ9" s="440">
        <f>SUMIF('Argus Drop'!$D:$D,$A9,'Argus Drop'!BN:BN)</f>
        <v>0</v>
      </c>
      <c r="BK9" s="440">
        <f>SUMIF('Argus Drop'!$D:$D,$A9,'Argus Drop'!BO:BO)</f>
        <v>0</v>
      </c>
      <c r="BL9" s="440">
        <f>SUMIF('Argus Drop'!$D:$D,$A9,'Argus Drop'!BP:BP)</f>
        <v>0</v>
      </c>
      <c r="BM9" s="440">
        <f>SUMIF('Argus Drop'!$D:$D,$A9,'Argus Drop'!BQ:BQ)</f>
        <v>0</v>
      </c>
      <c r="BN9" s="440">
        <f>SUMIF('Argus Drop'!$D:$D,$A9,'Argus Drop'!BR:BR)</f>
        <v>0</v>
      </c>
      <c r="BO9" s="440">
        <f>SUMIF('Argus Drop'!$D:$D,$A9,'Argus Drop'!BS:BS)</f>
        <v>0</v>
      </c>
      <c r="BP9" s="440">
        <f>SUMIF('Argus Drop'!$D:$D,$A9,'Argus Drop'!BT:BT)</f>
        <v>0</v>
      </c>
      <c r="BQ9" s="440">
        <f>SUMIF('Argus Drop'!$D:$D,$A9,'Argus Drop'!BU:BU)</f>
        <v>0</v>
      </c>
      <c r="BR9" s="440">
        <f>SUMIF('Argus Drop'!$D:$D,$A9,'Argus Drop'!BV:BV)</f>
        <v>0</v>
      </c>
      <c r="BS9" s="440">
        <f>SUMIF('Argus Drop'!$D:$D,$A9,'Argus Drop'!BW:BW)</f>
        <v>0</v>
      </c>
      <c r="BT9" s="440">
        <f>SUMIF('Argus Drop'!$D:$D,$A9,'Argus Drop'!BX:BX)</f>
        <v>0</v>
      </c>
      <c r="BU9" s="440">
        <f>SUMIF('Argus Drop'!$D:$D,$A9,'Argus Drop'!BY:BY)</f>
        <v>0</v>
      </c>
      <c r="BV9" s="440">
        <f>SUMIF('Argus Drop'!$D:$D,$A9,'Argus Drop'!BZ:BZ)</f>
        <v>0</v>
      </c>
      <c r="BW9" s="440">
        <f>SUMIF('Argus Drop'!$D:$D,$A9,'Argus Drop'!CA:CA)</f>
        <v>0</v>
      </c>
      <c r="BX9" s="440">
        <f>SUMIF('Argus Drop'!$D:$D,$A9,'Argus Drop'!CB:CB)</f>
        <v>0</v>
      </c>
      <c r="BY9" s="440">
        <f>SUMIF('Argus Drop'!$D:$D,$A9,'Argus Drop'!CC:CC)</f>
        <v>0</v>
      </c>
      <c r="BZ9" s="440">
        <f>SUMIF('Argus Drop'!$D:$D,$A9,'Argus Drop'!CD:CD)</f>
        <v>0</v>
      </c>
      <c r="CA9" s="440">
        <f>SUMIF('Argus Drop'!$D:$D,$A9,'Argus Drop'!CE:CE)</f>
        <v>0</v>
      </c>
      <c r="CB9" s="440">
        <f>SUMIF('Argus Drop'!$D:$D,$A9,'Argus Drop'!CF:CF)</f>
        <v>0</v>
      </c>
      <c r="CC9" s="440">
        <f>SUMIF('Argus Drop'!$D:$D,$A9,'Argus Drop'!CG:CG)</f>
        <v>0</v>
      </c>
      <c r="CD9" s="440">
        <f>SUMIF('Argus Drop'!$D:$D,$A9,'Argus Drop'!CH:CH)</f>
        <v>0</v>
      </c>
      <c r="CE9" s="440">
        <f>SUMIF('Argus Drop'!$D:$D,$A9,'Argus Drop'!CI:CI)</f>
        <v>0</v>
      </c>
      <c r="CF9" s="440">
        <f>SUMIF('Argus Drop'!$D:$D,$A9,'Argus Drop'!CJ:CJ)</f>
        <v>0</v>
      </c>
      <c r="CG9" s="440">
        <f>SUMIF('Argus Drop'!$D:$D,$A9,'Argus Drop'!CK:CK)</f>
        <v>0</v>
      </c>
      <c r="CH9" s="440">
        <f>SUMIF('Argus Drop'!$D:$D,$A9,'Argus Drop'!CL:CL)</f>
        <v>0</v>
      </c>
      <c r="CI9" s="440">
        <f>SUMIF('Argus Drop'!$D:$D,$A9,'Argus Drop'!CM:CM)</f>
        <v>0</v>
      </c>
      <c r="CJ9" s="440">
        <f>SUMIF('Argus Drop'!$D:$D,$A9,'Argus Drop'!CN:CN)</f>
        <v>0</v>
      </c>
      <c r="CK9" s="440">
        <f>SUMIF('Argus Drop'!$D:$D,$A9,'Argus Drop'!CO:CO)</f>
        <v>0</v>
      </c>
      <c r="CL9" s="440">
        <f>SUMIF('Argus Drop'!$D:$D,$A9,'Argus Drop'!CP:CP)</f>
        <v>0</v>
      </c>
      <c r="CM9" s="440">
        <f>SUMIF('Argus Drop'!$D:$D,$A9,'Argus Drop'!CQ:CQ)</f>
        <v>0</v>
      </c>
      <c r="CN9" s="440">
        <f>SUMIF('Argus Drop'!$D:$D,$A9,'Argus Drop'!CR:CR)</f>
        <v>0</v>
      </c>
      <c r="CO9" s="440">
        <f>SUMIF('Argus Drop'!$D:$D,$A9,'Argus Drop'!CS:CS)</f>
        <v>0</v>
      </c>
      <c r="CP9" s="440">
        <f>SUMIF('Argus Drop'!$D:$D,$A9,'Argus Drop'!CT:CT)</f>
        <v>0</v>
      </c>
      <c r="CQ9" s="440">
        <f>SUMIF('Argus Drop'!$D:$D,$A9,'Argus Drop'!CU:CU)</f>
        <v>0</v>
      </c>
      <c r="CR9" s="440">
        <f>SUMIF('Argus Drop'!$D:$D,$A9,'Argus Drop'!CV:CV)</f>
        <v>0</v>
      </c>
      <c r="CS9" s="440">
        <f>SUMIF('Argus Drop'!$D:$D,$A9,'Argus Drop'!CW:CW)</f>
        <v>0</v>
      </c>
      <c r="CT9" s="440">
        <f>SUMIF('Argus Drop'!$D:$D,$A9,'Argus Drop'!CX:CX)</f>
        <v>0</v>
      </c>
      <c r="CU9" s="440">
        <f>SUMIF('Argus Drop'!$D:$D,$A9,'Argus Drop'!CY:CY)</f>
        <v>0</v>
      </c>
      <c r="CV9" s="440">
        <f>SUMIF('Argus Drop'!$D:$D,$A9,'Argus Drop'!CZ:CZ)</f>
        <v>0</v>
      </c>
      <c r="CW9" s="440">
        <f>SUMIF('Argus Drop'!$D:$D,$A9,'Argus Drop'!DA:DA)</f>
        <v>0</v>
      </c>
      <c r="CX9" s="440">
        <f>SUMIF('Argus Drop'!$D:$D,$A9,'Argus Drop'!DB:DB)</f>
        <v>0</v>
      </c>
      <c r="CY9" s="440">
        <f>SUMIF('Argus Drop'!$D:$D,$A9,'Argus Drop'!DC:DC)</f>
        <v>0</v>
      </c>
      <c r="CZ9" s="440">
        <f>SUMIF('Argus Drop'!$D:$D,$A9,'Argus Drop'!DD:DD)</f>
        <v>0</v>
      </c>
      <c r="DA9" s="440">
        <f>SUMIF('Argus Drop'!$D:$D,$A9,'Argus Drop'!DE:DE)</f>
        <v>0</v>
      </c>
      <c r="DB9" s="440">
        <f>SUMIF('Argus Drop'!$D:$D,$A9,'Argus Drop'!DF:DF)</f>
        <v>0</v>
      </c>
      <c r="DC9" s="440">
        <f>SUMIF('Argus Drop'!$D:$D,$A9,'Argus Drop'!DG:DG)</f>
        <v>0</v>
      </c>
      <c r="DD9" s="440">
        <f>SUMIF('Argus Drop'!$D:$D,$A9,'Argus Drop'!DH:DH)</f>
        <v>0</v>
      </c>
      <c r="DE9" s="440">
        <f>SUMIF('Argus Drop'!$D:$D,$A9,'Argus Drop'!DI:DI)</f>
        <v>0</v>
      </c>
      <c r="DF9" s="440">
        <f>SUMIF('Argus Drop'!$D:$D,$A9,'Argus Drop'!DJ:DJ)</f>
        <v>0</v>
      </c>
      <c r="DG9" s="440">
        <f>SUMIF('Argus Drop'!$D:$D,$A9,'Argus Drop'!DK:DK)</f>
        <v>0</v>
      </c>
      <c r="DH9" s="440">
        <f>SUMIF('Argus Drop'!$D:$D,$A9,'Argus Drop'!DL:DL)</f>
        <v>0</v>
      </c>
      <c r="DI9" s="440">
        <f>SUMIF('Argus Drop'!$D:$D,$A9,'Argus Drop'!DM:DM)</f>
        <v>0</v>
      </c>
      <c r="DJ9" s="440">
        <f>SUMIF('Argus Drop'!$D:$D,$A9,'Argus Drop'!DN:DN)</f>
        <v>0</v>
      </c>
      <c r="DK9" s="440">
        <f>SUMIF('Argus Drop'!$D:$D,$A9,'Argus Drop'!DO:DO)</f>
        <v>0</v>
      </c>
      <c r="DL9" s="440">
        <f>SUMIF('Argus Drop'!$D:$D,$A9,'Argus Drop'!DP:DP)</f>
        <v>0</v>
      </c>
      <c r="DM9" s="440">
        <f>SUMIF('Argus Drop'!$D:$D,$A9,'Argus Drop'!DQ:DQ)</f>
        <v>0</v>
      </c>
      <c r="DN9" s="440">
        <f>SUMIF('Argus Drop'!$D:$D,$A9,'Argus Drop'!DR:DR)</f>
        <v>0</v>
      </c>
      <c r="DO9" s="440">
        <f>SUMIF('Argus Drop'!$D:$D,$A9,'Argus Drop'!DS:DS)</f>
        <v>0</v>
      </c>
      <c r="DP9" s="440">
        <f>SUMIF('Argus Drop'!$D:$D,$A9,'Argus Drop'!DT:DT)</f>
        <v>0</v>
      </c>
      <c r="DQ9" s="440">
        <f>SUMIF('Argus Drop'!$D:$D,$A9,'Argus Drop'!DU:DU)</f>
        <v>0</v>
      </c>
      <c r="DR9" s="440">
        <f>SUMIF('Argus Drop'!$D:$D,$A9,'Argus Drop'!DV:DV)</f>
        <v>0</v>
      </c>
      <c r="DS9" s="440"/>
      <c r="DT9" s="440"/>
      <c r="DU9" s="440"/>
      <c r="DV9" s="440"/>
      <c r="DW9" s="440"/>
      <c r="DX9" s="440"/>
      <c r="DY9" s="440"/>
      <c r="DZ9" s="440"/>
      <c r="EA9" s="440"/>
      <c r="EB9" s="440"/>
      <c r="EC9" s="440"/>
      <c r="ED9" s="1419"/>
      <c r="EE9" s="1419"/>
      <c r="EF9" s="1419"/>
      <c r="EG9" s="1419"/>
      <c r="EH9" s="1419"/>
      <c r="EI9" s="1419"/>
      <c r="EJ9" s="1419"/>
      <c r="EK9" s="1419"/>
      <c r="EL9" s="1419"/>
      <c r="EM9" s="1419"/>
      <c r="EN9" s="1419"/>
      <c r="EO9" s="1419"/>
      <c r="EP9" s="1419"/>
      <c r="EQ9" s="1419"/>
      <c r="ER9" s="1419"/>
      <c r="ES9" s="1419"/>
      <c r="ET9" s="1419"/>
      <c r="EU9" s="1419"/>
      <c r="EV9" s="1419"/>
      <c r="EW9" s="1419"/>
      <c r="EX9" s="1419"/>
      <c r="EY9" s="1419"/>
      <c r="EZ9" s="1419"/>
      <c r="FA9" s="1419"/>
      <c r="FB9" s="1419"/>
      <c r="FC9" s="1419"/>
      <c r="FD9" s="1419"/>
      <c r="FE9" s="1419"/>
      <c r="FF9" s="1419"/>
      <c r="FG9" s="1419"/>
      <c r="FH9" s="1419"/>
      <c r="FI9" s="1419"/>
    </row>
    <row r="10" spans="1:165">
      <c r="A10" s="448">
        <f>IF(+'Argus Drop'!B10="","",'Argus Drop'!B10)</f>
        <v>20</v>
      </c>
      <c r="B10" s="440">
        <f>SUMIF('Argus Drop'!$D:$D,$A10,'Argus Drop'!F:F)</f>
        <v>133755</v>
      </c>
      <c r="C10" s="440">
        <f>SUMIF('Argus Drop'!$D:$D,$A10,'Argus Drop'!G:G)</f>
        <v>161911</v>
      </c>
      <c r="D10" s="440">
        <f>SUMIF('Argus Drop'!$D:$D,$A10,'Argus Drop'!H:H)</f>
        <v>161911</v>
      </c>
      <c r="E10" s="440">
        <f>SUMIF('Argus Drop'!$D:$D,$A10,'Argus Drop'!I:I)</f>
        <v>162458</v>
      </c>
      <c r="F10" s="440">
        <f>SUMIF('Argus Drop'!$D:$D,$A10,'Argus Drop'!J:J)</f>
        <v>162458</v>
      </c>
      <c r="G10" s="440">
        <f>SUMIF('Argus Drop'!$D:$D,$A10,'Argus Drop'!K:K)</f>
        <v>162951</v>
      </c>
      <c r="H10" s="440">
        <f>SUMIF('Argus Drop'!$D:$D,$A10,'Argus Drop'!L:L)</f>
        <v>162951</v>
      </c>
      <c r="I10" s="440">
        <f>SUMIF('Argus Drop'!$D:$D,$A10,'Argus Drop'!M:M)</f>
        <v>170308</v>
      </c>
      <c r="J10" s="440">
        <f>SUMIF('Argus Drop'!$D:$D,$A10,'Argus Drop'!N:N)</f>
        <v>171353</v>
      </c>
      <c r="K10" s="440">
        <f>SUMIF('Argus Drop'!$D:$D,$A10,'Argus Drop'!O:O)</f>
        <v>161009</v>
      </c>
      <c r="L10" s="440">
        <f>SUMIF('Argus Drop'!$D:$D,$A10,'Argus Drop'!P:P)</f>
        <v>151107</v>
      </c>
      <c r="M10" s="440">
        <f>SUMIF('Argus Drop'!$D:$D,$A10,'Argus Drop'!Q:Q)</f>
        <v>181254</v>
      </c>
      <c r="N10" s="440">
        <f>SUMIF('Argus Drop'!$D:$D,$A10,'Argus Drop'!R:R)</f>
        <v>177598</v>
      </c>
      <c r="O10" s="440">
        <f>SUMIF('Argus Drop'!$D:$D,$A10,'Argus Drop'!S:S)</f>
        <v>185236</v>
      </c>
      <c r="P10" s="440">
        <f>SUMIF('Argus Drop'!$D:$D,$A10,'Argus Drop'!T:T)</f>
        <v>185236</v>
      </c>
      <c r="Q10" s="440">
        <f>SUMIF('Argus Drop'!$D:$D,$A10,'Argus Drop'!U:U)</f>
        <v>166442</v>
      </c>
      <c r="R10" s="440">
        <f>SUMIF('Argus Drop'!$D:$D,$A10,'Argus Drop'!V:V)</f>
        <v>184611</v>
      </c>
      <c r="S10" s="440">
        <f>SUMIF('Argus Drop'!$D:$D,$A10,'Argus Drop'!W:W)</f>
        <v>168271</v>
      </c>
      <c r="T10" s="440">
        <f>SUMIF('Argus Drop'!$D:$D,$A10,'Argus Drop'!X:X)</f>
        <v>184774</v>
      </c>
      <c r="U10" s="440">
        <f>SUMIF('Argus Drop'!$D:$D,$A10,'Argus Drop'!Y:Y)</f>
        <v>191716</v>
      </c>
      <c r="V10" s="440">
        <f>SUMIF('Argus Drop'!$D:$D,$A10,'Argus Drop'!Z:Z)</f>
        <v>206721</v>
      </c>
      <c r="W10" s="440">
        <f>SUMIF('Argus Drop'!$D:$D,$A10,'Argus Drop'!AA:AA)</f>
        <v>206721</v>
      </c>
      <c r="X10" s="440">
        <f>SUMIF('Argus Drop'!$D:$D,$A10,'Argus Drop'!AB:AB)</f>
        <v>207279</v>
      </c>
      <c r="Y10" s="440">
        <f>SUMIF('Argus Drop'!$D:$D,$A10,'Argus Drop'!AC:AC)</f>
        <v>208183</v>
      </c>
      <c r="Z10" s="440">
        <f>SUMIF('Argus Drop'!$D:$D,$A10,'Argus Drop'!AD:AD)</f>
        <v>208938</v>
      </c>
      <c r="AA10" s="440">
        <f>SUMIF('Argus Drop'!$D:$D,$A10,'Argus Drop'!AE:AE)</f>
        <v>209835</v>
      </c>
      <c r="AB10" s="440">
        <f>SUMIF('Argus Drop'!$D:$D,$A10,'Argus Drop'!AF:AF)</f>
        <v>210433</v>
      </c>
      <c r="AC10" s="440">
        <f>SUMIF('Argus Drop'!$D:$D,$A10,'Argus Drop'!AG:AG)</f>
        <v>210641</v>
      </c>
      <c r="AD10" s="440">
        <f>SUMIF('Argus Drop'!$D:$D,$A10,'Argus Drop'!AH:AH)</f>
        <v>211204</v>
      </c>
      <c r="AE10" s="440">
        <f>SUMIF('Argus Drop'!$D:$D,$A10,'Argus Drop'!AI:AI)</f>
        <v>211204</v>
      </c>
      <c r="AF10" s="440">
        <f>SUMIF('Argus Drop'!$D:$D,$A10,'Argus Drop'!AJ:AJ)</f>
        <v>211699</v>
      </c>
      <c r="AG10" s="440">
        <f>SUMIF('Argus Drop'!$D:$D,$A10,'Argus Drop'!AK:AK)</f>
        <v>205315</v>
      </c>
      <c r="AH10" s="440">
        <f>SUMIF('Argus Drop'!$D:$D,$A10,'Argus Drop'!AL:AL)</f>
        <v>212150</v>
      </c>
      <c r="AI10" s="440">
        <f>SUMIF('Argus Drop'!$D:$D,$A10,'Argus Drop'!AM:AM)</f>
        <v>212150</v>
      </c>
      <c r="AJ10" s="440">
        <f>SUMIF('Argus Drop'!$D:$D,$A10,'Argus Drop'!AN:AN)</f>
        <v>212725</v>
      </c>
      <c r="AK10" s="440">
        <f>SUMIF('Argus Drop'!$D:$D,$A10,'Argus Drop'!AO:AO)</f>
        <v>213656</v>
      </c>
      <c r="AL10" s="440">
        <f>SUMIF('Argus Drop'!$D:$D,$A10,'Argus Drop'!AP:AP)</f>
        <v>214433</v>
      </c>
      <c r="AM10" s="440">
        <f>SUMIF('Argus Drop'!$D:$D,$A10,'Argus Drop'!AQ:AQ)</f>
        <v>215366</v>
      </c>
      <c r="AN10" s="440">
        <f>SUMIF('Argus Drop'!$D:$D,$A10,'Argus Drop'!AR:AR)</f>
        <v>216054</v>
      </c>
      <c r="AO10" s="440">
        <f>SUMIF('Argus Drop'!$D:$D,$A10,'Argus Drop'!AS:AS)</f>
        <v>216054</v>
      </c>
      <c r="AP10" s="440">
        <f>SUMIF('Argus Drop'!$D:$D,$A10,'Argus Drop'!AT:AT)</f>
        <v>216634</v>
      </c>
      <c r="AQ10" s="440">
        <f>SUMIF('Argus Drop'!$D:$D,$A10,'Argus Drop'!AU:AU)</f>
        <v>216634</v>
      </c>
      <c r="AR10" s="440">
        <f>SUMIF('Argus Drop'!$D:$D,$A10,'Argus Drop'!AV:AV)</f>
        <v>217144</v>
      </c>
      <c r="AS10" s="440">
        <f>SUMIF('Argus Drop'!$D:$D,$A10,'Argus Drop'!AW:AW)</f>
        <v>217579</v>
      </c>
      <c r="AT10" s="440">
        <f>SUMIF('Argus Drop'!$D:$D,$A10,'Argus Drop'!AX:AX)</f>
        <v>218635</v>
      </c>
      <c r="AU10" s="440">
        <f>SUMIF('Argus Drop'!$D:$D,$A10,'Argus Drop'!AY:AY)</f>
        <v>218635</v>
      </c>
      <c r="AV10" s="440">
        <f>SUMIF('Argus Drop'!$D:$D,$A10,'Argus Drop'!AZ:AZ)</f>
        <v>219227</v>
      </c>
      <c r="AW10" s="440">
        <f>SUMIF('Argus Drop'!$D:$D,$A10,'Argus Drop'!BA:BA)</f>
        <v>220187</v>
      </c>
      <c r="AX10" s="440">
        <f>SUMIF('Argus Drop'!$D:$D,$A10,'Argus Drop'!BB:BB)</f>
        <v>206614</v>
      </c>
      <c r="AY10" s="440">
        <f>SUMIF('Argus Drop'!$D:$D,$A10,'Argus Drop'!BC:BC)</f>
        <v>198263</v>
      </c>
      <c r="AZ10" s="440">
        <f>SUMIF('Argus Drop'!$D:$D,$A10,'Argus Drop'!BD:BD)</f>
        <v>219024</v>
      </c>
      <c r="BA10" s="440">
        <f>SUMIF('Argus Drop'!$D:$D,$A10,'Argus Drop'!BE:BE)</f>
        <v>219024</v>
      </c>
      <c r="BB10" s="440">
        <f>SUMIF('Argus Drop'!$D:$D,$A10,'Argus Drop'!BF:BF)</f>
        <v>219621</v>
      </c>
      <c r="BC10" s="440">
        <f>SUMIF('Argus Drop'!$D:$D,$A10,'Argus Drop'!BG:BG)</f>
        <v>219621</v>
      </c>
      <c r="BD10" s="440">
        <f>SUMIF('Argus Drop'!$D:$D,$A10,'Argus Drop'!BH:BH)</f>
        <v>220146</v>
      </c>
      <c r="BE10" s="440">
        <f>SUMIF('Argus Drop'!$D:$D,$A10,'Argus Drop'!BI:BI)</f>
        <v>220594</v>
      </c>
      <c r="BF10" s="440">
        <f>SUMIF('Argus Drop'!$D:$D,$A10,'Argus Drop'!BJ:BJ)</f>
        <v>221683</v>
      </c>
      <c r="BG10" s="440">
        <f>SUMIF('Argus Drop'!$D:$D,$A10,'Argus Drop'!BK:BK)</f>
        <v>221683</v>
      </c>
      <c r="BH10" s="440">
        <f>SUMIF('Argus Drop'!$D:$D,$A10,'Argus Drop'!BL:BL)</f>
        <v>222292</v>
      </c>
      <c r="BI10" s="440">
        <f>SUMIF('Argus Drop'!$D:$D,$A10,'Argus Drop'!BM:BM)</f>
        <v>223599</v>
      </c>
      <c r="BJ10" s="440">
        <f>SUMIF('Argus Drop'!$D:$D,$A10,'Argus Drop'!BN:BN)</f>
        <v>210501</v>
      </c>
      <c r="BK10" s="440">
        <f>SUMIF('Argus Drop'!$D:$D,$A10,'Argus Drop'!BO:BO)</f>
        <v>221019</v>
      </c>
      <c r="BL10" s="440">
        <f>SUMIF('Argus Drop'!$D:$D,$A10,'Argus Drop'!BP:BP)</f>
        <v>222293</v>
      </c>
      <c r="BM10" s="440">
        <f>SUMIF('Argus Drop'!$D:$D,$A10,'Argus Drop'!BQ:BQ)</f>
        <v>222520</v>
      </c>
      <c r="BN10" s="440">
        <f>SUMIF('Argus Drop'!$D:$D,$A10,'Argus Drop'!BR:BR)</f>
        <v>223135</v>
      </c>
      <c r="BO10" s="440">
        <f>SUMIF('Argus Drop'!$D:$D,$A10,'Argus Drop'!BS:BS)</f>
        <v>223135</v>
      </c>
      <c r="BP10" s="440">
        <f>SUMIF('Argus Drop'!$D:$D,$A10,'Argus Drop'!BT:BT)</f>
        <v>223676</v>
      </c>
      <c r="BQ10" s="440">
        <f>SUMIF('Argus Drop'!$D:$D,$A10,'Argus Drop'!BU:BU)</f>
        <v>215836</v>
      </c>
      <c r="BR10" s="440">
        <f>SUMIF('Argus Drop'!$D:$D,$A10,'Argus Drop'!BV:BV)</f>
        <v>209671</v>
      </c>
      <c r="BS10" s="440">
        <f>SUMIF('Argus Drop'!$D:$D,$A10,'Argus Drop'!BW:BW)</f>
        <v>222718</v>
      </c>
      <c r="BT10" s="440">
        <f>SUMIF('Argus Drop'!$D:$D,$A10,'Argus Drop'!BX:BX)</f>
        <v>201795</v>
      </c>
      <c r="BU10" s="440">
        <f>SUMIF('Argus Drop'!$D:$D,$A10,'Argus Drop'!BY:BY)</f>
        <v>186454</v>
      </c>
      <c r="BV10" s="440">
        <f>SUMIF('Argus Drop'!$D:$D,$A10,'Argus Drop'!BZ:BZ)</f>
        <v>216601</v>
      </c>
      <c r="BW10" s="440">
        <f>SUMIF('Argus Drop'!$D:$D,$A10,'Argus Drop'!CA:CA)</f>
        <v>217394</v>
      </c>
      <c r="BX10" s="440">
        <f>SUMIF('Argus Drop'!$D:$D,$A10,'Argus Drop'!CB:CB)</f>
        <v>218036</v>
      </c>
      <c r="BY10" s="440">
        <f>SUMIF('Argus Drop'!$D:$D,$A10,'Argus Drop'!CC:CC)</f>
        <v>218036</v>
      </c>
      <c r="BZ10" s="440">
        <f>SUMIF('Argus Drop'!$D:$D,$A10,'Argus Drop'!CD:CD)</f>
        <v>196930</v>
      </c>
      <c r="CA10" s="440">
        <f>SUMIF('Argus Drop'!$D:$D,$A10,'Argus Drop'!CE:CE)</f>
        <v>215682</v>
      </c>
      <c r="CB10" s="440">
        <f>SUMIF('Argus Drop'!$D:$D,$A10,'Argus Drop'!CF:CF)</f>
        <v>197107</v>
      </c>
      <c r="CC10" s="440">
        <f>SUMIF('Argus Drop'!$D:$D,$A10,'Argus Drop'!CG:CG)</f>
        <v>213837</v>
      </c>
      <c r="CD10" s="440">
        <f>SUMIF('Argus Drop'!$D:$D,$A10,'Argus Drop'!CH:CH)</f>
        <v>185386</v>
      </c>
      <c r="CE10" s="440">
        <f>SUMIF('Argus Drop'!$D:$D,$A10,'Argus Drop'!CI:CI)</f>
        <v>196988</v>
      </c>
      <c r="CF10" s="440">
        <f>SUMIF('Argus Drop'!$D:$D,$A10,'Argus Drop'!CJ:CJ)</f>
        <v>208923</v>
      </c>
      <c r="CG10" s="440">
        <f>SUMIF('Argus Drop'!$D:$D,$A10,'Argus Drop'!CK:CK)</f>
        <v>209481</v>
      </c>
      <c r="CH10" s="440">
        <f>SUMIF('Argus Drop'!$D:$D,$A10,'Argus Drop'!CL:CL)</f>
        <v>210385</v>
      </c>
      <c r="CI10" s="440">
        <f>SUMIF('Argus Drop'!$D:$D,$A10,'Argus Drop'!CM:CM)</f>
        <v>211202</v>
      </c>
      <c r="CJ10" s="440">
        <f>SUMIF('Argus Drop'!$D:$D,$A10,'Argus Drop'!CN:CN)</f>
        <v>211863</v>
      </c>
      <c r="CK10" s="440">
        <f>SUMIF('Argus Drop'!$D:$D,$A10,'Argus Drop'!CO:CO)</f>
        <v>211863</v>
      </c>
      <c r="CL10" s="440">
        <f>SUMIF('Argus Drop'!$D:$D,$A10,'Argus Drop'!CP:CP)</f>
        <v>211863</v>
      </c>
      <c r="CM10" s="440">
        <f>SUMIF('Argus Drop'!$D:$D,$A10,'Argus Drop'!CQ:CQ)</f>
        <v>212425</v>
      </c>
      <c r="CN10" s="440">
        <f>SUMIF('Argus Drop'!$D:$D,$A10,'Argus Drop'!CR:CR)</f>
        <v>212425</v>
      </c>
      <c r="CO10" s="440">
        <f>SUMIF('Argus Drop'!$D:$D,$A10,'Argus Drop'!CS:CS)</f>
        <v>213153</v>
      </c>
      <c r="CP10" s="440">
        <f>SUMIF('Argus Drop'!$D:$D,$A10,'Argus Drop'!CT:CT)</f>
        <v>206817</v>
      </c>
      <c r="CQ10" s="440">
        <f>SUMIF('Argus Drop'!$D:$D,$A10,'Argus Drop'!CU:CU)</f>
        <v>213467</v>
      </c>
      <c r="CR10" s="440">
        <f>SUMIF('Argus Drop'!$D:$D,$A10,'Argus Drop'!CV:CV)</f>
        <v>213825</v>
      </c>
      <c r="CS10" s="440">
        <f>SUMIF('Argus Drop'!$D:$D,$A10,'Argus Drop'!CW:CW)</f>
        <v>214400</v>
      </c>
      <c r="CT10" s="440">
        <f>SUMIF('Argus Drop'!$D:$D,$A10,'Argus Drop'!CX:CX)</f>
        <v>215331</v>
      </c>
      <c r="CU10" s="440">
        <f>SUMIF('Argus Drop'!$D:$D,$A10,'Argus Drop'!CY:CY)</f>
        <v>216173</v>
      </c>
      <c r="CV10" s="440">
        <f>SUMIF('Argus Drop'!$D:$D,$A10,'Argus Drop'!CZ:CZ)</f>
        <v>217564</v>
      </c>
      <c r="CW10" s="440">
        <f>SUMIF('Argus Drop'!$D:$D,$A10,'Argus Drop'!DA:DA)</f>
        <v>217811</v>
      </c>
      <c r="CX10" s="440">
        <f>SUMIF('Argus Drop'!$D:$D,$A10,'Argus Drop'!DB:DB)</f>
        <v>217811</v>
      </c>
      <c r="CY10" s="440">
        <f>SUMIF('Argus Drop'!$D:$D,$A10,'Argus Drop'!DC:DC)</f>
        <v>218391</v>
      </c>
      <c r="CZ10" s="440">
        <f>SUMIF('Argus Drop'!$D:$D,$A10,'Argus Drop'!DD:DD)</f>
        <v>218391</v>
      </c>
      <c r="DA10" s="440">
        <f>SUMIF('Argus Drop'!$D:$D,$A10,'Argus Drop'!DE:DE)</f>
        <v>219140</v>
      </c>
      <c r="DB10" s="440">
        <f>SUMIF('Argus Drop'!$D:$D,$A10,'Argus Drop'!DF:DF)</f>
        <v>219467</v>
      </c>
      <c r="DC10" s="440">
        <f>SUMIF('Argus Drop'!$D:$D,$A10,'Argus Drop'!DG:DG)</f>
        <v>220406</v>
      </c>
      <c r="DD10" s="440">
        <f>SUMIF('Argus Drop'!$D:$D,$A10,'Argus Drop'!DH:DH)</f>
        <v>220774</v>
      </c>
      <c r="DE10" s="440">
        <f>SUMIF('Argus Drop'!$D:$D,$A10,'Argus Drop'!DI:DI)</f>
        <v>221366</v>
      </c>
      <c r="DF10" s="440">
        <f>SUMIF('Argus Drop'!$D:$D,$A10,'Argus Drop'!DJ:DJ)</f>
        <v>222325</v>
      </c>
      <c r="DG10" s="440">
        <f>SUMIF('Argus Drop'!$D:$D,$A10,'Argus Drop'!DK:DK)</f>
        <v>204734</v>
      </c>
      <c r="DH10" s="440">
        <f>SUMIF('Argus Drop'!$D:$D,$A10,'Argus Drop'!DL:DL)</f>
        <v>197290</v>
      </c>
      <c r="DI10" s="440">
        <f>SUMIF('Argus Drop'!$D:$D,$A10,'Argus Drop'!DM:DM)</f>
        <v>218051</v>
      </c>
      <c r="DJ10" s="440">
        <f>SUMIF('Argus Drop'!$D:$D,$A10,'Argus Drop'!DN:DN)</f>
        <v>218051</v>
      </c>
      <c r="DK10" s="440">
        <f>SUMIF('Argus Drop'!$D:$D,$A10,'Argus Drop'!DO:DO)</f>
        <v>218647</v>
      </c>
      <c r="DL10" s="440">
        <f>SUMIF('Argus Drop'!$D:$D,$A10,'Argus Drop'!DP:DP)</f>
        <v>218647</v>
      </c>
      <c r="DM10" s="440">
        <f>SUMIF('Argus Drop'!$D:$D,$A10,'Argus Drop'!DQ:DQ)</f>
        <v>219420</v>
      </c>
      <c r="DN10" s="440">
        <f>SUMIF('Argus Drop'!$D:$D,$A10,'Argus Drop'!DR:DR)</f>
        <v>219755</v>
      </c>
      <c r="DO10" s="440">
        <f>SUMIF('Argus Drop'!$D:$D,$A10,'Argus Drop'!DS:DS)</f>
        <v>220723</v>
      </c>
      <c r="DP10" s="440">
        <f>SUMIF('Argus Drop'!$D:$D,$A10,'Argus Drop'!DT:DT)</f>
        <v>221102</v>
      </c>
      <c r="DQ10" s="440">
        <f>SUMIF('Argus Drop'!$D:$D,$A10,'Argus Drop'!DU:DU)</f>
        <v>218230</v>
      </c>
      <c r="DR10" s="440">
        <f>SUMIF('Argus Drop'!$D:$D,$A10,'Argus Drop'!DV:DV)</f>
        <v>222381</v>
      </c>
      <c r="DS10" s="440"/>
      <c r="DT10" s="440"/>
      <c r="DU10" s="440"/>
      <c r="DV10" s="440"/>
      <c r="DW10" s="440"/>
      <c r="DX10" s="440"/>
      <c r="DY10" s="440"/>
      <c r="DZ10" s="440"/>
      <c r="EA10" s="440"/>
      <c r="EB10" s="440"/>
      <c r="EC10" s="440"/>
      <c r="ED10" s="1419"/>
      <c r="EE10" s="1419"/>
      <c r="EF10" s="1419"/>
      <c r="EG10" s="1419"/>
      <c r="EH10" s="1419"/>
      <c r="EI10" s="1419"/>
      <c r="EJ10" s="1419"/>
      <c r="EK10" s="1419"/>
      <c r="EL10" s="1419"/>
      <c r="EM10" s="1419"/>
      <c r="EN10" s="1419"/>
      <c r="EO10" s="1419"/>
      <c r="EP10" s="1419"/>
      <c r="EQ10" s="1419"/>
      <c r="ER10" s="1419"/>
      <c r="ES10" s="1419"/>
      <c r="ET10" s="1419"/>
      <c r="EU10" s="1419"/>
      <c r="EV10" s="1419"/>
      <c r="EW10" s="1419"/>
      <c r="EX10" s="1419"/>
      <c r="EY10" s="1419"/>
      <c r="EZ10" s="1419"/>
      <c r="FA10" s="1419"/>
      <c r="FB10" s="1419"/>
      <c r="FC10" s="1419"/>
      <c r="FD10" s="1419"/>
      <c r="FE10" s="1419"/>
      <c r="FF10" s="1419"/>
      <c r="FG10" s="1419"/>
      <c r="FH10" s="1419"/>
      <c r="FI10" s="1419"/>
    </row>
    <row r="11" spans="1:165">
      <c r="A11" s="448">
        <f>IF(+'Argus Drop'!B11="","",'Argus Drop'!B11)</f>
        <v>21</v>
      </c>
      <c r="B11" s="440">
        <f>SUMIF('Argus Drop'!$D:$D,$A11,'Argus Drop'!F:F)</f>
        <v>133755</v>
      </c>
      <c r="C11" s="440">
        <f>SUMIF('Argus Drop'!$D:$D,$A11,'Argus Drop'!G:G)</f>
        <v>161911</v>
      </c>
      <c r="D11" s="440">
        <f>SUMIF('Argus Drop'!$D:$D,$A11,'Argus Drop'!H:H)</f>
        <v>161911</v>
      </c>
      <c r="E11" s="440">
        <f>SUMIF('Argus Drop'!$D:$D,$A11,'Argus Drop'!I:I)</f>
        <v>162458</v>
      </c>
      <c r="F11" s="440">
        <f>SUMIF('Argus Drop'!$D:$D,$A11,'Argus Drop'!J:J)</f>
        <v>162458</v>
      </c>
      <c r="G11" s="440">
        <f>SUMIF('Argus Drop'!$D:$D,$A11,'Argus Drop'!K:K)</f>
        <v>162951</v>
      </c>
      <c r="H11" s="440">
        <f>SUMIF('Argus Drop'!$D:$D,$A11,'Argus Drop'!L:L)</f>
        <v>162951</v>
      </c>
      <c r="I11" s="440">
        <f>SUMIF('Argus Drop'!$D:$D,$A11,'Argus Drop'!M:M)</f>
        <v>170308</v>
      </c>
      <c r="J11" s="440">
        <f>SUMIF('Argus Drop'!$D:$D,$A11,'Argus Drop'!N:N)</f>
        <v>171353</v>
      </c>
      <c r="K11" s="440">
        <f>SUMIF('Argus Drop'!$D:$D,$A11,'Argus Drop'!O:O)</f>
        <v>161009</v>
      </c>
      <c r="L11" s="440">
        <f>SUMIF('Argus Drop'!$D:$D,$A11,'Argus Drop'!P:P)</f>
        <v>151107</v>
      </c>
      <c r="M11" s="440">
        <f>SUMIF('Argus Drop'!$D:$D,$A11,'Argus Drop'!Q:Q)</f>
        <v>181254</v>
      </c>
      <c r="N11" s="440">
        <f>SUMIF('Argus Drop'!$D:$D,$A11,'Argus Drop'!R:R)</f>
        <v>177598</v>
      </c>
      <c r="O11" s="440">
        <f>SUMIF('Argus Drop'!$D:$D,$A11,'Argus Drop'!S:S)</f>
        <v>185236</v>
      </c>
      <c r="P11" s="440">
        <f>SUMIF('Argus Drop'!$D:$D,$A11,'Argus Drop'!T:T)</f>
        <v>185236</v>
      </c>
      <c r="Q11" s="440">
        <f>SUMIF('Argus Drop'!$D:$D,$A11,'Argus Drop'!U:U)</f>
        <v>166442</v>
      </c>
      <c r="R11" s="440">
        <f>SUMIF('Argus Drop'!$D:$D,$A11,'Argus Drop'!V:V)</f>
        <v>184611</v>
      </c>
      <c r="S11" s="440">
        <f>SUMIF('Argus Drop'!$D:$D,$A11,'Argus Drop'!W:W)</f>
        <v>168271</v>
      </c>
      <c r="T11" s="440">
        <f>SUMIF('Argus Drop'!$D:$D,$A11,'Argus Drop'!X:X)</f>
        <v>184774</v>
      </c>
      <c r="U11" s="440">
        <f>SUMIF('Argus Drop'!$D:$D,$A11,'Argus Drop'!Y:Y)</f>
        <v>191716</v>
      </c>
      <c r="V11" s="440">
        <f>SUMIF('Argus Drop'!$D:$D,$A11,'Argus Drop'!Z:Z)</f>
        <v>206721</v>
      </c>
      <c r="W11" s="440">
        <f>SUMIF('Argus Drop'!$D:$D,$A11,'Argus Drop'!AA:AA)</f>
        <v>206721</v>
      </c>
      <c r="X11" s="440">
        <f>SUMIF('Argus Drop'!$D:$D,$A11,'Argus Drop'!AB:AB)</f>
        <v>207279</v>
      </c>
      <c r="Y11" s="440">
        <f>SUMIF('Argus Drop'!$D:$D,$A11,'Argus Drop'!AC:AC)</f>
        <v>208183</v>
      </c>
      <c r="Z11" s="440">
        <f>SUMIF('Argus Drop'!$D:$D,$A11,'Argus Drop'!AD:AD)</f>
        <v>208938</v>
      </c>
      <c r="AA11" s="440">
        <f>SUMIF('Argus Drop'!$D:$D,$A11,'Argus Drop'!AE:AE)</f>
        <v>209835</v>
      </c>
      <c r="AB11" s="440">
        <f>SUMIF('Argus Drop'!$D:$D,$A11,'Argus Drop'!AF:AF)</f>
        <v>210433</v>
      </c>
      <c r="AC11" s="440">
        <f>SUMIF('Argus Drop'!$D:$D,$A11,'Argus Drop'!AG:AG)</f>
        <v>210641</v>
      </c>
      <c r="AD11" s="440">
        <f>SUMIF('Argus Drop'!$D:$D,$A11,'Argus Drop'!AH:AH)</f>
        <v>211204</v>
      </c>
      <c r="AE11" s="440">
        <f>SUMIF('Argus Drop'!$D:$D,$A11,'Argus Drop'!AI:AI)</f>
        <v>211204</v>
      </c>
      <c r="AF11" s="440">
        <f>SUMIF('Argus Drop'!$D:$D,$A11,'Argus Drop'!AJ:AJ)</f>
        <v>211699</v>
      </c>
      <c r="AG11" s="440">
        <f>SUMIF('Argus Drop'!$D:$D,$A11,'Argus Drop'!AK:AK)</f>
        <v>205315</v>
      </c>
      <c r="AH11" s="440">
        <f>SUMIF('Argus Drop'!$D:$D,$A11,'Argus Drop'!AL:AL)</f>
        <v>212150</v>
      </c>
      <c r="AI11" s="440">
        <f>SUMIF('Argus Drop'!$D:$D,$A11,'Argus Drop'!AM:AM)</f>
        <v>212150</v>
      </c>
      <c r="AJ11" s="440">
        <f>SUMIF('Argus Drop'!$D:$D,$A11,'Argus Drop'!AN:AN)</f>
        <v>212725</v>
      </c>
      <c r="AK11" s="440">
        <f>SUMIF('Argus Drop'!$D:$D,$A11,'Argus Drop'!AO:AO)</f>
        <v>213656</v>
      </c>
      <c r="AL11" s="440">
        <f>SUMIF('Argus Drop'!$D:$D,$A11,'Argus Drop'!AP:AP)</f>
        <v>214433</v>
      </c>
      <c r="AM11" s="440">
        <f>SUMIF('Argus Drop'!$D:$D,$A11,'Argus Drop'!AQ:AQ)</f>
        <v>215366</v>
      </c>
      <c r="AN11" s="440">
        <f>SUMIF('Argus Drop'!$D:$D,$A11,'Argus Drop'!AR:AR)</f>
        <v>216054</v>
      </c>
      <c r="AO11" s="440">
        <f>SUMIF('Argus Drop'!$D:$D,$A11,'Argus Drop'!AS:AS)</f>
        <v>216054</v>
      </c>
      <c r="AP11" s="440">
        <f>SUMIF('Argus Drop'!$D:$D,$A11,'Argus Drop'!AT:AT)</f>
        <v>216634</v>
      </c>
      <c r="AQ11" s="440">
        <f>SUMIF('Argus Drop'!$D:$D,$A11,'Argus Drop'!AU:AU)</f>
        <v>216634</v>
      </c>
      <c r="AR11" s="440">
        <f>SUMIF('Argus Drop'!$D:$D,$A11,'Argus Drop'!AV:AV)</f>
        <v>217144</v>
      </c>
      <c r="AS11" s="440">
        <f>SUMIF('Argus Drop'!$D:$D,$A11,'Argus Drop'!AW:AW)</f>
        <v>217579</v>
      </c>
      <c r="AT11" s="440">
        <f>SUMIF('Argus Drop'!$D:$D,$A11,'Argus Drop'!AX:AX)</f>
        <v>218635</v>
      </c>
      <c r="AU11" s="440">
        <f>SUMIF('Argus Drop'!$D:$D,$A11,'Argus Drop'!AY:AY)</f>
        <v>218635</v>
      </c>
      <c r="AV11" s="440">
        <f>SUMIF('Argus Drop'!$D:$D,$A11,'Argus Drop'!AZ:AZ)</f>
        <v>219227</v>
      </c>
      <c r="AW11" s="440">
        <f>SUMIF('Argus Drop'!$D:$D,$A11,'Argus Drop'!BA:BA)</f>
        <v>220187</v>
      </c>
      <c r="AX11" s="440">
        <f>SUMIF('Argus Drop'!$D:$D,$A11,'Argus Drop'!BB:BB)</f>
        <v>206614</v>
      </c>
      <c r="AY11" s="440">
        <f>SUMIF('Argus Drop'!$D:$D,$A11,'Argus Drop'!BC:BC)</f>
        <v>198263</v>
      </c>
      <c r="AZ11" s="440">
        <f>SUMIF('Argus Drop'!$D:$D,$A11,'Argus Drop'!BD:BD)</f>
        <v>219024</v>
      </c>
      <c r="BA11" s="440">
        <f>SUMIF('Argus Drop'!$D:$D,$A11,'Argus Drop'!BE:BE)</f>
        <v>219024</v>
      </c>
      <c r="BB11" s="440">
        <f>SUMIF('Argus Drop'!$D:$D,$A11,'Argus Drop'!BF:BF)</f>
        <v>219621</v>
      </c>
      <c r="BC11" s="440">
        <f>SUMIF('Argus Drop'!$D:$D,$A11,'Argus Drop'!BG:BG)</f>
        <v>219621</v>
      </c>
      <c r="BD11" s="440">
        <f>SUMIF('Argus Drop'!$D:$D,$A11,'Argus Drop'!BH:BH)</f>
        <v>220146</v>
      </c>
      <c r="BE11" s="440">
        <f>SUMIF('Argus Drop'!$D:$D,$A11,'Argus Drop'!BI:BI)</f>
        <v>220594</v>
      </c>
      <c r="BF11" s="440">
        <f>SUMIF('Argus Drop'!$D:$D,$A11,'Argus Drop'!BJ:BJ)</f>
        <v>221683</v>
      </c>
      <c r="BG11" s="440">
        <f>SUMIF('Argus Drop'!$D:$D,$A11,'Argus Drop'!BK:BK)</f>
        <v>221683</v>
      </c>
      <c r="BH11" s="440">
        <f>SUMIF('Argus Drop'!$D:$D,$A11,'Argus Drop'!BL:BL)</f>
        <v>222292</v>
      </c>
      <c r="BI11" s="440">
        <f>SUMIF('Argus Drop'!$D:$D,$A11,'Argus Drop'!BM:BM)</f>
        <v>223599</v>
      </c>
      <c r="BJ11" s="440">
        <f>SUMIF('Argus Drop'!$D:$D,$A11,'Argus Drop'!BN:BN)</f>
        <v>210501</v>
      </c>
      <c r="BK11" s="440">
        <f>SUMIF('Argus Drop'!$D:$D,$A11,'Argus Drop'!BO:BO)</f>
        <v>221019</v>
      </c>
      <c r="BL11" s="440">
        <f>SUMIF('Argus Drop'!$D:$D,$A11,'Argus Drop'!BP:BP)</f>
        <v>222293</v>
      </c>
      <c r="BM11" s="440">
        <f>SUMIF('Argus Drop'!$D:$D,$A11,'Argus Drop'!BQ:BQ)</f>
        <v>222520</v>
      </c>
      <c r="BN11" s="440">
        <f>SUMIF('Argus Drop'!$D:$D,$A11,'Argus Drop'!BR:BR)</f>
        <v>223135</v>
      </c>
      <c r="BO11" s="440">
        <f>SUMIF('Argus Drop'!$D:$D,$A11,'Argus Drop'!BS:BS)</f>
        <v>223135</v>
      </c>
      <c r="BP11" s="440">
        <f>SUMIF('Argus Drop'!$D:$D,$A11,'Argus Drop'!BT:BT)</f>
        <v>223676</v>
      </c>
      <c r="BQ11" s="440">
        <f>SUMIF('Argus Drop'!$D:$D,$A11,'Argus Drop'!BU:BU)</f>
        <v>215836</v>
      </c>
      <c r="BR11" s="440">
        <f>SUMIF('Argus Drop'!$D:$D,$A11,'Argus Drop'!BV:BV)</f>
        <v>209671</v>
      </c>
      <c r="BS11" s="440">
        <f>SUMIF('Argus Drop'!$D:$D,$A11,'Argus Drop'!BW:BW)</f>
        <v>222718</v>
      </c>
      <c r="BT11" s="440">
        <f>SUMIF('Argus Drop'!$D:$D,$A11,'Argus Drop'!BX:BX)</f>
        <v>201795</v>
      </c>
      <c r="BU11" s="440">
        <f>SUMIF('Argus Drop'!$D:$D,$A11,'Argus Drop'!BY:BY)</f>
        <v>186454</v>
      </c>
      <c r="BV11" s="440">
        <f>SUMIF('Argus Drop'!$D:$D,$A11,'Argus Drop'!BZ:BZ)</f>
        <v>216601</v>
      </c>
      <c r="BW11" s="440">
        <f>SUMIF('Argus Drop'!$D:$D,$A11,'Argus Drop'!CA:CA)</f>
        <v>217394</v>
      </c>
      <c r="BX11" s="440">
        <f>SUMIF('Argus Drop'!$D:$D,$A11,'Argus Drop'!CB:CB)</f>
        <v>218036</v>
      </c>
      <c r="BY11" s="440">
        <f>SUMIF('Argus Drop'!$D:$D,$A11,'Argus Drop'!CC:CC)</f>
        <v>218036</v>
      </c>
      <c r="BZ11" s="440">
        <f>SUMIF('Argus Drop'!$D:$D,$A11,'Argus Drop'!CD:CD)</f>
        <v>196930</v>
      </c>
      <c r="CA11" s="440">
        <f>SUMIF('Argus Drop'!$D:$D,$A11,'Argus Drop'!CE:CE)</f>
        <v>215682</v>
      </c>
      <c r="CB11" s="440">
        <f>SUMIF('Argus Drop'!$D:$D,$A11,'Argus Drop'!CF:CF)</f>
        <v>197107</v>
      </c>
      <c r="CC11" s="440">
        <f>SUMIF('Argus Drop'!$D:$D,$A11,'Argus Drop'!CG:CG)</f>
        <v>213837</v>
      </c>
      <c r="CD11" s="440">
        <f>SUMIF('Argus Drop'!$D:$D,$A11,'Argus Drop'!CH:CH)</f>
        <v>185386</v>
      </c>
      <c r="CE11" s="440">
        <f>SUMIF('Argus Drop'!$D:$D,$A11,'Argus Drop'!CI:CI)</f>
        <v>196988</v>
      </c>
      <c r="CF11" s="440">
        <f>SUMIF('Argus Drop'!$D:$D,$A11,'Argus Drop'!CJ:CJ)</f>
        <v>208923</v>
      </c>
      <c r="CG11" s="440">
        <f>SUMIF('Argus Drop'!$D:$D,$A11,'Argus Drop'!CK:CK)</f>
        <v>209481</v>
      </c>
      <c r="CH11" s="440">
        <f>SUMIF('Argus Drop'!$D:$D,$A11,'Argus Drop'!CL:CL)</f>
        <v>210385</v>
      </c>
      <c r="CI11" s="440">
        <f>SUMIF('Argus Drop'!$D:$D,$A11,'Argus Drop'!CM:CM)</f>
        <v>211202</v>
      </c>
      <c r="CJ11" s="440">
        <f>SUMIF('Argus Drop'!$D:$D,$A11,'Argus Drop'!CN:CN)</f>
        <v>211863</v>
      </c>
      <c r="CK11" s="440">
        <f>SUMIF('Argus Drop'!$D:$D,$A11,'Argus Drop'!CO:CO)</f>
        <v>211863</v>
      </c>
      <c r="CL11" s="440">
        <f>SUMIF('Argus Drop'!$D:$D,$A11,'Argus Drop'!CP:CP)</f>
        <v>211863</v>
      </c>
      <c r="CM11" s="440">
        <f>SUMIF('Argus Drop'!$D:$D,$A11,'Argus Drop'!CQ:CQ)</f>
        <v>212425</v>
      </c>
      <c r="CN11" s="440">
        <f>SUMIF('Argus Drop'!$D:$D,$A11,'Argus Drop'!CR:CR)</f>
        <v>212425</v>
      </c>
      <c r="CO11" s="440">
        <f>SUMIF('Argus Drop'!$D:$D,$A11,'Argus Drop'!CS:CS)</f>
        <v>213153</v>
      </c>
      <c r="CP11" s="440">
        <f>SUMIF('Argus Drop'!$D:$D,$A11,'Argus Drop'!CT:CT)</f>
        <v>206817</v>
      </c>
      <c r="CQ11" s="440">
        <f>SUMIF('Argus Drop'!$D:$D,$A11,'Argus Drop'!CU:CU)</f>
        <v>213467</v>
      </c>
      <c r="CR11" s="440">
        <f>SUMIF('Argus Drop'!$D:$D,$A11,'Argus Drop'!CV:CV)</f>
        <v>213825</v>
      </c>
      <c r="CS11" s="440">
        <f>SUMIF('Argus Drop'!$D:$D,$A11,'Argus Drop'!CW:CW)</f>
        <v>214400</v>
      </c>
      <c r="CT11" s="440">
        <f>SUMIF('Argus Drop'!$D:$D,$A11,'Argus Drop'!CX:CX)</f>
        <v>215331</v>
      </c>
      <c r="CU11" s="440">
        <f>SUMIF('Argus Drop'!$D:$D,$A11,'Argus Drop'!CY:CY)</f>
        <v>216173</v>
      </c>
      <c r="CV11" s="440">
        <f>SUMIF('Argus Drop'!$D:$D,$A11,'Argus Drop'!CZ:CZ)</f>
        <v>217564</v>
      </c>
      <c r="CW11" s="440">
        <f>SUMIF('Argus Drop'!$D:$D,$A11,'Argus Drop'!DA:DA)</f>
        <v>217811</v>
      </c>
      <c r="CX11" s="440">
        <f>SUMIF('Argus Drop'!$D:$D,$A11,'Argus Drop'!DB:DB)</f>
        <v>217811</v>
      </c>
      <c r="CY11" s="440">
        <f>SUMIF('Argus Drop'!$D:$D,$A11,'Argus Drop'!DC:DC)</f>
        <v>218391</v>
      </c>
      <c r="CZ11" s="440">
        <f>SUMIF('Argus Drop'!$D:$D,$A11,'Argus Drop'!DD:DD)</f>
        <v>218391</v>
      </c>
      <c r="DA11" s="440">
        <f>SUMIF('Argus Drop'!$D:$D,$A11,'Argus Drop'!DE:DE)</f>
        <v>219140</v>
      </c>
      <c r="DB11" s="440">
        <f>SUMIF('Argus Drop'!$D:$D,$A11,'Argus Drop'!DF:DF)</f>
        <v>219467</v>
      </c>
      <c r="DC11" s="440">
        <f>SUMIF('Argus Drop'!$D:$D,$A11,'Argus Drop'!DG:DG)</f>
        <v>220406</v>
      </c>
      <c r="DD11" s="440">
        <f>SUMIF('Argus Drop'!$D:$D,$A11,'Argus Drop'!DH:DH)</f>
        <v>220774</v>
      </c>
      <c r="DE11" s="440">
        <f>SUMIF('Argus Drop'!$D:$D,$A11,'Argus Drop'!DI:DI)</f>
        <v>221366</v>
      </c>
      <c r="DF11" s="440">
        <f>SUMIF('Argus Drop'!$D:$D,$A11,'Argus Drop'!DJ:DJ)</f>
        <v>222325</v>
      </c>
      <c r="DG11" s="440">
        <f>SUMIF('Argus Drop'!$D:$D,$A11,'Argus Drop'!DK:DK)</f>
        <v>204734</v>
      </c>
      <c r="DH11" s="440">
        <f>SUMIF('Argus Drop'!$D:$D,$A11,'Argus Drop'!DL:DL)</f>
        <v>197290</v>
      </c>
      <c r="DI11" s="440">
        <f>SUMIF('Argus Drop'!$D:$D,$A11,'Argus Drop'!DM:DM)</f>
        <v>218051</v>
      </c>
      <c r="DJ11" s="440">
        <f>SUMIF('Argus Drop'!$D:$D,$A11,'Argus Drop'!DN:DN)</f>
        <v>218051</v>
      </c>
      <c r="DK11" s="440">
        <f>SUMIF('Argus Drop'!$D:$D,$A11,'Argus Drop'!DO:DO)</f>
        <v>218647</v>
      </c>
      <c r="DL11" s="440">
        <f>SUMIF('Argus Drop'!$D:$D,$A11,'Argus Drop'!DP:DP)</f>
        <v>218647</v>
      </c>
      <c r="DM11" s="440">
        <f>SUMIF('Argus Drop'!$D:$D,$A11,'Argus Drop'!DQ:DQ)</f>
        <v>219420</v>
      </c>
      <c r="DN11" s="440">
        <f>SUMIF('Argus Drop'!$D:$D,$A11,'Argus Drop'!DR:DR)</f>
        <v>219755</v>
      </c>
      <c r="DO11" s="440">
        <f>SUMIF('Argus Drop'!$D:$D,$A11,'Argus Drop'!DS:DS)</f>
        <v>220723</v>
      </c>
      <c r="DP11" s="440">
        <f>SUMIF('Argus Drop'!$D:$D,$A11,'Argus Drop'!DT:DT)</f>
        <v>221102</v>
      </c>
      <c r="DQ11" s="440">
        <f>SUMIF('Argus Drop'!$D:$D,$A11,'Argus Drop'!DU:DU)</f>
        <v>218230</v>
      </c>
      <c r="DR11" s="440">
        <f>SUMIF('Argus Drop'!$D:$D,$A11,'Argus Drop'!DV:DV)</f>
        <v>222381</v>
      </c>
      <c r="DS11" s="440"/>
      <c r="DT11" s="440"/>
      <c r="DU11" s="440"/>
      <c r="DV11" s="440"/>
      <c r="DW11" s="440"/>
      <c r="DX11" s="440"/>
      <c r="DY11" s="440"/>
      <c r="DZ11" s="440"/>
      <c r="EA11" s="440"/>
      <c r="EB11" s="440"/>
      <c r="EC11" s="440"/>
      <c r="ED11" s="1419"/>
      <c r="EE11" s="1419"/>
      <c r="EF11" s="1419"/>
      <c r="EG11" s="1419"/>
      <c r="EH11" s="1419"/>
      <c r="EI11" s="1419"/>
      <c r="EJ11" s="1419"/>
      <c r="EK11" s="1419"/>
      <c r="EL11" s="1419"/>
      <c r="EM11" s="1419"/>
      <c r="EN11" s="1419"/>
      <c r="EO11" s="1419"/>
      <c r="EP11" s="1419"/>
      <c r="EQ11" s="1419"/>
      <c r="ER11" s="1419"/>
      <c r="ES11" s="1419"/>
      <c r="ET11" s="1419"/>
      <c r="EU11" s="1419"/>
      <c r="EV11" s="1419"/>
      <c r="EW11" s="1419"/>
      <c r="EX11" s="1419"/>
      <c r="EY11" s="1419"/>
      <c r="EZ11" s="1419"/>
      <c r="FA11" s="1419"/>
      <c r="FB11" s="1419"/>
      <c r="FC11" s="1419"/>
      <c r="FD11" s="1419"/>
      <c r="FE11" s="1419"/>
      <c r="FF11" s="1419"/>
      <c r="FG11" s="1419"/>
      <c r="FH11" s="1419"/>
      <c r="FI11" s="1419"/>
    </row>
    <row r="12" spans="1:165">
      <c r="A12" s="448" t="str">
        <f>IF(+'Argus Drop'!B12="","",'Argus Drop'!B12)</f>
        <v/>
      </c>
      <c r="B12" s="440" t="str">
        <f>IF(A12="","",+SUMIF('Argus Drop'!$D$7:$D$64,$A12,'Argus Drop'!#REF!))</f>
        <v/>
      </c>
      <c r="C12" s="440" t="str">
        <f>IF(B12="","",+SUMIF('Argus Drop'!$D$7:$D$64,$A12,'Argus Drop'!#REF!))</f>
        <v/>
      </c>
      <c r="D12" s="440" t="str">
        <f>IF(C12="","",+SUMIF('Argus Drop'!$D$7:$D$64,$A12,'Argus Drop'!#REF!))</f>
        <v/>
      </c>
      <c r="E12" s="440" t="str">
        <f>IF(D12="","",+SUMIF('Argus Drop'!$D$7:$D$64,$A12,'Argus Drop'!#REF!))</f>
        <v/>
      </c>
      <c r="F12" s="440" t="str">
        <f>IF(E12="","",+SUMIF('Argus Drop'!$D$7:$D$64,$A12,'Argus Drop'!#REF!))</f>
        <v/>
      </c>
      <c r="G12" s="440" t="str">
        <f>IF(F12="","",+SUMIF('Argus Drop'!$D$7:$D$64,$A12,'Argus Drop'!#REF!))</f>
        <v/>
      </c>
      <c r="H12" s="440" t="str">
        <f>IF(G12="","",+SUMIF('Argus Drop'!$D$7:$D$64,$A12,'Argus Drop'!#REF!))</f>
        <v/>
      </c>
      <c r="I12" s="440" t="str">
        <f>IF(H12="","",+SUMIF('Argus Drop'!$D$7:$D$64,$A12,'Argus Drop'!#REF!))</f>
        <v/>
      </c>
      <c r="J12" s="440" t="str">
        <f>IF(I12="","",+SUMIF('Argus Drop'!$D$7:$D$64,$A12,'Argus Drop'!#REF!))</f>
        <v/>
      </c>
      <c r="K12" s="440" t="str">
        <f>IF(J12="","",+SUMIF('Argus Drop'!$D$7:$D$64,$A12,'Argus Drop'!#REF!))</f>
        <v/>
      </c>
      <c r="L12" s="440" t="str">
        <f>IF(K12="","",+SUMIF('Argus Drop'!$D$7:$D$64,$A12,'Argus Drop'!#REF!))</f>
        <v/>
      </c>
      <c r="M12" s="440" t="str">
        <f>IF(L12="","",+SUMIF('Argus Drop'!$D$7:$D$64,$A12,'Argus Drop'!#REF!))</f>
        <v/>
      </c>
      <c r="N12" s="440" t="str">
        <f>IF(M12="","",+SUMIF('Argus Drop'!$D$7:$D$64,$A12,'Argus Drop'!#REF!))</f>
        <v/>
      </c>
      <c r="O12" s="440" t="str">
        <f>IF(N12="","",+SUMIF('Argus Drop'!$D$7:$D$64,$A12,'Argus Drop'!#REF!))</f>
        <v/>
      </c>
      <c r="P12" s="440" t="str">
        <f>IF(O12="","",+SUMIF('Argus Drop'!$D$7:$D$64,$A12,'Argus Drop'!#REF!))</f>
        <v/>
      </c>
      <c r="Q12" s="440" t="str">
        <f>IF(P12="","",+SUMIF('Argus Drop'!$D$7:$D$64,$A12,'Argus Drop'!#REF!))</f>
        <v/>
      </c>
      <c r="R12" s="440" t="str">
        <f>IF(Q12="","",+SUMIF('Argus Drop'!$D$7:$D$64,$A12,'Argus Drop'!#REF!))</f>
        <v/>
      </c>
      <c r="S12" s="440" t="str">
        <f>IF(R12="","",+SUMIF('Argus Drop'!$D$7:$D$64,$A12,'Argus Drop'!#REF!))</f>
        <v/>
      </c>
      <c r="T12" s="440" t="str">
        <f>IF(S12="","",+SUMIF('Argus Drop'!$D$7:$D$64,$A12,'Argus Drop'!#REF!))</f>
        <v/>
      </c>
      <c r="U12" s="440" t="str">
        <f>IF(T12="","",+SUMIF('Argus Drop'!$D$7:$D$64,$A12,'Argus Drop'!#REF!))</f>
        <v/>
      </c>
      <c r="V12" s="440" t="str">
        <f>IF(U12="","",+SUMIF('Argus Drop'!$D$7:$D$64,$A12,'Argus Drop'!#REF!))</f>
        <v/>
      </c>
      <c r="W12" s="440" t="str">
        <f>IF(V12="","",+SUMIF('Argus Drop'!$D$7:$D$64,$A12,'Argus Drop'!#REF!))</f>
        <v/>
      </c>
      <c r="X12" s="440" t="str">
        <f>IF(W12="","",+SUMIF('Argus Drop'!$D$7:$D$64,$A12,'Argus Drop'!#REF!))</f>
        <v/>
      </c>
      <c r="Y12" s="440" t="str">
        <f>IF(X12="","",+SUMIF('Argus Drop'!$D$7:$D$64,$A12,'Argus Drop'!#REF!))</f>
        <v/>
      </c>
      <c r="Z12" s="440" t="str">
        <f>IF(Y12="","",+SUMIF('Argus Drop'!$D$7:$D$64,$A12,'Argus Drop'!#REF!))</f>
        <v/>
      </c>
      <c r="AA12" s="440" t="str">
        <f>IF(Z12="","",+SUMIF('Argus Drop'!$D$7:$D$64,$A12,'Argus Drop'!#REF!))</f>
        <v/>
      </c>
      <c r="AB12" s="440" t="str">
        <f>IF(AA12="","",+SUMIF('Argus Drop'!$D$7:$D$64,$A12,'Argus Drop'!#REF!))</f>
        <v/>
      </c>
      <c r="AC12" s="440" t="str">
        <f>IF(AB12="","",+SUMIF('Argus Drop'!$D$7:$D$64,$A12,'Argus Drop'!#REF!))</f>
        <v/>
      </c>
      <c r="AD12" s="440" t="str">
        <f>IF(AC12="","",+SUMIF('Argus Drop'!$D$7:$D$64,$A12,'Argus Drop'!#REF!))</f>
        <v/>
      </c>
      <c r="AE12" s="440" t="str">
        <f>IF(AD12="","",+SUMIF('Argus Drop'!$D$7:$D$64,$A12,'Argus Drop'!#REF!))</f>
        <v/>
      </c>
      <c r="AF12" s="440" t="str">
        <f>IF(AE12="","",+SUMIF('Argus Drop'!$D$7:$D$64,$A12,'Argus Drop'!#REF!))</f>
        <v/>
      </c>
      <c r="AG12" s="440" t="str">
        <f>IF(AF12="","",+SUMIF('Argus Drop'!$D$7:$D$64,$A12,'Argus Drop'!#REF!))</f>
        <v/>
      </c>
      <c r="AH12" s="440" t="str">
        <f>IF(AG12="","",+SUMIF('Argus Drop'!$D$7:$D$64,$A12,'Argus Drop'!#REF!))</f>
        <v/>
      </c>
      <c r="AI12" s="440" t="str">
        <f>IF(AH12="","",+SUMIF('Argus Drop'!$D$7:$D$64,$A12,'Argus Drop'!#REF!))</f>
        <v/>
      </c>
      <c r="AJ12" s="440" t="str">
        <f>IF(AI12="","",+SUMIF('Argus Drop'!$D$7:$D$64,$A12,'Argus Drop'!#REF!))</f>
        <v/>
      </c>
      <c r="AK12" s="440" t="str">
        <f>IF(AJ12="","",+SUMIF('Argus Drop'!$D$7:$D$64,$A12,'Argus Drop'!#REF!))</f>
        <v/>
      </c>
      <c r="AL12" s="440" t="str">
        <f>IF(AK12="","",+SUMIF('Argus Drop'!$D$7:$D$64,$A12,'Argus Drop'!#REF!))</f>
        <v/>
      </c>
      <c r="AM12" s="440" t="str">
        <f>IF(AL12="","",+SUMIF('Argus Drop'!$D$7:$D$64,$A12,'Argus Drop'!#REF!))</f>
        <v/>
      </c>
      <c r="AN12" s="440" t="str">
        <f>IF(AM12="","",+SUMIF('Argus Drop'!$D$7:$D$64,$A12,'Argus Drop'!#REF!))</f>
        <v/>
      </c>
      <c r="AO12" s="440" t="str">
        <f>IF(AN12="","",+SUMIF('Argus Drop'!$D$7:$D$64,$A12,'Argus Drop'!#REF!))</f>
        <v/>
      </c>
      <c r="AP12" s="440" t="str">
        <f>IF(AO12="","",+SUMIF('Argus Drop'!$D$7:$D$64,$A12,'Argus Drop'!#REF!))</f>
        <v/>
      </c>
      <c r="AQ12" s="440" t="str">
        <f>IF(AP12="","",+SUMIF('Argus Drop'!$D$7:$D$64,$A12,'Argus Drop'!#REF!))</f>
        <v/>
      </c>
      <c r="AR12" s="440" t="str">
        <f>IF(AQ12="","",+SUMIF('Argus Drop'!$D$7:$D$64,$A12,'Argus Drop'!#REF!))</f>
        <v/>
      </c>
      <c r="AS12" s="440" t="str">
        <f>IF(AR12="","",+SUMIF('Argus Drop'!$D$7:$D$64,$A12,'Argus Drop'!#REF!))</f>
        <v/>
      </c>
      <c r="AT12" s="440" t="str">
        <f>IF(AS12="","",+SUMIF('Argus Drop'!$D$7:$D$64,$A12,'Argus Drop'!#REF!))</f>
        <v/>
      </c>
      <c r="AU12" s="440" t="str">
        <f>IF(AT12="","",+SUMIF('Argus Drop'!$D$7:$D$64,$A12,'Argus Drop'!#REF!))</f>
        <v/>
      </c>
      <c r="AV12" s="440" t="str">
        <f>IF(AU12="","",+SUMIF('Argus Drop'!$D$7:$D$64,$A12,'Argus Drop'!#REF!))</f>
        <v/>
      </c>
      <c r="AW12" s="440" t="str">
        <f>IF(AV12="","",+SUMIF('Argus Drop'!$D$7:$D$64,$A12,'Argus Drop'!#REF!))</f>
        <v/>
      </c>
      <c r="AX12" s="440" t="str">
        <f>IF(AW12="","",+SUMIF('Argus Drop'!$D$7:$D$64,$A12,'Argus Drop'!#REF!))</f>
        <v/>
      </c>
      <c r="AY12" s="440" t="str">
        <f>IF(AX12="","",+SUMIF('Argus Drop'!$D$7:$D$64,$A12,'Argus Drop'!#REF!))</f>
        <v/>
      </c>
      <c r="AZ12" s="440" t="str">
        <f>IF(AY12="","",+SUMIF('Argus Drop'!$D$7:$D$64,$A12,'Argus Drop'!#REF!))</f>
        <v/>
      </c>
      <c r="BA12" s="440" t="str">
        <f>IF(AZ12="","",+SUMIF('Argus Drop'!$D$7:$D$64,$A12,'Argus Drop'!#REF!))</f>
        <v/>
      </c>
      <c r="BB12" s="440" t="str">
        <f>IF(BA12="","",+SUMIF('Argus Drop'!$D$7:$D$64,$A12,'Argus Drop'!#REF!))</f>
        <v/>
      </c>
      <c r="BC12" s="440" t="str">
        <f>IF(BB12="","",+SUMIF('Argus Drop'!$D$7:$D$64,$A12,'Argus Drop'!#REF!))</f>
        <v/>
      </c>
      <c r="BD12" s="440" t="str">
        <f>IF(BC12="","",+SUMIF('Argus Drop'!$D$7:$D$64,$A12,'Argus Drop'!#REF!))</f>
        <v/>
      </c>
      <c r="BE12" s="440" t="str">
        <f>IF(BD12="","",+SUMIF('Argus Drop'!$D$7:$D$64,$A12,'Argus Drop'!#REF!))</f>
        <v/>
      </c>
      <c r="BF12" s="440" t="str">
        <f>IF(BE12="","",+SUMIF('Argus Drop'!$D$7:$D$64,$A12,'Argus Drop'!#REF!))</f>
        <v/>
      </c>
      <c r="BG12" s="440" t="str">
        <f>IF(BF12="","",+SUMIF('Argus Drop'!$D$7:$D$64,$A12,'Argus Drop'!#REF!))</f>
        <v/>
      </c>
      <c r="BH12" s="440" t="str">
        <f>IF(BG12="","",+SUMIF('Argus Drop'!$D$7:$D$64,$A12,'Argus Drop'!#REF!))</f>
        <v/>
      </c>
      <c r="BI12" s="440" t="str">
        <f>IF(BH12="","",+SUMIF('Argus Drop'!$D$7:$D$64,$A12,'Argus Drop'!#REF!))</f>
        <v/>
      </c>
      <c r="BJ12" s="440" t="str">
        <f>IF(BI12="","",+SUMIF('Argus Drop'!$D$7:$D$64,$A12,'Argus Drop'!#REF!))</f>
        <v/>
      </c>
      <c r="BK12" s="440" t="str">
        <f>IF(BJ12="","",+SUMIF('Argus Drop'!$D$7:$D$64,$A12,'Argus Drop'!#REF!))</f>
        <v/>
      </c>
      <c r="BL12" s="440" t="str">
        <f>IF(BK12="","",+SUMIF('Argus Drop'!$D$7:$D$64,$A12,'Argus Drop'!#REF!))</f>
        <v/>
      </c>
      <c r="BM12" s="440" t="str">
        <f>IF(BL12="","",+SUMIF('Argus Drop'!$D$7:$D$64,$A12,'Argus Drop'!#REF!))</f>
        <v/>
      </c>
      <c r="BN12" s="440" t="str">
        <f>IF(BM12="","",+SUMIF('Argus Drop'!$D$7:$D$64,$A12,'Argus Drop'!#REF!))</f>
        <v/>
      </c>
      <c r="BO12" s="440" t="str">
        <f>IF(BN12="","",+SUMIF('Argus Drop'!$D$7:$D$64,$A12,'Argus Drop'!#REF!))</f>
        <v/>
      </c>
      <c r="BP12" s="440" t="str">
        <f>IF(BO12="","",+SUMIF('Argus Drop'!$D$7:$D$64,$A12,'Argus Drop'!#REF!))</f>
        <v/>
      </c>
      <c r="BQ12" s="440" t="str">
        <f>IF(BP12="","",+SUMIF('Argus Drop'!$D$7:$D$64,$A12,'Argus Drop'!#REF!))</f>
        <v/>
      </c>
      <c r="BR12" s="440" t="str">
        <f>IF(BQ12="","",+SUMIF('Argus Drop'!$D$7:$D$64,$A12,'Argus Drop'!#REF!))</f>
        <v/>
      </c>
      <c r="BS12" s="440" t="str">
        <f>IF(BR12="","",+SUMIF('Argus Drop'!$D$7:$D$64,$A12,'Argus Drop'!#REF!))</f>
        <v/>
      </c>
      <c r="BT12" s="440" t="str">
        <f>IF(BS12="","",+SUMIF('Argus Drop'!$D$7:$D$64,$A12,'Argus Drop'!#REF!))</f>
        <v/>
      </c>
      <c r="BU12" s="440" t="str">
        <f>IF(BT12="","",+SUMIF('Argus Drop'!$D$7:$D$64,$A12,'Argus Drop'!#REF!))</f>
        <v/>
      </c>
      <c r="BV12" s="440" t="str">
        <f>IF(BU12="","",+SUMIF('Argus Drop'!$D$7:$D$64,$A12,'Argus Drop'!#REF!))</f>
        <v/>
      </c>
      <c r="BW12" s="440" t="str">
        <f>IF(BV12="","",+SUMIF('Argus Drop'!$D$7:$D$64,$A12,'Argus Drop'!#REF!))</f>
        <v/>
      </c>
      <c r="BX12" s="440" t="str">
        <f>IF(BW12="","",+SUMIF('Argus Drop'!$D$7:$D$64,$A12,'Argus Drop'!#REF!))</f>
        <v/>
      </c>
      <c r="BY12" s="440" t="str">
        <f>IF(BX12="","",+SUMIF('Argus Drop'!$D$7:$D$64,$A12,'Argus Drop'!#REF!))</f>
        <v/>
      </c>
      <c r="BZ12" s="440" t="str">
        <f>IF(BY12="","",+SUMIF('Argus Drop'!$D$7:$D$64,$A12,'Argus Drop'!#REF!))</f>
        <v/>
      </c>
      <c r="CA12" s="440" t="str">
        <f>IF(BZ12="","",+SUMIF('Argus Drop'!$D$7:$D$64,$A12,'Argus Drop'!#REF!))</f>
        <v/>
      </c>
      <c r="CB12" s="440" t="str">
        <f>IF(CA12="","",+SUMIF('Argus Drop'!$D$7:$D$64,$A12,'Argus Drop'!#REF!))</f>
        <v/>
      </c>
      <c r="CC12" s="440" t="str">
        <f>IF(CB12="","",+SUMIF('Argus Drop'!$D$7:$D$64,$A12,'Argus Drop'!#REF!))</f>
        <v/>
      </c>
      <c r="CD12" s="440" t="str">
        <f>IF(CC12="","",+SUMIF('Argus Drop'!$D$7:$D$64,$A12,'Argus Drop'!#REF!))</f>
        <v/>
      </c>
      <c r="CE12" s="440" t="str">
        <f>IF(CD12="","",+SUMIF('Argus Drop'!$D$7:$D$64,$A12,'Argus Drop'!#REF!))</f>
        <v/>
      </c>
      <c r="CF12" s="440" t="str">
        <f>IF(CE12="","",+SUMIF('Argus Drop'!$D$7:$D$64,$A12,'Argus Drop'!#REF!))</f>
        <v/>
      </c>
      <c r="CG12" s="440" t="str">
        <f>IF(CF12="","",+SUMIF('Argus Drop'!$D$7:$D$64,$A12,'Argus Drop'!#REF!))</f>
        <v/>
      </c>
      <c r="CH12" s="440" t="str">
        <f>IF(CG12="","",+SUMIF('Argus Drop'!$D$7:$D$64,$A12,'Argus Drop'!#REF!))</f>
        <v/>
      </c>
      <c r="CI12" s="440" t="str">
        <f>IF(CH12="","",+SUMIF('Argus Drop'!$D$7:$D$64,$A12,'Argus Drop'!#REF!))</f>
        <v/>
      </c>
      <c r="CJ12" s="440" t="str">
        <f>IF(CI12="","",+SUMIF('Argus Drop'!$D$7:$D$64,$A12,'Argus Drop'!#REF!))</f>
        <v/>
      </c>
      <c r="CK12" s="440" t="str">
        <f>IF(CJ12="","",+SUMIF('Argus Drop'!$D$7:$D$64,$A12,'Argus Drop'!#REF!))</f>
        <v/>
      </c>
      <c r="CL12" s="440" t="str">
        <f>IF(CK12="","",+SUMIF('Argus Drop'!$D$7:$D$64,$A12,'Argus Drop'!#REF!))</f>
        <v/>
      </c>
      <c r="CM12" s="440" t="str">
        <f>IF(CL12="","",+SUMIF('Argus Drop'!$D$7:$D$64,$A12,'Argus Drop'!#REF!))</f>
        <v/>
      </c>
      <c r="CN12" s="440" t="str">
        <f>IF(CM12="","",+SUMIF('Argus Drop'!$D$7:$D$64,$A12,'Argus Drop'!#REF!))</f>
        <v/>
      </c>
      <c r="CO12" s="440" t="str">
        <f>IF(CN12="","",+SUMIF('Argus Drop'!$D$7:$D$64,$A12,'Argus Drop'!#REF!))</f>
        <v/>
      </c>
      <c r="CP12" s="440" t="str">
        <f>IF(CO12="","",+SUMIF('Argus Drop'!$D$7:$D$64,$A12,'Argus Drop'!#REF!))</f>
        <v/>
      </c>
      <c r="CQ12" s="440" t="str">
        <f>IF(CP12="","",+SUMIF('Argus Drop'!$D$7:$D$64,$A12,'Argus Drop'!#REF!))</f>
        <v/>
      </c>
      <c r="CR12" s="440" t="str">
        <f>IF(CQ12="","",+SUMIF('Argus Drop'!$D$7:$D$64,$A12,'Argus Drop'!#REF!))</f>
        <v/>
      </c>
      <c r="CS12" s="440" t="str">
        <f>IF(CR12="","",+SUMIF('Argus Drop'!$D$7:$D$64,$A12,'Argus Drop'!#REF!))</f>
        <v/>
      </c>
      <c r="CT12" s="440" t="str">
        <f>IF(CS12="","",+SUMIF('Argus Drop'!$D$7:$D$64,$A12,'Argus Drop'!#REF!))</f>
        <v/>
      </c>
      <c r="CU12" s="440" t="str">
        <f>IF(CT12="","",+SUMIF('Argus Drop'!$D$7:$D$64,$A12,'Argus Drop'!#REF!))</f>
        <v/>
      </c>
      <c r="CV12" s="440" t="str">
        <f>IF(CU12="","",+SUMIF('Argus Drop'!$D$7:$D$64,$A12,'Argus Drop'!#REF!))</f>
        <v/>
      </c>
      <c r="CW12" s="440" t="str">
        <f>IF(CV12="","",+SUMIF('Argus Drop'!$D$7:$D$64,$A12,'Argus Drop'!#REF!))</f>
        <v/>
      </c>
      <c r="CX12" s="440" t="str">
        <f>IF(CW12="","",+SUMIF('Argus Drop'!$D$7:$D$64,$A12,'Argus Drop'!#REF!))</f>
        <v/>
      </c>
      <c r="CY12" s="440" t="str">
        <f>IF(CX12="","",+SUMIF('Argus Drop'!$D$7:$D$64,$A12,'Argus Drop'!#REF!))</f>
        <v/>
      </c>
      <c r="CZ12" s="440" t="str">
        <f>IF(CY12="","",+SUMIF('Argus Drop'!$D$7:$D$64,$A12,'Argus Drop'!#REF!))</f>
        <v/>
      </c>
      <c r="DA12" s="440" t="str">
        <f>IF(CZ12="","",+SUMIF('Argus Drop'!$D$7:$D$64,$A12,'Argus Drop'!#REF!))</f>
        <v/>
      </c>
      <c r="DB12" s="440" t="str">
        <f>IF(DA12="","",+SUMIF('Argus Drop'!$D$7:$D$64,$A12,'Argus Drop'!#REF!))</f>
        <v/>
      </c>
      <c r="DC12" s="440" t="str">
        <f>IF(DB12="","",+SUMIF('Argus Drop'!$D$7:$D$64,$A12,'Argus Drop'!#REF!))</f>
        <v/>
      </c>
      <c r="DD12" s="440" t="str">
        <f>IF(DC12="","",+SUMIF('Argus Drop'!$D$7:$D$64,$A12,'Argus Drop'!#REF!))</f>
        <v/>
      </c>
      <c r="DE12" s="440" t="str">
        <f>IF(DD12="","",+SUMIF('Argus Drop'!$D$7:$D$64,$A12,'Argus Drop'!#REF!))</f>
        <v/>
      </c>
      <c r="DF12" s="440" t="str">
        <f>IF(DE12="","",+SUMIF('Argus Drop'!$D$7:$D$64,$A12,'Argus Drop'!#REF!))</f>
        <v/>
      </c>
      <c r="DG12" s="440" t="str">
        <f>IF(DF12="","",+SUMIF('Argus Drop'!$D$7:$D$64,$A12,'Argus Drop'!#REF!))</f>
        <v/>
      </c>
      <c r="DH12" s="440" t="str">
        <f>IF(DG12="","",+SUMIF('Argus Drop'!$D$7:$D$64,$A12,'Argus Drop'!#REF!))</f>
        <v/>
      </c>
      <c r="DI12" s="440" t="str">
        <f>IF(DH12="","",+SUMIF('Argus Drop'!$D$7:$D$64,$A12,'Argus Drop'!#REF!))</f>
        <v/>
      </c>
      <c r="DJ12" s="440" t="str">
        <f>IF(DI12="","",+SUMIF('Argus Drop'!$D$7:$D$64,$A12,'Argus Drop'!#REF!))</f>
        <v/>
      </c>
      <c r="DK12" s="440" t="str">
        <f>IF(DJ12="","",+SUMIF('Argus Drop'!$D$7:$D$64,$A12,'Argus Drop'!#REF!))</f>
        <v/>
      </c>
      <c r="DL12" s="440" t="str">
        <f>IF(DK12="","",+SUMIF('Argus Drop'!$D$7:$D$64,$A12,'Argus Drop'!#REF!))</f>
        <v/>
      </c>
      <c r="DM12" s="440" t="str">
        <f>IF(DL12="","",+SUMIF('Argus Drop'!$D$7:$D$64,$A12,'Argus Drop'!#REF!))</f>
        <v/>
      </c>
      <c r="DN12" s="440" t="str">
        <f>IF(DM12="","",+SUMIF('Argus Drop'!$D$7:$D$64,$A12,'Argus Drop'!#REF!))</f>
        <v/>
      </c>
      <c r="DO12" s="440" t="str">
        <f>IF(DN12="","",+SUMIF('Argus Drop'!$D$7:$D$64,$A12,'Argus Drop'!#REF!))</f>
        <v/>
      </c>
      <c r="DP12" s="440" t="str">
        <f>IF(DO12="","",+SUMIF('Argus Drop'!$D$7:$D$64,$A12,'Argus Drop'!#REF!))</f>
        <v/>
      </c>
      <c r="DQ12" s="440" t="str">
        <f>IF(DP12="","",+SUMIF('Argus Drop'!$D$7:$D$64,$A12,'Argus Drop'!#REF!))</f>
        <v/>
      </c>
      <c r="DR12" s="440" t="str">
        <f>IF(DQ12="","",+SUMIF('Argus Drop'!$D$7:$D$64,$A12,'Argus Drop'!#REF!))</f>
        <v/>
      </c>
      <c r="DS12" s="440"/>
      <c r="DT12" s="440"/>
      <c r="DU12" s="440"/>
      <c r="DV12" s="440"/>
      <c r="DW12" s="440"/>
      <c r="DX12" s="440"/>
      <c r="DY12" s="440"/>
      <c r="DZ12" s="440"/>
      <c r="EA12" s="440"/>
      <c r="EB12" s="440"/>
      <c r="EC12" s="440"/>
      <c r="ED12" s="1419"/>
      <c r="EE12" s="1419"/>
      <c r="EF12" s="1419"/>
      <c r="EG12" s="1419"/>
      <c r="EH12" s="1419"/>
      <c r="EI12" s="1419"/>
      <c r="EJ12" s="1419"/>
      <c r="EK12" s="1419"/>
      <c r="EL12" s="1419"/>
      <c r="EM12" s="1419"/>
      <c r="EN12" s="1419"/>
      <c r="EO12" s="1419"/>
      <c r="EP12" s="1419"/>
      <c r="EQ12" s="1419"/>
      <c r="ER12" s="1419"/>
      <c r="ES12" s="1419"/>
      <c r="ET12" s="1419"/>
      <c r="EU12" s="1419"/>
      <c r="EV12" s="1419"/>
      <c r="EW12" s="1419"/>
      <c r="EX12" s="1419"/>
      <c r="EY12" s="1419"/>
      <c r="EZ12" s="1419"/>
      <c r="FA12" s="1419"/>
      <c r="FB12" s="1419"/>
      <c r="FC12" s="1419"/>
      <c r="FD12" s="1419"/>
      <c r="FE12" s="1419"/>
      <c r="FF12" s="1419"/>
      <c r="FG12" s="1419"/>
      <c r="FH12" s="1419"/>
      <c r="FI12" s="1419"/>
    </row>
    <row r="13" spans="1:165">
      <c r="A13" s="448" t="str">
        <f>IF(+'Argus Drop'!B13="","",'Argus Drop'!B13)</f>
        <v/>
      </c>
      <c r="B13" s="440" t="str">
        <f>IF(A13="","",+SUMIF('Argus Drop'!$D$7:$D$64,$A13,'Argus Drop'!#REF!))</f>
        <v/>
      </c>
      <c r="C13" s="440" t="str">
        <f>IF(B13="","",+SUMIF('Argus Drop'!$D$7:$D$64,$A13,'Argus Drop'!#REF!))</f>
        <v/>
      </c>
      <c r="D13" s="440" t="str">
        <f>IF(C13="","",+SUMIF('Argus Drop'!$D$7:$D$64,$A13,'Argus Drop'!#REF!))</f>
        <v/>
      </c>
      <c r="E13" s="440" t="str">
        <f>IF(D13="","",+SUMIF('Argus Drop'!$D$7:$D$64,$A13,'Argus Drop'!#REF!))</f>
        <v/>
      </c>
      <c r="F13" s="440" t="str">
        <f>IF(E13="","",+SUMIF('Argus Drop'!$D$7:$D$64,$A13,'Argus Drop'!#REF!))</f>
        <v/>
      </c>
      <c r="G13" s="440" t="str">
        <f>IF(F13="","",+SUMIF('Argus Drop'!$D$7:$D$64,$A13,'Argus Drop'!#REF!))</f>
        <v/>
      </c>
      <c r="H13" s="440" t="str">
        <f>IF(G13="","",+SUMIF('Argus Drop'!$D$7:$D$64,$A13,'Argus Drop'!#REF!))</f>
        <v/>
      </c>
      <c r="I13" s="440" t="str">
        <f>IF(H13="","",+SUMIF('Argus Drop'!$D$7:$D$64,$A13,'Argus Drop'!#REF!))</f>
        <v/>
      </c>
      <c r="J13" s="440" t="str">
        <f>IF(I13="","",+SUMIF('Argus Drop'!$D$7:$D$64,$A13,'Argus Drop'!#REF!))</f>
        <v/>
      </c>
      <c r="K13" s="440" t="str">
        <f>IF(J13="","",+SUMIF('Argus Drop'!$D$7:$D$64,$A13,'Argus Drop'!#REF!))</f>
        <v/>
      </c>
      <c r="L13" s="440" t="str">
        <f>IF(K13="","",+SUMIF('Argus Drop'!$D$7:$D$64,$A13,'Argus Drop'!#REF!))</f>
        <v/>
      </c>
      <c r="M13" s="440" t="str">
        <f>IF(L13="","",+SUMIF('Argus Drop'!$D$7:$D$64,$A13,'Argus Drop'!#REF!))</f>
        <v/>
      </c>
      <c r="N13" s="440" t="str">
        <f>IF(M13="","",+SUMIF('Argus Drop'!$D$7:$D$64,$A13,'Argus Drop'!#REF!))</f>
        <v/>
      </c>
      <c r="O13" s="440" t="str">
        <f>IF(N13="","",+SUMIF('Argus Drop'!$D$7:$D$64,$A13,'Argus Drop'!#REF!))</f>
        <v/>
      </c>
      <c r="P13" s="440" t="str">
        <f>IF(O13="","",+SUMIF('Argus Drop'!$D$7:$D$64,$A13,'Argus Drop'!#REF!))</f>
        <v/>
      </c>
      <c r="Q13" s="440" t="str">
        <f>IF(P13="","",+SUMIF('Argus Drop'!$D$7:$D$64,$A13,'Argus Drop'!#REF!))</f>
        <v/>
      </c>
      <c r="R13" s="440" t="str">
        <f>IF(Q13="","",+SUMIF('Argus Drop'!$D$7:$D$64,$A13,'Argus Drop'!#REF!))</f>
        <v/>
      </c>
      <c r="S13" s="440" t="str">
        <f>IF(R13="","",+SUMIF('Argus Drop'!$D$7:$D$64,$A13,'Argus Drop'!#REF!))</f>
        <v/>
      </c>
      <c r="T13" s="440" t="str">
        <f>IF(S13="","",+SUMIF('Argus Drop'!$D$7:$D$64,$A13,'Argus Drop'!#REF!))</f>
        <v/>
      </c>
      <c r="U13" s="440" t="str">
        <f>IF(T13="","",+SUMIF('Argus Drop'!$D$7:$D$64,$A13,'Argus Drop'!#REF!))</f>
        <v/>
      </c>
      <c r="V13" s="440" t="str">
        <f>IF(U13="","",+SUMIF('Argus Drop'!$D$7:$D$64,$A13,'Argus Drop'!#REF!))</f>
        <v/>
      </c>
      <c r="W13" s="440" t="str">
        <f>IF(V13="","",+SUMIF('Argus Drop'!$D$7:$D$64,$A13,'Argus Drop'!#REF!))</f>
        <v/>
      </c>
      <c r="X13" s="440" t="str">
        <f>IF(W13="","",+SUMIF('Argus Drop'!$D$7:$D$64,$A13,'Argus Drop'!#REF!))</f>
        <v/>
      </c>
      <c r="Y13" s="440" t="str">
        <f>IF(X13="","",+SUMIF('Argus Drop'!$D$7:$D$64,$A13,'Argus Drop'!#REF!))</f>
        <v/>
      </c>
      <c r="Z13" s="440" t="str">
        <f>IF(Y13="","",+SUMIF('Argus Drop'!$D$7:$D$64,$A13,'Argus Drop'!#REF!))</f>
        <v/>
      </c>
      <c r="AA13" s="440" t="str">
        <f>IF(Z13="","",+SUMIF('Argus Drop'!$D$7:$D$64,$A13,'Argus Drop'!#REF!))</f>
        <v/>
      </c>
      <c r="AB13" s="440" t="str">
        <f>IF(AA13="","",+SUMIF('Argus Drop'!$D$7:$D$64,$A13,'Argus Drop'!#REF!))</f>
        <v/>
      </c>
      <c r="AC13" s="440" t="str">
        <f>IF(AB13="","",+SUMIF('Argus Drop'!$D$7:$D$64,$A13,'Argus Drop'!#REF!))</f>
        <v/>
      </c>
      <c r="AD13" s="440" t="str">
        <f>IF(AC13="","",+SUMIF('Argus Drop'!$D$7:$D$64,$A13,'Argus Drop'!#REF!))</f>
        <v/>
      </c>
      <c r="AE13" s="440" t="str">
        <f>IF(AD13="","",+SUMIF('Argus Drop'!$D$7:$D$64,$A13,'Argus Drop'!#REF!))</f>
        <v/>
      </c>
      <c r="AF13" s="440" t="str">
        <f>IF(AE13="","",+SUMIF('Argus Drop'!$D$7:$D$64,$A13,'Argus Drop'!#REF!))</f>
        <v/>
      </c>
      <c r="AG13" s="440" t="str">
        <f>IF(AF13="","",+SUMIF('Argus Drop'!$D$7:$D$64,$A13,'Argus Drop'!#REF!))</f>
        <v/>
      </c>
      <c r="AH13" s="440" t="str">
        <f>IF(AG13="","",+SUMIF('Argus Drop'!$D$7:$D$64,$A13,'Argus Drop'!#REF!))</f>
        <v/>
      </c>
      <c r="AI13" s="440" t="str">
        <f>IF(AH13="","",+SUMIF('Argus Drop'!$D$7:$D$64,$A13,'Argus Drop'!#REF!))</f>
        <v/>
      </c>
      <c r="AJ13" s="440" t="str">
        <f>IF(AI13="","",+SUMIF('Argus Drop'!$D$7:$D$64,$A13,'Argus Drop'!#REF!))</f>
        <v/>
      </c>
      <c r="AK13" s="440" t="str">
        <f>IF(AJ13="","",+SUMIF('Argus Drop'!$D$7:$D$64,$A13,'Argus Drop'!#REF!))</f>
        <v/>
      </c>
      <c r="AL13" s="440" t="str">
        <f>IF(AK13="","",+SUMIF('Argus Drop'!$D$7:$D$64,$A13,'Argus Drop'!#REF!))</f>
        <v/>
      </c>
      <c r="AM13" s="440" t="str">
        <f>IF(AL13="","",+SUMIF('Argus Drop'!$D$7:$D$64,$A13,'Argus Drop'!#REF!))</f>
        <v/>
      </c>
      <c r="AN13" s="440" t="str">
        <f>IF(AM13="","",+SUMIF('Argus Drop'!$D$7:$D$64,$A13,'Argus Drop'!#REF!))</f>
        <v/>
      </c>
      <c r="AO13" s="440" t="str">
        <f>IF(AN13="","",+SUMIF('Argus Drop'!$D$7:$D$64,$A13,'Argus Drop'!#REF!))</f>
        <v/>
      </c>
      <c r="AP13" s="440" t="str">
        <f>IF(AO13="","",+SUMIF('Argus Drop'!$D$7:$D$64,$A13,'Argus Drop'!#REF!))</f>
        <v/>
      </c>
      <c r="AQ13" s="440" t="str">
        <f>IF(AP13="","",+SUMIF('Argus Drop'!$D$7:$D$64,$A13,'Argus Drop'!#REF!))</f>
        <v/>
      </c>
      <c r="AR13" s="440" t="str">
        <f>IF(AQ13="","",+SUMIF('Argus Drop'!$D$7:$D$64,$A13,'Argus Drop'!#REF!))</f>
        <v/>
      </c>
      <c r="AS13" s="440" t="str">
        <f>IF(AR13="","",+SUMIF('Argus Drop'!$D$7:$D$64,$A13,'Argus Drop'!#REF!))</f>
        <v/>
      </c>
      <c r="AT13" s="440" t="str">
        <f>IF(AS13="","",+SUMIF('Argus Drop'!$D$7:$D$64,$A13,'Argus Drop'!#REF!))</f>
        <v/>
      </c>
      <c r="AU13" s="440" t="str">
        <f>IF(AT13="","",+SUMIF('Argus Drop'!$D$7:$D$64,$A13,'Argus Drop'!#REF!))</f>
        <v/>
      </c>
      <c r="AV13" s="440" t="str">
        <f>IF(AU13="","",+SUMIF('Argus Drop'!$D$7:$D$64,$A13,'Argus Drop'!#REF!))</f>
        <v/>
      </c>
      <c r="AW13" s="440" t="str">
        <f>IF(AV13="","",+SUMIF('Argus Drop'!$D$7:$D$64,$A13,'Argus Drop'!#REF!))</f>
        <v/>
      </c>
      <c r="AX13" s="440" t="str">
        <f>IF(AW13="","",+SUMIF('Argus Drop'!$D$7:$D$64,$A13,'Argus Drop'!#REF!))</f>
        <v/>
      </c>
      <c r="AY13" s="440" t="str">
        <f>IF(AX13="","",+SUMIF('Argus Drop'!$D$7:$D$64,$A13,'Argus Drop'!#REF!))</f>
        <v/>
      </c>
      <c r="AZ13" s="440" t="str">
        <f>IF(AY13="","",+SUMIF('Argus Drop'!$D$7:$D$64,$A13,'Argus Drop'!#REF!))</f>
        <v/>
      </c>
      <c r="BA13" s="440" t="str">
        <f>IF(AZ13="","",+SUMIF('Argus Drop'!$D$7:$D$64,$A13,'Argus Drop'!#REF!))</f>
        <v/>
      </c>
      <c r="BB13" s="440" t="str">
        <f>IF(BA13="","",+SUMIF('Argus Drop'!$D$7:$D$64,$A13,'Argus Drop'!#REF!))</f>
        <v/>
      </c>
      <c r="BC13" s="440" t="str">
        <f>IF(BB13="","",+SUMIF('Argus Drop'!$D$7:$D$64,$A13,'Argus Drop'!#REF!))</f>
        <v/>
      </c>
      <c r="BD13" s="440" t="str">
        <f>IF(BC13="","",+SUMIF('Argus Drop'!$D$7:$D$64,$A13,'Argus Drop'!#REF!))</f>
        <v/>
      </c>
      <c r="BE13" s="440" t="str">
        <f>IF(BD13="","",+SUMIF('Argus Drop'!$D$7:$D$64,$A13,'Argus Drop'!#REF!))</f>
        <v/>
      </c>
      <c r="BF13" s="440" t="str">
        <f>IF(BE13="","",+SUMIF('Argus Drop'!$D$7:$D$64,$A13,'Argus Drop'!#REF!))</f>
        <v/>
      </c>
      <c r="BG13" s="440" t="str">
        <f>IF(BF13="","",+SUMIF('Argus Drop'!$D$7:$D$64,$A13,'Argus Drop'!#REF!))</f>
        <v/>
      </c>
      <c r="BH13" s="440" t="str">
        <f>IF(BG13="","",+SUMIF('Argus Drop'!$D$7:$D$64,$A13,'Argus Drop'!#REF!))</f>
        <v/>
      </c>
      <c r="BI13" s="440" t="str">
        <f>IF(BH13="","",+SUMIF('Argus Drop'!$D$7:$D$64,$A13,'Argus Drop'!#REF!))</f>
        <v/>
      </c>
      <c r="BJ13" s="440" t="str">
        <f>IF(BI13="","",+SUMIF('Argus Drop'!$D$7:$D$64,$A13,'Argus Drop'!#REF!))</f>
        <v/>
      </c>
      <c r="BK13" s="440" t="str">
        <f>IF(BJ13="","",+SUMIF('Argus Drop'!$D$7:$D$64,$A13,'Argus Drop'!#REF!))</f>
        <v/>
      </c>
      <c r="BL13" s="440" t="str">
        <f>IF(BK13="","",+SUMIF('Argus Drop'!$D$7:$D$64,$A13,'Argus Drop'!#REF!))</f>
        <v/>
      </c>
      <c r="BM13" s="440" t="str">
        <f>IF(BL13="","",+SUMIF('Argus Drop'!$D$7:$D$64,$A13,'Argus Drop'!#REF!))</f>
        <v/>
      </c>
      <c r="BN13" s="440" t="str">
        <f>IF(BM13="","",+SUMIF('Argus Drop'!$D$7:$D$64,$A13,'Argus Drop'!#REF!))</f>
        <v/>
      </c>
      <c r="BO13" s="440" t="str">
        <f>IF(BN13="","",+SUMIF('Argus Drop'!$D$7:$D$64,$A13,'Argus Drop'!#REF!))</f>
        <v/>
      </c>
      <c r="BP13" s="440" t="str">
        <f>IF(BO13="","",+SUMIF('Argus Drop'!$D$7:$D$64,$A13,'Argus Drop'!#REF!))</f>
        <v/>
      </c>
      <c r="BQ13" s="440" t="str">
        <f>IF(BP13="","",+SUMIF('Argus Drop'!$D$7:$D$64,$A13,'Argus Drop'!#REF!))</f>
        <v/>
      </c>
      <c r="BR13" s="440" t="str">
        <f>IF(BQ13="","",+SUMIF('Argus Drop'!$D$7:$D$64,$A13,'Argus Drop'!#REF!))</f>
        <v/>
      </c>
      <c r="BS13" s="440" t="str">
        <f>IF(BR13="","",+SUMIF('Argus Drop'!$D$7:$D$64,$A13,'Argus Drop'!#REF!))</f>
        <v/>
      </c>
      <c r="BT13" s="440" t="str">
        <f>IF(BS13="","",+SUMIF('Argus Drop'!$D$7:$D$64,$A13,'Argus Drop'!#REF!))</f>
        <v/>
      </c>
      <c r="BU13" s="440" t="str">
        <f>IF(BT13="","",+SUMIF('Argus Drop'!$D$7:$D$64,$A13,'Argus Drop'!#REF!))</f>
        <v/>
      </c>
      <c r="BV13" s="440" t="str">
        <f>IF(BU13="","",+SUMIF('Argus Drop'!$D$7:$D$64,$A13,'Argus Drop'!#REF!))</f>
        <v/>
      </c>
      <c r="BW13" s="440" t="str">
        <f>IF(BV13="","",+SUMIF('Argus Drop'!$D$7:$D$64,$A13,'Argus Drop'!#REF!))</f>
        <v/>
      </c>
      <c r="BX13" s="440" t="str">
        <f>IF(BW13="","",+SUMIF('Argus Drop'!$D$7:$D$64,$A13,'Argus Drop'!#REF!))</f>
        <v/>
      </c>
      <c r="BY13" s="440" t="str">
        <f>IF(BX13="","",+SUMIF('Argus Drop'!$D$7:$D$64,$A13,'Argus Drop'!#REF!))</f>
        <v/>
      </c>
      <c r="BZ13" s="440" t="str">
        <f>IF(BY13="","",+SUMIF('Argus Drop'!$D$7:$D$64,$A13,'Argus Drop'!#REF!))</f>
        <v/>
      </c>
      <c r="CA13" s="440" t="str">
        <f>IF(BZ13="","",+SUMIF('Argus Drop'!$D$7:$D$64,$A13,'Argus Drop'!#REF!))</f>
        <v/>
      </c>
      <c r="CB13" s="440" t="str">
        <f>IF(CA13="","",+SUMIF('Argus Drop'!$D$7:$D$64,$A13,'Argus Drop'!#REF!))</f>
        <v/>
      </c>
      <c r="CC13" s="440" t="str">
        <f>IF(CB13="","",+SUMIF('Argus Drop'!$D$7:$D$64,$A13,'Argus Drop'!#REF!))</f>
        <v/>
      </c>
      <c r="CD13" s="440" t="str">
        <f>IF(CC13="","",+SUMIF('Argus Drop'!$D$7:$D$64,$A13,'Argus Drop'!#REF!))</f>
        <v/>
      </c>
      <c r="CE13" s="440" t="str">
        <f>IF(CD13="","",+SUMIF('Argus Drop'!$D$7:$D$64,$A13,'Argus Drop'!#REF!))</f>
        <v/>
      </c>
      <c r="CF13" s="440" t="str">
        <f>IF(CE13="","",+SUMIF('Argus Drop'!$D$7:$D$64,$A13,'Argus Drop'!#REF!))</f>
        <v/>
      </c>
      <c r="CG13" s="440" t="str">
        <f>IF(CF13="","",+SUMIF('Argus Drop'!$D$7:$D$64,$A13,'Argus Drop'!#REF!))</f>
        <v/>
      </c>
      <c r="CH13" s="440" t="str">
        <f>IF(CG13="","",+SUMIF('Argus Drop'!$D$7:$D$64,$A13,'Argus Drop'!#REF!))</f>
        <v/>
      </c>
      <c r="CI13" s="440" t="str">
        <f>IF(CH13="","",+SUMIF('Argus Drop'!$D$7:$D$64,$A13,'Argus Drop'!#REF!))</f>
        <v/>
      </c>
      <c r="CJ13" s="440" t="str">
        <f>IF(CI13="","",+SUMIF('Argus Drop'!$D$7:$D$64,$A13,'Argus Drop'!#REF!))</f>
        <v/>
      </c>
      <c r="CK13" s="440" t="str">
        <f>IF(CJ13="","",+SUMIF('Argus Drop'!$D$7:$D$64,$A13,'Argus Drop'!#REF!))</f>
        <v/>
      </c>
      <c r="CL13" s="440" t="str">
        <f>IF(CK13="","",+SUMIF('Argus Drop'!$D$7:$D$64,$A13,'Argus Drop'!#REF!))</f>
        <v/>
      </c>
      <c r="CM13" s="440" t="str">
        <f>IF(CL13="","",+SUMIF('Argus Drop'!$D$7:$D$64,$A13,'Argus Drop'!#REF!))</f>
        <v/>
      </c>
      <c r="CN13" s="440" t="str">
        <f>IF(CM13="","",+SUMIF('Argus Drop'!$D$7:$D$64,$A13,'Argus Drop'!#REF!))</f>
        <v/>
      </c>
      <c r="CO13" s="440" t="str">
        <f>IF(CN13="","",+SUMIF('Argus Drop'!$D$7:$D$64,$A13,'Argus Drop'!#REF!))</f>
        <v/>
      </c>
      <c r="CP13" s="440" t="str">
        <f>IF(CO13="","",+SUMIF('Argus Drop'!$D$7:$D$64,$A13,'Argus Drop'!#REF!))</f>
        <v/>
      </c>
      <c r="CQ13" s="440" t="str">
        <f>IF(CP13="","",+SUMIF('Argus Drop'!$D$7:$D$64,$A13,'Argus Drop'!#REF!))</f>
        <v/>
      </c>
      <c r="CR13" s="440" t="str">
        <f>IF(CQ13="","",+SUMIF('Argus Drop'!$D$7:$D$64,$A13,'Argus Drop'!#REF!))</f>
        <v/>
      </c>
      <c r="CS13" s="440" t="str">
        <f>IF(CR13="","",+SUMIF('Argus Drop'!$D$7:$D$64,$A13,'Argus Drop'!#REF!))</f>
        <v/>
      </c>
      <c r="CT13" s="440" t="str">
        <f>IF(CS13="","",+SUMIF('Argus Drop'!$D$7:$D$64,$A13,'Argus Drop'!#REF!))</f>
        <v/>
      </c>
      <c r="CU13" s="440" t="str">
        <f>IF(CT13="","",+SUMIF('Argus Drop'!$D$7:$D$64,$A13,'Argus Drop'!#REF!))</f>
        <v/>
      </c>
      <c r="CV13" s="440" t="str">
        <f>IF(CU13="","",+SUMIF('Argus Drop'!$D$7:$D$64,$A13,'Argus Drop'!#REF!))</f>
        <v/>
      </c>
      <c r="CW13" s="440" t="str">
        <f>IF(CV13="","",+SUMIF('Argus Drop'!$D$7:$D$64,$A13,'Argus Drop'!#REF!))</f>
        <v/>
      </c>
      <c r="CX13" s="440" t="str">
        <f>IF(CW13="","",+SUMIF('Argus Drop'!$D$7:$D$64,$A13,'Argus Drop'!#REF!))</f>
        <v/>
      </c>
      <c r="CY13" s="440" t="str">
        <f>IF(CX13="","",+SUMIF('Argus Drop'!$D$7:$D$64,$A13,'Argus Drop'!#REF!))</f>
        <v/>
      </c>
      <c r="CZ13" s="440" t="str">
        <f>IF(CY13="","",+SUMIF('Argus Drop'!$D$7:$D$64,$A13,'Argus Drop'!#REF!))</f>
        <v/>
      </c>
      <c r="DA13" s="440" t="str">
        <f>IF(CZ13="","",+SUMIF('Argus Drop'!$D$7:$D$64,$A13,'Argus Drop'!#REF!))</f>
        <v/>
      </c>
      <c r="DB13" s="440" t="str">
        <f>IF(DA13="","",+SUMIF('Argus Drop'!$D$7:$D$64,$A13,'Argus Drop'!#REF!))</f>
        <v/>
      </c>
      <c r="DC13" s="440" t="str">
        <f>IF(DB13="","",+SUMIF('Argus Drop'!$D$7:$D$64,$A13,'Argus Drop'!#REF!))</f>
        <v/>
      </c>
      <c r="DD13" s="440" t="str">
        <f>IF(DC13="","",+SUMIF('Argus Drop'!$D$7:$D$64,$A13,'Argus Drop'!#REF!))</f>
        <v/>
      </c>
      <c r="DE13" s="440" t="str">
        <f>IF(DD13="","",+SUMIF('Argus Drop'!$D$7:$D$64,$A13,'Argus Drop'!#REF!))</f>
        <v/>
      </c>
      <c r="DF13" s="440" t="str">
        <f>IF(DE13="","",+SUMIF('Argus Drop'!$D$7:$D$64,$A13,'Argus Drop'!#REF!))</f>
        <v/>
      </c>
      <c r="DG13" s="440" t="str">
        <f>IF(DF13="","",+SUMIF('Argus Drop'!$D$7:$D$64,$A13,'Argus Drop'!#REF!))</f>
        <v/>
      </c>
      <c r="DH13" s="440" t="str">
        <f>IF(DG13="","",+SUMIF('Argus Drop'!$D$7:$D$64,$A13,'Argus Drop'!#REF!))</f>
        <v/>
      </c>
      <c r="DI13" s="440" t="str">
        <f>IF(DH13="","",+SUMIF('Argus Drop'!$D$7:$D$64,$A13,'Argus Drop'!#REF!))</f>
        <v/>
      </c>
      <c r="DJ13" s="440" t="str">
        <f>IF(DI13="","",+SUMIF('Argus Drop'!$D$7:$D$64,$A13,'Argus Drop'!#REF!))</f>
        <v/>
      </c>
      <c r="DK13" s="440" t="str">
        <f>IF(DJ13="","",+SUMIF('Argus Drop'!$D$7:$D$64,$A13,'Argus Drop'!#REF!))</f>
        <v/>
      </c>
      <c r="DL13" s="440" t="str">
        <f>IF(DK13="","",+SUMIF('Argus Drop'!$D$7:$D$64,$A13,'Argus Drop'!#REF!))</f>
        <v/>
      </c>
      <c r="DM13" s="440" t="str">
        <f>IF(DL13="","",+SUMIF('Argus Drop'!$D$7:$D$64,$A13,'Argus Drop'!#REF!))</f>
        <v/>
      </c>
      <c r="DN13" s="440" t="str">
        <f>IF(DM13="","",+SUMIF('Argus Drop'!$D$7:$D$64,$A13,'Argus Drop'!#REF!))</f>
        <v/>
      </c>
      <c r="DO13" s="440" t="str">
        <f>IF(DN13="","",+SUMIF('Argus Drop'!$D$7:$D$64,$A13,'Argus Drop'!#REF!))</f>
        <v/>
      </c>
      <c r="DP13" s="440" t="str">
        <f>IF(DO13="","",+SUMIF('Argus Drop'!$D$7:$D$64,$A13,'Argus Drop'!#REF!))</f>
        <v/>
      </c>
      <c r="DQ13" s="440" t="str">
        <f>IF(DP13="","",+SUMIF('Argus Drop'!$D$7:$D$64,$A13,'Argus Drop'!#REF!))</f>
        <v/>
      </c>
      <c r="DR13" s="440" t="str">
        <f>IF(DQ13="","",+SUMIF('Argus Drop'!$D$7:$D$64,$A13,'Argus Drop'!#REF!))</f>
        <v/>
      </c>
      <c r="DS13" s="440"/>
      <c r="DT13" s="440"/>
      <c r="DU13" s="440"/>
      <c r="DV13" s="440"/>
      <c r="DW13" s="440"/>
      <c r="DX13" s="440"/>
      <c r="DY13" s="440"/>
      <c r="DZ13" s="440"/>
      <c r="EA13" s="440"/>
      <c r="EB13" s="440"/>
      <c r="EC13" s="440"/>
      <c r="ED13" s="1419"/>
      <c r="EE13" s="1419"/>
      <c r="EF13" s="1419"/>
      <c r="EG13" s="1419"/>
      <c r="EH13" s="1419"/>
      <c r="EI13" s="1419"/>
      <c r="EJ13" s="1419"/>
      <c r="EK13" s="1419"/>
      <c r="EL13" s="1419"/>
      <c r="EM13" s="1419"/>
      <c r="EN13" s="1419"/>
      <c r="EO13" s="1419"/>
      <c r="EP13" s="1419"/>
      <c r="EQ13" s="1419"/>
      <c r="ER13" s="1419"/>
      <c r="ES13" s="1419"/>
      <c r="ET13" s="1419"/>
      <c r="EU13" s="1419"/>
      <c r="EV13" s="1419"/>
      <c r="EW13" s="1419"/>
      <c r="EX13" s="1419"/>
      <c r="EY13" s="1419"/>
      <c r="EZ13" s="1419"/>
      <c r="FA13" s="1419"/>
      <c r="FB13" s="1419"/>
      <c r="FC13" s="1419"/>
      <c r="FD13" s="1419"/>
      <c r="FE13" s="1419"/>
      <c r="FF13" s="1419"/>
      <c r="FG13" s="1419"/>
      <c r="FH13" s="1419"/>
      <c r="FI13" s="1419"/>
    </row>
    <row r="14" spans="1:165">
      <c r="A14" s="448">
        <f>IF(+'Argus Drop'!B14="","",'Argus Drop'!B14)</f>
        <v>4</v>
      </c>
      <c r="B14" s="440">
        <f>SUMIF('Argus Drop'!$D:$D,$A14,'Argus Drop'!F:F)</f>
        <v>98519</v>
      </c>
      <c r="C14" s="440">
        <f>SUMIF('Argus Drop'!$D:$D,$A14,'Argus Drop'!G:G)</f>
        <v>98519</v>
      </c>
      <c r="D14" s="440">
        <f>SUMIF('Argus Drop'!$D:$D,$A14,'Argus Drop'!H:H)</f>
        <v>98519</v>
      </c>
      <c r="E14" s="440">
        <f>SUMIF('Argus Drop'!$D:$D,$A14,'Argus Drop'!I:I)</f>
        <v>101755</v>
      </c>
      <c r="F14" s="440">
        <f>SUMIF('Argus Drop'!$D:$D,$A14,'Argus Drop'!J:J)</f>
        <v>101755</v>
      </c>
      <c r="G14" s="440">
        <f>SUMIF('Argus Drop'!$D:$D,$A14,'Argus Drop'!K:K)</f>
        <v>101755</v>
      </c>
      <c r="H14" s="440">
        <f>SUMIF('Argus Drop'!$D:$D,$A14,'Argus Drop'!L:L)</f>
        <v>101755</v>
      </c>
      <c r="I14" s="440">
        <f>SUMIF('Argus Drop'!$D:$D,$A14,'Argus Drop'!M:M)</f>
        <v>107065</v>
      </c>
      <c r="J14" s="440">
        <f>SUMIF('Argus Drop'!$D:$D,$A14,'Argus Drop'!N:N)</f>
        <v>107065</v>
      </c>
      <c r="K14" s="440">
        <f>SUMIF('Argus Drop'!$D:$D,$A14,'Argus Drop'!O:O)</f>
        <v>96930</v>
      </c>
      <c r="L14" s="440">
        <f>SUMIF('Argus Drop'!$D:$D,$A14,'Argus Drop'!P:P)</f>
        <v>88666</v>
      </c>
      <c r="M14" s="440">
        <f>SUMIF('Argus Drop'!$D:$D,$A14,'Argus Drop'!Q:Q)</f>
        <v>105177</v>
      </c>
      <c r="N14" s="440">
        <f>SUMIF('Argus Drop'!$D:$D,$A14,'Argus Drop'!R:R)</f>
        <v>105177</v>
      </c>
      <c r="O14" s="440">
        <f>SUMIF('Argus Drop'!$D:$D,$A14,'Argus Drop'!S:S)</f>
        <v>105177</v>
      </c>
      <c r="P14" s="440">
        <f>SUMIF('Argus Drop'!$D:$D,$A14,'Argus Drop'!T:T)</f>
        <v>105177</v>
      </c>
      <c r="Q14" s="440">
        <f>SUMIF('Argus Drop'!$D:$D,$A14,'Argus Drop'!U:U)</f>
        <v>97758</v>
      </c>
      <c r="R14" s="440">
        <f>SUMIF('Argus Drop'!$D:$D,$A14,'Argus Drop'!V:V)</f>
        <v>107328</v>
      </c>
      <c r="S14" s="440">
        <f>SUMIF('Argus Drop'!$D:$D,$A14,'Argus Drop'!W:W)</f>
        <v>97638</v>
      </c>
      <c r="T14" s="440">
        <f>SUMIF('Argus Drop'!$D:$D,$A14,'Argus Drop'!X:X)</f>
        <v>106365</v>
      </c>
      <c r="U14" s="440">
        <f>SUMIF('Argus Drop'!$D:$D,$A14,'Argus Drop'!Y:Y)</f>
        <v>121033</v>
      </c>
      <c r="V14" s="440">
        <f>SUMIF('Argus Drop'!$D:$D,$A14,'Argus Drop'!Z:Z)</f>
        <v>149525</v>
      </c>
      <c r="W14" s="440">
        <f>SUMIF('Argus Drop'!$D:$D,$A14,'Argus Drop'!AA:AA)</f>
        <v>149525</v>
      </c>
      <c r="X14" s="440">
        <f>SUMIF('Argus Drop'!$D:$D,$A14,'Argus Drop'!AB:AB)</f>
        <v>149525</v>
      </c>
      <c r="Y14" s="440">
        <f>SUMIF('Argus Drop'!$D:$D,$A14,'Argus Drop'!AC:AC)</f>
        <v>149525</v>
      </c>
      <c r="Z14" s="440">
        <f>SUMIF('Argus Drop'!$D:$D,$A14,'Argus Drop'!AD:AD)</f>
        <v>149525</v>
      </c>
      <c r="AA14" s="440">
        <f>SUMIF('Argus Drop'!$D:$D,$A14,'Argus Drop'!AE:AE)</f>
        <v>149525</v>
      </c>
      <c r="AB14" s="440">
        <f>SUMIF('Argus Drop'!$D:$D,$A14,'Argus Drop'!AF:AF)</f>
        <v>149525</v>
      </c>
      <c r="AC14" s="440">
        <f>SUMIF('Argus Drop'!$D:$D,$A14,'Argus Drop'!AG:AG)</f>
        <v>154046</v>
      </c>
      <c r="AD14" s="440">
        <f>SUMIF('Argus Drop'!$D:$D,$A14,'Argus Drop'!AH:AH)</f>
        <v>154046</v>
      </c>
      <c r="AE14" s="440">
        <f>SUMIF('Argus Drop'!$D:$D,$A14,'Argus Drop'!AI:AI)</f>
        <v>154046</v>
      </c>
      <c r="AF14" s="440">
        <f>SUMIF('Argus Drop'!$D:$D,$A14,'Argus Drop'!AJ:AJ)</f>
        <v>154046</v>
      </c>
      <c r="AG14" s="440">
        <f>SUMIF('Argus Drop'!$D:$D,$A14,'Argus Drop'!AK:AK)</f>
        <v>149860</v>
      </c>
      <c r="AH14" s="440">
        <f>SUMIF('Argus Drop'!$D:$D,$A14,'Argus Drop'!AL:AL)</f>
        <v>153500</v>
      </c>
      <c r="AI14" s="440">
        <f>SUMIF('Argus Drop'!$D:$D,$A14,'Argus Drop'!AM:AM)</f>
        <v>153500</v>
      </c>
      <c r="AJ14" s="440">
        <f>SUMIF('Argus Drop'!$D:$D,$A14,'Argus Drop'!AN:AN)</f>
        <v>153500</v>
      </c>
      <c r="AK14" s="440">
        <f>SUMIF('Argus Drop'!$D:$D,$A14,'Argus Drop'!AO:AO)</f>
        <v>153500</v>
      </c>
      <c r="AL14" s="440">
        <f>SUMIF('Argus Drop'!$D:$D,$A14,'Argus Drop'!AP:AP)</f>
        <v>153500</v>
      </c>
      <c r="AM14" s="440">
        <f>SUMIF('Argus Drop'!$D:$D,$A14,'Argus Drop'!AQ:AQ)</f>
        <v>153500</v>
      </c>
      <c r="AN14" s="440">
        <f>SUMIF('Argus Drop'!$D:$D,$A14,'Argus Drop'!AR:AR)</f>
        <v>153500</v>
      </c>
      <c r="AO14" s="440">
        <f>SUMIF('Argus Drop'!$D:$D,$A14,'Argus Drop'!AS:AS)</f>
        <v>156635</v>
      </c>
      <c r="AP14" s="440">
        <f>SUMIF('Argus Drop'!$D:$D,$A14,'Argus Drop'!AT:AT)</f>
        <v>156635</v>
      </c>
      <c r="AQ14" s="440">
        <f>SUMIF('Argus Drop'!$D:$D,$A14,'Argus Drop'!AU:AU)</f>
        <v>156635</v>
      </c>
      <c r="AR14" s="440">
        <f>SUMIF('Argus Drop'!$D:$D,$A14,'Argus Drop'!AV:AV)</f>
        <v>156635</v>
      </c>
      <c r="AS14" s="440">
        <f>SUMIF('Argus Drop'!$D:$D,$A14,'Argus Drop'!AW:AW)</f>
        <v>156635</v>
      </c>
      <c r="AT14" s="440">
        <f>SUMIF('Argus Drop'!$D:$D,$A14,'Argus Drop'!AX:AX)</f>
        <v>156635</v>
      </c>
      <c r="AU14" s="440">
        <f>SUMIF('Argus Drop'!$D:$D,$A14,'Argus Drop'!AY:AY)</f>
        <v>156635</v>
      </c>
      <c r="AV14" s="440">
        <f>SUMIF('Argus Drop'!$D:$D,$A14,'Argus Drop'!AZ:AZ)</f>
        <v>156635</v>
      </c>
      <c r="AW14" s="440">
        <f>SUMIF('Argus Drop'!$D:$D,$A14,'Argus Drop'!BA:BA)</f>
        <v>156635</v>
      </c>
      <c r="AX14" s="440">
        <f>SUMIF('Argus Drop'!$D:$D,$A14,'Argus Drop'!BB:BB)</f>
        <v>149405</v>
      </c>
      <c r="AY14" s="440">
        <f>SUMIF('Argus Drop'!$D:$D,$A14,'Argus Drop'!BC:BC)</f>
        <v>147014</v>
      </c>
      <c r="AZ14" s="440">
        <f>SUMIF('Argus Drop'!$D:$D,$A14,'Argus Drop'!BD:BD)</f>
        <v>158550</v>
      </c>
      <c r="BA14" s="440">
        <f>SUMIF('Argus Drop'!$D:$D,$A14,'Argus Drop'!BE:BE)</f>
        <v>163268</v>
      </c>
      <c r="BB14" s="440">
        <f>SUMIF('Argus Drop'!$D:$D,$A14,'Argus Drop'!BF:BF)</f>
        <v>163268</v>
      </c>
      <c r="BC14" s="440">
        <f>SUMIF('Argus Drop'!$D:$D,$A14,'Argus Drop'!BG:BG)</f>
        <v>163268</v>
      </c>
      <c r="BD14" s="440">
        <f>SUMIF('Argus Drop'!$D:$D,$A14,'Argus Drop'!BH:BH)</f>
        <v>163268</v>
      </c>
      <c r="BE14" s="440">
        <f>SUMIF('Argus Drop'!$D:$D,$A14,'Argus Drop'!BI:BI)</f>
        <v>163268</v>
      </c>
      <c r="BF14" s="440">
        <f>SUMIF('Argus Drop'!$D:$D,$A14,'Argus Drop'!BJ:BJ)</f>
        <v>163268</v>
      </c>
      <c r="BG14" s="440">
        <f>SUMIF('Argus Drop'!$D:$D,$A14,'Argus Drop'!BK:BK)</f>
        <v>163268</v>
      </c>
      <c r="BH14" s="440">
        <f>SUMIF('Argus Drop'!$D:$D,$A14,'Argus Drop'!BL:BL)</f>
        <v>163268</v>
      </c>
      <c r="BI14" s="440">
        <f>SUMIF('Argus Drop'!$D:$D,$A14,'Argus Drop'!BM:BM)</f>
        <v>163268</v>
      </c>
      <c r="BJ14" s="440">
        <f>SUMIF('Argus Drop'!$D:$D,$A14,'Argus Drop'!BN:BN)</f>
        <v>155800</v>
      </c>
      <c r="BK14" s="440">
        <f>SUMIF('Argus Drop'!$D:$D,$A14,'Argus Drop'!BO:BO)</f>
        <v>162294</v>
      </c>
      <c r="BL14" s="440">
        <f>SUMIF('Argus Drop'!$D:$D,$A14,'Argus Drop'!BP:BP)</f>
        <v>162294</v>
      </c>
      <c r="BM14" s="440">
        <f>SUMIF('Argus Drop'!$D:$D,$A14,'Argus Drop'!BQ:BQ)</f>
        <v>166643</v>
      </c>
      <c r="BN14" s="440">
        <f>SUMIF('Argus Drop'!$D:$D,$A14,'Argus Drop'!BR:BR)</f>
        <v>166643</v>
      </c>
      <c r="BO14" s="440">
        <f>SUMIF('Argus Drop'!$D:$D,$A14,'Argus Drop'!BS:BS)</f>
        <v>166643</v>
      </c>
      <c r="BP14" s="440">
        <f>SUMIF('Argus Drop'!$D:$D,$A14,'Argus Drop'!BT:BT)</f>
        <v>166643</v>
      </c>
      <c r="BQ14" s="440">
        <f>SUMIF('Argus Drop'!$D:$D,$A14,'Argus Drop'!BU:BU)</f>
        <v>160516</v>
      </c>
      <c r="BR14" s="440">
        <f>SUMIF('Argus Drop'!$D:$D,$A14,'Argus Drop'!BV:BV)</f>
        <v>156619</v>
      </c>
      <c r="BS14" s="440">
        <f>SUMIF('Argus Drop'!$D:$D,$A14,'Argus Drop'!BW:BW)</f>
        <v>165284</v>
      </c>
      <c r="BT14" s="440">
        <f>SUMIF('Argus Drop'!$D:$D,$A14,'Argus Drop'!BX:BX)</f>
        <v>154362</v>
      </c>
      <c r="BU14" s="440">
        <f>SUMIF('Argus Drop'!$D:$D,$A14,'Argus Drop'!BY:BY)</f>
        <v>146235</v>
      </c>
      <c r="BV14" s="440">
        <f>SUMIF('Argus Drop'!$D:$D,$A14,'Argus Drop'!BZ:BZ)</f>
        <v>165284</v>
      </c>
      <c r="BW14" s="440">
        <f>SUMIF('Argus Drop'!$D:$D,$A14,'Argus Drop'!CA:CA)</f>
        <v>165284</v>
      </c>
      <c r="BX14" s="440">
        <f>SUMIF('Argus Drop'!$D:$D,$A14,'Argus Drop'!CB:CB)</f>
        <v>165284</v>
      </c>
      <c r="BY14" s="440">
        <f>SUMIF('Argus Drop'!$D:$D,$A14,'Argus Drop'!CC:CC)</f>
        <v>169612</v>
      </c>
      <c r="BZ14" s="440">
        <f>SUMIF('Argus Drop'!$D:$D,$A14,'Argus Drop'!CD:CD)</f>
        <v>158306</v>
      </c>
      <c r="CA14" s="440">
        <f>SUMIF('Argus Drop'!$D:$D,$A14,'Argus Drop'!CE:CE)</f>
        <v>169612</v>
      </c>
      <c r="CB14" s="440">
        <f>SUMIF('Argus Drop'!$D:$D,$A14,'Argus Drop'!CF:CF)</f>
        <v>159662</v>
      </c>
      <c r="CC14" s="440">
        <f>SUMIF('Argus Drop'!$D:$D,$A14,'Argus Drop'!CG:CG)</f>
        <v>169612</v>
      </c>
      <c r="CD14" s="440">
        <f>SUMIF('Argus Drop'!$D:$D,$A14,'Argus Drop'!CH:CH)</f>
        <v>134346</v>
      </c>
      <c r="CE14" s="440">
        <f>SUMIF('Argus Drop'!$D:$D,$A14,'Argus Drop'!CI:CI)</f>
        <v>142713</v>
      </c>
      <c r="CF14" s="440">
        <f>SUMIF('Argus Drop'!$D:$D,$A14,'Argus Drop'!CJ:CJ)</f>
        <v>165012</v>
      </c>
      <c r="CG14" s="440">
        <f>SUMIF('Argus Drop'!$D:$D,$A14,'Argus Drop'!CK:CK)</f>
        <v>165012</v>
      </c>
      <c r="CH14" s="440">
        <f>SUMIF('Argus Drop'!$D:$D,$A14,'Argus Drop'!CL:CL)</f>
        <v>165012</v>
      </c>
      <c r="CI14" s="440">
        <f>SUMIF('Argus Drop'!$D:$D,$A14,'Argus Drop'!CM:CM)</f>
        <v>165012</v>
      </c>
      <c r="CJ14" s="440">
        <f>SUMIF('Argus Drop'!$D:$D,$A14,'Argus Drop'!CN:CN)</f>
        <v>165012</v>
      </c>
      <c r="CK14" s="440">
        <f>SUMIF('Argus Drop'!$D:$D,$A14,'Argus Drop'!CO:CO)</f>
        <v>170038</v>
      </c>
      <c r="CL14" s="440">
        <f>SUMIF('Argus Drop'!$D:$D,$A14,'Argus Drop'!CP:CP)</f>
        <v>170038</v>
      </c>
      <c r="CM14" s="440">
        <f>SUMIF('Argus Drop'!$D:$D,$A14,'Argus Drop'!CQ:CQ)</f>
        <v>170038</v>
      </c>
      <c r="CN14" s="440">
        <f>SUMIF('Argus Drop'!$D:$D,$A14,'Argus Drop'!CR:CR)</f>
        <v>170038</v>
      </c>
      <c r="CO14" s="440">
        <f>SUMIF('Argus Drop'!$D:$D,$A14,'Argus Drop'!CS:CS)</f>
        <v>170038</v>
      </c>
      <c r="CP14" s="440">
        <f>SUMIF('Argus Drop'!$D:$D,$A14,'Argus Drop'!CT:CT)</f>
        <v>165887</v>
      </c>
      <c r="CQ14" s="440">
        <f>SUMIF('Argus Drop'!$D:$D,$A14,'Argus Drop'!CU:CU)</f>
        <v>170038</v>
      </c>
      <c r="CR14" s="440">
        <f>SUMIF('Argus Drop'!$D:$D,$A14,'Argus Drop'!CV:CV)</f>
        <v>170038</v>
      </c>
      <c r="CS14" s="440">
        <f>SUMIF('Argus Drop'!$D:$D,$A14,'Argus Drop'!CW:CW)</f>
        <v>170038</v>
      </c>
      <c r="CT14" s="440">
        <f>SUMIF('Argus Drop'!$D:$D,$A14,'Argus Drop'!CX:CX)</f>
        <v>170038</v>
      </c>
      <c r="CU14" s="440">
        <f>SUMIF('Argus Drop'!$D:$D,$A14,'Argus Drop'!CY:CY)</f>
        <v>170038</v>
      </c>
      <c r="CV14" s="440">
        <f>SUMIF('Argus Drop'!$D:$D,$A14,'Argus Drop'!CZ:CZ)</f>
        <v>170038</v>
      </c>
      <c r="CW14" s="440">
        <f>SUMIF('Argus Drop'!$D:$D,$A14,'Argus Drop'!DA:DA)</f>
        <v>174945</v>
      </c>
      <c r="CX14" s="440">
        <f>SUMIF('Argus Drop'!$D:$D,$A14,'Argus Drop'!DB:DB)</f>
        <v>174945</v>
      </c>
      <c r="CY14" s="440">
        <f>SUMIF('Argus Drop'!$D:$D,$A14,'Argus Drop'!DC:DC)</f>
        <v>174945</v>
      </c>
      <c r="CZ14" s="440">
        <f>SUMIF('Argus Drop'!$D:$D,$A14,'Argus Drop'!DD:DD)</f>
        <v>174945</v>
      </c>
      <c r="DA14" s="440">
        <f>SUMIF('Argus Drop'!$D:$D,$A14,'Argus Drop'!DE:DE)</f>
        <v>174945</v>
      </c>
      <c r="DB14" s="440">
        <f>SUMIF('Argus Drop'!$D:$D,$A14,'Argus Drop'!DF:DF)</f>
        <v>174945</v>
      </c>
      <c r="DC14" s="440">
        <f>SUMIF('Argus Drop'!$D:$D,$A14,'Argus Drop'!DG:DG)</f>
        <v>174945</v>
      </c>
      <c r="DD14" s="440">
        <f>SUMIF('Argus Drop'!$D:$D,$A14,'Argus Drop'!DH:DH)</f>
        <v>174945</v>
      </c>
      <c r="DE14" s="440">
        <f>SUMIF('Argus Drop'!$D:$D,$A14,'Argus Drop'!DI:DI)</f>
        <v>174945</v>
      </c>
      <c r="DF14" s="440">
        <f>SUMIF('Argus Drop'!$D:$D,$A14,'Argus Drop'!DJ:DJ)</f>
        <v>174945</v>
      </c>
      <c r="DG14" s="440">
        <f>SUMIF('Argus Drop'!$D:$D,$A14,'Argus Drop'!DK:DK)</f>
        <v>163440</v>
      </c>
      <c r="DH14" s="440">
        <f>SUMIF('Argus Drop'!$D:$D,$A14,'Argus Drop'!DL:DL)</f>
        <v>161674</v>
      </c>
      <c r="DI14" s="440">
        <f>SUMIF('Argus Drop'!$D:$D,$A14,'Argus Drop'!DM:DM)</f>
        <v>178873</v>
      </c>
      <c r="DJ14" s="440">
        <f>SUMIF('Argus Drop'!$D:$D,$A14,'Argus Drop'!DN:DN)</f>
        <v>178873</v>
      </c>
      <c r="DK14" s="440">
        <f>SUMIF('Argus Drop'!$D:$D,$A14,'Argus Drop'!DO:DO)</f>
        <v>178873</v>
      </c>
      <c r="DL14" s="440">
        <f>SUMIF('Argus Drop'!$D:$D,$A14,'Argus Drop'!DP:DP)</f>
        <v>178873</v>
      </c>
      <c r="DM14" s="440">
        <f>SUMIF('Argus Drop'!$D:$D,$A14,'Argus Drop'!DQ:DQ)</f>
        <v>178873</v>
      </c>
      <c r="DN14" s="440">
        <f>SUMIF('Argus Drop'!$D:$D,$A14,'Argus Drop'!DR:DR)</f>
        <v>178873</v>
      </c>
      <c r="DO14" s="440">
        <f>SUMIF('Argus Drop'!$D:$D,$A14,'Argus Drop'!DS:DS)</f>
        <v>178873</v>
      </c>
      <c r="DP14" s="440">
        <f>SUMIF('Argus Drop'!$D:$D,$A14,'Argus Drop'!DT:DT)</f>
        <v>178873</v>
      </c>
      <c r="DQ14" s="440">
        <f>SUMIF('Argus Drop'!$D:$D,$A14,'Argus Drop'!DU:DU)</f>
        <v>176186</v>
      </c>
      <c r="DR14" s="440">
        <f>SUMIF('Argus Drop'!$D:$D,$A14,'Argus Drop'!DV:DV)</f>
        <v>178523</v>
      </c>
      <c r="DS14" s="440"/>
      <c r="DT14" s="440"/>
      <c r="DU14" s="440"/>
      <c r="DV14" s="440"/>
      <c r="DW14" s="440"/>
      <c r="DX14" s="440"/>
      <c r="DY14" s="440"/>
      <c r="DZ14" s="440"/>
      <c r="EA14" s="440"/>
      <c r="EB14" s="440"/>
      <c r="EC14" s="440"/>
      <c r="ED14" s="1419"/>
      <c r="EE14" s="1419"/>
      <c r="EF14" s="1419"/>
      <c r="EG14" s="1419"/>
      <c r="EH14" s="1419"/>
      <c r="EI14" s="1419"/>
      <c r="EJ14" s="1419"/>
      <c r="EK14" s="1419"/>
      <c r="EL14" s="1419"/>
      <c r="EM14" s="1419"/>
      <c r="EN14" s="1419"/>
      <c r="EO14" s="1419"/>
      <c r="EP14" s="1419"/>
      <c r="EQ14" s="1419"/>
      <c r="ER14" s="1419"/>
      <c r="ES14" s="1419"/>
      <c r="ET14" s="1419"/>
      <c r="EU14" s="1419"/>
      <c r="EV14" s="1419"/>
      <c r="EW14" s="1419"/>
      <c r="EX14" s="1419"/>
      <c r="EY14" s="1419"/>
      <c r="EZ14" s="1419"/>
      <c r="FA14" s="1419"/>
      <c r="FB14" s="1419"/>
      <c r="FC14" s="1419"/>
      <c r="FD14" s="1419"/>
      <c r="FE14" s="1419"/>
      <c r="FF14" s="1419"/>
      <c r="FG14" s="1419"/>
      <c r="FH14" s="1419"/>
      <c r="FI14" s="1419"/>
    </row>
    <row r="15" spans="1:165">
      <c r="A15" s="448" t="str">
        <f>IF(+'Argus Drop'!B15="","",'Argus Drop'!B15)</f>
        <v/>
      </c>
      <c r="B15" s="440" t="str">
        <f>IF(A15="","",+SUMIF('Argus Drop'!$D$7:$D$64,$A15,'Argus Drop'!#REF!))</f>
        <v/>
      </c>
      <c r="C15" s="440" t="str">
        <f>IF(B15="","",+SUMIF('Argus Drop'!$D$7:$D$64,$A15,'Argus Drop'!#REF!))</f>
        <v/>
      </c>
      <c r="D15" s="440" t="str">
        <f>IF(C15="","",+SUMIF('Argus Drop'!$D$7:$D$64,$A15,'Argus Drop'!#REF!))</f>
        <v/>
      </c>
      <c r="E15" s="440" t="str">
        <f>IF(D15="","",+SUMIF('Argus Drop'!$D$7:$D$64,$A15,'Argus Drop'!#REF!))</f>
        <v/>
      </c>
      <c r="F15" s="440" t="str">
        <f>IF(E15="","",+SUMIF('Argus Drop'!$D$7:$D$64,$A15,'Argus Drop'!#REF!))</f>
        <v/>
      </c>
      <c r="G15" s="440" t="str">
        <f>IF(F15="","",+SUMIF('Argus Drop'!$D$7:$D$64,$A15,'Argus Drop'!#REF!))</f>
        <v/>
      </c>
      <c r="H15" s="440" t="str">
        <f>IF(G15="","",+SUMIF('Argus Drop'!$D$7:$D$64,$A15,'Argus Drop'!#REF!))</f>
        <v/>
      </c>
      <c r="I15" s="440" t="str">
        <f>IF(H15="","",+SUMIF('Argus Drop'!$D$7:$D$64,$A15,'Argus Drop'!#REF!))</f>
        <v/>
      </c>
      <c r="J15" s="440" t="str">
        <f>IF(I15="","",+SUMIF('Argus Drop'!$D$7:$D$64,$A15,'Argus Drop'!#REF!))</f>
        <v/>
      </c>
      <c r="K15" s="440" t="str">
        <f>IF(J15="","",+SUMIF('Argus Drop'!$D$7:$D$64,$A15,'Argus Drop'!#REF!))</f>
        <v/>
      </c>
      <c r="L15" s="440" t="str">
        <f>IF(K15="","",+SUMIF('Argus Drop'!$D$7:$D$64,$A15,'Argus Drop'!#REF!))</f>
        <v/>
      </c>
      <c r="M15" s="440" t="str">
        <f>IF(L15="","",+SUMIF('Argus Drop'!$D$7:$D$64,$A15,'Argus Drop'!#REF!))</f>
        <v/>
      </c>
      <c r="N15" s="440" t="str">
        <f>IF(M15="","",+SUMIF('Argus Drop'!$D$7:$D$64,$A15,'Argus Drop'!#REF!))</f>
        <v/>
      </c>
      <c r="O15" s="440" t="str">
        <f>IF(N15="","",+SUMIF('Argus Drop'!$D$7:$D$64,$A15,'Argus Drop'!#REF!))</f>
        <v/>
      </c>
      <c r="P15" s="440" t="str">
        <f>IF(O15="","",+SUMIF('Argus Drop'!$D$7:$D$64,$A15,'Argus Drop'!#REF!))</f>
        <v/>
      </c>
      <c r="Q15" s="440" t="str">
        <f>IF(P15="","",+SUMIF('Argus Drop'!$D$7:$D$64,$A15,'Argus Drop'!#REF!))</f>
        <v/>
      </c>
      <c r="R15" s="440" t="str">
        <f>IF(Q15="","",+SUMIF('Argus Drop'!$D$7:$D$64,$A15,'Argus Drop'!#REF!))</f>
        <v/>
      </c>
      <c r="S15" s="440" t="str">
        <f>IF(R15="","",+SUMIF('Argus Drop'!$D$7:$D$64,$A15,'Argus Drop'!#REF!))</f>
        <v/>
      </c>
      <c r="T15" s="440" t="str">
        <f>IF(S15="","",+SUMIF('Argus Drop'!$D$7:$D$64,$A15,'Argus Drop'!#REF!))</f>
        <v/>
      </c>
      <c r="U15" s="440" t="str">
        <f>IF(T15="","",+SUMIF('Argus Drop'!$D$7:$D$64,$A15,'Argus Drop'!#REF!))</f>
        <v/>
      </c>
      <c r="V15" s="440" t="str">
        <f>IF(U15="","",+SUMIF('Argus Drop'!$D$7:$D$64,$A15,'Argus Drop'!#REF!))</f>
        <v/>
      </c>
      <c r="W15" s="440" t="str">
        <f>IF(V15="","",+SUMIF('Argus Drop'!$D$7:$D$64,$A15,'Argus Drop'!#REF!))</f>
        <v/>
      </c>
      <c r="X15" s="440" t="str">
        <f>IF(W15="","",+SUMIF('Argus Drop'!$D$7:$D$64,$A15,'Argus Drop'!#REF!))</f>
        <v/>
      </c>
      <c r="Y15" s="440" t="str">
        <f>IF(X15="","",+SUMIF('Argus Drop'!$D$7:$D$64,$A15,'Argus Drop'!#REF!))</f>
        <v/>
      </c>
      <c r="Z15" s="440" t="str">
        <f>IF(Y15="","",+SUMIF('Argus Drop'!$D$7:$D$64,$A15,'Argus Drop'!#REF!))</f>
        <v/>
      </c>
      <c r="AA15" s="440" t="str">
        <f>IF(Z15="","",+SUMIF('Argus Drop'!$D$7:$D$64,$A15,'Argus Drop'!#REF!))</f>
        <v/>
      </c>
      <c r="AB15" s="440" t="str">
        <f>IF(AA15="","",+SUMIF('Argus Drop'!$D$7:$D$64,$A15,'Argus Drop'!#REF!))</f>
        <v/>
      </c>
      <c r="AC15" s="440" t="str">
        <f>IF(AB15="","",+SUMIF('Argus Drop'!$D$7:$D$64,$A15,'Argus Drop'!#REF!))</f>
        <v/>
      </c>
      <c r="AD15" s="440" t="str">
        <f>IF(AC15="","",+SUMIF('Argus Drop'!$D$7:$D$64,$A15,'Argus Drop'!#REF!))</f>
        <v/>
      </c>
      <c r="AE15" s="440" t="str">
        <f>IF(AD15="","",+SUMIF('Argus Drop'!$D$7:$D$64,$A15,'Argus Drop'!#REF!))</f>
        <v/>
      </c>
      <c r="AF15" s="440" t="str">
        <f>IF(AE15="","",+SUMIF('Argus Drop'!$D$7:$D$64,$A15,'Argus Drop'!#REF!))</f>
        <v/>
      </c>
      <c r="AG15" s="440" t="str">
        <f>IF(AF15="","",+SUMIF('Argus Drop'!$D$7:$D$64,$A15,'Argus Drop'!#REF!))</f>
        <v/>
      </c>
      <c r="AH15" s="440" t="str">
        <f>IF(AG15="","",+SUMIF('Argus Drop'!$D$7:$D$64,$A15,'Argus Drop'!#REF!))</f>
        <v/>
      </c>
      <c r="AI15" s="440" t="str">
        <f>IF(AH15="","",+SUMIF('Argus Drop'!$D$7:$D$64,$A15,'Argus Drop'!#REF!))</f>
        <v/>
      </c>
      <c r="AJ15" s="440" t="str">
        <f>IF(AI15="","",+SUMIF('Argus Drop'!$D$7:$D$64,$A15,'Argus Drop'!#REF!))</f>
        <v/>
      </c>
      <c r="AK15" s="440" t="str">
        <f>IF(AJ15="","",+SUMIF('Argus Drop'!$D$7:$D$64,$A15,'Argus Drop'!#REF!))</f>
        <v/>
      </c>
      <c r="AL15" s="440" t="str">
        <f>IF(AK15="","",+SUMIF('Argus Drop'!$D$7:$D$64,$A15,'Argus Drop'!#REF!))</f>
        <v/>
      </c>
      <c r="AM15" s="440" t="str">
        <f>IF(AL15="","",+SUMIF('Argus Drop'!$D$7:$D$64,$A15,'Argus Drop'!#REF!))</f>
        <v/>
      </c>
      <c r="AN15" s="440" t="str">
        <f>IF(AM15="","",+SUMIF('Argus Drop'!$D$7:$D$64,$A15,'Argus Drop'!#REF!))</f>
        <v/>
      </c>
      <c r="AO15" s="440" t="str">
        <f>IF(AN15="","",+SUMIF('Argus Drop'!$D$7:$D$64,$A15,'Argus Drop'!#REF!))</f>
        <v/>
      </c>
      <c r="AP15" s="440" t="str">
        <f>IF(AO15="","",+SUMIF('Argus Drop'!$D$7:$D$64,$A15,'Argus Drop'!#REF!))</f>
        <v/>
      </c>
      <c r="AQ15" s="440" t="str">
        <f>IF(AP15="","",+SUMIF('Argus Drop'!$D$7:$D$64,$A15,'Argus Drop'!#REF!))</f>
        <v/>
      </c>
      <c r="AR15" s="440" t="str">
        <f>IF(AQ15="","",+SUMIF('Argus Drop'!$D$7:$D$64,$A15,'Argus Drop'!#REF!))</f>
        <v/>
      </c>
      <c r="AS15" s="440" t="str">
        <f>IF(AR15="","",+SUMIF('Argus Drop'!$D$7:$D$64,$A15,'Argus Drop'!#REF!))</f>
        <v/>
      </c>
      <c r="AT15" s="440" t="str">
        <f>IF(AS15="","",+SUMIF('Argus Drop'!$D$7:$D$64,$A15,'Argus Drop'!#REF!))</f>
        <v/>
      </c>
      <c r="AU15" s="440" t="str">
        <f>IF(AT15="","",+SUMIF('Argus Drop'!$D$7:$D$64,$A15,'Argus Drop'!#REF!))</f>
        <v/>
      </c>
      <c r="AV15" s="440" t="str">
        <f>IF(AU15="","",+SUMIF('Argus Drop'!$D$7:$D$64,$A15,'Argus Drop'!#REF!))</f>
        <v/>
      </c>
      <c r="AW15" s="440" t="str">
        <f>IF(AV15="","",+SUMIF('Argus Drop'!$D$7:$D$64,$A15,'Argus Drop'!#REF!))</f>
        <v/>
      </c>
      <c r="AX15" s="440" t="str">
        <f>IF(AW15="","",+SUMIF('Argus Drop'!$D$7:$D$64,$A15,'Argus Drop'!#REF!))</f>
        <v/>
      </c>
      <c r="AY15" s="440" t="str">
        <f>IF(AX15="","",+SUMIF('Argus Drop'!$D$7:$D$64,$A15,'Argus Drop'!#REF!))</f>
        <v/>
      </c>
      <c r="AZ15" s="440" t="str">
        <f>IF(AY15="","",+SUMIF('Argus Drop'!$D$7:$D$64,$A15,'Argus Drop'!#REF!))</f>
        <v/>
      </c>
      <c r="BA15" s="440" t="str">
        <f>IF(AZ15="","",+SUMIF('Argus Drop'!$D$7:$D$64,$A15,'Argus Drop'!#REF!))</f>
        <v/>
      </c>
      <c r="BB15" s="440" t="str">
        <f>IF(BA15="","",+SUMIF('Argus Drop'!$D$7:$D$64,$A15,'Argus Drop'!#REF!))</f>
        <v/>
      </c>
      <c r="BC15" s="440" t="str">
        <f>IF(BB15="","",+SUMIF('Argus Drop'!$D$7:$D$64,$A15,'Argus Drop'!#REF!))</f>
        <v/>
      </c>
      <c r="BD15" s="440" t="str">
        <f>IF(BC15="","",+SUMIF('Argus Drop'!$D$7:$D$64,$A15,'Argus Drop'!#REF!))</f>
        <v/>
      </c>
      <c r="BE15" s="440" t="str">
        <f>IF(BD15="","",+SUMIF('Argus Drop'!$D$7:$D$64,$A15,'Argus Drop'!#REF!))</f>
        <v/>
      </c>
      <c r="BF15" s="440" t="str">
        <f>IF(BE15="","",+SUMIF('Argus Drop'!$D$7:$D$64,$A15,'Argus Drop'!#REF!))</f>
        <v/>
      </c>
      <c r="BG15" s="440" t="str">
        <f>IF(BF15="","",+SUMIF('Argus Drop'!$D$7:$D$64,$A15,'Argus Drop'!#REF!))</f>
        <v/>
      </c>
      <c r="BH15" s="440" t="str">
        <f>IF(BG15="","",+SUMIF('Argus Drop'!$D$7:$D$64,$A15,'Argus Drop'!#REF!))</f>
        <v/>
      </c>
      <c r="BI15" s="440" t="str">
        <f>IF(BH15="","",+SUMIF('Argus Drop'!$D$7:$D$64,$A15,'Argus Drop'!#REF!))</f>
        <v/>
      </c>
      <c r="BJ15" s="440" t="str">
        <f>IF(BI15="","",+SUMIF('Argus Drop'!$D$7:$D$64,$A15,'Argus Drop'!#REF!))</f>
        <v/>
      </c>
      <c r="BK15" s="440" t="str">
        <f>IF(BJ15="","",+SUMIF('Argus Drop'!$D$7:$D$64,$A15,'Argus Drop'!#REF!))</f>
        <v/>
      </c>
      <c r="BL15" s="440" t="str">
        <f>IF(BK15="","",+SUMIF('Argus Drop'!$D$7:$D$64,$A15,'Argus Drop'!#REF!))</f>
        <v/>
      </c>
      <c r="BM15" s="440" t="str">
        <f>IF(BL15="","",+SUMIF('Argus Drop'!$D$7:$D$64,$A15,'Argus Drop'!#REF!))</f>
        <v/>
      </c>
      <c r="BN15" s="440" t="str">
        <f>IF(BM15="","",+SUMIF('Argus Drop'!$D$7:$D$64,$A15,'Argus Drop'!#REF!))</f>
        <v/>
      </c>
      <c r="BO15" s="440" t="str">
        <f>IF(BN15="","",+SUMIF('Argus Drop'!$D$7:$D$64,$A15,'Argus Drop'!#REF!))</f>
        <v/>
      </c>
      <c r="BP15" s="440" t="str">
        <f>IF(BO15="","",+SUMIF('Argus Drop'!$D$7:$D$64,$A15,'Argus Drop'!#REF!))</f>
        <v/>
      </c>
      <c r="BQ15" s="440" t="str">
        <f>IF(BP15="","",+SUMIF('Argus Drop'!$D$7:$D$64,$A15,'Argus Drop'!#REF!))</f>
        <v/>
      </c>
      <c r="BR15" s="440" t="str">
        <f>IF(BQ15="","",+SUMIF('Argus Drop'!$D$7:$D$64,$A15,'Argus Drop'!#REF!))</f>
        <v/>
      </c>
      <c r="BS15" s="440" t="str">
        <f>IF(BR15="","",+SUMIF('Argus Drop'!$D$7:$D$64,$A15,'Argus Drop'!#REF!))</f>
        <v/>
      </c>
      <c r="BT15" s="440" t="str">
        <f>IF(BS15="","",+SUMIF('Argus Drop'!$D$7:$D$64,$A15,'Argus Drop'!#REF!))</f>
        <v/>
      </c>
      <c r="BU15" s="440" t="str">
        <f>IF(BT15="","",+SUMIF('Argus Drop'!$D$7:$D$64,$A15,'Argus Drop'!#REF!))</f>
        <v/>
      </c>
      <c r="BV15" s="440" t="str">
        <f>IF(BU15="","",+SUMIF('Argus Drop'!$D$7:$D$64,$A15,'Argus Drop'!#REF!))</f>
        <v/>
      </c>
      <c r="BW15" s="440" t="str">
        <f>IF(BV15="","",+SUMIF('Argus Drop'!$D$7:$D$64,$A15,'Argus Drop'!#REF!))</f>
        <v/>
      </c>
      <c r="BX15" s="440" t="str">
        <f>IF(BW15="","",+SUMIF('Argus Drop'!$D$7:$D$64,$A15,'Argus Drop'!#REF!))</f>
        <v/>
      </c>
      <c r="BY15" s="440" t="str">
        <f>IF(BX15="","",+SUMIF('Argus Drop'!$D$7:$D$64,$A15,'Argus Drop'!#REF!))</f>
        <v/>
      </c>
      <c r="BZ15" s="440" t="str">
        <f>IF(BY15="","",+SUMIF('Argus Drop'!$D$7:$D$64,$A15,'Argus Drop'!#REF!))</f>
        <v/>
      </c>
      <c r="CA15" s="440" t="str">
        <f>IF(BZ15="","",+SUMIF('Argus Drop'!$D$7:$D$64,$A15,'Argus Drop'!#REF!))</f>
        <v/>
      </c>
      <c r="CB15" s="440" t="str">
        <f>IF(CA15="","",+SUMIF('Argus Drop'!$D$7:$D$64,$A15,'Argus Drop'!#REF!))</f>
        <v/>
      </c>
      <c r="CC15" s="440" t="str">
        <f>IF(CB15="","",+SUMIF('Argus Drop'!$D$7:$D$64,$A15,'Argus Drop'!#REF!))</f>
        <v/>
      </c>
      <c r="CD15" s="440" t="str">
        <f>IF(CC15="","",+SUMIF('Argus Drop'!$D$7:$D$64,$A15,'Argus Drop'!#REF!))</f>
        <v/>
      </c>
      <c r="CE15" s="440" t="str">
        <f>IF(CD15="","",+SUMIF('Argus Drop'!$D$7:$D$64,$A15,'Argus Drop'!#REF!))</f>
        <v/>
      </c>
      <c r="CF15" s="440" t="str">
        <f>IF(CE15="","",+SUMIF('Argus Drop'!$D$7:$D$64,$A15,'Argus Drop'!#REF!))</f>
        <v/>
      </c>
      <c r="CG15" s="440" t="str">
        <f>IF(CF15="","",+SUMIF('Argus Drop'!$D$7:$D$64,$A15,'Argus Drop'!#REF!))</f>
        <v/>
      </c>
      <c r="CH15" s="440" t="str">
        <f>IF(CG15="","",+SUMIF('Argus Drop'!$D$7:$D$64,$A15,'Argus Drop'!#REF!))</f>
        <v/>
      </c>
      <c r="CI15" s="440" t="str">
        <f>IF(CH15="","",+SUMIF('Argus Drop'!$D$7:$D$64,$A15,'Argus Drop'!#REF!))</f>
        <v/>
      </c>
      <c r="CJ15" s="440" t="str">
        <f>IF(CI15="","",+SUMIF('Argus Drop'!$D$7:$D$64,$A15,'Argus Drop'!#REF!))</f>
        <v/>
      </c>
      <c r="CK15" s="440" t="str">
        <f>IF(CJ15="","",+SUMIF('Argus Drop'!$D$7:$D$64,$A15,'Argus Drop'!#REF!))</f>
        <v/>
      </c>
      <c r="CL15" s="440" t="str">
        <f>IF(CK15="","",+SUMIF('Argus Drop'!$D$7:$D$64,$A15,'Argus Drop'!#REF!))</f>
        <v/>
      </c>
      <c r="CM15" s="440" t="str">
        <f>IF(CL15="","",+SUMIF('Argus Drop'!$D$7:$D$64,$A15,'Argus Drop'!#REF!))</f>
        <v/>
      </c>
      <c r="CN15" s="440" t="str">
        <f>IF(CM15="","",+SUMIF('Argus Drop'!$D$7:$D$64,$A15,'Argus Drop'!#REF!))</f>
        <v/>
      </c>
      <c r="CO15" s="440" t="str">
        <f>IF(CN15="","",+SUMIF('Argus Drop'!$D$7:$D$64,$A15,'Argus Drop'!#REF!))</f>
        <v/>
      </c>
      <c r="CP15" s="440" t="str">
        <f>IF(CO15="","",+SUMIF('Argus Drop'!$D$7:$D$64,$A15,'Argus Drop'!#REF!))</f>
        <v/>
      </c>
      <c r="CQ15" s="440" t="str">
        <f>IF(CP15="","",+SUMIF('Argus Drop'!$D$7:$D$64,$A15,'Argus Drop'!#REF!))</f>
        <v/>
      </c>
      <c r="CR15" s="440" t="str">
        <f>IF(CQ15="","",+SUMIF('Argus Drop'!$D$7:$D$64,$A15,'Argus Drop'!#REF!))</f>
        <v/>
      </c>
      <c r="CS15" s="440" t="str">
        <f>IF(CR15="","",+SUMIF('Argus Drop'!$D$7:$D$64,$A15,'Argus Drop'!#REF!))</f>
        <v/>
      </c>
      <c r="CT15" s="440" t="str">
        <f>IF(CS15="","",+SUMIF('Argus Drop'!$D$7:$D$64,$A15,'Argus Drop'!#REF!))</f>
        <v/>
      </c>
      <c r="CU15" s="440" t="str">
        <f>IF(CT15="","",+SUMIF('Argus Drop'!$D$7:$D$64,$A15,'Argus Drop'!#REF!))</f>
        <v/>
      </c>
      <c r="CV15" s="440" t="str">
        <f>IF(CU15="","",+SUMIF('Argus Drop'!$D$7:$D$64,$A15,'Argus Drop'!#REF!))</f>
        <v/>
      </c>
      <c r="CW15" s="440" t="str">
        <f>IF(CV15="","",+SUMIF('Argus Drop'!$D$7:$D$64,$A15,'Argus Drop'!#REF!))</f>
        <v/>
      </c>
      <c r="CX15" s="440" t="str">
        <f>IF(CW15="","",+SUMIF('Argus Drop'!$D$7:$D$64,$A15,'Argus Drop'!#REF!))</f>
        <v/>
      </c>
      <c r="CY15" s="440" t="str">
        <f>IF(CX15="","",+SUMIF('Argus Drop'!$D$7:$D$64,$A15,'Argus Drop'!#REF!))</f>
        <v/>
      </c>
      <c r="CZ15" s="440" t="str">
        <f>IF(CY15="","",+SUMIF('Argus Drop'!$D$7:$D$64,$A15,'Argus Drop'!#REF!))</f>
        <v/>
      </c>
      <c r="DA15" s="440" t="str">
        <f>IF(CZ15="","",+SUMIF('Argus Drop'!$D$7:$D$64,$A15,'Argus Drop'!#REF!))</f>
        <v/>
      </c>
      <c r="DB15" s="440" t="str">
        <f>IF(DA15="","",+SUMIF('Argus Drop'!$D$7:$D$64,$A15,'Argus Drop'!#REF!))</f>
        <v/>
      </c>
      <c r="DC15" s="440" t="str">
        <f>IF(DB15="","",+SUMIF('Argus Drop'!$D$7:$D$64,$A15,'Argus Drop'!#REF!))</f>
        <v/>
      </c>
      <c r="DD15" s="440" t="str">
        <f>IF(DC15="","",+SUMIF('Argus Drop'!$D$7:$D$64,$A15,'Argus Drop'!#REF!))</f>
        <v/>
      </c>
      <c r="DE15" s="440" t="str">
        <f>IF(DD15="","",+SUMIF('Argus Drop'!$D$7:$D$64,$A15,'Argus Drop'!#REF!))</f>
        <v/>
      </c>
      <c r="DF15" s="440" t="str">
        <f>IF(DE15="","",+SUMIF('Argus Drop'!$D$7:$D$64,$A15,'Argus Drop'!#REF!))</f>
        <v/>
      </c>
      <c r="DG15" s="440" t="str">
        <f>IF(DF15="","",+SUMIF('Argus Drop'!$D$7:$D$64,$A15,'Argus Drop'!#REF!))</f>
        <v/>
      </c>
      <c r="DH15" s="440" t="str">
        <f>IF(DG15="","",+SUMIF('Argus Drop'!$D$7:$D$64,$A15,'Argus Drop'!#REF!))</f>
        <v/>
      </c>
      <c r="DI15" s="440" t="str">
        <f>IF(DH15="","",+SUMIF('Argus Drop'!$D$7:$D$64,$A15,'Argus Drop'!#REF!))</f>
        <v/>
      </c>
      <c r="DJ15" s="440" t="str">
        <f>IF(DI15="","",+SUMIF('Argus Drop'!$D$7:$D$64,$A15,'Argus Drop'!#REF!))</f>
        <v/>
      </c>
      <c r="DK15" s="440" t="str">
        <f>IF(DJ15="","",+SUMIF('Argus Drop'!$D$7:$D$64,$A15,'Argus Drop'!#REF!))</f>
        <v/>
      </c>
      <c r="DL15" s="440" t="str">
        <f>IF(DK15="","",+SUMIF('Argus Drop'!$D$7:$D$64,$A15,'Argus Drop'!#REF!))</f>
        <v/>
      </c>
      <c r="DM15" s="440" t="str">
        <f>IF(DL15="","",+SUMIF('Argus Drop'!$D$7:$D$64,$A15,'Argus Drop'!#REF!))</f>
        <v/>
      </c>
      <c r="DN15" s="440" t="str">
        <f>IF(DM15="","",+SUMIF('Argus Drop'!$D$7:$D$64,$A15,'Argus Drop'!#REF!))</f>
        <v/>
      </c>
      <c r="DO15" s="440" t="str">
        <f>IF(DN15="","",+SUMIF('Argus Drop'!$D$7:$D$64,$A15,'Argus Drop'!#REF!))</f>
        <v/>
      </c>
      <c r="DP15" s="440" t="str">
        <f>IF(DO15="","",+SUMIF('Argus Drop'!$D$7:$D$64,$A15,'Argus Drop'!#REF!))</f>
        <v/>
      </c>
      <c r="DQ15" s="440" t="str">
        <f>IF(DP15="","",+SUMIF('Argus Drop'!$D$7:$D$64,$A15,'Argus Drop'!#REF!))</f>
        <v/>
      </c>
      <c r="DR15" s="440" t="str">
        <f>IF(DQ15="","",+SUMIF('Argus Drop'!$D$7:$D$64,$A15,'Argus Drop'!#REF!))</f>
        <v/>
      </c>
      <c r="DS15" s="440"/>
      <c r="DT15" s="440"/>
      <c r="DU15" s="440"/>
      <c r="DV15" s="440"/>
      <c r="DW15" s="440"/>
      <c r="DX15" s="440"/>
      <c r="DY15" s="440"/>
      <c r="DZ15" s="440"/>
      <c r="EA15" s="440"/>
      <c r="EB15" s="440"/>
      <c r="EC15" s="440"/>
      <c r="ED15" s="1419"/>
      <c r="EE15" s="1419"/>
      <c r="EF15" s="1419"/>
      <c r="EG15" s="1419"/>
      <c r="EH15" s="1419"/>
      <c r="EI15" s="1419"/>
      <c r="EJ15" s="1419"/>
      <c r="EK15" s="1419"/>
      <c r="EL15" s="1419"/>
      <c r="EM15" s="1419"/>
      <c r="EN15" s="1419"/>
      <c r="EO15" s="1419"/>
      <c r="EP15" s="1419"/>
      <c r="EQ15" s="1419"/>
      <c r="ER15" s="1419"/>
      <c r="ES15" s="1419"/>
      <c r="ET15" s="1419"/>
      <c r="EU15" s="1419"/>
      <c r="EV15" s="1419"/>
      <c r="EW15" s="1419"/>
      <c r="EX15" s="1419"/>
      <c r="EY15" s="1419"/>
      <c r="EZ15" s="1419"/>
      <c r="FA15" s="1419"/>
      <c r="FB15" s="1419"/>
      <c r="FC15" s="1419"/>
      <c r="FD15" s="1419"/>
      <c r="FE15" s="1419"/>
      <c r="FF15" s="1419"/>
      <c r="FG15" s="1419"/>
      <c r="FH15" s="1419"/>
      <c r="FI15" s="1419"/>
    </row>
    <row r="16" spans="1:165">
      <c r="A16" s="448" t="str">
        <f>IF(+'Argus Drop'!B16="","",'Argus Drop'!B16)</f>
        <v/>
      </c>
      <c r="B16" s="440" t="str">
        <f>IF(A16="","",+SUMIF('Argus Drop'!$D$7:$D$64,$A16,'Argus Drop'!#REF!))</f>
        <v/>
      </c>
      <c r="C16" s="440" t="str">
        <f>IF(B16="","",+SUMIF('Argus Drop'!$D$7:$D$64,$A16,'Argus Drop'!#REF!))</f>
        <v/>
      </c>
      <c r="D16" s="440" t="str">
        <f>IF(C16="","",+SUMIF('Argus Drop'!$D$7:$D$64,$A16,'Argus Drop'!#REF!))</f>
        <v/>
      </c>
      <c r="E16" s="440" t="str">
        <f>IF(D16="","",+SUMIF('Argus Drop'!$D$7:$D$64,$A16,'Argus Drop'!#REF!))</f>
        <v/>
      </c>
      <c r="F16" s="440" t="str">
        <f>IF(E16="","",+SUMIF('Argus Drop'!$D$7:$D$64,$A16,'Argus Drop'!#REF!))</f>
        <v/>
      </c>
      <c r="G16" s="440" t="str">
        <f>IF(F16="","",+SUMIF('Argus Drop'!$D$7:$D$64,$A16,'Argus Drop'!#REF!))</f>
        <v/>
      </c>
      <c r="H16" s="440" t="str">
        <f>IF(G16="","",+SUMIF('Argus Drop'!$D$7:$D$64,$A16,'Argus Drop'!#REF!))</f>
        <v/>
      </c>
      <c r="I16" s="440" t="str">
        <f>IF(H16="","",+SUMIF('Argus Drop'!$D$7:$D$64,$A16,'Argus Drop'!#REF!))</f>
        <v/>
      </c>
      <c r="J16" s="440" t="str">
        <f>IF(I16="","",+SUMIF('Argus Drop'!$D$7:$D$64,$A16,'Argus Drop'!#REF!))</f>
        <v/>
      </c>
      <c r="K16" s="440" t="str">
        <f>IF(J16="","",+SUMIF('Argus Drop'!$D$7:$D$64,$A16,'Argus Drop'!#REF!))</f>
        <v/>
      </c>
      <c r="L16" s="440" t="str">
        <f>IF(K16="","",+SUMIF('Argus Drop'!$D$7:$D$64,$A16,'Argus Drop'!#REF!))</f>
        <v/>
      </c>
      <c r="M16" s="440" t="str">
        <f>IF(L16="","",+SUMIF('Argus Drop'!$D$7:$D$64,$A16,'Argus Drop'!#REF!))</f>
        <v/>
      </c>
      <c r="N16" s="440" t="str">
        <f>IF(M16="","",+SUMIF('Argus Drop'!$D$7:$D$64,$A16,'Argus Drop'!#REF!))</f>
        <v/>
      </c>
      <c r="O16" s="440" t="str">
        <f>IF(N16="","",+SUMIF('Argus Drop'!$D$7:$D$64,$A16,'Argus Drop'!#REF!))</f>
        <v/>
      </c>
      <c r="P16" s="440" t="str">
        <f>IF(O16="","",+SUMIF('Argus Drop'!$D$7:$D$64,$A16,'Argus Drop'!#REF!))</f>
        <v/>
      </c>
      <c r="Q16" s="440" t="str">
        <f>IF(P16="","",+SUMIF('Argus Drop'!$D$7:$D$64,$A16,'Argus Drop'!#REF!))</f>
        <v/>
      </c>
      <c r="R16" s="440" t="str">
        <f>IF(Q16="","",+SUMIF('Argus Drop'!$D$7:$D$64,$A16,'Argus Drop'!#REF!))</f>
        <v/>
      </c>
      <c r="S16" s="440" t="str">
        <f>IF(R16="","",+SUMIF('Argus Drop'!$D$7:$D$64,$A16,'Argus Drop'!#REF!))</f>
        <v/>
      </c>
      <c r="T16" s="440" t="str">
        <f>IF(S16="","",+SUMIF('Argus Drop'!$D$7:$D$64,$A16,'Argus Drop'!#REF!))</f>
        <v/>
      </c>
      <c r="U16" s="440" t="str">
        <f>IF(T16="","",+SUMIF('Argus Drop'!$D$7:$D$64,$A16,'Argus Drop'!#REF!))</f>
        <v/>
      </c>
      <c r="V16" s="440" t="str">
        <f>IF(U16="","",+SUMIF('Argus Drop'!$D$7:$D$64,$A16,'Argus Drop'!#REF!))</f>
        <v/>
      </c>
      <c r="W16" s="440" t="str">
        <f>IF(V16="","",+SUMIF('Argus Drop'!$D$7:$D$64,$A16,'Argus Drop'!#REF!))</f>
        <v/>
      </c>
      <c r="X16" s="440" t="str">
        <f>IF(W16="","",+SUMIF('Argus Drop'!$D$7:$D$64,$A16,'Argus Drop'!#REF!))</f>
        <v/>
      </c>
      <c r="Y16" s="440" t="str">
        <f>IF(X16="","",+SUMIF('Argus Drop'!$D$7:$D$64,$A16,'Argus Drop'!#REF!))</f>
        <v/>
      </c>
      <c r="Z16" s="440" t="str">
        <f>IF(Y16="","",+SUMIF('Argus Drop'!$D$7:$D$64,$A16,'Argus Drop'!#REF!))</f>
        <v/>
      </c>
      <c r="AA16" s="440" t="str">
        <f>IF(Z16="","",+SUMIF('Argus Drop'!$D$7:$D$64,$A16,'Argus Drop'!#REF!))</f>
        <v/>
      </c>
      <c r="AB16" s="440" t="str">
        <f>IF(AA16="","",+SUMIF('Argus Drop'!$D$7:$D$64,$A16,'Argus Drop'!#REF!))</f>
        <v/>
      </c>
      <c r="AC16" s="440" t="str">
        <f>IF(AB16="","",+SUMIF('Argus Drop'!$D$7:$D$64,$A16,'Argus Drop'!#REF!))</f>
        <v/>
      </c>
      <c r="AD16" s="440" t="str">
        <f>IF(AC16="","",+SUMIF('Argus Drop'!$D$7:$D$64,$A16,'Argus Drop'!#REF!))</f>
        <v/>
      </c>
      <c r="AE16" s="440" t="str">
        <f>IF(AD16="","",+SUMIF('Argus Drop'!$D$7:$D$64,$A16,'Argus Drop'!#REF!))</f>
        <v/>
      </c>
      <c r="AF16" s="440" t="str">
        <f>IF(AE16="","",+SUMIF('Argus Drop'!$D$7:$D$64,$A16,'Argus Drop'!#REF!))</f>
        <v/>
      </c>
      <c r="AG16" s="440" t="str">
        <f>IF(AF16="","",+SUMIF('Argus Drop'!$D$7:$D$64,$A16,'Argus Drop'!#REF!))</f>
        <v/>
      </c>
      <c r="AH16" s="440" t="str">
        <f>IF(AG16="","",+SUMIF('Argus Drop'!$D$7:$D$64,$A16,'Argus Drop'!#REF!))</f>
        <v/>
      </c>
      <c r="AI16" s="440" t="str">
        <f>IF(AH16="","",+SUMIF('Argus Drop'!$D$7:$D$64,$A16,'Argus Drop'!#REF!))</f>
        <v/>
      </c>
      <c r="AJ16" s="440" t="str">
        <f>IF(AI16="","",+SUMIF('Argus Drop'!$D$7:$D$64,$A16,'Argus Drop'!#REF!))</f>
        <v/>
      </c>
      <c r="AK16" s="440" t="str">
        <f>IF(AJ16="","",+SUMIF('Argus Drop'!$D$7:$D$64,$A16,'Argus Drop'!#REF!))</f>
        <v/>
      </c>
      <c r="AL16" s="440" t="str">
        <f>IF(AK16="","",+SUMIF('Argus Drop'!$D$7:$D$64,$A16,'Argus Drop'!#REF!))</f>
        <v/>
      </c>
      <c r="AM16" s="440" t="str">
        <f>IF(AL16="","",+SUMIF('Argus Drop'!$D$7:$D$64,$A16,'Argus Drop'!#REF!))</f>
        <v/>
      </c>
      <c r="AN16" s="440" t="str">
        <f>IF(AM16="","",+SUMIF('Argus Drop'!$D$7:$D$64,$A16,'Argus Drop'!#REF!))</f>
        <v/>
      </c>
      <c r="AO16" s="440" t="str">
        <f>IF(AN16="","",+SUMIF('Argus Drop'!$D$7:$D$64,$A16,'Argus Drop'!#REF!))</f>
        <v/>
      </c>
      <c r="AP16" s="440" t="str">
        <f>IF(AO16="","",+SUMIF('Argus Drop'!$D$7:$D$64,$A16,'Argus Drop'!#REF!))</f>
        <v/>
      </c>
      <c r="AQ16" s="440" t="str">
        <f>IF(AP16="","",+SUMIF('Argus Drop'!$D$7:$D$64,$A16,'Argus Drop'!#REF!))</f>
        <v/>
      </c>
      <c r="AR16" s="440" t="str">
        <f>IF(AQ16="","",+SUMIF('Argus Drop'!$D$7:$D$64,$A16,'Argus Drop'!#REF!))</f>
        <v/>
      </c>
      <c r="AS16" s="440" t="str">
        <f>IF(AR16="","",+SUMIF('Argus Drop'!$D$7:$D$64,$A16,'Argus Drop'!#REF!))</f>
        <v/>
      </c>
      <c r="AT16" s="440" t="str">
        <f>IF(AS16="","",+SUMIF('Argus Drop'!$D$7:$D$64,$A16,'Argus Drop'!#REF!))</f>
        <v/>
      </c>
      <c r="AU16" s="440" t="str">
        <f>IF(AT16="","",+SUMIF('Argus Drop'!$D$7:$D$64,$A16,'Argus Drop'!#REF!))</f>
        <v/>
      </c>
      <c r="AV16" s="440" t="str">
        <f>IF(AU16="","",+SUMIF('Argus Drop'!$D$7:$D$64,$A16,'Argus Drop'!#REF!))</f>
        <v/>
      </c>
      <c r="AW16" s="440" t="str">
        <f>IF(AV16="","",+SUMIF('Argus Drop'!$D$7:$D$64,$A16,'Argus Drop'!#REF!))</f>
        <v/>
      </c>
      <c r="AX16" s="440" t="str">
        <f>IF(AW16="","",+SUMIF('Argus Drop'!$D$7:$D$64,$A16,'Argus Drop'!#REF!))</f>
        <v/>
      </c>
      <c r="AY16" s="440" t="str">
        <f>IF(AX16="","",+SUMIF('Argus Drop'!$D$7:$D$64,$A16,'Argus Drop'!#REF!))</f>
        <v/>
      </c>
      <c r="AZ16" s="440" t="str">
        <f>IF(AY16="","",+SUMIF('Argus Drop'!$D$7:$D$64,$A16,'Argus Drop'!#REF!))</f>
        <v/>
      </c>
      <c r="BA16" s="440" t="str">
        <f>IF(AZ16="","",+SUMIF('Argus Drop'!$D$7:$D$64,$A16,'Argus Drop'!#REF!))</f>
        <v/>
      </c>
      <c r="BB16" s="440" t="str">
        <f>IF(BA16="","",+SUMIF('Argus Drop'!$D$7:$D$64,$A16,'Argus Drop'!#REF!))</f>
        <v/>
      </c>
      <c r="BC16" s="440" t="str">
        <f>IF(BB16="","",+SUMIF('Argus Drop'!$D$7:$D$64,$A16,'Argus Drop'!#REF!))</f>
        <v/>
      </c>
      <c r="BD16" s="440" t="str">
        <f>IF(BC16="","",+SUMIF('Argus Drop'!$D$7:$D$64,$A16,'Argus Drop'!#REF!))</f>
        <v/>
      </c>
      <c r="BE16" s="440" t="str">
        <f>IF(BD16="","",+SUMIF('Argus Drop'!$D$7:$D$64,$A16,'Argus Drop'!#REF!))</f>
        <v/>
      </c>
      <c r="BF16" s="440" t="str">
        <f>IF(BE16="","",+SUMIF('Argus Drop'!$D$7:$D$64,$A16,'Argus Drop'!#REF!))</f>
        <v/>
      </c>
      <c r="BG16" s="440" t="str">
        <f>IF(BF16="","",+SUMIF('Argus Drop'!$D$7:$D$64,$A16,'Argus Drop'!#REF!))</f>
        <v/>
      </c>
      <c r="BH16" s="440" t="str">
        <f>IF(BG16="","",+SUMIF('Argus Drop'!$D$7:$D$64,$A16,'Argus Drop'!#REF!))</f>
        <v/>
      </c>
      <c r="BI16" s="440" t="str">
        <f>IF(BH16="","",+SUMIF('Argus Drop'!$D$7:$D$64,$A16,'Argus Drop'!#REF!))</f>
        <v/>
      </c>
      <c r="BJ16" s="440" t="str">
        <f>IF(BI16="","",+SUMIF('Argus Drop'!$D$7:$D$64,$A16,'Argus Drop'!#REF!))</f>
        <v/>
      </c>
      <c r="BK16" s="440" t="str">
        <f>IF(BJ16="","",+SUMIF('Argus Drop'!$D$7:$D$64,$A16,'Argus Drop'!#REF!))</f>
        <v/>
      </c>
      <c r="BL16" s="440" t="str">
        <f>IF(BK16="","",+SUMIF('Argus Drop'!$D$7:$D$64,$A16,'Argus Drop'!#REF!))</f>
        <v/>
      </c>
      <c r="BM16" s="440" t="str">
        <f>IF(BL16="","",+SUMIF('Argus Drop'!$D$7:$D$64,$A16,'Argus Drop'!#REF!))</f>
        <v/>
      </c>
      <c r="BN16" s="440" t="str">
        <f>IF(BM16="","",+SUMIF('Argus Drop'!$D$7:$D$64,$A16,'Argus Drop'!#REF!))</f>
        <v/>
      </c>
      <c r="BO16" s="440" t="str">
        <f>IF(BN16="","",+SUMIF('Argus Drop'!$D$7:$D$64,$A16,'Argus Drop'!#REF!))</f>
        <v/>
      </c>
      <c r="BP16" s="440" t="str">
        <f>IF(BO16="","",+SUMIF('Argus Drop'!$D$7:$D$64,$A16,'Argus Drop'!#REF!))</f>
        <v/>
      </c>
      <c r="BQ16" s="440" t="str">
        <f>IF(BP16="","",+SUMIF('Argus Drop'!$D$7:$D$64,$A16,'Argus Drop'!#REF!))</f>
        <v/>
      </c>
      <c r="BR16" s="440" t="str">
        <f>IF(BQ16="","",+SUMIF('Argus Drop'!$D$7:$D$64,$A16,'Argus Drop'!#REF!))</f>
        <v/>
      </c>
      <c r="BS16" s="440" t="str">
        <f>IF(BR16="","",+SUMIF('Argus Drop'!$D$7:$D$64,$A16,'Argus Drop'!#REF!))</f>
        <v/>
      </c>
      <c r="BT16" s="440" t="str">
        <f>IF(BS16="","",+SUMIF('Argus Drop'!$D$7:$D$64,$A16,'Argus Drop'!#REF!))</f>
        <v/>
      </c>
      <c r="BU16" s="440" t="str">
        <f>IF(BT16="","",+SUMIF('Argus Drop'!$D$7:$D$64,$A16,'Argus Drop'!#REF!))</f>
        <v/>
      </c>
      <c r="BV16" s="440" t="str">
        <f>IF(BU16="","",+SUMIF('Argus Drop'!$D$7:$D$64,$A16,'Argus Drop'!#REF!))</f>
        <v/>
      </c>
      <c r="BW16" s="440" t="str">
        <f>IF(BV16="","",+SUMIF('Argus Drop'!$D$7:$D$64,$A16,'Argus Drop'!#REF!))</f>
        <v/>
      </c>
      <c r="BX16" s="440" t="str">
        <f>IF(BW16="","",+SUMIF('Argus Drop'!$D$7:$D$64,$A16,'Argus Drop'!#REF!))</f>
        <v/>
      </c>
      <c r="BY16" s="440" t="str">
        <f>IF(BX16="","",+SUMIF('Argus Drop'!$D$7:$D$64,$A16,'Argus Drop'!#REF!))</f>
        <v/>
      </c>
      <c r="BZ16" s="440" t="str">
        <f>IF(BY16="","",+SUMIF('Argus Drop'!$D$7:$D$64,$A16,'Argus Drop'!#REF!))</f>
        <v/>
      </c>
      <c r="CA16" s="440" t="str">
        <f>IF(BZ16="","",+SUMIF('Argus Drop'!$D$7:$D$64,$A16,'Argus Drop'!#REF!))</f>
        <v/>
      </c>
      <c r="CB16" s="440" t="str">
        <f>IF(CA16="","",+SUMIF('Argus Drop'!$D$7:$D$64,$A16,'Argus Drop'!#REF!))</f>
        <v/>
      </c>
      <c r="CC16" s="440" t="str">
        <f>IF(CB16="","",+SUMIF('Argus Drop'!$D$7:$D$64,$A16,'Argus Drop'!#REF!))</f>
        <v/>
      </c>
      <c r="CD16" s="440" t="str">
        <f>IF(CC16="","",+SUMIF('Argus Drop'!$D$7:$D$64,$A16,'Argus Drop'!#REF!))</f>
        <v/>
      </c>
      <c r="CE16" s="440" t="str">
        <f>IF(CD16="","",+SUMIF('Argus Drop'!$D$7:$D$64,$A16,'Argus Drop'!#REF!))</f>
        <v/>
      </c>
      <c r="CF16" s="440" t="str">
        <f>IF(CE16="","",+SUMIF('Argus Drop'!$D$7:$D$64,$A16,'Argus Drop'!#REF!))</f>
        <v/>
      </c>
      <c r="CG16" s="440" t="str">
        <f>IF(CF16="","",+SUMIF('Argus Drop'!$D$7:$D$64,$A16,'Argus Drop'!#REF!))</f>
        <v/>
      </c>
      <c r="CH16" s="440" t="str">
        <f>IF(CG16="","",+SUMIF('Argus Drop'!$D$7:$D$64,$A16,'Argus Drop'!#REF!))</f>
        <v/>
      </c>
      <c r="CI16" s="440" t="str">
        <f>IF(CH16="","",+SUMIF('Argus Drop'!$D$7:$D$64,$A16,'Argus Drop'!#REF!))</f>
        <v/>
      </c>
      <c r="CJ16" s="440" t="str">
        <f>IF(CI16="","",+SUMIF('Argus Drop'!$D$7:$D$64,$A16,'Argus Drop'!#REF!))</f>
        <v/>
      </c>
      <c r="CK16" s="440" t="str">
        <f>IF(CJ16="","",+SUMIF('Argus Drop'!$D$7:$D$64,$A16,'Argus Drop'!#REF!))</f>
        <v/>
      </c>
      <c r="CL16" s="440" t="str">
        <f>IF(CK16="","",+SUMIF('Argus Drop'!$D$7:$D$64,$A16,'Argus Drop'!#REF!))</f>
        <v/>
      </c>
      <c r="CM16" s="440" t="str">
        <f>IF(CL16="","",+SUMIF('Argus Drop'!$D$7:$D$64,$A16,'Argus Drop'!#REF!))</f>
        <v/>
      </c>
      <c r="CN16" s="440" t="str">
        <f>IF(CM16="","",+SUMIF('Argus Drop'!$D$7:$D$64,$A16,'Argus Drop'!#REF!))</f>
        <v/>
      </c>
      <c r="CO16" s="440" t="str">
        <f>IF(CN16="","",+SUMIF('Argus Drop'!$D$7:$D$64,$A16,'Argus Drop'!#REF!))</f>
        <v/>
      </c>
      <c r="CP16" s="440" t="str">
        <f>IF(CO16="","",+SUMIF('Argus Drop'!$D$7:$D$64,$A16,'Argus Drop'!#REF!))</f>
        <v/>
      </c>
      <c r="CQ16" s="440" t="str">
        <f>IF(CP16="","",+SUMIF('Argus Drop'!$D$7:$D$64,$A16,'Argus Drop'!#REF!))</f>
        <v/>
      </c>
      <c r="CR16" s="440" t="str">
        <f>IF(CQ16="","",+SUMIF('Argus Drop'!$D$7:$D$64,$A16,'Argus Drop'!#REF!))</f>
        <v/>
      </c>
      <c r="CS16" s="440" t="str">
        <f>IF(CR16="","",+SUMIF('Argus Drop'!$D$7:$D$64,$A16,'Argus Drop'!#REF!))</f>
        <v/>
      </c>
      <c r="CT16" s="440" t="str">
        <f>IF(CS16="","",+SUMIF('Argus Drop'!$D$7:$D$64,$A16,'Argus Drop'!#REF!))</f>
        <v/>
      </c>
      <c r="CU16" s="440" t="str">
        <f>IF(CT16="","",+SUMIF('Argus Drop'!$D$7:$D$64,$A16,'Argus Drop'!#REF!))</f>
        <v/>
      </c>
      <c r="CV16" s="440" t="str">
        <f>IF(CU16="","",+SUMIF('Argus Drop'!$D$7:$D$64,$A16,'Argus Drop'!#REF!))</f>
        <v/>
      </c>
      <c r="CW16" s="440" t="str">
        <f>IF(CV16="","",+SUMIF('Argus Drop'!$D$7:$D$64,$A16,'Argus Drop'!#REF!))</f>
        <v/>
      </c>
      <c r="CX16" s="440" t="str">
        <f>IF(CW16="","",+SUMIF('Argus Drop'!$D$7:$D$64,$A16,'Argus Drop'!#REF!))</f>
        <v/>
      </c>
      <c r="CY16" s="440" t="str">
        <f>IF(CX16="","",+SUMIF('Argus Drop'!$D$7:$D$64,$A16,'Argus Drop'!#REF!))</f>
        <v/>
      </c>
      <c r="CZ16" s="440" t="str">
        <f>IF(CY16="","",+SUMIF('Argus Drop'!$D$7:$D$64,$A16,'Argus Drop'!#REF!))</f>
        <v/>
      </c>
      <c r="DA16" s="440" t="str">
        <f>IF(CZ16="","",+SUMIF('Argus Drop'!$D$7:$D$64,$A16,'Argus Drop'!#REF!))</f>
        <v/>
      </c>
      <c r="DB16" s="440" t="str">
        <f>IF(DA16="","",+SUMIF('Argus Drop'!$D$7:$D$64,$A16,'Argus Drop'!#REF!))</f>
        <v/>
      </c>
      <c r="DC16" s="440" t="str">
        <f>IF(DB16="","",+SUMIF('Argus Drop'!$D$7:$D$64,$A16,'Argus Drop'!#REF!))</f>
        <v/>
      </c>
      <c r="DD16" s="440" t="str">
        <f>IF(DC16="","",+SUMIF('Argus Drop'!$D$7:$D$64,$A16,'Argus Drop'!#REF!))</f>
        <v/>
      </c>
      <c r="DE16" s="440" t="str">
        <f>IF(DD16="","",+SUMIF('Argus Drop'!$D$7:$D$64,$A16,'Argus Drop'!#REF!))</f>
        <v/>
      </c>
      <c r="DF16" s="440" t="str">
        <f>IF(DE16="","",+SUMIF('Argus Drop'!$D$7:$D$64,$A16,'Argus Drop'!#REF!))</f>
        <v/>
      </c>
      <c r="DG16" s="440" t="str">
        <f>IF(DF16="","",+SUMIF('Argus Drop'!$D$7:$D$64,$A16,'Argus Drop'!#REF!))</f>
        <v/>
      </c>
      <c r="DH16" s="440" t="str">
        <f>IF(DG16="","",+SUMIF('Argus Drop'!$D$7:$D$64,$A16,'Argus Drop'!#REF!))</f>
        <v/>
      </c>
      <c r="DI16" s="440" t="str">
        <f>IF(DH16="","",+SUMIF('Argus Drop'!$D$7:$D$64,$A16,'Argus Drop'!#REF!))</f>
        <v/>
      </c>
      <c r="DJ16" s="440" t="str">
        <f>IF(DI16="","",+SUMIF('Argus Drop'!$D$7:$D$64,$A16,'Argus Drop'!#REF!))</f>
        <v/>
      </c>
      <c r="DK16" s="440" t="str">
        <f>IF(DJ16="","",+SUMIF('Argus Drop'!$D$7:$D$64,$A16,'Argus Drop'!#REF!))</f>
        <v/>
      </c>
      <c r="DL16" s="440" t="str">
        <f>IF(DK16="","",+SUMIF('Argus Drop'!$D$7:$D$64,$A16,'Argus Drop'!#REF!))</f>
        <v/>
      </c>
      <c r="DM16" s="440" t="str">
        <f>IF(DL16="","",+SUMIF('Argus Drop'!$D$7:$D$64,$A16,'Argus Drop'!#REF!))</f>
        <v/>
      </c>
      <c r="DN16" s="440" t="str">
        <f>IF(DM16="","",+SUMIF('Argus Drop'!$D$7:$D$64,$A16,'Argus Drop'!#REF!))</f>
        <v/>
      </c>
      <c r="DO16" s="440" t="str">
        <f>IF(DN16="","",+SUMIF('Argus Drop'!$D$7:$D$64,$A16,'Argus Drop'!#REF!))</f>
        <v/>
      </c>
      <c r="DP16" s="440" t="str">
        <f>IF(DO16="","",+SUMIF('Argus Drop'!$D$7:$D$64,$A16,'Argus Drop'!#REF!))</f>
        <v/>
      </c>
      <c r="DQ16" s="440" t="str">
        <f>IF(DP16="","",+SUMIF('Argus Drop'!$D$7:$D$64,$A16,'Argus Drop'!#REF!))</f>
        <v/>
      </c>
      <c r="DR16" s="440" t="str">
        <f>IF(DQ16="","",+SUMIF('Argus Drop'!$D$7:$D$64,$A16,'Argus Drop'!#REF!))</f>
        <v/>
      </c>
      <c r="DS16" s="440"/>
      <c r="DT16" s="440"/>
      <c r="DU16" s="440"/>
      <c r="DV16" s="440"/>
      <c r="DW16" s="440"/>
      <c r="DX16" s="440"/>
      <c r="DY16" s="440"/>
      <c r="DZ16" s="440"/>
      <c r="EA16" s="440"/>
      <c r="EB16" s="440"/>
      <c r="EC16" s="440"/>
      <c r="ED16" s="1419"/>
      <c r="EE16" s="1419"/>
      <c r="EF16" s="1419"/>
      <c r="EG16" s="1419"/>
      <c r="EH16" s="1419"/>
      <c r="EI16" s="1419"/>
      <c r="EJ16" s="1419"/>
      <c r="EK16" s="1419"/>
      <c r="EL16" s="1419"/>
      <c r="EM16" s="1419"/>
      <c r="EN16" s="1419"/>
      <c r="EO16" s="1419"/>
      <c r="EP16" s="1419"/>
      <c r="EQ16" s="1419"/>
      <c r="ER16" s="1419"/>
      <c r="ES16" s="1419"/>
      <c r="ET16" s="1419"/>
      <c r="EU16" s="1419"/>
      <c r="EV16" s="1419"/>
      <c r="EW16" s="1419"/>
      <c r="EX16" s="1419"/>
      <c r="EY16" s="1419"/>
      <c r="EZ16" s="1419"/>
      <c r="FA16" s="1419"/>
      <c r="FB16" s="1419"/>
      <c r="FC16" s="1419"/>
      <c r="FD16" s="1419"/>
      <c r="FE16" s="1419"/>
      <c r="FF16" s="1419"/>
      <c r="FG16" s="1419"/>
      <c r="FH16" s="1419"/>
      <c r="FI16" s="1419"/>
    </row>
    <row r="17" spans="1:165">
      <c r="A17" s="448">
        <f>IF(+'Argus Drop'!B17="","",'Argus Drop'!B17)</f>
        <v>22</v>
      </c>
      <c r="B17" s="440">
        <f>SUMIF('Argus Drop'!$D:$D,$A17,'Argus Drop'!F:F)</f>
        <v>232274</v>
      </c>
      <c r="C17" s="440">
        <f>SUMIF('Argus Drop'!$D:$D,$A17,'Argus Drop'!G:G)</f>
        <v>260430</v>
      </c>
      <c r="D17" s="440">
        <f>SUMIF('Argus Drop'!$D:$D,$A17,'Argus Drop'!H:H)</f>
        <v>260430</v>
      </c>
      <c r="E17" s="440">
        <f>SUMIF('Argus Drop'!$D:$D,$A17,'Argus Drop'!I:I)</f>
        <v>264213</v>
      </c>
      <c r="F17" s="440">
        <f>SUMIF('Argus Drop'!$D:$D,$A17,'Argus Drop'!J:J)</f>
        <v>264213</v>
      </c>
      <c r="G17" s="440">
        <f>SUMIF('Argus Drop'!$D:$D,$A17,'Argus Drop'!K:K)</f>
        <v>264705</v>
      </c>
      <c r="H17" s="440">
        <f>SUMIF('Argus Drop'!$D:$D,$A17,'Argus Drop'!L:L)</f>
        <v>264705</v>
      </c>
      <c r="I17" s="440">
        <f>SUMIF('Argus Drop'!$D:$D,$A17,'Argus Drop'!M:M)</f>
        <v>277373</v>
      </c>
      <c r="J17" s="440">
        <f>SUMIF('Argus Drop'!$D:$D,$A17,'Argus Drop'!N:N)</f>
        <v>278419</v>
      </c>
      <c r="K17" s="440">
        <f>SUMIF('Argus Drop'!$D:$D,$A17,'Argus Drop'!O:O)</f>
        <v>257940</v>
      </c>
      <c r="L17" s="440">
        <f>SUMIF('Argus Drop'!$D:$D,$A17,'Argus Drop'!P:P)</f>
        <v>239773</v>
      </c>
      <c r="M17" s="440">
        <f>SUMIF('Argus Drop'!$D:$D,$A17,'Argus Drop'!Q:Q)</f>
        <v>286431</v>
      </c>
      <c r="N17" s="440">
        <f>SUMIF('Argus Drop'!$D:$D,$A17,'Argus Drop'!R:R)</f>
        <v>282775</v>
      </c>
      <c r="O17" s="440">
        <f>SUMIF('Argus Drop'!$D:$D,$A17,'Argus Drop'!S:S)</f>
        <v>290413</v>
      </c>
      <c r="P17" s="440">
        <f>SUMIF('Argus Drop'!$D:$D,$A17,'Argus Drop'!T:T)</f>
        <v>290413</v>
      </c>
      <c r="Q17" s="440">
        <f>SUMIF('Argus Drop'!$D:$D,$A17,'Argus Drop'!U:U)</f>
        <v>264200</v>
      </c>
      <c r="R17" s="440">
        <f>SUMIF('Argus Drop'!$D:$D,$A17,'Argus Drop'!V:V)</f>
        <v>291939</v>
      </c>
      <c r="S17" s="440">
        <f>SUMIF('Argus Drop'!$D:$D,$A17,'Argus Drop'!W:W)</f>
        <v>265909</v>
      </c>
      <c r="T17" s="440">
        <f>SUMIF('Argus Drop'!$D:$D,$A17,'Argus Drop'!X:X)</f>
        <v>291139</v>
      </c>
      <c r="U17" s="440">
        <f>SUMIF('Argus Drop'!$D:$D,$A17,'Argus Drop'!Y:Y)</f>
        <v>312750</v>
      </c>
      <c r="V17" s="440">
        <f>SUMIF('Argus Drop'!$D:$D,$A17,'Argus Drop'!Z:Z)</f>
        <v>356247</v>
      </c>
      <c r="W17" s="440">
        <f>SUMIF('Argus Drop'!$D:$D,$A17,'Argus Drop'!AA:AA)</f>
        <v>356247</v>
      </c>
      <c r="X17" s="440">
        <f>SUMIF('Argus Drop'!$D:$D,$A17,'Argus Drop'!AB:AB)</f>
        <v>356804</v>
      </c>
      <c r="Y17" s="440">
        <f>SUMIF('Argus Drop'!$D:$D,$A17,'Argus Drop'!AC:AC)</f>
        <v>357709</v>
      </c>
      <c r="Z17" s="440">
        <f>SUMIF('Argus Drop'!$D:$D,$A17,'Argus Drop'!AD:AD)</f>
        <v>358463</v>
      </c>
      <c r="AA17" s="440">
        <f>SUMIF('Argus Drop'!$D:$D,$A17,'Argus Drop'!AE:AE)</f>
        <v>359361</v>
      </c>
      <c r="AB17" s="440">
        <f>SUMIF('Argus Drop'!$D:$D,$A17,'Argus Drop'!AF:AF)</f>
        <v>359959</v>
      </c>
      <c r="AC17" s="440">
        <f>SUMIF('Argus Drop'!$D:$D,$A17,'Argus Drop'!AG:AG)</f>
        <v>364687</v>
      </c>
      <c r="AD17" s="440">
        <f>SUMIF('Argus Drop'!$D:$D,$A17,'Argus Drop'!AH:AH)</f>
        <v>365250</v>
      </c>
      <c r="AE17" s="440">
        <f>SUMIF('Argus Drop'!$D:$D,$A17,'Argus Drop'!AI:AI)</f>
        <v>365250</v>
      </c>
      <c r="AF17" s="440">
        <f>SUMIF('Argus Drop'!$D:$D,$A17,'Argus Drop'!AJ:AJ)</f>
        <v>365745</v>
      </c>
      <c r="AG17" s="440">
        <f>SUMIF('Argus Drop'!$D:$D,$A17,'Argus Drop'!AK:AK)</f>
        <v>355175</v>
      </c>
      <c r="AH17" s="440">
        <f>SUMIF('Argus Drop'!$D:$D,$A17,'Argus Drop'!AL:AL)</f>
        <v>365650</v>
      </c>
      <c r="AI17" s="440">
        <f>SUMIF('Argus Drop'!$D:$D,$A17,'Argus Drop'!AM:AM)</f>
        <v>365650</v>
      </c>
      <c r="AJ17" s="440">
        <f>SUMIF('Argus Drop'!$D:$D,$A17,'Argus Drop'!AN:AN)</f>
        <v>366224</v>
      </c>
      <c r="AK17" s="440">
        <f>SUMIF('Argus Drop'!$D:$D,$A17,'Argus Drop'!AO:AO)</f>
        <v>367156</v>
      </c>
      <c r="AL17" s="440">
        <f>SUMIF('Argus Drop'!$D:$D,$A17,'Argus Drop'!AP:AP)</f>
        <v>367933</v>
      </c>
      <c r="AM17" s="440">
        <f>SUMIF('Argus Drop'!$D:$D,$A17,'Argus Drop'!AQ:AQ)</f>
        <v>368866</v>
      </c>
      <c r="AN17" s="440">
        <f>SUMIF('Argus Drop'!$D:$D,$A17,'Argus Drop'!AR:AR)</f>
        <v>369554</v>
      </c>
      <c r="AO17" s="440">
        <f>SUMIF('Argus Drop'!$D:$D,$A17,'Argus Drop'!AS:AS)</f>
        <v>372690</v>
      </c>
      <c r="AP17" s="440">
        <f>SUMIF('Argus Drop'!$D:$D,$A17,'Argus Drop'!AT:AT)</f>
        <v>373269</v>
      </c>
      <c r="AQ17" s="440">
        <f>SUMIF('Argus Drop'!$D:$D,$A17,'Argus Drop'!AU:AU)</f>
        <v>373269</v>
      </c>
      <c r="AR17" s="440">
        <f>SUMIF('Argus Drop'!$D:$D,$A17,'Argus Drop'!AV:AV)</f>
        <v>373779</v>
      </c>
      <c r="AS17" s="440">
        <f>SUMIF('Argus Drop'!$D:$D,$A17,'Argus Drop'!AW:AW)</f>
        <v>374214</v>
      </c>
      <c r="AT17" s="440">
        <f>SUMIF('Argus Drop'!$D:$D,$A17,'Argus Drop'!AX:AX)</f>
        <v>375271</v>
      </c>
      <c r="AU17" s="440">
        <f>SUMIF('Argus Drop'!$D:$D,$A17,'Argus Drop'!AY:AY)</f>
        <v>375271</v>
      </c>
      <c r="AV17" s="440">
        <f>SUMIF('Argus Drop'!$D:$D,$A17,'Argus Drop'!AZ:AZ)</f>
        <v>375862</v>
      </c>
      <c r="AW17" s="440">
        <f>SUMIF('Argus Drop'!$D:$D,$A17,'Argus Drop'!BA:BA)</f>
        <v>376822</v>
      </c>
      <c r="AX17" s="440">
        <f>SUMIF('Argus Drop'!$D:$D,$A17,'Argus Drop'!BB:BB)</f>
        <v>356019</v>
      </c>
      <c r="AY17" s="440">
        <f>SUMIF('Argus Drop'!$D:$D,$A17,'Argus Drop'!BC:BC)</f>
        <v>345277</v>
      </c>
      <c r="AZ17" s="440">
        <f>SUMIF('Argus Drop'!$D:$D,$A17,'Argus Drop'!BD:BD)</f>
        <v>377574</v>
      </c>
      <c r="BA17" s="440">
        <f>SUMIF('Argus Drop'!$D:$D,$A17,'Argus Drop'!BE:BE)</f>
        <v>382292</v>
      </c>
      <c r="BB17" s="440">
        <f>SUMIF('Argus Drop'!$D:$D,$A17,'Argus Drop'!BF:BF)</f>
        <v>382889</v>
      </c>
      <c r="BC17" s="440">
        <f>SUMIF('Argus Drop'!$D:$D,$A17,'Argus Drop'!BG:BG)</f>
        <v>382889</v>
      </c>
      <c r="BD17" s="440">
        <f>SUMIF('Argus Drop'!$D:$D,$A17,'Argus Drop'!BH:BH)</f>
        <v>383415</v>
      </c>
      <c r="BE17" s="440">
        <f>SUMIF('Argus Drop'!$D:$D,$A17,'Argus Drop'!BI:BI)</f>
        <v>383862</v>
      </c>
      <c r="BF17" s="440">
        <f>SUMIF('Argus Drop'!$D:$D,$A17,'Argus Drop'!BJ:BJ)</f>
        <v>384951</v>
      </c>
      <c r="BG17" s="440">
        <f>SUMIF('Argus Drop'!$D:$D,$A17,'Argus Drop'!BK:BK)</f>
        <v>384951</v>
      </c>
      <c r="BH17" s="440">
        <f>SUMIF('Argus Drop'!$D:$D,$A17,'Argus Drop'!BL:BL)</f>
        <v>385560</v>
      </c>
      <c r="BI17" s="440">
        <f>SUMIF('Argus Drop'!$D:$D,$A17,'Argus Drop'!BM:BM)</f>
        <v>386868</v>
      </c>
      <c r="BJ17" s="440">
        <f>SUMIF('Argus Drop'!$D:$D,$A17,'Argus Drop'!BN:BN)</f>
        <v>366302</v>
      </c>
      <c r="BK17" s="440">
        <f>SUMIF('Argus Drop'!$D:$D,$A17,'Argus Drop'!BO:BO)</f>
        <v>383313</v>
      </c>
      <c r="BL17" s="440">
        <f>SUMIF('Argus Drop'!$D:$D,$A17,'Argus Drop'!BP:BP)</f>
        <v>384587</v>
      </c>
      <c r="BM17" s="440">
        <f>SUMIF('Argus Drop'!$D:$D,$A17,'Argus Drop'!BQ:BQ)</f>
        <v>389163</v>
      </c>
      <c r="BN17" s="440">
        <f>SUMIF('Argus Drop'!$D:$D,$A17,'Argus Drop'!BR:BR)</f>
        <v>389778</v>
      </c>
      <c r="BO17" s="440">
        <f>SUMIF('Argus Drop'!$D:$D,$A17,'Argus Drop'!BS:BS)</f>
        <v>389778</v>
      </c>
      <c r="BP17" s="440">
        <f>SUMIF('Argus Drop'!$D:$D,$A17,'Argus Drop'!BT:BT)</f>
        <v>390319</v>
      </c>
      <c r="BQ17" s="440">
        <f>SUMIF('Argus Drop'!$D:$D,$A17,'Argus Drop'!BU:BU)</f>
        <v>376353</v>
      </c>
      <c r="BR17" s="440">
        <f>SUMIF('Argus Drop'!$D:$D,$A17,'Argus Drop'!BV:BV)</f>
        <v>366290</v>
      </c>
      <c r="BS17" s="440">
        <f>SUMIF('Argus Drop'!$D:$D,$A17,'Argus Drop'!BW:BW)</f>
        <v>388002</v>
      </c>
      <c r="BT17" s="440">
        <f>SUMIF('Argus Drop'!$D:$D,$A17,'Argus Drop'!BX:BX)</f>
        <v>356157</v>
      </c>
      <c r="BU17" s="440">
        <f>SUMIF('Argus Drop'!$D:$D,$A17,'Argus Drop'!BY:BY)</f>
        <v>332689</v>
      </c>
      <c r="BV17" s="440">
        <f>SUMIF('Argus Drop'!$D:$D,$A17,'Argus Drop'!BZ:BZ)</f>
        <v>381885</v>
      </c>
      <c r="BW17" s="440">
        <f>SUMIF('Argus Drop'!$D:$D,$A17,'Argus Drop'!CA:CA)</f>
        <v>382679</v>
      </c>
      <c r="BX17" s="440">
        <f>SUMIF('Argus Drop'!$D:$D,$A17,'Argus Drop'!CB:CB)</f>
        <v>383320</v>
      </c>
      <c r="BY17" s="440">
        <f>SUMIF('Argus Drop'!$D:$D,$A17,'Argus Drop'!CC:CC)</f>
        <v>387647</v>
      </c>
      <c r="BZ17" s="440">
        <f>SUMIF('Argus Drop'!$D:$D,$A17,'Argus Drop'!CD:CD)</f>
        <v>355235</v>
      </c>
      <c r="CA17" s="440">
        <f>SUMIF('Argus Drop'!$D:$D,$A17,'Argus Drop'!CE:CE)</f>
        <v>385294</v>
      </c>
      <c r="CB17" s="440">
        <f>SUMIF('Argus Drop'!$D:$D,$A17,'Argus Drop'!CF:CF)</f>
        <v>356769</v>
      </c>
      <c r="CC17" s="440">
        <f>SUMIF('Argus Drop'!$D:$D,$A17,'Argus Drop'!CG:CG)</f>
        <v>383449</v>
      </c>
      <c r="CD17" s="440">
        <f>SUMIF('Argus Drop'!$D:$D,$A17,'Argus Drop'!CH:CH)</f>
        <v>319732</v>
      </c>
      <c r="CE17" s="440">
        <f>SUMIF('Argus Drop'!$D:$D,$A17,'Argus Drop'!CI:CI)</f>
        <v>339702</v>
      </c>
      <c r="CF17" s="440">
        <f>SUMIF('Argus Drop'!$D:$D,$A17,'Argus Drop'!CJ:CJ)</f>
        <v>373935</v>
      </c>
      <c r="CG17" s="440">
        <f>SUMIF('Argus Drop'!$D:$D,$A17,'Argus Drop'!CK:CK)</f>
        <v>374492</v>
      </c>
      <c r="CH17" s="440">
        <f>SUMIF('Argus Drop'!$D:$D,$A17,'Argus Drop'!CL:CL)</f>
        <v>375397</v>
      </c>
      <c r="CI17" s="440">
        <f>SUMIF('Argus Drop'!$D:$D,$A17,'Argus Drop'!CM:CM)</f>
        <v>376214</v>
      </c>
      <c r="CJ17" s="440">
        <f>SUMIF('Argus Drop'!$D:$D,$A17,'Argus Drop'!CN:CN)</f>
        <v>376875</v>
      </c>
      <c r="CK17" s="440">
        <f>SUMIF('Argus Drop'!$D:$D,$A17,'Argus Drop'!CO:CO)</f>
        <v>381901</v>
      </c>
      <c r="CL17" s="440">
        <f>SUMIF('Argus Drop'!$D:$D,$A17,'Argus Drop'!CP:CP)</f>
        <v>381901</v>
      </c>
      <c r="CM17" s="440">
        <f>SUMIF('Argus Drop'!$D:$D,$A17,'Argus Drop'!CQ:CQ)</f>
        <v>382464</v>
      </c>
      <c r="CN17" s="440">
        <f>SUMIF('Argus Drop'!$D:$D,$A17,'Argus Drop'!CR:CR)</f>
        <v>382464</v>
      </c>
      <c r="CO17" s="440">
        <f>SUMIF('Argus Drop'!$D:$D,$A17,'Argus Drop'!CS:CS)</f>
        <v>383192</v>
      </c>
      <c r="CP17" s="440">
        <f>SUMIF('Argus Drop'!$D:$D,$A17,'Argus Drop'!CT:CT)</f>
        <v>372704</v>
      </c>
      <c r="CQ17" s="440">
        <f>SUMIF('Argus Drop'!$D:$D,$A17,'Argus Drop'!CU:CU)</f>
        <v>383506</v>
      </c>
      <c r="CR17" s="440">
        <f>SUMIF('Argus Drop'!$D:$D,$A17,'Argus Drop'!CV:CV)</f>
        <v>383864</v>
      </c>
      <c r="CS17" s="440">
        <f>SUMIF('Argus Drop'!$D:$D,$A17,'Argus Drop'!CW:CW)</f>
        <v>384438</v>
      </c>
      <c r="CT17" s="440">
        <f>SUMIF('Argus Drop'!$D:$D,$A17,'Argus Drop'!CX:CX)</f>
        <v>385370</v>
      </c>
      <c r="CU17" s="440">
        <f>SUMIF('Argus Drop'!$D:$D,$A17,'Argus Drop'!CY:CY)</f>
        <v>386211</v>
      </c>
      <c r="CV17" s="440">
        <f>SUMIF('Argus Drop'!$D:$D,$A17,'Argus Drop'!CZ:CZ)</f>
        <v>387602</v>
      </c>
      <c r="CW17" s="440">
        <f>SUMIF('Argus Drop'!$D:$D,$A17,'Argus Drop'!DA:DA)</f>
        <v>392756</v>
      </c>
      <c r="CX17" s="440">
        <f>SUMIF('Argus Drop'!$D:$D,$A17,'Argus Drop'!DB:DB)</f>
        <v>392756</v>
      </c>
      <c r="CY17" s="440">
        <f>SUMIF('Argus Drop'!$D:$D,$A17,'Argus Drop'!DC:DC)</f>
        <v>393335</v>
      </c>
      <c r="CZ17" s="440">
        <f>SUMIF('Argus Drop'!$D:$D,$A17,'Argus Drop'!DD:DD)</f>
        <v>393335</v>
      </c>
      <c r="DA17" s="440">
        <f>SUMIF('Argus Drop'!$D:$D,$A17,'Argus Drop'!DE:DE)</f>
        <v>394085</v>
      </c>
      <c r="DB17" s="440">
        <f>SUMIF('Argus Drop'!$D:$D,$A17,'Argus Drop'!DF:DF)</f>
        <v>394411</v>
      </c>
      <c r="DC17" s="440">
        <f>SUMIF('Argus Drop'!$D:$D,$A17,'Argus Drop'!DG:DG)</f>
        <v>395350</v>
      </c>
      <c r="DD17" s="440">
        <f>SUMIF('Argus Drop'!$D:$D,$A17,'Argus Drop'!DH:DH)</f>
        <v>395719</v>
      </c>
      <c r="DE17" s="440">
        <f>SUMIF('Argus Drop'!$D:$D,$A17,'Argus Drop'!DI:DI)</f>
        <v>396311</v>
      </c>
      <c r="DF17" s="440">
        <f>SUMIF('Argus Drop'!$D:$D,$A17,'Argus Drop'!DJ:DJ)</f>
        <v>397270</v>
      </c>
      <c r="DG17" s="440">
        <f>SUMIF('Argus Drop'!$D:$D,$A17,'Argus Drop'!DK:DK)</f>
        <v>368175</v>
      </c>
      <c r="DH17" s="440">
        <f>SUMIF('Argus Drop'!$D:$D,$A17,'Argus Drop'!DL:DL)</f>
        <v>358964</v>
      </c>
      <c r="DI17" s="440">
        <f>SUMIF('Argus Drop'!$D:$D,$A17,'Argus Drop'!DM:DM)</f>
        <v>396924</v>
      </c>
      <c r="DJ17" s="440">
        <f>SUMIF('Argus Drop'!$D:$D,$A17,'Argus Drop'!DN:DN)</f>
        <v>396924</v>
      </c>
      <c r="DK17" s="440">
        <f>SUMIF('Argus Drop'!$D:$D,$A17,'Argus Drop'!DO:DO)</f>
        <v>397521</v>
      </c>
      <c r="DL17" s="440">
        <f>SUMIF('Argus Drop'!$D:$D,$A17,'Argus Drop'!DP:DP)</f>
        <v>397521</v>
      </c>
      <c r="DM17" s="440">
        <f>SUMIF('Argus Drop'!$D:$D,$A17,'Argus Drop'!DQ:DQ)</f>
        <v>398293</v>
      </c>
      <c r="DN17" s="440">
        <f>SUMIF('Argus Drop'!$D:$D,$A17,'Argus Drop'!DR:DR)</f>
        <v>398629</v>
      </c>
      <c r="DO17" s="440">
        <f>SUMIF('Argus Drop'!$D:$D,$A17,'Argus Drop'!DS:DS)</f>
        <v>399596</v>
      </c>
      <c r="DP17" s="440">
        <f>SUMIF('Argus Drop'!$D:$D,$A17,'Argus Drop'!DT:DT)</f>
        <v>399976</v>
      </c>
      <c r="DQ17" s="440">
        <f>SUMIF('Argus Drop'!$D:$D,$A17,'Argus Drop'!DU:DU)</f>
        <v>394417</v>
      </c>
      <c r="DR17" s="440">
        <f>SUMIF('Argus Drop'!$D:$D,$A17,'Argus Drop'!DV:DV)</f>
        <v>400904</v>
      </c>
      <c r="DS17" s="440"/>
      <c r="DT17" s="440"/>
      <c r="DU17" s="440"/>
      <c r="DV17" s="440"/>
      <c r="DW17" s="440"/>
      <c r="DX17" s="440"/>
      <c r="DY17" s="440"/>
      <c r="DZ17" s="440"/>
      <c r="EA17" s="440"/>
      <c r="EB17" s="440"/>
      <c r="EC17" s="440"/>
      <c r="ED17" s="1419"/>
      <c r="EE17" s="1419"/>
      <c r="EF17" s="1419"/>
      <c r="EG17" s="1419"/>
      <c r="EH17" s="1419"/>
      <c r="EI17" s="1419"/>
      <c r="EJ17" s="1419"/>
      <c r="EK17" s="1419"/>
      <c r="EL17" s="1419"/>
      <c r="EM17" s="1419"/>
      <c r="EN17" s="1419"/>
      <c r="EO17" s="1419"/>
      <c r="EP17" s="1419"/>
      <c r="EQ17" s="1419"/>
      <c r="ER17" s="1419"/>
      <c r="ES17" s="1419"/>
      <c r="ET17" s="1419"/>
      <c r="EU17" s="1419"/>
      <c r="EV17" s="1419"/>
      <c r="EW17" s="1419"/>
      <c r="EX17" s="1419"/>
      <c r="EY17" s="1419"/>
      <c r="EZ17" s="1419"/>
      <c r="FA17" s="1419"/>
      <c r="FB17" s="1419"/>
      <c r="FC17" s="1419"/>
      <c r="FD17" s="1419"/>
      <c r="FE17" s="1419"/>
      <c r="FF17" s="1419"/>
      <c r="FG17" s="1419"/>
      <c r="FH17" s="1419"/>
      <c r="FI17" s="1419"/>
    </row>
    <row r="18" spans="1:165">
      <c r="A18" s="448" t="str">
        <f>IF(+'Argus Drop'!B18="","",'Argus Drop'!B18)</f>
        <v/>
      </c>
      <c r="B18" s="440" t="str">
        <f>IF(A18="","",+SUMIF('Argus Drop'!$D$7:$D$64,$A18,'Argus Drop'!#REF!))</f>
        <v/>
      </c>
      <c r="C18" s="440" t="str">
        <f>IF(B18="","",+SUMIF('Argus Drop'!$D$7:$D$64,$A18,'Argus Drop'!#REF!))</f>
        <v/>
      </c>
      <c r="D18" s="440" t="str">
        <f>IF(C18="","",+SUMIF('Argus Drop'!$D$7:$D$64,$A18,'Argus Drop'!#REF!))</f>
        <v/>
      </c>
      <c r="E18" s="440" t="str">
        <f>IF(D18="","",+SUMIF('Argus Drop'!$D$7:$D$64,$A18,'Argus Drop'!#REF!))</f>
        <v/>
      </c>
      <c r="F18" s="440" t="str">
        <f>IF(E18="","",+SUMIF('Argus Drop'!$D$7:$D$64,$A18,'Argus Drop'!#REF!))</f>
        <v/>
      </c>
      <c r="G18" s="440" t="str">
        <f>IF(F18="","",+SUMIF('Argus Drop'!$D$7:$D$64,$A18,'Argus Drop'!#REF!))</f>
        <v/>
      </c>
      <c r="H18" s="440" t="str">
        <f>IF(G18="","",+SUMIF('Argus Drop'!$D$7:$D$64,$A18,'Argus Drop'!#REF!))</f>
        <v/>
      </c>
      <c r="I18" s="440" t="str">
        <f>IF(H18="","",+SUMIF('Argus Drop'!$D$7:$D$64,$A18,'Argus Drop'!#REF!))</f>
        <v/>
      </c>
      <c r="J18" s="440" t="str">
        <f>IF(I18="","",+SUMIF('Argus Drop'!$D$7:$D$64,$A18,'Argus Drop'!#REF!))</f>
        <v/>
      </c>
      <c r="K18" s="440" t="str">
        <f>IF(J18="","",+SUMIF('Argus Drop'!$D$7:$D$64,$A18,'Argus Drop'!#REF!))</f>
        <v/>
      </c>
      <c r="L18" s="440" t="str">
        <f>IF(K18="","",+SUMIF('Argus Drop'!$D$7:$D$64,$A18,'Argus Drop'!#REF!))</f>
        <v/>
      </c>
      <c r="M18" s="440" t="str">
        <f>IF(L18="","",+SUMIF('Argus Drop'!$D$7:$D$64,$A18,'Argus Drop'!#REF!))</f>
        <v/>
      </c>
      <c r="N18" s="440" t="str">
        <f>IF(M18="","",+SUMIF('Argus Drop'!$D$7:$D$64,$A18,'Argus Drop'!#REF!))</f>
        <v/>
      </c>
      <c r="O18" s="440" t="str">
        <f>IF(N18="","",+SUMIF('Argus Drop'!$D$7:$D$64,$A18,'Argus Drop'!#REF!))</f>
        <v/>
      </c>
      <c r="P18" s="440" t="str">
        <f>IF(O18="","",+SUMIF('Argus Drop'!$D$7:$D$64,$A18,'Argus Drop'!#REF!))</f>
        <v/>
      </c>
      <c r="Q18" s="440" t="str">
        <f>IF(P18="","",+SUMIF('Argus Drop'!$D$7:$D$64,$A18,'Argus Drop'!#REF!))</f>
        <v/>
      </c>
      <c r="R18" s="440" t="str">
        <f>IF(Q18="","",+SUMIF('Argus Drop'!$D$7:$D$64,$A18,'Argus Drop'!#REF!))</f>
        <v/>
      </c>
      <c r="S18" s="440" t="str">
        <f>IF(R18="","",+SUMIF('Argus Drop'!$D$7:$D$64,$A18,'Argus Drop'!#REF!))</f>
        <v/>
      </c>
      <c r="T18" s="440" t="str">
        <f>IF(S18="","",+SUMIF('Argus Drop'!$D$7:$D$64,$A18,'Argus Drop'!#REF!))</f>
        <v/>
      </c>
      <c r="U18" s="440" t="str">
        <f>IF(T18="","",+SUMIF('Argus Drop'!$D$7:$D$64,$A18,'Argus Drop'!#REF!))</f>
        <v/>
      </c>
      <c r="V18" s="440" t="str">
        <f>IF(U18="","",+SUMIF('Argus Drop'!$D$7:$D$64,$A18,'Argus Drop'!#REF!))</f>
        <v/>
      </c>
      <c r="W18" s="440" t="str">
        <f>IF(V18="","",+SUMIF('Argus Drop'!$D$7:$D$64,$A18,'Argus Drop'!#REF!))</f>
        <v/>
      </c>
      <c r="X18" s="440" t="str">
        <f>IF(W18="","",+SUMIF('Argus Drop'!$D$7:$D$64,$A18,'Argus Drop'!#REF!))</f>
        <v/>
      </c>
      <c r="Y18" s="440" t="str">
        <f>IF(X18="","",+SUMIF('Argus Drop'!$D$7:$D$64,$A18,'Argus Drop'!#REF!))</f>
        <v/>
      </c>
      <c r="Z18" s="440" t="str">
        <f>IF(Y18="","",+SUMIF('Argus Drop'!$D$7:$D$64,$A18,'Argus Drop'!#REF!))</f>
        <v/>
      </c>
      <c r="AA18" s="440" t="str">
        <f>IF(Z18="","",+SUMIF('Argus Drop'!$D$7:$D$64,$A18,'Argus Drop'!#REF!))</f>
        <v/>
      </c>
      <c r="AB18" s="440" t="str">
        <f>IF(AA18="","",+SUMIF('Argus Drop'!$D$7:$D$64,$A18,'Argus Drop'!#REF!))</f>
        <v/>
      </c>
      <c r="AC18" s="440" t="str">
        <f>IF(AB18="","",+SUMIF('Argus Drop'!$D$7:$D$64,$A18,'Argus Drop'!#REF!))</f>
        <v/>
      </c>
      <c r="AD18" s="440" t="str">
        <f>IF(AC18="","",+SUMIF('Argus Drop'!$D$7:$D$64,$A18,'Argus Drop'!#REF!))</f>
        <v/>
      </c>
      <c r="AE18" s="440" t="str">
        <f>IF(AD18="","",+SUMIF('Argus Drop'!$D$7:$D$64,$A18,'Argus Drop'!#REF!))</f>
        <v/>
      </c>
      <c r="AF18" s="440" t="str">
        <f>IF(AE18="","",+SUMIF('Argus Drop'!$D$7:$D$64,$A18,'Argus Drop'!#REF!))</f>
        <v/>
      </c>
      <c r="AG18" s="440" t="str">
        <f>IF(AF18="","",+SUMIF('Argus Drop'!$D$7:$D$64,$A18,'Argus Drop'!#REF!))</f>
        <v/>
      </c>
      <c r="AH18" s="440" t="str">
        <f>IF(AG18="","",+SUMIF('Argus Drop'!$D$7:$D$64,$A18,'Argus Drop'!#REF!))</f>
        <v/>
      </c>
      <c r="AI18" s="440" t="str">
        <f>IF(AH18="","",+SUMIF('Argus Drop'!$D$7:$D$64,$A18,'Argus Drop'!#REF!))</f>
        <v/>
      </c>
      <c r="AJ18" s="440" t="str">
        <f>IF(AI18="","",+SUMIF('Argus Drop'!$D$7:$D$64,$A18,'Argus Drop'!#REF!))</f>
        <v/>
      </c>
      <c r="AK18" s="440" t="str">
        <f>IF(AJ18="","",+SUMIF('Argus Drop'!$D$7:$D$64,$A18,'Argus Drop'!#REF!))</f>
        <v/>
      </c>
      <c r="AL18" s="440" t="str">
        <f>IF(AK18="","",+SUMIF('Argus Drop'!$D$7:$D$64,$A18,'Argus Drop'!#REF!))</f>
        <v/>
      </c>
      <c r="AM18" s="440" t="str">
        <f>IF(AL18="","",+SUMIF('Argus Drop'!$D$7:$D$64,$A18,'Argus Drop'!#REF!))</f>
        <v/>
      </c>
      <c r="AN18" s="440" t="str">
        <f>IF(AM18="","",+SUMIF('Argus Drop'!$D$7:$D$64,$A18,'Argus Drop'!#REF!))</f>
        <v/>
      </c>
      <c r="AO18" s="440" t="str">
        <f>IF(AN18="","",+SUMIF('Argus Drop'!$D$7:$D$64,$A18,'Argus Drop'!#REF!))</f>
        <v/>
      </c>
      <c r="AP18" s="440" t="str">
        <f>IF(AO18="","",+SUMIF('Argus Drop'!$D$7:$D$64,$A18,'Argus Drop'!#REF!))</f>
        <v/>
      </c>
      <c r="AQ18" s="440" t="str">
        <f>IF(AP18="","",+SUMIF('Argus Drop'!$D$7:$D$64,$A18,'Argus Drop'!#REF!))</f>
        <v/>
      </c>
      <c r="AR18" s="440" t="str">
        <f>IF(AQ18="","",+SUMIF('Argus Drop'!$D$7:$D$64,$A18,'Argus Drop'!#REF!))</f>
        <v/>
      </c>
      <c r="AS18" s="440" t="str">
        <f>IF(AR18="","",+SUMIF('Argus Drop'!$D$7:$D$64,$A18,'Argus Drop'!#REF!))</f>
        <v/>
      </c>
      <c r="AT18" s="440" t="str">
        <f>IF(AS18="","",+SUMIF('Argus Drop'!$D$7:$D$64,$A18,'Argus Drop'!#REF!))</f>
        <v/>
      </c>
      <c r="AU18" s="440" t="str">
        <f>IF(AT18="","",+SUMIF('Argus Drop'!$D$7:$D$64,$A18,'Argus Drop'!#REF!))</f>
        <v/>
      </c>
      <c r="AV18" s="440" t="str">
        <f>IF(AU18="","",+SUMIF('Argus Drop'!$D$7:$D$64,$A18,'Argus Drop'!#REF!))</f>
        <v/>
      </c>
      <c r="AW18" s="440" t="str">
        <f>IF(AV18="","",+SUMIF('Argus Drop'!$D$7:$D$64,$A18,'Argus Drop'!#REF!))</f>
        <v/>
      </c>
      <c r="AX18" s="440" t="str">
        <f>IF(AW18="","",+SUMIF('Argus Drop'!$D$7:$D$64,$A18,'Argus Drop'!#REF!))</f>
        <v/>
      </c>
      <c r="AY18" s="440" t="str">
        <f>IF(AX18="","",+SUMIF('Argus Drop'!$D$7:$D$64,$A18,'Argus Drop'!#REF!))</f>
        <v/>
      </c>
      <c r="AZ18" s="440" t="str">
        <f>IF(AY18="","",+SUMIF('Argus Drop'!$D$7:$D$64,$A18,'Argus Drop'!#REF!))</f>
        <v/>
      </c>
      <c r="BA18" s="440" t="str">
        <f>IF(AZ18="","",+SUMIF('Argus Drop'!$D$7:$D$64,$A18,'Argus Drop'!#REF!))</f>
        <v/>
      </c>
      <c r="BB18" s="440" t="str">
        <f>IF(BA18="","",+SUMIF('Argus Drop'!$D$7:$D$64,$A18,'Argus Drop'!#REF!))</f>
        <v/>
      </c>
      <c r="BC18" s="440" t="str">
        <f>IF(BB18="","",+SUMIF('Argus Drop'!$D$7:$D$64,$A18,'Argus Drop'!#REF!))</f>
        <v/>
      </c>
      <c r="BD18" s="440" t="str">
        <f>IF(BC18="","",+SUMIF('Argus Drop'!$D$7:$D$64,$A18,'Argus Drop'!#REF!))</f>
        <v/>
      </c>
      <c r="BE18" s="440" t="str">
        <f>IF(BD18="","",+SUMIF('Argus Drop'!$D$7:$D$64,$A18,'Argus Drop'!#REF!))</f>
        <v/>
      </c>
      <c r="BF18" s="440" t="str">
        <f>IF(BE18="","",+SUMIF('Argus Drop'!$D$7:$D$64,$A18,'Argus Drop'!#REF!))</f>
        <v/>
      </c>
      <c r="BG18" s="440" t="str">
        <f>IF(BF18="","",+SUMIF('Argus Drop'!$D$7:$D$64,$A18,'Argus Drop'!#REF!))</f>
        <v/>
      </c>
      <c r="BH18" s="440" t="str">
        <f>IF(BG18="","",+SUMIF('Argus Drop'!$D$7:$D$64,$A18,'Argus Drop'!#REF!))</f>
        <v/>
      </c>
      <c r="BI18" s="440" t="str">
        <f>IF(BH18="","",+SUMIF('Argus Drop'!$D$7:$D$64,$A18,'Argus Drop'!#REF!))</f>
        <v/>
      </c>
      <c r="BJ18" s="440" t="str">
        <f>IF(BI18="","",+SUMIF('Argus Drop'!$D$7:$D$64,$A18,'Argus Drop'!#REF!))</f>
        <v/>
      </c>
      <c r="BK18" s="440" t="str">
        <f>IF(BJ18="","",+SUMIF('Argus Drop'!$D$7:$D$64,$A18,'Argus Drop'!#REF!))</f>
        <v/>
      </c>
      <c r="BL18" s="440" t="str">
        <f>IF(BK18="","",+SUMIF('Argus Drop'!$D$7:$D$64,$A18,'Argus Drop'!#REF!))</f>
        <v/>
      </c>
      <c r="BM18" s="440" t="str">
        <f>IF(BL18="","",+SUMIF('Argus Drop'!$D$7:$D$64,$A18,'Argus Drop'!#REF!))</f>
        <v/>
      </c>
      <c r="BN18" s="440" t="str">
        <f>IF(BM18="","",+SUMIF('Argus Drop'!$D$7:$D$64,$A18,'Argus Drop'!#REF!))</f>
        <v/>
      </c>
      <c r="BO18" s="440" t="str">
        <f>IF(BN18="","",+SUMIF('Argus Drop'!$D$7:$D$64,$A18,'Argus Drop'!#REF!))</f>
        <v/>
      </c>
      <c r="BP18" s="440" t="str">
        <f>IF(BO18="","",+SUMIF('Argus Drop'!$D$7:$D$64,$A18,'Argus Drop'!#REF!))</f>
        <v/>
      </c>
      <c r="BQ18" s="440" t="str">
        <f>IF(BP18="","",+SUMIF('Argus Drop'!$D$7:$D$64,$A18,'Argus Drop'!#REF!))</f>
        <v/>
      </c>
      <c r="BR18" s="440" t="str">
        <f>IF(BQ18="","",+SUMIF('Argus Drop'!$D$7:$D$64,$A18,'Argus Drop'!#REF!))</f>
        <v/>
      </c>
      <c r="BS18" s="440" t="str">
        <f>IF(BR18="","",+SUMIF('Argus Drop'!$D$7:$D$64,$A18,'Argus Drop'!#REF!))</f>
        <v/>
      </c>
      <c r="BT18" s="440" t="str">
        <f>IF(BS18="","",+SUMIF('Argus Drop'!$D$7:$D$64,$A18,'Argus Drop'!#REF!))</f>
        <v/>
      </c>
      <c r="BU18" s="440" t="str">
        <f>IF(BT18="","",+SUMIF('Argus Drop'!$D$7:$D$64,$A18,'Argus Drop'!#REF!))</f>
        <v/>
      </c>
      <c r="BV18" s="440" t="str">
        <f>IF(BU18="","",+SUMIF('Argus Drop'!$D$7:$D$64,$A18,'Argus Drop'!#REF!))</f>
        <v/>
      </c>
      <c r="BW18" s="440" t="str">
        <f>IF(BV18="","",+SUMIF('Argus Drop'!$D$7:$D$64,$A18,'Argus Drop'!#REF!))</f>
        <v/>
      </c>
      <c r="BX18" s="440" t="str">
        <f>IF(BW18="","",+SUMIF('Argus Drop'!$D$7:$D$64,$A18,'Argus Drop'!#REF!))</f>
        <v/>
      </c>
      <c r="BY18" s="440" t="str">
        <f>IF(BX18="","",+SUMIF('Argus Drop'!$D$7:$D$64,$A18,'Argus Drop'!#REF!))</f>
        <v/>
      </c>
      <c r="BZ18" s="440" t="str">
        <f>IF(BY18="","",+SUMIF('Argus Drop'!$D$7:$D$64,$A18,'Argus Drop'!#REF!))</f>
        <v/>
      </c>
      <c r="CA18" s="440" t="str">
        <f>IF(BZ18="","",+SUMIF('Argus Drop'!$D$7:$D$64,$A18,'Argus Drop'!#REF!))</f>
        <v/>
      </c>
      <c r="CB18" s="440" t="str">
        <f>IF(CA18="","",+SUMIF('Argus Drop'!$D$7:$D$64,$A18,'Argus Drop'!#REF!))</f>
        <v/>
      </c>
      <c r="CC18" s="440" t="str">
        <f>IF(CB18="","",+SUMIF('Argus Drop'!$D$7:$D$64,$A18,'Argus Drop'!#REF!))</f>
        <v/>
      </c>
      <c r="CD18" s="440" t="str">
        <f>IF(CC18="","",+SUMIF('Argus Drop'!$D$7:$D$64,$A18,'Argus Drop'!#REF!))</f>
        <v/>
      </c>
      <c r="CE18" s="440" t="str">
        <f>IF(CD18="","",+SUMIF('Argus Drop'!$D$7:$D$64,$A18,'Argus Drop'!#REF!))</f>
        <v/>
      </c>
      <c r="CF18" s="440" t="str">
        <f>IF(CE18="","",+SUMIF('Argus Drop'!$D$7:$D$64,$A18,'Argus Drop'!#REF!))</f>
        <v/>
      </c>
      <c r="CG18" s="440" t="str">
        <f>IF(CF18="","",+SUMIF('Argus Drop'!$D$7:$D$64,$A18,'Argus Drop'!#REF!))</f>
        <v/>
      </c>
      <c r="CH18" s="440" t="str">
        <f>IF(CG18="","",+SUMIF('Argus Drop'!$D$7:$D$64,$A18,'Argus Drop'!#REF!))</f>
        <v/>
      </c>
      <c r="CI18" s="440" t="str">
        <f>IF(CH18="","",+SUMIF('Argus Drop'!$D$7:$D$64,$A18,'Argus Drop'!#REF!))</f>
        <v/>
      </c>
      <c r="CJ18" s="440" t="str">
        <f>IF(CI18="","",+SUMIF('Argus Drop'!$D$7:$D$64,$A18,'Argus Drop'!#REF!))</f>
        <v/>
      </c>
      <c r="CK18" s="440" t="str">
        <f>IF(CJ18="","",+SUMIF('Argus Drop'!$D$7:$D$64,$A18,'Argus Drop'!#REF!))</f>
        <v/>
      </c>
      <c r="CL18" s="440" t="str">
        <f>IF(CK18="","",+SUMIF('Argus Drop'!$D$7:$D$64,$A18,'Argus Drop'!#REF!))</f>
        <v/>
      </c>
      <c r="CM18" s="440" t="str">
        <f>IF(CL18="","",+SUMIF('Argus Drop'!$D$7:$D$64,$A18,'Argus Drop'!#REF!))</f>
        <v/>
      </c>
      <c r="CN18" s="440" t="str">
        <f>IF(CM18="","",+SUMIF('Argus Drop'!$D$7:$D$64,$A18,'Argus Drop'!#REF!))</f>
        <v/>
      </c>
      <c r="CO18" s="440" t="str">
        <f>IF(CN18="","",+SUMIF('Argus Drop'!$D$7:$D$64,$A18,'Argus Drop'!#REF!))</f>
        <v/>
      </c>
      <c r="CP18" s="440" t="str">
        <f>IF(CO18="","",+SUMIF('Argus Drop'!$D$7:$D$64,$A18,'Argus Drop'!#REF!))</f>
        <v/>
      </c>
      <c r="CQ18" s="440" t="str">
        <f>IF(CP18="","",+SUMIF('Argus Drop'!$D$7:$D$64,$A18,'Argus Drop'!#REF!))</f>
        <v/>
      </c>
      <c r="CR18" s="440" t="str">
        <f>IF(CQ18="","",+SUMIF('Argus Drop'!$D$7:$D$64,$A18,'Argus Drop'!#REF!))</f>
        <v/>
      </c>
      <c r="CS18" s="440" t="str">
        <f>IF(CR18="","",+SUMIF('Argus Drop'!$D$7:$D$64,$A18,'Argus Drop'!#REF!))</f>
        <v/>
      </c>
      <c r="CT18" s="440" t="str">
        <f>IF(CS18="","",+SUMIF('Argus Drop'!$D$7:$D$64,$A18,'Argus Drop'!#REF!))</f>
        <v/>
      </c>
      <c r="CU18" s="440" t="str">
        <f>IF(CT18="","",+SUMIF('Argus Drop'!$D$7:$D$64,$A18,'Argus Drop'!#REF!))</f>
        <v/>
      </c>
      <c r="CV18" s="440" t="str">
        <f>IF(CU18="","",+SUMIF('Argus Drop'!$D$7:$D$64,$A18,'Argus Drop'!#REF!))</f>
        <v/>
      </c>
      <c r="CW18" s="440" t="str">
        <f>IF(CV18="","",+SUMIF('Argus Drop'!$D$7:$D$64,$A18,'Argus Drop'!#REF!))</f>
        <v/>
      </c>
      <c r="CX18" s="440" t="str">
        <f>IF(CW18="","",+SUMIF('Argus Drop'!$D$7:$D$64,$A18,'Argus Drop'!#REF!))</f>
        <v/>
      </c>
      <c r="CY18" s="440" t="str">
        <f>IF(CX18="","",+SUMIF('Argus Drop'!$D$7:$D$64,$A18,'Argus Drop'!#REF!))</f>
        <v/>
      </c>
      <c r="CZ18" s="440" t="str">
        <f>IF(CY18="","",+SUMIF('Argus Drop'!$D$7:$D$64,$A18,'Argus Drop'!#REF!))</f>
        <v/>
      </c>
      <c r="DA18" s="440" t="str">
        <f>IF(CZ18="","",+SUMIF('Argus Drop'!$D$7:$D$64,$A18,'Argus Drop'!#REF!))</f>
        <v/>
      </c>
      <c r="DB18" s="440" t="str">
        <f>IF(DA18="","",+SUMIF('Argus Drop'!$D$7:$D$64,$A18,'Argus Drop'!#REF!))</f>
        <v/>
      </c>
      <c r="DC18" s="440" t="str">
        <f>IF(DB18="","",+SUMIF('Argus Drop'!$D$7:$D$64,$A18,'Argus Drop'!#REF!))</f>
        <v/>
      </c>
      <c r="DD18" s="440" t="str">
        <f>IF(DC18="","",+SUMIF('Argus Drop'!$D$7:$D$64,$A18,'Argus Drop'!#REF!))</f>
        <v/>
      </c>
      <c r="DE18" s="440" t="str">
        <f>IF(DD18="","",+SUMIF('Argus Drop'!$D$7:$D$64,$A18,'Argus Drop'!#REF!))</f>
        <v/>
      </c>
      <c r="DF18" s="440" t="str">
        <f>IF(DE18="","",+SUMIF('Argus Drop'!$D$7:$D$64,$A18,'Argus Drop'!#REF!))</f>
        <v/>
      </c>
      <c r="DG18" s="440" t="str">
        <f>IF(DF18="","",+SUMIF('Argus Drop'!$D$7:$D$64,$A18,'Argus Drop'!#REF!))</f>
        <v/>
      </c>
      <c r="DH18" s="440" t="str">
        <f>IF(DG18="","",+SUMIF('Argus Drop'!$D$7:$D$64,$A18,'Argus Drop'!#REF!))</f>
        <v/>
      </c>
      <c r="DI18" s="440" t="str">
        <f>IF(DH18="","",+SUMIF('Argus Drop'!$D$7:$D$64,$A18,'Argus Drop'!#REF!))</f>
        <v/>
      </c>
      <c r="DJ18" s="440" t="str">
        <f>IF(DI18="","",+SUMIF('Argus Drop'!$D$7:$D$64,$A18,'Argus Drop'!#REF!))</f>
        <v/>
      </c>
      <c r="DK18" s="440" t="str">
        <f>IF(DJ18="","",+SUMIF('Argus Drop'!$D$7:$D$64,$A18,'Argus Drop'!#REF!))</f>
        <v/>
      </c>
      <c r="DL18" s="440" t="str">
        <f>IF(DK18="","",+SUMIF('Argus Drop'!$D$7:$D$64,$A18,'Argus Drop'!#REF!))</f>
        <v/>
      </c>
      <c r="DM18" s="440" t="str">
        <f>IF(DL18="","",+SUMIF('Argus Drop'!$D$7:$D$64,$A18,'Argus Drop'!#REF!))</f>
        <v/>
      </c>
      <c r="DN18" s="440" t="str">
        <f>IF(DM18="","",+SUMIF('Argus Drop'!$D$7:$D$64,$A18,'Argus Drop'!#REF!))</f>
        <v/>
      </c>
      <c r="DO18" s="440" t="str">
        <f>IF(DN18="","",+SUMIF('Argus Drop'!$D$7:$D$64,$A18,'Argus Drop'!#REF!))</f>
        <v/>
      </c>
      <c r="DP18" s="440" t="str">
        <f>IF(DO18="","",+SUMIF('Argus Drop'!$D$7:$D$64,$A18,'Argus Drop'!#REF!))</f>
        <v/>
      </c>
      <c r="DQ18" s="440" t="str">
        <f>IF(DP18="","",+SUMIF('Argus Drop'!$D$7:$D$64,$A18,'Argus Drop'!#REF!))</f>
        <v/>
      </c>
      <c r="DR18" s="440" t="str">
        <f>IF(DQ18="","",+SUMIF('Argus Drop'!$D$7:$D$64,$A18,'Argus Drop'!#REF!))</f>
        <v/>
      </c>
      <c r="DS18" s="440"/>
      <c r="DT18" s="440"/>
      <c r="DU18" s="440"/>
      <c r="DV18" s="440"/>
      <c r="DW18" s="440"/>
      <c r="DX18" s="440"/>
      <c r="DY18" s="440"/>
      <c r="DZ18" s="440"/>
      <c r="EA18" s="440"/>
      <c r="EB18" s="440"/>
      <c r="EC18" s="440"/>
      <c r="ED18" s="1419"/>
      <c r="EE18" s="1419"/>
      <c r="EF18" s="1419"/>
      <c r="EG18" s="1419"/>
      <c r="EH18" s="1419"/>
      <c r="EI18" s="1419"/>
      <c r="EJ18" s="1419"/>
      <c r="EK18" s="1419"/>
      <c r="EL18" s="1419"/>
      <c r="EM18" s="1419"/>
      <c r="EN18" s="1419"/>
      <c r="EO18" s="1419"/>
      <c r="EP18" s="1419"/>
      <c r="EQ18" s="1419"/>
      <c r="ER18" s="1419"/>
      <c r="ES18" s="1419"/>
      <c r="ET18" s="1419"/>
      <c r="EU18" s="1419"/>
      <c r="EV18" s="1419"/>
      <c r="EW18" s="1419"/>
      <c r="EX18" s="1419"/>
      <c r="EY18" s="1419"/>
      <c r="EZ18" s="1419"/>
      <c r="FA18" s="1419"/>
      <c r="FB18" s="1419"/>
      <c r="FC18" s="1419"/>
      <c r="FD18" s="1419"/>
      <c r="FE18" s="1419"/>
      <c r="FF18" s="1419"/>
      <c r="FG18" s="1419"/>
      <c r="FH18" s="1419"/>
      <c r="FI18" s="1419"/>
    </row>
    <row r="19" spans="1:165">
      <c r="A19" s="448" t="str">
        <f>IF(+'Argus Drop'!B19="","",'Argus Drop'!B19)</f>
        <v/>
      </c>
      <c r="B19" s="440" t="str">
        <f>IF(A19="","",+SUMIF('Argus Drop'!$D$7:$D$64,$A19,'Argus Drop'!#REF!))</f>
        <v/>
      </c>
      <c r="C19" s="440" t="str">
        <f>IF(B19="","",+SUMIF('Argus Drop'!$D$7:$D$64,$A19,'Argus Drop'!#REF!))</f>
        <v/>
      </c>
      <c r="D19" s="440" t="str">
        <f>IF(C19="","",+SUMIF('Argus Drop'!$D$7:$D$64,$A19,'Argus Drop'!#REF!))</f>
        <v/>
      </c>
      <c r="E19" s="440" t="str">
        <f>IF(D19="","",+SUMIF('Argus Drop'!$D$7:$D$64,$A19,'Argus Drop'!#REF!))</f>
        <v/>
      </c>
      <c r="F19" s="440" t="str">
        <f>IF(E19="","",+SUMIF('Argus Drop'!$D$7:$D$64,$A19,'Argus Drop'!#REF!))</f>
        <v/>
      </c>
      <c r="G19" s="440" t="str">
        <f>IF(F19="","",+SUMIF('Argus Drop'!$D$7:$D$64,$A19,'Argus Drop'!#REF!))</f>
        <v/>
      </c>
      <c r="H19" s="440" t="str">
        <f>IF(G19="","",+SUMIF('Argus Drop'!$D$7:$D$64,$A19,'Argus Drop'!#REF!))</f>
        <v/>
      </c>
      <c r="I19" s="440" t="str">
        <f>IF(H19="","",+SUMIF('Argus Drop'!$D$7:$D$64,$A19,'Argus Drop'!#REF!))</f>
        <v/>
      </c>
      <c r="J19" s="440" t="str">
        <f>IF(I19="","",+SUMIF('Argus Drop'!$D$7:$D$64,$A19,'Argus Drop'!#REF!))</f>
        <v/>
      </c>
      <c r="K19" s="440" t="str">
        <f>IF(J19="","",+SUMIF('Argus Drop'!$D$7:$D$64,$A19,'Argus Drop'!#REF!))</f>
        <v/>
      </c>
      <c r="L19" s="440" t="str">
        <f>IF(K19="","",+SUMIF('Argus Drop'!$D$7:$D$64,$A19,'Argus Drop'!#REF!))</f>
        <v/>
      </c>
      <c r="M19" s="440" t="str">
        <f>IF(L19="","",+SUMIF('Argus Drop'!$D$7:$D$64,$A19,'Argus Drop'!#REF!))</f>
        <v/>
      </c>
      <c r="N19" s="440" t="str">
        <f>IF(M19="","",+SUMIF('Argus Drop'!$D$7:$D$64,$A19,'Argus Drop'!#REF!))</f>
        <v/>
      </c>
      <c r="O19" s="440" t="str">
        <f>IF(N19="","",+SUMIF('Argus Drop'!$D$7:$D$64,$A19,'Argus Drop'!#REF!))</f>
        <v/>
      </c>
      <c r="P19" s="440" t="str">
        <f>IF(O19="","",+SUMIF('Argus Drop'!$D$7:$D$64,$A19,'Argus Drop'!#REF!))</f>
        <v/>
      </c>
      <c r="Q19" s="440" t="str">
        <f>IF(P19="","",+SUMIF('Argus Drop'!$D$7:$D$64,$A19,'Argus Drop'!#REF!))</f>
        <v/>
      </c>
      <c r="R19" s="440" t="str">
        <f>IF(Q19="","",+SUMIF('Argus Drop'!$D$7:$D$64,$A19,'Argus Drop'!#REF!))</f>
        <v/>
      </c>
      <c r="S19" s="440" t="str">
        <f>IF(R19="","",+SUMIF('Argus Drop'!$D$7:$D$64,$A19,'Argus Drop'!#REF!))</f>
        <v/>
      </c>
      <c r="T19" s="440" t="str">
        <f>IF(S19="","",+SUMIF('Argus Drop'!$D$7:$D$64,$A19,'Argus Drop'!#REF!))</f>
        <v/>
      </c>
      <c r="U19" s="440" t="str">
        <f>IF(T19="","",+SUMIF('Argus Drop'!$D$7:$D$64,$A19,'Argus Drop'!#REF!))</f>
        <v/>
      </c>
      <c r="V19" s="440" t="str">
        <f>IF(U19="","",+SUMIF('Argus Drop'!$D$7:$D$64,$A19,'Argus Drop'!#REF!))</f>
        <v/>
      </c>
      <c r="W19" s="440" t="str">
        <f>IF(V19="","",+SUMIF('Argus Drop'!$D$7:$D$64,$A19,'Argus Drop'!#REF!))</f>
        <v/>
      </c>
      <c r="X19" s="440" t="str">
        <f>IF(W19="","",+SUMIF('Argus Drop'!$D$7:$D$64,$A19,'Argus Drop'!#REF!))</f>
        <v/>
      </c>
      <c r="Y19" s="440" t="str">
        <f>IF(X19="","",+SUMIF('Argus Drop'!$D$7:$D$64,$A19,'Argus Drop'!#REF!))</f>
        <v/>
      </c>
      <c r="Z19" s="440" t="str">
        <f>IF(Y19="","",+SUMIF('Argus Drop'!$D$7:$D$64,$A19,'Argus Drop'!#REF!))</f>
        <v/>
      </c>
      <c r="AA19" s="440" t="str">
        <f>IF(Z19="","",+SUMIF('Argus Drop'!$D$7:$D$64,$A19,'Argus Drop'!#REF!))</f>
        <v/>
      </c>
      <c r="AB19" s="440" t="str">
        <f>IF(AA19="","",+SUMIF('Argus Drop'!$D$7:$D$64,$A19,'Argus Drop'!#REF!))</f>
        <v/>
      </c>
      <c r="AC19" s="440" t="str">
        <f>IF(AB19="","",+SUMIF('Argus Drop'!$D$7:$D$64,$A19,'Argus Drop'!#REF!))</f>
        <v/>
      </c>
      <c r="AD19" s="440" t="str">
        <f>IF(AC19="","",+SUMIF('Argus Drop'!$D$7:$D$64,$A19,'Argus Drop'!#REF!))</f>
        <v/>
      </c>
      <c r="AE19" s="440" t="str">
        <f>IF(AD19="","",+SUMIF('Argus Drop'!$D$7:$D$64,$A19,'Argus Drop'!#REF!))</f>
        <v/>
      </c>
      <c r="AF19" s="440" t="str">
        <f>IF(AE19="","",+SUMIF('Argus Drop'!$D$7:$D$64,$A19,'Argus Drop'!#REF!))</f>
        <v/>
      </c>
      <c r="AG19" s="440" t="str">
        <f>IF(AF19="","",+SUMIF('Argus Drop'!$D$7:$D$64,$A19,'Argus Drop'!#REF!))</f>
        <v/>
      </c>
      <c r="AH19" s="440" t="str">
        <f>IF(AG19="","",+SUMIF('Argus Drop'!$D$7:$D$64,$A19,'Argus Drop'!#REF!))</f>
        <v/>
      </c>
      <c r="AI19" s="440" t="str">
        <f>IF(AH19="","",+SUMIF('Argus Drop'!$D$7:$D$64,$A19,'Argus Drop'!#REF!))</f>
        <v/>
      </c>
      <c r="AJ19" s="440" t="str">
        <f>IF(AI19="","",+SUMIF('Argus Drop'!$D$7:$D$64,$A19,'Argus Drop'!#REF!))</f>
        <v/>
      </c>
      <c r="AK19" s="440" t="str">
        <f>IF(AJ19="","",+SUMIF('Argus Drop'!$D$7:$D$64,$A19,'Argus Drop'!#REF!))</f>
        <v/>
      </c>
      <c r="AL19" s="440" t="str">
        <f>IF(AK19="","",+SUMIF('Argus Drop'!$D$7:$D$64,$A19,'Argus Drop'!#REF!))</f>
        <v/>
      </c>
      <c r="AM19" s="440" t="str">
        <f>IF(AL19="","",+SUMIF('Argus Drop'!$D$7:$D$64,$A19,'Argus Drop'!#REF!))</f>
        <v/>
      </c>
      <c r="AN19" s="440" t="str">
        <f>IF(AM19="","",+SUMIF('Argus Drop'!$D$7:$D$64,$A19,'Argus Drop'!#REF!))</f>
        <v/>
      </c>
      <c r="AO19" s="440" t="str">
        <f>IF(AN19="","",+SUMIF('Argus Drop'!$D$7:$D$64,$A19,'Argus Drop'!#REF!))</f>
        <v/>
      </c>
      <c r="AP19" s="440" t="str">
        <f>IF(AO19="","",+SUMIF('Argus Drop'!$D$7:$D$64,$A19,'Argus Drop'!#REF!))</f>
        <v/>
      </c>
      <c r="AQ19" s="440" t="str">
        <f>IF(AP19="","",+SUMIF('Argus Drop'!$D$7:$D$64,$A19,'Argus Drop'!#REF!))</f>
        <v/>
      </c>
      <c r="AR19" s="440" t="str">
        <f>IF(AQ19="","",+SUMIF('Argus Drop'!$D$7:$D$64,$A19,'Argus Drop'!#REF!))</f>
        <v/>
      </c>
      <c r="AS19" s="440" t="str">
        <f>IF(AR19="","",+SUMIF('Argus Drop'!$D$7:$D$64,$A19,'Argus Drop'!#REF!))</f>
        <v/>
      </c>
      <c r="AT19" s="440" t="str">
        <f>IF(AS19="","",+SUMIF('Argus Drop'!$D$7:$D$64,$A19,'Argus Drop'!#REF!))</f>
        <v/>
      </c>
      <c r="AU19" s="440" t="str">
        <f>IF(AT19="","",+SUMIF('Argus Drop'!$D$7:$D$64,$A19,'Argus Drop'!#REF!))</f>
        <v/>
      </c>
      <c r="AV19" s="440" t="str">
        <f>IF(AU19="","",+SUMIF('Argus Drop'!$D$7:$D$64,$A19,'Argus Drop'!#REF!))</f>
        <v/>
      </c>
      <c r="AW19" s="440" t="str">
        <f>IF(AV19="","",+SUMIF('Argus Drop'!$D$7:$D$64,$A19,'Argus Drop'!#REF!))</f>
        <v/>
      </c>
      <c r="AX19" s="440" t="str">
        <f>IF(AW19="","",+SUMIF('Argus Drop'!$D$7:$D$64,$A19,'Argus Drop'!#REF!))</f>
        <v/>
      </c>
      <c r="AY19" s="440" t="str">
        <f>IF(AX19="","",+SUMIF('Argus Drop'!$D$7:$D$64,$A19,'Argus Drop'!#REF!))</f>
        <v/>
      </c>
      <c r="AZ19" s="440" t="str">
        <f>IF(AY19="","",+SUMIF('Argus Drop'!$D$7:$D$64,$A19,'Argus Drop'!#REF!))</f>
        <v/>
      </c>
      <c r="BA19" s="440" t="str">
        <f>IF(AZ19="","",+SUMIF('Argus Drop'!$D$7:$D$64,$A19,'Argus Drop'!#REF!))</f>
        <v/>
      </c>
      <c r="BB19" s="440" t="str">
        <f>IF(BA19="","",+SUMIF('Argus Drop'!$D$7:$D$64,$A19,'Argus Drop'!#REF!))</f>
        <v/>
      </c>
      <c r="BC19" s="440" t="str">
        <f>IF(BB19="","",+SUMIF('Argus Drop'!$D$7:$D$64,$A19,'Argus Drop'!#REF!))</f>
        <v/>
      </c>
      <c r="BD19" s="440" t="str">
        <f>IF(BC19="","",+SUMIF('Argus Drop'!$D$7:$D$64,$A19,'Argus Drop'!#REF!))</f>
        <v/>
      </c>
      <c r="BE19" s="440" t="str">
        <f>IF(BD19="","",+SUMIF('Argus Drop'!$D$7:$D$64,$A19,'Argus Drop'!#REF!))</f>
        <v/>
      </c>
      <c r="BF19" s="440" t="str">
        <f>IF(BE19="","",+SUMIF('Argus Drop'!$D$7:$D$64,$A19,'Argus Drop'!#REF!))</f>
        <v/>
      </c>
      <c r="BG19" s="440" t="str">
        <f>IF(BF19="","",+SUMIF('Argus Drop'!$D$7:$D$64,$A19,'Argus Drop'!#REF!))</f>
        <v/>
      </c>
      <c r="BH19" s="440" t="str">
        <f>IF(BG19="","",+SUMIF('Argus Drop'!$D$7:$D$64,$A19,'Argus Drop'!#REF!))</f>
        <v/>
      </c>
      <c r="BI19" s="440" t="str">
        <f>IF(BH19="","",+SUMIF('Argus Drop'!$D$7:$D$64,$A19,'Argus Drop'!#REF!))</f>
        <v/>
      </c>
      <c r="BJ19" s="440" t="str">
        <f>IF(BI19="","",+SUMIF('Argus Drop'!$D$7:$D$64,$A19,'Argus Drop'!#REF!))</f>
        <v/>
      </c>
      <c r="BK19" s="440" t="str">
        <f>IF(BJ19="","",+SUMIF('Argus Drop'!$D$7:$D$64,$A19,'Argus Drop'!#REF!))</f>
        <v/>
      </c>
      <c r="BL19" s="440" t="str">
        <f>IF(BK19="","",+SUMIF('Argus Drop'!$D$7:$D$64,$A19,'Argus Drop'!#REF!))</f>
        <v/>
      </c>
      <c r="BM19" s="440" t="str">
        <f>IF(BL19="","",+SUMIF('Argus Drop'!$D$7:$D$64,$A19,'Argus Drop'!#REF!))</f>
        <v/>
      </c>
      <c r="BN19" s="440" t="str">
        <f>IF(BM19="","",+SUMIF('Argus Drop'!$D$7:$D$64,$A19,'Argus Drop'!#REF!))</f>
        <v/>
      </c>
      <c r="BO19" s="440" t="str">
        <f>IF(BN19="","",+SUMIF('Argus Drop'!$D$7:$D$64,$A19,'Argus Drop'!#REF!))</f>
        <v/>
      </c>
      <c r="BP19" s="440" t="str">
        <f>IF(BO19="","",+SUMIF('Argus Drop'!$D$7:$D$64,$A19,'Argus Drop'!#REF!))</f>
        <v/>
      </c>
      <c r="BQ19" s="440" t="str">
        <f>IF(BP19="","",+SUMIF('Argus Drop'!$D$7:$D$64,$A19,'Argus Drop'!#REF!))</f>
        <v/>
      </c>
      <c r="BR19" s="440" t="str">
        <f>IF(BQ19="","",+SUMIF('Argus Drop'!$D$7:$D$64,$A19,'Argus Drop'!#REF!))</f>
        <v/>
      </c>
      <c r="BS19" s="440" t="str">
        <f>IF(BR19="","",+SUMIF('Argus Drop'!$D$7:$D$64,$A19,'Argus Drop'!#REF!))</f>
        <v/>
      </c>
      <c r="BT19" s="440" t="str">
        <f>IF(BS19="","",+SUMIF('Argus Drop'!$D$7:$D$64,$A19,'Argus Drop'!#REF!))</f>
        <v/>
      </c>
      <c r="BU19" s="440" t="str">
        <f>IF(BT19="","",+SUMIF('Argus Drop'!$D$7:$D$64,$A19,'Argus Drop'!#REF!))</f>
        <v/>
      </c>
      <c r="BV19" s="440" t="str">
        <f>IF(BU19="","",+SUMIF('Argus Drop'!$D$7:$D$64,$A19,'Argus Drop'!#REF!))</f>
        <v/>
      </c>
      <c r="BW19" s="440" t="str">
        <f>IF(BV19="","",+SUMIF('Argus Drop'!$D$7:$D$64,$A19,'Argus Drop'!#REF!))</f>
        <v/>
      </c>
      <c r="BX19" s="440" t="str">
        <f>IF(BW19="","",+SUMIF('Argus Drop'!$D$7:$D$64,$A19,'Argus Drop'!#REF!))</f>
        <v/>
      </c>
      <c r="BY19" s="440" t="str">
        <f>IF(BX19="","",+SUMIF('Argus Drop'!$D$7:$D$64,$A19,'Argus Drop'!#REF!))</f>
        <v/>
      </c>
      <c r="BZ19" s="440" t="str">
        <f>IF(BY19="","",+SUMIF('Argus Drop'!$D$7:$D$64,$A19,'Argus Drop'!#REF!))</f>
        <v/>
      </c>
      <c r="CA19" s="440" t="str">
        <f>IF(BZ19="","",+SUMIF('Argus Drop'!$D$7:$D$64,$A19,'Argus Drop'!#REF!))</f>
        <v/>
      </c>
      <c r="CB19" s="440" t="str">
        <f>IF(CA19="","",+SUMIF('Argus Drop'!$D$7:$D$64,$A19,'Argus Drop'!#REF!))</f>
        <v/>
      </c>
      <c r="CC19" s="440" t="str">
        <f>IF(CB19="","",+SUMIF('Argus Drop'!$D$7:$D$64,$A19,'Argus Drop'!#REF!))</f>
        <v/>
      </c>
      <c r="CD19" s="440" t="str">
        <f>IF(CC19="","",+SUMIF('Argus Drop'!$D$7:$D$64,$A19,'Argus Drop'!#REF!))</f>
        <v/>
      </c>
      <c r="CE19" s="440" t="str">
        <f>IF(CD19="","",+SUMIF('Argus Drop'!$D$7:$D$64,$A19,'Argus Drop'!#REF!))</f>
        <v/>
      </c>
      <c r="CF19" s="440" t="str">
        <f>IF(CE19="","",+SUMIF('Argus Drop'!$D$7:$D$64,$A19,'Argus Drop'!#REF!))</f>
        <v/>
      </c>
      <c r="CG19" s="440" t="str">
        <f>IF(CF19="","",+SUMIF('Argus Drop'!$D$7:$D$64,$A19,'Argus Drop'!#REF!))</f>
        <v/>
      </c>
      <c r="CH19" s="440" t="str">
        <f>IF(CG19="","",+SUMIF('Argus Drop'!$D$7:$D$64,$A19,'Argus Drop'!#REF!))</f>
        <v/>
      </c>
      <c r="CI19" s="440" t="str">
        <f>IF(CH19="","",+SUMIF('Argus Drop'!$D$7:$D$64,$A19,'Argus Drop'!#REF!))</f>
        <v/>
      </c>
      <c r="CJ19" s="440" t="str">
        <f>IF(CI19="","",+SUMIF('Argus Drop'!$D$7:$D$64,$A19,'Argus Drop'!#REF!))</f>
        <v/>
      </c>
      <c r="CK19" s="440" t="str">
        <f>IF(CJ19="","",+SUMIF('Argus Drop'!$D$7:$D$64,$A19,'Argus Drop'!#REF!))</f>
        <v/>
      </c>
      <c r="CL19" s="440" t="str">
        <f>IF(CK19="","",+SUMIF('Argus Drop'!$D$7:$D$64,$A19,'Argus Drop'!#REF!))</f>
        <v/>
      </c>
      <c r="CM19" s="440" t="str">
        <f>IF(CL19="","",+SUMIF('Argus Drop'!$D$7:$D$64,$A19,'Argus Drop'!#REF!))</f>
        <v/>
      </c>
      <c r="CN19" s="440" t="str">
        <f>IF(CM19="","",+SUMIF('Argus Drop'!$D$7:$D$64,$A19,'Argus Drop'!#REF!))</f>
        <v/>
      </c>
      <c r="CO19" s="440" t="str">
        <f>IF(CN19="","",+SUMIF('Argus Drop'!$D$7:$D$64,$A19,'Argus Drop'!#REF!))</f>
        <v/>
      </c>
      <c r="CP19" s="440" t="str">
        <f>IF(CO19="","",+SUMIF('Argus Drop'!$D$7:$D$64,$A19,'Argus Drop'!#REF!))</f>
        <v/>
      </c>
      <c r="CQ19" s="440" t="str">
        <f>IF(CP19="","",+SUMIF('Argus Drop'!$D$7:$D$64,$A19,'Argus Drop'!#REF!))</f>
        <v/>
      </c>
      <c r="CR19" s="440" t="str">
        <f>IF(CQ19="","",+SUMIF('Argus Drop'!$D$7:$D$64,$A19,'Argus Drop'!#REF!))</f>
        <v/>
      </c>
      <c r="CS19" s="440" t="str">
        <f>IF(CR19="","",+SUMIF('Argus Drop'!$D$7:$D$64,$A19,'Argus Drop'!#REF!))</f>
        <v/>
      </c>
      <c r="CT19" s="440" t="str">
        <f>IF(CS19="","",+SUMIF('Argus Drop'!$D$7:$D$64,$A19,'Argus Drop'!#REF!))</f>
        <v/>
      </c>
      <c r="CU19" s="440" t="str">
        <f>IF(CT19="","",+SUMIF('Argus Drop'!$D$7:$D$64,$A19,'Argus Drop'!#REF!))</f>
        <v/>
      </c>
      <c r="CV19" s="440" t="str">
        <f>IF(CU19="","",+SUMIF('Argus Drop'!$D$7:$D$64,$A19,'Argus Drop'!#REF!))</f>
        <v/>
      </c>
      <c r="CW19" s="440" t="str">
        <f>IF(CV19="","",+SUMIF('Argus Drop'!$D$7:$D$64,$A19,'Argus Drop'!#REF!))</f>
        <v/>
      </c>
      <c r="CX19" s="440" t="str">
        <f>IF(CW19="","",+SUMIF('Argus Drop'!$D$7:$D$64,$A19,'Argus Drop'!#REF!))</f>
        <v/>
      </c>
      <c r="CY19" s="440" t="str">
        <f>IF(CX19="","",+SUMIF('Argus Drop'!$D$7:$D$64,$A19,'Argus Drop'!#REF!))</f>
        <v/>
      </c>
      <c r="CZ19" s="440" t="str">
        <f>IF(CY19="","",+SUMIF('Argus Drop'!$D$7:$D$64,$A19,'Argus Drop'!#REF!))</f>
        <v/>
      </c>
      <c r="DA19" s="440" t="str">
        <f>IF(CZ19="","",+SUMIF('Argus Drop'!$D$7:$D$64,$A19,'Argus Drop'!#REF!))</f>
        <v/>
      </c>
      <c r="DB19" s="440" t="str">
        <f>IF(DA19="","",+SUMIF('Argus Drop'!$D$7:$D$64,$A19,'Argus Drop'!#REF!))</f>
        <v/>
      </c>
      <c r="DC19" s="440" t="str">
        <f>IF(DB19="","",+SUMIF('Argus Drop'!$D$7:$D$64,$A19,'Argus Drop'!#REF!))</f>
        <v/>
      </c>
      <c r="DD19" s="440" t="str">
        <f>IF(DC19="","",+SUMIF('Argus Drop'!$D$7:$D$64,$A19,'Argus Drop'!#REF!))</f>
        <v/>
      </c>
      <c r="DE19" s="440" t="str">
        <f>IF(DD19="","",+SUMIF('Argus Drop'!$D$7:$D$64,$A19,'Argus Drop'!#REF!))</f>
        <v/>
      </c>
      <c r="DF19" s="440" t="str">
        <f>IF(DE19="","",+SUMIF('Argus Drop'!$D$7:$D$64,$A19,'Argus Drop'!#REF!))</f>
        <v/>
      </c>
      <c r="DG19" s="440" t="str">
        <f>IF(DF19="","",+SUMIF('Argus Drop'!$D$7:$D$64,$A19,'Argus Drop'!#REF!))</f>
        <v/>
      </c>
      <c r="DH19" s="440" t="str">
        <f>IF(DG19="","",+SUMIF('Argus Drop'!$D$7:$D$64,$A19,'Argus Drop'!#REF!))</f>
        <v/>
      </c>
      <c r="DI19" s="440" t="str">
        <f>IF(DH19="","",+SUMIF('Argus Drop'!$D$7:$D$64,$A19,'Argus Drop'!#REF!))</f>
        <v/>
      </c>
      <c r="DJ19" s="440" t="str">
        <f>IF(DI19="","",+SUMIF('Argus Drop'!$D$7:$D$64,$A19,'Argus Drop'!#REF!))</f>
        <v/>
      </c>
      <c r="DK19" s="440" t="str">
        <f>IF(DJ19="","",+SUMIF('Argus Drop'!$D$7:$D$64,$A19,'Argus Drop'!#REF!))</f>
        <v/>
      </c>
      <c r="DL19" s="440" t="str">
        <f>IF(DK19="","",+SUMIF('Argus Drop'!$D$7:$D$64,$A19,'Argus Drop'!#REF!))</f>
        <v/>
      </c>
      <c r="DM19" s="440" t="str">
        <f>IF(DL19="","",+SUMIF('Argus Drop'!$D$7:$D$64,$A19,'Argus Drop'!#REF!))</f>
        <v/>
      </c>
      <c r="DN19" s="440" t="str">
        <f>IF(DM19="","",+SUMIF('Argus Drop'!$D$7:$D$64,$A19,'Argus Drop'!#REF!))</f>
        <v/>
      </c>
      <c r="DO19" s="440" t="str">
        <f>IF(DN19="","",+SUMIF('Argus Drop'!$D$7:$D$64,$A19,'Argus Drop'!#REF!))</f>
        <v/>
      </c>
      <c r="DP19" s="440" t="str">
        <f>IF(DO19="","",+SUMIF('Argus Drop'!$D$7:$D$64,$A19,'Argus Drop'!#REF!))</f>
        <v/>
      </c>
      <c r="DQ19" s="440" t="str">
        <f>IF(DP19="","",+SUMIF('Argus Drop'!$D$7:$D$64,$A19,'Argus Drop'!#REF!))</f>
        <v/>
      </c>
      <c r="DR19" s="440" t="str">
        <f>IF(DQ19="","",+SUMIF('Argus Drop'!$D$7:$D$64,$A19,'Argus Drop'!#REF!))</f>
        <v/>
      </c>
      <c r="DS19" s="440"/>
      <c r="DT19" s="440"/>
      <c r="DU19" s="440"/>
      <c r="DV19" s="440"/>
      <c r="DW19" s="440"/>
      <c r="DX19" s="440"/>
      <c r="DY19" s="440"/>
      <c r="DZ19" s="440"/>
      <c r="EA19" s="440"/>
      <c r="EB19" s="440"/>
      <c r="EC19" s="440"/>
      <c r="ED19" s="1419"/>
      <c r="EE19" s="1419"/>
      <c r="EF19" s="1419"/>
      <c r="EG19" s="1419"/>
      <c r="EH19" s="1419"/>
      <c r="EI19" s="1419"/>
      <c r="EJ19" s="1419"/>
      <c r="EK19" s="1419"/>
      <c r="EL19" s="1419"/>
      <c r="EM19" s="1419"/>
      <c r="EN19" s="1419"/>
      <c r="EO19" s="1419"/>
      <c r="EP19" s="1419"/>
      <c r="EQ19" s="1419"/>
      <c r="ER19" s="1419"/>
      <c r="ES19" s="1419"/>
      <c r="ET19" s="1419"/>
      <c r="EU19" s="1419"/>
      <c r="EV19" s="1419"/>
      <c r="EW19" s="1419"/>
      <c r="EX19" s="1419"/>
      <c r="EY19" s="1419"/>
      <c r="EZ19" s="1419"/>
      <c r="FA19" s="1419"/>
      <c r="FB19" s="1419"/>
      <c r="FC19" s="1419"/>
      <c r="FD19" s="1419"/>
      <c r="FE19" s="1419"/>
      <c r="FF19" s="1419"/>
      <c r="FG19" s="1419"/>
      <c r="FH19" s="1419"/>
      <c r="FI19" s="1419"/>
    </row>
    <row r="20" spans="1:165">
      <c r="A20" s="448">
        <f>IF(+'Argus Drop'!B20="","",'Argus Drop'!B20)</f>
        <v>5</v>
      </c>
      <c r="B20" s="440">
        <f>SUMIF('Argus Drop'!$D:$D,$A20,'Argus Drop'!F:F)</f>
        <v>3132</v>
      </c>
      <c r="C20" s="440">
        <f>SUMIF('Argus Drop'!$D:$D,$A20,'Argus Drop'!G:G)</f>
        <v>3132</v>
      </c>
      <c r="D20" s="440">
        <f>SUMIF('Argus Drop'!$D:$D,$A20,'Argus Drop'!H:H)</f>
        <v>3132</v>
      </c>
      <c r="E20" s="440">
        <f>SUMIF('Argus Drop'!$D:$D,$A20,'Argus Drop'!I:I)</f>
        <v>3147</v>
      </c>
      <c r="F20" s="440">
        <f>SUMIF('Argus Drop'!$D:$D,$A20,'Argus Drop'!J:J)</f>
        <v>3147</v>
      </c>
      <c r="G20" s="440">
        <f>SUMIF('Argus Drop'!$D:$D,$A20,'Argus Drop'!K:K)</f>
        <v>3147</v>
      </c>
      <c r="H20" s="440">
        <f>SUMIF('Argus Drop'!$D:$D,$A20,'Argus Drop'!L:L)</f>
        <v>3147</v>
      </c>
      <c r="I20" s="440">
        <f>SUMIF('Argus Drop'!$D:$D,$A20,'Argus Drop'!M:M)</f>
        <v>3147</v>
      </c>
      <c r="J20" s="440">
        <f>SUMIF('Argus Drop'!$D:$D,$A20,'Argus Drop'!N:N)</f>
        <v>3147</v>
      </c>
      <c r="K20" s="440">
        <f>SUMIF('Argus Drop'!$D:$D,$A20,'Argus Drop'!O:O)</f>
        <v>3147</v>
      </c>
      <c r="L20" s="440">
        <f>SUMIF('Argus Drop'!$D:$D,$A20,'Argus Drop'!P:P)</f>
        <v>3147</v>
      </c>
      <c r="M20" s="440">
        <f>SUMIF('Argus Drop'!$D:$D,$A20,'Argus Drop'!Q:Q)</f>
        <v>3147</v>
      </c>
      <c r="N20" s="440">
        <f>SUMIF('Argus Drop'!$D:$D,$A20,'Argus Drop'!R:R)</f>
        <v>3147</v>
      </c>
      <c r="O20" s="440">
        <f>SUMIF('Argus Drop'!$D:$D,$A20,'Argus Drop'!S:S)</f>
        <v>3147</v>
      </c>
      <c r="P20" s="440">
        <f>SUMIF('Argus Drop'!$D:$D,$A20,'Argus Drop'!T:T)</f>
        <v>3147</v>
      </c>
      <c r="Q20" s="440">
        <f>SUMIF('Argus Drop'!$D:$D,$A20,'Argus Drop'!U:U)</f>
        <v>3162</v>
      </c>
      <c r="R20" s="440">
        <f>SUMIF('Argus Drop'!$D:$D,$A20,'Argus Drop'!V:V)</f>
        <v>3162</v>
      </c>
      <c r="S20" s="440">
        <f>SUMIF('Argus Drop'!$D:$D,$A20,'Argus Drop'!W:W)</f>
        <v>3162</v>
      </c>
      <c r="T20" s="440">
        <f>SUMIF('Argus Drop'!$D:$D,$A20,'Argus Drop'!X:X)</f>
        <v>3162</v>
      </c>
      <c r="U20" s="440">
        <f>SUMIF('Argus Drop'!$D:$D,$A20,'Argus Drop'!Y:Y)</f>
        <v>530</v>
      </c>
      <c r="V20" s="440">
        <f>SUMIF('Argus Drop'!$D:$D,$A20,'Argus Drop'!Z:Z)</f>
        <v>530</v>
      </c>
      <c r="W20" s="440">
        <f>SUMIF('Argus Drop'!$D:$D,$A20,'Argus Drop'!AA:AA)</f>
        <v>530</v>
      </c>
      <c r="X20" s="440">
        <f>SUMIF('Argus Drop'!$D:$D,$A20,'Argus Drop'!AB:AB)</f>
        <v>530</v>
      </c>
      <c r="Y20" s="440">
        <f>SUMIF('Argus Drop'!$D:$D,$A20,'Argus Drop'!AC:AC)</f>
        <v>530</v>
      </c>
      <c r="Z20" s="440">
        <f>SUMIF('Argus Drop'!$D:$D,$A20,'Argus Drop'!AD:AD)</f>
        <v>530</v>
      </c>
      <c r="AA20" s="440">
        <f>SUMIF('Argus Drop'!$D:$D,$A20,'Argus Drop'!AE:AE)</f>
        <v>530</v>
      </c>
      <c r="AB20" s="440">
        <f>SUMIF('Argus Drop'!$D:$D,$A20,'Argus Drop'!AF:AF)</f>
        <v>530</v>
      </c>
      <c r="AC20" s="440">
        <f>SUMIF('Argus Drop'!$D:$D,$A20,'Argus Drop'!AG:AG)</f>
        <v>546</v>
      </c>
      <c r="AD20" s="440">
        <f>SUMIF('Argus Drop'!$D:$D,$A20,'Argus Drop'!AH:AH)</f>
        <v>546</v>
      </c>
      <c r="AE20" s="440">
        <f>SUMIF('Argus Drop'!$D:$D,$A20,'Argus Drop'!AI:AI)</f>
        <v>546</v>
      </c>
      <c r="AF20" s="440">
        <f>SUMIF('Argus Drop'!$D:$D,$A20,'Argus Drop'!AJ:AJ)</f>
        <v>546</v>
      </c>
      <c r="AG20" s="440">
        <f>SUMIF('Argus Drop'!$D:$D,$A20,'Argus Drop'!AK:AK)</f>
        <v>546</v>
      </c>
      <c r="AH20" s="440">
        <f>SUMIF('Argus Drop'!$D:$D,$A20,'Argus Drop'!AL:AL)</f>
        <v>546</v>
      </c>
      <c r="AI20" s="440">
        <f>SUMIF('Argus Drop'!$D:$D,$A20,'Argus Drop'!AM:AM)</f>
        <v>546</v>
      </c>
      <c r="AJ20" s="440">
        <f>SUMIF('Argus Drop'!$D:$D,$A20,'Argus Drop'!AN:AN)</f>
        <v>546</v>
      </c>
      <c r="AK20" s="440">
        <f>SUMIF('Argus Drop'!$D:$D,$A20,'Argus Drop'!AO:AO)</f>
        <v>546</v>
      </c>
      <c r="AL20" s="440">
        <f>SUMIF('Argus Drop'!$D:$D,$A20,'Argus Drop'!AP:AP)</f>
        <v>546</v>
      </c>
      <c r="AM20" s="440">
        <f>SUMIF('Argus Drop'!$D:$D,$A20,'Argus Drop'!AQ:AQ)</f>
        <v>546</v>
      </c>
      <c r="AN20" s="440">
        <f>SUMIF('Argus Drop'!$D:$D,$A20,'Argus Drop'!AR:AR)</f>
        <v>546</v>
      </c>
      <c r="AO20" s="440">
        <f>SUMIF('Argus Drop'!$D:$D,$A20,'Argus Drop'!AS:AS)</f>
        <v>563</v>
      </c>
      <c r="AP20" s="440">
        <f>SUMIF('Argus Drop'!$D:$D,$A20,'Argus Drop'!AT:AT)</f>
        <v>563</v>
      </c>
      <c r="AQ20" s="440">
        <f>SUMIF('Argus Drop'!$D:$D,$A20,'Argus Drop'!AU:AU)</f>
        <v>563</v>
      </c>
      <c r="AR20" s="440">
        <f>SUMIF('Argus Drop'!$D:$D,$A20,'Argus Drop'!AV:AV)</f>
        <v>563</v>
      </c>
      <c r="AS20" s="440">
        <f>SUMIF('Argus Drop'!$D:$D,$A20,'Argus Drop'!AW:AW)</f>
        <v>563</v>
      </c>
      <c r="AT20" s="440">
        <f>SUMIF('Argus Drop'!$D:$D,$A20,'Argus Drop'!AX:AX)</f>
        <v>563</v>
      </c>
      <c r="AU20" s="440">
        <f>SUMIF('Argus Drop'!$D:$D,$A20,'Argus Drop'!AY:AY)</f>
        <v>563</v>
      </c>
      <c r="AV20" s="440">
        <f>SUMIF('Argus Drop'!$D:$D,$A20,'Argus Drop'!AZ:AZ)</f>
        <v>563</v>
      </c>
      <c r="AW20" s="440">
        <f>SUMIF('Argus Drop'!$D:$D,$A20,'Argus Drop'!BA:BA)</f>
        <v>563</v>
      </c>
      <c r="AX20" s="440">
        <f>SUMIF('Argus Drop'!$D:$D,$A20,'Argus Drop'!BB:BB)</f>
        <v>563</v>
      </c>
      <c r="AY20" s="440">
        <f>SUMIF('Argus Drop'!$D:$D,$A20,'Argus Drop'!BC:BC)</f>
        <v>563</v>
      </c>
      <c r="AZ20" s="440">
        <f>SUMIF('Argus Drop'!$D:$D,$A20,'Argus Drop'!BD:BD)</f>
        <v>563</v>
      </c>
      <c r="BA20" s="440">
        <f>SUMIF('Argus Drop'!$D:$D,$A20,'Argus Drop'!BE:BE)</f>
        <v>580</v>
      </c>
      <c r="BB20" s="440">
        <f>SUMIF('Argus Drop'!$D:$D,$A20,'Argus Drop'!BF:BF)</f>
        <v>580</v>
      </c>
      <c r="BC20" s="440">
        <f>SUMIF('Argus Drop'!$D:$D,$A20,'Argus Drop'!BG:BG)</f>
        <v>580</v>
      </c>
      <c r="BD20" s="440">
        <f>SUMIF('Argus Drop'!$D:$D,$A20,'Argus Drop'!BH:BH)</f>
        <v>580</v>
      </c>
      <c r="BE20" s="440">
        <f>SUMIF('Argus Drop'!$D:$D,$A20,'Argus Drop'!BI:BI)</f>
        <v>580</v>
      </c>
      <c r="BF20" s="440">
        <f>SUMIF('Argus Drop'!$D:$D,$A20,'Argus Drop'!BJ:BJ)</f>
        <v>580</v>
      </c>
      <c r="BG20" s="440">
        <f>SUMIF('Argus Drop'!$D:$D,$A20,'Argus Drop'!BK:BK)</f>
        <v>580</v>
      </c>
      <c r="BH20" s="440">
        <f>SUMIF('Argus Drop'!$D:$D,$A20,'Argus Drop'!BL:BL)</f>
        <v>580</v>
      </c>
      <c r="BI20" s="440">
        <f>SUMIF('Argus Drop'!$D:$D,$A20,'Argus Drop'!BM:BM)</f>
        <v>580</v>
      </c>
      <c r="BJ20" s="440">
        <f>SUMIF('Argus Drop'!$D:$D,$A20,'Argus Drop'!BN:BN)</f>
        <v>580</v>
      </c>
      <c r="BK20" s="440">
        <f>SUMIF('Argus Drop'!$D:$D,$A20,'Argus Drop'!BO:BO)</f>
        <v>580</v>
      </c>
      <c r="BL20" s="440">
        <f>SUMIF('Argus Drop'!$D:$D,$A20,'Argus Drop'!BP:BP)</f>
        <v>580</v>
      </c>
      <c r="BM20" s="440">
        <f>SUMIF('Argus Drop'!$D:$D,$A20,'Argus Drop'!BQ:BQ)</f>
        <v>597</v>
      </c>
      <c r="BN20" s="440">
        <f>SUMIF('Argus Drop'!$D:$D,$A20,'Argus Drop'!BR:BR)</f>
        <v>597</v>
      </c>
      <c r="BO20" s="440">
        <f>SUMIF('Argus Drop'!$D:$D,$A20,'Argus Drop'!BS:BS)</f>
        <v>597</v>
      </c>
      <c r="BP20" s="440">
        <f>SUMIF('Argus Drop'!$D:$D,$A20,'Argus Drop'!BT:BT)</f>
        <v>597</v>
      </c>
      <c r="BQ20" s="440">
        <f>SUMIF('Argus Drop'!$D:$D,$A20,'Argus Drop'!BU:BU)</f>
        <v>597</v>
      </c>
      <c r="BR20" s="440">
        <f>SUMIF('Argus Drop'!$D:$D,$A20,'Argus Drop'!BV:BV)</f>
        <v>597</v>
      </c>
      <c r="BS20" s="440">
        <f>SUMIF('Argus Drop'!$D:$D,$A20,'Argus Drop'!BW:BW)</f>
        <v>597</v>
      </c>
      <c r="BT20" s="440">
        <f>SUMIF('Argus Drop'!$D:$D,$A20,'Argus Drop'!BX:BX)</f>
        <v>597</v>
      </c>
      <c r="BU20" s="440">
        <f>SUMIF('Argus Drop'!$D:$D,$A20,'Argus Drop'!BY:BY)</f>
        <v>597</v>
      </c>
      <c r="BV20" s="440">
        <f>SUMIF('Argus Drop'!$D:$D,$A20,'Argus Drop'!BZ:BZ)</f>
        <v>597</v>
      </c>
      <c r="BW20" s="440">
        <f>SUMIF('Argus Drop'!$D:$D,$A20,'Argus Drop'!CA:CA)</f>
        <v>597</v>
      </c>
      <c r="BX20" s="440">
        <f>SUMIF('Argus Drop'!$D:$D,$A20,'Argus Drop'!CB:CB)</f>
        <v>597</v>
      </c>
      <c r="BY20" s="440">
        <f>SUMIF('Argus Drop'!$D:$D,$A20,'Argus Drop'!CC:CC)</f>
        <v>615</v>
      </c>
      <c r="BZ20" s="440">
        <f>SUMIF('Argus Drop'!$D:$D,$A20,'Argus Drop'!CD:CD)</f>
        <v>615</v>
      </c>
      <c r="CA20" s="440">
        <f>SUMIF('Argus Drop'!$D:$D,$A20,'Argus Drop'!CE:CE)</f>
        <v>615</v>
      </c>
      <c r="CB20" s="440">
        <f>SUMIF('Argus Drop'!$D:$D,$A20,'Argus Drop'!CF:CF)</f>
        <v>615</v>
      </c>
      <c r="CC20" s="440">
        <f>SUMIF('Argus Drop'!$D:$D,$A20,'Argus Drop'!CG:CG)</f>
        <v>615</v>
      </c>
      <c r="CD20" s="440">
        <f>SUMIF('Argus Drop'!$D:$D,$A20,'Argus Drop'!CH:CH)</f>
        <v>615</v>
      </c>
      <c r="CE20" s="440">
        <f>SUMIF('Argus Drop'!$D:$D,$A20,'Argus Drop'!CI:CI)</f>
        <v>615</v>
      </c>
      <c r="CF20" s="440">
        <f>SUMIF('Argus Drop'!$D:$D,$A20,'Argus Drop'!CJ:CJ)</f>
        <v>615</v>
      </c>
      <c r="CG20" s="440">
        <f>SUMIF('Argus Drop'!$D:$D,$A20,'Argus Drop'!CK:CK)</f>
        <v>615</v>
      </c>
      <c r="CH20" s="440">
        <f>SUMIF('Argus Drop'!$D:$D,$A20,'Argus Drop'!CL:CL)</f>
        <v>615</v>
      </c>
      <c r="CI20" s="440">
        <f>SUMIF('Argus Drop'!$D:$D,$A20,'Argus Drop'!CM:CM)</f>
        <v>615</v>
      </c>
      <c r="CJ20" s="440">
        <f>SUMIF('Argus Drop'!$D:$D,$A20,'Argus Drop'!CN:CN)</f>
        <v>615</v>
      </c>
      <c r="CK20" s="440">
        <f>SUMIF('Argus Drop'!$D:$D,$A20,'Argus Drop'!CO:CO)</f>
        <v>633</v>
      </c>
      <c r="CL20" s="440">
        <f>SUMIF('Argus Drop'!$D:$D,$A20,'Argus Drop'!CP:CP)</f>
        <v>633</v>
      </c>
      <c r="CM20" s="440">
        <f>SUMIF('Argus Drop'!$D:$D,$A20,'Argus Drop'!CQ:CQ)</f>
        <v>633</v>
      </c>
      <c r="CN20" s="440">
        <f>SUMIF('Argus Drop'!$D:$D,$A20,'Argus Drop'!CR:CR)</f>
        <v>633</v>
      </c>
      <c r="CO20" s="440">
        <f>SUMIF('Argus Drop'!$D:$D,$A20,'Argus Drop'!CS:CS)</f>
        <v>633</v>
      </c>
      <c r="CP20" s="440">
        <f>SUMIF('Argus Drop'!$D:$D,$A20,'Argus Drop'!CT:CT)</f>
        <v>633</v>
      </c>
      <c r="CQ20" s="440">
        <f>SUMIF('Argus Drop'!$D:$D,$A20,'Argus Drop'!CU:CU)</f>
        <v>633</v>
      </c>
      <c r="CR20" s="440">
        <f>SUMIF('Argus Drop'!$D:$D,$A20,'Argus Drop'!CV:CV)</f>
        <v>633</v>
      </c>
      <c r="CS20" s="440">
        <f>SUMIF('Argus Drop'!$D:$D,$A20,'Argus Drop'!CW:CW)</f>
        <v>633</v>
      </c>
      <c r="CT20" s="440">
        <f>SUMIF('Argus Drop'!$D:$D,$A20,'Argus Drop'!CX:CX)</f>
        <v>633</v>
      </c>
      <c r="CU20" s="440">
        <f>SUMIF('Argus Drop'!$D:$D,$A20,'Argus Drop'!CY:CY)</f>
        <v>633</v>
      </c>
      <c r="CV20" s="440">
        <f>SUMIF('Argus Drop'!$D:$D,$A20,'Argus Drop'!CZ:CZ)</f>
        <v>633</v>
      </c>
      <c r="CW20" s="440">
        <f>SUMIF('Argus Drop'!$D:$D,$A20,'Argus Drop'!DA:DA)</f>
        <v>652</v>
      </c>
      <c r="CX20" s="440">
        <f>SUMIF('Argus Drop'!$D:$D,$A20,'Argus Drop'!DB:DB)</f>
        <v>652</v>
      </c>
      <c r="CY20" s="440">
        <f>SUMIF('Argus Drop'!$D:$D,$A20,'Argus Drop'!DC:DC)</f>
        <v>652</v>
      </c>
      <c r="CZ20" s="440">
        <f>SUMIF('Argus Drop'!$D:$D,$A20,'Argus Drop'!DD:DD)</f>
        <v>652</v>
      </c>
      <c r="DA20" s="440">
        <f>SUMIF('Argus Drop'!$D:$D,$A20,'Argus Drop'!DE:DE)</f>
        <v>652</v>
      </c>
      <c r="DB20" s="440">
        <f>SUMIF('Argus Drop'!$D:$D,$A20,'Argus Drop'!DF:DF)</f>
        <v>652</v>
      </c>
      <c r="DC20" s="440">
        <f>SUMIF('Argus Drop'!$D:$D,$A20,'Argus Drop'!DG:DG)</f>
        <v>652</v>
      </c>
      <c r="DD20" s="440">
        <f>SUMIF('Argus Drop'!$D:$D,$A20,'Argus Drop'!DH:DH)</f>
        <v>652</v>
      </c>
      <c r="DE20" s="440">
        <f>SUMIF('Argus Drop'!$D:$D,$A20,'Argus Drop'!DI:DI)</f>
        <v>652</v>
      </c>
      <c r="DF20" s="440">
        <f>SUMIF('Argus Drop'!$D:$D,$A20,'Argus Drop'!DJ:DJ)</f>
        <v>652</v>
      </c>
      <c r="DG20" s="440">
        <f>SUMIF('Argus Drop'!$D:$D,$A20,'Argus Drop'!DK:DK)</f>
        <v>652</v>
      </c>
      <c r="DH20" s="440">
        <f>SUMIF('Argus Drop'!$D:$D,$A20,'Argus Drop'!DL:DL)</f>
        <v>652</v>
      </c>
      <c r="DI20" s="440">
        <f>SUMIF('Argus Drop'!$D:$D,$A20,'Argus Drop'!DM:DM)</f>
        <v>672</v>
      </c>
      <c r="DJ20" s="440">
        <f>SUMIF('Argus Drop'!$D:$D,$A20,'Argus Drop'!DN:DN)</f>
        <v>672</v>
      </c>
      <c r="DK20" s="440">
        <f>SUMIF('Argus Drop'!$D:$D,$A20,'Argus Drop'!DO:DO)</f>
        <v>672</v>
      </c>
      <c r="DL20" s="440">
        <f>SUMIF('Argus Drop'!$D:$D,$A20,'Argus Drop'!DP:DP)</f>
        <v>672</v>
      </c>
      <c r="DM20" s="440">
        <f>SUMIF('Argus Drop'!$D:$D,$A20,'Argus Drop'!DQ:DQ)</f>
        <v>672</v>
      </c>
      <c r="DN20" s="440">
        <f>SUMIF('Argus Drop'!$D:$D,$A20,'Argus Drop'!DR:DR)</f>
        <v>672</v>
      </c>
      <c r="DO20" s="440">
        <f>SUMIF('Argus Drop'!$D:$D,$A20,'Argus Drop'!DS:DS)</f>
        <v>672</v>
      </c>
      <c r="DP20" s="440">
        <f>SUMIF('Argus Drop'!$D:$D,$A20,'Argus Drop'!DT:DT)</f>
        <v>672</v>
      </c>
      <c r="DQ20" s="440">
        <f>SUMIF('Argus Drop'!$D:$D,$A20,'Argus Drop'!DU:DU)</f>
        <v>672</v>
      </c>
      <c r="DR20" s="440">
        <f>SUMIF('Argus Drop'!$D:$D,$A20,'Argus Drop'!DV:DV)</f>
        <v>672</v>
      </c>
      <c r="DS20" s="440"/>
      <c r="DT20" s="440"/>
      <c r="DU20" s="440"/>
      <c r="DV20" s="440"/>
      <c r="DW20" s="440"/>
      <c r="DX20" s="440"/>
      <c r="DY20" s="440"/>
      <c r="DZ20" s="440"/>
      <c r="EA20" s="440"/>
      <c r="EB20" s="440"/>
      <c r="EC20" s="440"/>
      <c r="ED20" s="1419"/>
      <c r="EE20" s="1419"/>
      <c r="EF20" s="1419"/>
      <c r="EG20" s="1419"/>
      <c r="EH20" s="1419"/>
      <c r="EI20" s="1419"/>
      <c r="EJ20" s="1419"/>
      <c r="EK20" s="1419"/>
      <c r="EL20" s="1419"/>
      <c r="EM20" s="1419"/>
      <c r="EN20" s="1419"/>
      <c r="EO20" s="1419"/>
      <c r="EP20" s="1419"/>
      <c r="EQ20" s="1419"/>
      <c r="ER20" s="1419"/>
      <c r="ES20" s="1419"/>
      <c r="ET20" s="1419"/>
      <c r="EU20" s="1419"/>
      <c r="EV20" s="1419"/>
      <c r="EW20" s="1419"/>
      <c r="EX20" s="1419"/>
      <c r="EY20" s="1419"/>
      <c r="EZ20" s="1419"/>
      <c r="FA20" s="1419"/>
      <c r="FB20" s="1419"/>
      <c r="FC20" s="1419"/>
      <c r="FD20" s="1419"/>
      <c r="FE20" s="1419"/>
      <c r="FF20" s="1419"/>
      <c r="FG20" s="1419"/>
      <c r="FH20" s="1419"/>
      <c r="FI20" s="1419"/>
    </row>
    <row r="21" spans="1:165">
      <c r="A21" s="448" t="str">
        <f>IF(+'Argus Drop'!B21="","",'Argus Drop'!B21)</f>
        <v>Patio</v>
      </c>
      <c r="B21" s="440">
        <f>SUMIF('Argus Drop'!$D:$D,$A21,'Argus Drop'!F:F)</f>
        <v>0</v>
      </c>
      <c r="C21" s="440">
        <f>SUMIF('Argus Drop'!$D:$D,$A21,'Argus Drop'!G:G)</f>
        <v>0</v>
      </c>
      <c r="D21" s="440">
        <f>SUMIF('Argus Drop'!$D:$D,$A21,'Argus Drop'!H:H)</f>
        <v>0</v>
      </c>
      <c r="E21" s="440">
        <f>SUMIF('Argus Drop'!$D:$D,$A21,'Argus Drop'!I:I)</f>
        <v>0</v>
      </c>
      <c r="F21" s="440">
        <f>SUMIF('Argus Drop'!$D:$D,$A21,'Argus Drop'!J:J)</f>
        <v>0</v>
      </c>
      <c r="G21" s="440">
        <f>SUMIF('Argus Drop'!$D:$D,$A21,'Argus Drop'!K:K)</f>
        <v>0</v>
      </c>
      <c r="H21" s="440">
        <f>SUMIF('Argus Drop'!$D:$D,$A21,'Argus Drop'!L:L)</f>
        <v>0</v>
      </c>
      <c r="I21" s="440">
        <f>SUMIF('Argus Drop'!$D:$D,$A21,'Argus Drop'!M:M)</f>
        <v>0</v>
      </c>
      <c r="J21" s="440">
        <f>SUMIF('Argus Drop'!$D:$D,$A21,'Argus Drop'!N:N)</f>
        <v>0</v>
      </c>
      <c r="K21" s="440">
        <f>SUMIF('Argus Drop'!$D:$D,$A21,'Argus Drop'!O:O)</f>
        <v>0</v>
      </c>
      <c r="L21" s="440">
        <f>SUMIF('Argus Drop'!$D:$D,$A21,'Argus Drop'!P:P)</f>
        <v>0</v>
      </c>
      <c r="M21" s="440">
        <f>SUMIF('Argus Drop'!$D:$D,$A21,'Argus Drop'!Q:Q)</f>
        <v>0</v>
      </c>
      <c r="N21" s="440">
        <f>SUMIF('Argus Drop'!$D:$D,$A21,'Argus Drop'!R:R)</f>
        <v>0</v>
      </c>
      <c r="O21" s="440">
        <f>SUMIF('Argus Drop'!$D:$D,$A21,'Argus Drop'!S:S)</f>
        <v>0</v>
      </c>
      <c r="P21" s="440">
        <f>SUMIF('Argus Drop'!$D:$D,$A21,'Argus Drop'!T:T)</f>
        <v>0</v>
      </c>
      <c r="Q21" s="440">
        <f>SUMIF('Argus Drop'!$D:$D,$A21,'Argus Drop'!U:U)</f>
        <v>0</v>
      </c>
      <c r="R21" s="440">
        <f>SUMIF('Argus Drop'!$D:$D,$A21,'Argus Drop'!V:V)</f>
        <v>0</v>
      </c>
      <c r="S21" s="440">
        <f>SUMIF('Argus Drop'!$D:$D,$A21,'Argus Drop'!W:W)</f>
        <v>0</v>
      </c>
      <c r="T21" s="440">
        <f>SUMIF('Argus Drop'!$D:$D,$A21,'Argus Drop'!X:X)</f>
        <v>0</v>
      </c>
      <c r="U21" s="440">
        <f>SUMIF('Argus Drop'!$D:$D,$A21,'Argus Drop'!Y:Y)</f>
        <v>0</v>
      </c>
      <c r="V21" s="440">
        <f>SUMIF('Argus Drop'!$D:$D,$A21,'Argus Drop'!Z:Z)</f>
        <v>0</v>
      </c>
      <c r="W21" s="440">
        <f>SUMIF('Argus Drop'!$D:$D,$A21,'Argus Drop'!AA:AA)</f>
        <v>0</v>
      </c>
      <c r="X21" s="440">
        <f>SUMIF('Argus Drop'!$D:$D,$A21,'Argus Drop'!AB:AB)</f>
        <v>0</v>
      </c>
      <c r="Y21" s="440">
        <f>SUMIF('Argus Drop'!$D:$D,$A21,'Argus Drop'!AC:AC)</f>
        <v>0</v>
      </c>
      <c r="Z21" s="440">
        <f>SUMIF('Argus Drop'!$D:$D,$A21,'Argus Drop'!AD:AD)</f>
        <v>0</v>
      </c>
      <c r="AA21" s="440">
        <f>SUMIF('Argus Drop'!$D:$D,$A21,'Argus Drop'!AE:AE)</f>
        <v>0</v>
      </c>
      <c r="AB21" s="440">
        <f>SUMIF('Argus Drop'!$D:$D,$A21,'Argus Drop'!AF:AF)</f>
        <v>0</v>
      </c>
      <c r="AC21" s="440">
        <f>SUMIF('Argus Drop'!$D:$D,$A21,'Argus Drop'!AG:AG)</f>
        <v>0</v>
      </c>
      <c r="AD21" s="440">
        <f>SUMIF('Argus Drop'!$D:$D,$A21,'Argus Drop'!AH:AH)</f>
        <v>0</v>
      </c>
      <c r="AE21" s="440">
        <f>SUMIF('Argus Drop'!$D:$D,$A21,'Argus Drop'!AI:AI)</f>
        <v>0</v>
      </c>
      <c r="AF21" s="440">
        <f>SUMIF('Argus Drop'!$D:$D,$A21,'Argus Drop'!AJ:AJ)</f>
        <v>0</v>
      </c>
      <c r="AG21" s="440">
        <f>SUMIF('Argus Drop'!$D:$D,$A21,'Argus Drop'!AK:AK)</f>
        <v>0</v>
      </c>
      <c r="AH21" s="440">
        <f>SUMIF('Argus Drop'!$D:$D,$A21,'Argus Drop'!AL:AL)</f>
        <v>0</v>
      </c>
      <c r="AI21" s="440">
        <f>SUMIF('Argus Drop'!$D:$D,$A21,'Argus Drop'!AM:AM)</f>
        <v>0</v>
      </c>
      <c r="AJ21" s="440">
        <f>SUMIF('Argus Drop'!$D:$D,$A21,'Argus Drop'!AN:AN)</f>
        <v>0</v>
      </c>
      <c r="AK21" s="440">
        <f>SUMIF('Argus Drop'!$D:$D,$A21,'Argus Drop'!AO:AO)</f>
        <v>0</v>
      </c>
      <c r="AL21" s="440">
        <f>SUMIF('Argus Drop'!$D:$D,$A21,'Argus Drop'!AP:AP)</f>
        <v>0</v>
      </c>
      <c r="AM21" s="440">
        <f>SUMIF('Argus Drop'!$D:$D,$A21,'Argus Drop'!AQ:AQ)</f>
        <v>0</v>
      </c>
      <c r="AN21" s="440">
        <f>SUMIF('Argus Drop'!$D:$D,$A21,'Argus Drop'!AR:AR)</f>
        <v>0</v>
      </c>
      <c r="AO21" s="440">
        <f>SUMIF('Argus Drop'!$D:$D,$A21,'Argus Drop'!AS:AS)</f>
        <v>0</v>
      </c>
      <c r="AP21" s="440">
        <f>SUMIF('Argus Drop'!$D:$D,$A21,'Argus Drop'!AT:AT)</f>
        <v>0</v>
      </c>
      <c r="AQ21" s="440">
        <f>SUMIF('Argus Drop'!$D:$D,$A21,'Argus Drop'!AU:AU)</f>
        <v>0</v>
      </c>
      <c r="AR21" s="440">
        <f>SUMIF('Argus Drop'!$D:$D,$A21,'Argus Drop'!AV:AV)</f>
        <v>0</v>
      </c>
      <c r="AS21" s="440">
        <f>SUMIF('Argus Drop'!$D:$D,$A21,'Argus Drop'!AW:AW)</f>
        <v>0</v>
      </c>
      <c r="AT21" s="440">
        <f>SUMIF('Argus Drop'!$D:$D,$A21,'Argus Drop'!AX:AX)</f>
        <v>0</v>
      </c>
      <c r="AU21" s="440">
        <f>SUMIF('Argus Drop'!$D:$D,$A21,'Argus Drop'!AY:AY)</f>
        <v>0</v>
      </c>
      <c r="AV21" s="440">
        <f>SUMIF('Argus Drop'!$D:$D,$A21,'Argus Drop'!AZ:AZ)</f>
        <v>0</v>
      </c>
      <c r="AW21" s="440">
        <f>SUMIF('Argus Drop'!$D:$D,$A21,'Argus Drop'!BA:BA)</f>
        <v>0</v>
      </c>
      <c r="AX21" s="440">
        <f>SUMIF('Argus Drop'!$D:$D,$A21,'Argus Drop'!BB:BB)</f>
        <v>0</v>
      </c>
      <c r="AY21" s="440">
        <f>SUMIF('Argus Drop'!$D:$D,$A21,'Argus Drop'!BC:BC)</f>
        <v>0</v>
      </c>
      <c r="AZ21" s="440">
        <f>SUMIF('Argus Drop'!$D:$D,$A21,'Argus Drop'!BD:BD)</f>
        <v>0</v>
      </c>
      <c r="BA21" s="440">
        <f>SUMIF('Argus Drop'!$D:$D,$A21,'Argus Drop'!BE:BE)</f>
        <v>0</v>
      </c>
      <c r="BB21" s="440">
        <f>SUMIF('Argus Drop'!$D:$D,$A21,'Argus Drop'!BF:BF)</f>
        <v>0</v>
      </c>
      <c r="BC21" s="440">
        <f>SUMIF('Argus Drop'!$D:$D,$A21,'Argus Drop'!BG:BG)</f>
        <v>0</v>
      </c>
      <c r="BD21" s="440">
        <f>SUMIF('Argus Drop'!$D:$D,$A21,'Argus Drop'!BH:BH)</f>
        <v>0</v>
      </c>
      <c r="BE21" s="440">
        <f>SUMIF('Argus Drop'!$D:$D,$A21,'Argus Drop'!BI:BI)</f>
        <v>0</v>
      </c>
      <c r="BF21" s="440">
        <f>SUMIF('Argus Drop'!$D:$D,$A21,'Argus Drop'!BJ:BJ)</f>
        <v>0</v>
      </c>
      <c r="BG21" s="440">
        <f>SUMIF('Argus Drop'!$D:$D,$A21,'Argus Drop'!BK:BK)</f>
        <v>0</v>
      </c>
      <c r="BH21" s="440">
        <f>SUMIF('Argus Drop'!$D:$D,$A21,'Argus Drop'!BL:BL)</f>
        <v>0</v>
      </c>
      <c r="BI21" s="440">
        <f>SUMIF('Argus Drop'!$D:$D,$A21,'Argus Drop'!BM:BM)</f>
        <v>0</v>
      </c>
      <c r="BJ21" s="440">
        <f>SUMIF('Argus Drop'!$D:$D,$A21,'Argus Drop'!BN:BN)</f>
        <v>0</v>
      </c>
      <c r="BK21" s="440">
        <f>SUMIF('Argus Drop'!$D:$D,$A21,'Argus Drop'!BO:BO)</f>
        <v>0</v>
      </c>
      <c r="BL21" s="440">
        <f>SUMIF('Argus Drop'!$D:$D,$A21,'Argus Drop'!BP:BP)</f>
        <v>0</v>
      </c>
      <c r="BM21" s="440">
        <f>SUMIF('Argus Drop'!$D:$D,$A21,'Argus Drop'!BQ:BQ)</f>
        <v>0</v>
      </c>
      <c r="BN21" s="440">
        <f>SUMIF('Argus Drop'!$D:$D,$A21,'Argus Drop'!BR:BR)</f>
        <v>0</v>
      </c>
      <c r="BO21" s="440">
        <f>SUMIF('Argus Drop'!$D:$D,$A21,'Argus Drop'!BS:BS)</f>
        <v>0</v>
      </c>
      <c r="BP21" s="440">
        <f>SUMIF('Argus Drop'!$D:$D,$A21,'Argus Drop'!BT:BT)</f>
        <v>0</v>
      </c>
      <c r="BQ21" s="440">
        <f>SUMIF('Argus Drop'!$D:$D,$A21,'Argus Drop'!BU:BU)</f>
        <v>0</v>
      </c>
      <c r="BR21" s="440">
        <f>SUMIF('Argus Drop'!$D:$D,$A21,'Argus Drop'!BV:BV)</f>
        <v>0</v>
      </c>
      <c r="BS21" s="440">
        <f>SUMIF('Argus Drop'!$D:$D,$A21,'Argus Drop'!BW:BW)</f>
        <v>0</v>
      </c>
      <c r="BT21" s="440">
        <f>SUMIF('Argus Drop'!$D:$D,$A21,'Argus Drop'!BX:BX)</f>
        <v>0</v>
      </c>
      <c r="BU21" s="440">
        <f>SUMIF('Argus Drop'!$D:$D,$A21,'Argus Drop'!BY:BY)</f>
        <v>0</v>
      </c>
      <c r="BV21" s="440">
        <f>SUMIF('Argus Drop'!$D:$D,$A21,'Argus Drop'!BZ:BZ)</f>
        <v>0</v>
      </c>
      <c r="BW21" s="440">
        <f>SUMIF('Argus Drop'!$D:$D,$A21,'Argus Drop'!CA:CA)</f>
        <v>0</v>
      </c>
      <c r="BX21" s="440">
        <f>SUMIF('Argus Drop'!$D:$D,$A21,'Argus Drop'!CB:CB)</f>
        <v>0</v>
      </c>
      <c r="BY21" s="440">
        <f>SUMIF('Argus Drop'!$D:$D,$A21,'Argus Drop'!CC:CC)</f>
        <v>0</v>
      </c>
      <c r="BZ21" s="440">
        <f>SUMIF('Argus Drop'!$D:$D,$A21,'Argus Drop'!CD:CD)</f>
        <v>0</v>
      </c>
      <c r="CA21" s="440">
        <f>SUMIF('Argus Drop'!$D:$D,$A21,'Argus Drop'!CE:CE)</f>
        <v>0</v>
      </c>
      <c r="CB21" s="440">
        <f>SUMIF('Argus Drop'!$D:$D,$A21,'Argus Drop'!CF:CF)</f>
        <v>0</v>
      </c>
      <c r="CC21" s="440">
        <f>SUMIF('Argus Drop'!$D:$D,$A21,'Argus Drop'!CG:CG)</f>
        <v>0</v>
      </c>
      <c r="CD21" s="440">
        <f>SUMIF('Argus Drop'!$D:$D,$A21,'Argus Drop'!CH:CH)</f>
        <v>0</v>
      </c>
      <c r="CE21" s="440">
        <f>SUMIF('Argus Drop'!$D:$D,$A21,'Argus Drop'!CI:CI)</f>
        <v>0</v>
      </c>
      <c r="CF21" s="440">
        <f>SUMIF('Argus Drop'!$D:$D,$A21,'Argus Drop'!CJ:CJ)</f>
        <v>0</v>
      </c>
      <c r="CG21" s="440">
        <f>SUMIF('Argus Drop'!$D:$D,$A21,'Argus Drop'!CK:CK)</f>
        <v>0</v>
      </c>
      <c r="CH21" s="440">
        <f>SUMIF('Argus Drop'!$D:$D,$A21,'Argus Drop'!CL:CL)</f>
        <v>0</v>
      </c>
      <c r="CI21" s="440">
        <f>SUMIF('Argus Drop'!$D:$D,$A21,'Argus Drop'!CM:CM)</f>
        <v>0</v>
      </c>
      <c r="CJ21" s="440">
        <f>SUMIF('Argus Drop'!$D:$D,$A21,'Argus Drop'!CN:CN)</f>
        <v>0</v>
      </c>
      <c r="CK21" s="440">
        <f>SUMIF('Argus Drop'!$D:$D,$A21,'Argus Drop'!CO:CO)</f>
        <v>0</v>
      </c>
      <c r="CL21" s="440">
        <f>SUMIF('Argus Drop'!$D:$D,$A21,'Argus Drop'!CP:CP)</f>
        <v>0</v>
      </c>
      <c r="CM21" s="440">
        <f>SUMIF('Argus Drop'!$D:$D,$A21,'Argus Drop'!CQ:CQ)</f>
        <v>0</v>
      </c>
      <c r="CN21" s="440">
        <f>SUMIF('Argus Drop'!$D:$D,$A21,'Argus Drop'!CR:CR)</f>
        <v>0</v>
      </c>
      <c r="CO21" s="440">
        <f>SUMIF('Argus Drop'!$D:$D,$A21,'Argus Drop'!CS:CS)</f>
        <v>0</v>
      </c>
      <c r="CP21" s="440">
        <f>SUMIF('Argus Drop'!$D:$D,$A21,'Argus Drop'!CT:CT)</f>
        <v>0</v>
      </c>
      <c r="CQ21" s="440">
        <f>SUMIF('Argus Drop'!$D:$D,$A21,'Argus Drop'!CU:CU)</f>
        <v>0</v>
      </c>
      <c r="CR21" s="440">
        <f>SUMIF('Argus Drop'!$D:$D,$A21,'Argus Drop'!CV:CV)</f>
        <v>0</v>
      </c>
      <c r="CS21" s="440">
        <f>SUMIF('Argus Drop'!$D:$D,$A21,'Argus Drop'!CW:CW)</f>
        <v>0</v>
      </c>
      <c r="CT21" s="440">
        <f>SUMIF('Argus Drop'!$D:$D,$A21,'Argus Drop'!CX:CX)</f>
        <v>0</v>
      </c>
      <c r="CU21" s="440">
        <f>SUMIF('Argus Drop'!$D:$D,$A21,'Argus Drop'!CY:CY)</f>
        <v>0</v>
      </c>
      <c r="CV21" s="440">
        <f>SUMIF('Argus Drop'!$D:$D,$A21,'Argus Drop'!CZ:CZ)</f>
        <v>0</v>
      </c>
      <c r="CW21" s="440">
        <f>SUMIF('Argus Drop'!$D:$D,$A21,'Argus Drop'!DA:DA)</f>
        <v>0</v>
      </c>
      <c r="CX21" s="440">
        <f>SUMIF('Argus Drop'!$D:$D,$A21,'Argus Drop'!DB:DB)</f>
        <v>0</v>
      </c>
      <c r="CY21" s="440">
        <f>SUMIF('Argus Drop'!$D:$D,$A21,'Argus Drop'!DC:DC)</f>
        <v>0</v>
      </c>
      <c r="CZ21" s="440">
        <f>SUMIF('Argus Drop'!$D:$D,$A21,'Argus Drop'!DD:DD)</f>
        <v>0</v>
      </c>
      <c r="DA21" s="440">
        <f>SUMIF('Argus Drop'!$D:$D,$A21,'Argus Drop'!DE:DE)</f>
        <v>0</v>
      </c>
      <c r="DB21" s="440">
        <f>SUMIF('Argus Drop'!$D:$D,$A21,'Argus Drop'!DF:DF)</f>
        <v>0</v>
      </c>
      <c r="DC21" s="440">
        <f>SUMIF('Argus Drop'!$D:$D,$A21,'Argus Drop'!DG:DG)</f>
        <v>0</v>
      </c>
      <c r="DD21" s="440">
        <f>SUMIF('Argus Drop'!$D:$D,$A21,'Argus Drop'!DH:DH)</f>
        <v>0</v>
      </c>
      <c r="DE21" s="440">
        <f>SUMIF('Argus Drop'!$D:$D,$A21,'Argus Drop'!DI:DI)</f>
        <v>0</v>
      </c>
      <c r="DF21" s="440">
        <f>SUMIF('Argus Drop'!$D:$D,$A21,'Argus Drop'!DJ:DJ)</f>
        <v>0</v>
      </c>
      <c r="DG21" s="440">
        <f>SUMIF('Argus Drop'!$D:$D,$A21,'Argus Drop'!DK:DK)</f>
        <v>0</v>
      </c>
      <c r="DH21" s="440">
        <f>SUMIF('Argus Drop'!$D:$D,$A21,'Argus Drop'!DL:DL)</f>
        <v>0</v>
      </c>
      <c r="DI21" s="440">
        <f>SUMIF('Argus Drop'!$D:$D,$A21,'Argus Drop'!DM:DM)</f>
        <v>0</v>
      </c>
      <c r="DJ21" s="440">
        <f>SUMIF('Argus Drop'!$D:$D,$A21,'Argus Drop'!DN:DN)</f>
        <v>0</v>
      </c>
      <c r="DK21" s="440">
        <f>SUMIF('Argus Drop'!$D:$D,$A21,'Argus Drop'!DO:DO)</f>
        <v>0</v>
      </c>
      <c r="DL21" s="440">
        <f>SUMIF('Argus Drop'!$D:$D,$A21,'Argus Drop'!DP:DP)</f>
        <v>0</v>
      </c>
      <c r="DM21" s="440">
        <f>SUMIF('Argus Drop'!$D:$D,$A21,'Argus Drop'!DQ:DQ)</f>
        <v>0</v>
      </c>
      <c r="DN21" s="440">
        <f>SUMIF('Argus Drop'!$D:$D,$A21,'Argus Drop'!DR:DR)</f>
        <v>0</v>
      </c>
      <c r="DO21" s="440">
        <f>SUMIF('Argus Drop'!$D:$D,$A21,'Argus Drop'!DS:DS)</f>
        <v>0</v>
      </c>
      <c r="DP21" s="440">
        <f>SUMIF('Argus Drop'!$D:$D,$A21,'Argus Drop'!DT:DT)</f>
        <v>0</v>
      </c>
      <c r="DQ21" s="440">
        <f>SUMIF('Argus Drop'!$D:$D,$A21,'Argus Drop'!DU:DU)</f>
        <v>0</v>
      </c>
      <c r="DR21" s="440">
        <f>SUMIF('Argus Drop'!$D:$D,$A21,'Argus Drop'!DV:DV)</f>
        <v>0</v>
      </c>
      <c r="DS21" s="440"/>
      <c r="DT21" s="440"/>
      <c r="DU21" s="440"/>
      <c r="DV21" s="440"/>
      <c r="DW21" s="440"/>
      <c r="DX21" s="440"/>
      <c r="DY21" s="440"/>
      <c r="DZ21" s="440"/>
      <c r="EA21" s="440"/>
      <c r="EB21" s="440"/>
      <c r="EC21" s="440"/>
      <c r="ED21" s="1419"/>
      <c r="EE21" s="1419"/>
      <c r="EF21" s="1419"/>
      <c r="EG21" s="1419"/>
      <c r="EH21" s="1419"/>
      <c r="EI21" s="1419"/>
      <c r="EJ21" s="1419"/>
      <c r="EK21" s="1419"/>
      <c r="EL21" s="1419"/>
      <c r="EM21" s="1419"/>
      <c r="EN21" s="1419"/>
      <c r="EO21" s="1419"/>
      <c r="EP21" s="1419"/>
      <c r="EQ21" s="1419"/>
      <c r="ER21" s="1419"/>
      <c r="ES21" s="1419"/>
      <c r="ET21" s="1419"/>
      <c r="EU21" s="1419"/>
      <c r="EV21" s="1419"/>
      <c r="EW21" s="1419"/>
      <c r="EX21" s="1419"/>
      <c r="EY21" s="1419"/>
      <c r="EZ21" s="1419"/>
      <c r="FA21" s="1419"/>
      <c r="FB21" s="1419"/>
      <c r="FC21" s="1419"/>
      <c r="FD21" s="1419"/>
      <c r="FE21" s="1419"/>
      <c r="FF21" s="1419"/>
      <c r="FG21" s="1419"/>
      <c r="FH21" s="1419"/>
      <c r="FI21" s="1419"/>
    </row>
    <row r="22" spans="1:165">
      <c r="A22" s="448">
        <f>IF(+'Argus Drop'!B22="","",'Argus Drop'!B22)</f>
        <v>6</v>
      </c>
      <c r="B22" s="440">
        <f>SUMIF('Argus Drop'!$D:$D,$A22,'Argus Drop'!F:F)</f>
        <v>27000</v>
      </c>
      <c r="C22" s="440">
        <f>SUMIF('Argus Drop'!$D:$D,$A22,'Argus Drop'!G:G)</f>
        <v>27000</v>
      </c>
      <c r="D22" s="440">
        <f>SUMIF('Argus Drop'!$D:$D,$A22,'Argus Drop'!H:H)</f>
        <v>27000</v>
      </c>
      <c r="E22" s="440">
        <f>SUMIF('Argus Drop'!$D:$D,$A22,'Argus Drop'!I:I)</f>
        <v>27810</v>
      </c>
      <c r="F22" s="440">
        <f>SUMIF('Argus Drop'!$D:$D,$A22,'Argus Drop'!J:J)</f>
        <v>27810</v>
      </c>
      <c r="G22" s="440">
        <f>SUMIF('Argus Drop'!$D:$D,$A22,'Argus Drop'!K:K)</f>
        <v>27810</v>
      </c>
      <c r="H22" s="440">
        <f>SUMIF('Argus Drop'!$D:$D,$A22,'Argus Drop'!L:L)</f>
        <v>27810</v>
      </c>
      <c r="I22" s="440">
        <f>SUMIF('Argus Drop'!$D:$D,$A22,'Argus Drop'!M:M)</f>
        <v>27810</v>
      </c>
      <c r="J22" s="440">
        <f>SUMIF('Argus Drop'!$D:$D,$A22,'Argus Drop'!N:N)</f>
        <v>27810</v>
      </c>
      <c r="K22" s="440">
        <f>SUMIF('Argus Drop'!$D:$D,$A22,'Argus Drop'!O:O)</f>
        <v>27810</v>
      </c>
      <c r="L22" s="440">
        <f>SUMIF('Argus Drop'!$D:$D,$A22,'Argus Drop'!P:P)</f>
        <v>27810</v>
      </c>
      <c r="M22" s="440">
        <f>SUMIF('Argus Drop'!$D:$D,$A22,'Argus Drop'!Q:Q)</f>
        <v>27810</v>
      </c>
      <c r="N22" s="440">
        <f>SUMIF('Argus Drop'!$D:$D,$A22,'Argus Drop'!R:R)</f>
        <v>27810</v>
      </c>
      <c r="O22" s="440">
        <f>SUMIF('Argus Drop'!$D:$D,$A22,'Argus Drop'!S:S)</f>
        <v>27810</v>
      </c>
      <c r="P22" s="440">
        <f>SUMIF('Argus Drop'!$D:$D,$A22,'Argus Drop'!T:T)</f>
        <v>27810</v>
      </c>
      <c r="Q22" s="440">
        <f>SUMIF('Argus Drop'!$D:$D,$A22,'Argus Drop'!U:U)</f>
        <v>28644</v>
      </c>
      <c r="R22" s="440">
        <f>SUMIF('Argus Drop'!$D:$D,$A22,'Argus Drop'!V:V)</f>
        <v>28644</v>
      </c>
      <c r="S22" s="440">
        <f>SUMIF('Argus Drop'!$D:$D,$A22,'Argus Drop'!W:W)</f>
        <v>28644</v>
      </c>
      <c r="T22" s="440">
        <f>SUMIF('Argus Drop'!$D:$D,$A22,'Argus Drop'!X:X)</f>
        <v>28644</v>
      </c>
      <c r="U22" s="440">
        <f>SUMIF('Argus Drop'!$D:$D,$A22,'Argus Drop'!Y:Y)</f>
        <v>28644</v>
      </c>
      <c r="V22" s="440">
        <f>SUMIF('Argus Drop'!$D:$D,$A22,'Argus Drop'!Z:Z)</f>
        <v>28644</v>
      </c>
      <c r="W22" s="440">
        <f>SUMIF('Argus Drop'!$D:$D,$A22,'Argus Drop'!AA:AA)</f>
        <v>28644</v>
      </c>
      <c r="X22" s="440">
        <f>SUMIF('Argus Drop'!$D:$D,$A22,'Argus Drop'!AB:AB)</f>
        <v>28644</v>
      </c>
      <c r="Y22" s="440">
        <f>SUMIF('Argus Drop'!$D:$D,$A22,'Argus Drop'!AC:AC)</f>
        <v>28644</v>
      </c>
      <c r="Z22" s="440">
        <f>SUMIF('Argus Drop'!$D:$D,$A22,'Argus Drop'!AD:AD)</f>
        <v>28644</v>
      </c>
      <c r="AA22" s="440">
        <f>SUMIF('Argus Drop'!$D:$D,$A22,'Argus Drop'!AE:AE)</f>
        <v>28644</v>
      </c>
      <c r="AB22" s="440">
        <f>SUMIF('Argus Drop'!$D:$D,$A22,'Argus Drop'!AF:AF)</f>
        <v>28644</v>
      </c>
      <c r="AC22" s="440">
        <f>SUMIF('Argus Drop'!$D:$D,$A22,'Argus Drop'!AG:AG)</f>
        <v>29504</v>
      </c>
      <c r="AD22" s="440">
        <f>SUMIF('Argus Drop'!$D:$D,$A22,'Argus Drop'!AH:AH)</f>
        <v>29504</v>
      </c>
      <c r="AE22" s="440">
        <f>SUMIF('Argus Drop'!$D:$D,$A22,'Argus Drop'!AI:AI)</f>
        <v>29504</v>
      </c>
      <c r="AF22" s="440">
        <f>SUMIF('Argus Drop'!$D:$D,$A22,'Argus Drop'!AJ:AJ)</f>
        <v>29504</v>
      </c>
      <c r="AG22" s="440">
        <f>SUMIF('Argus Drop'!$D:$D,$A22,'Argus Drop'!AK:AK)</f>
        <v>29504</v>
      </c>
      <c r="AH22" s="440">
        <f>SUMIF('Argus Drop'!$D:$D,$A22,'Argus Drop'!AL:AL)</f>
        <v>29504</v>
      </c>
      <c r="AI22" s="440">
        <f>SUMIF('Argus Drop'!$D:$D,$A22,'Argus Drop'!AM:AM)</f>
        <v>29504</v>
      </c>
      <c r="AJ22" s="440">
        <f>SUMIF('Argus Drop'!$D:$D,$A22,'Argus Drop'!AN:AN)</f>
        <v>29504</v>
      </c>
      <c r="AK22" s="440">
        <f>SUMIF('Argus Drop'!$D:$D,$A22,'Argus Drop'!AO:AO)</f>
        <v>29504</v>
      </c>
      <c r="AL22" s="440">
        <f>SUMIF('Argus Drop'!$D:$D,$A22,'Argus Drop'!AP:AP)</f>
        <v>29504</v>
      </c>
      <c r="AM22" s="440">
        <f>SUMIF('Argus Drop'!$D:$D,$A22,'Argus Drop'!AQ:AQ)</f>
        <v>29504</v>
      </c>
      <c r="AN22" s="440">
        <f>SUMIF('Argus Drop'!$D:$D,$A22,'Argus Drop'!AR:AR)</f>
        <v>29504</v>
      </c>
      <c r="AO22" s="440">
        <f>SUMIF('Argus Drop'!$D:$D,$A22,'Argus Drop'!AS:AS)</f>
        <v>30389</v>
      </c>
      <c r="AP22" s="440">
        <f>SUMIF('Argus Drop'!$D:$D,$A22,'Argus Drop'!AT:AT)</f>
        <v>30389</v>
      </c>
      <c r="AQ22" s="440">
        <f>SUMIF('Argus Drop'!$D:$D,$A22,'Argus Drop'!AU:AU)</f>
        <v>30389</v>
      </c>
      <c r="AR22" s="440">
        <f>SUMIF('Argus Drop'!$D:$D,$A22,'Argus Drop'!AV:AV)</f>
        <v>30389</v>
      </c>
      <c r="AS22" s="440">
        <f>SUMIF('Argus Drop'!$D:$D,$A22,'Argus Drop'!AW:AW)</f>
        <v>30389</v>
      </c>
      <c r="AT22" s="440">
        <f>SUMIF('Argus Drop'!$D:$D,$A22,'Argus Drop'!AX:AX)</f>
        <v>30389</v>
      </c>
      <c r="AU22" s="440">
        <f>SUMIF('Argus Drop'!$D:$D,$A22,'Argus Drop'!AY:AY)</f>
        <v>30389</v>
      </c>
      <c r="AV22" s="440">
        <f>SUMIF('Argus Drop'!$D:$D,$A22,'Argus Drop'!AZ:AZ)</f>
        <v>30389</v>
      </c>
      <c r="AW22" s="440">
        <f>SUMIF('Argus Drop'!$D:$D,$A22,'Argus Drop'!BA:BA)</f>
        <v>30389</v>
      </c>
      <c r="AX22" s="440">
        <f>SUMIF('Argus Drop'!$D:$D,$A22,'Argus Drop'!BB:BB)</f>
        <v>30389</v>
      </c>
      <c r="AY22" s="440">
        <f>SUMIF('Argus Drop'!$D:$D,$A22,'Argus Drop'!BC:BC)</f>
        <v>30389</v>
      </c>
      <c r="AZ22" s="440">
        <f>SUMIF('Argus Drop'!$D:$D,$A22,'Argus Drop'!BD:BD)</f>
        <v>30389</v>
      </c>
      <c r="BA22" s="440">
        <f>SUMIF('Argus Drop'!$D:$D,$A22,'Argus Drop'!BE:BE)</f>
        <v>31300</v>
      </c>
      <c r="BB22" s="440">
        <f>SUMIF('Argus Drop'!$D:$D,$A22,'Argus Drop'!BF:BF)</f>
        <v>31300</v>
      </c>
      <c r="BC22" s="440">
        <f>SUMIF('Argus Drop'!$D:$D,$A22,'Argus Drop'!BG:BG)</f>
        <v>31300</v>
      </c>
      <c r="BD22" s="440">
        <f>SUMIF('Argus Drop'!$D:$D,$A22,'Argus Drop'!BH:BH)</f>
        <v>31300</v>
      </c>
      <c r="BE22" s="440">
        <f>SUMIF('Argus Drop'!$D:$D,$A22,'Argus Drop'!BI:BI)</f>
        <v>31300</v>
      </c>
      <c r="BF22" s="440">
        <f>SUMIF('Argus Drop'!$D:$D,$A22,'Argus Drop'!BJ:BJ)</f>
        <v>31300</v>
      </c>
      <c r="BG22" s="440">
        <f>SUMIF('Argus Drop'!$D:$D,$A22,'Argus Drop'!BK:BK)</f>
        <v>31300</v>
      </c>
      <c r="BH22" s="440">
        <f>SUMIF('Argus Drop'!$D:$D,$A22,'Argus Drop'!BL:BL)</f>
        <v>31300</v>
      </c>
      <c r="BI22" s="440">
        <f>SUMIF('Argus Drop'!$D:$D,$A22,'Argus Drop'!BM:BM)</f>
        <v>31300</v>
      </c>
      <c r="BJ22" s="440">
        <f>SUMIF('Argus Drop'!$D:$D,$A22,'Argus Drop'!BN:BN)</f>
        <v>31300</v>
      </c>
      <c r="BK22" s="440">
        <f>SUMIF('Argus Drop'!$D:$D,$A22,'Argus Drop'!BO:BO)</f>
        <v>31300</v>
      </c>
      <c r="BL22" s="440">
        <f>SUMIF('Argus Drop'!$D:$D,$A22,'Argus Drop'!BP:BP)</f>
        <v>31300</v>
      </c>
      <c r="BM22" s="440">
        <f>SUMIF('Argus Drop'!$D:$D,$A22,'Argus Drop'!BQ:BQ)</f>
        <v>32239</v>
      </c>
      <c r="BN22" s="440">
        <f>SUMIF('Argus Drop'!$D:$D,$A22,'Argus Drop'!BR:BR)</f>
        <v>32239</v>
      </c>
      <c r="BO22" s="440">
        <f>SUMIF('Argus Drop'!$D:$D,$A22,'Argus Drop'!BS:BS)</f>
        <v>32239</v>
      </c>
      <c r="BP22" s="440">
        <f>SUMIF('Argus Drop'!$D:$D,$A22,'Argus Drop'!BT:BT)</f>
        <v>32239</v>
      </c>
      <c r="BQ22" s="440">
        <f>SUMIF('Argus Drop'!$D:$D,$A22,'Argus Drop'!BU:BU)</f>
        <v>32239</v>
      </c>
      <c r="BR22" s="440">
        <f>SUMIF('Argus Drop'!$D:$D,$A22,'Argus Drop'!BV:BV)</f>
        <v>32239</v>
      </c>
      <c r="BS22" s="440">
        <f>SUMIF('Argus Drop'!$D:$D,$A22,'Argus Drop'!BW:BW)</f>
        <v>32239</v>
      </c>
      <c r="BT22" s="440">
        <f>SUMIF('Argus Drop'!$D:$D,$A22,'Argus Drop'!BX:BX)</f>
        <v>32239</v>
      </c>
      <c r="BU22" s="440">
        <f>SUMIF('Argus Drop'!$D:$D,$A22,'Argus Drop'!BY:BY)</f>
        <v>32239</v>
      </c>
      <c r="BV22" s="440">
        <f>SUMIF('Argus Drop'!$D:$D,$A22,'Argus Drop'!BZ:BZ)</f>
        <v>32239</v>
      </c>
      <c r="BW22" s="440">
        <f>SUMIF('Argus Drop'!$D:$D,$A22,'Argus Drop'!CA:CA)</f>
        <v>32239</v>
      </c>
      <c r="BX22" s="440">
        <f>SUMIF('Argus Drop'!$D:$D,$A22,'Argus Drop'!CB:CB)</f>
        <v>32239</v>
      </c>
      <c r="BY22" s="440">
        <f>SUMIF('Argus Drop'!$D:$D,$A22,'Argus Drop'!CC:CC)</f>
        <v>33207</v>
      </c>
      <c r="BZ22" s="440">
        <f>SUMIF('Argus Drop'!$D:$D,$A22,'Argus Drop'!CD:CD)</f>
        <v>33207</v>
      </c>
      <c r="CA22" s="440">
        <f>SUMIF('Argus Drop'!$D:$D,$A22,'Argus Drop'!CE:CE)</f>
        <v>33207</v>
      </c>
      <c r="CB22" s="440">
        <f>SUMIF('Argus Drop'!$D:$D,$A22,'Argus Drop'!CF:CF)</f>
        <v>33207</v>
      </c>
      <c r="CC22" s="440">
        <f>SUMIF('Argus Drop'!$D:$D,$A22,'Argus Drop'!CG:CG)</f>
        <v>33207</v>
      </c>
      <c r="CD22" s="440">
        <f>SUMIF('Argus Drop'!$D:$D,$A22,'Argus Drop'!CH:CH)</f>
        <v>33207</v>
      </c>
      <c r="CE22" s="440">
        <f>SUMIF('Argus Drop'!$D:$D,$A22,'Argus Drop'!CI:CI)</f>
        <v>33207</v>
      </c>
      <c r="CF22" s="440">
        <f>SUMIF('Argus Drop'!$D:$D,$A22,'Argus Drop'!CJ:CJ)</f>
        <v>33207</v>
      </c>
      <c r="CG22" s="440">
        <f>SUMIF('Argus Drop'!$D:$D,$A22,'Argus Drop'!CK:CK)</f>
        <v>33207</v>
      </c>
      <c r="CH22" s="440">
        <f>SUMIF('Argus Drop'!$D:$D,$A22,'Argus Drop'!CL:CL)</f>
        <v>33207</v>
      </c>
      <c r="CI22" s="440">
        <f>SUMIF('Argus Drop'!$D:$D,$A22,'Argus Drop'!CM:CM)</f>
        <v>33207</v>
      </c>
      <c r="CJ22" s="440">
        <f>SUMIF('Argus Drop'!$D:$D,$A22,'Argus Drop'!CN:CN)</f>
        <v>33207</v>
      </c>
      <c r="CK22" s="440">
        <f>SUMIF('Argus Drop'!$D:$D,$A22,'Argus Drop'!CO:CO)</f>
        <v>34203</v>
      </c>
      <c r="CL22" s="440">
        <f>SUMIF('Argus Drop'!$D:$D,$A22,'Argus Drop'!CP:CP)</f>
        <v>34203</v>
      </c>
      <c r="CM22" s="440">
        <f>SUMIF('Argus Drop'!$D:$D,$A22,'Argus Drop'!CQ:CQ)</f>
        <v>34203</v>
      </c>
      <c r="CN22" s="440">
        <f>SUMIF('Argus Drop'!$D:$D,$A22,'Argus Drop'!CR:CR)</f>
        <v>34203</v>
      </c>
      <c r="CO22" s="440">
        <f>SUMIF('Argus Drop'!$D:$D,$A22,'Argus Drop'!CS:CS)</f>
        <v>34203</v>
      </c>
      <c r="CP22" s="440">
        <f>SUMIF('Argus Drop'!$D:$D,$A22,'Argus Drop'!CT:CT)</f>
        <v>34203</v>
      </c>
      <c r="CQ22" s="440">
        <f>SUMIF('Argus Drop'!$D:$D,$A22,'Argus Drop'!CU:CU)</f>
        <v>34203</v>
      </c>
      <c r="CR22" s="440">
        <f>SUMIF('Argus Drop'!$D:$D,$A22,'Argus Drop'!CV:CV)</f>
        <v>34203</v>
      </c>
      <c r="CS22" s="440">
        <f>SUMIF('Argus Drop'!$D:$D,$A22,'Argus Drop'!CW:CW)</f>
        <v>34203</v>
      </c>
      <c r="CT22" s="440">
        <f>SUMIF('Argus Drop'!$D:$D,$A22,'Argus Drop'!CX:CX)</f>
        <v>34203</v>
      </c>
      <c r="CU22" s="440">
        <f>SUMIF('Argus Drop'!$D:$D,$A22,'Argus Drop'!CY:CY)</f>
        <v>34203</v>
      </c>
      <c r="CV22" s="440">
        <f>SUMIF('Argus Drop'!$D:$D,$A22,'Argus Drop'!CZ:CZ)</f>
        <v>34203</v>
      </c>
      <c r="CW22" s="440">
        <f>SUMIF('Argus Drop'!$D:$D,$A22,'Argus Drop'!DA:DA)</f>
        <v>35229</v>
      </c>
      <c r="CX22" s="440">
        <f>SUMIF('Argus Drop'!$D:$D,$A22,'Argus Drop'!DB:DB)</f>
        <v>35229</v>
      </c>
      <c r="CY22" s="440">
        <f>SUMIF('Argus Drop'!$D:$D,$A22,'Argus Drop'!DC:DC)</f>
        <v>35229</v>
      </c>
      <c r="CZ22" s="440">
        <f>SUMIF('Argus Drop'!$D:$D,$A22,'Argus Drop'!DD:DD)</f>
        <v>35229</v>
      </c>
      <c r="DA22" s="440">
        <f>SUMIF('Argus Drop'!$D:$D,$A22,'Argus Drop'!DE:DE)</f>
        <v>35229</v>
      </c>
      <c r="DB22" s="440">
        <f>SUMIF('Argus Drop'!$D:$D,$A22,'Argus Drop'!DF:DF)</f>
        <v>35229</v>
      </c>
      <c r="DC22" s="440">
        <f>SUMIF('Argus Drop'!$D:$D,$A22,'Argus Drop'!DG:DG)</f>
        <v>35229</v>
      </c>
      <c r="DD22" s="440">
        <f>SUMIF('Argus Drop'!$D:$D,$A22,'Argus Drop'!DH:DH)</f>
        <v>35229</v>
      </c>
      <c r="DE22" s="440">
        <f>SUMIF('Argus Drop'!$D:$D,$A22,'Argus Drop'!DI:DI)</f>
        <v>35229</v>
      </c>
      <c r="DF22" s="440">
        <f>SUMIF('Argus Drop'!$D:$D,$A22,'Argus Drop'!DJ:DJ)</f>
        <v>35229</v>
      </c>
      <c r="DG22" s="440">
        <f>SUMIF('Argus Drop'!$D:$D,$A22,'Argus Drop'!DK:DK)</f>
        <v>35229</v>
      </c>
      <c r="DH22" s="440">
        <f>SUMIF('Argus Drop'!$D:$D,$A22,'Argus Drop'!DL:DL)</f>
        <v>35229</v>
      </c>
      <c r="DI22" s="440">
        <f>SUMIF('Argus Drop'!$D:$D,$A22,'Argus Drop'!DM:DM)</f>
        <v>36286</v>
      </c>
      <c r="DJ22" s="440">
        <f>SUMIF('Argus Drop'!$D:$D,$A22,'Argus Drop'!DN:DN)</f>
        <v>36286</v>
      </c>
      <c r="DK22" s="440">
        <f>SUMIF('Argus Drop'!$D:$D,$A22,'Argus Drop'!DO:DO)</f>
        <v>36286</v>
      </c>
      <c r="DL22" s="440">
        <f>SUMIF('Argus Drop'!$D:$D,$A22,'Argus Drop'!DP:DP)</f>
        <v>36286</v>
      </c>
      <c r="DM22" s="440">
        <f>SUMIF('Argus Drop'!$D:$D,$A22,'Argus Drop'!DQ:DQ)</f>
        <v>36286</v>
      </c>
      <c r="DN22" s="440">
        <f>SUMIF('Argus Drop'!$D:$D,$A22,'Argus Drop'!DR:DR)</f>
        <v>36286</v>
      </c>
      <c r="DO22" s="440">
        <f>SUMIF('Argus Drop'!$D:$D,$A22,'Argus Drop'!DS:DS)</f>
        <v>36286</v>
      </c>
      <c r="DP22" s="440">
        <f>SUMIF('Argus Drop'!$D:$D,$A22,'Argus Drop'!DT:DT)</f>
        <v>36286</v>
      </c>
      <c r="DQ22" s="440">
        <f>SUMIF('Argus Drop'!$D:$D,$A22,'Argus Drop'!DU:DU)</f>
        <v>36286</v>
      </c>
      <c r="DR22" s="440">
        <f>SUMIF('Argus Drop'!$D:$D,$A22,'Argus Drop'!DV:DV)</f>
        <v>36286</v>
      </c>
      <c r="DS22" s="440"/>
      <c r="DT22" s="440"/>
      <c r="DU22" s="440"/>
      <c r="DV22" s="440"/>
      <c r="DW22" s="440"/>
      <c r="DX22" s="440"/>
      <c r="DY22" s="440"/>
      <c r="DZ22" s="440"/>
      <c r="EA22" s="440"/>
      <c r="EB22" s="440"/>
      <c r="EC22" s="440"/>
      <c r="ED22" s="1419"/>
      <c r="EE22" s="1419"/>
      <c r="EF22" s="1419"/>
      <c r="EG22" s="1419"/>
      <c r="EH22" s="1419"/>
      <c r="EI22" s="1419"/>
      <c r="EJ22" s="1419"/>
      <c r="EK22" s="1419"/>
      <c r="EL22" s="1419"/>
      <c r="EM22" s="1419"/>
      <c r="EN22" s="1419"/>
      <c r="EO22" s="1419"/>
      <c r="EP22" s="1419"/>
      <c r="EQ22" s="1419"/>
      <c r="ER22" s="1419"/>
      <c r="ES22" s="1419"/>
      <c r="ET22" s="1419"/>
      <c r="EU22" s="1419"/>
      <c r="EV22" s="1419"/>
      <c r="EW22" s="1419"/>
      <c r="EX22" s="1419"/>
      <c r="EY22" s="1419"/>
      <c r="EZ22" s="1419"/>
      <c r="FA22" s="1419"/>
      <c r="FB22" s="1419"/>
      <c r="FC22" s="1419"/>
      <c r="FD22" s="1419"/>
      <c r="FE22" s="1419"/>
      <c r="FF22" s="1419"/>
      <c r="FG22" s="1419"/>
      <c r="FH22" s="1419"/>
      <c r="FI22" s="1419"/>
    </row>
    <row r="23" spans="1:165">
      <c r="A23" s="448" t="str">
        <f>IF(+'Argus Drop'!B23="","",'Argus Drop'!B23)</f>
        <v/>
      </c>
      <c r="B23" s="440" t="str">
        <f>IF(A23="","",+SUMIF('Argus Drop'!$D$7:$D$64,$A23,'Argus Drop'!#REF!))</f>
        <v/>
      </c>
      <c r="C23" s="440" t="str">
        <f>IF(B23="","",+SUMIF('Argus Drop'!$D$7:$D$64,$A23,'Argus Drop'!#REF!))</f>
        <v/>
      </c>
      <c r="D23" s="440" t="str">
        <f>IF(C23="","",+SUMIF('Argus Drop'!$D$7:$D$64,$A23,'Argus Drop'!#REF!))</f>
        <v/>
      </c>
      <c r="E23" s="440" t="str">
        <f>IF(D23="","",+SUMIF('Argus Drop'!$D$7:$D$64,$A23,'Argus Drop'!#REF!))</f>
        <v/>
      </c>
      <c r="F23" s="440" t="str">
        <f>IF(E23="","",+SUMIF('Argus Drop'!$D$7:$D$64,$A23,'Argus Drop'!#REF!))</f>
        <v/>
      </c>
      <c r="G23" s="440" t="str">
        <f>IF(F23="","",+SUMIF('Argus Drop'!$D$7:$D$64,$A23,'Argus Drop'!#REF!))</f>
        <v/>
      </c>
      <c r="H23" s="440" t="str">
        <f>IF(G23="","",+SUMIF('Argus Drop'!$D$7:$D$64,$A23,'Argus Drop'!#REF!))</f>
        <v/>
      </c>
      <c r="I23" s="440" t="str">
        <f>IF(H23="","",+SUMIF('Argus Drop'!$D$7:$D$64,$A23,'Argus Drop'!#REF!))</f>
        <v/>
      </c>
      <c r="J23" s="440" t="str">
        <f>IF(I23="","",+SUMIF('Argus Drop'!$D$7:$D$64,$A23,'Argus Drop'!#REF!))</f>
        <v/>
      </c>
      <c r="K23" s="440" t="str">
        <f>IF(J23="","",+SUMIF('Argus Drop'!$D$7:$D$64,$A23,'Argus Drop'!#REF!))</f>
        <v/>
      </c>
      <c r="L23" s="440" t="str">
        <f>IF(K23="","",+SUMIF('Argus Drop'!$D$7:$D$64,$A23,'Argus Drop'!#REF!))</f>
        <v/>
      </c>
      <c r="M23" s="440" t="str">
        <f>IF(L23="","",+SUMIF('Argus Drop'!$D$7:$D$64,$A23,'Argus Drop'!#REF!))</f>
        <v/>
      </c>
      <c r="N23" s="440" t="str">
        <f>IF(M23="","",+SUMIF('Argus Drop'!$D$7:$D$64,$A23,'Argus Drop'!#REF!))</f>
        <v/>
      </c>
      <c r="O23" s="440" t="str">
        <f>IF(N23="","",+SUMIF('Argus Drop'!$D$7:$D$64,$A23,'Argus Drop'!#REF!))</f>
        <v/>
      </c>
      <c r="P23" s="440" t="str">
        <f>IF(O23="","",+SUMIF('Argus Drop'!$D$7:$D$64,$A23,'Argus Drop'!#REF!))</f>
        <v/>
      </c>
      <c r="Q23" s="440" t="str">
        <f>IF(P23="","",+SUMIF('Argus Drop'!$D$7:$D$64,$A23,'Argus Drop'!#REF!))</f>
        <v/>
      </c>
      <c r="R23" s="440" t="str">
        <f>IF(Q23="","",+SUMIF('Argus Drop'!$D$7:$D$64,$A23,'Argus Drop'!#REF!))</f>
        <v/>
      </c>
      <c r="S23" s="440" t="str">
        <f>IF(R23="","",+SUMIF('Argus Drop'!$D$7:$D$64,$A23,'Argus Drop'!#REF!))</f>
        <v/>
      </c>
      <c r="T23" s="440" t="str">
        <f>IF(S23="","",+SUMIF('Argus Drop'!$D$7:$D$64,$A23,'Argus Drop'!#REF!))</f>
        <v/>
      </c>
      <c r="U23" s="440" t="str">
        <f>IF(T23="","",+SUMIF('Argus Drop'!$D$7:$D$64,$A23,'Argus Drop'!#REF!))</f>
        <v/>
      </c>
      <c r="V23" s="440" t="str">
        <f>IF(U23="","",+SUMIF('Argus Drop'!$D$7:$D$64,$A23,'Argus Drop'!#REF!))</f>
        <v/>
      </c>
      <c r="W23" s="440" t="str">
        <f>IF(V23="","",+SUMIF('Argus Drop'!$D$7:$D$64,$A23,'Argus Drop'!#REF!))</f>
        <v/>
      </c>
      <c r="X23" s="440" t="str">
        <f>IF(W23="","",+SUMIF('Argus Drop'!$D$7:$D$64,$A23,'Argus Drop'!#REF!))</f>
        <v/>
      </c>
      <c r="Y23" s="440" t="str">
        <f>IF(X23="","",+SUMIF('Argus Drop'!$D$7:$D$64,$A23,'Argus Drop'!#REF!))</f>
        <v/>
      </c>
      <c r="Z23" s="440" t="str">
        <f>IF(Y23="","",+SUMIF('Argus Drop'!$D$7:$D$64,$A23,'Argus Drop'!#REF!))</f>
        <v/>
      </c>
      <c r="AA23" s="440" t="str">
        <f>IF(Z23="","",+SUMIF('Argus Drop'!$D$7:$D$64,$A23,'Argus Drop'!#REF!))</f>
        <v/>
      </c>
      <c r="AB23" s="440" t="str">
        <f>IF(AA23="","",+SUMIF('Argus Drop'!$D$7:$D$64,$A23,'Argus Drop'!#REF!))</f>
        <v/>
      </c>
      <c r="AC23" s="440" t="str">
        <f>IF(AB23="","",+SUMIF('Argus Drop'!$D$7:$D$64,$A23,'Argus Drop'!#REF!))</f>
        <v/>
      </c>
      <c r="AD23" s="440" t="str">
        <f>IF(AC23="","",+SUMIF('Argus Drop'!$D$7:$D$64,$A23,'Argus Drop'!#REF!))</f>
        <v/>
      </c>
      <c r="AE23" s="440" t="str">
        <f>IF(AD23="","",+SUMIF('Argus Drop'!$D$7:$D$64,$A23,'Argus Drop'!#REF!))</f>
        <v/>
      </c>
      <c r="AF23" s="440" t="str">
        <f>IF(AE23="","",+SUMIF('Argus Drop'!$D$7:$D$64,$A23,'Argus Drop'!#REF!))</f>
        <v/>
      </c>
      <c r="AG23" s="440" t="str">
        <f>IF(AF23="","",+SUMIF('Argus Drop'!$D$7:$D$64,$A23,'Argus Drop'!#REF!))</f>
        <v/>
      </c>
      <c r="AH23" s="440" t="str">
        <f>IF(AG23="","",+SUMIF('Argus Drop'!$D$7:$D$64,$A23,'Argus Drop'!#REF!))</f>
        <v/>
      </c>
      <c r="AI23" s="440" t="str">
        <f>IF(AH23="","",+SUMIF('Argus Drop'!$D$7:$D$64,$A23,'Argus Drop'!#REF!))</f>
        <v/>
      </c>
      <c r="AJ23" s="440" t="str">
        <f>IF(AI23="","",+SUMIF('Argus Drop'!$D$7:$D$64,$A23,'Argus Drop'!#REF!))</f>
        <v/>
      </c>
      <c r="AK23" s="440" t="str">
        <f>IF(AJ23="","",+SUMIF('Argus Drop'!$D$7:$D$64,$A23,'Argus Drop'!#REF!))</f>
        <v/>
      </c>
      <c r="AL23" s="440" t="str">
        <f>IF(AK23="","",+SUMIF('Argus Drop'!$D$7:$D$64,$A23,'Argus Drop'!#REF!))</f>
        <v/>
      </c>
      <c r="AM23" s="440" t="str">
        <f>IF(AL23="","",+SUMIF('Argus Drop'!$D$7:$D$64,$A23,'Argus Drop'!#REF!))</f>
        <v/>
      </c>
      <c r="AN23" s="440" t="str">
        <f>IF(AM23="","",+SUMIF('Argus Drop'!$D$7:$D$64,$A23,'Argus Drop'!#REF!))</f>
        <v/>
      </c>
      <c r="AO23" s="440" t="str">
        <f>IF(AN23="","",+SUMIF('Argus Drop'!$D$7:$D$64,$A23,'Argus Drop'!#REF!))</f>
        <v/>
      </c>
      <c r="AP23" s="440" t="str">
        <f>IF(AO23="","",+SUMIF('Argus Drop'!$D$7:$D$64,$A23,'Argus Drop'!#REF!))</f>
        <v/>
      </c>
      <c r="AQ23" s="440" t="str">
        <f>IF(AP23="","",+SUMIF('Argus Drop'!$D$7:$D$64,$A23,'Argus Drop'!#REF!))</f>
        <v/>
      </c>
      <c r="AR23" s="440" t="str">
        <f>IF(AQ23="","",+SUMIF('Argus Drop'!$D$7:$D$64,$A23,'Argus Drop'!#REF!))</f>
        <v/>
      </c>
      <c r="AS23" s="440" t="str">
        <f>IF(AR23="","",+SUMIF('Argus Drop'!$D$7:$D$64,$A23,'Argus Drop'!#REF!))</f>
        <v/>
      </c>
      <c r="AT23" s="440" t="str">
        <f>IF(AS23="","",+SUMIF('Argus Drop'!$D$7:$D$64,$A23,'Argus Drop'!#REF!))</f>
        <v/>
      </c>
      <c r="AU23" s="440" t="str">
        <f>IF(AT23="","",+SUMIF('Argus Drop'!$D$7:$D$64,$A23,'Argus Drop'!#REF!))</f>
        <v/>
      </c>
      <c r="AV23" s="440" t="str">
        <f>IF(AU23="","",+SUMIF('Argus Drop'!$D$7:$D$64,$A23,'Argus Drop'!#REF!))</f>
        <v/>
      </c>
      <c r="AW23" s="440" t="str">
        <f>IF(AV23="","",+SUMIF('Argus Drop'!$D$7:$D$64,$A23,'Argus Drop'!#REF!))</f>
        <v/>
      </c>
      <c r="AX23" s="440" t="str">
        <f>IF(AW23="","",+SUMIF('Argus Drop'!$D$7:$D$64,$A23,'Argus Drop'!#REF!))</f>
        <v/>
      </c>
      <c r="AY23" s="440" t="str">
        <f>IF(AX23="","",+SUMIF('Argus Drop'!$D$7:$D$64,$A23,'Argus Drop'!#REF!))</f>
        <v/>
      </c>
      <c r="AZ23" s="440" t="str">
        <f>IF(AY23="","",+SUMIF('Argus Drop'!$D$7:$D$64,$A23,'Argus Drop'!#REF!))</f>
        <v/>
      </c>
      <c r="BA23" s="440" t="str">
        <f>IF(AZ23="","",+SUMIF('Argus Drop'!$D$7:$D$64,$A23,'Argus Drop'!#REF!))</f>
        <v/>
      </c>
      <c r="BB23" s="440" t="str">
        <f>IF(BA23="","",+SUMIF('Argus Drop'!$D$7:$D$64,$A23,'Argus Drop'!#REF!))</f>
        <v/>
      </c>
      <c r="BC23" s="440" t="str">
        <f>IF(BB23="","",+SUMIF('Argus Drop'!$D$7:$D$64,$A23,'Argus Drop'!#REF!))</f>
        <v/>
      </c>
      <c r="BD23" s="440" t="str">
        <f>IF(BC23="","",+SUMIF('Argus Drop'!$D$7:$D$64,$A23,'Argus Drop'!#REF!))</f>
        <v/>
      </c>
      <c r="BE23" s="440" t="str">
        <f>IF(BD23="","",+SUMIF('Argus Drop'!$D$7:$D$64,$A23,'Argus Drop'!#REF!))</f>
        <v/>
      </c>
      <c r="BF23" s="440" t="str">
        <f>IF(BE23="","",+SUMIF('Argus Drop'!$D$7:$D$64,$A23,'Argus Drop'!#REF!))</f>
        <v/>
      </c>
      <c r="BG23" s="440" t="str">
        <f>IF(BF23="","",+SUMIF('Argus Drop'!$D$7:$D$64,$A23,'Argus Drop'!#REF!))</f>
        <v/>
      </c>
      <c r="BH23" s="440" t="str">
        <f>IF(BG23="","",+SUMIF('Argus Drop'!$D$7:$D$64,$A23,'Argus Drop'!#REF!))</f>
        <v/>
      </c>
      <c r="BI23" s="440" t="str">
        <f>IF(BH23="","",+SUMIF('Argus Drop'!$D$7:$D$64,$A23,'Argus Drop'!#REF!))</f>
        <v/>
      </c>
      <c r="BJ23" s="440" t="str">
        <f>IF(BI23="","",+SUMIF('Argus Drop'!$D$7:$D$64,$A23,'Argus Drop'!#REF!))</f>
        <v/>
      </c>
      <c r="BK23" s="440" t="str">
        <f>IF(BJ23="","",+SUMIF('Argus Drop'!$D$7:$D$64,$A23,'Argus Drop'!#REF!))</f>
        <v/>
      </c>
      <c r="BL23" s="440" t="str">
        <f>IF(BK23="","",+SUMIF('Argus Drop'!$D$7:$D$64,$A23,'Argus Drop'!#REF!))</f>
        <v/>
      </c>
      <c r="BM23" s="440" t="str">
        <f>IF(BL23="","",+SUMIF('Argus Drop'!$D$7:$D$64,$A23,'Argus Drop'!#REF!))</f>
        <v/>
      </c>
      <c r="BN23" s="440" t="str">
        <f>IF(BM23="","",+SUMIF('Argus Drop'!$D$7:$D$64,$A23,'Argus Drop'!#REF!))</f>
        <v/>
      </c>
      <c r="BO23" s="440" t="str">
        <f>IF(BN23="","",+SUMIF('Argus Drop'!$D$7:$D$64,$A23,'Argus Drop'!#REF!))</f>
        <v/>
      </c>
      <c r="BP23" s="440" t="str">
        <f>IF(BO23="","",+SUMIF('Argus Drop'!$D$7:$D$64,$A23,'Argus Drop'!#REF!))</f>
        <v/>
      </c>
      <c r="BQ23" s="440" t="str">
        <f>IF(BP23="","",+SUMIF('Argus Drop'!$D$7:$D$64,$A23,'Argus Drop'!#REF!))</f>
        <v/>
      </c>
      <c r="BR23" s="440" t="str">
        <f>IF(BQ23="","",+SUMIF('Argus Drop'!$D$7:$D$64,$A23,'Argus Drop'!#REF!))</f>
        <v/>
      </c>
      <c r="BS23" s="440" t="str">
        <f>IF(BR23="","",+SUMIF('Argus Drop'!$D$7:$D$64,$A23,'Argus Drop'!#REF!))</f>
        <v/>
      </c>
      <c r="BT23" s="440" t="str">
        <f>IF(BS23="","",+SUMIF('Argus Drop'!$D$7:$D$64,$A23,'Argus Drop'!#REF!))</f>
        <v/>
      </c>
      <c r="BU23" s="440" t="str">
        <f>IF(BT23="","",+SUMIF('Argus Drop'!$D$7:$D$64,$A23,'Argus Drop'!#REF!))</f>
        <v/>
      </c>
      <c r="BV23" s="440" t="str">
        <f>IF(BU23="","",+SUMIF('Argus Drop'!$D$7:$D$64,$A23,'Argus Drop'!#REF!))</f>
        <v/>
      </c>
      <c r="BW23" s="440" t="str">
        <f>IF(BV23="","",+SUMIF('Argus Drop'!$D$7:$D$64,$A23,'Argus Drop'!#REF!))</f>
        <v/>
      </c>
      <c r="BX23" s="440" t="str">
        <f>IF(BW23="","",+SUMIF('Argus Drop'!$D$7:$D$64,$A23,'Argus Drop'!#REF!))</f>
        <v/>
      </c>
      <c r="BY23" s="440" t="str">
        <f>IF(BX23="","",+SUMIF('Argus Drop'!$D$7:$D$64,$A23,'Argus Drop'!#REF!))</f>
        <v/>
      </c>
      <c r="BZ23" s="440" t="str">
        <f>IF(BY23="","",+SUMIF('Argus Drop'!$D$7:$D$64,$A23,'Argus Drop'!#REF!))</f>
        <v/>
      </c>
      <c r="CA23" s="440" t="str">
        <f>IF(BZ23="","",+SUMIF('Argus Drop'!$D$7:$D$64,$A23,'Argus Drop'!#REF!))</f>
        <v/>
      </c>
      <c r="CB23" s="440" t="str">
        <f>IF(CA23="","",+SUMIF('Argus Drop'!$D$7:$D$64,$A23,'Argus Drop'!#REF!))</f>
        <v/>
      </c>
      <c r="CC23" s="440" t="str">
        <f>IF(CB23="","",+SUMIF('Argus Drop'!$D$7:$D$64,$A23,'Argus Drop'!#REF!))</f>
        <v/>
      </c>
      <c r="CD23" s="440" t="str">
        <f>IF(CC23="","",+SUMIF('Argus Drop'!$D$7:$D$64,$A23,'Argus Drop'!#REF!))</f>
        <v/>
      </c>
      <c r="CE23" s="440" t="str">
        <f>IF(CD23="","",+SUMIF('Argus Drop'!$D$7:$D$64,$A23,'Argus Drop'!#REF!))</f>
        <v/>
      </c>
      <c r="CF23" s="440" t="str">
        <f>IF(CE23="","",+SUMIF('Argus Drop'!$D$7:$D$64,$A23,'Argus Drop'!#REF!))</f>
        <v/>
      </c>
      <c r="CG23" s="440" t="str">
        <f>IF(CF23="","",+SUMIF('Argus Drop'!$D$7:$D$64,$A23,'Argus Drop'!#REF!))</f>
        <v/>
      </c>
      <c r="CH23" s="440" t="str">
        <f>IF(CG23="","",+SUMIF('Argus Drop'!$D$7:$D$64,$A23,'Argus Drop'!#REF!))</f>
        <v/>
      </c>
      <c r="CI23" s="440" t="str">
        <f>IF(CH23="","",+SUMIF('Argus Drop'!$D$7:$D$64,$A23,'Argus Drop'!#REF!))</f>
        <v/>
      </c>
      <c r="CJ23" s="440" t="str">
        <f>IF(CI23="","",+SUMIF('Argus Drop'!$D$7:$D$64,$A23,'Argus Drop'!#REF!))</f>
        <v/>
      </c>
      <c r="CK23" s="440" t="str">
        <f>IF(CJ23="","",+SUMIF('Argus Drop'!$D$7:$D$64,$A23,'Argus Drop'!#REF!))</f>
        <v/>
      </c>
      <c r="CL23" s="440" t="str">
        <f>IF(CK23="","",+SUMIF('Argus Drop'!$D$7:$D$64,$A23,'Argus Drop'!#REF!))</f>
        <v/>
      </c>
      <c r="CM23" s="440" t="str">
        <f>IF(CL23="","",+SUMIF('Argus Drop'!$D$7:$D$64,$A23,'Argus Drop'!#REF!))</f>
        <v/>
      </c>
      <c r="CN23" s="440" t="str">
        <f>IF(CM23="","",+SUMIF('Argus Drop'!$D$7:$D$64,$A23,'Argus Drop'!#REF!))</f>
        <v/>
      </c>
      <c r="CO23" s="440" t="str">
        <f>IF(CN23="","",+SUMIF('Argus Drop'!$D$7:$D$64,$A23,'Argus Drop'!#REF!))</f>
        <v/>
      </c>
      <c r="CP23" s="440" t="str">
        <f>IF(CO23="","",+SUMIF('Argus Drop'!$D$7:$D$64,$A23,'Argus Drop'!#REF!))</f>
        <v/>
      </c>
      <c r="CQ23" s="440" t="str">
        <f>IF(CP23="","",+SUMIF('Argus Drop'!$D$7:$D$64,$A23,'Argus Drop'!#REF!))</f>
        <v/>
      </c>
      <c r="CR23" s="440" t="str">
        <f>IF(CQ23="","",+SUMIF('Argus Drop'!$D$7:$D$64,$A23,'Argus Drop'!#REF!))</f>
        <v/>
      </c>
      <c r="CS23" s="440" t="str">
        <f>IF(CR23="","",+SUMIF('Argus Drop'!$D$7:$D$64,$A23,'Argus Drop'!#REF!))</f>
        <v/>
      </c>
      <c r="CT23" s="440" t="str">
        <f>IF(CS23="","",+SUMIF('Argus Drop'!$D$7:$D$64,$A23,'Argus Drop'!#REF!))</f>
        <v/>
      </c>
      <c r="CU23" s="440" t="str">
        <f>IF(CT23="","",+SUMIF('Argus Drop'!$D$7:$D$64,$A23,'Argus Drop'!#REF!))</f>
        <v/>
      </c>
      <c r="CV23" s="440" t="str">
        <f>IF(CU23="","",+SUMIF('Argus Drop'!$D$7:$D$64,$A23,'Argus Drop'!#REF!))</f>
        <v/>
      </c>
      <c r="CW23" s="440" t="str">
        <f>IF(CV23="","",+SUMIF('Argus Drop'!$D$7:$D$64,$A23,'Argus Drop'!#REF!))</f>
        <v/>
      </c>
      <c r="CX23" s="440" t="str">
        <f>IF(CW23="","",+SUMIF('Argus Drop'!$D$7:$D$64,$A23,'Argus Drop'!#REF!))</f>
        <v/>
      </c>
      <c r="CY23" s="440" t="str">
        <f>IF(CX23="","",+SUMIF('Argus Drop'!$D$7:$D$64,$A23,'Argus Drop'!#REF!))</f>
        <v/>
      </c>
      <c r="CZ23" s="440" t="str">
        <f>IF(CY23="","",+SUMIF('Argus Drop'!$D$7:$D$64,$A23,'Argus Drop'!#REF!))</f>
        <v/>
      </c>
      <c r="DA23" s="440" t="str">
        <f>IF(CZ23="","",+SUMIF('Argus Drop'!$D$7:$D$64,$A23,'Argus Drop'!#REF!))</f>
        <v/>
      </c>
      <c r="DB23" s="440" t="str">
        <f>IF(DA23="","",+SUMIF('Argus Drop'!$D$7:$D$64,$A23,'Argus Drop'!#REF!))</f>
        <v/>
      </c>
      <c r="DC23" s="440" t="str">
        <f>IF(DB23="","",+SUMIF('Argus Drop'!$D$7:$D$64,$A23,'Argus Drop'!#REF!))</f>
        <v/>
      </c>
      <c r="DD23" s="440" t="str">
        <f>IF(DC23="","",+SUMIF('Argus Drop'!$D$7:$D$64,$A23,'Argus Drop'!#REF!))</f>
        <v/>
      </c>
      <c r="DE23" s="440" t="str">
        <f>IF(DD23="","",+SUMIF('Argus Drop'!$D$7:$D$64,$A23,'Argus Drop'!#REF!))</f>
        <v/>
      </c>
      <c r="DF23" s="440" t="str">
        <f>IF(DE23="","",+SUMIF('Argus Drop'!$D$7:$D$64,$A23,'Argus Drop'!#REF!))</f>
        <v/>
      </c>
      <c r="DG23" s="440" t="str">
        <f>IF(DF23="","",+SUMIF('Argus Drop'!$D$7:$D$64,$A23,'Argus Drop'!#REF!))</f>
        <v/>
      </c>
      <c r="DH23" s="440" t="str">
        <f>IF(DG23="","",+SUMIF('Argus Drop'!$D$7:$D$64,$A23,'Argus Drop'!#REF!))</f>
        <v/>
      </c>
      <c r="DI23" s="440" t="str">
        <f>IF(DH23="","",+SUMIF('Argus Drop'!$D$7:$D$64,$A23,'Argus Drop'!#REF!))</f>
        <v/>
      </c>
      <c r="DJ23" s="440" t="str">
        <f>IF(DI23="","",+SUMIF('Argus Drop'!$D$7:$D$64,$A23,'Argus Drop'!#REF!))</f>
        <v/>
      </c>
      <c r="DK23" s="440" t="str">
        <f>IF(DJ23="","",+SUMIF('Argus Drop'!$D$7:$D$64,$A23,'Argus Drop'!#REF!))</f>
        <v/>
      </c>
      <c r="DL23" s="440" t="str">
        <f>IF(DK23="","",+SUMIF('Argus Drop'!$D$7:$D$64,$A23,'Argus Drop'!#REF!))</f>
        <v/>
      </c>
      <c r="DM23" s="440" t="str">
        <f>IF(DL23="","",+SUMIF('Argus Drop'!$D$7:$D$64,$A23,'Argus Drop'!#REF!))</f>
        <v/>
      </c>
      <c r="DN23" s="440" t="str">
        <f>IF(DM23="","",+SUMIF('Argus Drop'!$D$7:$D$64,$A23,'Argus Drop'!#REF!))</f>
        <v/>
      </c>
      <c r="DO23" s="440" t="str">
        <f>IF(DN23="","",+SUMIF('Argus Drop'!$D$7:$D$64,$A23,'Argus Drop'!#REF!))</f>
        <v/>
      </c>
      <c r="DP23" s="440" t="str">
        <f>IF(DO23="","",+SUMIF('Argus Drop'!$D$7:$D$64,$A23,'Argus Drop'!#REF!))</f>
        <v/>
      </c>
      <c r="DQ23" s="440" t="str">
        <f>IF(DP23="","",+SUMIF('Argus Drop'!$D$7:$D$64,$A23,'Argus Drop'!#REF!))</f>
        <v/>
      </c>
      <c r="DR23" s="440" t="str">
        <f>IF(DQ23="","",+SUMIF('Argus Drop'!$D$7:$D$64,$A23,'Argus Drop'!#REF!))</f>
        <v/>
      </c>
      <c r="DS23" s="440"/>
      <c r="DT23" s="440"/>
      <c r="DU23" s="440"/>
      <c r="DV23" s="440"/>
      <c r="DW23" s="440"/>
      <c r="DX23" s="440"/>
      <c r="DY23" s="440"/>
      <c r="DZ23" s="440"/>
      <c r="EA23" s="440"/>
      <c r="EB23" s="440"/>
      <c r="EC23" s="440"/>
      <c r="ED23" s="1419"/>
      <c r="EE23" s="1419"/>
      <c r="EF23" s="1419"/>
      <c r="EG23" s="1419"/>
      <c r="EH23" s="1419"/>
      <c r="EI23" s="1419"/>
      <c r="EJ23" s="1419"/>
      <c r="EK23" s="1419"/>
      <c r="EL23" s="1419"/>
      <c r="EM23" s="1419"/>
      <c r="EN23" s="1419"/>
      <c r="EO23" s="1419"/>
      <c r="EP23" s="1419"/>
      <c r="EQ23" s="1419"/>
      <c r="ER23" s="1419"/>
      <c r="ES23" s="1419"/>
      <c r="ET23" s="1419"/>
      <c r="EU23" s="1419"/>
      <c r="EV23" s="1419"/>
      <c r="EW23" s="1419"/>
      <c r="EX23" s="1419"/>
      <c r="EY23" s="1419"/>
      <c r="EZ23" s="1419"/>
      <c r="FA23" s="1419"/>
      <c r="FB23" s="1419"/>
      <c r="FC23" s="1419"/>
      <c r="FD23" s="1419"/>
      <c r="FE23" s="1419"/>
      <c r="FF23" s="1419"/>
      <c r="FG23" s="1419"/>
      <c r="FH23" s="1419"/>
      <c r="FI23" s="1419"/>
    </row>
    <row r="24" spans="1:165">
      <c r="A24" s="448">
        <f>IF(+'Argus Drop'!B24="","",'Argus Drop'!B24)</f>
        <v>24</v>
      </c>
      <c r="B24" s="440">
        <f>SUMIF('Argus Drop'!$D:$D,$A24,'Argus Drop'!F:F)</f>
        <v>262406</v>
      </c>
      <c r="C24" s="440">
        <f>SUMIF('Argus Drop'!$D:$D,$A24,'Argus Drop'!G:G)</f>
        <v>290562</v>
      </c>
      <c r="D24" s="440">
        <f>SUMIF('Argus Drop'!$D:$D,$A24,'Argus Drop'!H:H)</f>
        <v>290562</v>
      </c>
      <c r="E24" s="440">
        <f>SUMIF('Argus Drop'!$D:$D,$A24,'Argus Drop'!I:I)</f>
        <v>295170</v>
      </c>
      <c r="F24" s="440">
        <f>SUMIF('Argus Drop'!$D:$D,$A24,'Argus Drop'!J:J)</f>
        <v>295170</v>
      </c>
      <c r="G24" s="440">
        <f>SUMIF('Argus Drop'!$D:$D,$A24,'Argus Drop'!K:K)</f>
        <v>295662</v>
      </c>
      <c r="H24" s="440">
        <f>SUMIF('Argus Drop'!$D:$D,$A24,'Argus Drop'!L:L)</f>
        <v>295662</v>
      </c>
      <c r="I24" s="440">
        <f>SUMIF('Argus Drop'!$D:$D,$A24,'Argus Drop'!M:M)</f>
        <v>308330</v>
      </c>
      <c r="J24" s="440">
        <f>SUMIF('Argus Drop'!$D:$D,$A24,'Argus Drop'!N:N)</f>
        <v>309376</v>
      </c>
      <c r="K24" s="440">
        <f>SUMIF('Argus Drop'!$D:$D,$A24,'Argus Drop'!O:O)</f>
        <v>288897</v>
      </c>
      <c r="L24" s="440">
        <f>SUMIF('Argus Drop'!$D:$D,$A24,'Argus Drop'!P:P)</f>
        <v>270730</v>
      </c>
      <c r="M24" s="440">
        <f>SUMIF('Argus Drop'!$D:$D,$A24,'Argus Drop'!Q:Q)</f>
        <v>317388</v>
      </c>
      <c r="N24" s="440">
        <f>SUMIF('Argus Drop'!$D:$D,$A24,'Argus Drop'!R:R)</f>
        <v>313732</v>
      </c>
      <c r="O24" s="440">
        <f>SUMIF('Argus Drop'!$D:$D,$A24,'Argus Drop'!S:S)</f>
        <v>321370</v>
      </c>
      <c r="P24" s="440">
        <f>SUMIF('Argus Drop'!$D:$D,$A24,'Argus Drop'!T:T)</f>
        <v>321370</v>
      </c>
      <c r="Q24" s="440">
        <f>SUMIF('Argus Drop'!$D:$D,$A24,'Argus Drop'!U:U)</f>
        <v>296006</v>
      </c>
      <c r="R24" s="440">
        <f>SUMIF('Argus Drop'!$D:$D,$A24,'Argus Drop'!V:V)</f>
        <v>323746</v>
      </c>
      <c r="S24" s="440">
        <f>SUMIF('Argus Drop'!$D:$D,$A24,'Argus Drop'!W:W)</f>
        <v>297715</v>
      </c>
      <c r="T24" s="440">
        <f>SUMIF('Argus Drop'!$D:$D,$A24,'Argus Drop'!X:X)</f>
        <v>322946</v>
      </c>
      <c r="U24" s="440">
        <f>SUMIF('Argus Drop'!$D:$D,$A24,'Argus Drop'!Y:Y)</f>
        <v>341924</v>
      </c>
      <c r="V24" s="440">
        <f>SUMIF('Argus Drop'!$D:$D,$A24,'Argus Drop'!Z:Z)</f>
        <v>385421</v>
      </c>
      <c r="W24" s="440">
        <f>SUMIF('Argus Drop'!$D:$D,$A24,'Argus Drop'!AA:AA)</f>
        <v>385421</v>
      </c>
      <c r="X24" s="440">
        <f>SUMIF('Argus Drop'!$D:$D,$A24,'Argus Drop'!AB:AB)</f>
        <v>385979</v>
      </c>
      <c r="Y24" s="440">
        <f>SUMIF('Argus Drop'!$D:$D,$A24,'Argus Drop'!AC:AC)</f>
        <v>386884</v>
      </c>
      <c r="Z24" s="440">
        <f>SUMIF('Argus Drop'!$D:$D,$A24,'Argus Drop'!AD:AD)</f>
        <v>387638</v>
      </c>
      <c r="AA24" s="440">
        <f>SUMIF('Argus Drop'!$D:$D,$A24,'Argus Drop'!AE:AE)</f>
        <v>388535</v>
      </c>
      <c r="AB24" s="440">
        <f>SUMIF('Argus Drop'!$D:$D,$A24,'Argus Drop'!AF:AF)</f>
        <v>389133</v>
      </c>
      <c r="AC24" s="440">
        <f>SUMIF('Argus Drop'!$D:$D,$A24,'Argus Drop'!AG:AG)</f>
        <v>394737</v>
      </c>
      <c r="AD24" s="440">
        <f>SUMIF('Argus Drop'!$D:$D,$A24,'Argus Drop'!AH:AH)</f>
        <v>395300</v>
      </c>
      <c r="AE24" s="440">
        <f>SUMIF('Argus Drop'!$D:$D,$A24,'Argus Drop'!AI:AI)</f>
        <v>395300</v>
      </c>
      <c r="AF24" s="440">
        <f>SUMIF('Argus Drop'!$D:$D,$A24,'Argus Drop'!AJ:AJ)</f>
        <v>395795</v>
      </c>
      <c r="AG24" s="440">
        <f>SUMIF('Argus Drop'!$D:$D,$A24,'Argus Drop'!AK:AK)</f>
        <v>385225</v>
      </c>
      <c r="AH24" s="440">
        <f>SUMIF('Argus Drop'!$D:$D,$A24,'Argus Drop'!AL:AL)</f>
        <v>395700</v>
      </c>
      <c r="AI24" s="440">
        <f>SUMIF('Argus Drop'!$D:$D,$A24,'Argus Drop'!AM:AM)</f>
        <v>395700</v>
      </c>
      <c r="AJ24" s="440">
        <f>SUMIF('Argus Drop'!$D:$D,$A24,'Argus Drop'!AN:AN)</f>
        <v>396274</v>
      </c>
      <c r="AK24" s="440">
        <f>SUMIF('Argus Drop'!$D:$D,$A24,'Argus Drop'!AO:AO)</f>
        <v>397206</v>
      </c>
      <c r="AL24" s="440">
        <f>SUMIF('Argus Drop'!$D:$D,$A24,'Argus Drop'!AP:AP)</f>
        <v>397983</v>
      </c>
      <c r="AM24" s="440">
        <f>SUMIF('Argus Drop'!$D:$D,$A24,'Argus Drop'!AQ:AQ)</f>
        <v>398916</v>
      </c>
      <c r="AN24" s="440">
        <f>SUMIF('Argus Drop'!$D:$D,$A24,'Argus Drop'!AR:AR)</f>
        <v>399604</v>
      </c>
      <c r="AO24" s="440">
        <f>SUMIF('Argus Drop'!$D:$D,$A24,'Argus Drop'!AS:AS)</f>
        <v>403641</v>
      </c>
      <c r="AP24" s="440">
        <f>SUMIF('Argus Drop'!$D:$D,$A24,'Argus Drop'!AT:AT)</f>
        <v>404221</v>
      </c>
      <c r="AQ24" s="440">
        <f>SUMIF('Argus Drop'!$D:$D,$A24,'Argus Drop'!AU:AU)</f>
        <v>404221</v>
      </c>
      <c r="AR24" s="440">
        <f>SUMIF('Argus Drop'!$D:$D,$A24,'Argus Drop'!AV:AV)</f>
        <v>404731</v>
      </c>
      <c r="AS24" s="440">
        <f>SUMIF('Argus Drop'!$D:$D,$A24,'Argus Drop'!AW:AW)</f>
        <v>405165</v>
      </c>
      <c r="AT24" s="440">
        <f>SUMIF('Argus Drop'!$D:$D,$A24,'Argus Drop'!AX:AX)</f>
        <v>406222</v>
      </c>
      <c r="AU24" s="440">
        <f>SUMIF('Argus Drop'!$D:$D,$A24,'Argus Drop'!AY:AY)</f>
        <v>406222</v>
      </c>
      <c r="AV24" s="440">
        <f>SUMIF('Argus Drop'!$D:$D,$A24,'Argus Drop'!AZ:AZ)</f>
        <v>406814</v>
      </c>
      <c r="AW24" s="440">
        <f>SUMIF('Argus Drop'!$D:$D,$A24,'Argus Drop'!BA:BA)</f>
        <v>407773</v>
      </c>
      <c r="AX24" s="440">
        <f>SUMIF('Argus Drop'!$D:$D,$A24,'Argus Drop'!BB:BB)</f>
        <v>386971</v>
      </c>
      <c r="AY24" s="440">
        <f>SUMIF('Argus Drop'!$D:$D,$A24,'Argus Drop'!BC:BC)</f>
        <v>376229</v>
      </c>
      <c r="AZ24" s="440">
        <f>SUMIF('Argus Drop'!$D:$D,$A24,'Argus Drop'!BD:BD)</f>
        <v>408526</v>
      </c>
      <c r="BA24" s="440">
        <f>SUMIF('Argus Drop'!$D:$D,$A24,'Argus Drop'!BE:BE)</f>
        <v>414172</v>
      </c>
      <c r="BB24" s="440">
        <f>SUMIF('Argus Drop'!$D:$D,$A24,'Argus Drop'!BF:BF)</f>
        <v>414769</v>
      </c>
      <c r="BC24" s="440">
        <f>SUMIF('Argus Drop'!$D:$D,$A24,'Argus Drop'!BG:BG)</f>
        <v>414769</v>
      </c>
      <c r="BD24" s="440">
        <f>SUMIF('Argus Drop'!$D:$D,$A24,'Argus Drop'!BH:BH)</f>
        <v>415295</v>
      </c>
      <c r="BE24" s="440">
        <f>SUMIF('Argus Drop'!$D:$D,$A24,'Argus Drop'!BI:BI)</f>
        <v>415742</v>
      </c>
      <c r="BF24" s="440">
        <f>SUMIF('Argus Drop'!$D:$D,$A24,'Argus Drop'!BJ:BJ)</f>
        <v>416831</v>
      </c>
      <c r="BG24" s="440">
        <f>SUMIF('Argus Drop'!$D:$D,$A24,'Argus Drop'!BK:BK)</f>
        <v>416831</v>
      </c>
      <c r="BH24" s="440">
        <f>SUMIF('Argus Drop'!$D:$D,$A24,'Argus Drop'!BL:BL)</f>
        <v>417440</v>
      </c>
      <c r="BI24" s="440">
        <f>SUMIF('Argus Drop'!$D:$D,$A24,'Argus Drop'!BM:BM)</f>
        <v>418748</v>
      </c>
      <c r="BJ24" s="440">
        <f>SUMIF('Argus Drop'!$D:$D,$A24,'Argus Drop'!BN:BN)</f>
        <v>398182</v>
      </c>
      <c r="BK24" s="440">
        <f>SUMIF('Argus Drop'!$D:$D,$A24,'Argus Drop'!BO:BO)</f>
        <v>415193</v>
      </c>
      <c r="BL24" s="440">
        <f>SUMIF('Argus Drop'!$D:$D,$A24,'Argus Drop'!BP:BP)</f>
        <v>416467</v>
      </c>
      <c r="BM24" s="440">
        <f>SUMIF('Argus Drop'!$D:$D,$A24,'Argus Drop'!BQ:BQ)</f>
        <v>421999</v>
      </c>
      <c r="BN24" s="440">
        <f>SUMIF('Argus Drop'!$D:$D,$A24,'Argus Drop'!BR:BR)</f>
        <v>422614</v>
      </c>
      <c r="BO24" s="440">
        <f>SUMIF('Argus Drop'!$D:$D,$A24,'Argus Drop'!BS:BS)</f>
        <v>422614</v>
      </c>
      <c r="BP24" s="440">
        <f>SUMIF('Argus Drop'!$D:$D,$A24,'Argus Drop'!BT:BT)</f>
        <v>423155</v>
      </c>
      <c r="BQ24" s="440">
        <f>SUMIF('Argus Drop'!$D:$D,$A24,'Argus Drop'!BU:BU)</f>
        <v>409189</v>
      </c>
      <c r="BR24" s="440">
        <f>SUMIF('Argus Drop'!$D:$D,$A24,'Argus Drop'!BV:BV)</f>
        <v>399127</v>
      </c>
      <c r="BS24" s="440">
        <f>SUMIF('Argus Drop'!$D:$D,$A24,'Argus Drop'!BW:BW)</f>
        <v>420839</v>
      </c>
      <c r="BT24" s="440">
        <f>SUMIF('Argus Drop'!$D:$D,$A24,'Argus Drop'!BX:BX)</f>
        <v>388993</v>
      </c>
      <c r="BU24" s="440">
        <f>SUMIF('Argus Drop'!$D:$D,$A24,'Argus Drop'!BY:BY)</f>
        <v>365526</v>
      </c>
      <c r="BV24" s="440">
        <f>SUMIF('Argus Drop'!$D:$D,$A24,'Argus Drop'!BZ:BZ)</f>
        <v>414722</v>
      </c>
      <c r="BW24" s="440">
        <f>SUMIF('Argus Drop'!$D:$D,$A24,'Argus Drop'!CA:CA)</f>
        <v>415515</v>
      </c>
      <c r="BX24" s="440">
        <f>SUMIF('Argus Drop'!$D:$D,$A24,'Argus Drop'!CB:CB)</f>
        <v>416156</v>
      </c>
      <c r="BY24" s="440">
        <f>SUMIF('Argus Drop'!$D:$D,$A24,'Argus Drop'!CC:CC)</f>
        <v>421469</v>
      </c>
      <c r="BZ24" s="440">
        <f>SUMIF('Argus Drop'!$D:$D,$A24,'Argus Drop'!CD:CD)</f>
        <v>389057</v>
      </c>
      <c r="CA24" s="440">
        <f>SUMIF('Argus Drop'!$D:$D,$A24,'Argus Drop'!CE:CE)</f>
        <v>419115</v>
      </c>
      <c r="CB24" s="440">
        <f>SUMIF('Argus Drop'!$D:$D,$A24,'Argus Drop'!CF:CF)</f>
        <v>390590</v>
      </c>
      <c r="CC24" s="440">
        <f>SUMIF('Argus Drop'!$D:$D,$A24,'Argus Drop'!CG:CG)</f>
        <v>417270</v>
      </c>
      <c r="CD24" s="440">
        <f>SUMIF('Argus Drop'!$D:$D,$A24,'Argus Drop'!CH:CH)</f>
        <v>353553</v>
      </c>
      <c r="CE24" s="440">
        <f>SUMIF('Argus Drop'!$D:$D,$A24,'Argus Drop'!CI:CI)</f>
        <v>373523</v>
      </c>
      <c r="CF24" s="440">
        <f>SUMIF('Argus Drop'!$D:$D,$A24,'Argus Drop'!CJ:CJ)</f>
        <v>407756</v>
      </c>
      <c r="CG24" s="440">
        <f>SUMIF('Argus Drop'!$D:$D,$A24,'Argus Drop'!CK:CK)</f>
        <v>408314</v>
      </c>
      <c r="CH24" s="440">
        <f>SUMIF('Argus Drop'!$D:$D,$A24,'Argus Drop'!CL:CL)</f>
        <v>409218</v>
      </c>
      <c r="CI24" s="440">
        <f>SUMIF('Argus Drop'!$D:$D,$A24,'Argus Drop'!CM:CM)</f>
        <v>410035</v>
      </c>
      <c r="CJ24" s="440">
        <f>SUMIF('Argus Drop'!$D:$D,$A24,'Argus Drop'!CN:CN)</f>
        <v>410696</v>
      </c>
      <c r="CK24" s="440">
        <f>SUMIF('Argus Drop'!$D:$D,$A24,'Argus Drop'!CO:CO)</f>
        <v>416737</v>
      </c>
      <c r="CL24" s="440">
        <f>SUMIF('Argus Drop'!$D:$D,$A24,'Argus Drop'!CP:CP)</f>
        <v>416737</v>
      </c>
      <c r="CM24" s="440">
        <f>SUMIF('Argus Drop'!$D:$D,$A24,'Argus Drop'!CQ:CQ)</f>
        <v>417300</v>
      </c>
      <c r="CN24" s="440">
        <f>SUMIF('Argus Drop'!$D:$D,$A24,'Argus Drop'!CR:CR)</f>
        <v>417300</v>
      </c>
      <c r="CO24" s="440">
        <f>SUMIF('Argus Drop'!$D:$D,$A24,'Argus Drop'!CS:CS)</f>
        <v>418028</v>
      </c>
      <c r="CP24" s="440">
        <f>SUMIF('Argus Drop'!$D:$D,$A24,'Argus Drop'!CT:CT)</f>
        <v>407540</v>
      </c>
      <c r="CQ24" s="440">
        <f>SUMIF('Argus Drop'!$D:$D,$A24,'Argus Drop'!CU:CU)</f>
        <v>418342</v>
      </c>
      <c r="CR24" s="440">
        <f>SUMIF('Argus Drop'!$D:$D,$A24,'Argus Drop'!CV:CV)</f>
        <v>418700</v>
      </c>
      <c r="CS24" s="440">
        <f>SUMIF('Argus Drop'!$D:$D,$A24,'Argus Drop'!CW:CW)</f>
        <v>419274</v>
      </c>
      <c r="CT24" s="440">
        <f>SUMIF('Argus Drop'!$D:$D,$A24,'Argus Drop'!CX:CX)</f>
        <v>420206</v>
      </c>
      <c r="CU24" s="440">
        <f>SUMIF('Argus Drop'!$D:$D,$A24,'Argus Drop'!CY:CY)</f>
        <v>421047</v>
      </c>
      <c r="CV24" s="440">
        <f>SUMIF('Argus Drop'!$D:$D,$A24,'Argus Drop'!CZ:CZ)</f>
        <v>422438</v>
      </c>
      <c r="CW24" s="440">
        <f>SUMIF('Argus Drop'!$D:$D,$A24,'Argus Drop'!DA:DA)</f>
        <v>428637</v>
      </c>
      <c r="CX24" s="440">
        <f>SUMIF('Argus Drop'!$D:$D,$A24,'Argus Drop'!DB:DB)</f>
        <v>428637</v>
      </c>
      <c r="CY24" s="440">
        <f>SUMIF('Argus Drop'!$D:$D,$A24,'Argus Drop'!DC:DC)</f>
        <v>429217</v>
      </c>
      <c r="CZ24" s="440">
        <f>SUMIF('Argus Drop'!$D:$D,$A24,'Argus Drop'!DD:DD)</f>
        <v>429217</v>
      </c>
      <c r="DA24" s="440">
        <f>SUMIF('Argus Drop'!$D:$D,$A24,'Argus Drop'!DE:DE)</f>
        <v>429967</v>
      </c>
      <c r="DB24" s="440">
        <f>SUMIF('Argus Drop'!$D:$D,$A24,'Argus Drop'!DF:DF)</f>
        <v>430293</v>
      </c>
      <c r="DC24" s="440">
        <f>SUMIF('Argus Drop'!$D:$D,$A24,'Argus Drop'!DG:DG)</f>
        <v>431232</v>
      </c>
      <c r="DD24" s="440">
        <f>SUMIF('Argus Drop'!$D:$D,$A24,'Argus Drop'!DH:DH)</f>
        <v>431600</v>
      </c>
      <c r="DE24" s="440">
        <f>SUMIF('Argus Drop'!$D:$D,$A24,'Argus Drop'!DI:DI)</f>
        <v>432192</v>
      </c>
      <c r="DF24" s="440">
        <f>SUMIF('Argus Drop'!$D:$D,$A24,'Argus Drop'!DJ:DJ)</f>
        <v>433152</v>
      </c>
      <c r="DG24" s="440">
        <f>SUMIF('Argus Drop'!$D:$D,$A24,'Argus Drop'!DK:DK)</f>
        <v>404056</v>
      </c>
      <c r="DH24" s="440">
        <f>SUMIF('Argus Drop'!$D:$D,$A24,'Argus Drop'!DL:DL)</f>
        <v>394845</v>
      </c>
      <c r="DI24" s="440">
        <f>SUMIF('Argus Drop'!$D:$D,$A24,'Argus Drop'!DM:DM)</f>
        <v>433881</v>
      </c>
      <c r="DJ24" s="440">
        <f>SUMIF('Argus Drop'!$D:$D,$A24,'Argus Drop'!DN:DN)</f>
        <v>433881</v>
      </c>
      <c r="DK24" s="440">
        <f>SUMIF('Argus Drop'!$D:$D,$A24,'Argus Drop'!DO:DO)</f>
        <v>434478</v>
      </c>
      <c r="DL24" s="440">
        <f>SUMIF('Argus Drop'!$D:$D,$A24,'Argus Drop'!DP:DP)</f>
        <v>434478</v>
      </c>
      <c r="DM24" s="440">
        <f>SUMIF('Argus Drop'!$D:$D,$A24,'Argus Drop'!DQ:DQ)</f>
        <v>435251</v>
      </c>
      <c r="DN24" s="440">
        <f>SUMIF('Argus Drop'!$D:$D,$A24,'Argus Drop'!DR:DR)</f>
        <v>435586</v>
      </c>
      <c r="DO24" s="440">
        <f>SUMIF('Argus Drop'!$D:$D,$A24,'Argus Drop'!DS:DS)</f>
        <v>436554</v>
      </c>
      <c r="DP24" s="440">
        <f>SUMIF('Argus Drop'!$D:$D,$A24,'Argus Drop'!DT:DT)</f>
        <v>436933</v>
      </c>
      <c r="DQ24" s="440">
        <f>SUMIF('Argus Drop'!$D:$D,$A24,'Argus Drop'!DU:DU)</f>
        <v>431374</v>
      </c>
      <c r="DR24" s="440">
        <f>SUMIF('Argus Drop'!$D:$D,$A24,'Argus Drop'!DV:DV)</f>
        <v>437862</v>
      </c>
      <c r="DS24" s="440"/>
      <c r="DT24" s="440"/>
      <c r="DU24" s="440"/>
      <c r="DV24" s="440"/>
      <c r="DW24" s="440"/>
      <c r="DX24" s="440"/>
      <c r="DY24" s="440"/>
      <c r="DZ24" s="440"/>
      <c r="EA24" s="440"/>
      <c r="EB24" s="440"/>
      <c r="EC24" s="440"/>
      <c r="ED24" s="1419"/>
      <c r="EE24" s="1419"/>
      <c r="EF24" s="1419"/>
      <c r="EG24" s="1419"/>
      <c r="EH24" s="1419"/>
      <c r="EI24" s="1419"/>
      <c r="EJ24" s="1419"/>
      <c r="EK24" s="1419"/>
      <c r="EL24" s="1419"/>
      <c r="EM24" s="1419"/>
      <c r="EN24" s="1419"/>
      <c r="EO24" s="1419"/>
      <c r="EP24" s="1419"/>
      <c r="EQ24" s="1419"/>
      <c r="ER24" s="1419"/>
      <c r="ES24" s="1419"/>
      <c r="ET24" s="1419"/>
      <c r="EU24" s="1419"/>
      <c r="EV24" s="1419"/>
      <c r="EW24" s="1419"/>
      <c r="EX24" s="1419"/>
      <c r="EY24" s="1419"/>
      <c r="EZ24" s="1419"/>
      <c r="FA24" s="1419"/>
      <c r="FB24" s="1419"/>
      <c r="FC24" s="1419"/>
      <c r="FD24" s="1419"/>
      <c r="FE24" s="1419"/>
      <c r="FF24" s="1419"/>
      <c r="FG24" s="1419"/>
      <c r="FH24" s="1419"/>
      <c r="FI24" s="1419"/>
    </row>
    <row r="25" spans="1:165">
      <c r="A25" s="448" t="str">
        <f>IF(+'Argus Drop'!B25="","",'Argus Drop'!B25)</f>
        <v/>
      </c>
      <c r="B25" s="440" t="str">
        <f>IF(A25="","",+SUMIF('Argus Drop'!$D$7:$D$64,$A25,'Argus Drop'!#REF!))</f>
        <v/>
      </c>
      <c r="C25" s="440" t="str">
        <f>IF(B25="","",+SUMIF('Argus Drop'!$D$7:$D$64,$A25,'Argus Drop'!#REF!))</f>
        <v/>
      </c>
      <c r="D25" s="440" t="str">
        <f>IF(C25="","",+SUMIF('Argus Drop'!$D$7:$D$64,$A25,'Argus Drop'!#REF!))</f>
        <v/>
      </c>
      <c r="E25" s="440" t="str">
        <f>IF(D25="","",+SUMIF('Argus Drop'!$D$7:$D$64,$A25,'Argus Drop'!#REF!))</f>
        <v/>
      </c>
      <c r="F25" s="440" t="str">
        <f>IF(E25="","",+SUMIF('Argus Drop'!$D$7:$D$64,$A25,'Argus Drop'!#REF!))</f>
        <v/>
      </c>
      <c r="G25" s="440" t="str">
        <f>IF(F25="","",+SUMIF('Argus Drop'!$D$7:$D$64,$A25,'Argus Drop'!#REF!))</f>
        <v/>
      </c>
      <c r="H25" s="440" t="str">
        <f>IF(G25="","",+SUMIF('Argus Drop'!$D$7:$D$64,$A25,'Argus Drop'!#REF!))</f>
        <v/>
      </c>
      <c r="I25" s="440" t="str">
        <f>IF(H25="","",+SUMIF('Argus Drop'!$D$7:$D$64,$A25,'Argus Drop'!#REF!))</f>
        <v/>
      </c>
      <c r="J25" s="440" t="str">
        <f>IF(I25="","",+SUMIF('Argus Drop'!$D$7:$D$64,$A25,'Argus Drop'!#REF!))</f>
        <v/>
      </c>
      <c r="K25" s="440" t="str">
        <f>IF(J25="","",+SUMIF('Argus Drop'!$D$7:$D$64,$A25,'Argus Drop'!#REF!))</f>
        <v/>
      </c>
      <c r="L25" s="440" t="str">
        <f>IF(K25="","",+SUMIF('Argus Drop'!$D$7:$D$64,$A25,'Argus Drop'!#REF!))</f>
        <v/>
      </c>
      <c r="M25" s="440" t="str">
        <f>IF(L25="","",+SUMIF('Argus Drop'!$D$7:$D$64,$A25,'Argus Drop'!#REF!))</f>
        <v/>
      </c>
      <c r="N25" s="440" t="str">
        <f>IF(M25="","",+SUMIF('Argus Drop'!$D$7:$D$64,$A25,'Argus Drop'!#REF!))</f>
        <v/>
      </c>
      <c r="O25" s="440" t="str">
        <f>IF(N25="","",+SUMIF('Argus Drop'!$D$7:$D$64,$A25,'Argus Drop'!#REF!))</f>
        <v/>
      </c>
      <c r="P25" s="440" t="str">
        <f>IF(O25="","",+SUMIF('Argus Drop'!$D$7:$D$64,$A25,'Argus Drop'!#REF!))</f>
        <v/>
      </c>
      <c r="Q25" s="440" t="str">
        <f>IF(P25="","",+SUMIF('Argus Drop'!$D$7:$D$64,$A25,'Argus Drop'!#REF!))</f>
        <v/>
      </c>
      <c r="R25" s="440" t="str">
        <f>IF(Q25="","",+SUMIF('Argus Drop'!$D$7:$D$64,$A25,'Argus Drop'!#REF!))</f>
        <v/>
      </c>
      <c r="S25" s="440" t="str">
        <f>IF(R25="","",+SUMIF('Argus Drop'!$D$7:$D$64,$A25,'Argus Drop'!#REF!))</f>
        <v/>
      </c>
      <c r="T25" s="440" t="str">
        <f>IF(S25="","",+SUMIF('Argus Drop'!$D$7:$D$64,$A25,'Argus Drop'!#REF!))</f>
        <v/>
      </c>
      <c r="U25" s="440" t="str">
        <f>IF(T25="","",+SUMIF('Argus Drop'!$D$7:$D$64,$A25,'Argus Drop'!#REF!))</f>
        <v/>
      </c>
      <c r="V25" s="440" t="str">
        <f>IF(U25="","",+SUMIF('Argus Drop'!$D$7:$D$64,$A25,'Argus Drop'!#REF!))</f>
        <v/>
      </c>
      <c r="W25" s="440" t="str">
        <f>IF(V25="","",+SUMIF('Argus Drop'!$D$7:$D$64,$A25,'Argus Drop'!#REF!))</f>
        <v/>
      </c>
      <c r="X25" s="440" t="str">
        <f>IF(W25="","",+SUMIF('Argus Drop'!$D$7:$D$64,$A25,'Argus Drop'!#REF!))</f>
        <v/>
      </c>
      <c r="Y25" s="440" t="str">
        <f>IF(X25="","",+SUMIF('Argus Drop'!$D$7:$D$64,$A25,'Argus Drop'!#REF!))</f>
        <v/>
      </c>
      <c r="Z25" s="440" t="str">
        <f>IF(Y25="","",+SUMIF('Argus Drop'!$D$7:$D$64,$A25,'Argus Drop'!#REF!))</f>
        <v/>
      </c>
      <c r="AA25" s="440" t="str">
        <f>IF(Z25="","",+SUMIF('Argus Drop'!$D$7:$D$64,$A25,'Argus Drop'!#REF!))</f>
        <v/>
      </c>
      <c r="AB25" s="440" t="str">
        <f>IF(AA25="","",+SUMIF('Argus Drop'!$D$7:$D$64,$A25,'Argus Drop'!#REF!))</f>
        <v/>
      </c>
      <c r="AC25" s="440" t="str">
        <f>IF(AB25="","",+SUMIF('Argus Drop'!$D$7:$D$64,$A25,'Argus Drop'!#REF!))</f>
        <v/>
      </c>
      <c r="AD25" s="440" t="str">
        <f>IF(AC25="","",+SUMIF('Argus Drop'!$D$7:$D$64,$A25,'Argus Drop'!#REF!))</f>
        <v/>
      </c>
      <c r="AE25" s="440" t="str">
        <f>IF(AD25="","",+SUMIF('Argus Drop'!$D$7:$D$64,$A25,'Argus Drop'!#REF!))</f>
        <v/>
      </c>
      <c r="AF25" s="440" t="str">
        <f>IF(AE25="","",+SUMIF('Argus Drop'!$D$7:$D$64,$A25,'Argus Drop'!#REF!))</f>
        <v/>
      </c>
      <c r="AG25" s="440" t="str">
        <f>IF(AF25="","",+SUMIF('Argus Drop'!$D$7:$D$64,$A25,'Argus Drop'!#REF!))</f>
        <v/>
      </c>
      <c r="AH25" s="440" t="str">
        <f>IF(AG25="","",+SUMIF('Argus Drop'!$D$7:$D$64,$A25,'Argus Drop'!#REF!))</f>
        <v/>
      </c>
      <c r="AI25" s="440" t="str">
        <f>IF(AH25="","",+SUMIF('Argus Drop'!$D$7:$D$64,$A25,'Argus Drop'!#REF!))</f>
        <v/>
      </c>
      <c r="AJ25" s="440" t="str">
        <f>IF(AI25="","",+SUMIF('Argus Drop'!$D$7:$D$64,$A25,'Argus Drop'!#REF!))</f>
        <v/>
      </c>
      <c r="AK25" s="440" t="str">
        <f>IF(AJ25="","",+SUMIF('Argus Drop'!$D$7:$D$64,$A25,'Argus Drop'!#REF!))</f>
        <v/>
      </c>
      <c r="AL25" s="440" t="str">
        <f>IF(AK25="","",+SUMIF('Argus Drop'!$D$7:$D$64,$A25,'Argus Drop'!#REF!))</f>
        <v/>
      </c>
      <c r="AM25" s="440" t="str">
        <f>IF(AL25="","",+SUMIF('Argus Drop'!$D$7:$D$64,$A25,'Argus Drop'!#REF!))</f>
        <v/>
      </c>
      <c r="AN25" s="440" t="str">
        <f>IF(AM25="","",+SUMIF('Argus Drop'!$D$7:$D$64,$A25,'Argus Drop'!#REF!))</f>
        <v/>
      </c>
      <c r="AO25" s="440" t="str">
        <f>IF(AN25="","",+SUMIF('Argus Drop'!$D$7:$D$64,$A25,'Argus Drop'!#REF!))</f>
        <v/>
      </c>
      <c r="AP25" s="440" t="str">
        <f>IF(AO25="","",+SUMIF('Argus Drop'!$D$7:$D$64,$A25,'Argus Drop'!#REF!))</f>
        <v/>
      </c>
      <c r="AQ25" s="440" t="str">
        <f>IF(AP25="","",+SUMIF('Argus Drop'!$D$7:$D$64,$A25,'Argus Drop'!#REF!))</f>
        <v/>
      </c>
      <c r="AR25" s="440" t="str">
        <f>IF(AQ25="","",+SUMIF('Argus Drop'!$D$7:$D$64,$A25,'Argus Drop'!#REF!))</f>
        <v/>
      </c>
      <c r="AS25" s="440" t="str">
        <f>IF(AR25="","",+SUMIF('Argus Drop'!$D$7:$D$64,$A25,'Argus Drop'!#REF!))</f>
        <v/>
      </c>
      <c r="AT25" s="440" t="str">
        <f>IF(AS25="","",+SUMIF('Argus Drop'!$D$7:$D$64,$A25,'Argus Drop'!#REF!))</f>
        <v/>
      </c>
      <c r="AU25" s="440" t="str">
        <f>IF(AT25="","",+SUMIF('Argus Drop'!$D$7:$D$64,$A25,'Argus Drop'!#REF!))</f>
        <v/>
      </c>
      <c r="AV25" s="440" t="str">
        <f>IF(AU25="","",+SUMIF('Argus Drop'!$D$7:$D$64,$A25,'Argus Drop'!#REF!))</f>
        <v/>
      </c>
      <c r="AW25" s="440" t="str">
        <f>IF(AV25="","",+SUMIF('Argus Drop'!$D$7:$D$64,$A25,'Argus Drop'!#REF!))</f>
        <v/>
      </c>
      <c r="AX25" s="440" t="str">
        <f>IF(AW25="","",+SUMIF('Argus Drop'!$D$7:$D$64,$A25,'Argus Drop'!#REF!))</f>
        <v/>
      </c>
      <c r="AY25" s="440" t="str">
        <f>IF(AX25="","",+SUMIF('Argus Drop'!$D$7:$D$64,$A25,'Argus Drop'!#REF!))</f>
        <v/>
      </c>
      <c r="AZ25" s="440" t="str">
        <f>IF(AY25="","",+SUMIF('Argus Drop'!$D$7:$D$64,$A25,'Argus Drop'!#REF!))</f>
        <v/>
      </c>
      <c r="BA25" s="440" t="str">
        <f>IF(AZ25="","",+SUMIF('Argus Drop'!$D$7:$D$64,$A25,'Argus Drop'!#REF!))</f>
        <v/>
      </c>
      <c r="BB25" s="440" t="str">
        <f>IF(BA25="","",+SUMIF('Argus Drop'!$D$7:$D$64,$A25,'Argus Drop'!#REF!))</f>
        <v/>
      </c>
      <c r="BC25" s="440" t="str">
        <f>IF(BB25="","",+SUMIF('Argus Drop'!$D$7:$D$64,$A25,'Argus Drop'!#REF!))</f>
        <v/>
      </c>
      <c r="BD25" s="440" t="str">
        <f>IF(BC25="","",+SUMIF('Argus Drop'!$D$7:$D$64,$A25,'Argus Drop'!#REF!))</f>
        <v/>
      </c>
      <c r="BE25" s="440" t="str">
        <f>IF(BD25="","",+SUMIF('Argus Drop'!$D$7:$D$64,$A25,'Argus Drop'!#REF!))</f>
        <v/>
      </c>
      <c r="BF25" s="440" t="str">
        <f>IF(BE25="","",+SUMIF('Argus Drop'!$D$7:$D$64,$A25,'Argus Drop'!#REF!))</f>
        <v/>
      </c>
      <c r="BG25" s="440" t="str">
        <f>IF(BF25="","",+SUMIF('Argus Drop'!$D$7:$D$64,$A25,'Argus Drop'!#REF!))</f>
        <v/>
      </c>
      <c r="BH25" s="440" t="str">
        <f>IF(BG25="","",+SUMIF('Argus Drop'!$D$7:$D$64,$A25,'Argus Drop'!#REF!))</f>
        <v/>
      </c>
      <c r="BI25" s="440" t="str">
        <f>IF(BH25="","",+SUMIF('Argus Drop'!$D$7:$D$64,$A25,'Argus Drop'!#REF!))</f>
        <v/>
      </c>
      <c r="BJ25" s="440" t="str">
        <f>IF(BI25="","",+SUMIF('Argus Drop'!$D$7:$D$64,$A25,'Argus Drop'!#REF!))</f>
        <v/>
      </c>
      <c r="BK25" s="440" t="str">
        <f>IF(BJ25="","",+SUMIF('Argus Drop'!$D$7:$D$64,$A25,'Argus Drop'!#REF!))</f>
        <v/>
      </c>
      <c r="BL25" s="440" t="str">
        <f>IF(BK25="","",+SUMIF('Argus Drop'!$D$7:$D$64,$A25,'Argus Drop'!#REF!))</f>
        <v/>
      </c>
      <c r="BM25" s="440" t="str">
        <f>IF(BL25="","",+SUMIF('Argus Drop'!$D$7:$D$64,$A25,'Argus Drop'!#REF!))</f>
        <v/>
      </c>
      <c r="BN25" s="440" t="str">
        <f>IF(BM25="","",+SUMIF('Argus Drop'!$D$7:$D$64,$A25,'Argus Drop'!#REF!))</f>
        <v/>
      </c>
      <c r="BO25" s="440" t="str">
        <f>IF(BN25="","",+SUMIF('Argus Drop'!$D$7:$D$64,$A25,'Argus Drop'!#REF!))</f>
        <v/>
      </c>
      <c r="BP25" s="440" t="str">
        <f>IF(BO25="","",+SUMIF('Argus Drop'!$D$7:$D$64,$A25,'Argus Drop'!#REF!))</f>
        <v/>
      </c>
      <c r="BQ25" s="440" t="str">
        <f>IF(BP25="","",+SUMIF('Argus Drop'!$D$7:$D$64,$A25,'Argus Drop'!#REF!))</f>
        <v/>
      </c>
      <c r="BR25" s="440" t="str">
        <f>IF(BQ25="","",+SUMIF('Argus Drop'!$D$7:$D$64,$A25,'Argus Drop'!#REF!))</f>
        <v/>
      </c>
      <c r="BS25" s="440" t="str">
        <f>IF(BR25="","",+SUMIF('Argus Drop'!$D$7:$D$64,$A25,'Argus Drop'!#REF!))</f>
        <v/>
      </c>
      <c r="BT25" s="440" t="str">
        <f>IF(BS25="","",+SUMIF('Argus Drop'!$D$7:$D$64,$A25,'Argus Drop'!#REF!))</f>
        <v/>
      </c>
      <c r="BU25" s="440" t="str">
        <f>IF(BT25="","",+SUMIF('Argus Drop'!$D$7:$D$64,$A25,'Argus Drop'!#REF!))</f>
        <v/>
      </c>
      <c r="BV25" s="440" t="str">
        <f>IF(BU25="","",+SUMIF('Argus Drop'!$D$7:$D$64,$A25,'Argus Drop'!#REF!))</f>
        <v/>
      </c>
      <c r="BW25" s="440" t="str">
        <f>IF(BV25="","",+SUMIF('Argus Drop'!$D$7:$D$64,$A25,'Argus Drop'!#REF!))</f>
        <v/>
      </c>
      <c r="BX25" s="440" t="str">
        <f>IF(BW25="","",+SUMIF('Argus Drop'!$D$7:$D$64,$A25,'Argus Drop'!#REF!))</f>
        <v/>
      </c>
      <c r="BY25" s="440" t="str">
        <f>IF(BX25="","",+SUMIF('Argus Drop'!$D$7:$D$64,$A25,'Argus Drop'!#REF!))</f>
        <v/>
      </c>
      <c r="BZ25" s="440" t="str">
        <f>IF(BY25="","",+SUMIF('Argus Drop'!$D$7:$D$64,$A25,'Argus Drop'!#REF!))</f>
        <v/>
      </c>
      <c r="CA25" s="440" t="str">
        <f>IF(BZ25="","",+SUMIF('Argus Drop'!$D$7:$D$64,$A25,'Argus Drop'!#REF!))</f>
        <v/>
      </c>
      <c r="CB25" s="440" t="str">
        <f>IF(CA25="","",+SUMIF('Argus Drop'!$D$7:$D$64,$A25,'Argus Drop'!#REF!))</f>
        <v/>
      </c>
      <c r="CC25" s="440" t="str">
        <f>IF(CB25="","",+SUMIF('Argus Drop'!$D$7:$D$64,$A25,'Argus Drop'!#REF!))</f>
        <v/>
      </c>
      <c r="CD25" s="440" t="str">
        <f>IF(CC25="","",+SUMIF('Argus Drop'!$D$7:$D$64,$A25,'Argus Drop'!#REF!))</f>
        <v/>
      </c>
      <c r="CE25" s="440" t="str">
        <f>IF(CD25="","",+SUMIF('Argus Drop'!$D$7:$D$64,$A25,'Argus Drop'!#REF!))</f>
        <v/>
      </c>
      <c r="CF25" s="440" t="str">
        <f>IF(CE25="","",+SUMIF('Argus Drop'!$D$7:$D$64,$A25,'Argus Drop'!#REF!))</f>
        <v/>
      </c>
      <c r="CG25" s="440" t="str">
        <f>IF(CF25="","",+SUMIF('Argus Drop'!$D$7:$D$64,$A25,'Argus Drop'!#REF!))</f>
        <v/>
      </c>
      <c r="CH25" s="440" t="str">
        <f>IF(CG25="","",+SUMIF('Argus Drop'!$D$7:$D$64,$A25,'Argus Drop'!#REF!))</f>
        <v/>
      </c>
      <c r="CI25" s="440" t="str">
        <f>IF(CH25="","",+SUMIF('Argus Drop'!$D$7:$D$64,$A25,'Argus Drop'!#REF!))</f>
        <v/>
      </c>
      <c r="CJ25" s="440" t="str">
        <f>IF(CI25="","",+SUMIF('Argus Drop'!$D$7:$D$64,$A25,'Argus Drop'!#REF!))</f>
        <v/>
      </c>
      <c r="CK25" s="440" t="str">
        <f>IF(CJ25="","",+SUMIF('Argus Drop'!$D$7:$D$64,$A25,'Argus Drop'!#REF!))</f>
        <v/>
      </c>
      <c r="CL25" s="440" t="str">
        <f>IF(CK25="","",+SUMIF('Argus Drop'!$D$7:$D$64,$A25,'Argus Drop'!#REF!))</f>
        <v/>
      </c>
      <c r="CM25" s="440" t="str">
        <f>IF(CL25="","",+SUMIF('Argus Drop'!$D$7:$D$64,$A25,'Argus Drop'!#REF!))</f>
        <v/>
      </c>
      <c r="CN25" s="440" t="str">
        <f>IF(CM25="","",+SUMIF('Argus Drop'!$D$7:$D$64,$A25,'Argus Drop'!#REF!))</f>
        <v/>
      </c>
      <c r="CO25" s="440" t="str">
        <f>IF(CN25="","",+SUMIF('Argus Drop'!$D$7:$D$64,$A25,'Argus Drop'!#REF!))</f>
        <v/>
      </c>
      <c r="CP25" s="440" t="str">
        <f>IF(CO25="","",+SUMIF('Argus Drop'!$D$7:$D$64,$A25,'Argus Drop'!#REF!))</f>
        <v/>
      </c>
      <c r="CQ25" s="440" t="str">
        <f>IF(CP25="","",+SUMIF('Argus Drop'!$D$7:$D$64,$A25,'Argus Drop'!#REF!))</f>
        <v/>
      </c>
      <c r="CR25" s="440" t="str">
        <f>IF(CQ25="","",+SUMIF('Argus Drop'!$D$7:$D$64,$A25,'Argus Drop'!#REF!))</f>
        <v/>
      </c>
      <c r="CS25" s="440" t="str">
        <f>IF(CR25="","",+SUMIF('Argus Drop'!$D$7:$D$64,$A25,'Argus Drop'!#REF!))</f>
        <v/>
      </c>
      <c r="CT25" s="440" t="str">
        <f>IF(CS25="","",+SUMIF('Argus Drop'!$D$7:$D$64,$A25,'Argus Drop'!#REF!))</f>
        <v/>
      </c>
      <c r="CU25" s="440" t="str">
        <f>IF(CT25="","",+SUMIF('Argus Drop'!$D$7:$D$64,$A25,'Argus Drop'!#REF!))</f>
        <v/>
      </c>
      <c r="CV25" s="440" t="str">
        <f>IF(CU25="","",+SUMIF('Argus Drop'!$D$7:$D$64,$A25,'Argus Drop'!#REF!))</f>
        <v/>
      </c>
      <c r="CW25" s="440" t="str">
        <f>IF(CV25="","",+SUMIF('Argus Drop'!$D$7:$D$64,$A25,'Argus Drop'!#REF!))</f>
        <v/>
      </c>
      <c r="CX25" s="440" t="str">
        <f>IF(CW25="","",+SUMIF('Argus Drop'!$D$7:$D$64,$A25,'Argus Drop'!#REF!))</f>
        <v/>
      </c>
      <c r="CY25" s="440" t="str">
        <f>IF(CX25="","",+SUMIF('Argus Drop'!$D$7:$D$64,$A25,'Argus Drop'!#REF!))</f>
        <v/>
      </c>
      <c r="CZ25" s="440" t="str">
        <f>IF(CY25="","",+SUMIF('Argus Drop'!$D$7:$D$64,$A25,'Argus Drop'!#REF!))</f>
        <v/>
      </c>
      <c r="DA25" s="440" t="str">
        <f>IF(CZ25="","",+SUMIF('Argus Drop'!$D$7:$D$64,$A25,'Argus Drop'!#REF!))</f>
        <v/>
      </c>
      <c r="DB25" s="440" t="str">
        <f>IF(DA25="","",+SUMIF('Argus Drop'!$D$7:$D$64,$A25,'Argus Drop'!#REF!))</f>
        <v/>
      </c>
      <c r="DC25" s="440" t="str">
        <f>IF(DB25="","",+SUMIF('Argus Drop'!$D$7:$D$64,$A25,'Argus Drop'!#REF!))</f>
        <v/>
      </c>
      <c r="DD25" s="440" t="str">
        <f>IF(DC25="","",+SUMIF('Argus Drop'!$D$7:$D$64,$A25,'Argus Drop'!#REF!))</f>
        <v/>
      </c>
      <c r="DE25" s="440" t="str">
        <f>IF(DD25="","",+SUMIF('Argus Drop'!$D$7:$D$64,$A25,'Argus Drop'!#REF!))</f>
        <v/>
      </c>
      <c r="DF25" s="440" t="str">
        <f>IF(DE25="","",+SUMIF('Argus Drop'!$D$7:$D$64,$A25,'Argus Drop'!#REF!))</f>
        <v/>
      </c>
      <c r="DG25" s="440" t="str">
        <f>IF(DF25="","",+SUMIF('Argus Drop'!$D$7:$D$64,$A25,'Argus Drop'!#REF!))</f>
        <v/>
      </c>
      <c r="DH25" s="440" t="str">
        <f>IF(DG25="","",+SUMIF('Argus Drop'!$D$7:$D$64,$A25,'Argus Drop'!#REF!))</f>
        <v/>
      </c>
      <c r="DI25" s="440" t="str">
        <f>IF(DH25="","",+SUMIF('Argus Drop'!$D$7:$D$64,$A25,'Argus Drop'!#REF!))</f>
        <v/>
      </c>
      <c r="DJ25" s="440" t="str">
        <f>IF(DI25="","",+SUMIF('Argus Drop'!$D$7:$D$64,$A25,'Argus Drop'!#REF!))</f>
        <v/>
      </c>
      <c r="DK25" s="440" t="str">
        <f>IF(DJ25="","",+SUMIF('Argus Drop'!$D$7:$D$64,$A25,'Argus Drop'!#REF!))</f>
        <v/>
      </c>
      <c r="DL25" s="440" t="str">
        <f>IF(DK25="","",+SUMIF('Argus Drop'!$D$7:$D$64,$A25,'Argus Drop'!#REF!))</f>
        <v/>
      </c>
      <c r="DM25" s="440" t="str">
        <f>IF(DL25="","",+SUMIF('Argus Drop'!$D$7:$D$64,$A25,'Argus Drop'!#REF!))</f>
        <v/>
      </c>
      <c r="DN25" s="440" t="str">
        <f>IF(DM25="","",+SUMIF('Argus Drop'!$D$7:$D$64,$A25,'Argus Drop'!#REF!))</f>
        <v/>
      </c>
      <c r="DO25" s="440" t="str">
        <f>IF(DN25="","",+SUMIF('Argus Drop'!$D$7:$D$64,$A25,'Argus Drop'!#REF!))</f>
        <v/>
      </c>
      <c r="DP25" s="440" t="str">
        <f>IF(DO25="","",+SUMIF('Argus Drop'!$D$7:$D$64,$A25,'Argus Drop'!#REF!))</f>
        <v/>
      </c>
      <c r="DQ25" s="440" t="str">
        <f>IF(DP25="","",+SUMIF('Argus Drop'!$D$7:$D$64,$A25,'Argus Drop'!#REF!))</f>
        <v/>
      </c>
      <c r="DR25" s="440" t="str">
        <f>IF(DQ25="","",+SUMIF('Argus Drop'!$D$7:$D$64,$A25,'Argus Drop'!#REF!))</f>
        <v/>
      </c>
      <c r="DS25" s="440"/>
      <c r="DT25" s="440"/>
      <c r="DU25" s="440"/>
      <c r="DV25" s="440"/>
      <c r="DW25" s="440"/>
      <c r="DX25" s="440"/>
      <c r="DY25" s="440"/>
      <c r="DZ25" s="440"/>
      <c r="EA25" s="440"/>
      <c r="EB25" s="440"/>
      <c r="EC25" s="440"/>
      <c r="ED25" s="1419"/>
      <c r="EE25" s="1419"/>
      <c r="EF25" s="1419"/>
      <c r="EG25" s="1419"/>
      <c r="EH25" s="1419"/>
      <c r="EI25" s="1419"/>
      <c r="EJ25" s="1419"/>
      <c r="EK25" s="1419"/>
      <c r="EL25" s="1419"/>
      <c r="EM25" s="1419"/>
      <c r="EN25" s="1419"/>
      <c r="EO25" s="1419"/>
      <c r="EP25" s="1419"/>
      <c r="EQ25" s="1419"/>
      <c r="ER25" s="1419"/>
      <c r="ES25" s="1419"/>
      <c r="ET25" s="1419"/>
      <c r="EU25" s="1419"/>
      <c r="EV25" s="1419"/>
      <c r="EW25" s="1419"/>
      <c r="EX25" s="1419"/>
      <c r="EY25" s="1419"/>
      <c r="EZ25" s="1419"/>
      <c r="FA25" s="1419"/>
      <c r="FB25" s="1419"/>
      <c r="FC25" s="1419"/>
      <c r="FD25" s="1419"/>
      <c r="FE25" s="1419"/>
      <c r="FF25" s="1419"/>
      <c r="FG25" s="1419"/>
      <c r="FH25" s="1419"/>
      <c r="FI25" s="1419"/>
    </row>
    <row r="26" spans="1:165">
      <c r="A26" s="448" t="str">
        <f>IF(+'Argus Drop'!B26="","",'Argus Drop'!B26)</f>
        <v/>
      </c>
      <c r="B26" s="440" t="str">
        <f>IF(A26="","",+SUMIF('Argus Drop'!$D$7:$D$64,$A26,'Argus Drop'!#REF!))</f>
        <v/>
      </c>
      <c r="C26" s="440" t="str">
        <f>IF(B26="","",+SUMIF('Argus Drop'!$D$7:$D$64,$A26,'Argus Drop'!#REF!))</f>
        <v/>
      </c>
      <c r="D26" s="440" t="str">
        <f>IF(C26="","",+SUMIF('Argus Drop'!$D$7:$D$64,$A26,'Argus Drop'!#REF!))</f>
        <v/>
      </c>
      <c r="E26" s="440" t="str">
        <f>IF(D26="","",+SUMIF('Argus Drop'!$D$7:$D$64,$A26,'Argus Drop'!#REF!))</f>
        <v/>
      </c>
      <c r="F26" s="440" t="str">
        <f>IF(E26="","",+SUMIF('Argus Drop'!$D$7:$D$64,$A26,'Argus Drop'!#REF!))</f>
        <v/>
      </c>
      <c r="G26" s="440" t="str">
        <f>IF(F26="","",+SUMIF('Argus Drop'!$D$7:$D$64,$A26,'Argus Drop'!#REF!))</f>
        <v/>
      </c>
      <c r="H26" s="440" t="str">
        <f>IF(G26="","",+SUMIF('Argus Drop'!$D$7:$D$64,$A26,'Argus Drop'!#REF!))</f>
        <v/>
      </c>
      <c r="I26" s="440" t="str">
        <f>IF(H26="","",+SUMIF('Argus Drop'!$D$7:$D$64,$A26,'Argus Drop'!#REF!))</f>
        <v/>
      </c>
      <c r="J26" s="440" t="str">
        <f>IF(I26="","",+SUMIF('Argus Drop'!$D$7:$D$64,$A26,'Argus Drop'!#REF!))</f>
        <v/>
      </c>
      <c r="K26" s="440" t="str">
        <f>IF(J26="","",+SUMIF('Argus Drop'!$D$7:$D$64,$A26,'Argus Drop'!#REF!))</f>
        <v/>
      </c>
      <c r="L26" s="440" t="str">
        <f>IF(K26="","",+SUMIF('Argus Drop'!$D$7:$D$64,$A26,'Argus Drop'!#REF!))</f>
        <v/>
      </c>
      <c r="M26" s="440" t="str">
        <f>IF(L26="","",+SUMIF('Argus Drop'!$D$7:$D$64,$A26,'Argus Drop'!#REF!))</f>
        <v/>
      </c>
      <c r="N26" s="440" t="str">
        <f>IF(M26="","",+SUMIF('Argus Drop'!$D$7:$D$64,$A26,'Argus Drop'!#REF!))</f>
        <v/>
      </c>
      <c r="O26" s="440" t="str">
        <f>IF(N26="","",+SUMIF('Argus Drop'!$D$7:$D$64,$A26,'Argus Drop'!#REF!))</f>
        <v/>
      </c>
      <c r="P26" s="440" t="str">
        <f>IF(O26="","",+SUMIF('Argus Drop'!$D$7:$D$64,$A26,'Argus Drop'!#REF!))</f>
        <v/>
      </c>
      <c r="Q26" s="440" t="str">
        <f>IF(P26="","",+SUMIF('Argus Drop'!$D$7:$D$64,$A26,'Argus Drop'!#REF!))</f>
        <v/>
      </c>
      <c r="R26" s="440" t="str">
        <f>IF(Q26="","",+SUMIF('Argus Drop'!$D$7:$D$64,$A26,'Argus Drop'!#REF!))</f>
        <v/>
      </c>
      <c r="S26" s="440" t="str">
        <f>IF(R26="","",+SUMIF('Argus Drop'!$D$7:$D$64,$A26,'Argus Drop'!#REF!))</f>
        <v/>
      </c>
      <c r="T26" s="440" t="str">
        <f>IF(S26="","",+SUMIF('Argus Drop'!$D$7:$D$64,$A26,'Argus Drop'!#REF!))</f>
        <v/>
      </c>
      <c r="U26" s="440" t="str">
        <f>IF(T26="","",+SUMIF('Argus Drop'!$D$7:$D$64,$A26,'Argus Drop'!#REF!))</f>
        <v/>
      </c>
      <c r="V26" s="440" t="str">
        <f>IF(U26="","",+SUMIF('Argus Drop'!$D$7:$D$64,$A26,'Argus Drop'!#REF!))</f>
        <v/>
      </c>
      <c r="W26" s="440" t="str">
        <f>IF(V26="","",+SUMIF('Argus Drop'!$D$7:$D$64,$A26,'Argus Drop'!#REF!))</f>
        <v/>
      </c>
      <c r="X26" s="440" t="str">
        <f>IF(W26="","",+SUMIF('Argus Drop'!$D$7:$D$64,$A26,'Argus Drop'!#REF!))</f>
        <v/>
      </c>
      <c r="Y26" s="440" t="str">
        <f>IF(X26="","",+SUMIF('Argus Drop'!$D$7:$D$64,$A26,'Argus Drop'!#REF!))</f>
        <v/>
      </c>
      <c r="Z26" s="440" t="str">
        <f>IF(Y26="","",+SUMIF('Argus Drop'!$D$7:$D$64,$A26,'Argus Drop'!#REF!))</f>
        <v/>
      </c>
      <c r="AA26" s="440" t="str">
        <f>IF(Z26="","",+SUMIF('Argus Drop'!$D$7:$D$64,$A26,'Argus Drop'!#REF!))</f>
        <v/>
      </c>
      <c r="AB26" s="440" t="str">
        <f>IF(AA26="","",+SUMIF('Argus Drop'!$D$7:$D$64,$A26,'Argus Drop'!#REF!))</f>
        <v/>
      </c>
      <c r="AC26" s="440" t="str">
        <f>IF(AB26="","",+SUMIF('Argus Drop'!$D$7:$D$64,$A26,'Argus Drop'!#REF!))</f>
        <v/>
      </c>
      <c r="AD26" s="440" t="str">
        <f>IF(AC26="","",+SUMIF('Argus Drop'!$D$7:$D$64,$A26,'Argus Drop'!#REF!))</f>
        <v/>
      </c>
      <c r="AE26" s="440" t="str">
        <f>IF(AD26="","",+SUMIF('Argus Drop'!$D$7:$D$64,$A26,'Argus Drop'!#REF!))</f>
        <v/>
      </c>
      <c r="AF26" s="440" t="str">
        <f>IF(AE26="","",+SUMIF('Argus Drop'!$D$7:$D$64,$A26,'Argus Drop'!#REF!))</f>
        <v/>
      </c>
      <c r="AG26" s="440" t="str">
        <f>IF(AF26="","",+SUMIF('Argus Drop'!$D$7:$D$64,$A26,'Argus Drop'!#REF!))</f>
        <v/>
      </c>
      <c r="AH26" s="440" t="str">
        <f>IF(AG26="","",+SUMIF('Argus Drop'!$D$7:$D$64,$A26,'Argus Drop'!#REF!))</f>
        <v/>
      </c>
      <c r="AI26" s="440" t="str">
        <f>IF(AH26="","",+SUMIF('Argus Drop'!$D$7:$D$64,$A26,'Argus Drop'!#REF!))</f>
        <v/>
      </c>
      <c r="AJ26" s="440" t="str">
        <f>IF(AI26="","",+SUMIF('Argus Drop'!$D$7:$D$64,$A26,'Argus Drop'!#REF!))</f>
        <v/>
      </c>
      <c r="AK26" s="440" t="str">
        <f>IF(AJ26="","",+SUMIF('Argus Drop'!$D$7:$D$64,$A26,'Argus Drop'!#REF!))</f>
        <v/>
      </c>
      <c r="AL26" s="440" t="str">
        <f>IF(AK26="","",+SUMIF('Argus Drop'!$D$7:$D$64,$A26,'Argus Drop'!#REF!))</f>
        <v/>
      </c>
      <c r="AM26" s="440" t="str">
        <f>IF(AL26="","",+SUMIF('Argus Drop'!$D$7:$D$64,$A26,'Argus Drop'!#REF!))</f>
        <v/>
      </c>
      <c r="AN26" s="440" t="str">
        <f>IF(AM26="","",+SUMIF('Argus Drop'!$D$7:$D$64,$A26,'Argus Drop'!#REF!))</f>
        <v/>
      </c>
      <c r="AO26" s="440" t="str">
        <f>IF(AN26="","",+SUMIF('Argus Drop'!$D$7:$D$64,$A26,'Argus Drop'!#REF!))</f>
        <v/>
      </c>
      <c r="AP26" s="440" t="str">
        <f>IF(AO26="","",+SUMIF('Argus Drop'!$D$7:$D$64,$A26,'Argus Drop'!#REF!))</f>
        <v/>
      </c>
      <c r="AQ26" s="440" t="str">
        <f>IF(AP26="","",+SUMIF('Argus Drop'!$D$7:$D$64,$A26,'Argus Drop'!#REF!))</f>
        <v/>
      </c>
      <c r="AR26" s="440" t="str">
        <f>IF(AQ26="","",+SUMIF('Argus Drop'!$D$7:$D$64,$A26,'Argus Drop'!#REF!))</f>
        <v/>
      </c>
      <c r="AS26" s="440" t="str">
        <f>IF(AR26="","",+SUMIF('Argus Drop'!$D$7:$D$64,$A26,'Argus Drop'!#REF!))</f>
        <v/>
      </c>
      <c r="AT26" s="440" t="str">
        <f>IF(AS26="","",+SUMIF('Argus Drop'!$D$7:$D$64,$A26,'Argus Drop'!#REF!))</f>
        <v/>
      </c>
      <c r="AU26" s="440" t="str">
        <f>IF(AT26="","",+SUMIF('Argus Drop'!$D$7:$D$64,$A26,'Argus Drop'!#REF!))</f>
        <v/>
      </c>
      <c r="AV26" s="440" t="str">
        <f>IF(AU26="","",+SUMIF('Argus Drop'!$D$7:$D$64,$A26,'Argus Drop'!#REF!))</f>
        <v/>
      </c>
      <c r="AW26" s="440" t="str">
        <f>IF(AV26="","",+SUMIF('Argus Drop'!$D$7:$D$64,$A26,'Argus Drop'!#REF!))</f>
        <v/>
      </c>
      <c r="AX26" s="440" t="str">
        <f>IF(AW26="","",+SUMIF('Argus Drop'!$D$7:$D$64,$A26,'Argus Drop'!#REF!))</f>
        <v/>
      </c>
      <c r="AY26" s="440" t="str">
        <f>IF(AX26="","",+SUMIF('Argus Drop'!$D$7:$D$64,$A26,'Argus Drop'!#REF!))</f>
        <v/>
      </c>
      <c r="AZ26" s="440" t="str">
        <f>IF(AY26="","",+SUMIF('Argus Drop'!$D$7:$D$64,$A26,'Argus Drop'!#REF!))</f>
        <v/>
      </c>
      <c r="BA26" s="440" t="str">
        <f>IF(AZ26="","",+SUMIF('Argus Drop'!$D$7:$D$64,$A26,'Argus Drop'!#REF!))</f>
        <v/>
      </c>
      <c r="BB26" s="440" t="str">
        <f>IF(BA26="","",+SUMIF('Argus Drop'!$D$7:$D$64,$A26,'Argus Drop'!#REF!))</f>
        <v/>
      </c>
      <c r="BC26" s="440" t="str">
        <f>IF(BB26="","",+SUMIF('Argus Drop'!$D$7:$D$64,$A26,'Argus Drop'!#REF!))</f>
        <v/>
      </c>
      <c r="BD26" s="440" t="str">
        <f>IF(BC26="","",+SUMIF('Argus Drop'!$D$7:$D$64,$A26,'Argus Drop'!#REF!))</f>
        <v/>
      </c>
      <c r="BE26" s="440" t="str">
        <f>IF(BD26="","",+SUMIF('Argus Drop'!$D$7:$D$64,$A26,'Argus Drop'!#REF!))</f>
        <v/>
      </c>
      <c r="BF26" s="440" t="str">
        <f>IF(BE26="","",+SUMIF('Argus Drop'!$D$7:$D$64,$A26,'Argus Drop'!#REF!))</f>
        <v/>
      </c>
      <c r="BG26" s="440" t="str">
        <f>IF(BF26="","",+SUMIF('Argus Drop'!$D$7:$D$64,$A26,'Argus Drop'!#REF!))</f>
        <v/>
      </c>
      <c r="BH26" s="440" t="str">
        <f>IF(BG26="","",+SUMIF('Argus Drop'!$D$7:$D$64,$A26,'Argus Drop'!#REF!))</f>
        <v/>
      </c>
      <c r="BI26" s="440" t="str">
        <f>IF(BH26="","",+SUMIF('Argus Drop'!$D$7:$D$64,$A26,'Argus Drop'!#REF!))</f>
        <v/>
      </c>
      <c r="BJ26" s="440" t="str">
        <f>IF(BI26="","",+SUMIF('Argus Drop'!$D$7:$D$64,$A26,'Argus Drop'!#REF!))</f>
        <v/>
      </c>
      <c r="BK26" s="440" t="str">
        <f>IF(BJ26="","",+SUMIF('Argus Drop'!$D$7:$D$64,$A26,'Argus Drop'!#REF!))</f>
        <v/>
      </c>
      <c r="BL26" s="440" t="str">
        <f>IF(BK26="","",+SUMIF('Argus Drop'!$D$7:$D$64,$A26,'Argus Drop'!#REF!))</f>
        <v/>
      </c>
      <c r="BM26" s="440" t="str">
        <f>IF(BL26="","",+SUMIF('Argus Drop'!$D$7:$D$64,$A26,'Argus Drop'!#REF!))</f>
        <v/>
      </c>
      <c r="BN26" s="440" t="str">
        <f>IF(BM26="","",+SUMIF('Argus Drop'!$D$7:$D$64,$A26,'Argus Drop'!#REF!))</f>
        <v/>
      </c>
      <c r="BO26" s="440" t="str">
        <f>IF(BN26="","",+SUMIF('Argus Drop'!$D$7:$D$64,$A26,'Argus Drop'!#REF!))</f>
        <v/>
      </c>
      <c r="BP26" s="440" t="str">
        <f>IF(BO26="","",+SUMIF('Argus Drop'!$D$7:$D$64,$A26,'Argus Drop'!#REF!))</f>
        <v/>
      </c>
      <c r="BQ26" s="440" t="str">
        <f>IF(BP26="","",+SUMIF('Argus Drop'!$D$7:$D$64,$A26,'Argus Drop'!#REF!))</f>
        <v/>
      </c>
      <c r="BR26" s="440" t="str">
        <f>IF(BQ26="","",+SUMIF('Argus Drop'!$D$7:$D$64,$A26,'Argus Drop'!#REF!))</f>
        <v/>
      </c>
      <c r="BS26" s="440" t="str">
        <f>IF(BR26="","",+SUMIF('Argus Drop'!$D$7:$D$64,$A26,'Argus Drop'!#REF!))</f>
        <v/>
      </c>
      <c r="BT26" s="440" t="str">
        <f>IF(BS26="","",+SUMIF('Argus Drop'!$D$7:$D$64,$A26,'Argus Drop'!#REF!))</f>
        <v/>
      </c>
      <c r="BU26" s="440" t="str">
        <f>IF(BT26="","",+SUMIF('Argus Drop'!$D$7:$D$64,$A26,'Argus Drop'!#REF!))</f>
        <v/>
      </c>
      <c r="BV26" s="440" t="str">
        <f>IF(BU26="","",+SUMIF('Argus Drop'!$D$7:$D$64,$A26,'Argus Drop'!#REF!))</f>
        <v/>
      </c>
      <c r="BW26" s="440" t="str">
        <f>IF(BV26="","",+SUMIF('Argus Drop'!$D$7:$D$64,$A26,'Argus Drop'!#REF!))</f>
        <v/>
      </c>
      <c r="BX26" s="440" t="str">
        <f>IF(BW26="","",+SUMIF('Argus Drop'!$D$7:$D$64,$A26,'Argus Drop'!#REF!))</f>
        <v/>
      </c>
      <c r="BY26" s="440" t="str">
        <f>IF(BX26="","",+SUMIF('Argus Drop'!$D$7:$D$64,$A26,'Argus Drop'!#REF!))</f>
        <v/>
      </c>
      <c r="BZ26" s="440" t="str">
        <f>IF(BY26="","",+SUMIF('Argus Drop'!$D$7:$D$64,$A26,'Argus Drop'!#REF!))</f>
        <v/>
      </c>
      <c r="CA26" s="440" t="str">
        <f>IF(BZ26="","",+SUMIF('Argus Drop'!$D$7:$D$64,$A26,'Argus Drop'!#REF!))</f>
        <v/>
      </c>
      <c r="CB26" s="440" t="str">
        <f>IF(CA26="","",+SUMIF('Argus Drop'!$D$7:$D$64,$A26,'Argus Drop'!#REF!))</f>
        <v/>
      </c>
      <c r="CC26" s="440" t="str">
        <f>IF(CB26="","",+SUMIF('Argus Drop'!$D$7:$D$64,$A26,'Argus Drop'!#REF!))</f>
        <v/>
      </c>
      <c r="CD26" s="440" t="str">
        <f>IF(CC26="","",+SUMIF('Argus Drop'!$D$7:$D$64,$A26,'Argus Drop'!#REF!))</f>
        <v/>
      </c>
      <c r="CE26" s="440" t="str">
        <f>IF(CD26="","",+SUMIF('Argus Drop'!$D$7:$D$64,$A26,'Argus Drop'!#REF!))</f>
        <v/>
      </c>
      <c r="CF26" s="440" t="str">
        <f>IF(CE26="","",+SUMIF('Argus Drop'!$D$7:$D$64,$A26,'Argus Drop'!#REF!))</f>
        <v/>
      </c>
      <c r="CG26" s="440" t="str">
        <f>IF(CF26="","",+SUMIF('Argus Drop'!$D$7:$D$64,$A26,'Argus Drop'!#REF!))</f>
        <v/>
      </c>
      <c r="CH26" s="440" t="str">
        <f>IF(CG26="","",+SUMIF('Argus Drop'!$D$7:$D$64,$A26,'Argus Drop'!#REF!))</f>
        <v/>
      </c>
      <c r="CI26" s="440" t="str">
        <f>IF(CH26="","",+SUMIF('Argus Drop'!$D$7:$D$64,$A26,'Argus Drop'!#REF!))</f>
        <v/>
      </c>
      <c r="CJ26" s="440" t="str">
        <f>IF(CI26="","",+SUMIF('Argus Drop'!$D$7:$D$64,$A26,'Argus Drop'!#REF!))</f>
        <v/>
      </c>
      <c r="CK26" s="440" t="str">
        <f>IF(CJ26="","",+SUMIF('Argus Drop'!$D$7:$D$64,$A26,'Argus Drop'!#REF!))</f>
        <v/>
      </c>
      <c r="CL26" s="440" t="str">
        <f>IF(CK26="","",+SUMIF('Argus Drop'!$D$7:$D$64,$A26,'Argus Drop'!#REF!))</f>
        <v/>
      </c>
      <c r="CM26" s="440" t="str">
        <f>IF(CL26="","",+SUMIF('Argus Drop'!$D$7:$D$64,$A26,'Argus Drop'!#REF!))</f>
        <v/>
      </c>
      <c r="CN26" s="440" t="str">
        <f>IF(CM26="","",+SUMIF('Argus Drop'!$D$7:$D$64,$A26,'Argus Drop'!#REF!))</f>
        <v/>
      </c>
      <c r="CO26" s="440" t="str">
        <f>IF(CN26="","",+SUMIF('Argus Drop'!$D$7:$D$64,$A26,'Argus Drop'!#REF!))</f>
        <v/>
      </c>
      <c r="CP26" s="440" t="str">
        <f>IF(CO26="","",+SUMIF('Argus Drop'!$D$7:$D$64,$A26,'Argus Drop'!#REF!))</f>
        <v/>
      </c>
      <c r="CQ26" s="440" t="str">
        <f>IF(CP26="","",+SUMIF('Argus Drop'!$D$7:$D$64,$A26,'Argus Drop'!#REF!))</f>
        <v/>
      </c>
      <c r="CR26" s="440" t="str">
        <f>IF(CQ26="","",+SUMIF('Argus Drop'!$D$7:$D$64,$A26,'Argus Drop'!#REF!))</f>
        <v/>
      </c>
      <c r="CS26" s="440" t="str">
        <f>IF(CR26="","",+SUMIF('Argus Drop'!$D$7:$D$64,$A26,'Argus Drop'!#REF!))</f>
        <v/>
      </c>
      <c r="CT26" s="440" t="str">
        <f>IF(CS26="","",+SUMIF('Argus Drop'!$D$7:$D$64,$A26,'Argus Drop'!#REF!))</f>
        <v/>
      </c>
      <c r="CU26" s="440" t="str">
        <f>IF(CT26="","",+SUMIF('Argus Drop'!$D$7:$D$64,$A26,'Argus Drop'!#REF!))</f>
        <v/>
      </c>
      <c r="CV26" s="440" t="str">
        <f>IF(CU26="","",+SUMIF('Argus Drop'!$D$7:$D$64,$A26,'Argus Drop'!#REF!))</f>
        <v/>
      </c>
      <c r="CW26" s="440" t="str">
        <f>IF(CV26="","",+SUMIF('Argus Drop'!$D$7:$D$64,$A26,'Argus Drop'!#REF!))</f>
        <v/>
      </c>
      <c r="CX26" s="440" t="str">
        <f>IF(CW26="","",+SUMIF('Argus Drop'!$D$7:$D$64,$A26,'Argus Drop'!#REF!))</f>
        <v/>
      </c>
      <c r="CY26" s="440" t="str">
        <f>IF(CX26="","",+SUMIF('Argus Drop'!$D$7:$D$64,$A26,'Argus Drop'!#REF!))</f>
        <v/>
      </c>
      <c r="CZ26" s="440" t="str">
        <f>IF(CY26="","",+SUMIF('Argus Drop'!$D$7:$D$64,$A26,'Argus Drop'!#REF!))</f>
        <v/>
      </c>
      <c r="DA26" s="440" t="str">
        <f>IF(CZ26="","",+SUMIF('Argus Drop'!$D$7:$D$64,$A26,'Argus Drop'!#REF!))</f>
        <v/>
      </c>
      <c r="DB26" s="440" t="str">
        <f>IF(DA26="","",+SUMIF('Argus Drop'!$D$7:$D$64,$A26,'Argus Drop'!#REF!))</f>
        <v/>
      </c>
      <c r="DC26" s="440" t="str">
        <f>IF(DB26="","",+SUMIF('Argus Drop'!$D$7:$D$64,$A26,'Argus Drop'!#REF!))</f>
        <v/>
      </c>
      <c r="DD26" s="440" t="str">
        <f>IF(DC26="","",+SUMIF('Argus Drop'!$D$7:$D$64,$A26,'Argus Drop'!#REF!))</f>
        <v/>
      </c>
      <c r="DE26" s="440" t="str">
        <f>IF(DD26="","",+SUMIF('Argus Drop'!$D$7:$D$64,$A26,'Argus Drop'!#REF!))</f>
        <v/>
      </c>
      <c r="DF26" s="440" t="str">
        <f>IF(DE26="","",+SUMIF('Argus Drop'!$D$7:$D$64,$A26,'Argus Drop'!#REF!))</f>
        <v/>
      </c>
      <c r="DG26" s="440" t="str">
        <f>IF(DF26="","",+SUMIF('Argus Drop'!$D$7:$D$64,$A26,'Argus Drop'!#REF!))</f>
        <v/>
      </c>
      <c r="DH26" s="440" t="str">
        <f>IF(DG26="","",+SUMIF('Argus Drop'!$D$7:$D$64,$A26,'Argus Drop'!#REF!))</f>
        <v/>
      </c>
      <c r="DI26" s="440" t="str">
        <f>IF(DH26="","",+SUMIF('Argus Drop'!$D$7:$D$64,$A26,'Argus Drop'!#REF!))</f>
        <v/>
      </c>
      <c r="DJ26" s="440" t="str">
        <f>IF(DI26="","",+SUMIF('Argus Drop'!$D$7:$D$64,$A26,'Argus Drop'!#REF!))</f>
        <v/>
      </c>
      <c r="DK26" s="440" t="str">
        <f>IF(DJ26="","",+SUMIF('Argus Drop'!$D$7:$D$64,$A26,'Argus Drop'!#REF!))</f>
        <v/>
      </c>
      <c r="DL26" s="440" t="str">
        <f>IF(DK26="","",+SUMIF('Argus Drop'!$D$7:$D$64,$A26,'Argus Drop'!#REF!))</f>
        <v/>
      </c>
      <c r="DM26" s="440" t="str">
        <f>IF(DL26="","",+SUMIF('Argus Drop'!$D$7:$D$64,$A26,'Argus Drop'!#REF!))</f>
        <v/>
      </c>
      <c r="DN26" s="440" t="str">
        <f>IF(DM26="","",+SUMIF('Argus Drop'!$D$7:$D$64,$A26,'Argus Drop'!#REF!))</f>
        <v/>
      </c>
      <c r="DO26" s="440" t="str">
        <f>IF(DN26="","",+SUMIF('Argus Drop'!$D$7:$D$64,$A26,'Argus Drop'!#REF!))</f>
        <v/>
      </c>
      <c r="DP26" s="440" t="str">
        <f>IF(DO26="","",+SUMIF('Argus Drop'!$D$7:$D$64,$A26,'Argus Drop'!#REF!))</f>
        <v/>
      </c>
      <c r="DQ26" s="440" t="str">
        <f>IF(DP26="","",+SUMIF('Argus Drop'!$D$7:$D$64,$A26,'Argus Drop'!#REF!))</f>
        <v/>
      </c>
      <c r="DR26" s="440" t="str">
        <f>IF(DQ26="","",+SUMIF('Argus Drop'!$D$7:$D$64,$A26,'Argus Drop'!#REF!))</f>
        <v/>
      </c>
      <c r="DS26" s="440"/>
      <c r="DT26" s="440"/>
      <c r="DU26" s="440"/>
      <c r="DV26" s="440"/>
      <c r="DW26" s="440"/>
      <c r="DX26" s="440"/>
      <c r="DY26" s="440"/>
      <c r="DZ26" s="440"/>
      <c r="EA26" s="440"/>
      <c r="EB26" s="440"/>
      <c r="EC26" s="440"/>
      <c r="ED26" s="1419"/>
      <c r="EE26" s="1419"/>
      <c r="EF26" s="1419"/>
      <c r="EG26" s="1419"/>
      <c r="EH26" s="1419"/>
      <c r="EI26" s="1419"/>
      <c r="EJ26" s="1419"/>
      <c r="EK26" s="1419"/>
      <c r="EL26" s="1419"/>
      <c r="EM26" s="1419"/>
      <c r="EN26" s="1419"/>
      <c r="EO26" s="1419"/>
      <c r="EP26" s="1419"/>
      <c r="EQ26" s="1419"/>
      <c r="ER26" s="1419"/>
      <c r="ES26" s="1419"/>
      <c r="ET26" s="1419"/>
      <c r="EU26" s="1419"/>
      <c r="EV26" s="1419"/>
      <c r="EW26" s="1419"/>
      <c r="EX26" s="1419"/>
      <c r="EY26" s="1419"/>
      <c r="EZ26" s="1419"/>
      <c r="FA26" s="1419"/>
      <c r="FB26" s="1419"/>
      <c r="FC26" s="1419"/>
      <c r="FD26" s="1419"/>
      <c r="FE26" s="1419"/>
      <c r="FF26" s="1419"/>
      <c r="FG26" s="1419"/>
      <c r="FH26" s="1419"/>
      <c r="FI26" s="1419"/>
    </row>
    <row r="27" spans="1:165">
      <c r="A27" s="448">
        <f>IF(+'Argus Drop'!B27="","",'Argus Drop'!B27)</f>
        <v>7</v>
      </c>
      <c r="B27" s="440">
        <f>SUMIF('Argus Drop'!$D:$D,$A27,'Argus Drop'!F:F)</f>
        <v>-9679</v>
      </c>
      <c r="C27" s="440">
        <f>SUMIF('Argus Drop'!$D:$D,$A27,'Argus Drop'!G:G)</f>
        <v>-9679</v>
      </c>
      <c r="D27" s="440">
        <f>SUMIF('Argus Drop'!$D:$D,$A27,'Argus Drop'!H:H)</f>
        <v>-9679</v>
      </c>
      <c r="E27" s="440">
        <f>SUMIF('Argus Drop'!$D:$D,$A27,'Argus Drop'!I:I)</f>
        <v>-9679</v>
      </c>
      <c r="F27" s="440">
        <f>SUMIF('Argus Drop'!$D:$D,$A27,'Argus Drop'!J:J)</f>
        <v>-9679</v>
      </c>
      <c r="G27" s="440">
        <f>SUMIF('Argus Drop'!$D:$D,$A27,'Argus Drop'!K:K)</f>
        <v>-9679</v>
      </c>
      <c r="H27" s="440">
        <f>SUMIF('Argus Drop'!$D:$D,$A27,'Argus Drop'!L:L)</f>
        <v>-9679</v>
      </c>
      <c r="I27" s="440">
        <f>SUMIF('Argus Drop'!$D:$D,$A27,'Argus Drop'!M:M)</f>
        <v>-9679</v>
      </c>
      <c r="J27" s="440">
        <f>SUMIF('Argus Drop'!$D:$D,$A27,'Argus Drop'!N:N)</f>
        <v>-9679</v>
      </c>
      <c r="K27" s="440">
        <f>SUMIF('Argus Drop'!$D:$D,$A27,'Argus Drop'!O:O)</f>
        <v>-9679</v>
      </c>
      <c r="L27" s="440">
        <f>SUMIF('Argus Drop'!$D:$D,$A27,'Argus Drop'!P:P)</f>
        <v>-9679</v>
      </c>
      <c r="M27" s="440">
        <f>SUMIF('Argus Drop'!$D:$D,$A27,'Argus Drop'!Q:Q)</f>
        <v>-9679</v>
      </c>
      <c r="N27" s="440">
        <f>SUMIF('Argus Drop'!$D:$D,$A27,'Argus Drop'!R:R)</f>
        <v>-10365</v>
      </c>
      <c r="O27" s="440">
        <f>SUMIF('Argus Drop'!$D:$D,$A27,'Argus Drop'!S:S)</f>
        <v>-10365</v>
      </c>
      <c r="P27" s="440">
        <f>SUMIF('Argus Drop'!$D:$D,$A27,'Argus Drop'!T:T)</f>
        <v>-10365</v>
      </c>
      <c r="Q27" s="440">
        <f>SUMIF('Argus Drop'!$D:$D,$A27,'Argus Drop'!U:U)</f>
        <v>-10365</v>
      </c>
      <c r="R27" s="440">
        <f>SUMIF('Argus Drop'!$D:$D,$A27,'Argus Drop'!V:V)</f>
        <v>-10365</v>
      </c>
      <c r="S27" s="440">
        <f>SUMIF('Argus Drop'!$D:$D,$A27,'Argus Drop'!W:W)</f>
        <v>-10365</v>
      </c>
      <c r="T27" s="440">
        <f>SUMIF('Argus Drop'!$D:$D,$A27,'Argus Drop'!X:X)</f>
        <v>-10365</v>
      </c>
      <c r="U27" s="440">
        <f>SUMIF('Argus Drop'!$D:$D,$A27,'Argus Drop'!Y:Y)</f>
        <v>-10365</v>
      </c>
      <c r="V27" s="440">
        <f>SUMIF('Argus Drop'!$D:$D,$A27,'Argus Drop'!Z:Z)</f>
        <v>-10365</v>
      </c>
      <c r="W27" s="440">
        <f>SUMIF('Argus Drop'!$D:$D,$A27,'Argus Drop'!AA:AA)</f>
        <v>-10365</v>
      </c>
      <c r="X27" s="440">
        <f>SUMIF('Argus Drop'!$D:$D,$A27,'Argus Drop'!AB:AB)</f>
        <v>-10365</v>
      </c>
      <c r="Y27" s="440">
        <f>SUMIF('Argus Drop'!$D:$D,$A27,'Argus Drop'!AC:AC)</f>
        <v>-10365</v>
      </c>
      <c r="Z27" s="440">
        <f>SUMIF('Argus Drop'!$D:$D,$A27,'Argus Drop'!AD:AD)</f>
        <v>-10566</v>
      </c>
      <c r="AA27" s="440">
        <f>SUMIF('Argus Drop'!$D:$D,$A27,'Argus Drop'!AE:AE)</f>
        <v>-10566</v>
      </c>
      <c r="AB27" s="440">
        <f>SUMIF('Argus Drop'!$D:$D,$A27,'Argus Drop'!AF:AF)</f>
        <v>-10566</v>
      </c>
      <c r="AC27" s="440">
        <f>SUMIF('Argus Drop'!$D:$D,$A27,'Argus Drop'!AG:AG)</f>
        <v>-10566</v>
      </c>
      <c r="AD27" s="440">
        <f>SUMIF('Argus Drop'!$D:$D,$A27,'Argus Drop'!AH:AH)</f>
        <v>-10566</v>
      </c>
      <c r="AE27" s="440">
        <f>SUMIF('Argus Drop'!$D:$D,$A27,'Argus Drop'!AI:AI)</f>
        <v>-10566</v>
      </c>
      <c r="AF27" s="440">
        <f>SUMIF('Argus Drop'!$D:$D,$A27,'Argus Drop'!AJ:AJ)</f>
        <v>-10566</v>
      </c>
      <c r="AG27" s="440">
        <f>SUMIF('Argus Drop'!$D:$D,$A27,'Argus Drop'!AK:AK)</f>
        <v>-10566</v>
      </c>
      <c r="AH27" s="440">
        <f>SUMIF('Argus Drop'!$D:$D,$A27,'Argus Drop'!AL:AL)</f>
        <v>-10566</v>
      </c>
      <c r="AI27" s="440">
        <f>SUMIF('Argus Drop'!$D:$D,$A27,'Argus Drop'!AM:AM)</f>
        <v>-10566</v>
      </c>
      <c r="AJ27" s="440">
        <f>SUMIF('Argus Drop'!$D:$D,$A27,'Argus Drop'!AN:AN)</f>
        <v>-10566</v>
      </c>
      <c r="AK27" s="440">
        <f>SUMIF('Argus Drop'!$D:$D,$A27,'Argus Drop'!AO:AO)</f>
        <v>-10566</v>
      </c>
      <c r="AL27" s="440">
        <f>SUMIF('Argus Drop'!$D:$D,$A27,'Argus Drop'!AP:AP)</f>
        <v>-10861</v>
      </c>
      <c r="AM27" s="440">
        <f>SUMIF('Argus Drop'!$D:$D,$A27,'Argus Drop'!AQ:AQ)</f>
        <v>-10861</v>
      </c>
      <c r="AN27" s="440">
        <f>SUMIF('Argus Drop'!$D:$D,$A27,'Argus Drop'!AR:AR)</f>
        <v>-10861</v>
      </c>
      <c r="AO27" s="440">
        <f>SUMIF('Argus Drop'!$D:$D,$A27,'Argus Drop'!AS:AS)</f>
        <v>-10861</v>
      </c>
      <c r="AP27" s="440">
        <f>SUMIF('Argus Drop'!$D:$D,$A27,'Argus Drop'!AT:AT)</f>
        <v>-10861</v>
      </c>
      <c r="AQ27" s="440">
        <f>SUMIF('Argus Drop'!$D:$D,$A27,'Argus Drop'!AU:AU)</f>
        <v>-10861</v>
      </c>
      <c r="AR27" s="440">
        <f>SUMIF('Argus Drop'!$D:$D,$A27,'Argus Drop'!AV:AV)</f>
        <v>-10861</v>
      </c>
      <c r="AS27" s="440">
        <f>SUMIF('Argus Drop'!$D:$D,$A27,'Argus Drop'!AW:AW)</f>
        <v>-10861</v>
      </c>
      <c r="AT27" s="440">
        <f>SUMIF('Argus Drop'!$D:$D,$A27,'Argus Drop'!AX:AX)</f>
        <v>-10861</v>
      </c>
      <c r="AU27" s="440">
        <f>SUMIF('Argus Drop'!$D:$D,$A27,'Argus Drop'!AY:AY)</f>
        <v>-10861</v>
      </c>
      <c r="AV27" s="440">
        <f>SUMIF('Argus Drop'!$D:$D,$A27,'Argus Drop'!AZ:AZ)</f>
        <v>-10861</v>
      </c>
      <c r="AW27" s="440">
        <f>SUMIF('Argus Drop'!$D:$D,$A27,'Argus Drop'!BA:BA)</f>
        <v>-10861</v>
      </c>
      <c r="AX27" s="440">
        <f>SUMIF('Argus Drop'!$D:$D,$A27,'Argus Drop'!BB:BB)</f>
        <v>-11037</v>
      </c>
      <c r="AY27" s="440">
        <f>SUMIF('Argus Drop'!$D:$D,$A27,'Argus Drop'!BC:BC)</f>
        <v>-11037</v>
      </c>
      <c r="AZ27" s="440">
        <f>SUMIF('Argus Drop'!$D:$D,$A27,'Argus Drop'!BD:BD)</f>
        <v>-11037</v>
      </c>
      <c r="BA27" s="440">
        <f>SUMIF('Argus Drop'!$D:$D,$A27,'Argus Drop'!BE:BE)</f>
        <v>-11037</v>
      </c>
      <c r="BB27" s="440">
        <f>SUMIF('Argus Drop'!$D:$D,$A27,'Argus Drop'!BF:BF)</f>
        <v>-11037</v>
      </c>
      <c r="BC27" s="440">
        <f>SUMIF('Argus Drop'!$D:$D,$A27,'Argus Drop'!BG:BG)</f>
        <v>-11037</v>
      </c>
      <c r="BD27" s="440">
        <f>SUMIF('Argus Drop'!$D:$D,$A27,'Argus Drop'!BH:BH)</f>
        <v>-11037</v>
      </c>
      <c r="BE27" s="440">
        <f>SUMIF('Argus Drop'!$D:$D,$A27,'Argus Drop'!BI:BI)</f>
        <v>-11037</v>
      </c>
      <c r="BF27" s="440">
        <f>SUMIF('Argus Drop'!$D:$D,$A27,'Argus Drop'!BJ:BJ)</f>
        <v>-11037</v>
      </c>
      <c r="BG27" s="440">
        <f>SUMIF('Argus Drop'!$D:$D,$A27,'Argus Drop'!BK:BK)</f>
        <v>-11037</v>
      </c>
      <c r="BH27" s="440">
        <f>SUMIF('Argus Drop'!$D:$D,$A27,'Argus Drop'!BL:BL)</f>
        <v>-11037</v>
      </c>
      <c r="BI27" s="440">
        <f>SUMIF('Argus Drop'!$D:$D,$A27,'Argus Drop'!BM:BM)</f>
        <v>-11037</v>
      </c>
      <c r="BJ27" s="440">
        <f>SUMIF('Argus Drop'!$D:$D,$A27,'Argus Drop'!BN:BN)</f>
        <v>-11091</v>
      </c>
      <c r="BK27" s="440">
        <f>SUMIF('Argus Drop'!$D:$D,$A27,'Argus Drop'!BO:BO)</f>
        <v>-11091</v>
      </c>
      <c r="BL27" s="440">
        <f>SUMIF('Argus Drop'!$D:$D,$A27,'Argus Drop'!BP:BP)</f>
        <v>-11091</v>
      </c>
      <c r="BM27" s="440">
        <f>SUMIF('Argus Drop'!$D:$D,$A27,'Argus Drop'!BQ:BQ)</f>
        <v>-11091</v>
      </c>
      <c r="BN27" s="440">
        <f>SUMIF('Argus Drop'!$D:$D,$A27,'Argus Drop'!BR:BR)</f>
        <v>-11091</v>
      </c>
      <c r="BO27" s="440">
        <f>SUMIF('Argus Drop'!$D:$D,$A27,'Argus Drop'!BS:BS)</f>
        <v>-11091</v>
      </c>
      <c r="BP27" s="440">
        <f>SUMIF('Argus Drop'!$D:$D,$A27,'Argus Drop'!BT:BT)</f>
        <v>-11091</v>
      </c>
      <c r="BQ27" s="440">
        <f>SUMIF('Argus Drop'!$D:$D,$A27,'Argus Drop'!BU:BU)</f>
        <v>-11091</v>
      </c>
      <c r="BR27" s="440">
        <f>SUMIF('Argus Drop'!$D:$D,$A27,'Argus Drop'!BV:BV)</f>
        <v>-11091</v>
      </c>
      <c r="BS27" s="440">
        <f>SUMIF('Argus Drop'!$D:$D,$A27,'Argus Drop'!BW:BW)</f>
        <v>-11091</v>
      </c>
      <c r="BT27" s="440">
        <f>SUMIF('Argus Drop'!$D:$D,$A27,'Argus Drop'!BX:BX)</f>
        <v>-11091</v>
      </c>
      <c r="BU27" s="440">
        <f>SUMIF('Argus Drop'!$D:$D,$A27,'Argus Drop'!BY:BY)</f>
        <v>-11091</v>
      </c>
      <c r="BV27" s="440">
        <f>SUMIF('Argus Drop'!$D:$D,$A27,'Argus Drop'!BZ:BZ)</f>
        <v>-10686</v>
      </c>
      <c r="BW27" s="440">
        <f>SUMIF('Argus Drop'!$D:$D,$A27,'Argus Drop'!CA:CA)</f>
        <v>-10686</v>
      </c>
      <c r="BX27" s="440">
        <f>SUMIF('Argus Drop'!$D:$D,$A27,'Argus Drop'!CB:CB)</f>
        <v>-10686</v>
      </c>
      <c r="BY27" s="440">
        <f>SUMIF('Argus Drop'!$D:$D,$A27,'Argus Drop'!CC:CC)</f>
        <v>-10686</v>
      </c>
      <c r="BZ27" s="440">
        <f>SUMIF('Argus Drop'!$D:$D,$A27,'Argus Drop'!CD:CD)</f>
        <v>-10686</v>
      </c>
      <c r="CA27" s="440">
        <f>SUMIF('Argus Drop'!$D:$D,$A27,'Argus Drop'!CE:CE)</f>
        <v>-10686</v>
      </c>
      <c r="CB27" s="440">
        <f>SUMIF('Argus Drop'!$D:$D,$A27,'Argus Drop'!CF:CF)</f>
        <v>-10686</v>
      </c>
      <c r="CC27" s="440">
        <f>SUMIF('Argus Drop'!$D:$D,$A27,'Argus Drop'!CG:CG)</f>
        <v>-10686</v>
      </c>
      <c r="CD27" s="440">
        <f>SUMIF('Argus Drop'!$D:$D,$A27,'Argus Drop'!CH:CH)</f>
        <v>-10686</v>
      </c>
      <c r="CE27" s="440">
        <f>SUMIF('Argus Drop'!$D:$D,$A27,'Argus Drop'!CI:CI)</f>
        <v>-10686</v>
      </c>
      <c r="CF27" s="440">
        <f>SUMIF('Argus Drop'!$D:$D,$A27,'Argus Drop'!CJ:CJ)</f>
        <v>-10686</v>
      </c>
      <c r="CG27" s="440">
        <f>SUMIF('Argus Drop'!$D:$D,$A27,'Argus Drop'!CK:CK)</f>
        <v>-10686</v>
      </c>
      <c r="CH27" s="440">
        <f>SUMIF('Argus Drop'!$D:$D,$A27,'Argus Drop'!CL:CL)</f>
        <v>-10623</v>
      </c>
      <c r="CI27" s="440">
        <f>SUMIF('Argus Drop'!$D:$D,$A27,'Argus Drop'!CM:CM)</f>
        <v>-10623</v>
      </c>
      <c r="CJ27" s="440">
        <f>SUMIF('Argus Drop'!$D:$D,$A27,'Argus Drop'!CN:CN)</f>
        <v>-10623</v>
      </c>
      <c r="CK27" s="440">
        <f>SUMIF('Argus Drop'!$D:$D,$A27,'Argus Drop'!CO:CO)</f>
        <v>-10623</v>
      </c>
      <c r="CL27" s="440">
        <f>SUMIF('Argus Drop'!$D:$D,$A27,'Argus Drop'!CP:CP)</f>
        <v>-10623</v>
      </c>
      <c r="CM27" s="440">
        <f>SUMIF('Argus Drop'!$D:$D,$A27,'Argus Drop'!CQ:CQ)</f>
        <v>-10623</v>
      </c>
      <c r="CN27" s="440">
        <f>SUMIF('Argus Drop'!$D:$D,$A27,'Argus Drop'!CR:CR)</f>
        <v>-10623</v>
      </c>
      <c r="CO27" s="440">
        <f>SUMIF('Argus Drop'!$D:$D,$A27,'Argus Drop'!CS:CS)</f>
        <v>-10623</v>
      </c>
      <c r="CP27" s="440">
        <f>SUMIF('Argus Drop'!$D:$D,$A27,'Argus Drop'!CT:CT)</f>
        <v>-10623</v>
      </c>
      <c r="CQ27" s="440">
        <f>SUMIF('Argus Drop'!$D:$D,$A27,'Argus Drop'!CU:CU)</f>
        <v>-10623</v>
      </c>
      <c r="CR27" s="440">
        <f>SUMIF('Argus Drop'!$D:$D,$A27,'Argus Drop'!CV:CV)</f>
        <v>-10623</v>
      </c>
      <c r="CS27" s="440">
        <f>SUMIF('Argus Drop'!$D:$D,$A27,'Argus Drop'!CW:CW)</f>
        <v>-10623</v>
      </c>
      <c r="CT27" s="440">
        <f>SUMIF('Argus Drop'!$D:$D,$A27,'Argus Drop'!CX:CX)</f>
        <v>-10928</v>
      </c>
      <c r="CU27" s="440">
        <f>SUMIF('Argus Drop'!$D:$D,$A27,'Argus Drop'!CY:CY)</f>
        <v>-10928</v>
      </c>
      <c r="CV27" s="440">
        <f>SUMIF('Argus Drop'!$D:$D,$A27,'Argus Drop'!CZ:CZ)</f>
        <v>-10928</v>
      </c>
      <c r="CW27" s="440">
        <f>SUMIF('Argus Drop'!$D:$D,$A27,'Argus Drop'!DA:DA)</f>
        <v>-10928</v>
      </c>
      <c r="CX27" s="440">
        <f>SUMIF('Argus Drop'!$D:$D,$A27,'Argus Drop'!DB:DB)</f>
        <v>-10928</v>
      </c>
      <c r="CY27" s="440">
        <f>SUMIF('Argus Drop'!$D:$D,$A27,'Argus Drop'!DC:DC)</f>
        <v>-10928</v>
      </c>
      <c r="CZ27" s="440">
        <f>SUMIF('Argus Drop'!$D:$D,$A27,'Argus Drop'!DD:DD)</f>
        <v>-10928</v>
      </c>
      <c r="DA27" s="440">
        <f>SUMIF('Argus Drop'!$D:$D,$A27,'Argus Drop'!DE:DE)</f>
        <v>-10928</v>
      </c>
      <c r="DB27" s="440">
        <f>SUMIF('Argus Drop'!$D:$D,$A27,'Argus Drop'!DF:DF)</f>
        <v>-10928</v>
      </c>
      <c r="DC27" s="440">
        <f>SUMIF('Argus Drop'!$D:$D,$A27,'Argus Drop'!DG:DG)</f>
        <v>-10928</v>
      </c>
      <c r="DD27" s="440">
        <f>SUMIF('Argus Drop'!$D:$D,$A27,'Argus Drop'!DH:DH)</f>
        <v>-10928</v>
      </c>
      <c r="DE27" s="440">
        <f>SUMIF('Argus Drop'!$D:$D,$A27,'Argus Drop'!DI:DI)</f>
        <v>-10928</v>
      </c>
      <c r="DF27" s="440">
        <f>SUMIF('Argus Drop'!$D:$D,$A27,'Argus Drop'!DJ:DJ)</f>
        <v>-10987</v>
      </c>
      <c r="DG27" s="440">
        <f>SUMIF('Argus Drop'!$D:$D,$A27,'Argus Drop'!DK:DK)</f>
        <v>-10987</v>
      </c>
      <c r="DH27" s="440">
        <f>SUMIF('Argus Drop'!$D:$D,$A27,'Argus Drop'!DL:DL)</f>
        <v>-10987</v>
      </c>
      <c r="DI27" s="440">
        <f>SUMIF('Argus Drop'!$D:$D,$A27,'Argus Drop'!DM:DM)</f>
        <v>-10987</v>
      </c>
      <c r="DJ27" s="440">
        <f>SUMIF('Argus Drop'!$D:$D,$A27,'Argus Drop'!DN:DN)</f>
        <v>-10987</v>
      </c>
      <c r="DK27" s="440">
        <f>SUMIF('Argus Drop'!$D:$D,$A27,'Argus Drop'!DO:DO)</f>
        <v>-10987</v>
      </c>
      <c r="DL27" s="440">
        <f>SUMIF('Argus Drop'!$D:$D,$A27,'Argus Drop'!DP:DP)</f>
        <v>-10987</v>
      </c>
      <c r="DM27" s="440">
        <f>SUMIF('Argus Drop'!$D:$D,$A27,'Argus Drop'!DQ:DQ)</f>
        <v>-10987</v>
      </c>
      <c r="DN27" s="440">
        <f>SUMIF('Argus Drop'!$D:$D,$A27,'Argus Drop'!DR:DR)</f>
        <v>-10987</v>
      </c>
      <c r="DO27" s="440">
        <f>SUMIF('Argus Drop'!$D:$D,$A27,'Argus Drop'!DS:DS)</f>
        <v>-10987</v>
      </c>
      <c r="DP27" s="440">
        <f>SUMIF('Argus Drop'!$D:$D,$A27,'Argus Drop'!DT:DT)</f>
        <v>-10987</v>
      </c>
      <c r="DQ27" s="440">
        <f>SUMIF('Argus Drop'!$D:$D,$A27,'Argus Drop'!DU:DU)</f>
        <v>-10987</v>
      </c>
      <c r="DR27" s="440">
        <f>SUMIF('Argus Drop'!$D:$D,$A27,'Argus Drop'!DV:DV)</f>
        <v>-11106</v>
      </c>
      <c r="DS27" s="440"/>
      <c r="DT27" s="440"/>
      <c r="DU27" s="440"/>
      <c r="DV27" s="440"/>
      <c r="DW27" s="440"/>
      <c r="DX27" s="440"/>
      <c r="DY27" s="440"/>
      <c r="DZ27" s="440"/>
      <c r="EA27" s="440"/>
      <c r="EB27" s="440"/>
      <c r="EC27" s="440"/>
      <c r="ED27" s="1419"/>
      <c r="EE27" s="1419"/>
      <c r="EF27" s="1419"/>
      <c r="EG27" s="1419"/>
      <c r="EH27" s="1419"/>
      <c r="EI27" s="1419"/>
      <c r="EJ27" s="1419"/>
      <c r="EK27" s="1419"/>
      <c r="EL27" s="1419"/>
      <c r="EM27" s="1419"/>
      <c r="EN27" s="1419"/>
      <c r="EO27" s="1419"/>
      <c r="EP27" s="1419"/>
      <c r="EQ27" s="1419"/>
      <c r="ER27" s="1419"/>
      <c r="ES27" s="1419"/>
      <c r="ET27" s="1419"/>
      <c r="EU27" s="1419"/>
      <c r="EV27" s="1419"/>
      <c r="EW27" s="1419"/>
      <c r="EX27" s="1419"/>
      <c r="EY27" s="1419"/>
      <c r="EZ27" s="1419"/>
      <c r="FA27" s="1419"/>
      <c r="FB27" s="1419"/>
      <c r="FC27" s="1419"/>
      <c r="FD27" s="1419"/>
      <c r="FE27" s="1419"/>
      <c r="FF27" s="1419"/>
      <c r="FG27" s="1419"/>
      <c r="FH27" s="1419"/>
      <c r="FI27" s="1419"/>
    </row>
    <row r="28" spans="1:165">
      <c r="A28" s="448">
        <f>IF(+'Argus Drop'!B28="","",'Argus Drop'!B28)</f>
        <v>25</v>
      </c>
      <c r="B28" s="440">
        <f>SUMIF('Argus Drop'!$D:$D,$A28,'Argus Drop'!F:F)</f>
        <v>-9679</v>
      </c>
      <c r="C28" s="440">
        <f>SUMIF('Argus Drop'!$D:$D,$A28,'Argus Drop'!G:G)</f>
        <v>-9679</v>
      </c>
      <c r="D28" s="440">
        <f>SUMIF('Argus Drop'!$D:$D,$A28,'Argus Drop'!H:H)</f>
        <v>-9679</v>
      </c>
      <c r="E28" s="440">
        <f>SUMIF('Argus Drop'!$D:$D,$A28,'Argus Drop'!I:I)</f>
        <v>-9679</v>
      </c>
      <c r="F28" s="440">
        <f>SUMIF('Argus Drop'!$D:$D,$A28,'Argus Drop'!J:J)</f>
        <v>-9679</v>
      </c>
      <c r="G28" s="440">
        <f>SUMIF('Argus Drop'!$D:$D,$A28,'Argus Drop'!K:K)</f>
        <v>-9679</v>
      </c>
      <c r="H28" s="440">
        <f>SUMIF('Argus Drop'!$D:$D,$A28,'Argus Drop'!L:L)</f>
        <v>-9679</v>
      </c>
      <c r="I28" s="440">
        <f>SUMIF('Argus Drop'!$D:$D,$A28,'Argus Drop'!M:M)</f>
        <v>-9679</v>
      </c>
      <c r="J28" s="440">
        <f>SUMIF('Argus Drop'!$D:$D,$A28,'Argus Drop'!N:N)</f>
        <v>-9679</v>
      </c>
      <c r="K28" s="440">
        <f>SUMIF('Argus Drop'!$D:$D,$A28,'Argus Drop'!O:O)</f>
        <v>-9679</v>
      </c>
      <c r="L28" s="440">
        <f>SUMIF('Argus Drop'!$D:$D,$A28,'Argus Drop'!P:P)</f>
        <v>-9679</v>
      </c>
      <c r="M28" s="440">
        <f>SUMIF('Argus Drop'!$D:$D,$A28,'Argus Drop'!Q:Q)</f>
        <v>-9679</v>
      </c>
      <c r="N28" s="440">
        <f>SUMIF('Argus Drop'!$D:$D,$A28,'Argus Drop'!R:R)</f>
        <v>-10365</v>
      </c>
      <c r="O28" s="440">
        <f>SUMIF('Argus Drop'!$D:$D,$A28,'Argus Drop'!S:S)</f>
        <v>-10365</v>
      </c>
      <c r="P28" s="440">
        <f>SUMIF('Argus Drop'!$D:$D,$A28,'Argus Drop'!T:T)</f>
        <v>-10365</v>
      </c>
      <c r="Q28" s="440">
        <f>SUMIF('Argus Drop'!$D:$D,$A28,'Argus Drop'!U:U)</f>
        <v>-10365</v>
      </c>
      <c r="R28" s="440">
        <f>SUMIF('Argus Drop'!$D:$D,$A28,'Argus Drop'!V:V)</f>
        <v>-10365</v>
      </c>
      <c r="S28" s="440">
        <f>SUMIF('Argus Drop'!$D:$D,$A28,'Argus Drop'!W:W)</f>
        <v>-10365</v>
      </c>
      <c r="T28" s="440">
        <f>SUMIF('Argus Drop'!$D:$D,$A28,'Argus Drop'!X:X)</f>
        <v>-10365</v>
      </c>
      <c r="U28" s="440">
        <f>SUMIF('Argus Drop'!$D:$D,$A28,'Argus Drop'!Y:Y)</f>
        <v>-10365</v>
      </c>
      <c r="V28" s="440">
        <f>SUMIF('Argus Drop'!$D:$D,$A28,'Argus Drop'!Z:Z)</f>
        <v>-10365</v>
      </c>
      <c r="W28" s="440">
        <f>SUMIF('Argus Drop'!$D:$D,$A28,'Argus Drop'!AA:AA)</f>
        <v>-10365</v>
      </c>
      <c r="X28" s="440">
        <f>SUMIF('Argus Drop'!$D:$D,$A28,'Argus Drop'!AB:AB)</f>
        <v>-10365</v>
      </c>
      <c r="Y28" s="440">
        <f>SUMIF('Argus Drop'!$D:$D,$A28,'Argus Drop'!AC:AC)</f>
        <v>-10365</v>
      </c>
      <c r="Z28" s="440">
        <f>SUMIF('Argus Drop'!$D:$D,$A28,'Argus Drop'!AD:AD)</f>
        <v>-10566</v>
      </c>
      <c r="AA28" s="440">
        <f>SUMIF('Argus Drop'!$D:$D,$A28,'Argus Drop'!AE:AE)</f>
        <v>-10566</v>
      </c>
      <c r="AB28" s="440">
        <f>SUMIF('Argus Drop'!$D:$D,$A28,'Argus Drop'!AF:AF)</f>
        <v>-10566</v>
      </c>
      <c r="AC28" s="440">
        <f>SUMIF('Argus Drop'!$D:$D,$A28,'Argus Drop'!AG:AG)</f>
        <v>-10566</v>
      </c>
      <c r="AD28" s="440">
        <f>SUMIF('Argus Drop'!$D:$D,$A28,'Argus Drop'!AH:AH)</f>
        <v>-10566</v>
      </c>
      <c r="AE28" s="440">
        <f>SUMIF('Argus Drop'!$D:$D,$A28,'Argus Drop'!AI:AI)</f>
        <v>-10566</v>
      </c>
      <c r="AF28" s="440">
        <f>SUMIF('Argus Drop'!$D:$D,$A28,'Argus Drop'!AJ:AJ)</f>
        <v>-10566</v>
      </c>
      <c r="AG28" s="440">
        <f>SUMIF('Argus Drop'!$D:$D,$A28,'Argus Drop'!AK:AK)</f>
        <v>-10566</v>
      </c>
      <c r="AH28" s="440">
        <f>SUMIF('Argus Drop'!$D:$D,$A28,'Argus Drop'!AL:AL)</f>
        <v>-10566</v>
      </c>
      <c r="AI28" s="440">
        <f>SUMIF('Argus Drop'!$D:$D,$A28,'Argus Drop'!AM:AM)</f>
        <v>-10566</v>
      </c>
      <c r="AJ28" s="440">
        <f>SUMIF('Argus Drop'!$D:$D,$A28,'Argus Drop'!AN:AN)</f>
        <v>-10566</v>
      </c>
      <c r="AK28" s="440">
        <f>SUMIF('Argus Drop'!$D:$D,$A28,'Argus Drop'!AO:AO)</f>
        <v>-10566</v>
      </c>
      <c r="AL28" s="440">
        <f>SUMIF('Argus Drop'!$D:$D,$A28,'Argus Drop'!AP:AP)</f>
        <v>-10861</v>
      </c>
      <c r="AM28" s="440">
        <f>SUMIF('Argus Drop'!$D:$D,$A28,'Argus Drop'!AQ:AQ)</f>
        <v>-10861</v>
      </c>
      <c r="AN28" s="440">
        <f>SUMIF('Argus Drop'!$D:$D,$A28,'Argus Drop'!AR:AR)</f>
        <v>-10861</v>
      </c>
      <c r="AO28" s="440">
        <f>SUMIF('Argus Drop'!$D:$D,$A28,'Argus Drop'!AS:AS)</f>
        <v>-10861</v>
      </c>
      <c r="AP28" s="440">
        <f>SUMIF('Argus Drop'!$D:$D,$A28,'Argus Drop'!AT:AT)</f>
        <v>-10861</v>
      </c>
      <c r="AQ28" s="440">
        <f>SUMIF('Argus Drop'!$D:$D,$A28,'Argus Drop'!AU:AU)</f>
        <v>-10861</v>
      </c>
      <c r="AR28" s="440">
        <f>SUMIF('Argus Drop'!$D:$D,$A28,'Argus Drop'!AV:AV)</f>
        <v>-10861</v>
      </c>
      <c r="AS28" s="440">
        <f>SUMIF('Argus Drop'!$D:$D,$A28,'Argus Drop'!AW:AW)</f>
        <v>-10861</v>
      </c>
      <c r="AT28" s="440">
        <f>SUMIF('Argus Drop'!$D:$D,$A28,'Argus Drop'!AX:AX)</f>
        <v>-10861</v>
      </c>
      <c r="AU28" s="440">
        <f>SUMIF('Argus Drop'!$D:$D,$A28,'Argus Drop'!AY:AY)</f>
        <v>-10861</v>
      </c>
      <c r="AV28" s="440">
        <f>SUMIF('Argus Drop'!$D:$D,$A28,'Argus Drop'!AZ:AZ)</f>
        <v>-10861</v>
      </c>
      <c r="AW28" s="440">
        <f>SUMIF('Argus Drop'!$D:$D,$A28,'Argus Drop'!BA:BA)</f>
        <v>-10861</v>
      </c>
      <c r="AX28" s="440">
        <f>SUMIF('Argus Drop'!$D:$D,$A28,'Argus Drop'!BB:BB)</f>
        <v>-11037</v>
      </c>
      <c r="AY28" s="440">
        <f>SUMIF('Argus Drop'!$D:$D,$A28,'Argus Drop'!BC:BC)</f>
        <v>-11037</v>
      </c>
      <c r="AZ28" s="440">
        <f>SUMIF('Argus Drop'!$D:$D,$A28,'Argus Drop'!BD:BD)</f>
        <v>-11037</v>
      </c>
      <c r="BA28" s="440">
        <f>SUMIF('Argus Drop'!$D:$D,$A28,'Argus Drop'!BE:BE)</f>
        <v>-11037</v>
      </c>
      <c r="BB28" s="440">
        <f>SUMIF('Argus Drop'!$D:$D,$A28,'Argus Drop'!BF:BF)</f>
        <v>-11037</v>
      </c>
      <c r="BC28" s="440">
        <f>SUMIF('Argus Drop'!$D:$D,$A28,'Argus Drop'!BG:BG)</f>
        <v>-11037</v>
      </c>
      <c r="BD28" s="440">
        <f>SUMIF('Argus Drop'!$D:$D,$A28,'Argus Drop'!BH:BH)</f>
        <v>-11037</v>
      </c>
      <c r="BE28" s="440">
        <f>SUMIF('Argus Drop'!$D:$D,$A28,'Argus Drop'!BI:BI)</f>
        <v>-11037</v>
      </c>
      <c r="BF28" s="440">
        <f>SUMIF('Argus Drop'!$D:$D,$A28,'Argus Drop'!BJ:BJ)</f>
        <v>-11037</v>
      </c>
      <c r="BG28" s="440">
        <f>SUMIF('Argus Drop'!$D:$D,$A28,'Argus Drop'!BK:BK)</f>
        <v>-11037</v>
      </c>
      <c r="BH28" s="440">
        <f>SUMIF('Argus Drop'!$D:$D,$A28,'Argus Drop'!BL:BL)</f>
        <v>-11037</v>
      </c>
      <c r="BI28" s="440">
        <f>SUMIF('Argus Drop'!$D:$D,$A28,'Argus Drop'!BM:BM)</f>
        <v>-11037</v>
      </c>
      <c r="BJ28" s="440">
        <f>SUMIF('Argus Drop'!$D:$D,$A28,'Argus Drop'!BN:BN)</f>
        <v>-11091</v>
      </c>
      <c r="BK28" s="440">
        <f>SUMIF('Argus Drop'!$D:$D,$A28,'Argus Drop'!BO:BO)</f>
        <v>-11091</v>
      </c>
      <c r="BL28" s="440">
        <f>SUMIF('Argus Drop'!$D:$D,$A28,'Argus Drop'!BP:BP)</f>
        <v>-11091</v>
      </c>
      <c r="BM28" s="440">
        <f>SUMIF('Argus Drop'!$D:$D,$A28,'Argus Drop'!BQ:BQ)</f>
        <v>-11091</v>
      </c>
      <c r="BN28" s="440">
        <f>SUMIF('Argus Drop'!$D:$D,$A28,'Argus Drop'!BR:BR)</f>
        <v>-11091</v>
      </c>
      <c r="BO28" s="440">
        <f>SUMIF('Argus Drop'!$D:$D,$A28,'Argus Drop'!BS:BS)</f>
        <v>-11091</v>
      </c>
      <c r="BP28" s="440">
        <f>SUMIF('Argus Drop'!$D:$D,$A28,'Argus Drop'!BT:BT)</f>
        <v>-11091</v>
      </c>
      <c r="BQ28" s="440">
        <f>SUMIF('Argus Drop'!$D:$D,$A28,'Argus Drop'!BU:BU)</f>
        <v>-11091</v>
      </c>
      <c r="BR28" s="440">
        <f>SUMIF('Argus Drop'!$D:$D,$A28,'Argus Drop'!BV:BV)</f>
        <v>-11091</v>
      </c>
      <c r="BS28" s="440">
        <f>SUMIF('Argus Drop'!$D:$D,$A28,'Argus Drop'!BW:BW)</f>
        <v>-11091</v>
      </c>
      <c r="BT28" s="440">
        <f>SUMIF('Argus Drop'!$D:$D,$A28,'Argus Drop'!BX:BX)</f>
        <v>-11091</v>
      </c>
      <c r="BU28" s="440">
        <f>SUMIF('Argus Drop'!$D:$D,$A28,'Argus Drop'!BY:BY)</f>
        <v>-11091</v>
      </c>
      <c r="BV28" s="440">
        <f>SUMIF('Argus Drop'!$D:$D,$A28,'Argus Drop'!BZ:BZ)</f>
        <v>-10686</v>
      </c>
      <c r="BW28" s="440">
        <f>SUMIF('Argus Drop'!$D:$D,$A28,'Argus Drop'!CA:CA)</f>
        <v>-10686</v>
      </c>
      <c r="BX28" s="440">
        <f>SUMIF('Argus Drop'!$D:$D,$A28,'Argus Drop'!CB:CB)</f>
        <v>-10686</v>
      </c>
      <c r="BY28" s="440">
        <f>SUMIF('Argus Drop'!$D:$D,$A28,'Argus Drop'!CC:CC)</f>
        <v>-10686</v>
      </c>
      <c r="BZ28" s="440">
        <f>SUMIF('Argus Drop'!$D:$D,$A28,'Argus Drop'!CD:CD)</f>
        <v>-10686</v>
      </c>
      <c r="CA28" s="440">
        <f>SUMIF('Argus Drop'!$D:$D,$A28,'Argus Drop'!CE:CE)</f>
        <v>-10686</v>
      </c>
      <c r="CB28" s="440">
        <f>SUMIF('Argus Drop'!$D:$D,$A28,'Argus Drop'!CF:CF)</f>
        <v>-10686</v>
      </c>
      <c r="CC28" s="440">
        <f>SUMIF('Argus Drop'!$D:$D,$A28,'Argus Drop'!CG:CG)</f>
        <v>-10686</v>
      </c>
      <c r="CD28" s="440">
        <f>SUMIF('Argus Drop'!$D:$D,$A28,'Argus Drop'!CH:CH)</f>
        <v>-10686</v>
      </c>
      <c r="CE28" s="440">
        <f>SUMIF('Argus Drop'!$D:$D,$A28,'Argus Drop'!CI:CI)</f>
        <v>-10686</v>
      </c>
      <c r="CF28" s="440">
        <f>SUMIF('Argus Drop'!$D:$D,$A28,'Argus Drop'!CJ:CJ)</f>
        <v>-10686</v>
      </c>
      <c r="CG28" s="440">
        <f>SUMIF('Argus Drop'!$D:$D,$A28,'Argus Drop'!CK:CK)</f>
        <v>-10686</v>
      </c>
      <c r="CH28" s="440">
        <f>SUMIF('Argus Drop'!$D:$D,$A28,'Argus Drop'!CL:CL)</f>
        <v>-10623</v>
      </c>
      <c r="CI28" s="440">
        <f>SUMIF('Argus Drop'!$D:$D,$A28,'Argus Drop'!CM:CM)</f>
        <v>-10623</v>
      </c>
      <c r="CJ28" s="440">
        <f>SUMIF('Argus Drop'!$D:$D,$A28,'Argus Drop'!CN:CN)</f>
        <v>-10623</v>
      </c>
      <c r="CK28" s="440">
        <f>SUMIF('Argus Drop'!$D:$D,$A28,'Argus Drop'!CO:CO)</f>
        <v>-10623</v>
      </c>
      <c r="CL28" s="440">
        <f>SUMIF('Argus Drop'!$D:$D,$A28,'Argus Drop'!CP:CP)</f>
        <v>-10623</v>
      </c>
      <c r="CM28" s="440">
        <f>SUMIF('Argus Drop'!$D:$D,$A28,'Argus Drop'!CQ:CQ)</f>
        <v>-10623</v>
      </c>
      <c r="CN28" s="440">
        <f>SUMIF('Argus Drop'!$D:$D,$A28,'Argus Drop'!CR:CR)</f>
        <v>-10623</v>
      </c>
      <c r="CO28" s="440">
        <f>SUMIF('Argus Drop'!$D:$D,$A28,'Argus Drop'!CS:CS)</f>
        <v>-10623</v>
      </c>
      <c r="CP28" s="440">
        <f>SUMIF('Argus Drop'!$D:$D,$A28,'Argus Drop'!CT:CT)</f>
        <v>-10623</v>
      </c>
      <c r="CQ28" s="440">
        <f>SUMIF('Argus Drop'!$D:$D,$A28,'Argus Drop'!CU:CU)</f>
        <v>-10623</v>
      </c>
      <c r="CR28" s="440">
        <f>SUMIF('Argus Drop'!$D:$D,$A28,'Argus Drop'!CV:CV)</f>
        <v>-10623</v>
      </c>
      <c r="CS28" s="440">
        <f>SUMIF('Argus Drop'!$D:$D,$A28,'Argus Drop'!CW:CW)</f>
        <v>-10623</v>
      </c>
      <c r="CT28" s="440">
        <f>SUMIF('Argus Drop'!$D:$D,$A28,'Argus Drop'!CX:CX)</f>
        <v>-10928</v>
      </c>
      <c r="CU28" s="440">
        <f>SUMIF('Argus Drop'!$D:$D,$A28,'Argus Drop'!CY:CY)</f>
        <v>-10928</v>
      </c>
      <c r="CV28" s="440">
        <f>SUMIF('Argus Drop'!$D:$D,$A28,'Argus Drop'!CZ:CZ)</f>
        <v>-10928</v>
      </c>
      <c r="CW28" s="440">
        <f>SUMIF('Argus Drop'!$D:$D,$A28,'Argus Drop'!DA:DA)</f>
        <v>-10928</v>
      </c>
      <c r="CX28" s="440">
        <f>SUMIF('Argus Drop'!$D:$D,$A28,'Argus Drop'!DB:DB)</f>
        <v>-10928</v>
      </c>
      <c r="CY28" s="440">
        <f>SUMIF('Argus Drop'!$D:$D,$A28,'Argus Drop'!DC:DC)</f>
        <v>-10928</v>
      </c>
      <c r="CZ28" s="440">
        <f>SUMIF('Argus Drop'!$D:$D,$A28,'Argus Drop'!DD:DD)</f>
        <v>-10928</v>
      </c>
      <c r="DA28" s="440">
        <f>SUMIF('Argus Drop'!$D:$D,$A28,'Argus Drop'!DE:DE)</f>
        <v>-10928</v>
      </c>
      <c r="DB28" s="440">
        <f>SUMIF('Argus Drop'!$D:$D,$A28,'Argus Drop'!DF:DF)</f>
        <v>-10928</v>
      </c>
      <c r="DC28" s="440">
        <f>SUMIF('Argus Drop'!$D:$D,$A28,'Argus Drop'!DG:DG)</f>
        <v>-10928</v>
      </c>
      <c r="DD28" s="440">
        <f>SUMIF('Argus Drop'!$D:$D,$A28,'Argus Drop'!DH:DH)</f>
        <v>-10928</v>
      </c>
      <c r="DE28" s="440">
        <f>SUMIF('Argus Drop'!$D:$D,$A28,'Argus Drop'!DI:DI)</f>
        <v>-10928</v>
      </c>
      <c r="DF28" s="440">
        <f>SUMIF('Argus Drop'!$D:$D,$A28,'Argus Drop'!DJ:DJ)</f>
        <v>-10987</v>
      </c>
      <c r="DG28" s="440">
        <f>SUMIF('Argus Drop'!$D:$D,$A28,'Argus Drop'!DK:DK)</f>
        <v>-10987</v>
      </c>
      <c r="DH28" s="440">
        <f>SUMIF('Argus Drop'!$D:$D,$A28,'Argus Drop'!DL:DL)</f>
        <v>-10987</v>
      </c>
      <c r="DI28" s="440">
        <f>SUMIF('Argus Drop'!$D:$D,$A28,'Argus Drop'!DM:DM)</f>
        <v>-10987</v>
      </c>
      <c r="DJ28" s="440">
        <f>SUMIF('Argus Drop'!$D:$D,$A28,'Argus Drop'!DN:DN)</f>
        <v>-10987</v>
      </c>
      <c r="DK28" s="440">
        <f>SUMIF('Argus Drop'!$D:$D,$A28,'Argus Drop'!DO:DO)</f>
        <v>-10987</v>
      </c>
      <c r="DL28" s="440">
        <f>SUMIF('Argus Drop'!$D:$D,$A28,'Argus Drop'!DP:DP)</f>
        <v>-10987</v>
      </c>
      <c r="DM28" s="440">
        <f>SUMIF('Argus Drop'!$D:$D,$A28,'Argus Drop'!DQ:DQ)</f>
        <v>-10987</v>
      </c>
      <c r="DN28" s="440">
        <f>SUMIF('Argus Drop'!$D:$D,$A28,'Argus Drop'!DR:DR)</f>
        <v>-10987</v>
      </c>
      <c r="DO28" s="440">
        <f>SUMIF('Argus Drop'!$D:$D,$A28,'Argus Drop'!DS:DS)</f>
        <v>-10987</v>
      </c>
      <c r="DP28" s="440">
        <f>SUMIF('Argus Drop'!$D:$D,$A28,'Argus Drop'!DT:DT)</f>
        <v>-10987</v>
      </c>
      <c r="DQ28" s="440">
        <f>SUMIF('Argus Drop'!$D:$D,$A28,'Argus Drop'!DU:DU)</f>
        <v>-10987</v>
      </c>
      <c r="DR28" s="440">
        <f>SUMIF('Argus Drop'!$D:$D,$A28,'Argus Drop'!DV:DV)</f>
        <v>-11106</v>
      </c>
      <c r="DS28" s="440"/>
      <c r="DT28" s="440"/>
      <c r="DU28" s="440"/>
      <c r="DV28" s="440"/>
      <c r="DW28" s="440"/>
      <c r="DX28" s="440"/>
      <c r="DY28" s="440"/>
      <c r="DZ28" s="440"/>
      <c r="EA28" s="440"/>
      <c r="EB28" s="440"/>
      <c r="EC28" s="440"/>
      <c r="ED28" s="1419"/>
      <c r="EE28" s="1419"/>
      <c r="EF28" s="1419"/>
      <c r="EG28" s="1419"/>
      <c r="EH28" s="1419"/>
      <c r="EI28" s="1419"/>
      <c r="EJ28" s="1419"/>
      <c r="EK28" s="1419"/>
      <c r="EL28" s="1419"/>
      <c r="EM28" s="1419"/>
      <c r="EN28" s="1419"/>
      <c r="EO28" s="1419"/>
      <c r="EP28" s="1419"/>
      <c r="EQ28" s="1419"/>
      <c r="ER28" s="1419"/>
      <c r="ES28" s="1419"/>
      <c r="ET28" s="1419"/>
      <c r="EU28" s="1419"/>
      <c r="EV28" s="1419"/>
      <c r="EW28" s="1419"/>
      <c r="EX28" s="1419"/>
      <c r="EY28" s="1419"/>
      <c r="EZ28" s="1419"/>
      <c r="FA28" s="1419"/>
      <c r="FB28" s="1419"/>
      <c r="FC28" s="1419"/>
      <c r="FD28" s="1419"/>
      <c r="FE28" s="1419"/>
      <c r="FF28" s="1419"/>
      <c r="FG28" s="1419"/>
      <c r="FH28" s="1419"/>
      <c r="FI28" s="1419"/>
    </row>
    <row r="29" spans="1:165">
      <c r="A29" s="448" t="str">
        <f>IF(+'Argus Drop'!B29="","",'Argus Drop'!B29)</f>
        <v/>
      </c>
      <c r="B29" s="440" t="str">
        <f>IF(A29="","",+SUMIF('Argus Drop'!$D$7:$D$64,$A29,'Argus Drop'!#REF!))</f>
        <v/>
      </c>
      <c r="C29" s="440" t="str">
        <f>IF(B29="","",+SUMIF('Argus Drop'!$D$7:$D$64,$A29,'Argus Drop'!#REF!))</f>
        <v/>
      </c>
      <c r="D29" s="440" t="str">
        <f>IF(C29="","",+SUMIF('Argus Drop'!$D$7:$D$64,$A29,'Argus Drop'!#REF!))</f>
        <v/>
      </c>
      <c r="E29" s="440" t="str">
        <f>IF(D29="","",+SUMIF('Argus Drop'!$D$7:$D$64,$A29,'Argus Drop'!#REF!))</f>
        <v/>
      </c>
      <c r="F29" s="440" t="str">
        <f>IF(E29="","",+SUMIF('Argus Drop'!$D$7:$D$64,$A29,'Argus Drop'!#REF!))</f>
        <v/>
      </c>
      <c r="G29" s="440" t="str">
        <f>IF(F29="","",+SUMIF('Argus Drop'!$D$7:$D$64,$A29,'Argus Drop'!#REF!))</f>
        <v/>
      </c>
      <c r="H29" s="440" t="str">
        <f>IF(G29="","",+SUMIF('Argus Drop'!$D$7:$D$64,$A29,'Argus Drop'!#REF!))</f>
        <v/>
      </c>
      <c r="I29" s="440" t="str">
        <f>IF(H29="","",+SUMIF('Argus Drop'!$D$7:$D$64,$A29,'Argus Drop'!#REF!))</f>
        <v/>
      </c>
      <c r="J29" s="440" t="str">
        <f>IF(I29="","",+SUMIF('Argus Drop'!$D$7:$D$64,$A29,'Argus Drop'!#REF!))</f>
        <v/>
      </c>
      <c r="K29" s="440" t="str">
        <f>IF(J29="","",+SUMIF('Argus Drop'!$D$7:$D$64,$A29,'Argus Drop'!#REF!))</f>
        <v/>
      </c>
      <c r="L29" s="440" t="str">
        <f>IF(K29="","",+SUMIF('Argus Drop'!$D$7:$D$64,$A29,'Argus Drop'!#REF!))</f>
        <v/>
      </c>
      <c r="M29" s="440" t="str">
        <f>IF(L29="","",+SUMIF('Argus Drop'!$D$7:$D$64,$A29,'Argus Drop'!#REF!))</f>
        <v/>
      </c>
      <c r="N29" s="440" t="str">
        <f>IF(M29="","",+SUMIF('Argus Drop'!$D$7:$D$64,$A29,'Argus Drop'!#REF!))</f>
        <v/>
      </c>
      <c r="O29" s="440" t="str">
        <f>IF(N29="","",+SUMIF('Argus Drop'!$D$7:$D$64,$A29,'Argus Drop'!#REF!))</f>
        <v/>
      </c>
      <c r="P29" s="440" t="str">
        <f>IF(O29="","",+SUMIF('Argus Drop'!$D$7:$D$64,$A29,'Argus Drop'!#REF!))</f>
        <v/>
      </c>
      <c r="Q29" s="440" t="str">
        <f>IF(P29="","",+SUMIF('Argus Drop'!$D$7:$D$64,$A29,'Argus Drop'!#REF!))</f>
        <v/>
      </c>
      <c r="R29" s="440" t="str">
        <f>IF(Q29="","",+SUMIF('Argus Drop'!$D$7:$D$64,$A29,'Argus Drop'!#REF!))</f>
        <v/>
      </c>
      <c r="S29" s="440" t="str">
        <f>IF(R29="","",+SUMIF('Argus Drop'!$D$7:$D$64,$A29,'Argus Drop'!#REF!))</f>
        <v/>
      </c>
      <c r="T29" s="440" t="str">
        <f>IF(S29="","",+SUMIF('Argus Drop'!$D$7:$D$64,$A29,'Argus Drop'!#REF!))</f>
        <v/>
      </c>
      <c r="U29" s="440" t="str">
        <f>IF(T29="","",+SUMIF('Argus Drop'!$D$7:$D$64,$A29,'Argus Drop'!#REF!))</f>
        <v/>
      </c>
      <c r="V29" s="440" t="str">
        <f>IF(U29="","",+SUMIF('Argus Drop'!$D$7:$D$64,$A29,'Argus Drop'!#REF!))</f>
        <v/>
      </c>
      <c r="W29" s="440" t="str">
        <f>IF(V29="","",+SUMIF('Argus Drop'!$D$7:$D$64,$A29,'Argus Drop'!#REF!))</f>
        <v/>
      </c>
      <c r="X29" s="440" t="str">
        <f>IF(W29="","",+SUMIF('Argus Drop'!$D$7:$D$64,$A29,'Argus Drop'!#REF!))</f>
        <v/>
      </c>
      <c r="Y29" s="440" t="str">
        <f>IF(X29="","",+SUMIF('Argus Drop'!$D$7:$D$64,$A29,'Argus Drop'!#REF!))</f>
        <v/>
      </c>
      <c r="Z29" s="440" t="str">
        <f>IF(Y29="","",+SUMIF('Argus Drop'!$D$7:$D$64,$A29,'Argus Drop'!#REF!))</f>
        <v/>
      </c>
      <c r="AA29" s="440" t="str">
        <f>IF(Z29="","",+SUMIF('Argus Drop'!$D$7:$D$64,$A29,'Argus Drop'!#REF!))</f>
        <v/>
      </c>
      <c r="AB29" s="440" t="str">
        <f>IF(AA29="","",+SUMIF('Argus Drop'!$D$7:$D$64,$A29,'Argus Drop'!#REF!))</f>
        <v/>
      </c>
      <c r="AC29" s="440" t="str">
        <f>IF(AB29="","",+SUMIF('Argus Drop'!$D$7:$D$64,$A29,'Argus Drop'!#REF!))</f>
        <v/>
      </c>
      <c r="AD29" s="440" t="str">
        <f>IF(AC29="","",+SUMIF('Argus Drop'!$D$7:$D$64,$A29,'Argus Drop'!#REF!))</f>
        <v/>
      </c>
      <c r="AE29" s="440" t="str">
        <f>IF(AD29="","",+SUMIF('Argus Drop'!$D$7:$D$64,$A29,'Argus Drop'!#REF!))</f>
        <v/>
      </c>
      <c r="AF29" s="440" t="str">
        <f>IF(AE29="","",+SUMIF('Argus Drop'!$D$7:$D$64,$A29,'Argus Drop'!#REF!))</f>
        <v/>
      </c>
      <c r="AG29" s="440" t="str">
        <f>IF(AF29="","",+SUMIF('Argus Drop'!$D$7:$D$64,$A29,'Argus Drop'!#REF!))</f>
        <v/>
      </c>
      <c r="AH29" s="440" t="str">
        <f>IF(AG29="","",+SUMIF('Argus Drop'!$D$7:$D$64,$A29,'Argus Drop'!#REF!))</f>
        <v/>
      </c>
      <c r="AI29" s="440" t="str">
        <f>IF(AH29="","",+SUMIF('Argus Drop'!$D$7:$D$64,$A29,'Argus Drop'!#REF!))</f>
        <v/>
      </c>
      <c r="AJ29" s="440" t="str">
        <f>IF(AI29="","",+SUMIF('Argus Drop'!$D$7:$D$64,$A29,'Argus Drop'!#REF!))</f>
        <v/>
      </c>
      <c r="AK29" s="440" t="str">
        <f>IF(AJ29="","",+SUMIF('Argus Drop'!$D$7:$D$64,$A29,'Argus Drop'!#REF!))</f>
        <v/>
      </c>
      <c r="AL29" s="440" t="str">
        <f>IF(AK29="","",+SUMIF('Argus Drop'!$D$7:$D$64,$A29,'Argus Drop'!#REF!))</f>
        <v/>
      </c>
      <c r="AM29" s="440" t="str">
        <f>IF(AL29="","",+SUMIF('Argus Drop'!$D$7:$D$64,$A29,'Argus Drop'!#REF!))</f>
        <v/>
      </c>
      <c r="AN29" s="440" t="str">
        <f>IF(AM29="","",+SUMIF('Argus Drop'!$D$7:$D$64,$A29,'Argus Drop'!#REF!))</f>
        <v/>
      </c>
      <c r="AO29" s="440" t="str">
        <f>IF(AN29="","",+SUMIF('Argus Drop'!$D$7:$D$64,$A29,'Argus Drop'!#REF!))</f>
        <v/>
      </c>
      <c r="AP29" s="440" t="str">
        <f>IF(AO29="","",+SUMIF('Argus Drop'!$D$7:$D$64,$A29,'Argus Drop'!#REF!))</f>
        <v/>
      </c>
      <c r="AQ29" s="440" t="str">
        <f>IF(AP29="","",+SUMIF('Argus Drop'!$D$7:$D$64,$A29,'Argus Drop'!#REF!))</f>
        <v/>
      </c>
      <c r="AR29" s="440" t="str">
        <f>IF(AQ29="","",+SUMIF('Argus Drop'!$D$7:$D$64,$A29,'Argus Drop'!#REF!))</f>
        <v/>
      </c>
      <c r="AS29" s="440" t="str">
        <f>IF(AR29="","",+SUMIF('Argus Drop'!$D$7:$D$64,$A29,'Argus Drop'!#REF!))</f>
        <v/>
      </c>
      <c r="AT29" s="440" t="str">
        <f>IF(AS29="","",+SUMIF('Argus Drop'!$D$7:$D$64,$A29,'Argus Drop'!#REF!))</f>
        <v/>
      </c>
      <c r="AU29" s="440" t="str">
        <f>IF(AT29="","",+SUMIF('Argus Drop'!$D$7:$D$64,$A29,'Argus Drop'!#REF!))</f>
        <v/>
      </c>
      <c r="AV29" s="440" t="str">
        <f>IF(AU29="","",+SUMIF('Argus Drop'!$D$7:$D$64,$A29,'Argus Drop'!#REF!))</f>
        <v/>
      </c>
      <c r="AW29" s="440" t="str">
        <f>IF(AV29="","",+SUMIF('Argus Drop'!$D$7:$D$64,$A29,'Argus Drop'!#REF!))</f>
        <v/>
      </c>
      <c r="AX29" s="440" t="str">
        <f>IF(AW29="","",+SUMIF('Argus Drop'!$D$7:$D$64,$A29,'Argus Drop'!#REF!))</f>
        <v/>
      </c>
      <c r="AY29" s="440" t="str">
        <f>IF(AX29="","",+SUMIF('Argus Drop'!$D$7:$D$64,$A29,'Argus Drop'!#REF!))</f>
        <v/>
      </c>
      <c r="AZ29" s="440" t="str">
        <f>IF(AY29="","",+SUMIF('Argus Drop'!$D$7:$D$64,$A29,'Argus Drop'!#REF!))</f>
        <v/>
      </c>
      <c r="BA29" s="440" t="str">
        <f>IF(AZ29="","",+SUMIF('Argus Drop'!$D$7:$D$64,$A29,'Argus Drop'!#REF!))</f>
        <v/>
      </c>
      <c r="BB29" s="440" t="str">
        <f>IF(BA29="","",+SUMIF('Argus Drop'!$D$7:$D$64,$A29,'Argus Drop'!#REF!))</f>
        <v/>
      </c>
      <c r="BC29" s="440" t="str">
        <f>IF(BB29="","",+SUMIF('Argus Drop'!$D$7:$D$64,$A29,'Argus Drop'!#REF!))</f>
        <v/>
      </c>
      <c r="BD29" s="440" t="str">
        <f>IF(BC29="","",+SUMIF('Argus Drop'!$D$7:$D$64,$A29,'Argus Drop'!#REF!))</f>
        <v/>
      </c>
      <c r="BE29" s="440" t="str">
        <f>IF(BD29="","",+SUMIF('Argus Drop'!$D$7:$D$64,$A29,'Argus Drop'!#REF!))</f>
        <v/>
      </c>
      <c r="BF29" s="440" t="str">
        <f>IF(BE29="","",+SUMIF('Argus Drop'!$D$7:$D$64,$A29,'Argus Drop'!#REF!))</f>
        <v/>
      </c>
      <c r="BG29" s="440" t="str">
        <f>IF(BF29="","",+SUMIF('Argus Drop'!$D$7:$D$64,$A29,'Argus Drop'!#REF!))</f>
        <v/>
      </c>
      <c r="BH29" s="440" t="str">
        <f>IF(BG29="","",+SUMIF('Argus Drop'!$D$7:$D$64,$A29,'Argus Drop'!#REF!))</f>
        <v/>
      </c>
      <c r="BI29" s="440" t="str">
        <f>IF(BH29="","",+SUMIF('Argus Drop'!$D$7:$D$64,$A29,'Argus Drop'!#REF!))</f>
        <v/>
      </c>
      <c r="BJ29" s="440" t="str">
        <f>IF(BI29="","",+SUMIF('Argus Drop'!$D$7:$D$64,$A29,'Argus Drop'!#REF!))</f>
        <v/>
      </c>
      <c r="BK29" s="440" t="str">
        <f>IF(BJ29="","",+SUMIF('Argus Drop'!$D$7:$D$64,$A29,'Argus Drop'!#REF!))</f>
        <v/>
      </c>
      <c r="BL29" s="440" t="str">
        <f>IF(BK29="","",+SUMIF('Argus Drop'!$D$7:$D$64,$A29,'Argus Drop'!#REF!))</f>
        <v/>
      </c>
      <c r="BM29" s="440" t="str">
        <f>IF(BL29="","",+SUMIF('Argus Drop'!$D$7:$D$64,$A29,'Argus Drop'!#REF!))</f>
        <v/>
      </c>
      <c r="BN29" s="440" t="str">
        <f>IF(BM29="","",+SUMIF('Argus Drop'!$D$7:$D$64,$A29,'Argus Drop'!#REF!))</f>
        <v/>
      </c>
      <c r="BO29" s="440" t="str">
        <f>IF(BN29="","",+SUMIF('Argus Drop'!$D$7:$D$64,$A29,'Argus Drop'!#REF!))</f>
        <v/>
      </c>
      <c r="BP29" s="440" t="str">
        <f>IF(BO29="","",+SUMIF('Argus Drop'!$D$7:$D$64,$A29,'Argus Drop'!#REF!))</f>
        <v/>
      </c>
      <c r="BQ29" s="440" t="str">
        <f>IF(BP29="","",+SUMIF('Argus Drop'!$D$7:$D$64,$A29,'Argus Drop'!#REF!))</f>
        <v/>
      </c>
      <c r="BR29" s="440" t="str">
        <f>IF(BQ29="","",+SUMIF('Argus Drop'!$D$7:$D$64,$A29,'Argus Drop'!#REF!))</f>
        <v/>
      </c>
      <c r="BS29" s="440" t="str">
        <f>IF(BR29="","",+SUMIF('Argus Drop'!$D$7:$D$64,$A29,'Argus Drop'!#REF!))</f>
        <v/>
      </c>
      <c r="BT29" s="440" t="str">
        <f>IF(BS29="","",+SUMIF('Argus Drop'!$D$7:$D$64,$A29,'Argus Drop'!#REF!))</f>
        <v/>
      </c>
      <c r="BU29" s="440" t="str">
        <f>IF(BT29="","",+SUMIF('Argus Drop'!$D$7:$D$64,$A29,'Argus Drop'!#REF!))</f>
        <v/>
      </c>
      <c r="BV29" s="440" t="str">
        <f>IF(BU29="","",+SUMIF('Argus Drop'!$D$7:$D$64,$A29,'Argus Drop'!#REF!))</f>
        <v/>
      </c>
      <c r="BW29" s="440" t="str">
        <f>IF(BV29="","",+SUMIF('Argus Drop'!$D$7:$D$64,$A29,'Argus Drop'!#REF!))</f>
        <v/>
      </c>
      <c r="BX29" s="440" t="str">
        <f>IF(BW29="","",+SUMIF('Argus Drop'!$D$7:$D$64,$A29,'Argus Drop'!#REF!))</f>
        <v/>
      </c>
      <c r="BY29" s="440" t="str">
        <f>IF(BX29="","",+SUMIF('Argus Drop'!$D$7:$D$64,$A29,'Argus Drop'!#REF!))</f>
        <v/>
      </c>
      <c r="BZ29" s="440" t="str">
        <f>IF(BY29="","",+SUMIF('Argus Drop'!$D$7:$D$64,$A29,'Argus Drop'!#REF!))</f>
        <v/>
      </c>
      <c r="CA29" s="440" t="str">
        <f>IF(BZ29="","",+SUMIF('Argus Drop'!$D$7:$D$64,$A29,'Argus Drop'!#REF!))</f>
        <v/>
      </c>
      <c r="CB29" s="440" t="str">
        <f>IF(CA29="","",+SUMIF('Argus Drop'!$D$7:$D$64,$A29,'Argus Drop'!#REF!))</f>
        <v/>
      </c>
      <c r="CC29" s="440" t="str">
        <f>IF(CB29="","",+SUMIF('Argus Drop'!$D$7:$D$64,$A29,'Argus Drop'!#REF!))</f>
        <v/>
      </c>
      <c r="CD29" s="440" t="str">
        <f>IF(CC29="","",+SUMIF('Argus Drop'!$D$7:$D$64,$A29,'Argus Drop'!#REF!))</f>
        <v/>
      </c>
      <c r="CE29" s="440" t="str">
        <f>IF(CD29="","",+SUMIF('Argus Drop'!$D$7:$D$64,$A29,'Argus Drop'!#REF!))</f>
        <v/>
      </c>
      <c r="CF29" s="440" t="str">
        <f>IF(CE29="","",+SUMIF('Argus Drop'!$D$7:$D$64,$A29,'Argus Drop'!#REF!))</f>
        <v/>
      </c>
      <c r="CG29" s="440" t="str">
        <f>IF(CF29="","",+SUMIF('Argus Drop'!$D$7:$D$64,$A29,'Argus Drop'!#REF!))</f>
        <v/>
      </c>
      <c r="CH29" s="440" t="str">
        <f>IF(CG29="","",+SUMIF('Argus Drop'!$D$7:$D$64,$A29,'Argus Drop'!#REF!))</f>
        <v/>
      </c>
      <c r="CI29" s="440" t="str">
        <f>IF(CH29="","",+SUMIF('Argus Drop'!$D$7:$D$64,$A29,'Argus Drop'!#REF!))</f>
        <v/>
      </c>
      <c r="CJ29" s="440" t="str">
        <f>IF(CI29="","",+SUMIF('Argus Drop'!$D$7:$D$64,$A29,'Argus Drop'!#REF!))</f>
        <v/>
      </c>
      <c r="CK29" s="440" t="str">
        <f>IF(CJ29="","",+SUMIF('Argus Drop'!$D$7:$D$64,$A29,'Argus Drop'!#REF!))</f>
        <v/>
      </c>
      <c r="CL29" s="440" t="str">
        <f>IF(CK29="","",+SUMIF('Argus Drop'!$D$7:$D$64,$A29,'Argus Drop'!#REF!))</f>
        <v/>
      </c>
      <c r="CM29" s="440" t="str">
        <f>IF(CL29="","",+SUMIF('Argus Drop'!$D$7:$D$64,$A29,'Argus Drop'!#REF!))</f>
        <v/>
      </c>
      <c r="CN29" s="440" t="str">
        <f>IF(CM29="","",+SUMIF('Argus Drop'!$D$7:$D$64,$A29,'Argus Drop'!#REF!))</f>
        <v/>
      </c>
      <c r="CO29" s="440" t="str">
        <f>IF(CN29="","",+SUMIF('Argus Drop'!$D$7:$D$64,$A29,'Argus Drop'!#REF!))</f>
        <v/>
      </c>
      <c r="CP29" s="440" t="str">
        <f>IF(CO29="","",+SUMIF('Argus Drop'!$D$7:$D$64,$A29,'Argus Drop'!#REF!))</f>
        <v/>
      </c>
      <c r="CQ29" s="440" t="str">
        <f>IF(CP29="","",+SUMIF('Argus Drop'!$D$7:$D$64,$A29,'Argus Drop'!#REF!))</f>
        <v/>
      </c>
      <c r="CR29" s="440" t="str">
        <f>IF(CQ29="","",+SUMIF('Argus Drop'!$D$7:$D$64,$A29,'Argus Drop'!#REF!))</f>
        <v/>
      </c>
      <c r="CS29" s="440" t="str">
        <f>IF(CR29="","",+SUMIF('Argus Drop'!$D$7:$D$64,$A29,'Argus Drop'!#REF!))</f>
        <v/>
      </c>
      <c r="CT29" s="440" t="str">
        <f>IF(CS29="","",+SUMIF('Argus Drop'!$D$7:$D$64,$A29,'Argus Drop'!#REF!))</f>
        <v/>
      </c>
      <c r="CU29" s="440" t="str">
        <f>IF(CT29="","",+SUMIF('Argus Drop'!$D$7:$D$64,$A29,'Argus Drop'!#REF!))</f>
        <v/>
      </c>
      <c r="CV29" s="440" t="str">
        <f>IF(CU29="","",+SUMIF('Argus Drop'!$D$7:$D$64,$A29,'Argus Drop'!#REF!))</f>
        <v/>
      </c>
      <c r="CW29" s="440" t="str">
        <f>IF(CV29="","",+SUMIF('Argus Drop'!$D$7:$D$64,$A29,'Argus Drop'!#REF!))</f>
        <v/>
      </c>
      <c r="CX29" s="440" t="str">
        <f>IF(CW29="","",+SUMIF('Argus Drop'!$D$7:$D$64,$A29,'Argus Drop'!#REF!))</f>
        <v/>
      </c>
      <c r="CY29" s="440" t="str">
        <f>IF(CX29="","",+SUMIF('Argus Drop'!$D$7:$D$64,$A29,'Argus Drop'!#REF!))</f>
        <v/>
      </c>
      <c r="CZ29" s="440" t="str">
        <f>IF(CY29="","",+SUMIF('Argus Drop'!$D$7:$D$64,$A29,'Argus Drop'!#REF!))</f>
        <v/>
      </c>
      <c r="DA29" s="440" t="str">
        <f>IF(CZ29="","",+SUMIF('Argus Drop'!$D$7:$D$64,$A29,'Argus Drop'!#REF!))</f>
        <v/>
      </c>
      <c r="DB29" s="440" t="str">
        <f>IF(DA29="","",+SUMIF('Argus Drop'!$D$7:$D$64,$A29,'Argus Drop'!#REF!))</f>
        <v/>
      </c>
      <c r="DC29" s="440" t="str">
        <f>IF(DB29="","",+SUMIF('Argus Drop'!$D$7:$D$64,$A29,'Argus Drop'!#REF!))</f>
        <v/>
      </c>
      <c r="DD29" s="440" t="str">
        <f>IF(DC29="","",+SUMIF('Argus Drop'!$D$7:$D$64,$A29,'Argus Drop'!#REF!))</f>
        <v/>
      </c>
      <c r="DE29" s="440" t="str">
        <f>IF(DD29="","",+SUMIF('Argus Drop'!$D$7:$D$64,$A29,'Argus Drop'!#REF!))</f>
        <v/>
      </c>
      <c r="DF29" s="440" t="str">
        <f>IF(DE29="","",+SUMIF('Argus Drop'!$D$7:$D$64,$A29,'Argus Drop'!#REF!))</f>
        <v/>
      </c>
      <c r="DG29" s="440" t="str">
        <f>IF(DF29="","",+SUMIF('Argus Drop'!$D$7:$D$64,$A29,'Argus Drop'!#REF!))</f>
        <v/>
      </c>
      <c r="DH29" s="440" t="str">
        <f>IF(DG29="","",+SUMIF('Argus Drop'!$D$7:$D$64,$A29,'Argus Drop'!#REF!))</f>
        <v/>
      </c>
      <c r="DI29" s="440" t="str">
        <f>IF(DH29="","",+SUMIF('Argus Drop'!$D$7:$D$64,$A29,'Argus Drop'!#REF!))</f>
        <v/>
      </c>
      <c r="DJ29" s="440" t="str">
        <f>IF(DI29="","",+SUMIF('Argus Drop'!$D$7:$D$64,$A29,'Argus Drop'!#REF!))</f>
        <v/>
      </c>
      <c r="DK29" s="440" t="str">
        <f>IF(DJ29="","",+SUMIF('Argus Drop'!$D$7:$D$64,$A29,'Argus Drop'!#REF!))</f>
        <v/>
      </c>
      <c r="DL29" s="440" t="str">
        <f>IF(DK29="","",+SUMIF('Argus Drop'!$D$7:$D$64,$A29,'Argus Drop'!#REF!))</f>
        <v/>
      </c>
      <c r="DM29" s="440" t="str">
        <f>IF(DL29="","",+SUMIF('Argus Drop'!$D$7:$D$64,$A29,'Argus Drop'!#REF!))</f>
        <v/>
      </c>
      <c r="DN29" s="440" t="str">
        <f>IF(DM29="","",+SUMIF('Argus Drop'!$D$7:$D$64,$A29,'Argus Drop'!#REF!))</f>
        <v/>
      </c>
      <c r="DO29" s="440" t="str">
        <f>IF(DN29="","",+SUMIF('Argus Drop'!$D$7:$D$64,$A29,'Argus Drop'!#REF!))</f>
        <v/>
      </c>
      <c r="DP29" s="440" t="str">
        <f>IF(DO29="","",+SUMIF('Argus Drop'!$D$7:$D$64,$A29,'Argus Drop'!#REF!))</f>
        <v/>
      </c>
      <c r="DQ29" s="440" t="str">
        <f>IF(DP29="","",+SUMIF('Argus Drop'!$D$7:$D$64,$A29,'Argus Drop'!#REF!))</f>
        <v/>
      </c>
      <c r="DR29" s="440" t="str">
        <f>IF(DQ29="","",+SUMIF('Argus Drop'!$D$7:$D$64,$A29,'Argus Drop'!#REF!))</f>
        <v/>
      </c>
      <c r="DS29" s="440"/>
      <c r="DT29" s="440"/>
      <c r="DU29" s="440"/>
      <c r="DV29" s="440"/>
      <c r="DW29" s="440"/>
      <c r="DX29" s="440"/>
      <c r="DY29" s="440"/>
      <c r="DZ29" s="440"/>
      <c r="EA29" s="440"/>
      <c r="EB29" s="440"/>
      <c r="EC29" s="440"/>
      <c r="ED29" s="1419"/>
      <c r="EE29" s="1419"/>
      <c r="EF29" s="1419"/>
      <c r="EG29" s="1419"/>
      <c r="EH29" s="1419"/>
      <c r="EI29" s="1419"/>
      <c r="EJ29" s="1419"/>
      <c r="EK29" s="1419"/>
      <c r="EL29" s="1419"/>
      <c r="EM29" s="1419"/>
      <c r="EN29" s="1419"/>
      <c r="EO29" s="1419"/>
      <c r="EP29" s="1419"/>
      <c r="EQ29" s="1419"/>
      <c r="ER29" s="1419"/>
      <c r="ES29" s="1419"/>
      <c r="ET29" s="1419"/>
      <c r="EU29" s="1419"/>
      <c r="EV29" s="1419"/>
      <c r="EW29" s="1419"/>
      <c r="EX29" s="1419"/>
      <c r="EY29" s="1419"/>
      <c r="EZ29" s="1419"/>
      <c r="FA29" s="1419"/>
      <c r="FB29" s="1419"/>
      <c r="FC29" s="1419"/>
      <c r="FD29" s="1419"/>
      <c r="FE29" s="1419"/>
      <c r="FF29" s="1419"/>
      <c r="FG29" s="1419"/>
      <c r="FH29" s="1419"/>
      <c r="FI29" s="1419"/>
    </row>
    <row r="30" spans="1:165">
      <c r="A30" s="448">
        <f>IF(+'Argus Drop'!B30="","",'Argus Drop'!B30)</f>
        <v>26</v>
      </c>
      <c r="B30" s="440">
        <f>SUMIF('Argus Drop'!$D:$D,$A30,'Argus Drop'!F:F)</f>
        <v>252727</v>
      </c>
      <c r="C30" s="440">
        <f>SUMIF('Argus Drop'!$D:$D,$A30,'Argus Drop'!G:G)</f>
        <v>280883</v>
      </c>
      <c r="D30" s="440">
        <f>SUMIF('Argus Drop'!$D:$D,$A30,'Argus Drop'!H:H)</f>
        <v>280883</v>
      </c>
      <c r="E30" s="440">
        <f>SUMIF('Argus Drop'!$D:$D,$A30,'Argus Drop'!I:I)</f>
        <v>285490</v>
      </c>
      <c r="F30" s="440">
        <f>SUMIF('Argus Drop'!$D:$D,$A30,'Argus Drop'!J:J)</f>
        <v>285490</v>
      </c>
      <c r="G30" s="440">
        <f>SUMIF('Argus Drop'!$D:$D,$A30,'Argus Drop'!K:K)</f>
        <v>285983</v>
      </c>
      <c r="H30" s="440">
        <f>SUMIF('Argus Drop'!$D:$D,$A30,'Argus Drop'!L:L)</f>
        <v>285983</v>
      </c>
      <c r="I30" s="440">
        <f>SUMIF('Argus Drop'!$D:$D,$A30,'Argus Drop'!M:M)</f>
        <v>298651</v>
      </c>
      <c r="J30" s="440">
        <f>SUMIF('Argus Drop'!$D:$D,$A30,'Argus Drop'!N:N)</f>
        <v>299696</v>
      </c>
      <c r="K30" s="440">
        <f>SUMIF('Argus Drop'!$D:$D,$A30,'Argus Drop'!O:O)</f>
        <v>279217</v>
      </c>
      <c r="L30" s="440">
        <f>SUMIF('Argus Drop'!$D:$D,$A30,'Argus Drop'!P:P)</f>
        <v>261051</v>
      </c>
      <c r="M30" s="440">
        <f>SUMIF('Argus Drop'!$D:$D,$A30,'Argus Drop'!Q:Q)</f>
        <v>307709</v>
      </c>
      <c r="N30" s="440">
        <f>SUMIF('Argus Drop'!$D:$D,$A30,'Argus Drop'!R:R)</f>
        <v>303366</v>
      </c>
      <c r="O30" s="440">
        <f>SUMIF('Argus Drop'!$D:$D,$A30,'Argus Drop'!S:S)</f>
        <v>311004</v>
      </c>
      <c r="P30" s="440">
        <f>SUMIF('Argus Drop'!$D:$D,$A30,'Argus Drop'!T:T)</f>
        <v>311004</v>
      </c>
      <c r="Q30" s="440">
        <f>SUMIF('Argus Drop'!$D:$D,$A30,'Argus Drop'!U:U)</f>
        <v>285641</v>
      </c>
      <c r="R30" s="440">
        <f>SUMIF('Argus Drop'!$D:$D,$A30,'Argus Drop'!V:V)</f>
        <v>313380</v>
      </c>
      <c r="S30" s="440">
        <f>SUMIF('Argus Drop'!$D:$D,$A30,'Argus Drop'!W:W)</f>
        <v>287350</v>
      </c>
      <c r="T30" s="440">
        <f>SUMIF('Argus Drop'!$D:$D,$A30,'Argus Drop'!X:X)</f>
        <v>312581</v>
      </c>
      <c r="U30" s="440">
        <f>SUMIF('Argus Drop'!$D:$D,$A30,'Argus Drop'!Y:Y)</f>
        <v>331559</v>
      </c>
      <c r="V30" s="440">
        <f>SUMIF('Argus Drop'!$D:$D,$A30,'Argus Drop'!Z:Z)</f>
        <v>375056</v>
      </c>
      <c r="W30" s="440">
        <f>SUMIF('Argus Drop'!$D:$D,$A30,'Argus Drop'!AA:AA)</f>
        <v>375056</v>
      </c>
      <c r="X30" s="440">
        <f>SUMIF('Argus Drop'!$D:$D,$A30,'Argus Drop'!AB:AB)</f>
        <v>375614</v>
      </c>
      <c r="Y30" s="440">
        <f>SUMIF('Argus Drop'!$D:$D,$A30,'Argus Drop'!AC:AC)</f>
        <v>376518</v>
      </c>
      <c r="Z30" s="440">
        <f>SUMIF('Argus Drop'!$D:$D,$A30,'Argus Drop'!AD:AD)</f>
        <v>377072</v>
      </c>
      <c r="AA30" s="440">
        <f>SUMIF('Argus Drop'!$D:$D,$A30,'Argus Drop'!AE:AE)</f>
        <v>377969</v>
      </c>
      <c r="AB30" s="440">
        <f>SUMIF('Argus Drop'!$D:$D,$A30,'Argus Drop'!AF:AF)</f>
        <v>378567</v>
      </c>
      <c r="AC30" s="440">
        <f>SUMIF('Argus Drop'!$D:$D,$A30,'Argus Drop'!AG:AG)</f>
        <v>384171</v>
      </c>
      <c r="AD30" s="440">
        <f>SUMIF('Argus Drop'!$D:$D,$A30,'Argus Drop'!AH:AH)</f>
        <v>384734</v>
      </c>
      <c r="AE30" s="440">
        <f>SUMIF('Argus Drop'!$D:$D,$A30,'Argus Drop'!AI:AI)</f>
        <v>384734</v>
      </c>
      <c r="AF30" s="440">
        <f>SUMIF('Argus Drop'!$D:$D,$A30,'Argus Drop'!AJ:AJ)</f>
        <v>385229</v>
      </c>
      <c r="AG30" s="440">
        <f>SUMIF('Argus Drop'!$D:$D,$A30,'Argus Drop'!AK:AK)</f>
        <v>374658</v>
      </c>
      <c r="AH30" s="440">
        <f>SUMIF('Argus Drop'!$D:$D,$A30,'Argus Drop'!AL:AL)</f>
        <v>385134</v>
      </c>
      <c r="AI30" s="440">
        <f>SUMIF('Argus Drop'!$D:$D,$A30,'Argus Drop'!AM:AM)</f>
        <v>385134</v>
      </c>
      <c r="AJ30" s="440">
        <f>SUMIF('Argus Drop'!$D:$D,$A30,'Argus Drop'!AN:AN)</f>
        <v>385708</v>
      </c>
      <c r="AK30" s="440">
        <f>SUMIF('Argus Drop'!$D:$D,$A30,'Argus Drop'!AO:AO)</f>
        <v>386640</v>
      </c>
      <c r="AL30" s="440">
        <f>SUMIF('Argus Drop'!$D:$D,$A30,'Argus Drop'!AP:AP)</f>
        <v>387122</v>
      </c>
      <c r="AM30" s="440">
        <f>SUMIF('Argus Drop'!$D:$D,$A30,'Argus Drop'!AQ:AQ)</f>
        <v>388056</v>
      </c>
      <c r="AN30" s="440">
        <f>SUMIF('Argus Drop'!$D:$D,$A30,'Argus Drop'!AR:AR)</f>
        <v>388744</v>
      </c>
      <c r="AO30" s="440">
        <f>SUMIF('Argus Drop'!$D:$D,$A30,'Argus Drop'!AS:AS)</f>
        <v>392781</v>
      </c>
      <c r="AP30" s="440">
        <f>SUMIF('Argus Drop'!$D:$D,$A30,'Argus Drop'!AT:AT)</f>
        <v>393360</v>
      </c>
      <c r="AQ30" s="440">
        <f>SUMIF('Argus Drop'!$D:$D,$A30,'Argus Drop'!AU:AU)</f>
        <v>393360</v>
      </c>
      <c r="AR30" s="440">
        <f>SUMIF('Argus Drop'!$D:$D,$A30,'Argus Drop'!AV:AV)</f>
        <v>393870</v>
      </c>
      <c r="AS30" s="440">
        <f>SUMIF('Argus Drop'!$D:$D,$A30,'Argus Drop'!AW:AW)</f>
        <v>394305</v>
      </c>
      <c r="AT30" s="440">
        <f>SUMIF('Argus Drop'!$D:$D,$A30,'Argus Drop'!AX:AX)</f>
        <v>395362</v>
      </c>
      <c r="AU30" s="440">
        <f>SUMIF('Argus Drop'!$D:$D,$A30,'Argus Drop'!AY:AY)</f>
        <v>395362</v>
      </c>
      <c r="AV30" s="440">
        <f>SUMIF('Argus Drop'!$D:$D,$A30,'Argus Drop'!AZ:AZ)</f>
        <v>395953</v>
      </c>
      <c r="AW30" s="440">
        <f>SUMIF('Argus Drop'!$D:$D,$A30,'Argus Drop'!BA:BA)</f>
        <v>396913</v>
      </c>
      <c r="AX30" s="440">
        <f>SUMIF('Argus Drop'!$D:$D,$A30,'Argus Drop'!BB:BB)</f>
        <v>375934</v>
      </c>
      <c r="AY30" s="440">
        <f>SUMIF('Argus Drop'!$D:$D,$A30,'Argus Drop'!BC:BC)</f>
        <v>365192</v>
      </c>
      <c r="AZ30" s="440">
        <f>SUMIF('Argus Drop'!$D:$D,$A30,'Argus Drop'!BD:BD)</f>
        <v>397489</v>
      </c>
      <c r="BA30" s="440">
        <f>SUMIF('Argus Drop'!$D:$D,$A30,'Argus Drop'!BE:BE)</f>
        <v>403136</v>
      </c>
      <c r="BB30" s="440">
        <f>SUMIF('Argus Drop'!$D:$D,$A30,'Argus Drop'!BF:BF)</f>
        <v>403732</v>
      </c>
      <c r="BC30" s="440">
        <f>SUMIF('Argus Drop'!$D:$D,$A30,'Argus Drop'!BG:BG)</f>
        <v>403732</v>
      </c>
      <c r="BD30" s="440">
        <f>SUMIF('Argus Drop'!$D:$D,$A30,'Argus Drop'!BH:BH)</f>
        <v>404258</v>
      </c>
      <c r="BE30" s="440">
        <f>SUMIF('Argus Drop'!$D:$D,$A30,'Argus Drop'!BI:BI)</f>
        <v>404706</v>
      </c>
      <c r="BF30" s="440">
        <f>SUMIF('Argus Drop'!$D:$D,$A30,'Argus Drop'!BJ:BJ)</f>
        <v>405794</v>
      </c>
      <c r="BG30" s="440">
        <f>SUMIF('Argus Drop'!$D:$D,$A30,'Argus Drop'!BK:BK)</f>
        <v>405794</v>
      </c>
      <c r="BH30" s="440">
        <f>SUMIF('Argus Drop'!$D:$D,$A30,'Argus Drop'!BL:BL)</f>
        <v>406404</v>
      </c>
      <c r="BI30" s="440">
        <f>SUMIF('Argus Drop'!$D:$D,$A30,'Argus Drop'!BM:BM)</f>
        <v>407711</v>
      </c>
      <c r="BJ30" s="440">
        <f>SUMIF('Argus Drop'!$D:$D,$A30,'Argus Drop'!BN:BN)</f>
        <v>387091</v>
      </c>
      <c r="BK30" s="440">
        <f>SUMIF('Argus Drop'!$D:$D,$A30,'Argus Drop'!BO:BO)</f>
        <v>404102</v>
      </c>
      <c r="BL30" s="440">
        <f>SUMIF('Argus Drop'!$D:$D,$A30,'Argus Drop'!BP:BP)</f>
        <v>405377</v>
      </c>
      <c r="BM30" s="440">
        <f>SUMIF('Argus Drop'!$D:$D,$A30,'Argus Drop'!BQ:BQ)</f>
        <v>410909</v>
      </c>
      <c r="BN30" s="440">
        <f>SUMIF('Argus Drop'!$D:$D,$A30,'Argus Drop'!BR:BR)</f>
        <v>411524</v>
      </c>
      <c r="BO30" s="440">
        <f>SUMIF('Argus Drop'!$D:$D,$A30,'Argus Drop'!BS:BS)</f>
        <v>411524</v>
      </c>
      <c r="BP30" s="440">
        <f>SUMIF('Argus Drop'!$D:$D,$A30,'Argus Drop'!BT:BT)</f>
        <v>412065</v>
      </c>
      <c r="BQ30" s="440">
        <f>SUMIF('Argus Drop'!$D:$D,$A30,'Argus Drop'!BU:BU)</f>
        <v>398099</v>
      </c>
      <c r="BR30" s="440">
        <f>SUMIF('Argus Drop'!$D:$D,$A30,'Argus Drop'!BV:BV)</f>
        <v>388036</v>
      </c>
      <c r="BS30" s="440">
        <f>SUMIF('Argus Drop'!$D:$D,$A30,'Argus Drop'!BW:BW)</f>
        <v>409748</v>
      </c>
      <c r="BT30" s="440">
        <f>SUMIF('Argus Drop'!$D:$D,$A30,'Argus Drop'!BX:BX)</f>
        <v>377903</v>
      </c>
      <c r="BU30" s="440">
        <f>SUMIF('Argus Drop'!$D:$D,$A30,'Argus Drop'!BY:BY)</f>
        <v>354435</v>
      </c>
      <c r="BV30" s="440">
        <f>SUMIF('Argus Drop'!$D:$D,$A30,'Argus Drop'!BZ:BZ)</f>
        <v>404035</v>
      </c>
      <c r="BW30" s="440">
        <f>SUMIF('Argus Drop'!$D:$D,$A30,'Argus Drop'!CA:CA)</f>
        <v>404829</v>
      </c>
      <c r="BX30" s="440">
        <f>SUMIF('Argus Drop'!$D:$D,$A30,'Argus Drop'!CB:CB)</f>
        <v>405470</v>
      </c>
      <c r="BY30" s="440">
        <f>SUMIF('Argus Drop'!$D:$D,$A30,'Argus Drop'!CC:CC)</f>
        <v>410783</v>
      </c>
      <c r="BZ30" s="440">
        <f>SUMIF('Argus Drop'!$D:$D,$A30,'Argus Drop'!CD:CD)</f>
        <v>378370</v>
      </c>
      <c r="CA30" s="440">
        <f>SUMIF('Argus Drop'!$D:$D,$A30,'Argus Drop'!CE:CE)</f>
        <v>408429</v>
      </c>
      <c r="CB30" s="440">
        <f>SUMIF('Argus Drop'!$D:$D,$A30,'Argus Drop'!CF:CF)</f>
        <v>379904</v>
      </c>
      <c r="CC30" s="440">
        <f>SUMIF('Argus Drop'!$D:$D,$A30,'Argus Drop'!CG:CG)</f>
        <v>406584</v>
      </c>
      <c r="CD30" s="440">
        <f>SUMIF('Argus Drop'!$D:$D,$A30,'Argus Drop'!CH:CH)</f>
        <v>342867</v>
      </c>
      <c r="CE30" s="440">
        <f>SUMIF('Argus Drop'!$D:$D,$A30,'Argus Drop'!CI:CI)</f>
        <v>362837</v>
      </c>
      <c r="CF30" s="440">
        <f>SUMIF('Argus Drop'!$D:$D,$A30,'Argus Drop'!CJ:CJ)</f>
        <v>397070</v>
      </c>
      <c r="CG30" s="440">
        <f>SUMIF('Argus Drop'!$D:$D,$A30,'Argus Drop'!CK:CK)</f>
        <v>397628</v>
      </c>
      <c r="CH30" s="440">
        <f>SUMIF('Argus Drop'!$D:$D,$A30,'Argus Drop'!CL:CL)</f>
        <v>398595</v>
      </c>
      <c r="CI30" s="440">
        <f>SUMIF('Argus Drop'!$D:$D,$A30,'Argus Drop'!CM:CM)</f>
        <v>399412</v>
      </c>
      <c r="CJ30" s="440">
        <f>SUMIF('Argus Drop'!$D:$D,$A30,'Argus Drop'!CN:CN)</f>
        <v>400073</v>
      </c>
      <c r="CK30" s="440">
        <f>SUMIF('Argus Drop'!$D:$D,$A30,'Argus Drop'!CO:CO)</f>
        <v>406114</v>
      </c>
      <c r="CL30" s="440">
        <f>SUMIF('Argus Drop'!$D:$D,$A30,'Argus Drop'!CP:CP)</f>
        <v>406114</v>
      </c>
      <c r="CM30" s="440">
        <f>SUMIF('Argus Drop'!$D:$D,$A30,'Argus Drop'!CQ:CQ)</f>
        <v>406676</v>
      </c>
      <c r="CN30" s="440">
        <f>SUMIF('Argus Drop'!$D:$D,$A30,'Argus Drop'!CR:CR)</f>
        <v>406676</v>
      </c>
      <c r="CO30" s="440">
        <f>SUMIF('Argus Drop'!$D:$D,$A30,'Argus Drop'!CS:CS)</f>
        <v>407404</v>
      </c>
      <c r="CP30" s="440">
        <f>SUMIF('Argus Drop'!$D:$D,$A30,'Argus Drop'!CT:CT)</f>
        <v>396917</v>
      </c>
      <c r="CQ30" s="440">
        <f>SUMIF('Argus Drop'!$D:$D,$A30,'Argus Drop'!CU:CU)</f>
        <v>407719</v>
      </c>
      <c r="CR30" s="440">
        <f>SUMIF('Argus Drop'!$D:$D,$A30,'Argus Drop'!CV:CV)</f>
        <v>408077</v>
      </c>
      <c r="CS30" s="440">
        <f>SUMIF('Argus Drop'!$D:$D,$A30,'Argus Drop'!CW:CW)</f>
        <v>408651</v>
      </c>
      <c r="CT30" s="440">
        <f>SUMIF('Argus Drop'!$D:$D,$A30,'Argus Drop'!CX:CX)</f>
        <v>409278</v>
      </c>
      <c r="CU30" s="440">
        <f>SUMIF('Argus Drop'!$D:$D,$A30,'Argus Drop'!CY:CY)</f>
        <v>410120</v>
      </c>
      <c r="CV30" s="440">
        <f>SUMIF('Argus Drop'!$D:$D,$A30,'Argus Drop'!CZ:CZ)</f>
        <v>411511</v>
      </c>
      <c r="CW30" s="440">
        <f>SUMIF('Argus Drop'!$D:$D,$A30,'Argus Drop'!DA:DA)</f>
        <v>417710</v>
      </c>
      <c r="CX30" s="440">
        <f>SUMIF('Argus Drop'!$D:$D,$A30,'Argus Drop'!DB:DB)</f>
        <v>417710</v>
      </c>
      <c r="CY30" s="440">
        <f>SUMIF('Argus Drop'!$D:$D,$A30,'Argus Drop'!DC:DC)</f>
        <v>418289</v>
      </c>
      <c r="CZ30" s="440">
        <f>SUMIF('Argus Drop'!$D:$D,$A30,'Argus Drop'!DD:DD)</f>
        <v>418289</v>
      </c>
      <c r="DA30" s="440">
        <f>SUMIF('Argus Drop'!$D:$D,$A30,'Argus Drop'!DE:DE)</f>
        <v>419039</v>
      </c>
      <c r="DB30" s="440">
        <f>SUMIF('Argus Drop'!$D:$D,$A30,'Argus Drop'!DF:DF)</f>
        <v>419365</v>
      </c>
      <c r="DC30" s="440">
        <f>SUMIF('Argus Drop'!$D:$D,$A30,'Argus Drop'!DG:DG)</f>
        <v>420304</v>
      </c>
      <c r="DD30" s="440">
        <f>SUMIF('Argus Drop'!$D:$D,$A30,'Argus Drop'!DH:DH)</f>
        <v>420673</v>
      </c>
      <c r="DE30" s="440">
        <f>SUMIF('Argus Drop'!$D:$D,$A30,'Argus Drop'!DI:DI)</f>
        <v>421264</v>
      </c>
      <c r="DF30" s="440">
        <f>SUMIF('Argus Drop'!$D:$D,$A30,'Argus Drop'!DJ:DJ)</f>
        <v>422165</v>
      </c>
      <c r="DG30" s="440">
        <f>SUMIF('Argus Drop'!$D:$D,$A30,'Argus Drop'!DK:DK)</f>
        <v>393069</v>
      </c>
      <c r="DH30" s="440">
        <f>SUMIF('Argus Drop'!$D:$D,$A30,'Argus Drop'!DL:DL)</f>
        <v>383858</v>
      </c>
      <c r="DI30" s="440">
        <f>SUMIF('Argus Drop'!$D:$D,$A30,'Argus Drop'!DM:DM)</f>
        <v>422895</v>
      </c>
      <c r="DJ30" s="440">
        <f>SUMIF('Argus Drop'!$D:$D,$A30,'Argus Drop'!DN:DN)</f>
        <v>422895</v>
      </c>
      <c r="DK30" s="440">
        <f>SUMIF('Argus Drop'!$D:$D,$A30,'Argus Drop'!DO:DO)</f>
        <v>423492</v>
      </c>
      <c r="DL30" s="440">
        <f>SUMIF('Argus Drop'!$D:$D,$A30,'Argus Drop'!DP:DP)</f>
        <v>423492</v>
      </c>
      <c r="DM30" s="440">
        <f>SUMIF('Argus Drop'!$D:$D,$A30,'Argus Drop'!DQ:DQ)</f>
        <v>424264</v>
      </c>
      <c r="DN30" s="440">
        <f>SUMIF('Argus Drop'!$D:$D,$A30,'Argus Drop'!DR:DR)</f>
        <v>424600</v>
      </c>
      <c r="DO30" s="440">
        <f>SUMIF('Argus Drop'!$D:$D,$A30,'Argus Drop'!DS:DS)</f>
        <v>425567</v>
      </c>
      <c r="DP30" s="440">
        <f>SUMIF('Argus Drop'!$D:$D,$A30,'Argus Drop'!DT:DT)</f>
        <v>425947</v>
      </c>
      <c r="DQ30" s="440">
        <f>SUMIF('Argus Drop'!$D:$D,$A30,'Argus Drop'!DU:DU)</f>
        <v>420388</v>
      </c>
      <c r="DR30" s="440">
        <f>SUMIF('Argus Drop'!$D:$D,$A30,'Argus Drop'!DV:DV)</f>
        <v>426756</v>
      </c>
      <c r="DS30" s="440"/>
      <c r="DT30" s="440"/>
      <c r="DU30" s="440"/>
      <c r="DV30" s="440"/>
      <c r="DW30" s="440"/>
      <c r="DX30" s="440"/>
      <c r="DY30" s="440"/>
      <c r="DZ30" s="440"/>
      <c r="EA30" s="440"/>
      <c r="EB30" s="440"/>
      <c r="EC30" s="440"/>
      <c r="ED30" s="1419"/>
      <c r="EE30" s="1419"/>
      <c r="EF30" s="1419"/>
      <c r="EG30" s="1419"/>
      <c r="EH30" s="1419"/>
      <c r="EI30" s="1419"/>
      <c r="EJ30" s="1419"/>
      <c r="EK30" s="1419"/>
      <c r="EL30" s="1419"/>
      <c r="EM30" s="1419"/>
      <c r="EN30" s="1419"/>
      <c r="EO30" s="1419"/>
      <c r="EP30" s="1419"/>
      <c r="EQ30" s="1419"/>
      <c r="ER30" s="1419"/>
      <c r="ES30" s="1419"/>
      <c r="ET30" s="1419"/>
      <c r="EU30" s="1419"/>
      <c r="EV30" s="1419"/>
      <c r="EW30" s="1419"/>
      <c r="EX30" s="1419"/>
      <c r="EY30" s="1419"/>
      <c r="EZ30" s="1419"/>
      <c r="FA30" s="1419"/>
      <c r="FB30" s="1419"/>
      <c r="FC30" s="1419"/>
      <c r="FD30" s="1419"/>
      <c r="FE30" s="1419"/>
      <c r="FF30" s="1419"/>
      <c r="FG30" s="1419"/>
      <c r="FH30" s="1419"/>
      <c r="FI30" s="1419"/>
    </row>
    <row r="31" spans="1:165">
      <c r="A31" s="448" t="str">
        <f>IF(+'Argus Drop'!B31="","",'Argus Drop'!B31)</f>
        <v/>
      </c>
      <c r="B31" s="440" t="str">
        <f>IF(A31="","",+SUMIF('Argus Drop'!$D$7:$D$64,$A31,'Argus Drop'!#REF!))</f>
        <v/>
      </c>
      <c r="C31" s="440" t="str">
        <f>IF(B31="","",+SUMIF('Argus Drop'!$D$7:$D$64,$A31,'Argus Drop'!#REF!))</f>
        <v/>
      </c>
      <c r="D31" s="440" t="str">
        <f>IF(C31="","",+SUMIF('Argus Drop'!$D$7:$D$64,$A31,'Argus Drop'!#REF!))</f>
        <v/>
      </c>
      <c r="E31" s="440" t="str">
        <f>IF(D31="","",+SUMIF('Argus Drop'!$D$7:$D$64,$A31,'Argus Drop'!#REF!))</f>
        <v/>
      </c>
      <c r="F31" s="440" t="str">
        <f>IF(E31="","",+SUMIF('Argus Drop'!$D$7:$D$64,$A31,'Argus Drop'!#REF!))</f>
        <v/>
      </c>
      <c r="G31" s="440" t="str">
        <f>IF(F31="","",+SUMIF('Argus Drop'!$D$7:$D$64,$A31,'Argus Drop'!#REF!))</f>
        <v/>
      </c>
      <c r="H31" s="440" t="str">
        <f>IF(G31="","",+SUMIF('Argus Drop'!$D$7:$D$64,$A31,'Argus Drop'!#REF!))</f>
        <v/>
      </c>
      <c r="I31" s="440" t="str">
        <f>IF(H31="","",+SUMIF('Argus Drop'!$D$7:$D$64,$A31,'Argus Drop'!#REF!))</f>
        <v/>
      </c>
      <c r="J31" s="440" t="str">
        <f>IF(I31="","",+SUMIF('Argus Drop'!$D$7:$D$64,$A31,'Argus Drop'!#REF!))</f>
        <v/>
      </c>
      <c r="K31" s="440" t="str">
        <f>IF(J31="","",+SUMIF('Argus Drop'!$D$7:$D$64,$A31,'Argus Drop'!#REF!))</f>
        <v/>
      </c>
      <c r="L31" s="440" t="str">
        <f>IF(K31="","",+SUMIF('Argus Drop'!$D$7:$D$64,$A31,'Argus Drop'!#REF!))</f>
        <v/>
      </c>
      <c r="M31" s="440" t="str">
        <f>IF(L31="","",+SUMIF('Argus Drop'!$D$7:$D$64,$A31,'Argus Drop'!#REF!))</f>
        <v/>
      </c>
      <c r="N31" s="440" t="str">
        <f>IF(M31="","",+SUMIF('Argus Drop'!$D$7:$D$64,$A31,'Argus Drop'!#REF!))</f>
        <v/>
      </c>
      <c r="O31" s="440" t="str">
        <f>IF(N31="","",+SUMIF('Argus Drop'!$D$7:$D$64,$A31,'Argus Drop'!#REF!))</f>
        <v/>
      </c>
      <c r="P31" s="440" t="str">
        <f>IF(O31="","",+SUMIF('Argus Drop'!$D$7:$D$64,$A31,'Argus Drop'!#REF!))</f>
        <v/>
      </c>
      <c r="Q31" s="440" t="str">
        <f>IF(P31="","",+SUMIF('Argus Drop'!$D$7:$D$64,$A31,'Argus Drop'!#REF!))</f>
        <v/>
      </c>
      <c r="R31" s="440" t="str">
        <f>IF(Q31="","",+SUMIF('Argus Drop'!$D$7:$D$64,$A31,'Argus Drop'!#REF!))</f>
        <v/>
      </c>
      <c r="S31" s="440" t="str">
        <f>IF(R31="","",+SUMIF('Argus Drop'!$D$7:$D$64,$A31,'Argus Drop'!#REF!))</f>
        <v/>
      </c>
      <c r="T31" s="440" t="str">
        <f>IF(S31="","",+SUMIF('Argus Drop'!$D$7:$D$64,$A31,'Argus Drop'!#REF!))</f>
        <v/>
      </c>
      <c r="U31" s="440" t="str">
        <f>IF(T31="","",+SUMIF('Argus Drop'!$D$7:$D$64,$A31,'Argus Drop'!#REF!))</f>
        <v/>
      </c>
      <c r="V31" s="440" t="str">
        <f>IF(U31="","",+SUMIF('Argus Drop'!$D$7:$D$64,$A31,'Argus Drop'!#REF!))</f>
        <v/>
      </c>
      <c r="W31" s="440" t="str">
        <f>IF(V31="","",+SUMIF('Argus Drop'!$D$7:$D$64,$A31,'Argus Drop'!#REF!))</f>
        <v/>
      </c>
      <c r="X31" s="440" t="str">
        <f>IF(W31="","",+SUMIF('Argus Drop'!$D$7:$D$64,$A31,'Argus Drop'!#REF!))</f>
        <v/>
      </c>
      <c r="Y31" s="440" t="str">
        <f>IF(X31="","",+SUMIF('Argus Drop'!$D$7:$D$64,$A31,'Argus Drop'!#REF!))</f>
        <v/>
      </c>
      <c r="Z31" s="440" t="str">
        <f>IF(Y31="","",+SUMIF('Argus Drop'!$D$7:$D$64,$A31,'Argus Drop'!#REF!))</f>
        <v/>
      </c>
      <c r="AA31" s="440" t="str">
        <f>IF(Z31="","",+SUMIF('Argus Drop'!$D$7:$D$64,$A31,'Argus Drop'!#REF!))</f>
        <v/>
      </c>
      <c r="AB31" s="440" t="str">
        <f>IF(AA31="","",+SUMIF('Argus Drop'!$D$7:$D$64,$A31,'Argus Drop'!#REF!))</f>
        <v/>
      </c>
      <c r="AC31" s="440" t="str">
        <f>IF(AB31="","",+SUMIF('Argus Drop'!$D$7:$D$64,$A31,'Argus Drop'!#REF!))</f>
        <v/>
      </c>
      <c r="AD31" s="440" t="str">
        <f>IF(AC31="","",+SUMIF('Argus Drop'!$D$7:$D$64,$A31,'Argus Drop'!#REF!))</f>
        <v/>
      </c>
      <c r="AE31" s="440" t="str">
        <f>IF(AD31="","",+SUMIF('Argus Drop'!$D$7:$D$64,$A31,'Argus Drop'!#REF!))</f>
        <v/>
      </c>
      <c r="AF31" s="440" t="str">
        <f>IF(AE31="","",+SUMIF('Argus Drop'!$D$7:$D$64,$A31,'Argus Drop'!#REF!))</f>
        <v/>
      </c>
      <c r="AG31" s="440" t="str">
        <f>IF(AF31="","",+SUMIF('Argus Drop'!$D$7:$D$64,$A31,'Argus Drop'!#REF!))</f>
        <v/>
      </c>
      <c r="AH31" s="440" t="str">
        <f>IF(AG31="","",+SUMIF('Argus Drop'!$D$7:$D$64,$A31,'Argus Drop'!#REF!))</f>
        <v/>
      </c>
      <c r="AI31" s="440" t="str">
        <f>IF(AH31="","",+SUMIF('Argus Drop'!$D$7:$D$64,$A31,'Argus Drop'!#REF!))</f>
        <v/>
      </c>
      <c r="AJ31" s="440" t="str">
        <f>IF(AI31="","",+SUMIF('Argus Drop'!$D$7:$D$64,$A31,'Argus Drop'!#REF!))</f>
        <v/>
      </c>
      <c r="AK31" s="440" t="str">
        <f>IF(AJ31="","",+SUMIF('Argus Drop'!$D$7:$D$64,$A31,'Argus Drop'!#REF!))</f>
        <v/>
      </c>
      <c r="AL31" s="440" t="str">
        <f>IF(AK31="","",+SUMIF('Argus Drop'!$D$7:$D$64,$A31,'Argus Drop'!#REF!))</f>
        <v/>
      </c>
      <c r="AM31" s="440" t="str">
        <f>IF(AL31="","",+SUMIF('Argus Drop'!$D$7:$D$64,$A31,'Argus Drop'!#REF!))</f>
        <v/>
      </c>
      <c r="AN31" s="440" t="str">
        <f>IF(AM31="","",+SUMIF('Argus Drop'!$D$7:$D$64,$A31,'Argus Drop'!#REF!))</f>
        <v/>
      </c>
      <c r="AO31" s="440" t="str">
        <f>IF(AN31="","",+SUMIF('Argus Drop'!$D$7:$D$64,$A31,'Argus Drop'!#REF!))</f>
        <v/>
      </c>
      <c r="AP31" s="440" t="str">
        <f>IF(AO31="","",+SUMIF('Argus Drop'!$D$7:$D$64,$A31,'Argus Drop'!#REF!))</f>
        <v/>
      </c>
      <c r="AQ31" s="440" t="str">
        <f>IF(AP31="","",+SUMIF('Argus Drop'!$D$7:$D$64,$A31,'Argus Drop'!#REF!))</f>
        <v/>
      </c>
      <c r="AR31" s="440" t="str">
        <f>IF(AQ31="","",+SUMIF('Argus Drop'!$D$7:$D$64,$A31,'Argus Drop'!#REF!))</f>
        <v/>
      </c>
      <c r="AS31" s="440" t="str">
        <f>IF(AR31="","",+SUMIF('Argus Drop'!$D$7:$D$64,$A31,'Argus Drop'!#REF!))</f>
        <v/>
      </c>
      <c r="AT31" s="440" t="str">
        <f>IF(AS31="","",+SUMIF('Argus Drop'!$D$7:$D$64,$A31,'Argus Drop'!#REF!))</f>
        <v/>
      </c>
      <c r="AU31" s="440" t="str">
        <f>IF(AT31="","",+SUMIF('Argus Drop'!$D$7:$D$64,$A31,'Argus Drop'!#REF!))</f>
        <v/>
      </c>
      <c r="AV31" s="440" t="str">
        <f>IF(AU31="","",+SUMIF('Argus Drop'!$D$7:$D$64,$A31,'Argus Drop'!#REF!))</f>
        <v/>
      </c>
      <c r="AW31" s="440" t="str">
        <f>IF(AV31="","",+SUMIF('Argus Drop'!$D$7:$D$64,$A31,'Argus Drop'!#REF!))</f>
        <v/>
      </c>
      <c r="AX31" s="440" t="str">
        <f>IF(AW31="","",+SUMIF('Argus Drop'!$D$7:$D$64,$A31,'Argus Drop'!#REF!))</f>
        <v/>
      </c>
      <c r="AY31" s="440" t="str">
        <f>IF(AX31="","",+SUMIF('Argus Drop'!$D$7:$D$64,$A31,'Argus Drop'!#REF!))</f>
        <v/>
      </c>
      <c r="AZ31" s="440" t="str">
        <f>IF(AY31="","",+SUMIF('Argus Drop'!$D$7:$D$64,$A31,'Argus Drop'!#REF!))</f>
        <v/>
      </c>
      <c r="BA31" s="440" t="str">
        <f>IF(AZ31="","",+SUMIF('Argus Drop'!$D$7:$D$64,$A31,'Argus Drop'!#REF!))</f>
        <v/>
      </c>
      <c r="BB31" s="440" t="str">
        <f>IF(BA31="","",+SUMIF('Argus Drop'!$D$7:$D$64,$A31,'Argus Drop'!#REF!))</f>
        <v/>
      </c>
      <c r="BC31" s="440" t="str">
        <f>IF(BB31="","",+SUMIF('Argus Drop'!$D$7:$D$64,$A31,'Argus Drop'!#REF!))</f>
        <v/>
      </c>
      <c r="BD31" s="440" t="str">
        <f>IF(BC31="","",+SUMIF('Argus Drop'!$D$7:$D$64,$A31,'Argus Drop'!#REF!))</f>
        <v/>
      </c>
      <c r="BE31" s="440" t="str">
        <f>IF(BD31="","",+SUMIF('Argus Drop'!$D$7:$D$64,$A31,'Argus Drop'!#REF!))</f>
        <v/>
      </c>
      <c r="BF31" s="440" t="str">
        <f>IF(BE31="","",+SUMIF('Argus Drop'!$D$7:$D$64,$A31,'Argus Drop'!#REF!))</f>
        <v/>
      </c>
      <c r="BG31" s="440" t="str">
        <f>IF(BF31="","",+SUMIF('Argus Drop'!$D$7:$D$64,$A31,'Argus Drop'!#REF!))</f>
        <v/>
      </c>
      <c r="BH31" s="440" t="str">
        <f>IF(BG31="","",+SUMIF('Argus Drop'!$D$7:$D$64,$A31,'Argus Drop'!#REF!))</f>
        <v/>
      </c>
      <c r="BI31" s="440" t="str">
        <f>IF(BH31="","",+SUMIF('Argus Drop'!$D$7:$D$64,$A31,'Argus Drop'!#REF!))</f>
        <v/>
      </c>
      <c r="BJ31" s="440" t="str">
        <f>IF(BI31="","",+SUMIF('Argus Drop'!$D$7:$D$64,$A31,'Argus Drop'!#REF!))</f>
        <v/>
      </c>
      <c r="BK31" s="440" t="str">
        <f>IF(BJ31="","",+SUMIF('Argus Drop'!$D$7:$D$64,$A31,'Argus Drop'!#REF!))</f>
        <v/>
      </c>
      <c r="BL31" s="440" t="str">
        <f>IF(BK31="","",+SUMIF('Argus Drop'!$D$7:$D$64,$A31,'Argus Drop'!#REF!))</f>
        <v/>
      </c>
      <c r="BM31" s="440" t="str">
        <f>IF(BL31="","",+SUMIF('Argus Drop'!$D$7:$D$64,$A31,'Argus Drop'!#REF!))</f>
        <v/>
      </c>
      <c r="BN31" s="440" t="str">
        <f>IF(BM31="","",+SUMIF('Argus Drop'!$D$7:$D$64,$A31,'Argus Drop'!#REF!))</f>
        <v/>
      </c>
      <c r="BO31" s="440" t="str">
        <f>IF(BN31="","",+SUMIF('Argus Drop'!$D$7:$D$64,$A31,'Argus Drop'!#REF!))</f>
        <v/>
      </c>
      <c r="BP31" s="440" t="str">
        <f>IF(BO31="","",+SUMIF('Argus Drop'!$D$7:$D$64,$A31,'Argus Drop'!#REF!))</f>
        <v/>
      </c>
      <c r="BQ31" s="440" t="str">
        <f>IF(BP31="","",+SUMIF('Argus Drop'!$D$7:$D$64,$A31,'Argus Drop'!#REF!))</f>
        <v/>
      </c>
      <c r="BR31" s="440" t="str">
        <f>IF(BQ31="","",+SUMIF('Argus Drop'!$D$7:$D$64,$A31,'Argus Drop'!#REF!))</f>
        <v/>
      </c>
      <c r="BS31" s="440" t="str">
        <f>IF(BR31="","",+SUMIF('Argus Drop'!$D$7:$D$64,$A31,'Argus Drop'!#REF!))</f>
        <v/>
      </c>
      <c r="BT31" s="440" t="str">
        <f>IF(BS31="","",+SUMIF('Argus Drop'!$D$7:$D$64,$A31,'Argus Drop'!#REF!))</f>
        <v/>
      </c>
      <c r="BU31" s="440" t="str">
        <f>IF(BT31="","",+SUMIF('Argus Drop'!$D$7:$D$64,$A31,'Argus Drop'!#REF!))</f>
        <v/>
      </c>
      <c r="BV31" s="440" t="str">
        <f>IF(BU31="","",+SUMIF('Argus Drop'!$D$7:$D$64,$A31,'Argus Drop'!#REF!))</f>
        <v/>
      </c>
      <c r="BW31" s="440" t="str">
        <f>IF(BV31="","",+SUMIF('Argus Drop'!$D$7:$D$64,$A31,'Argus Drop'!#REF!))</f>
        <v/>
      </c>
      <c r="BX31" s="440" t="str">
        <f>IF(BW31="","",+SUMIF('Argus Drop'!$D$7:$D$64,$A31,'Argus Drop'!#REF!))</f>
        <v/>
      </c>
      <c r="BY31" s="440" t="str">
        <f>IF(BX31="","",+SUMIF('Argus Drop'!$D$7:$D$64,$A31,'Argus Drop'!#REF!))</f>
        <v/>
      </c>
      <c r="BZ31" s="440" t="str">
        <f>IF(BY31="","",+SUMIF('Argus Drop'!$D$7:$D$64,$A31,'Argus Drop'!#REF!))</f>
        <v/>
      </c>
      <c r="CA31" s="440" t="str">
        <f>IF(BZ31="","",+SUMIF('Argus Drop'!$D$7:$D$64,$A31,'Argus Drop'!#REF!))</f>
        <v/>
      </c>
      <c r="CB31" s="440" t="str">
        <f>IF(CA31="","",+SUMIF('Argus Drop'!$D$7:$D$64,$A31,'Argus Drop'!#REF!))</f>
        <v/>
      </c>
      <c r="CC31" s="440" t="str">
        <f>IF(CB31="","",+SUMIF('Argus Drop'!$D$7:$D$64,$A31,'Argus Drop'!#REF!))</f>
        <v/>
      </c>
      <c r="CD31" s="440" t="str">
        <f>IF(CC31="","",+SUMIF('Argus Drop'!$D$7:$D$64,$A31,'Argus Drop'!#REF!))</f>
        <v/>
      </c>
      <c r="CE31" s="440" t="str">
        <f>IF(CD31="","",+SUMIF('Argus Drop'!$D$7:$D$64,$A31,'Argus Drop'!#REF!))</f>
        <v/>
      </c>
      <c r="CF31" s="440" t="str">
        <f>IF(CE31="","",+SUMIF('Argus Drop'!$D$7:$D$64,$A31,'Argus Drop'!#REF!))</f>
        <v/>
      </c>
      <c r="CG31" s="440" t="str">
        <f>IF(CF31="","",+SUMIF('Argus Drop'!$D$7:$D$64,$A31,'Argus Drop'!#REF!))</f>
        <v/>
      </c>
      <c r="CH31" s="440" t="str">
        <f>IF(CG31="","",+SUMIF('Argus Drop'!$D$7:$D$64,$A31,'Argus Drop'!#REF!))</f>
        <v/>
      </c>
      <c r="CI31" s="440" t="str">
        <f>IF(CH31="","",+SUMIF('Argus Drop'!$D$7:$D$64,$A31,'Argus Drop'!#REF!))</f>
        <v/>
      </c>
      <c r="CJ31" s="440" t="str">
        <f>IF(CI31="","",+SUMIF('Argus Drop'!$D$7:$D$64,$A31,'Argus Drop'!#REF!))</f>
        <v/>
      </c>
      <c r="CK31" s="440" t="str">
        <f>IF(CJ31="","",+SUMIF('Argus Drop'!$D$7:$D$64,$A31,'Argus Drop'!#REF!))</f>
        <v/>
      </c>
      <c r="CL31" s="440" t="str">
        <f>IF(CK31="","",+SUMIF('Argus Drop'!$D$7:$D$64,$A31,'Argus Drop'!#REF!))</f>
        <v/>
      </c>
      <c r="CM31" s="440" t="str">
        <f>IF(CL31="","",+SUMIF('Argus Drop'!$D$7:$D$64,$A31,'Argus Drop'!#REF!))</f>
        <v/>
      </c>
      <c r="CN31" s="440" t="str">
        <f>IF(CM31="","",+SUMIF('Argus Drop'!$D$7:$D$64,$A31,'Argus Drop'!#REF!))</f>
        <v/>
      </c>
      <c r="CO31" s="440" t="str">
        <f>IF(CN31="","",+SUMIF('Argus Drop'!$D$7:$D$64,$A31,'Argus Drop'!#REF!))</f>
        <v/>
      </c>
      <c r="CP31" s="440" t="str">
        <f>IF(CO31="","",+SUMIF('Argus Drop'!$D$7:$D$64,$A31,'Argus Drop'!#REF!))</f>
        <v/>
      </c>
      <c r="CQ31" s="440" t="str">
        <f>IF(CP31="","",+SUMIF('Argus Drop'!$D$7:$D$64,$A31,'Argus Drop'!#REF!))</f>
        <v/>
      </c>
      <c r="CR31" s="440" t="str">
        <f>IF(CQ31="","",+SUMIF('Argus Drop'!$D$7:$D$64,$A31,'Argus Drop'!#REF!))</f>
        <v/>
      </c>
      <c r="CS31" s="440" t="str">
        <f>IF(CR31="","",+SUMIF('Argus Drop'!$D$7:$D$64,$A31,'Argus Drop'!#REF!))</f>
        <v/>
      </c>
      <c r="CT31" s="440" t="str">
        <f>IF(CS31="","",+SUMIF('Argus Drop'!$D$7:$D$64,$A31,'Argus Drop'!#REF!))</f>
        <v/>
      </c>
      <c r="CU31" s="440" t="str">
        <f>IF(CT31="","",+SUMIF('Argus Drop'!$D$7:$D$64,$A31,'Argus Drop'!#REF!))</f>
        <v/>
      </c>
      <c r="CV31" s="440" t="str">
        <f>IF(CU31="","",+SUMIF('Argus Drop'!$D$7:$D$64,$A31,'Argus Drop'!#REF!))</f>
        <v/>
      </c>
      <c r="CW31" s="440" t="str">
        <f>IF(CV31="","",+SUMIF('Argus Drop'!$D$7:$D$64,$A31,'Argus Drop'!#REF!))</f>
        <v/>
      </c>
      <c r="CX31" s="440" t="str">
        <f>IF(CW31="","",+SUMIF('Argus Drop'!$D$7:$D$64,$A31,'Argus Drop'!#REF!))</f>
        <v/>
      </c>
      <c r="CY31" s="440" t="str">
        <f>IF(CX31="","",+SUMIF('Argus Drop'!$D$7:$D$64,$A31,'Argus Drop'!#REF!))</f>
        <v/>
      </c>
      <c r="CZ31" s="440" t="str">
        <f>IF(CY31="","",+SUMIF('Argus Drop'!$D$7:$D$64,$A31,'Argus Drop'!#REF!))</f>
        <v/>
      </c>
      <c r="DA31" s="440" t="str">
        <f>IF(CZ31="","",+SUMIF('Argus Drop'!$D$7:$D$64,$A31,'Argus Drop'!#REF!))</f>
        <v/>
      </c>
      <c r="DB31" s="440" t="str">
        <f>IF(DA31="","",+SUMIF('Argus Drop'!$D$7:$D$64,$A31,'Argus Drop'!#REF!))</f>
        <v/>
      </c>
      <c r="DC31" s="440" t="str">
        <f>IF(DB31="","",+SUMIF('Argus Drop'!$D$7:$D$64,$A31,'Argus Drop'!#REF!))</f>
        <v/>
      </c>
      <c r="DD31" s="440" t="str">
        <f>IF(DC31="","",+SUMIF('Argus Drop'!$D$7:$D$64,$A31,'Argus Drop'!#REF!))</f>
        <v/>
      </c>
      <c r="DE31" s="440" t="str">
        <f>IF(DD31="","",+SUMIF('Argus Drop'!$D$7:$D$64,$A31,'Argus Drop'!#REF!))</f>
        <v/>
      </c>
      <c r="DF31" s="440" t="str">
        <f>IF(DE31="","",+SUMIF('Argus Drop'!$D$7:$D$64,$A31,'Argus Drop'!#REF!))</f>
        <v/>
      </c>
      <c r="DG31" s="440" t="str">
        <f>IF(DF31="","",+SUMIF('Argus Drop'!$D$7:$D$64,$A31,'Argus Drop'!#REF!))</f>
        <v/>
      </c>
      <c r="DH31" s="440" t="str">
        <f>IF(DG31="","",+SUMIF('Argus Drop'!$D$7:$D$64,$A31,'Argus Drop'!#REF!))</f>
        <v/>
      </c>
      <c r="DI31" s="440" t="str">
        <f>IF(DH31="","",+SUMIF('Argus Drop'!$D$7:$D$64,$A31,'Argus Drop'!#REF!))</f>
        <v/>
      </c>
      <c r="DJ31" s="440" t="str">
        <f>IF(DI31="","",+SUMIF('Argus Drop'!$D$7:$D$64,$A31,'Argus Drop'!#REF!))</f>
        <v/>
      </c>
      <c r="DK31" s="440" t="str">
        <f>IF(DJ31="","",+SUMIF('Argus Drop'!$D$7:$D$64,$A31,'Argus Drop'!#REF!))</f>
        <v/>
      </c>
      <c r="DL31" s="440" t="str">
        <f>IF(DK31="","",+SUMIF('Argus Drop'!$D$7:$D$64,$A31,'Argus Drop'!#REF!))</f>
        <v/>
      </c>
      <c r="DM31" s="440" t="str">
        <f>IF(DL31="","",+SUMIF('Argus Drop'!$D$7:$D$64,$A31,'Argus Drop'!#REF!))</f>
        <v/>
      </c>
      <c r="DN31" s="440" t="str">
        <f>IF(DM31="","",+SUMIF('Argus Drop'!$D$7:$D$64,$A31,'Argus Drop'!#REF!))</f>
        <v/>
      </c>
      <c r="DO31" s="440" t="str">
        <f>IF(DN31="","",+SUMIF('Argus Drop'!$D$7:$D$64,$A31,'Argus Drop'!#REF!))</f>
        <v/>
      </c>
      <c r="DP31" s="440" t="str">
        <f>IF(DO31="","",+SUMIF('Argus Drop'!$D$7:$D$64,$A31,'Argus Drop'!#REF!))</f>
        <v/>
      </c>
      <c r="DQ31" s="440" t="str">
        <f>IF(DP31="","",+SUMIF('Argus Drop'!$D$7:$D$64,$A31,'Argus Drop'!#REF!))</f>
        <v/>
      </c>
      <c r="DR31" s="440" t="str">
        <f>IF(DQ31="","",+SUMIF('Argus Drop'!$D$7:$D$64,$A31,'Argus Drop'!#REF!))</f>
        <v/>
      </c>
      <c r="DS31" s="440"/>
      <c r="DT31" s="440"/>
      <c r="DU31" s="440"/>
      <c r="DV31" s="440"/>
      <c r="DW31" s="440"/>
      <c r="DX31" s="440"/>
      <c r="DY31" s="440"/>
      <c r="DZ31" s="440"/>
      <c r="EA31" s="440"/>
      <c r="EB31" s="440"/>
      <c r="EC31" s="440"/>
      <c r="ED31" s="1419"/>
      <c r="EE31" s="1419"/>
      <c r="EF31" s="1419"/>
      <c r="EG31" s="1419"/>
      <c r="EH31" s="1419"/>
      <c r="EI31" s="1419"/>
      <c r="EJ31" s="1419"/>
      <c r="EK31" s="1419"/>
      <c r="EL31" s="1419"/>
      <c r="EM31" s="1419"/>
      <c r="EN31" s="1419"/>
      <c r="EO31" s="1419"/>
      <c r="EP31" s="1419"/>
      <c r="EQ31" s="1419"/>
      <c r="ER31" s="1419"/>
      <c r="ES31" s="1419"/>
      <c r="ET31" s="1419"/>
      <c r="EU31" s="1419"/>
      <c r="EV31" s="1419"/>
      <c r="EW31" s="1419"/>
      <c r="EX31" s="1419"/>
      <c r="EY31" s="1419"/>
      <c r="EZ31" s="1419"/>
      <c r="FA31" s="1419"/>
      <c r="FB31" s="1419"/>
      <c r="FC31" s="1419"/>
      <c r="FD31" s="1419"/>
      <c r="FE31" s="1419"/>
      <c r="FF31" s="1419"/>
      <c r="FG31" s="1419"/>
      <c r="FH31" s="1419"/>
      <c r="FI31" s="1419"/>
    </row>
    <row r="32" spans="1:165">
      <c r="A32" s="448" t="str">
        <f>IF(+'Argus Drop'!B32="","",'Argus Drop'!B32)</f>
        <v/>
      </c>
      <c r="B32" s="440" t="str">
        <f>IF(A32="","",+SUMIF('Argus Drop'!$D$7:$D$64,$A32,'Argus Drop'!#REF!))</f>
        <v/>
      </c>
      <c r="C32" s="440" t="str">
        <f>IF(B32="","",+SUMIF('Argus Drop'!$D$7:$D$64,$A32,'Argus Drop'!#REF!))</f>
        <v/>
      </c>
      <c r="D32" s="440" t="str">
        <f>IF(C32="","",+SUMIF('Argus Drop'!$D$7:$D$64,$A32,'Argus Drop'!#REF!))</f>
        <v/>
      </c>
      <c r="E32" s="440" t="str">
        <f>IF(D32="","",+SUMIF('Argus Drop'!$D$7:$D$64,$A32,'Argus Drop'!#REF!))</f>
        <v/>
      </c>
      <c r="F32" s="440" t="str">
        <f>IF(E32="","",+SUMIF('Argus Drop'!$D$7:$D$64,$A32,'Argus Drop'!#REF!))</f>
        <v/>
      </c>
      <c r="G32" s="440" t="str">
        <f>IF(F32="","",+SUMIF('Argus Drop'!$D$7:$D$64,$A32,'Argus Drop'!#REF!))</f>
        <v/>
      </c>
      <c r="H32" s="440" t="str">
        <f>IF(G32="","",+SUMIF('Argus Drop'!$D$7:$D$64,$A32,'Argus Drop'!#REF!))</f>
        <v/>
      </c>
      <c r="I32" s="440" t="str">
        <f>IF(H32="","",+SUMIF('Argus Drop'!$D$7:$D$64,$A32,'Argus Drop'!#REF!))</f>
        <v/>
      </c>
      <c r="J32" s="440" t="str">
        <f>IF(I32="","",+SUMIF('Argus Drop'!$D$7:$D$64,$A32,'Argus Drop'!#REF!))</f>
        <v/>
      </c>
      <c r="K32" s="440" t="str">
        <f>IF(J32="","",+SUMIF('Argus Drop'!$D$7:$D$64,$A32,'Argus Drop'!#REF!))</f>
        <v/>
      </c>
      <c r="L32" s="440" t="str">
        <f>IF(K32="","",+SUMIF('Argus Drop'!$D$7:$D$64,$A32,'Argus Drop'!#REF!))</f>
        <v/>
      </c>
      <c r="M32" s="440" t="str">
        <f>IF(L32="","",+SUMIF('Argus Drop'!$D$7:$D$64,$A32,'Argus Drop'!#REF!))</f>
        <v/>
      </c>
      <c r="N32" s="440" t="str">
        <f>IF(M32="","",+SUMIF('Argus Drop'!$D$7:$D$64,$A32,'Argus Drop'!#REF!))</f>
        <v/>
      </c>
      <c r="O32" s="440" t="str">
        <f>IF(N32="","",+SUMIF('Argus Drop'!$D$7:$D$64,$A32,'Argus Drop'!#REF!))</f>
        <v/>
      </c>
      <c r="P32" s="440" t="str">
        <f>IF(O32="","",+SUMIF('Argus Drop'!$D$7:$D$64,$A32,'Argus Drop'!#REF!))</f>
        <v/>
      </c>
      <c r="Q32" s="440" t="str">
        <f>IF(P32="","",+SUMIF('Argus Drop'!$D$7:$D$64,$A32,'Argus Drop'!#REF!))</f>
        <v/>
      </c>
      <c r="R32" s="440" t="str">
        <f>IF(Q32="","",+SUMIF('Argus Drop'!$D$7:$D$64,$A32,'Argus Drop'!#REF!))</f>
        <v/>
      </c>
      <c r="S32" s="440" t="str">
        <f>IF(R32="","",+SUMIF('Argus Drop'!$D$7:$D$64,$A32,'Argus Drop'!#REF!))</f>
        <v/>
      </c>
      <c r="T32" s="440" t="str">
        <f>IF(S32="","",+SUMIF('Argus Drop'!$D$7:$D$64,$A32,'Argus Drop'!#REF!))</f>
        <v/>
      </c>
      <c r="U32" s="440" t="str">
        <f>IF(T32="","",+SUMIF('Argus Drop'!$D$7:$D$64,$A32,'Argus Drop'!#REF!))</f>
        <v/>
      </c>
      <c r="V32" s="440" t="str">
        <f>IF(U32="","",+SUMIF('Argus Drop'!$D$7:$D$64,$A32,'Argus Drop'!#REF!))</f>
        <v/>
      </c>
      <c r="W32" s="440" t="str">
        <f>IF(V32="","",+SUMIF('Argus Drop'!$D$7:$D$64,$A32,'Argus Drop'!#REF!))</f>
        <v/>
      </c>
      <c r="X32" s="440" t="str">
        <f>IF(W32="","",+SUMIF('Argus Drop'!$D$7:$D$64,$A32,'Argus Drop'!#REF!))</f>
        <v/>
      </c>
      <c r="Y32" s="440" t="str">
        <f>IF(X32="","",+SUMIF('Argus Drop'!$D$7:$D$64,$A32,'Argus Drop'!#REF!))</f>
        <v/>
      </c>
      <c r="Z32" s="440" t="str">
        <f>IF(Y32="","",+SUMIF('Argus Drop'!$D$7:$D$64,$A32,'Argus Drop'!#REF!))</f>
        <v/>
      </c>
      <c r="AA32" s="440" t="str">
        <f>IF(Z32="","",+SUMIF('Argus Drop'!$D$7:$D$64,$A32,'Argus Drop'!#REF!))</f>
        <v/>
      </c>
      <c r="AB32" s="440" t="str">
        <f>IF(AA32="","",+SUMIF('Argus Drop'!$D$7:$D$64,$A32,'Argus Drop'!#REF!))</f>
        <v/>
      </c>
      <c r="AC32" s="440" t="str">
        <f>IF(AB32="","",+SUMIF('Argus Drop'!$D$7:$D$64,$A32,'Argus Drop'!#REF!))</f>
        <v/>
      </c>
      <c r="AD32" s="440" t="str">
        <f>IF(AC32="","",+SUMIF('Argus Drop'!$D$7:$D$64,$A32,'Argus Drop'!#REF!))</f>
        <v/>
      </c>
      <c r="AE32" s="440" t="str">
        <f>IF(AD32="","",+SUMIF('Argus Drop'!$D$7:$D$64,$A32,'Argus Drop'!#REF!))</f>
        <v/>
      </c>
      <c r="AF32" s="440" t="str">
        <f>IF(AE32="","",+SUMIF('Argus Drop'!$D$7:$D$64,$A32,'Argus Drop'!#REF!))</f>
        <v/>
      </c>
      <c r="AG32" s="440" t="str">
        <f>IF(AF32="","",+SUMIF('Argus Drop'!$D$7:$D$64,$A32,'Argus Drop'!#REF!))</f>
        <v/>
      </c>
      <c r="AH32" s="440" t="str">
        <f>IF(AG32="","",+SUMIF('Argus Drop'!$D$7:$D$64,$A32,'Argus Drop'!#REF!))</f>
        <v/>
      </c>
      <c r="AI32" s="440" t="str">
        <f>IF(AH32="","",+SUMIF('Argus Drop'!$D$7:$D$64,$A32,'Argus Drop'!#REF!))</f>
        <v/>
      </c>
      <c r="AJ32" s="440" t="str">
        <f>IF(AI32="","",+SUMIF('Argus Drop'!$D$7:$D$64,$A32,'Argus Drop'!#REF!))</f>
        <v/>
      </c>
      <c r="AK32" s="440" t="str">
        <f>IF(AJ32="","",+SUMIF('Argus Drop'!$D$7:$D$64,$A32,'Argus Drop'!#REF!))</f>
        <v/>
      </c>
      <c r="AL32" s="440" t="str">
        <f>IF(AK32="","",+SUMIF('Argus Drop'!$D$7:$D$64,$A32,'Argus Drop'!#REF!))</f>
        <v/>
      </c>
      <c r="AM32" s="440" t="str">
        <f>IF(AL32="","",+SUMIF('Argus Drop'!$D$7:$D$64,$A32,'Argus Drop'!#REF!))</f>
        <v/>
      </c>
      <c r="AN32" s="440" t="str">
        <f>IF(AM32="","",+SUMIF('Argus Drop'!$D$7:$D$64,$A32,'Argus Drop'!#REF!))</f>
        <v/>
      </c>
      <c r="AO32" s="440" t="str">
        <f>IF(AN32="","",+SUMIF('Argus Drop'!$D$7:$D$64,$A32,'Argus Drop'!#REF!))</f>
        <v/>
      </c>
      <c r="AP32" s="440" t="str">
        <f>IF(AO32="","",+SUMIF('Argus Drop'!$D$7:$D$64,$A32,'Argus Drop'!#REF!))</f>
        <v/>
      </c>
      <c r="AQ32" s="440" t="str">
        <f>IF(AP32="","",+SUMIF('Argus Drop'!$D$7:$D$64,$A32,'Argus Drop'!#REF!))</f>
        <v/>
      </c>
      <c r="AR32" s="440" t="str">
        <f>IF(AQ32="","",+SUMIF('Argus Drop'!$D$7:$D$64,$A32,'Argus Drop'!#REF!))</f>
        <v/>
      </c>
      <c r="AS32" s="440" t="str">
        <f>IF(AR32="","",+SUMIF('Argus Drop'!$D$7:$D$64,$A32,'Argus Drop'!#REF!))</f>
        <v/>
      </c>
      <c r="AT32" s="440" t="str">
        <f>IF(AS32="","",+SUMIF('Argus Drop'!$D$7:$D$64,$A32,'Argus Drop'!#REF!))</f>
        <v/>
      </c>
      <c r="AU32" s="440" t="str">
        <f>IF(AT32="","",+SUMIF('Argus Drop'!$D$7:$D$64,$A32,'Argus Drop'!#REF!))</f>
        <v/>
      </c>
      <c r="AV32" s="440" t="str">
        <f>IF(AU32="","",+SUMIF('Argus Drop'!$D$7:$D$64,$A32,'Argus Drop'!#REF!))</f>
        <v/>
      </c>
      <c r="AW32" s="440" t="str">
        <f>IF(AV32="","",+SUMIF('Argus Drop'!$D$7:$D$64,$A32,'Argus Drop'!#REF!))</f>
        <v/>
      </c>
      <c r="AX32" s="440" t="str">
        <f>IF(AW32="","",+SUMIF('Argus Drop'!$D$7:$D$64,$A32,'Argus Drop'!#REF!))</f>
        <v/>
      </c>
      <c r="AY32" s="440" t="str">
        <f>IF(AX32="","",+SUMIF('Argus Drop'!$D$7:$D$64,$A32,'Argus Drop'!#REF!))</f>
        <v/>
      </c>
      <c r="AZ32" s="440" t="str">
        <f>IF(AY32="","",+SUMIF('Argus Drop'!$D$7:$D$64,$A32,'Argus Drop'!#REF!))</f>
        <v/>
      </c>
      <c r="BA32" s="440" t="str">
        <f>IF(AZ32="","",+SUMIF('Argus Drop'!$D$7:$D$64,$A32,'Argus Drop'!#REF!))</f>
        <v/>
      </c>
      <c r="BB32" s="440" t="str">
        <f>IF(BA32="","",+SUMIF('Argus Drop'!$D$7:$D$64,$A32,'Argus Drop'!#REF!))</f>
        <v/>
      </c>
      <c r="BC32" s="440" t="str">
        <f>IF(BB32="","",+SUMIF('Argus Drop'!$D$7:$D$64,$A32,'Argus Drop'!#REF!))</f>
        <v/>
      </c>
      <c r="BD32" s="440" t="str">
        <f>IF(BC32="","",+SUMIF('Argus Drop'!$D$7:$D$64,$A32,'Argus Drop'!#REF!))</f>
        <v/>
      </c>
      <c r="BE32" s="440" t="str">
        <f>IF(BD32="","",+SUMIF('Argus Drop'!$D$7:$D$64,$A32,'Argus Drop'!#REF!))</f>
        <v/>
      </c>
      <c r="BF32" s="440" t="str">
        <f>IF(BE32="","",+SUMIF('Argus Drop'!$D$7:$D$64,$A32,'Argus Drop'!#REF!))</f>
        <v/>
      </c>
      <c r="BG32" s="440" t="str">
        <f>IF(BF32="","",+SUMIF('Argus Drop'!$D$7:$D$64,$A32,'Argus Drop'!#REF!))</f>
        <v/>
      </c>
      <c r="BH32" s="440" t="str">
        <f>IF(BG32="","",+SUMIF('Argus Drop'!$D$7:$D$64,$A32,'Argus Drop'!#REF!))</f>
        <v/>
      </c>
      <c r="BI32" s="440" t="str">
        <f>IF(BH32="","",+SUMIF('Argus Drop'!$D$7:$D$64,$A32,'Argus Drop'!#REF!))</f>
        <v/>
      </c>
      <c r="BJ32" s="440" t="str">
        <f>IF(BI32="","",+SUMIF('Argus Drop'!$D$7:$D$64,$A32,'Argus Drop'!#REF!))</f>
        <v/>
      </c>
      <c r="BK32" s="440" t="str">
        <f>IF(BJ32="","",+SUMIF('Argus Drop'!$D$7:$D$64,$A32,'Argus Drop'!#REF!))</f>
        <v/>
      </c>
      <c r="BL32" s="440" t="str">
        <f>IF(BK32="","",+SUMIF('Argus Drop'!$D$7:$D$64,$A32,'Argus Drop'!#REF!))</f>
        <v/>
      </c>
      <c r="BM32" s="440" t="str">
        <f>IF(BL32="","",+SUMIF('Argus Drop'!$D$7:$D$64,$A32,'Argus Drop'!#REF!))</f>
        <v/>
      </c>
      <c r="BN32" s="440" t="str">
        <f>IF(BM32="","",+SUMIF('Argus Drop'!$D$7:$D$64,$A32,'Argus Drop'!#REF!))</f>
        <v/>
      </c>
      <c r="BO32" s="440" t="str">
        <f>IF(BN32="","",+SUMIF('Argus Drop'!$D$7:$D$64,$A32,'Argus Drop'!#REF!))</f>
        <v/>
      </c>
      <c r="BP32" s="440" t="str">
        <f>IF(BO32="","",+SUMIF('Argus Drop'!$D$7:$D$64,$A32,'Argus Drop'!#REF!))</f>
        <v/>
      </c>
      <c r="BQ32" s="440" t="str">
        <f>IF(BP32="","",+SUMIF('Argus Drop'!$D$7:$D$64,$A32,'Argus Drop'!#REF!))</f>
        <v/>
      </c>
      <c r="BR32" s="440" t="str">
        <f>IF(BQ32="","",+SUMIF('Argus Drop'!$D$7:$D$64,$A32,'Argus Drop'!#REF!))</f>
        <v/>
      </c>
      <c r="BS32" s="440" t="str">
        <f>IF(BR32="","",+SUMIF('Argus Drop'!$D$7:$D$64,$A32,'Argus Drop'!#REF!))</f>
        <v/>
      </c>
      <c r="BT32" s="440" t="str">
        <f>IF(BS32="","",+SUMIF('Argus Drop'!$D$7:$D$64,$A32,'Argus Drop'!#REF!))</f>
        <v/>
      </c>
      <c r="BU32" s="440" t="str">
        <f>IF(BT32="","",+SUMIF('Argus Drop'!$D$7:$D$64,$A32,'Argus Drop'!#REF!))</f>
        <v/>
      </c>
      <c r="BV32" s="440" t="str">
        <f>IF(BU32="","",+SUMIF('Argus Drop'!$D$7:$D$64,$A32,'Argus Drop'!#REF!))</f>
        <v/>
      </c>
      <c r="BW32" s="440" t="str">
        <f>IF(BV32="","",+SUMIF('Argus Drop'!$D$7:$D$64,$A32,'Argus Drop'!#REF!))</f>
        <v/>
      </c>
      <c r="BX32" s="440" t="str">
        <f>IF(BW32="","",+SUMIF('Argus Drop'!$D$7:$D$64,$A32,'Argus Drop'!#REF!))</f>
        <v/>
      </c>
      <c r="BY32" s="440" t="str">
        <f>IF(BX32="","",+SUMIF('Argus Drop'!$D$7:$D$64,$A32,'Argus Drop'!#REF!))</f>
        <v/>
      </c>
      <c r="BZ32" s="440" t="str">
        <f>IF(BY32="","",+SUMIF('Argus Drop'!$D$7:$D$64,$A32,'Argus Drop'!#REF!))</f>
        <v/>
      </c>
      <c r="CA32" s="440" t="str">
        <f>IF(BZ32="","",+SUMIF('Argus Drop'!$D$7:$D$64,$A32,'Argus Drop'!#REF!))</f>
        <v/>
      </c>
      <c r="CB32" s="440" t="str">
        <f>IF(CA32="","",+SUMIF('Argus Drop'!$D$7:$D$64,$A32,'Argus Drop'!#REF!))</f>
        <v/>
      </c>
      <c r="CC32" s="440" t="str">
        <f>IF(CB32="","",+SUMIF('Argus Drop'!$D$7:$D$64,$A32,'Argus Drop'!#REF!))</f>
        <v/>
      </c>
      <c r="CD32" s="440" t="str">
        <f>IF(CC32="","",+SUMIF('Argus Drop'!$D$7:$D$64,$A32,'Argus Drop'!#REF!))</f>
        <v/>
      </c>
      <c r="CE32" s="440" t="str">
        <f>IF(CD32="","",+SUMIF('Argus Drop'!$D$7:$D$64,$A32,'Argus Drop'!#REF!))</f>
        <v/>
      </c>
      <c r="CF32" s="440" t="str">
        <f>IF(CE32="","",+SUMIF('Argus Drop'!$D$7:$D$64,$A32,'Argus Drop'!#REF!))</f>
        <v/>
      </c>
      <c r="CG32" s="440" t="str">
        <f>IF(CF32="","",+SUMIF('Argus Drop'!$D$7:$D$64,$A32,'Argus Drop'!#REF!))</f>
        <v/>
      </c>
      <c r="CH32" s="440" t="str">
        <f>IF(CG32="","",+SUMIF('Argus Drop'!$D$7:$D$64,$A32,'Argus Drop'!#REF!))</f>
        <v/>
      </c>
      <c r="CI32" s="440" t="str">
        <f>IF(CH32="","",+SUMIF('Argus Drop'!$D$7:$D$64,$A32,'Argus Drop'!#REF!))</f>
        <v/>
      </c>
      <c r="CJ32" s="440" t="str">
        <f>IF(CI32="","",+SUMIF('Argus Drop'!$D$7:$D$64,$A32,'Argus Drop'!#REF!))</f>
        <v/>
      </c>
      <c r="CK32" s="440" t="str">
        <f>IF(CJ32="","",+SUMIF('Argus Drop'!$D$7:$D$64,$A32,'Argus Drop'!#REF!))</f>
        <v/>
      </c>
      <c r="CL32" s="440" t="str">
        <f>IF(CK32="","",+SUMIF('Argus Drop'!$D$7:$D$64,$A32,'Argus Drop'!#REF!))</f>
        <v/>
      </c>
      <c r="CM32" s="440" t="str">
        <f>IF(CL32="","",+SUMIF('Argus Drop'!$D$7:$D$64,$A32,'Argus Drop'!#REF!))</f>
        <v/>
      </c>
      <c r="CN32" s="440" t="str">
        <f>IF(CM32="","",+SUMIF('Argus Drop'!$D$7:$D$64,$A32,'Argus Drop'!#REF!))</f>
        <v/>
      </c>
      <c r="CO32" s="440" t="str">
        <f>IF(CN32="","",+SUMIF('Argus Drop'!$D$7:$D$64,$A32,'Argus Drop'!#REF!))</f>
        <v/>
      </c>
      <c r="CP32" s="440" t="str">
        <f>IF(CO32="","",+SUMIF('Argus Drop'!$D$7:$D$64,$A32,'Argus Drop'!#REF!))</f>
        <v/>
      </c>
      <c r="CQ32" s="440" t="str">
        <f>IF(CP32="","",+SUMIF('Argus Drop'!$D$7:$D$64,$A32,'Argus Drop'!#REF!))</f>
        <v/>
      </c>
      <c r="CR32" s="440" t="str">
        <f>IF(CQ32="","",+SUMIF('Argus Drop'!$D$7:$D$64,$A32,'Argus Drop'!#REF!))</f>
        <v/>
      </c>
      <c r="CS32" s="440" t="str">
        <f>IF(CR32="","",+SUMIF('Argus Drop'!$D$7:$D$64,$A32,'Argus Drop'!#REF!))</f>
        <v/>
      </c>
      <c r="CT32" s="440" t="str">
        <f>IF(CS32="","",+SUMIF('Argus Drop'!$D$7:$D$64,$A32,'Argus Drop'!#REF!))</f>
        <v/>
      </c>
      <c r="CU32" s="440" t="str">
        <f>IF(CT32="","",+SUMIF('Argus Drop'!$D$7:$D$64,$A32,'Argus Drop'!#REF!))</f>
        <v/>
      </c>
      <c r="CV32" s="440" t="str">
        <f>IF(CU32="","",+SUMIF('Argus Drop'!$D$7:$D$64,$A32,'Argus Drop'!#REF!))</f>
        <v/>
      </c>
      <c r="CW32" s="440" t="str">
        <f>IF(CV32="","",+SUMIF('Argus Drop'!$D$7:$D$64,$A32,'Argus Drop'!#REF!))</f>
        <v/>
      </c>
      <c r="CX32" s="440" t="str">
        <f>IF(CW32="","",+SUMIF('Argus Drop'!$D$7:$D$64,$A32,'Argus Drop'!#REF!))</f>
        <v/>
      </c>
      <c r="CY32" s="440" t="str">
        <f>IF(CX32="","",+SUMIF('Argus Drop'!$D$7:$D$64,$A32,'Argus Drop'!#REF!))</f>
        <v/>
      </c>
      <c r="CZ32" s="440" t="str">
        <f>IF(CY32="","",+SUMIF('Argus Drop'!$D$7:$D$64,$A32,'Argus Drop'!#REF!))</f>
        <v/>
      </c>
      <c r="DA32" s="440" t="str">
        <f>IF(CZ32="","",+SUMIF('Argus Drop'!$D$7:$D$64,$A32,'Argus Drop'!#REF!))</f>
        <v/>
      </c>
      <c r="DB32" s="440" t="str">
        <f>IF(DA32="","",+SUMIF('Argus Drop'!$D$7:$D$64,$A32,'Argus Drop'!#REF!))</f>
        <v/>
      </c>
      <c r="DC32" s="440" t="str">
        <f>IF(DB32="","",+SUMIF('Argus Drop'!$D$7:$D$64,$A32,'Argus Drop'!#REF!))</f>
        <v/>
      </c>
      <c r="DD32" s="440" t="str">
        <f>IF(DC32="","",+SUMIF('Argus Drop'!$D$7:$D$64,$A32,'Argus Drop'!#REF!))</f>
        <v/>
      </c>
      <c r="DE32" s="440" t="str">
        <f>IF(DD32="","",+SUMIF('Argus Drop'!$D$7:$D$64,$A32,'Argus Drop'!#REF!))</f>
        <v/>
      </c>
      <c r="DF32" s="440" t="str">
        <f>IF(DE32="","",+SUMIF('Argus Drop'!$D$7:$D$64,$A32,'Argus Drop'!#REF!))</f>
        <v/>
      </c>
      <c r="DG32" s="440" t="str">
        <f>IF(DF32="","",+SUMIF('Argus Drop'!$D$7:$D$64,$A32,'Argus Drop'!#REF!))</f>
        <v/>
      </c>
      <c r="DH32" s="440" t="str">
        <f>IF(DG32="","",+SUMIF('Argus Drop'!$D$7:$D$64,$A32,'Argus Drop'!#REF!))</f>
        <v/>
      </c>
      <c r="DI32" s="440" t="str">
        <f>IF(DH32="","",+SUMIF('Argus Drop'!$D$7:$D$64,$A32,'Argus Drop'!#REF!))</f>
        <v/>
      </c>
      <c r="DJ32" s="440" t="str">
        <f>IF(DI32="","",+SUMIF('Argus Drop'!$D$7:$D$64,$A32,'Argus Drop'!#REF!))</f>
        <v/>
      </c>
      <c r="DK32" s="440" t="str">
        <f>IF(DJ32="","",+SUMIF('Argus Drop'!$D$7:$D$64,$A32,'Argus Drop'!#REF!))</f>
        <v/>
      </c>
      <c r="DL32" s="440" t="str">
        <f>IF(DK32="","",+SUMIF('Argus Drop'!$D$7:$D$64,$A32,'Argus Drop'!#REF!))</f>
        <v/>
      </c>
      <c r="DM32" s="440" t="str">
        <f>IF(DL32="","",+SUMIF('Argus Drop'!$D$7:$D$64,$A32,'Argus Drop'!#REF!))</f>
        <v/>
      </c>
      <c r="DN32" s="440" t="str">
        <f>IF(DM32="","",+SUMIF('Argus Drop'!$D$7:$D$64,$A32,'Argus Drop'!#REF!))</f>
        <v/>
      </c>
      <c r="DO32" s="440" t="str">
        <f>IF(DN32="","",+SUMIF('Argus Drop'!$D$7:$D$64,$A32,'Argus Drop'!#REF!))</f>
        <v/>
      </c>
      <c r="DP32" s="440" t="str">
        <f>IF(DO32="","",+SUMIF('Argus Drop'!$D$7:$D$64,$A32,'Argus Drop'!#REF!))</f>
        <v/>
      </c>
      <c r="DQ32" s="440" t="str">
        <f>IF(DP32="","",+SUMIF('Argus Drop'!$D$7:$D$64,$A32,'Argus Drop'!#REF!))</f>
        <v/>
      </c>
      <c r="DR32" s="440" t="str">
        <f>IF(DQ32="","",+SUMIF('Argus Drop'!$D$7:$D$64,$A32,'Argus Drop'!#REF!))</f>
        <v/>
      </c>
      <c r="DS32" s="440"/>
      <c r="DT32" s="440"/>
      <c r="DU32" s="440"/>
      <c r="DV32" s="440"/>
      <c r="DW32" s="440"/>
      <c r="DX32" s="440"/>
      <c r="DY32" s="440"/>
      <c r="DZ32" s="440"/>
      <c r="EA32" s="440"/>
      <c r="EB32" s="440"/>
      <c r="EC32" s="440"/>
      <c r="ED32" s="1419"/>
      <c r="EE32" s="1419"/>
      <c r="EF32" s="1419"/>
      <c r="EG32" s="1419"/>
      <c r="EH32" s="1419"/>
      <c r="EI32" s="1419"/>
      <c r="EJ32" s="1419"/>
      <c r="EK32" s="1419"/>
      <c r="EL32" s="1419"/>
      <c r="EM32" s="1419"/>
      <c r="EN32" s="1419"/>
      <c r="EO32" s="1419"/>
      <c r="EP32" s="1419"/>
      <c r="EQ32" s="1419"/>
      <c r="ER32" s="1419"/>
      <c r="ES32" s="1419"/>
      <c r="ET32" s="1419"/>
      <c r="EU32" s="1419"/>
      <c r="EV32" s="1419"/>
      <c r="EW32" s="1419"/>
      <c r="EX32" s="1419"/>
      <c r="EY32" s="1419"/>
      <c r="EZ32" s="1419"/>
      <c r="FA32" s="1419"/>
      <c r="FB32" s="1419"/>
      <c r="FC32" s="1419"/>
      <c r="FD32" s="1419"/>
      <c r="FE32" s="1419"/>
      <c r="FF32" s="1419"/>
      <c r="FG32" s="1419"/>
      <c r="FH32" s="1419"/>
      <c r="FI32" s="1419"/>
    </row>
    <row r="33" spans="1:165">
      <c r="A33" s="448">
        <f>IF(+'Argus Drop'!B33="","",'Argus Drop'!B33)</f>
        <v>8</v>
      </c>
      <c r="B33" s="440">
        <f>SUMIF('Argus Drop'!$D:$D,$A33,'Argus Drop'!F:F)</f>
        <v>81687</v>
      </c>
      <c r="C33" s="440">
        <f>SUMIF('Argus Drop'!$D:$D,$A33,'Argus Drop'!G:G)</f>
        <v>81687</v>
      </c>
      <c r="D33" s="440">
        <f>SUMIF('Argus Drop'!$D:$D,$A33,'Argus Drop'!H:H)</f>
        <v>81687</v>
      </c>
      <c r="E33" s="440">
        <f>SUMIF('Argus Drop'!$D:$D,$A33,'Argus Drop'!I:I)</f>
        <v>84138</v>
      </c>
      <c r="F33" s="440">
        <f>SUMIF('Argus Drop'!$D:$D,$A33,'Argus Drop'!J:J)</f>
        <v>84138</v>
      </c>
      <c r="G33" s="440">
        <f>SUMIF('Argus Drop'!$D:$D,$A33,'Argus Drop'!K:K)</f>
        <v>84138</v>
      </c>
      <c r="H33" s="440">
        <f>SUMIF('Argus Drop'!$D:$D,$A33,'Argus Drop'!L:L)</f>
        <v>84138</v>
      </c>
      <c r="I33" s="440">
        <f>SUMIF('Argus Drop'!$D:$D,$A33,'Argus Drop'!M:M)</f>
        <v>84138</v>
      </c>
      <c r="J33" s="440">
        <f>SUMIF('Argus Drop'!$D:$D,$A33,'Argus Drop'!N:N)</f>
        <v>84138</v>
      </c>
      <c r="K33" s="440">
        <f>SUMIF('Argus Drop'!$D:$D,$A33,'Argus Drop'!O:O)</f>
        <v>84138</v>
      </c>
      <c r="L33" s="440">
        <f>SUMIF('Argus Drop'!$D:$D,$A33,'Argus Drop'!P:P)</f>
        <v>84138</v>
      </c>
      <c r="M33" s="440">
        <f>SUMIF('Argus Drop'!$D:$D,$A33,'Argus Drop'!Q:Q)</f>
        <v>84138</v>
      </c>
      <c r="N33" s="440">
        <f>SUMIF('Argus Drop'!$D:$D,$A33,'Argus Drop'!R:R)</f>
        <v>84138</v>
      </c>
      <c r="O33" s="440">
        <f>SUMIF('Argus Drop'!$D:$D,$A33,'Argus Drop'!S:S)</f>
        <v>84138</v>
      </c>
      <c r="P33" s="440">
        <f>SUMIF('Argus Drop'!$D:$D,$A33,'Argus Drop'!T:T)</f>
        <v>84138</v>
      </c>
      <c r="Q33" s="440">
        <f>SUMIF('Argus Drop'!$D:$D,$A33,'Argus Drop'!U:U)</f>
        <v>86662</v>
      </c>
      <c r="R33" s="440">
        <f>SUMIF('Argus Drop'!$D:$D,$A33,'Argus Drop'!V:V)</f>
        <v>86662</v>
      </c>
      <c r="S33" s="440">
        <f>SUMIF('Argus Drop'!$D:$D,$A33,'Argus Drop'!W:W)</f>
        <v>86662</v>
      </c>
      <c r="T33" s="440">
        <f>SUMIF('Argus Drop'!$D:$D,$A33,'Argus Drop'!X:X)</f>
        <v>86662</v>
      </c>
      <c r="U33" s="440">
        <f>SUMIF('Argus Drop'!$D:$D,$A33,'Argus Drop'!Y:Y)</f>
        <v>86662</v>
      </c>
      <c r="V33" s="440">
        <f>SUMIF('Argus Drop'!$D:$D,$A33,'Argus Drop'!Z:Z)</f>
        <v>86662</v>
      </c>
      <c r="W33" s="440">
        <f>SUMIF('Argus Drop'!$D:$D,$A33,'Argus Drop'!AA:AA)</f>
        <v>86662</v>
      </c>
      <c r="X33" s="440">
        <f>SUMIF('Argus Drop'!$D:$D,$A33,'Argus Drop'!AB:AB)</f>
        <v>86662</v>
      </c>
      <c r="Y33" s="440">
        <f>SUMIF('Argus Drop'!$D:$D,$A33,'Argus Drop'!AC:AC)</f>
        <v>86662</v>
      </c>
      <c r="Z33" s="440">
        <f>SUMIF('Argus Drop'!$D:$D,$A33,'Argus Drop'!AD:AD)</f>
        <v>86662</v>
      </c>
      <c r="AA33" s="440">
        <f>SUMIF('Argus Drop'!$D:$D,$A33,'Argus Drop'!AE:AE)</f>
        <v>86662</v>
      </c>
      <c r="AB33" s="440">
        <f>SUMIF('Argus Drop'!$D:$D,$A33,'Argus Drop'!AF:AF)</f>
        <v>86662</v>
      </c>
      <c r="AC33" s="440">
        <f>SUMIF('Argus Drop'!$D:$D,$A33,'Argus Drop'!AG:AG)</f>
        <v>89262</v>
      </c>
      <c r="AD33" s="440">
        <f>SUMIF('Argus Drop'!$D:$D,$A33,'Argus Drop'!AH:AH)</f>
        <v>89262</v>
      </c>
      <c r="AE33" s="440">
        <f>SUMIF('Argus Drop'!$D:$D,$A33,'Argus Drop'!AI:AI)</f>
        <v>89262</v>
      </c>
      <c r="AF33" s="440">
        <f>SUMIF('Argus Drop'!$D:$D,$A33,'Argus Drop'!AJ:AJ)</f>
        <v>89262</v>
      </c>
      <c r="AG33" s="440">
        <f>SUMIF('Argus Drop'!$D:$D,$A33,'Argus Drop'!AK:AK)</f>
        <v>89262</v>
      </c>
      <c r="AH33" s="440">
        <f>SUMIF('Argus Drop'!$D:$D,$A33,'Argus Drop'!AL:AL)</f>
        <v>89262</v>
      </c>
      <c r="AI33" s="440">
        <f>SUMIF('Argus Drop'!$D:$D,$A33,'Argus Drop'!AM:AM)</f>
        <v>89262</v>
      </c>
      <c r="AJ33" s="440">
        <f>SUMIF('Argus Drop'!$D:$D,$A33,'Argus Drop'!AN:AN)</f>
        <v>89262</v>
      </c>
      <c r="AK33" s="440">
        <f>SUMIF('Argus Drop'!$D:$D,$A33,'Argus Drop'!AO:AO)</f>
        <v>89262</v>
      </c>
      <c r="AL33" s="440">
        <f>SUMIF('Argus Drop'!$D:$D,$A33,'Argus Drop'!AP:AP)</f>
        <v>89262</v>
      </c>
      <c r="AM33" s="440">
        <f>SUMIF('Argus Drop'!$D:$D,$A33,'Argus Drop'!AQ:AQ)</f>
        <v>89262</v>
      </c>
      <c r="AN33" s="440">
        <f>SUMIF('Argus Drop'!$D:$D,$A33,'Argus Drop'!AR:AR)</f>
        <v>89262</v>
      </c>
      <c r="AO33" s="440">
        <f>SUMIF('Argus Drop'!$D:$D,$A33,'Argus Drop'!AS:AS)</f>
        <v>91939</v>
      </c>
      <c r="AP33" s="440">
        <f>SUMIF('Argus Drop'!$D:$D,$A33,'Argus Drop'!AT:AT)</f>
        <v>91939</v>
      </c>
      <c r="AQ33" s="440">
        <f>SUMIF('Argus Drop'!$D:$D,$A33,'Argus Drop'!AU:AU)</f>
        <v>91939</v>
      </c>
      <c r="AR33" s="440">
        <f>SUMIF('Argus Drop'!$D:$D,$A33,'Argus Drop'!AV:AV)</f>
        <v>91939</v>
      </c>
      <c r="AS33" s="440">
        <f>SUMIF('Argus Drop'!$D:$D,$A33,'Argus Drop'!AW:AW)</f>
        <v>91939</v>
      </c>
      <c r="AT33" s="440">
        <f>SUMIF('Argus Drop'!$D:$D,$A33,'Argus Drop'!AX:AX)</f>
        <v>91939</v>
      </c>
      <c r="AU33" s="440">
        <f>SUMIF('Argus Drop'!$D:$D,$A33,'Argus Drop'!AY:AY)</f>
        <v>91939</v>
      </c>
      <c r="AV33" s="440">
        <f>SUMIF('Argus Drop'!$D:$D,$A33,'Argus Drop'!AZ:AZ)</f>
        <v>91939</v>
      </c>
      <c r="AW33" s="440">
        <f>SUMIF('Argus Drop'!$D:$D,$A33,'Argus Drop'!BA:BA)</f>
        <v>91939</v>
      </c>
      <c r="AX33" s="440">
        <f>SUMIF('Argus Drop'!$D:$D,$A33,'Argus Drop'!BB:BB)</f>
        <v>91939</v>
      </c>
      <c r="AY33" s="440">
        <f>SUMIF('Argus Drop'!$D:$D,$A33,'Argus Drop'!BC:BC)</f>
        <v>91939</v>
      </c>
      <c r="AZ33" s="440">
        <f>SUMIF('Argus Drop'!$D:$D,$A33,'Argus Drop'!BD:BD)</f>
        <v>91939</v>
      </c>
      <c r="BA33" s="440">
        <f>SUMIF('Argus Drop'!$D:$D,$A33,'Argus Drop'!BE:BE)</f>
        <v>94698</v>
      </c>
      <c r="BB33" s="440">
        <f>SUMIF('Argus Drop'!$D:$D,$A33,'Argus Drop'!BF:BF)</f>
        <v>94698</v>
      </c>
      <c r="BC33" s="440">
        <f>SUMIF('Argus Drop'!$D:$D,$A33,'Argus Drop'!BG:BG)</f>
        <v>94698</v>
      </c>
      <c r="BD33" s="440">
        <f>SUMIF('Argus Drop'!$D:$D,$A33,'Argus Drop'!BH:BH)</f>
        <v>94698</v>
      </c>
      <c r="BE33" s="440">
        <f>SUMIF('Argus Drop'!$D:$D,$A33,'Argus Drop'!BI:BI)</f>
        <v>94698</v>
      </c>
      <c r="BF33" s="440">
        <f>SUMIF('Argus Drop'!$D:$D,$A33,'Argus Drop'!BJ:BJ)</f>
        <v>94698</v>
      </c>
      <c r="BG33" s="440">
        <f>SUMIF('Argus Drop'!$D:$D,$A33,'Argus Drop'!BK:BK)</f>
        <v>94698</v>
      </c>
      <c r="BH33" s="440">
        <f>SUMIF('Argus Drop'!$D:$D,$A33,'Argus Drop'!BL:BL)</f>
        <v>94698</v>
      </c>
      <c r="BI33" s="440">
        <f>SUMIF('Argus Drop'!$D:$D,$A33,'Argus Drop'!BM:BM)</f>
        <v>94698</v>
      </c>
      <c r="BJ33" s="440">
        <f>SUMIF('Argus Drop'!$D:$D,$A33,'Argus Drop'!BN:BN)</f>
        <v>94698</v>
      </c>
      <c r="BK33" s="440">
        <f>SUMIF('Argus Drop'!$D:$D,$A33,'Argus Drop'!BO:BO)</f>
        <v>94698</v>
      </c>
      <c r="BL33" s="440">
        <f>SUMIF('Argus Drop'!$D:$D,$A33,'Argus Drop'!BP:BP)</f>
        <v>94698</v>
      </c>
      <c r="BM33" s="440">
        <f>SUMIF('Argus Drop'!$D:$D,$A33,'Argus Drop'!BQ:BQ)</f>
        <v>97539</v>
      </c>
      <c r="BN33" s="440">
        <f>SUMIF('Argus Drop'!$D:$D,$A33,'Argus Drop'!BR:BR)</f>
        <v>97539</v>
      </c>
      <c r="BO33" s="440">
        <f>SUMIF('Argus Drop'!$D:$D,$A33,'Argus Drop'!BS:BS)</f>
        <v>97539</v>
      </c>
      <c r="BP33" s="440">
        <f>SUMIF('Argus Drop'!$D:$D,$A33,'Argus Drop'!BT:BT)</f>
        <v>97539</v>
      </c>
      <c r="BQ33" s="440">
        <f>SUMIF('Argus Drop'!$D:$D,$A33,'Argus Drop'!BU:BU)</f>
        <v>97539</v>
      </c>
      <c r="BR33" s="440">
        <f>SUMIF('Argus Drop'!$D:$D,$A33,'Argus Drop'!BV:BV)</f>
        <v>97539</v>
      </c>
      <c r="BS33" s="440">
        <f>SUMIF('Argus Drop'!$D:$D,$A33,'Argus Drop'!BW:BW)</f>
        <v>97539</v>
      </c>
      <c r="BT33" s="440">
        <f>SUMIF('Argus Drop'!$D:$D,$A33,'Argus Drop'!BX:BX)</f>
        <v>97539</v>
      </c>
      <c r="BU33" s="440">
        <f>SUMIF('Argus Drop'!$D:$D,$A33,'Argus Drop'!BY:BY)</f>
        <v>97539</v>
      </c>
      <c r="BV33" s="440">
        <f>SUMIF('Argus Drop'!$D:$D,$A33,'Argus Drop'!BZ:BZ)</f>
        <v>97539</v>
      </c>
      <c r="BW33" s="440">
        <f>SUMIF('Argus Drop'!$D:$D,$A33,'Argus Drop'!CA:CA)</f>
        <v>97539</v>
      </c>
      <c r="BX33" s="440">
        <f>SUMIF('Argus Drop'!$D:$D,$A33,'Argus Drop'!CB:CB)</f>
        <v>97539</v>
      </c>
      <c r="BY33" s="440">
        <f>SUMIF('Argus Drop'!$D:$D,$A33,'Argus Drop'!CC:CC)</f>
        <v>100465</v>
      </c>
      <c r="BZ33" s="440">
        <f>SUMIF('Argus Drop'!$D:$D,$A33,'Argus Drop'!CD:CD)</f>
        <v>100465</v>
      </c>
      <c r="CA33" s="440">
        <f>SUMIF('Argus Drop'!$D:$D,$A33,'Argus Drop'!CE:CE)</f>
        <v>100465</v>
      </c>
      <c r="CB33" s="440">
        <f>SUMIF('Argus Drop'!$D:$D,$A33,'Argus Drop'!CF:CF)</f>
        <v>100465</v>
      </c>
      <c r="CC33" s="440">
        <f>SUMIF('Argus Drop'!$D:$D,$A33,'Argus Drop'!CG:CG)</f>
        <v>100465</v>
      </c>
      <c r="CD33" s="440">
        <f>SUMIF('Argus Drop'!$D:$D,$A33,'Argus Drop'!CH:CH)</f>
        <v>100465</v>
      </c>
      <c r="CE33" s="440">
        <f>SUMIF('Argus Drop'!$D:$D,$A33,'Argus Drop'!CI:CI)</f>
        <v>100465</v>
      </c>
      <c r="CF33" s="440">
        <f>SUMIF('Argus Drop'!$D:$D,$A33,'Argus Drop'!CJ:CJ)</f>
        <v>100465</v>
      </c>
      <c r="CG33" s="440">
        <f>SUMIF('Argus Drop'!$D:$D,$A33,'Argus Drop'!CK:CK)</f>
        <v>100465</v>
      </c>
      <c r="CH33" s="440">
        <f>SUMIF('Argus Drop'!$D:$D,$A33,'Argus Drop'!CL:CL)</f>
        <v>100465</v>
      </c>
      <c r="CI33" s="440">
        <f>SUMIF('Argus Drop'!$D:$D,$A33,'Argus Drop'!CM:CM)</f>
        <v>100465</v>
      </c>
      <c r="CJ33" s="440">
        <f>SUMIF('Argus Drop'!$D:$D,$A33,'Argus Drop'!CN:CN)</f>
        <v>100465</v>
      </c>
      <c r="CK33" s="440">
        <f>SUMIF('Argus Drop'!$D:$D,$A33,'Argus Drop'!CO:CO)</f>
        <v>103479</v>
      </c>
      <c r="CL33" s="440">
        <f>SUMIF('Argus Drop'!$D:$D,$A33,'Argus Drop'!CP:CP)</f>
        <v>103479</v>
      </c>
      <c r="CM33" s="440">
        <f>SUMIF('Argus Drop'!$D:$D,$A33,'Argus Drop'!CQ:CQ)</f>
        <v>103479</v>
      </c>
      <c r="CN33" s="440">
        <f>SUMIF('Argus Drop'!$D:$D,$A33,'Argus Drop'!CR:CR)</f>
        <v>103479</v>
      </c>
      <c r="CO33" s="440">
        <f>SUMIF('Argus Drop'!$D:$D,$A33,'Argus Drop'!CS:CS)</f>
        <v>103479</v>
      </c>
      <c r="CP33" s="440">
        <f>SUMIF('Argus Drop'!$D:$D,$A33,'Argus Drop'!CT:CT)</f>
        <v>103479</v>
      </c>
      <c r="CQ33" s="440">
        <f>SUMIF('Argus Drop'!$D:$D,$A33,'Argus Drop'!CU:CU)</f>
        <v>103479</v>
      </c>
      <c r="CR33" s="440">
        <f>SUMIF('Argus Drop'!$D:$D,$A33,'Argus Drop'!CV:CV)</f>
        <v>103479</v>
      </c>
      <c r="CS33" s="440">
        <f>SUMIF('Argus Drop'!$D:$D,$A33,'Argus Drop'!CW:CW)</f>
        <v>103479</v>
      </c>
      <c r="CT33" s="440">
        <f>SUMIF('Argus Drop'!$D:$D,$A33,'Argus Drop'!CX:CX)</f>
        <v>103479</v>
      </c>
      <c r="CU33" s="440">
        <f>SUMIF('Argus Drop'!$D:$D,$A33,'Argus Drop'!CY:CY)</f>
        <v>103479</v>
      </c>
      <c r="CV33" s="440">
        <f>SUMIF('Argus Drop'!$D:$D,$A33,'Argus Drop'!CZ:CZ)</f>
        <v>103479</v>
      </c>
      <c r="CW33" s="440">
        <f>SUMIF('Argus Drop'!$D:$D,$A33,'Argus Drop'!DA:DA)</f>
        <v>106583</v>
      </c>
      <c r="CX33" s="440">
        <f>SUMIF('Argus Drop'!$D:$D,$A33,'Argus Drop'!DB:DB)</f>
        <v>106583</v>
      </c>
      <c r="CY33" s="440">
        <f>SUMIF('Argus Drop'!$D:$D,$A33,'Argus Drop'!DC:DC)</f>
        <v>106583</v>
      </c>
      <c r="CZ33" s="440">
        <f>SUMIF('Argus Drop'!$D:$D,$A33,'Argus Drop'!DD:DD)</f>
        <v>106583</v>
      </c>
      <c r="DA33" s="440">
        <f>SUMIF('Argus Drop'!$D:$D,$A33,'Argus Drop'!DE:DE)</f>
        <v>106583</v>
      </c>
      <c r="DB33" s="440">
        <f>SUMIF('Argus Drop'!$D:$D,$A33,'Argus Drop'!DF:DF)</f>
        <v>106583</v>
      </c>
      <c r="DC33" s="440">
        <f>SUMIF('Argus Drop'!$D:$D,$A33,'Argus Drop'!DG:DG)</f>
        <v>106583</v>
      </c>
      <c r="DD33" s="440">
        <f>SUMIF('Argus Drop'!$D:$D,$A33,'Argus Drop'!DH:DH)</f>
        <v>106583</v>
      </c>
      <c r="DE33" s="440">
        <f>SUMIF('Argus Drop'!$D:$D,$A33,'Argus Drop'!DI:DI)</f>
        <v>106583</v>
      </c>
      <c r="DF33" s="440">
        <f>SUMIF('Argus Drop'!$D:$D,$A33,'Argus Drop'!DJ:DJ)</f>
        <v>106583</v>
      </c>
      <c r="DG33" s="440">
        <f>SUMIF('Argus Drop'!$D:$D,$A33,'Argus Drop'!DK:DK)</f>
        <v>106583</v>
      </c>
      <c r="DH33" s="440">
        <f>SUMIF('Argus Drop'!$D:$D,$A33,'Argus Drop'!DL:DL)</f>
        <v>106583</v>
      </c>
      <c r="DI33" s="440">
        <f>SUMIF('Argus Drop'!$D:$D,$A33,'Argus Drop'!DM:DM)</f>
        <v>109780</v>
      </c>
      <c r="DJ33" s="440">
        <f>SUMIF('Argus Drop'!$D:$D,$A33,'Argus Drop'!DN:DN)</f>
        <v>109780</v>
      </c>
      <c r="DK33" s="440">
        <f>SUMIF('Argus Drop'!$D:$D,$A33,'Argus Drop'!DO:DO)</f>
        <v>109780</v>
      </c>
      <c r="DL33" s="440">
        <f>SUMIF('Argus Drop'!$D:$D,$A33,'Argus Drop'!DP:DP)</f>
        <v>109780</v>
      </c>
      <c r="DM33" s="440">
        <f>SUMIF('Argus Drop'!$D:$D,$A33,'Argus Drop'!DQ:DQ)</f>
        <v>109780</v>
      </c>
      <c r="DN33" s="440">
        <f>SUMIF('Argus Drop'!$D:$D,$A33,'Argus Drop'!DR:DR)</f>
        <v>109780</v>
      </c>
      <c r="DO33" s="440">
        <f>SUMIF('Argus Drop'!$D:$D,$A33,'Argus Drop'!DS:DS)</f>
        <v>109780</v>
      </c>
      <c r="DP33" s="440">
        <f>SUMIF('Argus Drop'!$D:$D,$A33,'Argus Drop'!DT:DT)</f>
        <v>109780</v>
      </c>
      <c r="DQ33" s="440">
        <f>SUMIF('Argus Drop'!$D:$D,$A33,'Argus Drop'!DU:DU)</f>
        <v>109780</v>
      </c>
      <c r="DR33" s="440">
        <f>SUMIF('Argus Drop'!$D:$D,$A33,'Argus Drop'!DV:DV)</f>
        <v>109780</v>
      </c>
      <c r="DS33" s="440"/>
      <c r="DT33" s="440"/>
      <c r="DU33" s="440"/>
      <c r="DV33" s="440"/>
      <c r="DW33" s="440"/>
      <c r="DX33" s="440"/>
      <c r="DY33" s="440"/>
      <c r="DZ33" s="440"/>
      <c r="EA33" s="440"/>
      <c r="EB33" s="440"/>
      <c r="EC33" s="440"/>
      <c r="ED33" s="1419"/>
      <c r="EE33" s="1419"/>
      <c r="EF33" s="1419"/>
      <c r="EG33" s="1419"/>
      <c r="EH33" s="1419"/>
      <c r="EI33" s="1419"/>
      <c r="EJ33" s="1419"/>
      <c r="EK33" s="1419"/>
      <c r="EL33" s="1419"/>
      <c r="EM33" s="1419"/>
      <c r="EN33" s="1419"/>
      <c r="EO33" s="1419"/>
      <c r="EP33" s="1419"/>
      <c r="EQ33" s="1419"/>
      <c r="ER33" s="1419"/>
      <c r="ES33" s="1419"/>
      <c r="ET33" s="1419"/>
      <c r="EU33" s="1419"/>
      <c r="EV33" s="1419"/>
      <c r="EW33" s="1419"/>
      <c r="EX33" s="1419"/>
      <c r="EY33" s="1419"/>
      <c r="EZ33" s="1419"/>
      <c r="FA33" s="1419"/>
      <c r="FB33" s="1419"/>
      <c r="FC33" s="1419"/>
      <c r="FD33" s="1419"/>
      <c r="FE33" s="1419"/>
      <c r="FF33" s="1419"/>
      <c r="FG33" s="1419"/>
      <c r="FH33" s="1419"/>
      <c r="FI33" s="1419"/>
    </row>
    <row r="34" spans="1:165">
      <c r="A34" s="448">
        <f>IF(+'Argus Drop'!B34="","",'Argus Drop'!B34)</f>
        <v>13</v>
      </c>
      <c r="B34" s="440">
        <f>SUMIF('Argus Drop'!$D:$D,$A34,'Argus Drop'!F:F)</f>
        <v>11925</v>
      </c>
      <c r="C34" s="440">
        <f>SUMIF('Argus Drop'!$D:$D,$A34,'Argus Drop'!G:G)</f>
        <v>11925</v>
      </c>
      <c r="D34" s="440">
        <f>SUMIF('Argus Drop'!$D:$D,$A34,'Argus Drop'!H:H)</f>
        <v>11925</v>
      </c>
      <c r="E34" s="440">
        <f>SUMIF('Argus Drop'!$D:$D,$A34,'Argus Drop'!I:I)</f>
        <v>12224</v>
      </c>
      <c r="F34" s="440">
        <f>SUMIF('Argus Drop'!$D:$D,$A34,'Argus Drop'!J:J)</f>
        <v>12224</v>
      </c>
      <c r="G34" s="440">
        <f>SUMIF('Argus Drop'!$D:$D,$A34,'Argus Drop'!K:K)</f>
        <v>12224</v>
      </c>
      <c r="H34" s="440">
        <f>SUMIF('Argus Drop'!$D:$D,$A34,'Argus Drop'!L:L)</f>
        <v>12224</v>
      </c>
      <c r="I34" s="440">
        <f>SUMIF('Argus Drop'!$D:$D,$A34,'Argus Drop'!M:M)</f>
        <v>12224</v>
      </c>
      <c r="J34" s="440">
        <f>SUMIF('Argus Drop'!$D:$D,$A34,'Argus Drop'!N:N)</f>
        <v>12224</v>
      </c>
      <c r="K34" s="440">
        <f>SUMIF('Argus Drop'!$D:$D,$A34,'Argus Drop'!O:O)</f>
        <v>12224</v>
      </c>
      <c r="L34" s="440">
        <f>SUMIF('Argus Drop'!$D:$D,$A34,'Argus Drop'!P:P)</f>
        <v>12224</v>
      </c>
      <c r="M34" s="440">
        <f>SUMIF('Argus Drop'!$D:$D,$A34,'Argus Drop'!Q:Q)</f>
        <v>12224</v>
      </c>
      <c r="N34" s="440">
        <f>SUMIF('Argus Drop'!$D:$D,$A34,'Argus Drop'!R:R)</f>
        <v>12224</v>
      </c>
      <c r="O34" s="440">
        <f>SUMIF('Argus Drop'!$D:$D,$A34,'Argus Drop'!S:S)</f>
        <v>12224</v>
      </c>
      <c r="P34" s="440">
        <f>SUMIF('Argus Drop'!$D:$D,$A34,'Argus Drop'!T:T)</f>
        <v>12224</v>
      </c>
      <c r="Q34" s="440">
        <f>SUMIF('Argus Drop'!$D:$D,$A34,'Argus Drop'!U:U)</f>
        <v>12532</v>
      </c>
      <c r="R34" s="440">
        <f>SUMIF('Argus Drop'!$D:$D,$A34,'Argus Drop'!V:V)</f>
        <v>12532</v>
      </c>
      <c r="S34" s="440">
        <f>SUMIF('Argus Drop'!$D:$D,$A34,'Argus Drop'!W:W)</f>
        <v>12532</v>
      </c>
      <c r="T34" s="440">
        <f>SUMIF('Argus Drop'!$D:$D,$A34,'Argus Drop'!X:X)</f>
        <v>12532</v>
      </c>
      <c r="U34" s="440">
        <f>SUMIF('Argus Drop'!$D:$D,$A34,'Argus Drop'!Y:Y)</f>
        <v>12532</v>
      </c>
      <c r="V34" s="440">
        <f>SUMIF('Argus Drop'!$D:$D,$A34,'Argus Drop'!Z:Z)</f>
        <v>12532</v>
      </c>
      <c r="W34" s="440">
        <f>SUMIF('Argus Drop'!$D:$D,$A34,'Argus Drop'!AA:AA)</f>
        <v>12532</v>
      </c>
      <c r="X34" s="440">
        <f>SUMIF('Argus Drop'!$D:$D,$A34,'Argus Drop'!AB:AB)</f>
        <v>12532</v>
      </c>
      <c r="Y34" s="440">
        <f>SUMIF('Argus Drop'!$D:$D,$A34,'Argus Drop'!AC:AC)</f>
        <v>12532</v>
      </c>
      <c r="Z34" s="440">
        <f>SUMIF('Argus Drop'!$D:$D,$A34,'Argus Drop'!AD:AD)</f>
        <v>12532</v>
      </c>
      <c r="AA34" s="440">
        <f>SUMIF('Argus Drop'!$D:$D,$A34,'Argus Drop'!AE:AE)</f>
        <v>12532</v>
      </c>
      <c r="AB34" s="440">
        <f>SUMIF('Argus Drop'!$D:$D,$A34,'Argus Drop'!AF:AF)</f>
        <v>12532</v>
      </c>
      <c r="AC34" s="440">
        <f>SUMIF('Argus Drop'!$D:$D,$A34,'Argus Drop'!AG:AG)</f>
        <v>12850</v>
      </c>
      <c r="AD34" s="440">
        <f>SUMIF('Argus Drop'!$D:$D,$A34,'Argus Drop'!AH:AH)</f>
        <v>12850</v>
      </c>
      <c r="AE34" s="440">
        <f>SUMIF('Argus Drop'!$D:$D,$A34,'Argus Drop'!AI:AI)</f>
        <v>12850</v>
      </c>
      <c r="AF34" s="440">
        <f>SUMIF('Argus Drop'!$D:$D,$A34,'Argus Drop'!AJ:AJ)</f>
        <v>12850</v>
      </c>
      <c r="AG34" s="440">
        <f>SUMIF('Argus Drop'!$D:$D,$A34,'Argus Drop'!AK:AK)</f>
        <v>12850</v>
      </c>
      <c r="AH34" s="440">
        <f>SUMIF('Argus Drop'!$D:$D,$A34,'Argus Drop'!AL:AL)</f>
        <v>12850</v>
      </c>
      <c r="AI34" s="440">
        <f>SUMIF('Argus Drop'!$D:$D,$A34,'Argus Drop'!AM:AM)</f>
        <v>12850</v>
      </c>
      <c r="AJ34" s="440">
        <f>SUMIF('Argus Drop'!$D:$D,$A34,'Argus Drop'!AN:AN)</f>
        <v>12850</v>
      </c>
      <c r="AK34" s="440">
        <f>SUMIF('Argus Drop'!$D:$D,$A34,'Argus Drop'!AO:AO)</f>
        <v>12850</v>
      </c>
      <c r="AL34" s="440">
        <f>SUMIF('Argus Drop'!$D:$D,$A34,'Argus Drop'!AP:AP)</f>
        <v>12850</v>
      </c>
      <c r="AM34" s="440">
        <f>SUMIF('Argus Drop'!$D:$D,$A34,'Argus Drop'!AQ:AQ)</f>
        <v>12850</v>
      </c>
      <c r="AN34" s="440">
        <f>SUMIF('Argus Drop'!$D:$D,$A34,'Argus Drop'!AR:AR)</f>
        <v>12850</v>
      </c>
      <c r="AO34" s="440">
        <f>SUMIF('Argus Drop'!$D:$D,$A34,'Argus Drop'!AS:AS)</f>
        <v>13177</v>
      </c>
      <c r="AP34" s="440">
        <f>SUMIF('Argus Drop'!$D:$D,$A34,'Argus Drop'!AT:AT)</f>
        <v>13177</v>
      </c>
      <c r="AQ34" s="440">
        <f>SUMIF('Argus Drop'!$D:$D,$A34,'Argus Drop'!AU:AU)</f>
        <v>13177</v>
      </c>
      <c r="AR34" s="440">
        <f>SUMIF('Argus Drop'!$D:$D,$A34,'Argus Drop'!AV:AV)</f>
        <v>13177</v>
      </c>
      <c r="AS34" s="440">
        <f>SUMIF('Argus Drop'!$D:$D,$A34,'Argus Drop'!AW:AW)</f>
        <v>13177</v>
      </c>
      <c r="AT34" s="440">
        <f>SUMIF('Argus Drop'!$D:$D,$A34,'Argus Drop'!AX:AX)</f>
        <v>13177</v>
      </c>
      <c r="AU34" s="440">
        <f>SUMIF('Argus Drop'!$D:$D,$A34,'Argus Drop'!AY:AY)</f>
        <v>13177</v>
      </c>
      <c r="AV34" s="440">
        <f>SUMIF('Argus Drop'!$D:$D,$A34,'Argus Drop'!AZ:AZ)</f>
        <v>13177</v>
      </c>
      <c r="AW34" s="440">
        <f>SUMIF('Argus Drop'!$D:$D,$A34,'Argus Drop'!BA:BA)</f>
        <v>13177</v>
      </c>
      <c r="AX34" s="440">
        <f>SUMIF('Argus Drop'!$D:$D,$A34,'Argus Drop'!BB:BB)</f>
        <v>13177</v>
      </c>
      <c r="AY34" s="440">
        <f>SUMIF('Argus Drop'!$D:$D,$A34,'Argus Drop'!BC:BC)</f>
        <v>13177</v>
      </c>
      <c r="AZ34" s="440">
        <f>SUMIF('Argus Drop'!$D:$D,$A34,'Argus Drop'!BD:BD)</f>
        <v>13177</v>
      </c>
      <c r="BA34" s="440">
        <f>SUMIF('Argus Drop'!$D:$D,$A34,'Argus Drop'!BE:BE)</f>
        <v>13514</v>
      </c>
      <c r="BB34" s="440">
        <f>SUMIF('Argus Drop'!$D:$D,$A34,'Argus Drop'!BF:BF)</f>
        <v>13514</v>
      </c>
      <c r="BC34" s="440">
        <f>SUMIF('Argus Drop'!$D:$D,$A34,'Argus Drop'!BG:BG)</f>
        <v>13514</v>
      </c>
      <c r="BD34" s="440">
        <f>SUMIF('Argus Drop'!$D:$D,$A34,'Argus Drop'!BH:BH)</f>
        <v>13514</v>
      </c>
      <c r="BE34" s="440">
        <f>SUMIF('Argus Drop'!$D:$D,$A34,'Argus Drop'!BI:BI)</f>
        <v>13514</v>
      </c>
      <c r="BF34" s="440">
        <f>SUMIF('Argus Drop'!$D:$D,$A34,'Argus Drop'!BJ:BJ)</f>
        <v>13514</v>
      </c>
      <c r="BG34" s="440">
        <f>SUMIF('Argus Drop'!$D:$D,$A34,'Argus Drop'!BK:BK)</f>
        <v>13514</v>
      </c>
      <c r="BH34" s="440">
        <f>SUMIF('Argus Drop'!$D:$D,$A34,'Argus Drop'!BL:BL)</f>
        <v>13514</v>
      </c>
      <c r="BI34" s="440">
        <f>SUMIF('Argus Drop'!$D:$D,$A34,'Argus Drop'!BM:BM)</f>
        <v>13514</v>
      </c>
      <c r="BJ34" s="440">
        <f>SUMIF('Argus Drop'!$D:$D,$A34,'Argus Drop'!BN:BN)</f>
        <v>13514</v>
      </c>
      <c r="BK34" s="440">
        <f>SUMIF('Argus Drop'!$D:$D,$A34,'Argus Drop'!BO:BO)</f>
        <v>13514</v>
      </c>
      <c r="BL34" s="440">
        <f>SUMIF('Argus Drop'!$D:$D,$A34,'Argus Drop'!BP:BP)</f>
        <v>13514</v>
      </c>
      <c r="BM34" s="440">
        <f>SUMIF('Argus Drop'!$D:$D,$A34,'Argus Drop'!BQ:BQ)</f>
        <v>13861</v>
      </c>
      <c r="BN34" s="440">
        <f>SUMIF('Argus Drop'!$D:$D,$A34,'Argus Drop'!BR:BR)</f>
        <v>13861</v>
      </c>
      <c r="BO34" s="440">
        <f>SUMIF('Argus Drop'!$D:$D,$A34,'Argus Drop'!BS:BS)</f>
        <v>13861</v>
      </c>
      <c r="BP34" s="440">
        <f>SUMIF('Argus Drop'!$D:$D,$A34,'Argus Drop'!BT:BT)</f>
        <v>13861</v>
      </c>
      <c r="BQ34" s="440">
        <f>SUMIF('Argus Drop'!$D:$D,$A34,'Argus Drop'!BU:BU)</f>
        <v>13861</v>
      </c>
      <c r="BR34" s="440">
        <f>SUMIF('Argus Drop'!$D:$D,$A34,'Argus Drop'!BV:BV)</f>
        <v>13861</v>
      </c>
      <c r="BS34" s="440">
        <f>SUMIF('Argus Drop'!$D:$D,$A34,'Argus Drop'!BW:BW)</f>
        <v>13861</v>
      </c>
      <c r="BT34" s="440">
        <f>SUMIF('Argus Drop'!$D:$D,$A34,'Argus Drop'!BX:BX)</f>
        <v>13861</v>
      </c>
      <c r="BU34" s="440">
        <f>SUMIF('Argus Drop'!$D:$D,$A34,'Argus Drop'!BY:BY)</f>
        <v>13861</v>
      </c>
      <c r="BV34" s="440">
        <f>SUMIF('Argus Drop'!$D:$D,$A34,'Argus Drop'!BZ:BZ)</f>
        <v>13861</v>
      </c>
      <c r="BW34" s="440">
        <f>SUMIF('Argus Drop'!$D:$D,$A34,'Argus Drop'!CA:CA)</f>
        <v>13861</v>
      </c>
      <c r="BX34" s="440">
        <f>SUMIF('Argus Drop'!$D:$D,$A34,'Argus Drop'!CB:CB)</f>
        <v>13861</v>
      </c>
      <c r="BY34" s="440">
        <f>SUMIF('Argus Drop'!$D:$D,$A34,'Argus Drop'!CC:CC)</f>
        <v>14218</v>
      </c>
      <c r="BZ34" s="440">
        <f>SUMIF('Argus Drop'!$D:$D,$A34,'Argus Drop'!CD:CD)</f>
        <v>14218</v>
      </c>
      <c r="CA34" s="440">
        <f>SUMIF('Argus Drop'!$D:$D,$A34,'Argus Drop'!CE:CE)</f>
        <v>14218</v>
      </c>
      <c r="CB34" s="440">
        <f>SUMIF('Argus Drop'!$D:$D,$A34,'Argus Drop'!CF:CF)</f>
        <v>14218</v>
      </c>
      <c r="CC34" s="440">
        <f>SUMIF('Argus Drop'!$D:$D,$A34,'Argus Drop'!CG:CG)</f>
        <v>14218</v>
      </c>
      <c r="CD34" s="440">
        <f>SUMIF('Argus Drop'!$D:$D,$A34,'Argus Drop'!CH:CH)</f>
        <v>14218</v>
      </c>
      <c r="CE34" s="440">
        <f>SUMIF('Argus Drop'!$D:$D,$A34,'Argus Drop'!CI:CI)</f>
        <v>14218</v>
      </c>
      <c r="CF34" s="440">
        <f>SUMIF('Argus Drop'!$D:$D,$A34,'Argus Drop'!CJ:CJ)</f>
        <v>14218</v>
      </c>
      <c r="CG34" s="440">
        <f>SUMIF('Argus Drop'!$D:$D,$A34,'Argus Drop'!CK:CK)</f>
        <v>14218</v>
      </c>
      <c r="CH34" s="440">
        <f>SUMIF('Argus Drop'!$D:$D,$A34,'Argus Drop'!CL:CL)</f>
        <v>14218</v>
      </c>
      <c r="CI34" s="440">
        <f>SUMIF('Argus Drop'!$D:$D,$A34,'Argus Drop'!CM:CM)</f>
        <v>14218</v>
      </c>
      <c r="CJ34" s="440">
        <f>SUMIF('Argus Drop'!$D:$D,$A34,'Argus Drop'!CN:CN)</f>
        <v>14218</v>
      </c>
      <c r="CK34" s="440">
        <f>SUMIF('Argus Drop'!$D:$D,$A34,'Argus Drop'!CO:CO)</f>
        <v>14586</v>
      </c>
      <c r="CL34" s="440">
        <f>SUMIF('Argus Drop'!$D:$D,$A34,'Argus Drop'!CP:CP)</f>
        <v>14586</v>
      </c>
      <c r="CM34" s="440">
        <f>SUMIF('Argus Drop'!$D:$D,$A34,'Argus Drop'!CQ:CQ)</f>
        <v>14586</v>
      </c>
      <c r="CN34" s="440">
        <f>SUMIF('Argus Drop'!$D:$D,$A34,'Argus Drop'!CR:CR)</f>
        <v>14586</v>
      </c>
      <c r="CO34" s="440">
        <f>SUMIF('Argus Drop'!$D:$D,$A34,'Argus Drop'!CS:CS)</f>
        <v>14586</v>
      </c>
      <c r="CP34" s="440">
        <f>SUMIF('Argus Drop'!$D:$D,$A34,'Argus Drop'!CT:CT)</f>
        <v>14586</v>
      </c>
      <c r="CQ34" s="440">
        <f>SUMIF('Argus Drop'!$D:$D,$A34,'Argus Drop'!CU:CU)</f>
        <v>14586</v>
      </c>
      <c r="CR34" s="440">
        <f>SUMIF('Argus Drop'!$D:$D,$A34,'Argus Drop'!CV:CV)</f>
        <v>14586</v>
      </c>
      <c r="CS34" s="440">
        <f>SUMIF('Argus Drop'!$D:$D,$A34,'Argus Drop'!CW:CW)</f>
        <v>14586</v>
      </c>
      <c r="CT34" s="440">
        <f>SUMIF('Argus Drop'!$D:$D,$A34,'Argus Drop'!CX:CX)</f>
        <v>14586</v>
      </c>
      <c r="CU34" s="440">
        <f>SUMIF('Argus Drop'!$D:$D,$A34,'Argus Drop'!CY:CY)</f>
        <v>14586</v>
      </c>
      <c r="CV34" s="440">
        <f>SUMIF('Argus Drop'!$D:$D,$A34,'Argus Drop'!CZ:CZ)</f>
        <v>14586</v>
      </c>
      <c r="CW34" s="440">
        <f>SUMIF('Argus Drop'!$D:$D,$A34,'Argus Drop'!DA:DA)</f>
        <v>14965</v>
      </c>
      <c r="CX34" s="440">
        <f>SUMIF('Argus Drop'!$D:$D,$A34,'Argus Drop'!DB:DB)</f>
        <v>14965</v>
      </c>
      <c r="CY34" s="440">
        <f>SUMIF('Argus Drop'!$D:$D,$A34,'Argus Drop'!DC:DC)</f>
        <v>14965</v>
      </c>
      <c r="CZ34" s="440">
        <f>SUMIF('Argus Drop'!$D:$D,$A34,'Argus Drop'!DD:DD)</f>
        <v>14965</v>
      </c>
      <c r="DA34" s="440">
        <f>SUMIF('Argus Drop'!$D:$D,$A34,'Argus Drop'!DE:DE)</f>
        <v>14965</v>
      </c>
      <c r="DB34" s="440">
        <f>SUMIF('Argus Drop'!$D:$D,$A34,'Argus Drop'!DF:DF)</f>
        <v>14965</v>
      </c>
      <c r="DC34" s="440">
        <f>SUMIF('Argus Drop'!$D:$D,$A34,'Argus Drop'!DG:DG)</f>
        <v>14965</v>
      </c>
      <c r="DD34" s="440">
        <f>SUMIF('Argus Drop'!$D:$D,$A34,'Argus Drop'!DH:DH)</f>
        <v>14965</v>
      </c>
      <c r="DE34" s="440">
        <f>SUMIF('Argus Drop'!$D:$D,$A34,'Argus Drop'!DI:DI)</f>
        <v>14965</v>
      </c>
      <c r="DF34" s="440">
        <f>SUMIF('Argus Drop'!$D:$D,$A34,'Argus Drop'!DJ:DJ)</f>
        <v>14965</v>
      </c>
      <c r="DG34" s="440">
        <f>SUMIF('Argus Drop'!$D:$D,$A34,'Argus Drop'!DK:DK)</f>
        <v>14965</v>
      </c>
      <c r="DH34" s="440">
        <f>SUMIF('Argus Drop'!$D:$D,$A34,'Argus Drop'!DL:DL)</f>
        <v>14965</v>
      </c>
      <c r="DI34" s="440">
        <f>SUMIF('Argus Drop'!$D:$D,$A34,'Argus Drop'!DM:DM)</f>
        <v>15356</v>
      </c>
      <c r="DJ34" s="440">
        <f>SUMIF('Argus Drop'!$D:$D,$A34,'Argus Drop'!DN:DN)</f>
        <v>15356</v>
      </c>
      <c r="DK34" s="440">
        <f>SUMIF('Argus Drop'!$D:$D,$A34,'Argus Drop'!DO:DO)</f>
        <v>15356</v>
      </c>
      <c r="DL34" s="440">
        <f>SUMIF('Argus Drop'!$D:$D,$A34,'Argus Drop'!DP:DP)</f>
        <v>15356</v>
      </c>
      <c r="DM34" s="440">
        <f>SUMIF('Argus Drop'!$D:$D,$A34,'Argus Drop'!DQ:DQ)</f>
        <v>15356</v>
      </c>
      <c r="DN34" s="440">
        <f>SUMIF('Argus Drop'!$D:$D,$A34,'Argus Drop'!DR:DR)</f>
        <v>15356</v>
      </c>
      <c r="DO34" s="440">
        <f>SUMIF('Argus Drop'!$D:$D,$A34,'Argus Drop'!DS:DS)</f>
        <v>15356</v>
      </c>
      <c r="DP34" s="440">
        <f>SUMIF('Argus Drop'!$D:$D,$A34,'Argus Drop'!DT:DT)</f>
        <v>15356</v>
      </c>
      <c r="DQ34" s="440">
        <f>SUMIF('Argus Drop'!$D:$D,$A34,'Argus Drop'!DU:DU)</f>
        <v>15356</v>
      </c>
      <c r="DR34" s="440">
        <f>SUMIF('Argus Drop'!$D:$D,$A34,'Argus Drop'!DV:DV)</f>
        <v>15356</v>
      </c>
      <c r="DS34" s="440"/>
      <c r="DT34" s="440"/>
      <c r="DU34" s="440"/>
      <c r="DV34" s="440"/>
      <c r="DW34" s="440"/>
      <c r="DX34" s="440"/>
      <c r="DY34" s="440"/>
      <c r="DZ34" s="440"/>
      <c r="EA34" s="440"/>
      <c r="EB34" s="440"/>
      <c r="EC34" s="440"/>
      <c r="ED34" s="1419"/>
      <c r="EE34" s="1419"/>
      <c r="EF34" s="1419"/>
      <c r="EG34" s="1419"/>
      <c r="EH34" s="1419"/>
      <c r="EI34" s="1419"/>
      <c r="EJ34" s="1419"/>
      <c r="EK34" s="1419"/>
      <c r="EL34" s="1419"/>
      <c r="EM34" s="1419"/>
      <c r="EN34" s="1419"/>
      <c r="EO34" s="1419"/>
      <c r="EP34" s="1419"/>
      <c r="EQ34" s="1419"/>
      <c r="ER34" s="1419"/>
      <c r="ES34" s="1419"/>
      <c r="ET34" s="1419"/>
      <c r="EU34" s="1419"/>
      <c r="EV34" s="1419"/>
      <c r="EW34" s="1419"/>
      <c r="EX34" s="1419"/>
      <c r="EY34" s="1419"/>
      <c r="EZ34" s="1419"/>
      <c r="FA34" s="1419"/>
      <c r="FB34" s="1419"/>
      <c r="FC34" s="1419"/>
      <c r="FD34" s="1419"/>
      <c r="FE34" s="1419"/>
      <c r="FF34" s="1419"/>
      <c r="FG34" s="1419"/>
      <c r="FH34" s="1419"/>
      <c r="FI34" s="1419"/>
    </row>
    <row r="35" spans="1:165">
      <c r="A35" s="448">
        <f>IF(+'Argus Drop'!B35="","",'Argus Drop'!B35)</f>
        <v>9</v>
      </c>
      <c r="B35" s="440">
        <f>SUMIF('Argus Drop'!$D:$D,$A35,'Argus Drop'!F:F)</f>
        <v>0</v>
      </c>
      <c r="C35" s="440">
        <f>SUMIF('Argus Drop'!$D:$D,$A35,'Argus Drop'!G:G)</f>
        <v>0</v>
      </c>
      <c r="D35" s="440">
        <f>SUMIF('Argus Drop'!$D:$D,$A35,'Argus Drop'!H:H)</f>
        <v>0</v>
      </c>
      <c r="E35" s="440">
        <f>SUMIF('Argus Drop'!$D:$D,$A35,'Argus Drop'!I:I)</f>
        <v>0</v>
      </c>
      <c r="F35" s="440">
        <f>SUMIF('Argus Drop'!$D:$D,$A35,'Argus Drop'!J:J)</f>
        <v>0</v>
      </c>
      <c r="G35" s="440">
        <f>SUMIF('Argus Drop'!$D:$D,$A35,'Argus Drop'!K:K)</f>
        <v>0</v>
      </c>
      <c r="H35" s="440">
        <f>SUMIF('Argus Drop'!$D:$D,$A35,'Argus Drop'!L:L)</f>
        <v>0</v>
      </c>
      <c r="I35" s="440">
        <f>SUMIF('Argus Drop'!$D:$D,$A35,'Argus Drop'!M:M)</f>
        <v>0</v>
      </c>
      <c r="J35" s="440">
        <f>SUMIF('Argus Drop'!$D:$D,$A35,'Argus Drop'!N:N)</f>
        <v>0</v>
      </c>
      <c r="K35" s="440">
        <f>SUMIF('Argus Drop'!$D:$D,$A35,'Argus Drop'!O:O)</f>
        <v>0</v>
      </c>
      <c r="L35" s="440">
        <f>SUMIF('Argus Drop'!$D:$D,$A35,'Argus Drop'!P:P)</f>
        <v>0</v>
      </c>
      <c r="M35" s="440">
        <f>SUMIF('Argus Drop'!$D:$D,$A35,'Argus Drop'!Q:Q)</f>
        <v>0</v>
      </c>
      <c r="N35" s="440">
        <f>SUMIF('Argus Drop'!$D:$D,$A35,'Argus Drop'!R:R)</f>
        <v>0</v>
      </c>
      <c r="O35" s="440">
        <f>SUMIF('Argus Drop'!$D:$D,$A35,'Argus Drop'!S:S)</f>
        <v>0</v>
      </c>
      <c r="P35" s="440">
        <f>SUMIF('Argus Drop'!$D:$D,$A35,'Argus Drop'!T:T)</f>
        <v>0</v>
      </c>
      <c r="Q35" s="440">
        <f>SUMIF('Argus Drop'!$D:$D,$A35,'Argus Drop'!U:U)</f>
        <v>0</v>
      </c>
      <c r="R35" s="440">
        <f>SUMIF('Argus Drop'!$D:$D,$A35,'Argus Drop'!V:V)</f>
        <v>0</v>
      </c>
      <c r="S35" s="440">
        <f>SUMIF('Argus Drop'!$D:$D,$A35,'Argus Drop'!W:W)</f>
        <v>0</v>
      </c>
      <c r="T35" s="440">
        <f>SUMIF('Argus Drop'!$D:$D,$A35,'Argus Drop'!X:X)</f>
        <v>0</v>
      </c>
      <c r="U35" s="440">
        <f>SUMIF('Argus Drop'!$D:$D,$A35,'Argus Drop'!Y:Y)</f>
        <v>0</v>
      </c>
      <c r="V35" s="440">
        <f>SUMIF('Argus Drop'!$D:$D,$A35,'Argus Drop'!Z:Z)</f>
        <v>0</v>
      </c>
      <c r="W35" s="440">
        <f>SUMIF('Argus Drop'!$D:$D,$A35,'Argus Drop'!AA:AA)</f>
        <v>0</v>
      </c>
      <c r="X35" s="440">
        <f>SUMIF('Argus Drop'!$D:$D,$A35,'Argus Drop'!AB:AB)</f>
        <v>0</v>
      </c>
      <c r="Y35" s="440">
        <f>SUMIF('Argus Drop'!$D:$D,$A35,'Argus Drop'!AC:AC)</f>
        <v>0</v>
      </c>
      <c r="Z35" s="440">
        <f>SUMIF('Argus Drop'!$D:$D,$A35,'Argus Drop'!AD:AD)</f>
        <v>0</v>
      </c>
      <c r="AA35" s="440">
        <f>SUMIF('Argus Drop'!$D:$D,$A35,'Argus Drop'!AE:AE)</f>
        <v>0</v>
      </c>
      <c r="AB35" s="440">
        <f>SUMIF('Argus Drop'!$D:$D,$A35,'Argus Drop'!AF:AF)</f>
        <v>0</v>
      </c>
      <c r="AC35" s="440">
        <f>SUMIF('Argus Drop'!$D:$D,$A35,'Argus Drop'!AG:AG)</f>
        <v>0</v>
      </c>
      <c r="AD35" s="440">
        <f>SUMIF('Argus Drop'!$D:$D,$A35,'Argus Drop'!AH:AH)</f>
        <v>0</v>
      </c>
      <c r="AE35" s="440">
        <f>SUMIF('Argus Drop'!$D:$D,$A35,'Argus Drop'!AI:AI)</f>
        <v>0</v>
      </c>
      <c r="AF35" s="440">
        <f>SUMIF('Argus Drop'!$D:$D,$A35,'Argus Drop'!AJ:AJ)</f>
        <v>0</v>
      </c>
      <c r="AG35" s="440">
        <f>SUMIF('Argus Drop'!$D:$D,$A35,'Argus Drop'!AK:AK)</f>
        <v>0</v>
      </c>
      <c r="AH35" s="440">
        <f>SUMIF('Argus Drop'!$D:$D,$A35,'Argus Drop'!AL:AL)</f>
        <v>0</v>
      </c>
      <c r="AI35" s="440">
        <f>SUMIF('Argus Drop'!$D:$D,$A35,'Argus Drop'!AM:AM)</f>
        <v>0</v>
      </c>
      <c r="AJ35" s="440">
        <f>SUMIF('Argus Drop'!$D:$D,$A35,'Argus Drop'!AN:AN)</f>
        <v>0</v>
      </c>
      <c r="AK35" s="440">
        <f>SUMIF('Argus Drop'!$D:$D,$A35,'Argus Drop'!AO:AO)</f>
        <v>0</v>
      </c>
      <c r="AL35" s="440">
        <f>SUMIF('Argus Drop'!$D:$D,$A35,'Argus Drop'!AP:AP)</f>
        <v>0</v>
      </c>
      <c r="AM35" s="440">
        <f>SUMIF('Argus Drop'!$D:$D,$A35,'Argus Drop'!AQ:AQ)</f>
        <v>0</v>
      </c>
      <c r="AN35" s="440">
        <f>SUMIF('Argus Drop'!$D:$D,$A35,'Argus Drop'!AR:AR)</f>
        <v>0</v>
      </c>
      <c r="AO35" s="440">
        <f>SUMIF('Argus Drop'!$D:$D,$A35,'Argus Drop'!AS:AS)</f>
        <v>0</v>
      </c>
      <c r="AP35" s="440">
        <f>SUMIF('Argus Drop'!$D:$D,$A35,'Argus Drop'!AT:AT)</f>
        <v>0</v>
      </c>
      <c r="AQ35" s="440">
        <f>SUMIF('Argus Drop'!$D:$D,$A35,'Argus Drop'!AU:AU)</f>
        <v>0</v>
      </c>
      <c r="AR35" s="440">
        <f>SUMIF('Argus Drop'!$D:$D,$A35,'Argus Drop'!AV:AV)</f>
        <v>0</v>
      </c>
      <c r="AS35" s="440">
        <f>SUMIF('Argus Drop'!$D:$D,$A35,'Argus Drop'!AW:AW)</f>
        <v>0</v>
      </c>
      <c r="AT35" s="440">
        <f>SUMIF('Argus Drop'!$D:$D,$A35,'Argus Drop'!AX:AX)</f>
        <v>0</v>
      </c>
      <c r="AU35" s="440">
        <f>SUMIF('Argus Drop'!$D:$D,$A35,'Argus Drop'!AY:AY)</f>
        <v>0</v>
      </c>
      <c r="AV35" s="440">
        <f>SUMIF('Argus Drop'!$D:$D,$A35,'Argus Drop'!AZ:AZ)</f>
        <v>0</v>
      </c>
      <c r="AW35" s="440">
        <f>SUMIF('Argus Drop'!$D:$D,$A35,'Argus Drop'!BA:BA)</f>
        <v>0</v>
      </c>
      <c r="AX35" s="440">
        <f>SUMIF('Argus Drop'!$D:$D,$A35,'Argus Drop'!BB:BB)</f>
        <v>0</v>
      </c>
      <c r="AY35" s="440">
        <f>SUMIF('Argus Drop'!$D:$D,$A35,'Argus Drop'!BC:BC)</f>
        <v>0</v>
      </c>
      <c r="AZ35" s="440">
        <f>SUMIF('Argus Drop'!$D:$D,$A35,'Argus Drop'!BD:BD)</f>
        <v>0</v>
      </c>
      <c r="BA35" s="440">
        <f>SUMIF('Argus Drop'!$D:$D,$A35,'Argus Drop'!BE:BE)</f>
        <v>0</v>
      </c>
      <c r="BB35" s="440">
        <f>SUMIF('Argus Drop'!$D:$D,$A35,'Argus Drop'!BF:BF)</f>
        <v>0</v>
      </c>
      <c r="BC35" s="440">
        <f>SUMIF('Argus Drop'!$D:$D,$A35,'Argus Drop'!BG:BG)</f>
        <v>0</v>
      </c>
      <c r="BD35" s="440">
        <f>SUMIF('Argus Drop'!$D:$D,$A35,'Argus Drop'!BH:BH)</f>
        <v>0</v>
      </c>
      <c r="BE35" s="440">
        <f>SUMIF('Argus Drop'!$D:$D,$A35,'Argus Drop'!BI:BI)</f>
        <v>0</v>
      </c>
      <c r="BF35" s="440">
        <f>SUMIF('Argus Drop'!$D:$D,$A35,'Argus Drop'!BJ:BJ)</f>
        <v>0</v>
      </c>
      <c r="BG35" s="440">
        <f>SUMIF('Argus Drop'!$D:$D,$A35,'Argus Drop'!BK:BK)</f>
        <v>0</v>
      </c>
      <c r="BH35" s="440">
        <f>SUMIF('Argus Drop'!$D:$D,$A35,'Argus Drop'!BL:BL)</f>
        <v>0</v>
      </c>
      <c r="BI35" s="440">
        <f>SUMIF('Argus Drop'!$D:$D,$A35,'Argus Drop'!BM:BM)</f>
        <v>0</v>
      </c>
      <c r="BJ35" s="440">
        <f>SUMIF('Argus Drop'!$D:$D,$A35,'Argus Drop'!BN:BN)</f>
        <v>0</v>
      </c>
      <c r="BK35" s="440">
        <f>SUMIF('Argus Drop'!$D:$D,$A35,'Argus Drop'!BO:BO)</f>
        <v>0</v>
      </c>
      <c r="BL35" s="440">
        <f>SUMIF('Argus Drop'!$D:$D,$A35,'Argus Drop'!BP:BP)</f>
        <v>0</v>
      </c>
      <c r="BM35" s="440">
        <f>SUMIF('Argus Drop'!$D:$D,$A35,'Argus Drop'!BQ:BQ)</f>
        <v>0</v>
      </c>
      <c r="BN35" s="440">
        <f>SUMIF('Argus Drop'!$D:$D,$A35,'Argus Drop'!BR:BR)</f>
        <v>0</v>
      </c>
      <c r="BO35" s="440">
        <f>SUMIF('Argus Drop'!$D:$D,$A35,'Argus Drop'!BS:BS)</f>
        <v>0</v>
      </c>
      <c r="BP35" s="440">
        <f>SUMIF('Argus Drop'!$D:$D,$A35,'Argus Drop'!BT:BT)</f>
        <v>0</v>
      </c>
      <c r="BQ35" s="440">
        <f>SUMIF('Argus Drop'!$D:$D,$A35,'Argus Drop'!BU:BU)</f>
        <v>0</v>
      </c>
      <c r="BR35" s="440">
        <f>SUMIF('Argus Drop'!$D:$D,$A35,'Argus Drop'!BV:BV)</f>
        <v>0</v>
      </c>
      <c r="BS35" s="440">
        <f>SUMIF('Argus Drop'!$D:$D,$A35,'Argus Drop'!BW:BW)</f>
        <v>0</v>
      </c>
      <c r="BT35" s="440">
        <f>SUMIF('Argus Drop'!$D:$D,$A35,'Argus Drop'!BX:BX)</f>
        <v>0</v>
      </c>
      <c r="BU35" s="440">
        <f>SUMIF('Argus Drop'!$D:$D,$A35,'Argus Drop'!BY:BY)</f>
        <v>0</v>
      </c>
      <c r="BV35" s="440">
        <f>SUMIF('Argus Drop'!$D:$D,$A35,'Argus Drop'!BZ:BZ)</f>
        <v>0</v>
      </c>
      <c r="BW35" s="440">
        <f>SUMIF('Argus Drop'!$D:$D,$A35,'Argus Drop'!CA:CA)</f>
        <v>0</v>
      </c>
      <c r="BX35" s="440">
        <f>SUMIF('Argus Drop'!$D:$D,$A35,'Argus Drop'!CB:CB)</f>
        <v>0</v>
      </c>
      <c r="BY35" s="440">
        <f>SUMIF('Argus Drop'!$D:$D,$A35,'Argus Drop'!CC:CC)</f>
        <v>0</v>
      </c>
      <c r="BZ35" s="440">
        <f>SUMIF('Argus Drop'!$D:$D,$A35,'Argus Drop'!CD:CD)</f>
        <v>0</v>
      </c>
      <c r="CA35" s="440">
        <f>SUMIF('Argus Drop'!$D:$D,$A35,'Argus Drop'!CE:CE)</f>
        <v>0</v>
      </c>
      <c r="CB35" s="440">
        <f>SUMIF('Argus Drop'!$D:$D,$A35,'Argus Drop'!CF:CF)</f>
        <v>0</v>
      </c>
      <c r="CC35" s="440">
        <f>SUMIF('Argus Drop'!$D:$D,$A35,'Argus Drop'!CG:CG)</f>
        <v>0</v>
      </c>
      <c r="CD35" s="440">
        <f>SUMIF('Argus Drop'!$D:$D,$A35,'Argus Drop'!CH:CH)</f>
        <v>0</v>
      </c>
      <c r="CE35" s="440">
        <f>SUMIF('Argus Drop'!$D:$D,$A35,'Argus Drop'!CI:CI)</f>
        <v>0</v>
      </c>
      <c r="CF35" s="440">
        <f>SUMIF('Argus Drop'!$D:$D,$A35,'Argus Drop'!CJ:CJ)</f>
        <v>0</v>
      </c>
      <c r="CG35" s="440">
        <f>SUMIF('Argus Drop'!$D:$D,$A35,'Argus Drop'!CK:CK)</f>
        <v>0</v>
      </c>
      <c r="CH35" s="440">
        <f>SUMIF('Argus Drop'!$D:$D,$A35,'Argus Drop'!CL:CL)</f>
        <v>0</v>
      </c>
      <c r="CI35" s="440">
        <f>SUMIF('Argus Drop'!$D:$D,$A35,'Argus Drop'!CM:CM)</f>
        <v>0</v>
      </c>
      <c r="CJ35" s="440">
        <f>SUMIF('Argus Drop'!$D:$D,$A35,'Argus Drop'!CN:CN)</f>
        <v>0</v>
      </c>
      <c r="CK35" s="440">
        <f>SUMIF('Argus Drop'!$D:$D,$A35,'Argus Drop'!CO:CO)</f>
        <v>0</v>
      </c>
      <c r="CL35" s="440">
        <f>SUMIF('Argus Drop'!$D:$D,$A35,'Argus Drop'!CP:CP)</f>
        <v>0</v>
      </c>
      <c r="CM35" s="440">
        <f>SUMIF('Argus Drop'!$D:$D,$A35,'Argus Drop'!CQ:CQ)</f>
        <v>0</v>
      </c>
      <c r="CN35" s="440">
        <f>SUMIF('Argus Drop'!$D:$D,$A35,'Argus Drop'!CR:CR)</f>
        <v>0</v>
      </c>
      <c r="CO35" s="440">
        <f>SUMIF('Argus Drop'!$D:$D,$A35,'Argus Drop'!CS:CS)</f>
        <v>0</v>
      </c>
      <c r="CP35" s="440">
        <f>SUMIF('Argus Drop'!$D:$D,$A35,'Argus Drop'!CT:CT)</f>
        <v>0</v>
      </c>
      <c r="CQ35" s="440">
        <f>SUMIF('Argus Drop'!$D:$D,$A35,'Argus Drop'!CU:CU)</f>
        <v>0</v>
      </c>
      <c r="CR35" s="440">
        <f>SUMIF('Argus Drop'!$D:$D,$A35,'Argus Drop'!CV:CV)</f>
        <v>0</v>
      </c>
      <c r="CS35" s="440">
        <f>SUMIF('Argus Drop'!$D:$D,$A35,'Argus Drop'!CW:CW)</f>
        <v>0</v>
      </c>
      <c r="CT35" s="440">
        <f>SUMIF('Argus Drop'!$D:$D,$A35,'Argus Drop'!CX:CX)</f>
        <v>0</v>
      </c>
      <c r="CU35" s="440">
        <f>SUMIF('Argus Drop'!$D:$D,$A35,'Argus Drop'!CY:CY)</f>
        <v>0</v>
      </c>
      <c r="CV35" s="440">
        <f>SUMIF('Argus Drop'!$D:$D,$A35,'Argus Drop'!CZ:CZ)</f>
        <v>0</v>
      </c>
      <c r="CW35" s="440">
        <f>SUMIF('Argus Drop'!$D:$D,$A35,'Argus Drop'!DA:DA)</f>
        <v>0</v>
      </c>
      <c r="CX35" s="440">
        <f>SUMIF('Argus Drop'!$D:$D,$A35,'Argus Drop'!DB:DB)</f>
        <v>0</v>
      </c>
      <c r="CY35" s="440">
        <f>SUMIF('Argus Drop'!$D:$D,$A35,'Argus Drop'!DC:DC)</f>
        <v>0</v>
      </c>
      <c r="CZ35" s="440">
        <f>SUMIF('Argus Drop'!$D:$D,$A35,'Argus Drop'!DD:DD)</f>
        <v>0</v>
      </c>
      <c r="DA35" s="440">
        <f>SUMIF('Argus Drop'!$D:$D,$A35,'Argus Drop'!DE:DE)</f>
        <v>0</v>
      </c>
      <c r="DB35" s="440">
        <f>SUMIF('Argus Drop'!$D:$D,$A35,'Argus Drop'!DF:DF)</f>
        <v>0</v>
      </c>
      <c r="DC35" s="440">
        <f>SUMIF('Argus Drop'!$D:$D,$A35,'Argus Drop'!DG:DG)</f>
        <v>0</v>
      </c>
      <c r="DD35" s="440">
        <f>SUMIF('Argus Drop'!$D:$D,$A35,'Argus Drop'!DH:DH)</f>
        <v>0</v>
      </c>
      <c r="DE35" s="440">
        <f>SUMIF('Argus Drop'!$D:$D,$A35,'Argus Drop'!DI:DI)</f>
        <v>0</v>
      </c>
      <c r="DF35" s="440">
        <f>SUMIF('Argus Drop'!$D:$D,$A35,'Argus Drop'!DJ:DJ)</f>
        <v>0</v>
      </c>
      <c r="DG35" s="440">
        <f>SUMIF('Argus Drop'!$D:$D,$A35,'Argus Drop'!DK:DK)</f>
        <v>0</v>
      </c>
      <c r="DH35" s="440">
        <f>SUMIF('Argus Drop'!$D:$D,$A35,'Argus Drop'!DL:DL)</f>
        <v>0</v>
      </c>
      <c r="DI35" s="440">
        <f>SUMIF('Argus Drop'!$D:$D,$A35,'Argus Drop'!DM:DM)</f>
        <v>0</v>
      </c>
      <c r="DJ35" s="440">
        <f>SUMIF('Argus Drop'!$D:$D,$A35,'Argus Drop'!DN:DN)</f>
        <v>0</v>
      </c>
      <c r="DK35" s="440">
        <f>SUMIF('Argus Drop'!$D:$D,$A35,'Argus Drop'!DO:DO)</f>
        <v>0</v>
      </c>
      <c r="DL35" s="440">
        <f>SUMIF('Argus Drop'!$D:$D,$A35,'Argus Drop'!DP:DP)</f>
        <v>0</v>
      </c>
      <c r="DM35" s="440">
        <f>SUMIF('Argus Drop'!$D:$D,$A35,'Argus Drop'!DQ:DQ)</f>
        <v>0</v>
      </c>
      <c r="DN35" s="440">
        <f>SUMIF('Argus Drop'!$D:$D,$A35,'Argus Drop'!DR:DR)</f>
        <v>0</v>
      </c>
      <c r="DO35" s="440">
        <f>SUMIF('Argus Drop'!$D:$D,$A35,'Argus Drop'!DS:DS)</f>
        <v>0</v>
      </c>
      <c r="DP35" s="440">
        <f>SUMIF('Argus Drop'!$D:$D,$A35,'Argus Drop'!DT:DT)</f>
        <v>0</v>
      </c>
      <c r="DQ35" s="440">
        <f>SUMIF('Argus Drop'!$D:$D,$A35,'Argus Drop'!DU:DU)</f>
        <v>0</v>
      </c>
      <c r="DR35" s="440">
        <f>SUMIF('Argus Drop'!$D:$D,$A35,'Argus Drop'!DV:DV)</f>
        <v>0</v>
      </c>
      <c r="DS35" s="440"/>
      <c r="DT35" s="440"/>
      <c r="DU35" s="440"/>
      <c r="DV35" s="440"/>
      <c r="DW35" s="440"/>
      <c r="DX35" s="440"/>
      <c r="DY35" s="440"/>
      <c r="DZ35" s="440"/>
      <c r="EA35" s="440"/>
      <c r="EB35" s="440"/>
      <c r="EC35" s="440"/>
      <c r="ED35" s="1419"/>
      <c r="EE35" s="1419"/>
      <c r="EF35" s="1419"/>
      <c r="EG35" s="1419"/>
      <c r="EH35" s="1419"/>
      <c r="EI35" s="1419"/>
      <c r="EJ35" s="1419"/>
      <c r="EK35" s="1419"/>
      <c r="EL35" s="1419"/>
      <c r="EM35" s="1419"/>
      <c r="EN35" s="1419"/>
      <c r="EO35" s="1419"/>
      <c r="EP35" s="1419"/>
      <c r="EQ35" s="1419"/>
      <c r="ER35" s="1419"/>
      <c r="ES35" s="1419"/>
      <c r="ET35" s="1419"/>
      <c r="EU35" s="1419"/>
      <c r="EV35" s="1419"/>
      <c r="EW35" s="1419"/>
      <c r="EX35" s="1419"/>
      <c r="EY35" s="1419"/>
      <c r="EZ35" s="1419"/>
      <c r="FA35" s="1419"/>
      <c r="FB35" s="1419"/>
      <c r="FC35" s="1419"/>
      <c r="FD35" s="1419"/>
      <c r="FE35" s="1419"/>
      <c r="FF35" s="1419"/>
      <c r="FG35" s="1419"/>
      <c r="FH35" s="1419"/>
      <c r="FI35" s="1419"/>
    </row>
    <row r="36" spans="1:165">
      <c r="A36" s="448">
        <f>IF(+'Argus Drop'!B36="","",'Argus Drop'!B36)</f>
        <v>10</v>
      </c>
      <c r="B36" s="440">
        <f>SUMIF('Argus Drop'!$D:$D,$A36,'Argus Drop'!F:F)</f>
        <v>12090</v>
      </c>
      <c r="C36" s="440">
        <f>SUMIF('Argus Drop'!$D:$D,$A36,'Argus Drop'!G:G)</f>
        <v>12090</v>
      </c>
      <c r="D36" s="440">
        <f>SUMIF('Argus Drop'!$D:$D,$A36,'Argus Drop'!H:H)</f>
        <v>12090</v>
      </c>
      <c r="E36" s="440">
        <f>SUMIF('Argus Drop'!$D:$D,$A36,'Argus Drop'!I:I)</f>
        <v>12453</v>
      </c>
      <c r="F36" s="440">
        <f>SUMIF('Argus Drop'!$D:$D,$A36,'Argus Drop'!J:J)</f>
        <v>12453</v>
      </c>
      <c r="G36" s="440">
        <f>SUMIF('Argus Drop'!$D:$D,$A36,'Argus Drop'!K:K)</f>
        <v>12453</v>
      </c>
      <c r="H36" s="440">
        <f>SUMIF('Argus Drop'!$D:$D,$A36,'Argus Drop'!L:L)</f>
        <v>12453</v>
      </c>
      <c r="I36" s="440">
        <f>SUMIF('Argus Drop'!$D:$D,$A36,'Argus Drop'!M:M)</f>
        <v>12453</v>
      </c>
      <c r="J36" s="440">
        <f>SUMIF('Argus Drop'!$D:$D,$A36,'Argus Drop'!N:N)</f>
        <v>12453</v>
      </c>
      <c r="K36" s="440">
        <f>SUMIF('Argus Drop'!$D:$D,$A36,'Argus Drop'!O:O)</f>
        <v>12453</v>
      </c>
      <c r="L36" s="440">
        <f>SUMIF('Argus Drop'!$D:$D,$A36,'Argus Drop'!P:P)</f>
        <v>12453</v>
      </c>
      <c r="M36" s="440">
        <f>SUMIF('Argus Drop'!$D:$D,$A36,'Argus Drop'!Q:Q)</f>
        <v>12453</v>
      </c>
      <c r="N36" s="440">
        <f>SUMIF('Argus Drop'!$D:$D,$A36,'Argus Drop'!R:R)</f>
        <v>12453</v>
      </c>
      <c r="O36" s="440">
        <f>SUMIF('Argus Drop'!$D:$D,$A36,'Argus Drop'!S:S)</f>
        <v>12453</v>
      </c>
      <c r="P36" s="440">
        <f>SUMIF('Argus Drop'!$D:$D,$A36,'Argus Drop'!T:T)</f>
        <v>12453</v>
      </c>
      <c r="Q36" s="440">
        <f>SUMIF('Argus Drop'!$D:$D,$A36,'Argus Drop'!U:U)</f>
        <v>12826</v>
      </c>
      <c r="R36" s="440">
        <f>SUMIF('Argus Drop'!$D:$D,$A36,'Argus Drop'!V:V)</f>
        <v>12826</v>
      </c>
      <c r="S36" s="440">
        <f>SUMIF('Argus Drop'!$D:$D,$A36,'Argus Drop'!W:W)</f>
        <v>12826</v>
      </c>
      <c r="T36" s="440">
        <f>SUMIF('Argus Drop'!$D:$D,$A36,'Argus Drop'!X:X)</f>
        <v>12826</v>
      </c>
      <c r="U36" s="440">
        <f>SUMIF('Argus Drop'!$D:$D,$A36,'Argus Drop'!Y:Y)</f>
        <v>12826</v>
      </c>
      <c r="V36" s="440">
        <f>SUMIF('Argus Drop'!$D:$D,$A36,'Argus Drop'!Z:Z)</f>
        <v>12826</v>
      </c>
      <c r="W36" s="440">
        <f>SUMIF('Argus Drop'!$D:$D,$A36,'Argus Drop'!AA:AA)</f>
        <v>12826</v>
      </c>
      <c r="X36" s="440">
        <f>SUMIF('Argus Drop'!$D:$D,$A36,'Argus Drop'!AB:AB)</f>
        <v>12826</v>
      </c>
      <c r="Y36" s="440">
        <f>SUMIF('Argus Drop'!$D:$D,$A36,'Argus Drop'!AC:AC)</f>
        <v>12826</v>
      </c>
      <c r="Z36" s="440">
        <f>SUMIF('Argus Drop'!$D:$D,$A36,'Argus Drop'!AD:AD)</f>
        <v>12826</v>
      </c>
      <c r="AA36" s="440">
        <f>SUMIF('Argus Drop'!$D:$D,$A36,'Argus Drop'!AE:AE)</f>
        <v>12826</v>
      </c>
      <c r="AB36" s="440">
        <f>SUMIF('Argus Drop'!$D:$D,$A36,'Argus Drop'!AF:AF)</f>
        <v>12826</v>
      </c>
      <c r="AC36" s="440">
        <f>SUMIF('Argus Drop'!$D:$D,$A36,'Argus Drop'!AG:AG)</f>
        <v>13211</v>
      </c>
      <c r="AD36" s="440">
        <f>SUMIF('Argus Drop'!$D:$D,$A36,'Argus Drop'!AH:AH)</f>
        <v>13211</v>
      </c>
      <c r="AE36" s="440">
        <f>SUMIF('Argus Drop'!$D:$D,$A36,'Argus Drop'!AI:AI)</f>
        <v>13211</v>
      </c>
      <c r="AF36" s="440">
        <f>SUMIF('Argus Drop'!$D:$D,$A36,'Argus Drop'!AJ:AJ)</f>
        <v>13211</v>
      </c>
      <c r="AG36" s="440">
        <f>SUMIF('Argus Drop'!$D:$D,$A36,'Argus Drop'!AK:AK)</f>
        <v>13211</v>
      </c>
      <c r="AH36" s="440">
        <f>SUMIF('Argus Drop'!$D:$D,$A36,'Argus Drop'!AL:AL)</f>
        <v>13211</v>
      </c>
      <c r="AI36" s="440">
        <f>SUMIF('Argus Drop'!$D:$D,$A36,'Argus Drop'!AM:AM)</f>
        <v>13211</v>
      </c>
      <c r="AJ36" s="440">
        <f>SUMIF('Argus Drop'!$D:$D,$A36,'Argus Drop'!AN:AN)</f>
        <v>13211</v>
      </c>
      <c r="AK36" s="440">
        <f>SUMIF('Argus Drop'!$D:$D,$A36,'Argus Drop'!AO:AO)</f>
        <v>13211</v>
      </c>
      <c r="AL36" s="440">
        <f>SUMIF('Argus Drop'!$D:$D,$A36,'Argus Drop'!AP:AP)</f>
        <v>13211</v>
      </c>
      <c r="AM36" s="440">
        <f>SUMIF('Argus Drop'!$D:$D,$A36,'Argus Drop'!AQ:AQ)</f>
        <v>13211</v>
      </c>
      <c r="AN36" s="440">
        <f>SUMIF('Argus Drop'!$D:$D,$A36,'Argus Drop'!AR:AR)</f>
        <v>13211</v>
      </c>
      <c r="AO36" s="440">
        <f>SUMIF('Argus Drop'!$D:$D,$A36,'Argus Drop'!AS:AS)</f>
        <v>13607</v>
      </c>
      <c r="AP36" s="440">
        <f>SUMIF('Argus Drop'!$D:$D,$A36,'Argus Drop'!AT:AT)</f>
        <v>13607</v>
      </c>
      <c r="AQ36" s="440">
        <f>SUMIF('Argus Drop'!$D:$D,$A36,'Argus Drop'!AU:AU)</f>
        <v>13607</v>
      </c>
      <c r="AR36" s="440">
        <f>SUMIF('Argus Drop'!$D:$D,$A36,'Argus Drop'!AV:AV)</f>
        <v>13607</v>
      </c>
      <c r="AS36" s="440">
        <f>SUMIF('Argus Drop'!$D:$D,$A36,'Argus Drop'!AW:AW)</f>
        <v>13607</v>
      </c>
      <c r="AT36" s="440">
        <f>SUMIF('Argus Drop'!$D:$D,$A36,'Argus Drop'!AX:AX)</f>
        <v>13607</v>
      </c>
      <c r="AU36" s="440">
        <f>SUMIF('Argus Drop'!$D:$D,$A36,'Argus Drop'!AY:AY)</f>
        <v>13607</v>
      </c>
      <c r="AV36" s="440">
        <f>SUMIF('Argus Drop'!$D:$D,$A36,'Argus Drop'!AZ:AZ)</f>
        <v>13607</v>
      </c>
      <c r="AW36" s="440">
        <f>SUMIF('Argus Drop'!$D:$D,$A36,'Argus Drop'!BA:BA)</f>
        <v>13607</v>
      </c>
      <c r="AX36" s="440">
        <f>SUMIF('Argus Drop'!$D:$D,$A36,'Argus Drop'!BB:BB)</f>
        <v>13607</v>
      </c>
      <c r="AY36" s="440">
        <f>SUMIF('Argus Drop'!$D:$D,$A36,'Argus Drop'!BC:BC)</f>
        <v>13607</v>
      </c>
      <c r="AZ36" s="440">
        <f>SUMIF('Argus Drop'!$D:$D,$A36,'Argus Drop'!BD:BD)</f>
        <v>13607</v>
      </c>
      <c r="BA36" s="440">
        <f>SUMIF('Argus Drop'!$D:$D,$A36,'Argus Drop'!BE:BE)</f>
        <v>14016</v>
      </c>
      <c r="BB36" s="440">
        <f>SUMIF('Argus Drop'!$D:$D,$A36,'Argus Drop'!BF:BF)</f>
        <v>14016</v>
      </c>
      <c r="BC36" s="440">
        <f>SUMIF('Argus Drop'!$D:$D,$A36,'Argus Drop'!BG:BG)</f>
        <v>14016</v>
      </c>
      <c r="BD36" s="440">
        <f>SUMIF('Argus Drop'!$D:$D,$A36,'Argus Drop'!BH:BH)</f>
        <v>14016</v>
      </c>
      <c r="BE36" s="440">
        <f>SUMIF('Argus Drop'!$D:$D,$A36,'Argus Drop'!BI:BI)</f>
        <v>14016</v>
      </c>
      <c r="BF36" s="440">
        <f>SUMIF('Argus Drop'!$D:$D,$A36,'Argus Drop'!BJ:BJ)</f>
        <v>14016</v>
      </c>
      <c r="BG36" s="440">
        <f>SUMIF('Argus Drop'!$D:$D,$A36,'Argus Drop'!BK:BK)</f>
        <v>14016</v>
      </c>
      <c r="BH36" s="440">
        <f>SUMIF('Argus Drop'!$D:$D,$A36,'Argus Drop'!BL:BL)</f>
        <v>14016</v>
      </c>
      <c r="BI36" s="440">
        <f>SUMIF('Argus Drop'!$D:$D,$A36,'Argus Drop'!BM:BM)</f>
        <v>14016</v>
      </c>
      <c r="BJ36" s="440">
        <f>SUMIF('Argus Drop'!$D:$D,$A36,'Argus Drop'!BN:BN)</f>
        <v>14016</v>
      </c>
      <c r="BK36" s="440">
        <f>SUMIF('Argus Drop'!$D:$D,$A36,'Argus Drop'!BO:BO)</f>
        <v>14016</v>
      </c>
      <c r="BL36" s="440">
        <f>SUMIF('Argus Drop'!$D:$D,$A36,'Argus Drop'!BP:BP)</f>
        <v>14016</v>
      </c>
      <c r="BM36" s="440">
        <f>SUMIF('Argus Drop'!$D:$D,$A36,'Argus Drop'!BQ:BQ)</f>
        <v>14436</v>
      </c>
      <c r="BN36" s="440">
        <f>SUMIF('Argus Drop'!$D:$D,$A36,'Argus Drop'!BR:BR)</f>
        <v>14436</v>
      </c>
      <c r="BO36" s="440">
        <f>SUMIF('Argus Drop'!$D:$D,$A36,'Argus Drop'!BS:BS)</f>
        <v>14436</v>
      </c>
      <c r="BP36" s="440">
        <f>SUMIF('Argus Drop'!$D:$D,$A36,'Argus Drop'!BT:BT)</f>
        <v>14436</v>
      </c>
      <c r="BQ36" s="440">
        <f>SUMIF('Argus Drop'!$D:$D,$A36,'Argus Drop'!BU:BU)</f>
        <v>14436</v>
      </c>
      <c r="BR36" s="440">
        <f>SUMIF('Argus Drop'!$D:$D,$A36,'Argus Drop'!BV:BV)</f>
        <v>14436</v>
      </c>
      <c r="BS36" s="440">
        <f>SUMIF('Argus Drop'!$D:$D,$A36,'Argus Drop'!BW:BW)</f>
        <v>14436</v>
      </c>
      <c r="BT36" s="440">
        <f>SUMIF('Argus Drop'!$D:$D,$A36,'Argus Drop'!BX:BX)</f>
        <v>14436</v>
      </c>
      <c r="BU36" s="440">
        <f>SUMIF('Argus Drop'!$D:$D,$A36,'Argus Drop'!BY:BY)</f>
        <v>14436</v>
      </c>
      <c r="BV36" s="440">
        <f>SUMIF('Argus Drop'!$D:$D,$A36,'Argus Drop'!BZ:BZ)</f>
        <v>14436</v>
      </c>
      <c r="BW36" s="440">
        <f>SUMIF('Argus Drop'!$D:$D,$A36,'Argus Drop'!CA:CA)</f>
        <v>14436</v>
      </c>
      <c r="BX36" s="440">
        <f>SUMIF('Argus Drop'!$D:$D,$A36,'Argus Drop'!CB:CB)</f>
        <v>14436</v>
      </c>
      <c r="BY36" s="440">
        <f>SUMIF('Argus Drop'!$D:$D,$A36,'Argus Drop'!CC:CC)</f>
        <v>14869</v>
      </c>
      <c r="BZ36" s="440">
        <f>SUMIF('Argus Drop'!$D:$D,$A36,'Argus Drop'!CD:CD)</f>
        <v>14869</v>
      </c>
      <c r="CA36" s="440">
        <f>SUMIF('Argus Drop'!$D:$D,$A36,'Argus Drop'!CE:CE)</f>
        <v>14869</v>
      </c>
      <c r="CB36" s="440">
        <f>SUMIF('Argus Drop'!$D:$D,$A36,'Argus Drop'!CF:CF)</f>
        <v>14869</v>
      </c>
      <c r="CC36" s="440">
        <f>SUMIF('Argus Drop'!$D:$D,$A36,'Argus Drop'!CG:CG)</f>
        <v>14869</v>
      </c>
      <c r="CD36" s="440">
        <f>SUMIF('Argus Drop'!$D:$D,$A36,'Argus Drop'!CH:CH)</f>
        <v>14869</v>
      </c>
      <c r="CE36" s="440">
        <f>SUMIF('Argus Drop'!$D:$D,$A36,'Argus Drop'!CI:CI)</f>
        <v>14869</v>
      </c>
      <c r="CF36" s="440">
        <f>SUMIF('Argus Drop'!$D:$D,$A36,'Argus Drop'!CJ:CJ)</f>
        <v>14869</v>
      </c>
      <c r="CG36" s="440">
        <f>SUMIF('Argus Drop'!$D:$D,$A36,'Argus Drop'!CK:CK)</f>
        <v>14869</v>
      </c>
      <c r="CH36" s="440">
        <f>SUMIF('Argus Drop'!$D:$D,$A36,'Argus Drop'!CL:CL)</f>
        <v>14869</v>
      </c>
      <c r="CI36" s="440">
        <f>SUMIF('Argus Drop'!$D:$D,$A36,'Argus Drop'!CM:CM)</f>
        <v>14869</v>
      </c>
      <c r="CJ36" s="440">
        <f>SUMIF('Argus Drop'!$D:$D,$A36,'Argus Drop'!CN:CN)</f>
        <v>14869</v>
      </c>
      <c r="CK36" s="440">
        <f>SUMIF('Argus Drop'!$D:$D,$A36,'Argus Drop'!CO:CO)</f>
        <v>15315</v>
      </c>
      <c r="CL36" s="440">
        <f>SUMIF('Argus Drop'!$D:$D,$A36,'Argus Drop'!CP:CP)</f>
        <v>15315</v>
      </c>
      <c r="CM36" s="440">
        <f>SUMIF('Argus Drop'!$D:$D,$A36,'Argus Drop'!CQ:CQ)</f>
        <v>15315</v>
      </c>
      <c r="CN36" s="440">
        <f>SUMIF('Argus Drop'!$D:$D,$A36,'Argus Drop'!CR:CR)</f>
        <v>15315</v>
      </c>
      <c r="CO36" s="440">
        <f>SUMIF('Argus Drop'!$D:$D,$A36,'Argus Drop'!CS:CS)</f>
        <v>15315</v>
      </c>
      <c r="CP36" s="440">
        <f>SUMIF('Argus Drop'!$D:$D,$A36,'Argus Drop'!CT:CT)</f>
        <v>15315</v>
      </c>
      <c r="CQ36" s="440">
        <f>SUMIF('Argus Drop'!$D:$D,$A36,'Argus Drop'!CU:CU)</f>
        <v>15315</v>
      </c>
      <c r="CR36" s="440">
        <f>SUMIF('Argus Drop'!$D:$D,$A36,'Argus Drop'!CV:CV)</f>
        <v>15315</v>
      </c>
      <c r="CS36" s="440">
        <f>SUMIF('Argus Drop'!$D:$D,$A36,'Argus Drop'!CW:CW)</f>
        <v>15315</v>
      </c>
      <c r="CT36" s="440">
        <f>SUMIF('Argus Drop'!$D:$D,$A36,'Argus Drop'!CX:CX)</f>
        <v>15315</v>
      </c>
      <c r="CU36" s="440">
        <f>SUMIF('Argus Drop'!$D:$D,$A36,'Argus Drop'!CY:CY)</f>
        <v>15315</v>
      </c>
      <c r="CV36" s="440">
        <f>SUMIF('Argus Drop'!$D:$D,$A36,'Argus Drop'!CZ:CZ)</f>
        <v>15315</v>
      </c>
      <c r="CW36" s="440">
        <f>SUMIF('Argus Drop'!$D:$D,$A36,'Argus Drop'!DA:DA)</f>
        <v>15775</v>
      </c>
      <c r="CX36" s="440">
        <f>SUMIF('Argus Drop'!$D:$D,$A36,'Argus Drop'!DB:DB)</f>
        <v>15775</v>
      </c>
      <c r="CY36" s="440">
        <f>SUMIF('Argus Drop'!$D:$D,$A36,'Argus Drop'!DC:DC)</f>
        <v>15775</v>
      </c>
      <c r="CZ36" s="440">
        <f>SUMIF('Argus Drop'!$D:$D,$A36,'Argus Drop'!DD:DD)</f>
        <v>15775</v>
      </c>
      <c r="DA36" s="440">
        <f>SUMIF('Argus Drop'!$D:$D,$A36,'Argus Drop'!DE:DE)</f>
        <v>15775</v>
      </c>
      <c r="DB36" s="440">
        <f>SUMIF('Argus Drop'!$D:$D,$A36,'Argus Drop'!DF:DF)</f>
        <v>15775</v>
      </c>
      <c r="DC36" s="440">
        <f>SUMIF('Argus Drop'!$D:$D,$A36,'Argus Drop'!DG:DG)</f>
        <v>15775</v>
      </c>
      <c r="DD36" s="440">
        <f>SUMIF('Argus Drop'!$D:$D,$A36,'Argus Drop'!DH:DH)</f>
        <v>15775</v>
      </c>
      <c r="DE36" s="440">
        <f>SUMIF('Argus Drop'!$D:$D,$A36,'Argus Drop'!DI:DI)</f>
        <v>15775</v>
      </c>
      <c r="DF36" s="440">
        <f>SUMIF('Argus Drop'!$D:$D,$A36,'Argus Drop'!DJ:DJ)</f>
        <v>15775</v>
      </c>
      <c r="DG36" s="440">
        <f>SUMIF('Argus Drop'!$D:$D,$A36,'Argus Drop'!DK:DK)</f>
        <v>15775</v>
      </c>
      <c r="DH36" s="440">
        <f>SUMIF('Argus Drop'!$D:$D,$A36,'Argus Drop'!DL:DL)</f>
        <v>15775</v>
      </c>
      <c r="DI36" s="440">
        <f>SUMIF('Argus Drop'!$D:$D,$A36,'Argus Drop'!DM:DM)</f>
        <v>16248</v>
      </c>
      <c r="DJ36" s="440">
        <f>SUMIF('Argus Drop'!$D:$D,$A36,'Argus Drop'!DN:DN)</f>
        <v>16248</v>
      </c>
      <c r="DK36" s="440">
        <f>SUMIF('Argus Drop'!$D:$D,$A36,'Argus Drop'!DO:DO)</f>
        <v>16248</v>
      </c>
      <c r="DL36" s="440">
        <f>SUMIF('Argus Drop'!$D:$D,$A36,'Argus Drop'!DP:DP)</f>
        <v>16248</v>
      </c>
      <c r="DM36" s="440">
        <f>SUMIF('Argus Drop'!$D:$D,$A36,'Argus Drop'!DQ:DQ)</f>
        <v>16248</v>
      </c>
      <c r="DN36" s="440">
        <f>SUMIF('Argus Drop'!$D:$D,$A36,'Argus Drop'!DR:DR)</f>
        <v>16248</v>
      </c>
      <c r="DO36" s="440">
        <f>SUMIF('Argus Drop'!$D:$D,$A36,'Argus Drop'!DS:DS)</f>
        <v>16248</v>
      </c>
      <c r="DP36" s="440">
        <f>SUMIF('Argus Drop'!$D:$D,$A36,'Argus Drop'!DT:DT)</f>
        <v>16248</v>
      </c>
      <c r="DQ36" s="440">
        <f>SUMIF('Argus Drop'!$D:$D,$A36,'Argus Drop'!DU:DU)</f>
        <v>16248</v>
      </c>
      <c r="DR36" s="440">
        <f>SUMIF('Argus Drop'!$D:$D,$A36,'Argus Drop'!DV:DV)</f>
        <v>16248</v>
      </c>
      <c r="DS36" s="440"/>
      <c r="DT36" s="440"/>
      <c r="DU36" s="440"/>
      <c r="DV36" s="440"/>
      <c r="DW36" s="440"/>
      <c r="DX36" s="440"/>
      <c r="DY36" s="440"/>
      <c r="DZ36" s="440"/>
      <c r="EA36" s="440"/>
      <c r="EB36" s="440"/>
      <c r="EC36" s="440"/>
      <c r="ED36" s="1419"/>
      <c r="EE36" s="1419"/>
      <c r="EF36" s="1419"/>
      <c r="EG36" s="1419"/>
      <c r="EH36" s="1419"/>
      <c r="EI36" s="1419"/>
      <c r="EJ36" s="1419"/>
      <c r="EK36" s="1419"/>
      <c r="EL36" s="1419"/>
      <c r="EM36" s="1419"/>
      <c r="EN36" s="1419"/>
      <c r="EO36" s="1419"/>
      <c r="EP36" s="1419"/>
      <c r="EQ36" s="1419"/>
      <c r="ER36" s="1419"/>
      <c r="ES36" s="1419"/>
      <c r="ET36" s="1419"/>
      <c r="EU36" s="1419"/>
      <c r="EV36" s="1419"/>
      <c r="EW36" s="1419"/>
      <c r="EX36" s="1419"/>
      <c r="EY36" s="1419"/>
      <c r="EZ36" s="1419"/>
      <c r="FA36" s="1419"/>
      <c r="FB36" s="1419"/>
      <c r="FC36" s="1419"/>
      <c r="FD36" s="1419"/>
      <c r="FE36" s="1419"/>
      <c r="FF36" s="1419"/>
      <c r="FG36" s="1419"/>
      <c r="FH36" s="1419"/>
      <c r="FI36" s="1419"/>
    </row>
    <row r="37" spans="1:165">
      <c r="A37" s="448">
        <f>IF(+'Argus Drop'!B37="","",'Argus Drop'!B37)</f>
        <v>11</v>
      </c>
      <c r="B37" s="440">
        <f>SUMIF('Argus Drop'!$D:$D,$A37,'Argus Drop'!F:F)</f>
        <v>6318</v>
      </c>
      <c r="C37" s="440">
        <f>SUMIF('Argus Drop'!$D:$D,$A37,'Argus Drop'!G:G)</f>
        <v>7022</v>
      </c>
      <c r="D37" s="440">
        <f>SUMIF('Argus Drop'!$D:$D,$A37,'Argus Drop'!H:H)</f>
        <v>7022</v>
      </c>
      <c r="E37" s="440">
        <f>SUMIF('Argus Drop'!$D:$D,$A37,'Argus Drop'!I:I)</f>
        <v>7137</v>
      </c>
      <c r="F37" s="440">
        <f>SUMIF('Argus Drop'!$D:$D,$A37,'Argus Drop'!J:J)</f>
        <v>7137</v>
      </c>
      <c r="G37" s="440">
        <f>SUMIF('Argus Drop'!$D:$D,$A37,'Argus Drop'!K:K)</f>
        <v>7150</v>
      </c>
      <c r="H37" s="440">
        <f>SUMIF('Argus Drop'!$D:$D,$A37,'Argus Drop'!L:L)</f>
        <v>7150</v>
      </c>
      <c r="I37" s="440">
        <f>SUMIF('Argus Drop'!$D:$D,$A37,'Argus Drop'!M:M)</f>
        <v>7466</v>
      </c>
      <c r="J37" s="440">
        <f>SUMIF('Argus Drop'!$D:$D,$A37,'Argus Drop'!N:N)</f>
        <v>7492</v>
      </c>
      <c r="K37" s="440">
        <f>SUMIF('Argus Drop'!$D:$D,$A37,'Argus Drop'!O:O)</f>
        <v>6980</v>
      </c>
      <c r="L37" s="440">
        <f>SUMIF('Argus Drop'!$D:$D,$A37,'Argus Drop'!P:P)</f>
        <v>6526</v>
      </c>
      <c r="M37" s="440">
        <f>SUMIF('Argus Drop'!$D:$D,$A37,'Argus Drop'!Q:Q)</f>
        <v>7693</v>
      </c>
      <c r="N37" s="440">
        <f>SUMIF('Argus Drop'!$D:$D,$A37,'Argus Drop'!R:R)</f>
        <v>7584</v>
      </c>
      <c r="O37" s="440">
        <f>SUMIF('Argus Drop'!$D:$D,$A37,'Argus Drop'!S:S)</f>
        <v>7775</v>
      </c>
      <c r="P37" s="440">
        <f>SUMIF('Argus Drop'!$D:$D,$A37,'Argus Drop'!T:T)</f>
        <v>7775</v>
      </c>
      <c r="Q37" s="440">
        <f>SUMIF('Argus Drop'!$D:$D,$A37,'Argus Drop'!U:U)</f>
        <v>7141</v>
      </c>
      <c r="R37" s="440">
        <f>SUMIF('Argus Drop'!$D:$D,$A37,'Argus Drop'!V:V)</f>
        <v>7835</v>
      </c>
      <c r="S37" s="440">
        <f>SUMIF('Argus Drop'!$D:$D,$A37,'Argus Drop'!W:W)</f>
        <v>7184</v>
      </c>
      <c r="T37" s="440">
        <f>SUMIF('Argus Drop'!$D:$D,$A37,'Argus Drop'!X:X)</f>
        <v>7815</v>
      </c>
      <c r="U37" s="440">
        <f>SUMIF('Argus Drop'!$D:$D,$A37,'Argus Drop'!Y:Y)</f>
        <v>8289</v>
      </c>
      <c r="V37" s="440">
        <f>SUMIF('Argus Drop'!$D:$D,$A37,'Argus Drop'!Z:Z)</f>
        <v>9376</v>
      </c>
      <c r="W37" s="440">
        <f>SUMIF('Argus Drop'!$D:$D,$A37,'Argus Drop'!AA:AA)</f>
        <v>9376</v>
      </c>
      <c r="X37" s="440">
        <f>SUMIF('Argus Drop'!$D:$D,$A37,'Argus Drop'!AB:AB)</f>
        <v>9390</v>
      </c>
      <c r="Y37" s="440">
        <f>SUMIF('Argus Drop'!$D:$D,$A37,'Argus Drop'!AC:AC)</f>
        <v>9413</v>
      </c>
      <c r="Z37" s="440">
        <f>SUMIF('Argus Drop'!$D:$D,$A37,'Argus Drop'!AD:AD)</f>
        <v>9427</v>
      </c>
      <c r="AA37" s="440">
        <f>SUMIF('Argus Drop'!$D:$D,$A37,'Argus Drop'!AE:AE)</f>
        <v>9449</v>
      </c>
      <c r="AB37" s="440">
        <f>SUMIF('Argus Drop'!$D:$D,$A37,'Argus Drop'!AF:AF)</f>
        <v>9464</v>
      </c>
      <c r="AC37" s="440">
        <f>SUMIF('Argus Drop'!$D:$D,$A37,'Argus Drop'!AG:AG)</f>
        <v>9604</v>
      </c>
      <c r="AD37" s="440">
        <f>SUMIF('Argus Drop'!$D:$D,$A37,'Argus Drop'!AH:AH)</f>
        <v>9618</v>
      </c>
      <c r="AE37" s="440">
        <f>SUMIF('Argus Drop'!$D:$D,$A37,'Argus Drop'!AI:AI)</f>
        <v>9618</v>
      </c>
      <c r="AF37" s="440">
        <f>SUMIF('Argus Drop'!$D:$D,$A37,'Argus Drop'!AJ:AJ)</f>
        <v>9631</v>
      </c>
      <c r="AG37" s="440">
        <f>SUMIF('Argus Drop'!$D:$D,$A37,'Argus Drop'!AK:AK)</f>
        <v>9366</v>
      </c>
      <c r="AH37" s="440">
        <f>SUMIF('Argus Drop'!$D:$D,$A37,'Argus Drop'!AL:AL)</f>
        <v>9628</v>
      </c>
      <c r="AI37" s="440">
        <f>SUMIF('Argus Drop'!$D:$D,$A37,'Argus Drop'!AM:AM)</f>
        <v>9628</v>
      </c>
      <c r="AJ37" s="440">
        <f>SUMIF('Argus Drop'!$D:$D,$A37,'Argus Drop'!AN:AN)</f>
        <v>9643</v>
      </c>
      <c r="AK37" s="440">
        <f>SUMIF('Argus Drop'!$D:$D,$A37,'Argus Drop'!AO:AO)</f>
        <v>9666</v>
      </c>
      <c r="AL37" s="440">
        <f>SUMIF('Argus Drop'!$D:$D,$A37,'Argus Drop'!AP:AP)</f>
        <v>9678</v>
      </c>
      <c r="AM37" s="440">
        <f>SUMIF('Argus Drop'!$D:$D,$A37,'Argus Drop'!AQ:AQ)</f>
        <v>9701</v>
      </c>
      <c r="AN37" s="440">
        <f>SUMIF('Argus Drop'!$D:$D,$A37,'Argus Drop'!AR:AR)</f>
        <v>9719</v>
      </c>
      <c r="AO37" s="440">
        <f>SUMIF('Argus Drop'!$D:$D,$A37,'Argus Drop'!AS:AS)</f>
        <v>9820</v>
      </c>
      <c r="AP37" s="440">
        <f>SUMIF('Argus Drop'!$D:$D,$A37,'Argus Drop'!AT:AT)</f>
        <v>9834</v>
      </c>
      <c r="AQ37" s="440">
        <f>SUMIF('Argus Drop'!$D:$D,$A37,'Argus Drop'!AU:AU)</f>
        <v>9834</v>
      </c>
      <c r="AR37" s="440">
        <f>SUMIF('Argus Drop'!$D:$D,$A37,'Argus Drop'!AV:AV)</f>
        <v>9847</v>
      </c>
      <c r="AS37" s="440">
        <f>SUMIF('Argus Drop'!$D:$D,$A37,'Argus Drop'!AW:AW)</f>
        <v>9858</v>
      </c>
      <c r="AT37" s="440">
        <f>SUMIF('Argus Drop'!$D:$D,$A37,'Argus Drop'!AX:AX)</f>
        <v>9884</v>
      </c>
      <c r="AU37" s="440">
        <f>SUMIF('Argus Drop'!$D:$D,$A37,'Argus Drop'!AY:AY)</f>
        <v>9884</v>
      </c>
      <c r="AV37" s="440">
        <f>SUMIF('Argus Drop'!$D:$D,$A37,'Argus Drop'!AZ:AZ)</f>
        <v>9899</v>
      </c>
      <c r="AW37" s="440">
        <f>SUMIF('Argus Drop'!$D:$D,$A37,'Argus Drop'!BA:BA)</f>
        <v>9923</v>
      </c>
      <c r="AX37" s="440">
        <f>SUMIF('Argus Drop'!$D:$D,$A37,'Argus Drop'!BB:BB)</f>
        <v>9398</v>
      </c>
      <c r="AY37" s="440">
        <f>SUMIF('Argus Drop'!$D:$D,$A37,'Argus Drop'!BC:BC)</f>
        <v>9130</v>
      </c>
      <c r="AZ37" s="440">
        <f>SUMIF('Argus Drop'!$D:$D,$A37,'Argus Drop'!BD:BD)</f>
        <v>9937</v>
      </c>
      <c r="BA37" s="440">
        <f>SUMIF('Argus Drop'!$D:$D,$A37,'Argus Drop'!BE:BE)</f>
        <v>10078</v>
      </c>
      <c r="BB37" s="440">
        <f>SUMIF('Argus Drop'!$D:$D,$A37,'Argus Drop'!BF:BF)</f>
        <v>10093</v>
      </c>
      <c r="BC37" s="440">
        <f>SUMIF('Argus Drop'!$D:$D,$A37,'Argus Drop'!BG:BG)</f>
        <v>10093</v>
      </c>
      <c r="BD37" s="440">
        <f>SUMIF('Argus Drop'!$D:$D,$A37,'Argus Drop'!BH:BH)</f>
        <v>10106</v>
      </c>
      <c r="BE37" s="440">
        <f>SUMIF('Argus Drop'!$D:$D,$A37,'Argus Drop'!BI:BI)</f>
        <v>10118</v>
      </c>
      <c r="BF37" s="440">
        <f>SUMIF('Argus Drop'!$D:$D,$A37,'Argus Drop'!BJ:BJ)</f>
        <v>10145</v>
      </c>
      <c r="BG37" s="440">
        <f>SUMIF('Argus Drop'!$D:$D,$A37,'Argus Drop'!BK:BK)</f>
        <v>10145</v>
      </c>
      <c r="BH37" s="440">
        <f>SUMIF('Argus Drop'!$D:$D,$A37,'Argus Drop'!BL:BL)</f>
        <v>10160</v>
      </c>
      <c r="BI37" s="440">
        <f>SUMIF('Argus Drop'!$D:$D,$A37,'Argus Drop'!BM:BM)</f>
        <v>10193</v>
      </c>
      <c r="BJ37" s="440">
        <f>SUMIF('Argus Drop'!$D:$D,$A37,'Argus Drop'!BN:BN)</f>
        <v>9677</v>
      </c>
      <c r="BK37" s="440">
        <f>SUMIF('Argus Drop'!$D:$D,$A37,'Argus Drop'!BO:BO)</f>
        <v>10103</v>
      </c>
      <c r="BL37" s="440">
        <f>SUMIF('Argus Drop'!$D:$D,$A37,'Argus Drop'!BP:BP)</f>
        <v>10134</v>
      </c>
      <c r="BM37" s="440">
        <f>SUMIF('Argus Drop'!$D:$D,$A37,'Argus Drop'!BQ:BQ)</f>
        <v>10273</v>
      </c>
      <c r="BN37" s="440">
        <f>SUMIF('Argus Drop'!$D:$D,$A37,'Argus Drop'!BR:BR)</f>
        <v>10288</v>
      </c>
      <c r="BO37" s="440">
        <f>SUMIF('Argus Drop'!$D:$D,$A37,'Argus Drop'!BS:BS)</f>
        <v>10288</v>
      </c>
      <c r="BP37" s="440">
        <f>SUMIF('Argus Drop'!$D:$D,$A37,'Argus Drop'!BT:BT)</f>
        <v>10302</v>
      </c>
      <c r="BQ37" s="440">
        <f>SUMIF('Argus Drop'!$D:$D,$A37,'Argus Drop'!BU:BU)</f>
        <v>9952</v>
      </c>
      <c r="BR37" s="440">
        <f>SUMIF('Argus Drop'!$D:$D,$A37,'Argus Drop'!BV:BV)</f>
        <v>9701</v>
      </c>
      <c r="BS37" s="440">
        <f>SUMIF('Argus Drop'!$D:$D,$A37,'Argus Drop'!BW:BW)</f>
        <v>10244</v>
      </c>
      <c r="BT37" s="440">
        <f>SUMIF('Argus Drop'!$D:$D,$A37,'Argus Drop'!BX:BX)</f>
        <v>9448</v>
      </c>
      <c r="BU37" s="440">
        <f>SUMIF('Argus Drop'!$D:$D,$A37,'Argus Drop'!BY:BY)</f>
        <v>8861</v>
      </c>
      <c r="BV37" s="440">
        <f>SUMIF('Argus Drop'!$D:$D,$A37,'Argus Drop'!BZ:BZ)</f>
        <v>10101</v>
      </c>
      <c r="BW37" s="440">
        <f>SUMIF('Argus Drop'!$D:$D,$A37,'Argus Drop'!CA:CA)</f>
        <v>10121</v>
      </c>
      <c r="BX37" s="440">
        <f>SUMIF('Argus Drop'!$D:$D,$A37,'Argus Drop'!CB:CB)</f>
        <v>10137</v>
      </c>
      <c r="BY37" s="440">
        <f>SUMIF('Argus Drop'!$D:$D,$A37,'Argus Drop'!CC:CC)</f>
        <v>10270</v>
      </c>
      <c r="BZ37" s="440">
        <f>SUMIF('Argus Drop'!$D:$D,$A37,'Argus Drop'!CD:CD)</f>
        <v>9459</v>
      </c>
      <c r="CA37" s="440">
        <f>SUMIF('Argus Drop'!$D:$D,$A37,'Argus Drop'!CE:CE)</f>
        <v>10211</v>
      </c>
      <c r="CB37" s="440">
        <f>SUMIF('Argus Drop'!$D:$D,$A37,'Argus Drop'!CF:CF)</f>
        <v>9498</v>
      </c>
      <c r="CC37" s="440">
        <f>SUMIF('Argus Drop'!$D:$D,$A37,'Argus Drop'!CG:CG)</f>
        <v>10165</v>
      </c>
      <c r="CD37" s="440">
        <f>SUMIF('Argus Drop'!$D:$D,$A37,'Argus Drop'!CH:CH)</f>
        <v>8572</v>
      </c>
      <c r="CE37" s="440">
        <f>SUMIF('Argus Drop'!$D:$D,$A37,'Argus Drop'!CI:CI)</f>
        <v>9071</v>
      </c>
      <c r="CF37" s="440">
        <f>SUMIF('Argus Drop'!$D:$D,$A37,'Argus Drop'!CJ:CJ)</f>
        <v>9927</v>
      </c>
      <c r="CG37" s="440">
        <f>SUMIF('Argus Drop'!$D:$D,$A37,'Argus Drop'!CK:CK)</f>
        <v>9941</v>
      </c>
      <c r="CH37" s="440">
        <f>SUMIF('Argus Drop'!$D:$D,$A37,'Argus Drop'!CL:CL)</f>
        <v>9965</v>
      </c>
      <c r="CI37" s="440">
        <f>SUMIF('Argus Drop'!$D:$D,$A37,'Argus Drop'!CM:CM)</f>
        <v>9985</v>
      </c>
      <c r="CJ37" s="440">
        <f>SUMIF('Argus Drop'!$D:$D,$A37,'Argus Drop'!CN:CN)</f>
        <v>10002</v>
      </c>
      <c r="CK37" s="440">
        <f>SUMIF('Argus Drop'!$D:$D,$A37,'Argus Drop'!CO:CO)</f>
        <v>10153</v>
      </c>
      <c r="CL37" s="440">
        <f>SUMIF('Argus Drop'!$D:$D,$A37,'Argus Drop'!CP:CP)</f>
        <v>10153</v>
      </c>
      <c r="CM37" s="440">
        <f>SUMIF('Argus Drop'!$D:$D,$A37,'Argus Drop'!CQ:CQ)</f>
        <v>10167</v>
      </c>
      <c r="CN37" s="440">
        <f>SUMIF('Argus Drop'!$D:$D,$A37,'Argus Drop'!CR:CR)</f>
        <v>10167</v>
      </c>
      <c r="CO37" s="440">
        <f>SUMIF('Argus Drop'!$D:$D,$A37,'Argus Drop'!CS:CS)</f>
        <v>10185</v>
      </c>
      <c r="CP37" s="440">
        <f>SUMIF('Argus Drop'!$D:$D,$A37,'Argus Drop'!CT:CT)</f>
        <v>9923</v>
      </c>
      <c r="CQ37" s="440">
        <f>SUMIF('Argus Drop'!$D:$D,$A37,'Argus Drop'!CU:CU)</f>
        <v>10193</v>
      </c>
      <c r="CR37" s="440">
        <f>SUMIF('Argus Drop'!$D:$D,$A37,'Argus Drop'!CV:CV)</f>
        <v>10202</v>
      </c>
      <c r="CS37" s="440">
        <f>SUMIF('Argus Drop'!$D:$D,$A37,'Argus Drop'!CW:CW)</f>
        <v>10216</v>
      </c>
      <c r="CT37" s="440">
        <f>SUMIF('Argus Drop'!$D:$D,$A37,'Argus Drop'!CX:CX)</f>
        <v>10232</v>
      </c>
      <c r="CU37" s="440">
        <f>SUMIF('Argus Drop'!$D:$D,$A37,'Argus Drop'!CY:CY)</f>
        <v>10253</v>
      </c>
      <c r="CV37" s="440">
        <f>SUMIF('Argus Drop'!$D:$D,$A37,'Argus Drop'!CZ:CZ)</f>
        <v>10288</v>
      </c>
      <c r="CW37" s="440">
        <f>SUMIF('Argus Drop'!$D:$D,$A37,'Argus Drop'!DA:DA)</f>
        <v>10443</v>
      </c>
      <c r="CX37" s="440">
        <f>SUMIF('Argus Drop'!$D:$D,$A37,'Argus Drop'!DB:DB)</f>
        <v>10443</v>
      </c>
      <c r="CY37" s="440">
        <f>SUMIF('Argus Drop'!$D:$D,$A37,'Argus Drop'!DC:DC)</f>
        <v>10457</v>
      </c>
      <c r="CZ37" s="440">
        <f>SUMIF('Argus Drop'!$D:$D,$A37,'Argus Drop'!DD:DD)</f>
        <v>10457</v>
      </c>
      <c r="DA37" s="440">
        <f>SUMIF('Argus Drop'!$D:$D,$A37,'Argus Drop'!DE:DE)</f>
        <v>10476</v>
      </c>
      <c r="DB37" s="440">
        <f>SUMIF('Argus Drop'!$D:$D,$A37,'Argus Drop'!DF:DF)</f>
        <v>10484</v>
      </c>
      <c r="DC37" s="440">
        <f>SUMIF('Argus Drop'!$D:$D,$A37,'Argus Drop'!DG:DG)</f>
        <v>10508</v>
      </c>
      <c r="DD37" s="440">
        <f>SUMIF('Argus Drop'!$D:$D,$A37,'Argus Drop'!DH:DH)</f>
        <v>10517</v>
      </c>
      <c r="DE37" s="440">
        <f>SUMIF('Argus Drop'!$D:$D,$A37,'Argus Drop'!DI:DI)</f>
        <v>10532</v>
      </c>
      <c r="DF37" s="440">
        <f>SUMIF('Argus Drop'!$D:$D,$A37,'Argus Drop'!DJ:DJ)</f>
        <v>10554</v>
      </c>
      <c r="DG37" s="440">
        <f>SUMIF('Argus Drop'!$D:$D,$A37,'Argus Drop'!DK:DK)</f>
        <v>9827</v>
      </c>
      <c r="DH37" s="440">
        <f>SUMIF('Argus Drop'!$D:$D,$A37,'Argus Drop'!DL:DL)</f>
        <v>9596</v>
      </c>
      <c r="DI37" s="440">
        <f>SUMIF('Argus Drop'!$D:$D,$A37,'Argus Drop'!DM:DM)</f>
        <v>10572</v>
      </c>
      <c r="DJ37" s="440">
        <f>SUMIF('Argus Drop'!$D:$D,$A37,'Argus Drop'!DN:DN)</f>
        <v>10572</v>
      </c>
      <c r="DK37" s="440">
        <f>SUMIF('Argus Drop'!$D:$D,$A37,'Argus Drop'!DO:DO)</f>
        <v>10587</v>
      </c>
      <c r="DL37" s="440">
        <f>SUMIF('Argus Drop'!$D:$D,$A37,'Argus Drop'!DP:DP)</f>
        <v>10587</v>
      </c>
      <c r="DM37" s="440">
        <f>SUMIF('Argus Drop'!$D:$D,$A37,'Argus Drop'!DQ:DQ)</f>
        <v>10607</v>
      </c>
      <c r="DN37" s="440">
        <f>SUMIF('Argus Drop'!$D:$D,$A37,'Argus Drop'!DR:DR)</f>
        <v>10615</v>
      </c>
      <c r="DO37" s="440">
        <f>SUMIF('Argus Drop'!$D:$D,$A37,'Argus Drop'!DS:DS)</f>
        <v>10639</v>
      </c>
      <c r="DP37" s="440">
        <f>SUMIF('Argus Drop'!$D:$D,$A37,'Argus Drop'!DT:DT)</f>
        <v>10649</v>
      </c>
      <c r="DQ37" s="440">
        <f>SUMIF('Argus Drop'!$D:$D,$A37,'Argus Drop'!DU:DU)</f>
        <v>10510</v>
      </c>
      <c r="DR37" s="440">
        <f>SUMIF('Argus Drop'!$D:$D,$A37,'Argus Drop'!DV:DV)</f>
        <v>10669</v>
      </c>
      <c r="DS37" s="440"/>
      <c r="DT37" s="440"/>
      <c r="DU37" s="440"/>
      <c r="DV37" s="440"/>
      <c r="DW37" s="440"/>
      <c r="DX37" s="440"/>
      <c r="DY37" s="440"/>
      <c r="DZ37" s="440"/>
      <c r="EA37" s="440"/>
      <c r="EB37" s="440"/>
      <c r="EC37" s="440"/>
      <c r="ED37" s="1419"/>
      <c r="EE37" s="1419"/>
      <c r="EF37" s="1419"/>
      <c r="EG37" s="1419"/>
      <c r="EH37" s="1419"/>
      <c r="EI37" s="1419"/>
      <c r="EJ37" s="1419"/>
      <c r="EK37" s="1419"/>
      <c r="EL37" s="1419"/>
      <c r="EM37" s="1419"/>
      <c r="EN37" s="1419"/>
      <c r="EO37" s="1419"/>
      <c r="EP37" s="1419"/>
      <c r="EQ37" s="1419"/>
      <c r="ER37" s="1419"/>
      <c r="ES37" s="1419"/>
      <c r="ET37" s="1419"/>
      <c r="EU37" s="1419"/>
      <c r="EV37" s="1419"/>
      <c r="EW37" s="1419"/>
      <c r="EX37" s="1419"/>
      <c r="EY37" s="1419"/>
      <c r="EZ37" s="1419"/>
      <c r="FA37" s="1419"/>
      <c r="FB37" s="1419"/>
      <c r="FC37" s="1419"/>
      <c r="FD37" s="1419"/>
      <c r="FE37" s="1419"/>
      <c r="FF37" s="1419"/>
      <c r="FG37" s="1419"/>
      <c r="FH37" s="1419"/>
      <c r="FI37" s="1419"/>
    </row>
    <row r="38" spans="1:165">
      <c r="A38" s="448">
        <f>IF(+'Argus Drop'!B38="","",'Argus Drop'!B38)</f>
        <v>12</v>
      </c>
      <c r="B38" s="440">
        <f>SUMIF('Argus Drop'!$D:$D,$A38,'Argus Drop'!F:F)</f>
        <v>32809</v>
      </c>
      <c r="C38" s="440">
        <f>SUMIF('Argus Drop'!$D:$D,$A38,'Argus Drop'!G:G)</f>
        <v>32809</v>
      </c>
      <c r="D38" s="440">
        <f>SUMIF('Argus Drop'!$D:$D,$A38,'Argus Drop'!H:H)</f>
        <v>32809</v>
      </c>
      <c r="E38" s="440">
        <f>SUMIF('Argus Drop'!$D:$D,$A38,'Argus Drop'!I:I)</f>
        <v>33793</v>
      </c>
      <c r="F38" s="440">
        <f>SUMIF('Argus Drop'!$D:$D,$A38,'Argus Drop'!J:J)</f>
        <v>33793</v>
      </c>
      <c r="G38" s="440">
        <f>SUMIF('Argus Drop'!$D:$D,$A38,'Argus Drop'!K:K)</f>
        <v>33793</v>
      </c>
      <c r="H38" s="440">
        <f>SUMIF('Argus Drop'!$D:$D,$A38,'Argus Drop'!L:L)</f>
        <v>33793</v>
      </c>
      <c r="I38" s="440">
        <f>SUMIF('Argus Drop'!$D:$D,$A38,'Argus Drop'!M:M)</f>
        <v>33793</v>
      </c>
      <c r="J38" s="440">
        <f>SUMIF('Argus Drop'!$D:$D,$A38,'Argus Drop'!N:N)</f>
        <v>33793</v>
      </c>
      <c r="K38" s="440">
        <f>SUMIF('Argus Drop'!$D:$D,$A38,'Argus Drop'!O:O)</f>
        <v>33793</v>
      </c>
      <c r="L38" s="440">
        <f>SUMIF('Argus Drop'!$D:$D,$A38,'Argus Drop'!P:P)</f>
        <v>33793</v>
      </c>
      <c r="M38" s="440">
        <f>SUMIF('Argus Drop'!$D:$D,$A38,'Argus Drop'!Q:Q)</f>
        <v>33793</v>
      </c>
      <c r="N38" s="440">
        <f>SUMIF('Argus Drop'!$D:$D,$A38,'Argus Drop'!R:R)</f>
        <v>33793</v>
      </c>
      <c r="O38" s="440">
        <f>SUMIF('Argus Drop'!$D:$D,$A38,'Argus Drop'!S:S)</f>
        <v>33793</v>
      </c>
      <c r="P38" s="440">
        <f>SUMIF('Argus Drop'!$D:$D,$A38,'Argus Drop'!T:T)</f>
        <v>33793</v>
      </c>
      <c r="Q38" s="440">
        <f>SUMIF('Argus Drop'!$D:$D,$A38,'Argus Drop'!U:U)</f>
        <v>34807</v>
      </c>
      <c r="R38" s="440">
        <f>SUMIF('Argus Drop'!$D:$D,$A38,'Argus Drop'!V:V)</f>
        <v>34807</v>
      </c>
      <c r="S38" s="440">
        <f>SUMIF('Argus Drop'!$D:$D,$A38,'Argus Drop'!W:W)</f>
        <v>34807</v>
      </c>
      <c r="T38" s="440">
        <f>SUMIF('Argus Drop'!$D:$D,$A38,'Argus Drop'!X:X)</f>
        <v>34807</v>
      </c>
      <c r="U38" s="440">
        <f>SUMIF('Argus Drop'!$D:$D,$A38,'Argus Drop'!Y:Y)</f>
        <v>34807</v>
      </c>
      <c r="V38" s="440">
        <f>SUMIF('Argus Drop'!$D:$D,$A38,'Argus Drop'!Z:Z)</f>
        <v>34807</v>
      </c>
      <c r="W38" s="440">
        <f>SUMIF('Argus Drop'!$D:$D,$A38,'Argus Drop'!AA:AA)</f>
        <v>34807</v>
      </c>
      <c r="X38" s="440">
        <f>SUMIF('Argus Drop'!$D:$D,$A38,'Argus Drop'!AB:AB)</f>
        <v>34807</v>
      </c>
      <c r="Y38" s="440">
        <f>SUMIF('Argus Drop'!$D:$D,$A38,'Argus Drop'!AC:AC)</f>
        <v>34807</v>
      </c>
      <c r="Z38" s="440">
        <f>SUMIF('Argus Drop'!$D:$D,$A38,'Argus Drop'!AD:AD)</f>
        <v>34807</v>
      </c>
      <c r="AA38" s="440">
        <f>SUMIF('Argus Drop'!$D:$D,$A38,'Argus Drop'!AE:AE)</f>
        <v>34807</v>
      </c>
      <c r="AB38" s="440">
        <f>SUMIF('Argus Drop'!$D:$D,$A38,'Argus Drop'!AF:AF)</f>
        <v>34807</v>
      </c>
      <c r="AC38" s="440">
        <f>SUMIF('Argus Drop'!$D:$D,$A38,'Argus Drop'!AG:AG)</f>
        <v>35851</v>
      </c>
      <c r="AD38" s="440">
        <f>SUMIF('Argus Drop'!$D:$D,$A38,'Argus Drop'!AH:AH)</f>
        <v>35851</v>
      </c>
      <c r="AE38" s="440">
        <f>SUMIF('Argus Drop'!$D:$D,$A38,'Argus Drop'!AI:AI)</f>
        <v>35851</v>
      </c>
      <c r="AF38" s="440">
        <f>SUMIF('Argus Drop'!$D:$D,$A38,'Argus Drop'!AJ:AJ)</f>
        <v>35851</v>
      </c>
      <c r="AG38" s="440">
        <f>SUMIF('Argus Drop'!$D:$D,$A38,'Argus Drop'!AK:AK)</f>
        <v>35851</v>
      </c>
      <c r="AH38" s="440">
        <f>SUMIF('Argus Drop'!$D:$D,$A38,'Argus Drop'!AL:AL)</f>
        <v>35851</v>
      </c>
      <c r="AI38" s="440">
        <f>SUMIF('Argus Drop'!$D:$D,$A38,'Argus Drop'!AM:AM)</f>
        <v>35851</v>
      </c>
      <c r="AJ38" s="440">
        <f>SUMIF('Argus Drop'!$D:$D,$A38,'Argus Drop'!AN:AN)</f>
        <v>35851</v>
      </c>
      <c r="AK38" s="440">
        <f>SUMIF('Argus Drop'!$D:$D,$A38,'Argus Drop'!AO:AO)</f>
        <v>35851</v>
      </c>
      <c r="AL38" s="440">
        <f>SUMIF('Argus Drop'!$D:$D,$A38,'Argus Drop'!AP:AP)</f>
        <v>35851</v>
      </c>
      <c r="AM38" s="440">
        <f>SUMIF('Argus Drop'!$D:$D,$A38,'Argus Drop'!AQ:AQ)</f>
        <v>35851</v>
      </c>
      <c r="AN38" s="440">
        <f>SUMIF('Argus Drop'!$D:$D,$A38,'Argus Drop'!AR:AR)</f>
        <v>35851</v>
      </c>
      <c r="AO38" s="440">
        <f>SUMIF('Argus Drop'!$D:$D,$A38,'Argus Drop'!AS:AS)</f>
        <v>36927</v>
      </c>
      <c r="AP38" s="440">
        <f>SUMIF('Argus Drop'!$D:$D,$A38,'Argus Drop'!AT:AT)</f>
        <v>36927</v>
      </c>
      <c r="AQ38" s="440">
        <f>SUMIF('Argus Drop'!$D:$D,$A38,'Argus Drop'!AU:AU)</f>
        <v>36927</v>
      </c>
      <c r="AR38" s="440">
        <f>SUMIF('Argus Drop'!$D:$D,$A38,'Argus Drop'!AV:AV)</f>
        <v>36927</v>
      </c>
      <c r="AS38" s="440">
        <f>SUMIF('Argus Drop'!$D:$D,$A38,'Argus Drop'!AW:AW)</f>
        <v>36927</v>
      </c>
      <c r="AT38" s="440">
        <f>SUMIF('Argus Drop'!$D:$D,$A38,'Argus Drop'!AX:AX)</f>
        <v>36927</v>
      </c>
      <c r="AU38" s="440">
        <f>SUMIF('Argus Drop'!$D:$D,$A38,'Argus Drop'!AY:AY)</f>
        <v>36927</v>
      </c>
      <c r="AV38" s="440">
        <f>SUMIF('Argus Drop'!$D:$D,$A38,'Argus Drop'!AZ:AZ)</f>
        <v>36927</v>
      </c>
      <c r="AW38" s="440">
        <f>SUMIF('Argus Drop'!$D:$D,$A38,'Argus Drop'!BA:BA)</f>
        <v>36927</v>
      </c>
      <c r="AX38" s="440">
        <f>SUMIF('Argus Drop'!$D:$D,$A38,'Argus Drop'!BB:BB)</f>
        <v>36927</v>
      </c>
      <c r="AY38" s="440">
        <f>SUMIF('Argus Drop'!$D:$D,$A38,'Argus Drop'!BC:BC)</f>
        <v>36927</v>
      </c>
      <c r="AZ38" s="440">
        <f>SUMIF('Argus Drop'!$D:$D,$A38,'Argus Drop'!BD:BD)</f>
        <v>36927</v>
      </c>
      <c r="BA38" s="440">
        <f>SUMIF('Argus Drop'!$D:$D,$A38,'Argus Drop'!BE:BE)</f>
        <v>38035</v>
      </c>
      <c r="BB38" s="440">
        <f>SUMIF('Argus Drop'!$D:$D,$A38,'Argus Drop'!BF:BF)</f>
        <v>38035</v>
      </c>
      <c r="BC38" s="440">
        <f>SUMIF('Argus Drop'!$D:$D,$A38,'Argus Drop'!BG:BG)</f>
        <v>38035</v>
      </c>
      <c r="BD38" s="440">
        <f>SUMIF('Argus Drop'!$D:$D,$A38,'Argus Drop'!BH:BH)</f>
        <v>38035</v>
      </c>
      <c r="BE38" s="440">
        <f>SUMIF('Argus Drop'!$D:$D,$A38,'Argus Drop'!BI:BI)</f>
        <v>38035</v>
      </c>
      <c r="BF38" s="440">
        <f>SUMIF('Argus Drop'!$D:$D,$A38,'Argus Drop'!BJ:BJ)</f>
        <v>38035</v>
      </c>
      <c r="BG38" s="440">
        <f>SUMIF('Argus Drop'!$D:$D,$A38,'Argus Drop'!BK:BK)</f>
        <v>38035</v>
      </c>
      <c r="BH38" s="440">
        <f>SUMIF('Argus Drop'!$D:$D,$A38,'Argus Drop'!BL:BL)</f>
        <v>38035</v>
      </c>
      <c r="BI38" s="440">
        <f>SUMIF('Argus Drop'!$D:$D,$A38,'Argus Drop'!BM:BM)</f>
        <v>38035</v>
      </c>
      <c r="BJ38" s="440">
        <f>SUMIF('Argus Drop'!$D:$D,$A38,'Argus Drop'!BN:BN)</f>
        <v>38035</v>
      </c>
      <c r="BK38" s="440">
        <f>SUMIF('Argus Drop'!$D:$D,$A38,'Argus Drop'!BO:BO)</f>
        <v>38035</v>
      </c>
      <c r="BL38" s="440">
        <f>SUMIF('Argus Drop'!$D:$D,$A38,'Argus Drop'!BP:BP)</f>
        <v>38035</v>
      </c>
      <c r="BM38" s="440">
        <f>SUMIF('Argus Drop'!$D:$D,$A38,'Argus Drop'!BQ:BQ)</f>
        <v>39176</v>
      </c>
      <c r="BN38" s="440">
        <f>SUMIF('Argus Drop'!$D:$D,$A38,'Argus Drop'!BR:BR)</f>
        <v>39176</v>
      </c>
      <c r="BO38" s="440">
        <f>SUMIF('Argus Drop'!$D:$D,$A38,'Argus Drop'!BS:BS)</f>
        <v>39176</v>
      </c>
      <c r="BP38" s="440">
        <f>SUMIF('Argus Drop'!$D:$D,$A38,'Argus Drop'!BT:BT)</f>
        <v>39176</v>
      </c>
      <c r="BQ38" s="440">
        <f>SUMIF('Argus Drop'!$D:$D,$A38,'Argus Drop'!BU:BU)</f>
        <v>39176</v>
      </c>
      <c r="BR38" s="440">
        <f>SUMIF('Argus Drop'!$D:$D,$A38,'Argus Drop'!BV:BV)</f>
        <v>39176</v>
      </c>
      <c r="BS38" s="440">
        <f>SUMIF('Argus Drop'!$D:$D,$A38,'Argus Drop'!BW:BW)</f>
        <v>39176</v>
      </c>
      <c r="BT38" s="440">
        <f>SUMIF('Argus Drop'!$D:$D,$A38,'Argus Drop'!BX:BX)</f>
        <v>39176</v>
      </c>
      <c r="BU38" s="440">
        <f>SUMIF('Argus Drop'!$D:$D,$A38,'Argus Drop'!BY:BY)</f>
        <v>39176</v>
      </c>
      <c r="BV38" s="440">
        <f>SUMIF('Argus Drop'!$D:$D,$A38,'Argus Drop'!BZ:BZ)</f>
        <v>39176</v>
      </c>
      <c r="BW38" s="440">
        <f>SUMIF('Argus Drop'!$D:$D,$A38,'Argus Drop'!CA:CA)</f>
        <v>39176</v>
      </c>
      <c r="BX38" s="440">
        <f>SUMIF('Argus Drop'!$D:$D,$A38,'Argus Drop'!CB:CB)</f>
        <v>39176</v>
      </c>
      <c r="BY38" s="440">
        <f>SUMIF('Argus Drop'!$D:$D,$A38,'Argus Drop'!CC:CC)</f>
        <v>40351</v>
      </c>
      <c r="BZ38" s="440">
        <f>SUMIF('Argus Drop'!$D:$D,$A38,'Argus Drop'!CD:CD)</f>
        <v>40351</v>
      </c>
      <c r="CA38" s="440">
        <f>SUMIF('Argus Drop'!$D:$D,$A38,'Argus Drop'!CE:CE)</f>
        <v>40351</v>
      </c>
      <c r="CB38" s="440">
        <f>SUMIF('Argus Drop'!$D:$D,$A38,'Argus Drop'!CF:CF)</f>
        <v>40351</v>
      </c>
      <c r="CC38" s="440">
        <f>SUMIF('Argus Drop'!$D:$D,$A38,'Argus Drop'!CG:CG)</f>
        <v>40351</v>
      </c>
      <c r="CD38" s="440">
        <f>SUMIF('Argus Drop'!$D:$D,$A38,'Argus Drop'!CH:CH)</f>
        <v>40351</v>
      </c>
      <c r="CE38" s="440">
        <f>SUMIF('Argus Drop'!$D:$D,$A38,'Argus Drop'!CI:CI)</f>
        <v>40351</v>
      </c>
      <c r="CF38" s="440">
        <f>SUMIF('Argus Drop'!$D:$D,$A38,'Argus Drop'!CJ:CJ)</f>
        <v>40351</v>
      </c>
      <c r="CG38" s="440">
        <f>SUMIF('Argus Drop'!$D:$D,$A38,'Argus Drop'!CK:CK)</f>
        <v>40351</v>
      </c>
      <c r="CH38" s="440">
        <f>SUMIF('Argus Drop'!$D:$D,$A38,'Argus Drop'!CL:CL)</f>
        <v>40351</v>
      </c>
      <c r="CI38" s="440">
        <f>SUMIF('Argus Drop'!$D:$D,$A38,'Argus Drop'!CM:CM)</f>
        <v>40351</v>
      </c>
      <c r="CJ38" s="440">
        <f>SUMIF('Argus Drop'!$D:$D,$A38,'Argus Drop'!CN:CN)</f>
        <v>40351</v>
      </c>
      <c r="CK38" s="440">
        <f>SUMIF('Argus Drop'!$D:$D,$A38,'Argus Drop'!CO:CO)</f>
        <v>41561</v>
      </c>
      <c r="CL38" s="440">
        <f>SUMIF('Argus Drop'!$D:$D,$A38,'Argus Drop'!CP:CP)</f>
        <v>41561</v>
      </c>
      <c r="CM38" s="440">
        <f>SUMIF('Argus Drop'!$D:$D,$A38,'Argus Drop'!CQ:CQ)</f>
        <v>41561</v>
      </c>
      <c r="CN38" s="440">
        <f>SUMIF('Argus Drop'!$D:$D,$A38,'Argus Drop'!CR:CR)</f>
        <v>41561</v>
      </c>
      <c r="CO38" s="440">
        <f>SUMIF('Argus Drop'!$D:$D,$A38,'Argus Drop'!CS:CS)</f>
        <v>41561</v>
      </c>
      <c r="CP38" s="440">
        <f>SUMIF('Argus Drop'!$D:$D,$A38,'Argus Drop'!CT:CT)</f>
        <v>41561</v>
      </c>
      <c r="CQ38" s="440">
        <f>SUMIF('Argus Drop'!$D:$D,$A38,'Argus Drop'!CU:CU)</f>
        <v>41561</v>
      </c>
      <c r="CR38" s="440">
        <f>SUMIF('Argus Drop'!$D:$D,$A38,'Argus Drop'!CV:CV)</f>
        <v>41561</v>
      </c>
      <c r="CS38" s="440">
        <f>SUMIF('Argus Drop'!$D:$D,$A38,'Argus Drop'!CW:CW)</f>
        <v>41561</v>
      </c>
      <c r="CT38" s="440">
        <f>SUMIF('Argus Drop'!$D:$D,$A38,'Argus Drop'!CX:CX)</f>
        <v>41561</v>
      </c>
      <c r="CU38" s="440">
        <f>SUMIF('Argus Drop'!$D:$D,$A38,'Argus Drop'!CY:CY)</f>
        <v>41561</v>
      </c>
      <c r="CV38" s="440">
        <f>SUMIF('Argus Drop'!$D:$D,$A38,'Argus Drop'!CZ:CZ)</f>
        <v>41561</v>
      </c>
      <c r="CW38" s="440">
        <f>SUMIF('Argus Drop'!$D:$D,$A38,'Argus Drop'!DA:DA)</f>
        <v>42808</v>
      </c>
      <c r="CX38" s="440">
        <f>SUMIF('Argus Drop'!$D:$D,$A38,'Argus Drop'!DB:DB)</f>
        <v>42808</v>
      </c>
      <c r="CY38" s="440">
        <f>SUMIF('Argus Drop'!$D:$D,$A38,'Argus Drop'!DC:DC)</f>
        <v>42808</v>
      </c>
      <c r="CZ38" s="440">
        <f>SUMIF('Argus Drop'!$D:$D,$A38,'Argus Drop'!DD:DD)</f>
        <v>42808</v>
      </c>
      <c r="DA38" s="440">
        <f>SUMIF('Argus Drop'!$D:$D,$A38,'Argus Drop'!DE:DE)</f>
        <v>42808</v>
      </c>
      <c r="DB38" s="440">
        <f>SUMIF('Argus Drop'!$D:$D,$A38,'Argus Drop'!DF:DF)</f>
        <v>42808</v>
      </c>
      <c r="DC38" s="440">
        <f>SUMIF('Argus Drop'!$D:$D,$A38,'Argus Drop'!DG:DG)</f>
        <v>42808</v>
      </c>
      <c r="DD38" s="440">
        <f>SUMIF('Argus Drop'!$D:$D,$A38,'Argus Drop'!DH:DH)</f>
        <v>42808</v>
      </c>
      <c r="DE38" s="440">
        <f>SUMIF('Argus Drop'!$D:$D,$A38,'Argus Drop'!DI:DI)</f>
        <v>42808</v>
      </c>
      <c r="DF38" s="440">
        <f>SUMIF('Argus Drop'!$D:$D,$A38,'Argus Drop'!DJ:DJ)</f>
        <v>42808</v>
      </c>
      <c r="DG38" s="440">
        <f>SUMIF('Argus Drop'!$D:$D,$A38,'Argus Drop'!DK:DK)</f>
        <v>42808</v>
      </c>
      <c r="DH38" s="440">
        <f>SUMIF('Argus Drop'!$D:$D,$A38,'Argus Drop'!DL:DL)</f>
        <v>42808</v>
      </c>
      <c r="DI38" s="440">
        <f>SUMIF('Argus Drop'!$D:$D,$A38,'Argus Drop'!DM:DM)</f>
        <v>44093</v>
      </c>
      <c r="DJ38" s="440">
        <f>SUMIF('Argus Drop'!$D:$D,$A38,'Argus Drop'!DN:DN)</f>
        <v>44093</v>
      </c>
      <c r="DK38" s="440">
        <f>SUMIF('Argus Drop'!$D:$D,$A38,'Argus Drop'!DO:DO)</f>
        <v>44093</v>
      </c>
      <c r="DL38" s="440">
        <f>SUMIF('Argus Drop'!$D:$D,$A38,'Argus Drop'!DP:DP)</f>
        <v>44093</v>
      </c>
      <c r="DM38" s="440">
        <f>SUMIF('Argus Drop'!$D:$D,$A38,'Argus Drop'!DQ:DQ)</f>
        <v>44093</v>
      </c>
      <c r="DN38" s="440">
        <f>SUMIF('Argus Drop'!$D:$D,$A38,'Argus Drop'!DR:DR)</f>
        <v>44093</v>
      </c>
      <c r="DO38" s="440">
        <f>SUMIF('Argus Drop'!$D:$D,$A38,'Argus Drop'!DS:DS)</f>
        <v>44093</v>
      </c>
      <c r="DP38" s="440">
        <f>SUMIF('Argus Drop'!$D:$D,$A38,'Argus Drop'!DT:DT)</f>
        <v>44093</v>
      </c>
      <c r="DQ38" s="440">
        <f>SUMIF('Argus Drop'!$D:$D,$A38,'Argus Drop'!DU:DU)</f>
        <v>44093</v>
      </c>
      <c r="DR38" s="440">
        <f>SUMIF('Argus Drop'!$D:$D,$A38,'Argus Drop'!DV:DV)</f>
        <v>44093</v>
      </c>
      <c r="DS38" s="440"/>
      <c r="DT38" s="440"/>
      <c r="DU38" s="440"/>
      <c r="DV38" s="440"/>
      <c r="DW38" s="440"/>
      <c r="DX38" s="440"/>
      <c r="DY38" s="440"/>
      <c r="DZ38" s="440"/>
      <c r="EA38" s="440"/>
      <c r="EB38" s="440"/>
      <c r="EC38" s="440"/>
      <c r="ED38" s="1419"/>
      <c r="EE38" s="1419"/>
      <c r="EF38" s="1419"/>
      <c r="EG38" s="1419"/>
      <c r="EH38" s="1419"/>
      <c r="EI38" s="1419"/>
      <c r="EJ38" s="1419"/>
      <c r="EK38" s="1419"/>
      <c r="EL38" s="1419"/>
      <c r="EM38" s="1419"/>
      <c r="EN38" s="1419"/>
      <c r="EO38" s="1419"/>
      <c r="EP38" s="1419"/>
      <c r="EQ38" s="1419"/>
      <c r="ER38" s="1419"/>
      <c r="ES38" s="1419"/>
      <c r="ET38" s="1419"/>
      <c r="EU38" s="1419"/>
      <c r="EV38" s="1419"/>
      <c r="EW38" s="1419"/>
      <c r="EX38" s="1419"/>
      <c r="EY38" s="1419"/>
      <c r="EZ38" s="1419"/>
      <c r="FA38" s="1419"/>
      <c r="FB38" s="1419"/>
      <c r="FC38" s="1419"/>
      <c r="FD38" s="1419"/>
      <c r="FE38" s="1419"/>
      <c r="FF38" s="1419"/>
      <c r="FG38" s="1419"/>
      <c r="FH38" s="1419"/>
      <c r="FI38" s="1419"/>
    </row>
    <row r="39" spans="1:165">
      <c r="A39" s="448" t="str">
        <f>IF(+'Argus Drop'!B39="","",'Argus Drop'!B39)</f>
        <v>Noble</v>
      </c>
      <c r="B39" s="440">
        <f>SUMIF('Argus Drop'!$D:$D,$A39,'Argus Drop'!F:F)</f>
        <v>0</v>
      </c>
      <c r="C39" s="440">
        <f>SUMIF('Argus Drop'!$D:$D,$A39,'Argus Drop'!G:G)</f>
        <v>0</v>
      </c>
      <c r="D39" s="440">
        <f>SUMIF('Argus Drop'!$D:$D,$A39,'Argus Drop'!H:H)</f>
        <v>0</v>
      </c>
      <c r="E39" s="440">
        <f>SUMIF('Argus Drop'!$D:$D,$A39,'Argus Drop'!I:I)</f>
        <v>0</v>
      </c>
      <c r="F39" s="440">
        <f>SUMIF('Argus Drop'!$D:$D,$A39,'Argus Drop'!J:J)</f>
        <v>0</v>
      </c>
      <c r="G39" s="440">
        <f>SUMIF('Argus Drop'!$D:$D,$A39,'Argus Drop'!K:K)</f>
        <v>0</v>
      </c>
      <c r="H39" s="440">
        <f>SUMIF('Argus Drop'!$D:$D,$A39,'Argus Drop'!L:L)</f>
        <v>0</v>
      </c>
      <c r="I39" s="440">
        <f>SUMIF('Argus Drop'!$D:$D,$A39,'Argus Drop'!M:M)</f>
        <v>0</v>
      </c>
      <c r="J39" s="440">
        <f>SUMIF('Argus Drop'!$D:$D,$A39,'Argus Drop'!N:N)</f>
        <v>0</v>
      </c>
      <c r="K39" s="440">
        <f>SUMIF('Argus Drop'!$D:$D,$A39,'Argus Drop'!O:O)</f>
        <v>0</v>
      </c>
      <c r="L39" s="440">
        <f>SUMIF('Argus Drop'!$D:$D,$A39,'Argus Drop'!P:P)</f>
        <v>0</v>
      </c>
      <c r="M39" s="440">
        <f>SUMIF('Argus Drop'!$D:$D,$A39,'Argus Drop'!Q:Q)</f>
        <v>0</v>
      </c>
      <c r="N39" s="440">
        <f>SUMIF('Argus Drop'!$D:$D,$A39,'Argus Drop'!R:R)</f>
        <v>0</v>
      </c>
      <c r="O39" s="440">
        <f>SUMIF('Argus Drop'!$D:$D,$A39,'Argus Drop'!S:S)</f>
        <v>0</v>
      </c>
      <c r="P39" s="440">
        <f>SUMIF('Argus Drop'!$D:$D,$A39,'Argus Drop'!T:T)</f>
        <v>0</v>
      </c>
      <c r="Q39" s="440">
        <f>SUMIF('Argus Drop'!$D:$D,$A39,'Argus Drop'!U:U)</f>
        <v>0</v>
      </c>
      <c r="R39" s="440">
        <f>SUMIF('Argus Drop'!$D:$D,$A39,'Argus Drop'!V:V)</f>
        <v>0</v>
      </c>
      <c r="S39" s="440">
        <f>SUMIF('Argus Drop'!$D:$D,$A39,'Argus Drop'!W:W)</f>
        <v>0</v>
      </c>
      <c r="T39" s="440">
        <f>SUMIF('Argus Drop'!$D:$D,$A39,'Argus Drop'!X:X)</f>
        <v>0</v>
      </c>
      <c r="U39" s="440">
        <f>SUMIF('Argus Drop'!$D:$D,$A39,'Argus Drop'!Y:Y)</f>
        <v>0</v>
      </c>
      <c r="V39" s="440">
        <f>SUMIF('Argus Drop'!$D:$D,$A39,'Argus Drop'!Z:Z)</f>
        <v>0</v>
      </c>
      <c r="W39" s="440">
        <f>SUMIF('Argus Drop'!$D:$D,$A39,'Argus Drop'!AA:AA)</f>
        <v>0</v>
      </c>
      <c r="X39" s="440">
        <f>SUMIF('Argus Drop'!$D:$D,$A39,'Argus Drop'!AB:AB)</f>
        <v>0</v>
      </c>
      <c r="Y39" s="440">
        <f>SUMIF('Argus Drop'!$D:$D,$A39,'Argus Drop'!AC:AC)</f>
        <v>0</v>
      </c>
      <c r="Z39" s="440">
        <f>SUMIF('Argus Drop'!$D:$D,$A39,'Argus Drop'!AD:AD)</f>
        <v>0</v>
      </c>
      <c r="AA39" s="440">
        <f>SUMIF('Argus Drop'!$D:$D,$A39,'Argus Drop'!AE:AE)</f>
        <v>0</v>
      </c>
      <c r="AB39" s="440">
        <f>SUMIF('Argus Drop'!$D:$D,$A39,'Argus Drop'!AF:AF)</f>
        <v>0</v>
      </c>
      <c r="AC39" s="440">
        <f>SUMIF('Argus Drop'!$D:$D,$A39,'Argus Drop'!AG:AG)</f>
        <v>0</v>
      </c>
      <c r="AD39" s="440">
        <f>SUMIF('Argus Drop'!$D:$D,$A39,'Argus Drop'!AH:AH)</f>
        <v>0</v>
      </c>
      <c r="AE39" s="440">
        <f>SUMIF('Argus Drop'!$D:$D,$A39,'Argus Drop'!AI:AI)</f>
        <v>0</v>
      </c>
      <c r="AF39" s="440">
        <f>SUMIF('Argus Drop'!$D:$D,$A39,'Argus Drop'!AJ:AJ)</f>
        <v>0</v>
      </c>
      <c r="AG39" s="440">
        <f>SUMIF('Argus Drop'!$D:$D,$A39,'Argus Drop'!AK:AK)</f>
        <v>0</v>
      </c>
      <c r="AH39" s="440">
        <f>SUMIF('Argus Drop'!$D:$D,$A39,'Argus Drop'!AL:AL)</f>
        <v>0</v>
      </c>
      <c r="AI39" s="440">
        <f>SUMIF('Argus Drop'!$D:$D,$A39,'Argus Drop'!AM:AM)</f>
        <v>0</v>
      </c>
      <c r="AJ39" s="440">
        <f>SUMIF('Argus Drop'!$D:$D,$A39,'Argus Drop'!AN:AN)</f>
        <v>0</v>
      </c>
      <c r="AK39" s="440">
        <f>SUMIF('Argus Drop'!$D:$D,$A39,'Argus Drop'!AO:AO)</f>
        <v>0</v>
      </c>
      <c r="AL39" s="440">
        <f>SUMIF('Argus Drop'!$D:$D,$A39,'Argus Drop'!AP:AP)</f>
        <v>0</v>
      </c>
      <c r="AM39" s="440">
        <f>SUMIF('Argus Drop'!$D:$D,$A39,'Argus Drop'!AQ:AQ)</f>
        <v>0</v>
      </c>
      <c r="AN39" s="440">
        <f>SUMIF('Argus Drop'!$D:$D,$A39,'Argus Drop'!AR:AR)</f>
        <v>0</v>
      </c>
      <c r="AO39" s="440">
        <f>SUMIF('Argus Drop'!$D:$D,$A39,'Argus Drop'!AS:AS)</f>
        <v>0</v>
      </c>
      <c r="AP39" s="440">
        <f>SUMIF('Argus Drop'!$D:$D,$A39,'Argus Drop'!AT:AT)</f>
        <v>0</v>
      </c>
      <c r="AQ39" s="440">
        <f>SUMIF('Argus Drop'!$D:$D,$A39,'Argus Drop'!AU:AU)</f>
        <v>0</v>
      </c>
      <c r="AR39" s="440">
        <f>SUMIF('Argus Drop'!$D:$D,$A39,'Argus Drop'!AV:AV)</f>
        <v>0</v>
      </c>
      <c r="AS39" s="440">
        <f>SUMIF('Argus Drop'!$D:$D,$A39,'Argus Drop'!AW:AW)</f>
        <v>0</v>
      </c>
      <c r="AT39" s="440">
        <f>SUMIF('Argus Drop'!$D:$D,$A39,'Argus Drop'!AX:AX)</f>
        <v>0</v>
      </c>
      <c r="AU39" s="440">
        <f>SUMIF('Argus Drop'!$D:$D,$A39,'Argus Drop'!AY:AY)</f>
        <v>0</v>
      </c>
      <c r="AV39" s="440">
        <f>SUMIF('Argus Drop'!$D:$D,$A39,'Argus Drop'!AZ:AZ)</f>
        <v>0</v>
      </c>
      <c r="AW39" s="440">
        <f>SUMIF('Argus Drop'!$D:$D,$A39,'Argus Drop'!BA:BA)</f>
        <v>0</v>
      </c>
      <c r="AX39" s="440">
        <f>SUMIF('Argus Drop'!$D:$D,$A39,'Argus Drop'!BB:BB)</f>
        <v>0</v>
      </c>
      <c r="AY39" s="440">
        <f>SUMIF('Argus Drop'!$D:$D,$A39,'Argus Drop'!BC:BC)</f>
        <v>0</v>
      </c>
      <c r="AZ39" s="440">
        <f>SUMIF('Argus Drop'!$D:$D,$A39,'Argus Drop'!BD:BD)</f>
        <v>0</v>
      </c>
      <c r="BA39" s="440">
        <f>SUMIF('Argus Drop'!$D:$D,$A39,'Argus Drop'!BE:BE)</f>
        <v>0</v>
      </c>
      <c r="BB39" s="440">
        <f>SUMIF('Argus Drop'!$D:$D,$A39,'Argus Drop'!BF:BF)</f>
        <v>0</v>
      </c>
      <c r="BC39" s="440">
        <f>SUMIF('Argus Drop'!$D:$D,$A39,'Argus Drop'!BG:BG)</f>
        <v>0</v>
      </c>
      <c r="BD39" s="440">
        <f>SUMIF('Argus Drop'!$D:$D,$A39,'Argus Drop'!BH:BH)</f>
        <v>0</v>
      </c>
      <c r="BE39" s="440">
        <f>SUMIF('Argus Drop'!$D:$D,$A39,'Argus Drop'!BI:BI)</f>
        <v>0</v>
      </c>
      <c r="BF39" s="440">
        <f>SUMIF('Argus Drop'!$D:$D,$A39,'Argus Drop'!BJ:BJ)</f>
        <v>0</v>
      </c>
      <c r="BG39" s="440">
        <f>SUMIF('Argus Drop'!$D:$D,$A39,'Argus Drop'!BK:BK)</f>
        <v>0</v>
      </c>
      <c r="BH39" s="440">
        <f>SUMIF('Argus Drop'!$D:$D,$A39,'Argus Drop'!BL:BL)</f>
        <v>0</v>
      </c>
      <c r="BI39" s="440">
        <f>SUMIF('Argus Drop'!$D:$D,$A39,'Argus Drop'!BM:BM)</f>
        <v>0</v>
      </c>
      <c r="BJ39" s="440">
        <f>SUMIF('Argus Drop'!$D:$D,$A39,'Argus Drop'!BN:BN)</f>
        <v>0</v>
      </c>
      <c r="BK39" s="440">
        <f>SUMIF('Argus Drop'!$D:$D,$A39,'Argus Drop'!BO:BO)</f>
        <v>0</v>
      </c>
      <c r="BL39" s="440">
        <f>SUMIF('Argus Drop'!$D:$D,$A39,'Argus Drop'!BP:BP)</f>
        <v>0</v>
      </c>
      <c r="BM39" s="440">
        <f>SUMIF('Argus Drop'!$D:$D,$A39,'Argus Drop'!BQ:BQ)</f>
        <v>0</v>
      </c>
      <c r="BN39" s="440">
        <f>SUMIF('Argus Drop'!$D:$D,$A39,'Argus Drop'!BR:BR)</f>
        <v>0</v>
      </c>
      <c r="BO39" s="440">
        <f>SUMIF('Argus Drop'!$D:$D,$A39,'Argus Drop'!BS:BS)</f>
        <v>0</v>
      </c>
      <c r="BP39" s="440">
        <f>SUMIF('Argus Drop'!$D:$D,$A39,'Argus Drop'!BT:BT)</f>
        <v>0</v>
      </c>
      <c r="BQ39" s="440">
        <f>SUMIF('Argus Drop'!$D:$D,$A39,'Argus Drop'!BU:BU)</f>
        <v>0</v>
      </c>
      <c r="BR39" s="440">
        <f>SUMIF('Argus Drop'!$D:$D,$A39,'Argus Drop'!BV:BV)</f>
        <v>0</v>
      </c>
      <c r="BS39" s="440">
        <f>SUMIF('Argus Drop'!$D:$D,$A39,'Argus Drop'!BW:BW)</f>
        <v>0</v>
      </c>
      <c r="BT39" s="440">
        <f>SUMIF('Argus Drop'!$D:$D,$A39,'Argus Drop'!BX:BX)</f>
        <v>0</v>
      </c>
      <c r="BU39" s="440">
        <f>SUMIF('Argus Drop'!$D:$D,$A39,'Argus Drop'!BY:BY)</f>
        <v>0</v>
      </c>
      <c r="BV39" s="440">
        <f>SUMIF('Argus Drop'!$D:$D,$A39,'Argus Drop'!BZ:BZ)</f>
        <v>0</v>
      </c>
      <c r="BW39" s="440">
        <f>SUMIF('Argus Drop'!$D:$D,$A39,'Argus Drop'!CA:CA)</f>
        <v>0</v>
      </c>
      <c r="BX39" s="440">
        <f>SUMIF('Argus Drop'!$D:$D,$A39,'Argus Drop'!CB:CB)</f>
        <v>0</v>
      </c>
      <c r="BY39" s="440">
        <f>SUMIF('Argus Drop'!$D:$D,$A39,'Argus Drop'!CC:CC)</f>
        <v>0</v>
      </c>
      <c r="BZ39" s="440">
        <f>SUMIF('Argus Drop'!$D:$D,$A39,'Argus Drop'!CD:CD)</f>
        <v>0</v>
      </c>
      <c r="CA39" s="440">
        <f>SUMIF('Argus Drop'!$D:$D,$A39,'Argus Drop'!CE:CE)</f>
        <v>0</v>
      </c>
      <c r="CB39" s="440">
        <f>SUMIF('Argus Drop'!$D:$D,$A39,'Argus Drop'!CF:CF)</f>
        <v>0</v>
      </c>
      <c r="CC39" s="440">
        <f>SUMIF('Argus Drop'!$D:$D,$A39,'Argus Drop'!CG:CG)</f>
        <v>0</v>
      </c>
      <c r="CD39" s="440">
        <f>SUMIF('Argus Drop'!$D:$D,$A39,'Argus Drop'!CH:CH)</f>
        <v>0</v>
      </c>
      <c r="CE39" s="440">
        <f>SUMIF('Argus Drop'!$D:$D,$A39,'Argus Drop'!CI:CI)</f>
        <v>0</v>
      </c>
      <c r="CF39" s="440">
        <f>SUMIF('Argus Drop'!$D:$D,$A39,'Argus Drop'!CJ:CJ)</f>
        <v>0</v>
      </c>
      <c r="CG39" s="440">
        <f>SUMIF('Argus Drop'!$D:$D,$A39,'Argus Drop'!CK:CK)</f>
        <v>0</v>
      </c>
      <c r="CH39" s="440">
        <f>SUMIF('Argus Drop'!$D:$D,$A39,'Argus Drop'!CL:CL)</f>
        <v>0</v>
      </c>
      <c r="CI39" s="440">
        <f>SUMIF('Argus Drop'!$D:$D,$A39,'Argus Drop'!CM:CM)</f>
        <v>0</v>
      </c>
      <c r="CJ39" s="440">
        <f>SUMIF('Argus Drop'!$D:$D,$A39,'Argus Drop'!CN:CN)</f>
        <v>0</v>
      </c>
      <c r="CK39" s="440">
        <f>SUMIF('Argus Drop'!$D:$D,$A39,'Argus Drop'!CO:CO)</f>
        <v>0</v>
      </c>
      <c r="CL39" s="440">
        <f>SUMIF('Argus Drop'!$D:$D,$A39,'Argus Drop'!CP:CP)</f>
        <v>0</v>
      </c>
      <c r="CM39" s="440">
        <f>SUMIF('Argus Drop'!$D:$D,$A39,'Argus Drop'!CQ:CQ)</f>
        <v>0</v>
      </c>
      <c r="CN39" s="440">
        <f>SUMIF('Argus Drop'!$D:$D,$A39,'Argus Drop'!CR:CR)</f>
        <v>0</v>
      </c>
      <c r="CO39" s="440">
        <f>SUMIF('Argus Drop'!$D:$D,$A39,'Argus Drop'!CS:CS)</f>
        <v>0</v>
      </c>
      <c r="CP39" s="440">
        <f>SUMIF('Argus Drop'!$D:$D,$A39,'Argus Drop'!CT:CT)</f>
        <v>0</v>
      </c>
      <c r="CQ39" s="440">
        <f>SUMIF('Argus Drop'!$D:$D,$A39,'Argus Drop'!CU:CU)</f>
        <v>0</v>
      </c>
      <c r="CR39" s="440">
        <f>SUMIF('Argus Drop'!$D:$D,$A39,'Argus Drop'!CV:CV)</f>
        <v>0</v>
      </c>
      <c r="CS39" s="440">
        <f>SUMIF('Argus Drop'!$D:$D,$A39,'Argus Drop'!CW:CW)</f>
        <v>0</v>
      </c>
      <c r="CT39" s="440">
        <f>SUMIF('Argus Drop'!$D:$D,$A39,'Argus Drop'!CX:CX)</f>
        <v>0</v>
      </c>
      <c r="CU39" s="440">
        <f>SUMIF('Argus Drop'!$D:$D,$A39,'Argus Drop'!CY:CY)</f>
        <v>0</v>
      </c>
      <c r="CV39" s="440">
        <f>SUMIF('Argus Drop'!$D:$D,$A39,'Argus Drop'!CZ:CZ)</f>
        <v>0</v>
      </c>
      <c r="CW39" s="440">
        <f>SUMIF('Argus Drop'!$D:$D,$A39,'Argus Drop'!DA:DA)</f>
        <v>0</v>
      </c>
      <c r="CX39" s="440">
        <f>SUMIF('Argus Drop'!$D:$D,$A39,'Argus Drop'!DB:DB)</f>
        <v>0</v>
      </c>
      <c r="CY39" s="440">
        <f>SUMIF('Argus Drop'!$D:$D,$A39,'Argus Drop'!DC:DC)</f>
        <v>0</v>
      </c>
      <c r="CZ39" s="440">
        <f>SUMIF('Argus Drop'!$D:$D,$A39,'Argus Drop'!DD:DD)</f>
        <v>0</v>
      </c>
      <c r="DA39" s="440">
        <f>SUMIF('Argus Drop'!$D:$D,$A39,'Argus Drop'!DE:DE)</f>
        <v>0</v>
      </c>
      <c r="DB39" s="440">
        <f>SUMIF('Argus Drop'!$D:$D,$A39,'Argus Drop'!DF:DF)</f>
        <v>0</v>
      </c>
      <c r="DC39" s="440">
        <f>SUMIF('Argus Drop'!$D:$D,$A39,'Argus Drop'!DG:DG)</f>
        <v>0</v>
      </c>
      <c r="DD39" s="440">
        <f>SUMIF('Argus Drop'!$D:$D,$A39,'Argus Drop'!DH:DH)</f>
        <v>0</v>
      </c>
      <c r="DE39" s="440">
        <f>SUMIF('Argus Drop'!$D:$D,$A39,'Argus Drop'!DI:DI)</f>
        <v>0</v>
      </c>
      <c r="DF39" s="440">
        <f>SUMIF('Argus Drop'!$D:$D,$A39,'Argus Drop'!DJ:DJ)</f>
        <v>0</v>
      </c>
      <c r="DG39" s="440">
        <f>SUMIF('Argus Drop'!$D:$D,$A39,'Argus Drop'!DK:DK)</f>
        <v>0</v>
      </c>
      <c r="DH39" s="440">
        <f>SUMIF('Argus Drop'!$D:$D,$A39,'Argus Drop'!DL:DL)</f>
        <v>0</v>
      </c>
      <c r="DI39" s="440">
        <f>SUMIF('Argus Drop'!$D:$D,$A39,'Argus Drop'!DM:DM)</f>
        <v>0</v>
      </c>
      <c r="DJ39" s="440">
        <f>SUMIF('Argus Drop'!$D:$D,$A39,'Argus Drop'!DN:DN)</f>
        <v>0</v>
      </c>
      <c r="DK39" s="440">
        <f>SUMIF('Argus Drop'!$D:$D,$A39,'Argus Drop'!DO:DO)</f>
        <v>0</v>
      </c>
      <c r="DL39" s="440">
        <f>SUMIF('Argus Drop'!$D:$D,$A39,'Argus Drop'!DP:DP)</f>
        <v>0</v>
      </c>
      <c r="DM39" s="440">
        <f>SUMIF('Argus Drop'!$D:$D,$A39,'Argus Drop'!DQ:DQ)</f>
        <v>0</v>
      </c>
      <c r="DN39" s="440">
        <f>SUMIF('Argus Drop'!$D:$D,$A39,'Argus Drop'!DR:DR)</f>
        <v>0</v>
      </c>
      <c r="DO39" s="440">
        <f>SUMIF('Argus Drop'!$D:$D,$A39,'Argus Drop'!DS:DS)</f>
        <v>0</v>
      </c>
      <c r="DP39" s="440">
        <f>SUMIF('Argus Drop'!$D:$D,$A39,'Argus Drop'!DT:DT)</f>
        <v>0</v>
      </c>
      <c r="DQ39" s="440">
        <f>SUMIF('Argus Drop'!$D:$D,$A39,'Argus Drop'!DU:DU)</f>
        <v>0</v>
      </c>
      <c r="DR39" s="440">
        <f>SUMIF('Argus Drop'!$D:$D,$A39,'Argus Drop'!DV:DV)</f>
        <v>0</v>
      </c>
      <c r="DS39" s="440"/>
      <c r="DT39" s="440"/>
      <c r="DU39" s="440"/>
      <c r="DV39" s="440"/>
      <c r="DW39" s="440"/>
      <c r="DX39" s="440"/>
      <c r="DY39" s="440"/>
      <c r="DZ39" s="440"/>
      <c r="EA39" s="440"/>
      <c r="EB39" s="440"/>
      <c r="EC39" s="440"/>
      <c r="ED39" s="1419"/>
      <c r="EE39" s="1419"/>
      <c r="EF39" s="1419"/>
      <c r="EG39" s="1419"/>
      <c r="EH39" s="1419"/>
      <c r="EI39" s="1419"/>
      <c r="EJ39" s="1419"/>
      <c r="EK39" s="1419"/>
      <c r="EL39" s="1419"/>
      <c r="EM39" s="1419"/>
      <c r="EN39" s="1419"/>
      <c r="EO39" s="1419"/>
      <c r="EP39" s="1419"/>
      <c r="EQ39" s="1419"/>
      <c r="ER39" s="1419"/>
      <c r="ES39" s="1419"/>
      <c r="ET39" s="1419"/>
      <c r="EU39" s="1419"/>
      <c r="EV39" s="1419"/>
      <c r="EW39" s="1419"/>
      <c r="EX39" s="1419"/>
      <c r="EY39" s="1419"/>
      <c r="EZ39" s="1419"/>
      <c r="FA39" s="1419"/>
      <c r="FB39" s="1419"/>
      <c r="FC39" s="1419"/>
      <c r="FD39" s="1419"/>
      <c r="FE39" s="1419"/>
      <c r="FF39" s="1419"/>
      <c r="FG39" s="1419"/>
      <c r="FH39" s="1419"/>
      <c r="FI39" s="1419"/>
    </row>
    <row r="40" spans="1:165">
      <c r="A40" s="448" t="str">
        <f>IF(+'Argus Drop'!B40="","",'Argus Drop'!B40)</f>
        <v>OpEx</v>
      </c>
      <c r="B40" s="440">
        <f>SUMIF('Argus Drop'!$D:$D,$A40,'Argus Drop'!F:F)</f>
        <v>144829</v>
      </c>
      <c r="C40" s="440">
        <f>SUMIF('Argus Drop'!$D:$D,$A40,'Argus Drop'!G:G)</f>
        <v>145533</v>
      </c>
      <c r="D40" s="440">
        <f>SUMIF('Argus Drop'!$D:$D,$A40,'Argus Drop'!H:H)</f>
        <v>145533</v>
      </c>
      <c r="E40" s="440">
        <f>SUMIF('Argus Drop'!$D:$D,$A40,'Argus Drop'!I:I)</f>
        <v>149745</v>
      </c>
      <c r="F40" s="440">
        <f>SUMIF('Argus Drop'!$D:$D,$A40,'Argus Drop'!J:J)</f>
        <v>149745</v>
      </c>
      <c r="G40" s="440">
        <f>SUMIF('Argus Drop'!$D:$D,$A40,'Argus Drop'!K:K)</f>
        <v>149757</v>
      </c>
      <c r="H40" s="440">
        <f>SUMIF('Argus Drop'!$D:$D,$A40,'Argus Drop'!L:L)</f>
        <v>149757</v>
      </c>
      <c r="I40" s="440">
        <f>SUMIF('Argus Drop'!$D:$D,$A40,'Argus Drop'!M:M)</f>
        <v>150074</v>
      </c>
      <c r="J40" s="440">
        <f>SUMIF('Argus Drop'!$D:$D,$A40,'Argus Drop'!N:N)</f>
        <v>150100</v>
      </c>
      <c r="K40" s="440">
        <f>SUMIF('Argus Drop'!$D:$D,$A40,'Argus Drop'!O:O)</f>
        <v>149588</v>
      </c>
      <c r="L40" s="440">
        <f>SUMIF('Argus Drop'!$D:$D,$A40,'Argus Drop'!P:P)</f>
        <v>149134</v>
      </c>
      <c r="M40" s="440">
        <f>SUMIF('Argus Drop'!$D:$D,$A40,'Argus Drop'!Q:Q)</f>
        <v>150301</v>
      </c>
      <c r="N40" s="440">
        <f>SUMIF('Argus Drop'!$D:$D,$A40,'Argus Drop'!R:R)</f>
        <v>150192</v>
      </c>
      <c r="O40" s="440">
        <f>SUMIF('Argus Drop'!$D:$D,$A40,'Argus Drop'!S:S)</f>
        <v>150383</v>
      </c>
      <c r="P40" s="440">
        <f>SUMIF('Argus Drop'!$D:$D,$A40,'Argus Drop'!T:T)</f>
        <v>150383</v>
      </c>
      <c r="Q40" s="440">
        <f>SUMIF('Argus Drop'!$D:$D,$A40,'Argus Drop'!U:U)</f>
        <v>153969</v>
      </c>
      <c r="R40" s="440">
        <f>SUMIF('Argus Drop'!$D:$D,$A40,'Argus Drop'!V:V)</f>
        <v>154662</v>
      </c>
      <c r="S40" s="440">
        <f>SUMIF('Argus Drop'!$D:$D,$A40,'Argus Drop'!W:W)</f>
        <v>154011</v>
      </c>
      <c r="T40" s="440">
        <f>SUMIF('Argus Drop'!$D:$D,$A40,'Argus Drop'!X:X)</f>
        <v>154642</v>
      </c>
      <c r="U40" s="440">
        <f>SUMIF('Argus Drop'!$D:$D,$A40,'Argus Drop'!Y:Y)</f>
        <v>155117</v>
      </c>
      <c r="V40" s="440">
        <f>SUMIF('Argus Drop'!$D:$D,$A40,'Argus Drop'!Z:Z)</f>
        <v>156204</v>
      </c>
      <c r="W40" s="440">
        <f>SUMIF('Argus Drop'!$D:$D,$A40,'Argus Drop'!AA:AA)</f>
        <v>156204</v>
      </c>
      <c r="X40" s="440">
        <f>SUMIF('Argus Drop'!$D:$D,$A40,'Argus Drop'!AB:AB)</f>
        <v>156218</v>
      </c>
      <c r="Y40" s="440">
        <f>SUMIF('Argus Drop'!$D:$D,$A40,'Argus Drop'!AC:AC)</f>
        <v>156241</v>
      </c>
      <c r="Z40" s="440">
        <f>SUMIF('Argus Drop'!$D:$D,$A40,'Argus Drop'!AD:AD)</f>
        <v>156254</v>
      </c>
      <c r="AA40" s="440">
        <f>SUMIF('Argus Drop'!$D:$D,$A40,'Argus Drop'!AE:AE)</f>
        <v>156277</v>
      </c>
      <c r="AB40" s="440">
        <f>SUMIF('Argus Drop'!$D:$D,$A40,'Argus Drop'!AF:AF)</f>
        <v>156292</v>
      </c>
      <c r="AC40" s="440">
        <f>SUMIF('Argus Drop'!$D:$D,$A40,'Argus Drop'!AG:AG)</f>
        <v>160778</v>
      </c>
      <c r="AD40" s="440">
        <f>SUMIF('Argus Drop'!$D:$D,$A40,'Argus Drop'!AH:AH)</f>
        <v>160792</v>
      </c>
      <c r="AE40" s="440">
        <f>SUMIF('Argus Drop'!$D:$D,$A40,'Argus Drop'!AI:AI)</f>
        <v>160792</v>
      </c>
      <c r="AF40" s="440">
        <f>SUMIF('Argus Drop'!$D:$D,$A40,'Argus Drop'!AJ:AJ)</f>
        <v>160805</v>
      </c>
      <c r="AG40" s="440">
        <f>SUMIF('Argus Drop'!$D:$D,$A40,'Argus Drop'!AK:AK)</f>
        <v>160540</v>
      </c>
      <c r="AH40" s="440">
        <f>SUMIF('Argus Drop'!$D:$D,$A40,'Argus Drop'!AL:AL)</f>
        <v>160802</v>
      </c>
      <c r="AI40" s="440">
        <f>SUMIF('Argus Drop'!$D:$D,$A40,'Argus Drop'!AM:AM)</f>
        <v>160802</v>
      </c>
      <c r="AJ40" s="440">
        <f>SUMIF('Argus Drop'!$D:$D,$A40,'Argus Drop'!AN:AN)</f>
        <v>160817</v>
      </c>
      <c r="AK40" s="440">
        <f>SUMIF('Argus Drop'!$D:$D,$A40,'Argus Drop'!AO:AO)</f>
        <v>160840</v>
      </c>
      <c r="AL40" s="440">
        <f>SUMIF('Argus Drop'!$D:$D,$A40,'Argus Drop'!AP:AP)</f>
        <v>160852</v>
      </c>
      <c r="AM40" s="440">
        <f>SUMIF('Argus Drop'!$D:$D,$A40,'Argus Drop'!AQ:AQ)</f>
        <v>160875</v>
      </c>
      <c r="AN40" s="440">
        <f>SUMIF('Argus Drop'!$D:$D,$A40,'Argus Drop'!AR:AR)</f>
        <v>160892</v>
      </c>
      <c r="AO40" s="440">
        <f>SUMIF('Argus Drop'!$D:$D,$A40,'Argus Drop'!AS:AS)</f>
        <v>165470</v>
      </c>
      <c r="AP40" s="440">
        <f>SUMIF('Argus Drop'!$D:$D,$A40,'Argus Drop'!AT:AT)</f>
        <v>165485</v>
      </c>
      <c r="AQ40" s="440">
        <f>SUMIF('Argus Drop'!$D:$D,$A40,'Argus Drop'!AU:AU)</f>
        <v>165485</v>
      </c>
      <c r="AR40" s="440">
        <f>SUMIF('Argus Drop'!$D:$D,$A40,'Argus Drop'!AV:AV)</f>
        <v>165497</v>
      </c>
      <c r="AS40" s="440">
        <f>SUMIF('Argus Drop'!$D:$D,$A40,'Argus Drop'!AW:AW)</f>
        <v>165508</v>
      </c>
      <c r="AT40" s="440">
        <f>SUMIF('Argus Drop'!$D:$D,$A40,'Argus Drop'!AX:AX)</f>
        <v>165535</v>
      </c>
      <c r="AU40" s="440">
        <f>SUMIF('Argus Drop'!$D:$D,$A40,'Argus Drop'!AY:AY)</f>
        <v>165535</v>
      </c>
      <c r="AV40" s="440">
        <f>SUMIF('Argus Drop'!$D:$D,$A40,'Argus Drop'!AZ:AZ)</f>
        <v>165549</v>
      </c>
      <c r="AW40" s="440">
        <f>SUMIF('Argus Drop'!$D:$D,$A40,'Argus Drop'!BA:BA)</f>
        <v>165573</v>
      </c>
      <c r="AX40" s="440">
        <f>SUMIF('Argus Drop'!$D:$D,$A40,'Argus Drop'!BB:BB)</f>
        <v>165049</v>
      </c>
      <c r="AY40" s="440">
        <f>SUMIF('Argus Drop'!$D:$D,$A40,'Argus Drop'!BC:BC)</f>
        <v>164780</v>
      </c>
      <c r="AZ40" s="440">
        <f>SUMIF('Argus Drop'!$D:$D,$A40,'Argus Drop'!BD:BD)</f>
        <v>165588</v>
      </c>
      <c r="BA40" s="440">
        <f>SUMIF('Argus Drop'!$D:$D,$A40,'Argus Drop'!BE:BE)</f>
        <v>170340</v>
      </c>
      <c r="BB40" s="440">
        <f>SUMIF('Argus Drop'!$D:$D,$A40,'Argus Drop'!BF:BF)</f>
        <v>170355</v>
      </c>
      <c r="BC40" s="440">
        <f>SUMIF('Argus Drop'!$D:$D,$A40,'Argus Drop'!BG:BG)</f>
        <v>170355</v>
      </c>
      <c r="BD40" s="440">
        <f>SUMIF('Argus Drop'!$D:$D,$A40,'Argus Drop'!BH:BH)</f>
        <v>170368</v>
      </c>
      <c r="BE40" s="440">
        <f>SUMIF('Argus Drop'!$D:$D,$A40,'Argus Drop'!BI:BI)</f>
        <v>170379</v>
      </c>
      <c r="BF40" s="440">
        <f>SUMIF('Argus Drop'!$D:$D,$A40,'Argus Drop'!BJ:BJ)</f>
        <v>170406</v>
      </c>
      <c r="BG40" s="440">
        <f>SUMIF('Argus Drop'!$D:$D,$A40,'Argus Drop'!BK:BK)</f>
        <v>170406</v>
      </c>
      <c r="BH40" s="440">
        <f>SUMIF('Argus Drop'!$D:$D,$A40,'Argus Drop'!BL:BL)</f>
        <v>170422</v>
      </c>
      <c r="BI40" s="440">
        <f>SUMIF('Argus Drop'!$D:$D,$A40,'Argus Drop'!BM:BM)</f>
        <v>170454</v>
      </c>
      <c r="BJ40" s="440">
        <f>SUMIF('Argus Drop'!$D:$D,$A40,'Argus Drop'!BN:BN)</f>
        <v>169939</v>
      </c>
      <c r="BK40" s="440">
        <f>SUMIF('Argus Drop'!$D:$D,$A40,'Argus Drop'!BO:BO)</f>
        <v>170364</v>
      </c>
      <c r="BL40" s="440">
        <f>SUMIF('Argus Drop'!$D:$D,$A40,'Argus Drop'!BP:BP)</f>
        <v>170396</v>
      </c>
      <c r="BM40" s="440">
        <f>SUMIF('Argus Drop'!$D:$D,$A40,'Argus Drop'!BQ:BQ)</f>
        <v>175284</v>
      </c>
      <c r="BN40" s="440">
        <f>SUMIF('Argus Drop'!$D:$D,$A40,'Argus Drop'!BR:BR)</f>
        <v>175299</v>
      </c>
      <c r="BO40" s="440">
        <f>SUMIF('Argus Drop'!$D:$D,$A40,'Argus Drop'!BS:BS)</f>
        <v>175299</v>
      </c>
      <c r="BP40" s="440">
        <f>SUMIF('Argus Drop'!$D:$D,$A40,'Argus Drop'!BT:BT)</f>
        <v>175313</v>
      </c>
      <c r="BQ40" s="440">
        <f>SUMIF('Argus Drop'!$D:$D,$A40,'Argus Drop'!BU:BU)</f>
        <v>174963</v>
      </c>
      <c r="BR40" s="440">
        <f>SUMIF('Argus Drop'!$D:$D,$A40,'Argus Drop'!BV:BV)</f>
        <v>174712</v>
      </c>
      <c r="BS40" s="440">
        <f>SUMIF('Argus Drop'!$D:$D,$A40,'Argus Drop'!BW:BW)</f>
        <v>175255</v>
      </c>
      <c r="BT40" s="440">
        <f>SUMIF('Argus Drop'!$D:$D,$A40,'Argus Drop'!BX:BX)</f>
        <v>174459</v>
      </c>
      <c r="BU40" s="440">
        <f>SUMIF('Argus Drop'!$D:$D,$A40,'Argus Drop'!BY:BY)</f>
        <v>173872</v>
      </c>
      <c r="BV40" s="440">
        <f>SUMIF('Argus Drop'!$D:$D,$A40,'Argus Drop'!BZ:BZ)</f>
        <v>175112</v>
      </c>
      <c r="BW40" s="440">
        <f>SUMIF('Argus Drop'!$D:$D,$A40,'Argus Drop'!CA:CA)</f>
        <v>175132</v>
      </c>
      <c r="BX40" s="440">
        <f>SUMIF('Argus Drop'!$D:$D,$A40,'Argus Drop'!CB:CB)</f>
        <v>175148</v>
      </c>
      <c r="BY40" s="440">
        <f>SUMIF('Argus Drop'!$D:$D,$A40,'Argus Drop'!CC:CC)</f>
        <v>180172</v>
      </c>
      <c r="BZ40" s="440">
        <f>SUMIF('Argus Drop'!$D:$D,$A40,'Argus Drop'!CD:CD)</f>
        <v>179362</v>
      </c>
      <c r="CA40" s="440">
        <f>SUMIF('Argus Drop'!$D:$D,$A40,'Argus Drop'!CE:CE)</f>
        <v>180114</v>
      </c>
      <c r="CB40" s="440">
        <f>SUMIF('Argus Drop'!$D:$D,$A40,'Argus Drop'!CF:CF)</f>
        <v>179400</v>
      </c>
      <c r="CC40" s="440">
        <f>SUMIF('Argus Drop'!$D:$D,$A40,'Argus Drop'!CG:CG)</f>
        <v>180067</v>
      </c>
      <c r="CD40" s="440">
        <f>SUMIF('Argus Drop'!$D:$D,$A40,'Argus Drop'!CH:CH)</f>
        <v>178474</v>
      </c>
      <c r="CE40" s="440">
        <f>SUMIF('Argus Drop'!$D:$D,$A40,'Argus Drop'!CI:CI)</f>
        <v>178974</v>
      </c>
      <c r="CF40" s="440">
        <f>SUMIF('Argus Drop'!$D:$D,$A40,'Argus Drop'!CJ:CJ)</f>
        <v>179830</v>
      </c>
      <c r="CG40" s="440">
        <f>SUMIF('Argus Drop'!$D:$D,$A40,'Argus Drop'!CK:CK)</f>
        <v>179843</v>
      </c>
      <c r="CH40" s="440">
        <f>SUMIF('Argus Drop'!$D:$D,$A40,'Argus Drop'!CL:CL)</f>
        <v>179868</v>
      </c>
      <c r="CI40" s="440">
        <f>SUMIF('Argus Drop'!$D:$D,$A40,'Argus Drop'!CM:CM)</f>
        <v>179888</v>
      </c>
      <c r="CJ40" s="440">
        <f>SUMIF('Argus Drop'!$D:$D,$A40,'Argus Drop'!CN:CN)</f>
        <v>179905</v>
      </c>
      <c r="CK40" s="440">
        <f>SUMIF('Argus Drop'!$D:$D,$A40,'Argus Drop'!CO:CO)</f>
        <v>185094</v>
      </c>
      <c r="CL40" s="440">
        <f>SUMIF('Argus Drop'!$D:$D,$A40,'Argus Drop'!CP:CP)</f>
        <v>185094</v>
      </c>
      <c r="CM40" s="440">
        <f>SUMIF('Argus Drop'!$D:$D,$A40,'Argus Drop'!CQ:CQ)</f>
        <v>185108</v>
      </c>
      <c r="CN40" s="440">
        <f>SUMIF('Argus Drop'!$D:$D,$A40,'Argus Drop'!CR:CR)</f>
        <v>185108</v>
      </c>
      <c r="CO40" s="440">
        <f>SUMIF('Argus Drop'!$D:$D,$A40,'Argus Drop'!CS:CS)</f>
        <v>185126</v>
      </c>
      <c r="CP40" s="440">
        <f>SUMIF('Argus Drop'!$D:$D,$A40,'Argus Drop'!CT:CT)</f>
        <v>184864</v>
      </c>
      <c r="CQ40" s="440">
        <f>SUMIF('Argus Drop'!$D:$D,$A40,'Argus Drop'!CU:CU)</f>
        <v>185134</v>
      </c>
      <c r="CR40" s="440">
        <f>SUMIF('Argus Drop'!$D:$D,$A40,'Argus Drop'!CV:CV)</f>
        <v>185143</v>
      </c>
      <c r="CS40" s="440">
        <f>SUMIF('Argus Drop'!$D:$D,$A40,'Argus Drop'!CW:CW)</f>
        <v>185158</v>
      </c>
      <c r="CT40" s="440">
        <f>SUMIF('Argus Drop'!$D:$D,$A40,'Argus Drop'!CX:CX)</f>
        <v>185173</v>
      </c>
      <c r="CU40" s="440">
        <f>SUMIF('Argus Drop'!$D:$D,$A40,'Argus Drop'!CY:CY)</f>
        <v>185194</v>
      </c>
      <c r="CV40" s="440">
        <f>SUMIF('Argus Drop'!$D:$D,$A40,'Argus Drop'!CZ:CZ)</f>
        <v>185229</v>
      </c>
      <c r="CW40" s="440">
        <f>SUMIF('Argus Drop'!$D:$D,$A40,'Argus Drop'!DA:DA)</f>
        <v>190574</v>
      </c>
      <c r="CX40" s="440">
        <f>SUMIF('Argus Drop'!$D:$D,$A40,'Argus Drop'!DB:DB)</f>
        <v>190574</v>
      </c>
      <c r="CY40" s="440">
        <f>SUMIF('Argus Drop'!$D:$D,$A40,'Argus Drop'!DC:DC)</f>
        <v>190588</v>
      </c>
      <c r="CZ40" s="440">
        <f>SUMIF('Argus Drop'!$D:$D,$A40,'Argus Drop'!DD:DD)</f>
        <v>190588</v>
      </c>
      <c r="DA40" s="440">
        <f>SUMIF('Argus Drop'!$D:$D,$A40,'Argus Drop'!DE:DE)</f>
        <v>190607</v>
      </c>
      <c r="DB40" s="440">
        <f>SUMIF('Argus Drop'!$D:$D,$A40,'Argus Drop'!DF:DF)</f>
        <v>190615</v>
      </c>
      <c r="DC40" s="440">
        <f>SUMIF('Argus Drop'!$D:$D,$A40,'Argus Drop'!DG:DG)</f>
        <v>190639</v>
      </c>
      <c r="DD40" s="440">
        <f>SUMIF('Argus Drop'!$D:$D,$A40,'Argus Drop'!DH:DH)</f>
        <v>190648</v>
      </c>
      <c r="DE40" s="440">
        <f>SUMIF('Argus Drop'!$D:$D,$A40,'Argus Drop'!DI:DI)</f>
        <v>190663</v>
      </c>
      <c r="DF40" s="440">
        <f>SUMIF('Argus Drop'!$D:$D,$A40,'Argus Drop'!DJ:DJ)</f>
        <v>190685</v>
      </c>
      <c r="DG40" s="440">
        <f>SUMIF('Argus Drop'!$D:$D,$A40,'Argus Drop'!DK:DK)</f>
        <v>189958</v>
      </c>
      <c r="DH40" s="440">
        <f>SUMIF('Argus Drop'!$D:$D,$A40,'Argus Drop'!DL:DL)</f>
        <v>189728</v>
      </c>
      <c r="DI40" s="440">
        <f>SUMIF('Argus Drop'!$D:$D,$A40,'Argus Drop'!DM:DM)</f>
        <v>196049</v>
      </c>
      <c r="DJ40" s="440">
        <f>SUMIF('Argus Drop'!$D:$D,$A40,'Argus Drop'!DN:DN)</f>
        <v>196049</v>
      </c>
      <c r="DK40" s="440">
        <f>SUMIF('Argus Drop'!$D:$D,$A40,'Argus Drop'!DO:DO)</f>
        <v>196064</v>
      </c>
      <c r="DL40" s="440">
        <f>SUMIF('Argus Drop'!$D:$D,$A40,'Argus Drop'!DP:DP)</f>
        <v>196064</v>
      </c>
      <c r="DM40" s="440">
        <f>SUMIF('Argus Drop'!$D:$D,$A40,'Argus Drop'!DQ:DQ)</f>
        <v>196083</v>
      </c>
      <c r="DN40" s="440">
        <f>SUMIF('Argus Drop'!$D:$D,$A40,'Argus Drop'!DR:DR)</f>
        <v>196092</v>
      </c>
      <c r="DO40" s="440">
        <f>SUMIF('Argus Drop'!$D:$D,$A40,'Argus Drop'!DS:DS)</f>
        <v>196116</v>
      </c>
      <c r="DP40" s="440">
        <f>SUMIF('Argus Drop'!$D:$D,$A40,'Argus Drop'!DT:DT)</f>
        <v>196125</v>
      </c>
      <c r="DQ40" s="440">
        <f>SUMIF('Argus Drop'!$D:$D,$A40,'Argus Drop'!DU:DU)</f>
        <v>195986</v>
      </c>
      <c r="DR40" s="440">
        <f>SUMIF('Argus Drop'!$D:$D,$A40,'Argus Drop'!DV:DV)</f>
        <v>196145</v>
      </c>
      <c r="DS40" s="440"/>
      <c r="DT40" s="440"/>
      <c r="DU40" s="440"/>
      <c r="DV40" s="440"/>
      <c r="DW40" s="440"/>
      <c r="DX40" s="440"/>
      <c r="DY40" s="440"/>
      <c r="DZ40" s="440"/>
      <c r="EA40" s="440"/>
      <c r="EB40" s="440"/>
      <c r="EC40" s="440"/>
      <c r="ED40" s="1419"/>
      <c r="EE40" s="1419"/>
      <c r="EF40" s="1419"/>
      <c r="EG40" s="1419"/>
      <c r="EH40" s="1419"/>
      <c r="EI40" s="1419"/>
      <c r="EJ40" s="1419"/>
      <c r="EK40" s="1419"/>
      <c r="EL40" s="1419"/>
      <c r="EM40" s="1419"/>
      <c r="EN40" s="1419"/>
      <c r="EO40" s="1419"/>
      <c r="EP40" s="1419"/>
      <c r="EQ40" s="1419"/>
      <c r="ER40" s="1419"/>
      <c r="ES40" s="1419"/>
      <c r="ET40" s="1419"/>
      <c r="EU40" s="1419"/>
      <c r="EV40" s="1419"/>
      <c r="EW40" s="1419"/>
      <c r="EX40" s="1419"/>
      <c r="EY40" s="1419"/>
      <c r="EZ40" s="1419"/>
      <c r="FA40" s="1419"/>
      <c r="FB40" s="1419"/>
      <c r="FC40" s="1419"/>
      <c r="FD40" s="1419"/>
      <c r="FE40" s="1419"/>
      <c r="FF40" s="1419"/>
      <c r="FG40" s="1419"/>
      <c r="FH40" s="1419"/>
      <c r="FI40" s="1419"/>
    </row>
    <row r="41" spans="1:165">
      <c r="A41" s="448" t="str">
        <f>IF(+'Argus Drop'!B41="","",'Argus Drop'!B41)</f>
        <v/>
      </c>
      <c r="B41" s="440" t="str">
        <f>IF(A41="","",+SUMIF('Argus Drop'!$D$7:$D$64,$A41,'Argus Drop'!#REF!))</f>
        <v/>
      </c>
      <c r="C41" s="440" t="str">
        <f>IF(B41="","",+SUMIF('Argus Drop'!$D$7:$D$64,$A41,'Argus Drop'!#REF!))</f>
        <v/>
      </c>
      <c r="D41" s="440" t="str">
        <f>IF(C41="","",+SUMIF('Argus Drop'!$D$7:$D$64,$A41,'Argus Drop'!#REF!))</f>
        <v/>
      </c>
      <c r="E41" s="440" t="str">
        <f>IF(D41="","",+SUMIF('Argus Drop'!$D$7:$D$64,$A41,'Argus Drop'!#REF!))</f>
        <v/>
      </c>
      <c r="F41" s="440" t="str">
        <f>IF(E41="","",+SUMIF('Argus Drop'!$D$7:$D$64,$A41,'Argus Drop'!#REF!))</f>
        <v/>
      </c>
      <c r="G41" s="440" t="str">
        <f>IF(F41="","",+SUMIF('Argus Drop'!$D$7:$D$64,$A41,'Argus Drop'!#REF!))</f>
        <v/>
      </c>
      <c r="H41" s="440" t="str">
        <f>IF(G41="","",+SUMIF('Argus Drop'!$D$7:$D$64,$A41,'Argus Drop'!#REF!))</f>
        <v/>
      </c>
      <c r="I41" s="440" t="str">
        <f>IF(H41="","",+SUMIF('Argus Drop'!$D$7:$D$64,$A41,'Argus Drop'!#REF!))</f>
        <v/>
      </c>
      <c r="J41" s="440" t="str">
        <f>IF(I41="","",+SUMIF('Argus Drop'!$D$7:$D$64,$A41,'Argus Drop'!#REF!))</f>
        <v/>
      </c>
      <c r="K41" s="440" t="str">
        <f>IF(J41="","",+SUMIF('Argus Drop'!$D$7:$D$64,$A41,'Argus Drop'!#REF!))</f>
        <v/>
      </c>
      <c r="L41" s="440" t="str">
        <f>IF(K41="","",+SUMIF('Argus Drop'!$D$7:$D$64,$A41,'Argus Drop'!#REF!))</f>
        <v/>
      </c>
      <c r="M41" s="440" t="str">
        <f>IF(L41="","",+SUMIF('Argus Drop'!$D$7:$D$64,$A41,'Argus Drop'!#REF!))</f>
        <v/>
      </c>
      <c r="N41" s="440" t="str">
        <f>IF(M41="","",+SUMIF('Argus Drop'!$D$7:$D$64,$A41,'Argus Drop'!#REF!))</f>
        <v/>
      </c>
      <c r="O41" s="440" t="str">
        <f>IF(N41="","",+SUMIF('Argus Drop'!$D$7:$D$64,$A41,'Argus Drop'!#REF!))</f>
        <v/>
      </c>
      <c r="P41" s="440" t="str">
        <f>IF(O41="","",+SUMIF('Argus Drop'!$D$7:$D$64,$A41,'Argus Drop'!#REF!))</f>
        <v/>
      </c>
      <c r="Q41" s="440" t="str">
        <f>IF(P41="","",+SUMIF('Argus Drop'!$D$7:$D$64,$A41,'Argus Drop'!#REF!))</f>
        <v/>
      </c>
      <c r="R41" s="440" t="str">
        <f>IF(Q41="","",+SUMIF('Argus Drop'!$D$7:$D$64,$A41,'Argus Drop'!#REF!))</f>
        <v/>
      </c>
      <c r="S41" s="440" t="str">
        <f>IF(R41="","",+SUMIF('Argus Drop'!$D$7:$D$64,$A41,'Argus Drop'!#REF!))</f>
        <v/>
      </c>
      <c r="T41" s="440" t="str">
        <f>IF(S41="","",+SUMIF('Argus Drop'!$D$7:$D$64,$A41,'Argus Drop'!#REF!))</f>
        <v/>
      </c>
      <c r="U41" s="440" t="str">
        <f>IF(T41="","",+SUMIF('Argus Drop'!$D$7:$D$64,$A41,'Argus Drop'!#REF!))</f>
        <v/>
      </c>
      <c r="V41" s="440" t="str">
        <f>IF(U41="","",+SUMIF('Argus Drop'!$D$7:$D$64,$A41,'Argus Drop'!#REF!))</f>
        <v/>
      </c>
      <c r="W41" s="440" t="str">
        <f>IF(V41="","",+SUMIF('Argus Drop'!$D$7:$D$64,$A41,'Argus Drop'!#REF!))</f>
        <v/>
      </c>
      <c r="X41" s="440" t="str">
        <f>IF(W41="","",+SUMIF('Argus Drop'!$D$7:$D$64,$A41,'Argus Drop'!#REF!))</f>
        <v/>
      </c>
      <c r="Y41" s="440" t="str">
        <f>IF(X41="","",+SUMIF('Argus Drop'!$D$7:$D$64,$A41,'Argus Drop'!#REF!))</f>
        <v/>
      </c>
      <c r="Z41" s="440" t="str">
        <f>IF(Y41="","",+SUMIF('Argus Drop'!$D$7:$D$64,$A41,'Argus Drop'!#REF!))</f>
        <v/>
      </c>
      <c r="AA41" s="440" t="str">
        <f>IF(Z41="","",+SUMIF('Argus Drop'!$D$7:$D$64,$A41,'Argus Drop'!#REF!))</f>
        <v/>
      </c>
      <c r="AB41" s="440" t="str">
        <f>IF(AA41="","",+SUMIF('Argus Drop'!$D$7:$D$64,$A41,'Argus Drop'!#REF!))</f>
        <v/>
      </c>
      <c r="AC41" s="440" t="str">
        <f>IF(AB41="","",+SUMIF('Argus Drop'!$D$7:$D$64,$A41,'Argus Drop'!#REF!))</f>
        <v/>
      </c>
      <c r="AD41" s="440" t="str">
        <f>IF(AC41="","",+SUMIF('Argus Drop'!$D$7:$D$64,$A41,'Argus Drop'!#REF!))</f>
        <v/>
      </c>
      <c r="AE41" s="440" t="str">
        <f>IF(AD41="","",+SUMIF('Argus Drop'!$D$7:$D$64,$A41,'Argus Drop'!#REF!))</f>
        <v/>
      </c>
      <c r="AF41" s="440" t="str">
        <f>IF(AE41="","",+SUMIF('Argus Drop'!$D$7:$D$64,$A41,'Argus Drop'!#REF!))</f>
        <v/>
      </c>
      <c r="AG41" s="440" t="str">
        <f>IF(AF41="","",+SUMIF('Argus Drop'!$D$7:$D$64,$A41,'Argus Drop'!#REF!))</f>
        <v/>
      </c>
      <c r="AH41" s="440" t="str">
        <f>IF(AG41="","",+SUMIF('Argus Drop'!$D$7:$D$64,$A41,'Argus Drop'!#REF!))</f>
        <v/>
      </c>
      <c r="AI41" s="440" t="str">
        <f>IF(AH41="","",+SUMIF('Argus Drop'!$D$7:$D$64,$A41,'Argus Drop'!#REF!))</f>
        <v/>
      </c>
      <c r="AJ41" s="440" t="str">
        <f>IF(AI41="","",+SUMIF('Argus Drop'!$D$7:$D$64,$A41,'Argus Drop'!#REF!))</f>
        <v/>
      </c>
      <c r="AK41" s="440" t="str">
        <f>IF(AJ41="","",+SUMIF('Argus Drop'!$D$7:$D$64,$A41,'Argus Drop'!#REF!))</f>
        <v/>
      </c>
      <c r="AL41" s="440" t="str">
        <f>IF(AK41="","",+SUMIF('Argus Drop'!$D$7:$D$64,$A41,'Argus Drop'!#REF!))</f>
        <v/>
      </c>
      <c r="AM41" s="440" t="str">
        <f>IF(AL41="","",+SUMIF('Argus Drop'!$D$7:$D$64,$A41,'Argus Drop'!#REF!))</f>
        <v/>
      </c>
      <c r="AN41" s="440" t="str">
        <f>IF(AM41="","",+SUMIF('Argus Drop'!$D$7:$D$64,$A41,'Argus Drop'!#REF!))</f>
        <v/>
      </c>
      <c r="AO41" s="440" t="str">
        <f>IF(AN41="","",+SUMIF('Argus Drop'!$D$7:$D$64,$A41,'Argus Drop'!#REF!))</f>
        <v/>
      </c>
      <c r="AP41" s="440" t="str">
        <f>IF(AO41="","",+SUMIF('Argus Drop'!$D$7:$D$64,$A41,'Argus Drop'!#REF!))</f>
        <v/>
      </c>
      <c r="AQ41" s="440" t="str">
        <f>IF(AP41="","",+SUMIF('Argus Drop'!$D$7:$D$64,$A41,'Argus Drop'!#REF!))</f>
        <v/>
      </c>
      <c r="AR41" s="440" t="str">
        <f>IF(AQ41="","",+SUMIF('Argus Drop'!$D$7:$D$64,$A41,'Argus Drop'!#REF!))</f>
        <v/>
      </c>
      <c r="AS41" s="440" t="str">
        <f>IF(AR41="","",+SUMIF('Argus Drop'!$D$7:$D$64,$A41,'Argus Drop'!#REF!))</f>
        <v/>
      </c>
      <c r="AT41" s="440" t="str">
        <f>IF(AS41="","",+SUMIF('Argus Drop'!$D$7:$D$64,$A41,'Argus Drop'!#REF!))</f>
        <v/>
      </c>
      <c r="AU41" s="440" t="str">
        <f>IF(AT41="","",+SUMIF('Argus Drop'!$D$7:$D$64,$A41,'Argus Drop'!#REF!))</f>
        <v/>
      </c>
      <c r="AV41" s="440" t="str">
        <f>IF(AU41="","",+SUMIF('Argus Drop'!$D$7:$D$64,$A41,'Argus Drop'!#REF!))</f>
        <v/>
      </c>
      <c r="AW41" s="440" t="str">
        <f>IF(AV41="","",+SUMIF('Argus Drop'!$D$7:$D$64,$A41,'Argus Drop'!#REF!))</f>
        <v/>
      </c>
      <c r="AX41" s="440" t="str">
        <f>IF(AW41="","",+SUMIF('Argus Drop'!$D$7:$D$64,$A41,'Argus Drop'!#REF!))</f>
        <v/>
      </c>
      <c r="AY41" s="440" t="str">
        <f>IF(AX41="","",+SUMIF('Argus Drop'!$D$7:$D$64,$A41,'Argus Drop'!#REF!))</f>
        <v/>
      </c>
      <c r="AZ41" s="440" t="str">
        <f>IF(AY41="","",+SUMIF('Argus Drop'!$D$7:$D$64,$A41,'Argus Drop'!#REF!))</f>
        <v/>
      </c>
      <c r="BA41" s="440" t="str">
        <f>IF(AZ41="","",+SUMIF('Argus Drop'!$D$7:$D$64,$A41,'Argus Drop'!#REF!))</f>
        <v/>
      </c>
      <c r="BB41" s="440" t="str">
        <f>IF(BA41="","",+SUMIF('Argus Drop'!$D$7:$D$64,$A41,'Argus Drop'!#REF!))</f>
        <v/>
      </c>
      <c r="BC41" s="440" t="str">
        <f>IF(BB41="","",+SUMIF('Argus Drop'!$D$7:$D$64,$A41,'Argus Drop'!#REF!))</f>
        <v/>
      </c>
      <c r="BD41" s="440" t="str">
        <f>IF(BC41="","",+SUMIF('Argus Drop'!$D$7:$D$64,$A41,'Argus Drop'!#REF!))</f>
        <v/>
      </c>
      <c r="BE41" s="440" t="str">
        <f>IF(BD41="","",+SUMIF('Argus Drop'!$D$7:$D$64,$A41,'Argus Drop'!#REF!))</f>
        <v/>
      </c>
      <c r="BF41" s="440" t="str">
        <f>IF(BE41="","",+SUMIF('Argus Drop'!$D$7:$D$64,$A41,'Argus Drop'!#REF!))</f>
        <v/>
      </c>
      <c r="BG41" s="440" t="str">
        <f>IF(BF41="","",+SUMIF('Argus Drop'!$D$7:$D$64,$A41,'Argus Drop'!#REF!))</f>
        <v/>
      </c>
      <c r="BH41" s="440" t="str">
        <f>IF(BG41="","",+SUMIF('Argus Drop'!$D$7:$D$64,$A41,'Argus Drop'!#REF!))</f>
        <v/>
      </c>
      <c r="BI41" s="440" t="str">
        <f>IF(BH41="","",+SUMIF('Argus Drop'!$D$7:$D$64,$A41,'Argus Drop'!#REF!))</f>
        <v/>
      </c>
      <c r="BJ41" s="440" t="str">
        <f>IF(BI41="","",+SUMIF('Argus Drop'!$D$7:$D$64,$A41,'Argus Drop'!#REF!))</f>
        <v/>
      </c>
      <c r="BK41" s="440" t="str">
        <f>IF(BJ41="","",+SUMIF('Argus Drop'!$D$7:$D$64,$A41,'Argus Drop'!#REF!))</f>
        <v/>
      </c>
      <c r="BL41" s="440" t="str">
        <f>IF(BK41="","",+SUMIF('Argus Drop'!$D$7:$D$64,$A41,'Argus Drop'!#REF!))</f>
        <v/>
      </c>
      <c r="BM41" s="440" t="str">
        <f>IF(BL41="","",+SUMIF('Argus Drop'!$D$7:$D$64,$A41,'Argus Drop'!#REF!))</f>
        <v/>
      </c>
      <c r="BN41" s="440" t="str">
        <f>IF(BM41="","",+SUMIF('Argus Drop'!$D$7:$D$64,$A41,'Argus Drop'!#REF!))</f>
        <v/>
      </c>
      <c r="BO41" s="440" t="str">
        <f>IF(BN41="","",+SUMIF('Argus Drop'!$D$7:$D$64,$A41,'Argus Drop'!#REF!))</f>
        <v/>
      </c>
      <c r="BP41" s="440" t="str">
        <f>IF(BO41="","",+SUMIF('Argus Drop'!$D$7:$D$64,$A41,'Argus Drop'!#REF!))</f>
        <v/>
      </c>
      <c r="BQ41" s="440" t="str">
        <f>IF(BP41="","",+SUMIF('Argus Drop'!$D$7:$D$64,$A41,'Argus Drop'!#REF!))</f>
        <v/>
      </c>
      <c r="BR41" s="440" t="str">
        <f>IF(BQ41="","",+SUMIF('Argus Drop'!$D$7:$D$64,$A41,'Argus Drop'!#REF!))</f>
        <v/>
      </c>
      <c r="BS41" s="440" t="str">
        <f>IF(BR41="","",+SUMIF('Argus Drop'!$D$7:$D$64,$A41,'Argus Drop'!#REF!))</f>
        <v/>
      </c>
      <c r="BT41" s="440" t="str">
        <f>IF(BS41="","",+SUMIF('Argus Drop'!$D$7:$D$64,$A41,'Argus Drop'!#REF!))</f>
        <v/>
      </c>
      <c r="BU41" s="440" t="str">
        <f>IF(BT41="","",+SUMIF('Argus Drop'!$D$7:$D$64,$A41,'Argus Drop'!#REF!))</f>
        <v/>
      </c>
      <c r="BV41" s="440" t="str">
        <f>IF(BU41="","",+SUMIF('Argus Drop'!$D$7:$D$64,$A41,'Argus Drop'!#REF!))</f>
        <v/>
      </c>
      <c r="BW41" s="440" t="str">
        <f>IF(BV41="","",+SUMIF('Argus Drop'!$D$7:$D$64,$A41,'Argus Drop'!#REF!))</f>
        <v/>
      </c>
      <c r="BX41" s="440" t="str">
        <f>IF(BW41="","",+SUMIF('Argus Drop'!$D$7:$D$64,$A41,'Argus Drop'!#REF!))</f>
        <v/>
      </c>
      <c r="BY41" s="440" t="str">
        <f>IF(BX41="","",+SUMIF('Argus Drop'!$D$7:$D$64,$A41,'Argus Drop'!#REF!))</f>
        <v/>
      </c>
      <c r="BZ41" s="440" t="str">
        <f>IF(BY41="","",+SUMIF('Argus Drop'!$D$7:$D$64,$A41,'Argus Drop'!#REF!))</f>
        <v/>
      </c>
      <c r="CA41" s="440" t="str">
        <f>IF(BZ41="","",+SUMIF('Argus Drop'!$D$7:$D$64,$A41,'Argus Drop'!#REF!))</f>
        <v/>
      </c>
      <c r="CB41" s="440" t="str">
        <f>IF(CA41="","",+SUMIF('Argus Drop'!$D$7:$D$64,$A41,'Argus Drop'!#REF!))</f>
        <v/>
      </c>
      <c r="CC41" s="440" t="str">
        <f>IF(CB41="","",+SUMIF('Argus Drop'!$D$7:$D$64,$A41,'Argus Drop'!#REF!))</f>
        <v/>
      </c>
      <c r="CD41" s="440" t="str">
        <f>IF(CC41="","",+SUMIF('Argus Drop'!$D$7:$D$64,$A41,'Argus Drop'!#REF!))</f>
        <v/>
      </c>
      <c r="CE41" s="440" t="str">
        <f>IF(CD41="","",+SUMIF('Argus Drop'!$D$7:$D$64,$A41,'Argus Drop'!#REF!))</f>
        <v/>
      </c>
      <c r="CF41" s="440" t="str">
        <f>IF(CE41="","",+SUMIF('Argus Drop'!$D$7:$D$64,$A41,'Argus Drop'!#REF!))</f>
        <v/>
      </c>
      <c r="CG41" s="440" t="str">
        <f>IF(CF41="","",+SUMIF('Argus Drop'!$D$7:$D$64,$A41,'Argus Drop'!#REF!))</f>
        <v/>
      </c>
      <c r="CH41" s="440" t="str">
        <f>IF(CG41="","",+SUMIF('Argus Drop'!$D$7:$D$64,$A41,'Argus Drop'!#REF!))</f>
        <v/>
      </c>
      <c r="CI41" s="440" t="str">
        <f>IF(CH41="","",+SUMIF('Argus Drop'!$D$7:$D$64,$A41,'Argus Drop'!#REF!))</f>
        <v/>
      </c>
      <c r="CJ41" s="440" t="str">
        <f>IF(CI41="","",+SUMIF('Argus Drop'!$D$7:$D$64,$A41,'Argus Drop'!#REF!))</f>
        <v/>
      </c>
      <c r="CK41" s="440" t="str">
        <f>IF(CJ41="","",+SUMIF('Argus Drop'!$D$7:$D$64,$A41,'Argus Drop'!#REF!))</f>
        <v/>
      </c>
      <c r="CL41" s="440" t="str">
        <f>IF(CK41="","",+SUMIF('Argus Drop'!$D$7:$D$64,$A41,'Argus Drop'!#REF!))</f>
        <v/>
      </c>
      <c r="CM41" s="440" t="str">
        <f>IF(CL41="","",+SUMIF('Argus Drop'!$D$7:$D$64,$A41,'Argus Drop'!#REF!))</f>
        <v/>
      </c>
      <c r="CN41" s="440" t="str">
        <f>IF(CM41="","",+SUMIF('Argus Drop'!$D$7:$D$64,$A41,'Argus Drop'!#REF!))</f>
        <v/>
      </c>
      <c r="CO41" s="440" t="str">
        <f>IF(CN41="","",+SUMIF('Argus Drop'!$D$7:$D$64,$A41,'Argus Drop'!#REF!))</f>
        <v/>
      </c>
      <c r="CP41" s="440" t="str">
        <f>IF(CO41="","",+SUMIF('Argus Drop'!$D$7:$D$64,$A41,'Argus Drop'!#REF!))</f>
        <v/>
      </c>
      <c r="CQ41" s="440" t="str">
        <f>IF(CP41="","",+SUMIF('Argus Drop'!$D$7:$D$64,$A41,'Argus Drop'!#REF!))</f>
        <v/>
      </c>
      <c r="CR41" s="440" t="str">
        <f>IF(CQ41="","",+SUMIF('Argus Drop'!$D$7:$D$64,$A41,'Argus Drop'!#REF!))</f>
        <v/>
      </c>
      <c r="CS41" s="440" t="str">
        <f>IF(CR41="","",+SUMIF('Argus Drop'!$D$7:$D$64,$A41,'Argus Drop'!#REF!))</f>
        <v/>
      </c>
      <c r="CT41" s="440" t="str">
        <f>IF(CS41="","",+SUMIF('Argus Drop'!$D$7:$D$64,$A41,'Argus Drop'!#REF!))</f>
        <v/>
      </c>
      <c r="CU41" s="440" t="str">
        <f>IF(CT41="","",+SUMIF('Argus Drop'!$D$7:$D$64,$A41,'Argus Drop'!#REF!))</f>
        <v/>
      </c>
      <c r="CV41" s="440" t="str">
        <f>IF(CU41="","",+SUMIF('Argus Drop'!$D$7:$D$64,$A41,'Argus Drop'!#REF!))</f>
        <v/>
      </c>
      <c r="CW41" s="440" t="str">
        <f>IF(CV41="","",+SUMIF('Argus Drop'!$D$7:$D$64,$A41,'Argus Drop'!#REF!))</f>
        <v/>
      </c>
      <c r="CX41" s="440" t="str">
        <f>IF(CW41="","",+SUMIF('Argus Drop'!$D$7:$D$64,$A41,'Argus Drop'!#REF!))</f>
        <v/>
      </c>
      <c r="CY41" s="440" t="str">
        <f>IF(CX41="","",+SUMIF('Argus Drop'!$D$7:$D$64,$A41,'Argus Drop'!#REF!))</f>
        <v/>
      </c>
      <c r="CZ41" s="440" t="str">
        <f>IF(CY41="","",+SUMIF('Argus Drop'!$D$7:$D$64,$A41,'Argus Drop'!#REF!))</f>
        <v/>
      </c>
      <c r="DA41" s="440" t="str">
        <f>IF(CZ41="","",+SUMIF('Argus Drop'!$D$7:$D$64,$A41,'Argus Drop'!#REF!))</f>
        <v/>
      </c>
      <c r="DB41" s="440" t="str">
        <f>IF(DA41="","",+SUMIF('Argus Drop'!$D$7:$D$64,$A41,'Argus Drop'!#REF!))</f>
        <v/>
      </c>
      <c r="DC41" s="440" t="str">
        <f>IF(DB41="","",+SUMIF('Argus Drop'!$D$7:$D$64,$A41,'Argus Drop'!#REF!))</f>
        <v/>
      </c>
      <c r="DD41" s="440" t="str">
        <f>IF(DC41="","",+SUMIF('Argus Drop'!$D$7:$D$64,$A41,'Argus Drop'!#REF!))</f>
        <v/>
      </c>
      <c r="DE41" s="440" t="str">
        <f>IF(DD41="","",+SUMIF('Argus Drop'!$D$7:$D$64,$A41,'Argus Drop'!#REF!))</f>
        <v/>
      </c>
      <c r="DF41" s="440" t="str">
        <f>IF(DE41="","",+SUMIF('Argus Drop'!$D$7:$D$64,$A41,'Argus Drop'!#REF!))</f>
        <v/>
      </c>
      <c r="DG41" s="440" t="str">
        <f>IF(DF41="","",+SUMIF('Argus Drop'!$D$7:$D$64,$A41,'Argus Drop'!#REF!))</f>
        <v/>
      </c>
      <c r="DH41" s="440" t="str">
        <f>IF(DG41="","",+SUMIF('Argus Drop'!$D$7:$D$64,$A41,'Argus Drop'!#REF!))</f>
        <v/>
      </c>
      <c r="DI41" s="440" t="str">
        <f>IF(DH41="","",+SUMIF('Argus Drop'!$D$7:$D$64,$A41,'Argus Drop'!#REF!))</f>
        <v/>
      </c>
      <c r="DJ41" s="440" t="str">
        <f>IF(DI41="","",+SUMIF('Argus Drop'!$D$7:$D$64,$A41,'Argus Drop'!#REF!))</f>
        <v/>
      </c>
      <c r="DK41" s="440" t="str">
        <f>IF(DJ41="","",+SUMIF('Argus Drop'!$D$7:$D$64,$A41,'Argus Drop'!#REF!))</f>
        <v/>
      </c>
      <c r="DL41" s="440" t="str">
        <f>IF(DK41="","",+SUMIF('Argus Drop'!$D$7:$D$64,$A41,'Argus Drop'!#REF!))</f>
        <v/>
      </c>
      <c r="DM41" s="440" t="str">
        <f>IF(DL41="","",+SUMIF('Argus Drop'!$D$7:$D$64,$A41,'Argus Drop'!#REF!))</f>
        <v/>
      </c>
      <c r="DN41" s="440" t="str">
        <f>IF(DM41="","",+SUMIF('Argus Drop'!$D$7:$D$64,$A41,'Argus Drop'!#REF!))</f>
        <v/>
      </c>
      <c r="DO41" s="440" t="str">
        <f>IF(DN41="","",+SUMIF('Argus Drop'!$D$7:$D$64,$A41,'Argus Drop'!#REF!))</f>
        <v/>
      </c>
      <c r="DP41" s="440" t="str">
        <f>IF(DO41="","",+SUMIF('Argus Drop'!$D$7:$D$64,$A41,'Argus Drop'!#REF!))</f>
        <v/>
      </c>
      <c r="DQ41" s="440" t="str">
        <f>IF(DP41="","",+SUMIF('Argus Drop'!$D$7:$D$64,$A41,'Argus Drop'!#REF!))</f>
        <v/>
      </c>
      <c r="DR41" s="440" t="str">
        <f>IF(DQ41="","",+SUMIF('Argus Drop'!$D$7:$D$64,$A41,'Argus Drop'!#REF!))</f>
        <v/>
      </c>
      <c r="DS41" s="440"/>
      <c r="DT41" s="440"/>
      <c r="DU41" s="440"/>
      <c r="DV41" s="440"/>
      <c r="DW41" s="440"/>
      <c r="DX41" s="440"/>
      <c r="DY41" s="440"/>
      <c r="DZ41" s="440"/>
      <c r="EA41" s="440"/>
      <c r="EB41" s="440"/>
      <c r="EC41" s="440"/>
      <c r="ED41" s="1419"/>
      <c r="EE41" s="1419"/>
      <c r="EF41" s="1419"/>
      <c r="EG41" s="1419"/>
      <c r="EH41" s="1419"/>
      <c r="EI41" s="1419"/>
      <c r="EJ41" s="1419"/>
      <c r="EK41" s="1419"/>
      <c r="EL41" s="1419"/>
      <c r="EM41" s="1419"/>
      <c r="EN41" s="1419"/>
      <c r="EO41" s="1419"/>
      <c r="EP41" s="1419"/>
      <c r="EQ41" s="1419"/>
      <c r="ER41" s="1419"/>
      <c r="ES41" s="1419"/>
      <c r="ET41" s="1419"/>
      <c r="EU41" s="1419"/>
      <c r="EV41" s="1419"/>
      <c r="EW41" s="1419"/>
      <c r="EX41" s="1419"/>
      <c r="EY41" s="1419"/>
      <c r="EZ41" s="1419"/>
      <c r="FA41" s="1419"/>
      <c r="FB41" s="1419"/>
      <c r="FC41" s="1419"/>
      <c r="FD41" s="1419"/>
      <c r="FE41" s="1419"/>
      <c r="FF41" s="1419"/>
      <c r="FG41" s="1419"/>
      <c r="FH41" s="1419"/>
      <c r="FI41" s="1419"/>
    </row>
    <row r="42" spans="1:165">
      <c r="A42" s="448" t="str">
        <f>IF(+'Argus Drop'!B42="","",'Argus Drop'!B42)</f>
        <v>NOI</v>
      </c>
      <c r="B42" s="440">
        <f>SUMIF('Argus Drop'!$D:$D,$A42,'Argus Drop'!F:F)</f>
        <v>107898</v>
      </c>
      <c r="C42" s="440">
        <f>SUMIF('Argus Drop'!$D:$D,$A42,'Argus Drop'!G:G)</f>
        <v>135350</v>
      </c>
      <c r="D42" s="440">
        <f>SUMIF('Argus Drop'!$D:$D,$A42,'Argus Drop'!H:H)</f>
        <v>135350</v>
      </c>
      <c r="E42" s="440">
        <f>SUMIF('Argus Drop'!$D:$D,$A42,'Argus Drop'!I:I)</f>
        <v>135745</v>
      </c>
      <c r="F42" s="440">
        <f>SUMIF('Argus Drop'!$D:$D,$A42,'Argus Drop'!J:J)</f>
        <v>135745</v>
      </c>
      <c r="G42" s="440">
        <f>SUMIF('Argus Drop'!$D:$D,$A42,'Argus Drop'!K:K)</f>
        <v>136226</v>
      </c>
      <c r="H42" s="440">
        <f>SUMIF('Argus Drop'!$D:$D,$A42,'Argus Drop'!L:L)</f>
        <v>136226</v>
      </c>
      <c r="I42" s="440">
        <f>SUMIF('Argus Drop'!$D:$D,$A42,'Argus Drop'!M:M)</f>
        <v>148577</v>
      </c>
      <c r="J42" s="440">
        <f>SUMIF('Argus Drop'!$D:$D,$A42,'Argus Drop'!N:N)</f>
        <v>149596</v>
      </c>
      <c r="K42" s="440">
        <f>SUMIF('Argus Drop'!$D:$D,$A42,'Argus Drop'!O:O)</f>
        <v>129629</v>
      </c>
      <c r="L42" s="440">
        <f>SUMIF('Argus Drop'!$D:$D,$A42,'Argus Drop'!P:P)</f>
        <v>111917</v>
      </c>
      <c r="M42" s="440">
        <f>SUMIF('Argus Drop'!$D:$D,$A42,'Argus Drop'!Q:Q)</f>
        <v>157408</v>
      </c>
      <c r="N42" s="440">
        <f>SUMIF('Argus Drop'!$D:$D,$A42,'Argus Drop'!R:R)</f>
        <v>153174</v>
      </c>
      <c r="O42" s="440">
        <f>SUMIF('Argus Drop'!$D:$D,$A42,'Argus Drop'!S:S)</f>
        <v>160621</v>
      </c>
      <c r="P42" s="440">
        <f>SUMIF('Argus Drop'!$D:$D,$A42,'Argus Drop'!T:T)</f>
        <v>160621</v>
      </c>
      <c r="Q42" s="440">
        <f>SUMIF('Argus Drop'!$D:$D,$A42,'Argus Drop'!U:U)</f>
        <v>131672</v>
      </c>
      <c r="R42" s="440">
        <f>SUMIF('Argus Drop'!$D:$D,$A42,'Argus Drop'!V:V)</f>
        <v>158718</v>
      </c>
      <c r="S42" s="440">
        <f>SUMIF('Argus Drop'!$D:$D,$A42,'Argus Drop'!W:W)</f>
        <v>133339</v>
      </c>
      <c r="T42" s="440">
        <f>SUMIF('Argus Drop'!$D:$D,$A42,'Argus Drop'!X:X)</f>
        <v>157939</v>
      </c>
      <c r="U42" s="440">
        <f>SUMIF('Argus Drop'!$D:$D,$A42,'Argus Drop'!Y:Y)</f>
        <v>176443</v>
      </c>
      <c r="V42" s="440">
        <f>SUMIF('Argus Drop'!$D:$D,$A42,'Argus Drop'!Z:Z)</f>
        <v>218852</v>
      </c>
      <c r="W42" s="440">
        <f>SUMIF('Argus Drop'!$D:$D,$A42,'Argus Drop'!AA:AA)</f>
        <v>218852</v>
      </c>
      <c r="X42" s="440">
        <f>SUMIF('Argus Drop'!$D:$D,$A42,'Argus Drop'!AB:AB)</f>
        <v>219396</v>
      </c>
      <c r="Y42" s="440">
        <f>SUMIF('Argus Drop'!$D:$D,$A42,'Argus Drop'!AC:AC)</f>
        <v>220278</v>
      </c>
      <c r="Z42" s="440">
        <f>SUMIF('Argus Drop'!$D:$D,$A42,'Argus Drop'!AD:AD)</f>
        <v>220817</v>
      </c>
      <c r="AA42" s="440">
        <f>SUMIF('Argus Drop'!$D:$D,$A42,'Argus Drop'!AE:AE)</f>
        <v>221692</v>
      </c>
      <c r="AB42" s="440">
        <f>SUMIF('Argus Drop'!$D:$D,$A42,'Argus Drop'!AF:AF)</f>
        <v>222276</v>
      </c>
      <c r="AC42" s="440">
        <f>SUMIF('Argus Drop'!$D:$D,$A42,'Argus Drop'!AG:AG)</f>
        <v>223393</v>
      </c>
      <c r="AD42" s="440">
        <f>SUMIF('Argus Drop'!$D:$D,$A42,'Argus Drop'!AH:AH)</f>
        <v>223942</v>
      </c>
      <c r="AE42" s="440">
        <f>SUMIF('Argus Drop'!$D:$D,$A42,'Argus Drop'!AI:AI)</f>
        <v>223942</v>
      </c>
      <c r="AF42" s="440">
        <f>SUMIF('Argus Drop'!$D:$D,$A42,'Argus Drop'!AJ:AJ)</f>
        <v>224424</v>
      </c>
      <c r="AG42" s="440">
        <f>SUMIF('Argus Drop'!$D:$D,$A42,'Argus Drop'!AK:AK)</f>
        <v>214118</v>
      </c>
      <c r="AH42" s="440">
        <f>SUMIF('Argus Drop'!$D:$D,$A42,'Argus Drop'!AL:AL)</f>
        <v>224332</v>
      </c>
      <c r="AI42" s="440">
        <f>SUMIF('Argus Drop'!$D:$D,$A42,'Argus Drop'!AM:AM)</f>
        <v>224332</v>
      </c>
      <c r="AJ42" s="440">
        <f>SUMIF('Argus Drop'!$D:$D,$A42,'Argus Drop'!AN:AN)</f>
        <v>224892</v>
      </c>
      <c r="AK42" s="440">
        <f>SUMIF('Argus Drop'!$D:$D,$A42,'Argus Drop'!AO:AO)</f>
        <v>225800</v>
      </c>
      <c r="AL42" s="440">
        <f>SUMIF('Argus Drop'!$D:$D,$A42,'Argus Drop'!AP:AP)</f>
        <v>226270</v>
      </c>
      <c r="AM42" s="440">
        <f>SUMIF('Argus Drop'!$D:$D,$A42,'Argus Drop'!AQ:AQ)</f>
        <v>227180</v>
      </c>
      <c r="AN42" s="440">
        <f>SUMIF('Argus Drop'!$D:$D,$A42,'Argus Drop'!AR:AR)</f>
        <v>227851</v>
      </c>
      <c r="AO42" s="440">
        <f>SUMIF('Argus Drop'!$D:$D,$A42,'Argus Drop'!AS:AS)</f>
        <v>227310</v>
      </c>
      <c r="AP42" s="440">
        <f>SUMIF('Argus Drop'!$D:$D,$A42,'Argus Drop'!AT:AT)</f>
        <v>227875</v>
      </c>
      <c r="AQ42" s="440">
        <f>SUMIF('Argus Drop'!$D:$D,$A42,'Argus Drop'!AU:AU)</f>
        <v>227875</v>
      </c>
      <c r="AR42" s="440">
        <f>SUMIF('Argus Drop'!$D:$D,$A42,'Argus Drop'!AV:AV)</f>
        <v>228373</v>
      </c>
      <c r="AS42" s="440">
        <f>SUMIF('Argus Drop'!$D:$D,$A42,'Argus Drop'!AW:AW)</f>
        <v>228796</v>
      </c>
      <c r="AT42" s="440">
        <f>SUMIF('Argus Drop'!$D:$D,$A42,'Argus Drop'!AX:AX)</f>
        <v>229827</v>
      </c>
      <c r="AU42" s="440">
        <f>SUMIF('Argus Drop'!$D:$D,$A42,'Argus Drop'!AY:AY)</f>
        <v>229827</v>
      </c>
      <c r="AV42" s="440">
        <f>SUMIF('Argus Drop'!$D:$D,$A42,'Argus Drop'!AZ:AZ)</f>
        <v>230404</v>
      </c>
      <c r="AW42" s="440">
        <f>SUMIF('Argus Drop'!$D:$D,$A42,'Argus Drop'!BA:BA)</f>
        <v>231339</v>
      </c>
      <c r="AX42" s="440">
        <f>SUMIF('Argus Drop'!$D:$D,$A42,'Argus Drop'!BB:BB)</f>
        <v>210885</v>
      </c>
      <c r="AY42" s="440">
        <f>SUMIF('Argus Drop'!$D:$D,$A42,'Argus Drop'!BC:BC)</f>
        <v>200411</v>
      </c>
      <c r="AZ42" s="440">
        <f>SUMIF('Argus Drop'!$D:$D,$A42,'Argus Drop'!BD:BD)</f>
        <v>231901</v>
      </c>
      <c r="BA42" s="440">
        <f>SUMIF('Argus Drop'!$D:$D,$A42,'Argus Drop'!BE:BE)</f>
        <v>232796</v>
      </c>
      <c r="BB42" s="440">
        <f>SUMIF('Argus Drop'!$D:$D,$A42,'Argus Drop'!BF:BF)</f>
        <v>233378</v>
      </c>
      <c r="BC42" s="440">
        <f>SUMIF('Argus Drop'!$D:$D,$A42,'Argus Drop'!BG:BG)</f>
        <v>233378</v>
      </c>
      <c r="BD42" s="440">
        <f>SUMIF('Argus Drop'!$D:$D,$A42,'Argus Drop'!BH:BH)</f>
        <v>233890</v>
      </c>
      <c r="BE42" s="440">
        <f>SUMIF('Argus Drop'!$D:$D,$A42,'Argus Drop'!BI:BI)</f>
        <v>234326</v>
      </c>
      <c r="BF42" s="440">
        <f>SUMIF('Argus Drop'!$D:$D,$A42,'Argus Drop'!BJ:BJ)</f>
        <v>235388</v>
      </c>
      <c r="BG42" s="440">
        <f>SUMIF('Argus Drop'!$D:$D,$A42,'Argus Drop'!BK:BK)</f>
        <v>235388</v>
      </c>
      <c r="BH42" s="440">
        <f>SUMIF('Argus Drop'!$D:$D,$A42,'Argus Drop'!BL:BL)</f>
        <v>235982</v>
      </c>
      <c r="BI42" s="440">
        <f>SUMIF('Argus Drop'!$D:$D,$A42,'Argus Drop'!BM:BM)</f>
        <v>237256</v>
      </c>
      <c r="BJ42" s="440">
        <f>SUMIF('Argus Drop'!$D:$D,$A42,'Argus Drop'!BN:BN)</f>
        <v>217152</v>
      </c>
      <c r="BK42" s="440">
        <f>SUMIF('Argus Drop'!$D:$D,$A42,'Argus Drop'!BO:BO)</f>
        <v>233738</v>
      </c>
      <c r="BL42" s="440">
        <f>SUMIF('Argus Drop'!$D:$D,$A42,'Argus Drop'!BP:BP)</f>
        <v>234981</v>
      </c>
      <c r="BM42" s="440">
        <f>SUMIF('Argus Drop'!$D:$D,$A42,'Argus Drop'!BQ:BQ)</f>
        <v>235625</v>
      </c>
      <c r="BN42" s="440">
        <f>SUMIF('Argus Drop'!$D:$D,$A42,'Argus Drop'!BR:BR)</f>
        <v>236225</v>
      </c>
      <c r="BO42" s="440">
        <f>SUMIF('Argus Drop'!$D:$D,$A42,'Argus Drop'!BS:BS)</f>
        <v>236225</v>
      </c>
      <c r="BP42" s="440">
        <f>SUMIF('Argus Drop'!$D:$D,$A42,'Argus Drop'!BT:BT)</f>
        <v>236752</v>
      </c>
      <c r="BQ42" s="440">
        <f>SUMIF('Argus Drop'!$D:$D,$A42,'Argus Drop'!BU:BU)</f>
        <v>223135</v>
      </c>
      <c r="BR42" s="440">
        <f>SUMIF('Argus Drop'!$D:$D,$A42,'Argus Drop'!BV:BV)</f>
        <v>213324</v>
      </c>
      <c r="BS42" s="440">
        <f>SUMIF('Argus Drop'!$D:$D,$A42,'Argus Drop'!BW:BW)</f>
        <v>234493</v>
      </c>
      <c r="BT42" s="440">
        <f>SUMIF('Argus Drop'!$D:$D,$A42,'Argus Drop'!BX:BX)</f>
        <v>203444</v>
      </c>
      <c r="BU42" s="440">
        <f>SUMIF('Argus Drop'!$D:$D,$A42,'Argus Drop'!BY:BY)</f>
        <v>180563</v>
      </c>
      <c r="BV42" s="440">
        <f>SUMIF('Argus Drop'!$D:$D,$A42,'Argus Drop'!BZ:BZ)</f>
        <v>228924</v>
      </c>
      <c r="BW42" s="440">
        <f>SUMIF('Argus Drop'!$D:$D,$A42,'Argus Drop'!CA:CA)</f>
        <v>229697</v>
      </c>
      <c r="BX42" s="440">
        <f>SUMIF('Argus Drop'!$D:$D,$A42,'Argus Drop'!CB:CB)</f>
        <v>230322</v>
      </c>
      <c r="BY42" s="440">
        <f>SUMIF('Argus Drop'!$D:$D,$A42,'Argus Drop'!CC:CC)</f>
        <v>230610</v>
      </c>
      <c r="BZ42" s="440">
        <f>SUMIF('Argus Drop'!$D:$D,$A42,'Argus Drop'!CD:CD)</f>
        <v>199008</v>
      </c>
      <c r="CA42" s="440">
        <f>SUMIF('Argus Drop'!$D:$D,$A42,'Argus Drop'!CE:CE)</f>
        <v>228315</v>
      </c>
      <c r="CB42" s="440">
        <f>SUMIF('Argus Drop'!$D:$D,$A42,'Argus Drop'!CF:CF)</f>
        <v>200504</v>
      </c>
      <c r="CC42" s="440">
        <f>SUMIF('Argus Drop'!$D:$D,$A42,'Argus Drop'!CG:CG)</f>
        <v>226516</v>
      </c>
      <c r="CD42" s="440">
        <f>SUMIF('Argus Drop'!$D:$D,$A42,'Argus Drop'!CH:CH)</f>
        <v>164392</v>
      </c>
      <c r="CE42" s="440">
        <f>SUMIF('Argus Drop'!$D:$D,$A42,'Argus Drop'!CI:CI)</f>
        <v>183863</v>
      </c>
      <c r="CF42" s="440">
        <f>SUMIF('Argus Drop'!$D:$D,$A42,'Argus Drop'!CJ:CJ)</f>
        <v>217240</v>
      </c>
      <c r="CG42" s="440">
        <f>SUMIF('Argus Drop'!$D:$D,$A42,'Argus Drop'!CK:CK)</f>
        <v>217784</v>
      </c>
      <c r="CH42" s="440">
        <f>SUMIF('Argus Drop'!$D:$D,$A42,'Argus Drop'!CL:CL)</f>
        <v>218727</v>
      </c>
      <c r="CI42" s="440">
        <f>SUMIF('Argus Drop'!$D:$D,$A42,'Argus Drop'!CM:CM)</f>
        <v>219524</v>
      </c>
      <c r="CJ42" s="440">
        <f>SUMIF('Argus Drop'!$D:$D,$A42,'Argus Drop'!CN:CN)</f>
        <v>220168</v>
      </c>
      <c r="CK42" s="440">
        <f>SUMIF('Argus Drop'!$D:$D,$A42,'Argus Drop'!CO:CO)</f>
        <v>221020</v>
      </c>
      <c r="CL42" s="440">
        <f>SUMIF('Argus Drop'!$D:$D,$A42,'Argus Drop'!CP:CP)</f>
        <v>221020</v>
      </c>
      <c r="CM42" s="440">
        <f>SUMIF('Argus Drop'!$D:$D,$A42,'Argus Drop'!CQ:CQ)</f>
        <v>221568</v>
      </c>
      <c r="CN42" s="440">
        <f>SUMIF('Argus Drop'!$D:$D,$A42,'Argus Drop'!CR:CR)</f>
        <v>221568</v>
      </c>
      <c r="CO42" s="440">
        <f>SUMIF('Argus Drop'!$D:$D,$A42,'Argus Drop'!CS:CS)</f>
        <v>222278</v>
      </c>
      <c r="CP42" s="440">
        <f>SUMIF('Argus Drop'!$D:$D,$A42,'Argus Drop'!CT:CT)</f>
        <v>212052</v>
      </c>
      <c r="CQ42" s="440">
        <f>SUMIF('Argus Drop'!$D:$D,$A42,'Argus Drop'!CU:CU)</f>
        <v>222584</v>
      </c>
      <c r="CR42" s="440">
        <f>SUMIF('Argus Drop'!$D:$D,$A42,'Argus Drop'!CV:CV)</f>
        <v>222933</v>
      </c>
      <c r="CS42" s="440">
        <f>SUMIF('Argus Drop'!$D:$D,$A42,'Argus Drop'!CW:CW)</f>
        <v>223493</v>
      </c>
      <c r="CT42" s="440">
        <f>SUMIF('Argus Drop'!$D:$D,$A42,'Argus Drop'!CX:CX)</f>
        <v>224105</v>
      </c>
      <c r="CU42" s="440">
        <f>SUMIF('Argus Drop'!$D:$D,$A42,'Argus Drop'!CY:CY)</f>
        <v>224925</v>
      </c>
      <c r="CV42" s="440">
        <f>SUMIF('Argus Drop'!$D:$D,$A42,'Argus Drop'!CZ:CZ)</f>
        <v>226282</v>
      </c>
      <c r="CW42" s="440">
        <f>SUMIF('Argus Drop'!$D:$D,$A42,'Argus Drop'!DA:DA)</f>
        <v>227136</v>
      </c>
      <c r="CX42" s="440">
        <f>SUMIF('Argus Drop'!$D:$D,$A42,'Argus Drop'!DB:DB)</f>
        <v>227136</v>
      </c>
      <c r="CY42" s="440">
        <f>SUMIF('Argus Drop'!$D:$D,$A42,'Argus Drop'!DC:DC)</f>
        <v>227701</v>
      </c>
      <c r="CZ42" s="440">
        <f>SUMIF('Argus Drop'!$D:$D,$A42,'Argus Drop'!DD:DD)</f>
        <v>227701</v>
      </c>
      <c r="DA42" s="440">
        <f>SUMIF('Argus Drop'!$D:$D,$A42,'Argus Drop'!DE:DE)</f>
        <v>228432</v>
      </c>
      <c r="DB42" s="440">
        <f>SUMIF('Argus Drop'!$D:$D,$A42,'Argus Drop'!DF:DF)</f>
        <v>228750</v>
      </c>
      <c r="DC42" s="440">
        <f>SUMIF('Argus Drop'!$D:$D,$A42,'Argus Drop'!DG:DG)</f>
        <v>229665</v>
      </c>
      <c r="DD42" s="440">
        <f>SUMIF('Argus Drop'!$D:$D,$A42,'Argus Drop'!DH:DH)</f>
        <v>230025</v>
      </c>
      <c r="DE42" s="440">
        <f>SUMIF('Argus Drop'!$D:$D,$A42,'Argus Drop'!DI:DI)</f>
        <v>230602</v>
      </c>
      <c r="DF42" s="440">
        <f>SUMIF('Argus Drop'!$D:$D,$A42,'Argus Drop'!DJ:DJ)</f>
        <v>231480</v>
      </c>
      <c r="DG42" s="440">
        <f>SUMIF('Argus Drop'!$D:$D,$A42,'Argus Drop'!DK:DK)</f>
        <v>203111</v>
      </c>
      <c r="DH42" s="440">
        <f>SUMIF('Argus Drop'!$D:$D,$A42,'Argus Drop'!DL:DL)</f>
        <v>194131</v>
      </c>
      <c r="DI42" s="440">
        <f>SUMIF('Argus Drop'!$D:$D,$A42,'Argus Drop'!DM:DM)</f>
        <v>226846</v>
      </c>
      <c r="DJ42" s="440">
        <f>SUMIF('Argus Drop'!$D:$D,$A42,'Argus Drop'!DN:DN)</f>
        <v>226846</v>
      </c>
      <c r="DK42" s="440">
        <f>SUMIF('Argus Drop'!$D:$D,$A42,'Argus Drop'!DO:DO)</f>
        <v>227428</v>
      </c>
      <c r="DL42" s="440">
        <f>SUMIF('Argus Drop'!$D:$D,$A42,'Argus Drop'!DP:DP)</f>
        <v>227428</v>
      </c>
      <c r="DM42" s="440">
        <f>SUMIF('Argus Drop'!$D:$D,$A42,'Argus Drop'!DQ:DQ)</f>
        <v>228181</v>
      </c>
      <c r="DN42" s="440">
        <f>SUMIF('Argus Drop'!$D:$D,$A42,'Argus Drop'!DR:DR)</f>
        <v>228508</v>
      </c>
      <c r="DO42" s="440">
        <f>SUMIF('Argus Drop'!$D:$D,$A42,'Argus Drop'!DS:DS)</f>
        <v>229451</v>
      </c>
      <c r="DP42" s="440">
        <f>SUMIF('Argus Drop'!$D:$D,$A42,'Argus Drop'!DT:DT)</f>
        <v>229821</v>
      </c>
      <c r="DQ42" s="440">
        <f>SUMIF('Argus Drop'!$D:$D,$A42,'Argus Drop'!DU:DU)</f>
        <v>224401</v>
      </c>
      <c r="DR42" s="440">
        <f>SUMIF('Argus Drop'!$D:$D,$A42,'Argus Drop'!DV:DV)</f>
        <v>230610</v>
      </c>
      <c r="DS42" s="440"/>
      <c r="DT42" s="440"/>
      <c r="DU42" s="440"/>
      <c r="DV42" s="440"/>
      <c r="DW42" s="440"/>
      <c r="DX42" s="440"/>
      <c r="DY42" s="440"/>
      <c r="DZ42" s="440"/>
      <c r="EA42" s="440"/>
      <c r="EB42" s="440"/>
      <c r="EC42" s="440"/>
      <c r="ED42" s="1419"/>
      <c r="EE42" s="1419"/>
      <c r="EF42" s="1419"/>
      <c r="EG42" s="1419"/>
      <c r="EH42" s="1419"/>
      <c r="EI42" s="1419"/>
      <c r="EJ42" s="1419"/>
      <c r="EK42" s="1419"/>
      <c r="EL42" s="1419"/>
      <c r="EM42" s="1419"/>
      <c r="EN42" s="1419"/>
      <c r="EO42" s="1419"/>
      <c r="EP42" s="1419"/>
      <c r="EQ42" s="1419"/>
      <c r="ER42" s="1419"/>
      <c r="ES42" s="1419"/>
      <c r="ET42" s="1419"/>
      <c r="EU42" s="1419"/>
      <c r="EV42" s="1419"/>
      <c r="EW42" s="1419"/>
      <c r="EX42" s="1419"/>
      <c r="EY42" s="1419"/>
      <c r="EZ42" s="1419"/>
      <c r="FA42" s="1419"/>
      <c r="FB42" s="1419"/>
      <c r="FC42" s="1419"/>
      <c r="FD42" s="1419"/>
      <c r="FE42" s="1419"/>
      <c r="FF42" s="1419"/>
      <c r="FG42" s="1419"/>
      <c r="FH42" s="1419"/>
      <c r="FI42" s="1419"/>
    </row>
    <row r="43" spans="1:165">
      <c r="A43" s="448" t="str">
        <f>IF(+'Argus Drop'!B43="","",'Argus Drop'!B43)</f>
        <v/>
      </c>
      <c r="B43" s="440" t="str">
        <f>IF(A43="","",+SUMIF('Argus Drop'!$D$7:$D$64,$A43,'Argus Drop'!#REF!))</f>
        <v/>
      </c>
      <c r="C43" s="440" t="str">
        <f>IF(B43="","",+SUMIF('Argus Drop'!$D$7:$D$64,$A43,'Argus Drop'!#REF!))</f>
        <v/>
      </c>
      <c r="D43" s="440" t="str">
        <f>IF(C43="","",+SUMIF('Argus Drop'!$D$7:$D$64,$A43,'Argus Drop'!#REF!))</f>
        <v/>
      </c>
      <c r="E43" s="440" t="str">
        <f>IF(D43="","",+SUMIF('Argus Drop'!$D$7:$D$64,$A43,'Argus Drop'!#REF!))</f>
        <v/>
      </c>
      <c r="F43" s="440" t="str">
        <f>IF(E43="","",+SUMIF('Argus Drop'!$D$7:$D$64,$A43,'Argus Drop'!#REF!))</f>
        <v/>
      </c>
      <c r="G43" s="440" t="str">
        <f>IF(F43="","",+SUMIF('Argus Drop'!$D$7:$D$64,$A43,'Argus Drop'!#REF!))</f>
        <v/>
      </c>
      <c r="H43" s="440" t="str">
        <f>IF(G43="","",+SUMIF('Argus Drop'!$D$7:$D$64,$A43,'Argus Drop'!#REF!))</f>
        <v/>
      </c>
      <c r="I43" s="440" t="str">
        <f>IF(H43="","",+SUMIF('Argus Drop'!$D$7:$D$64,$A43,'Argus Drop'!#REF!))</f>
        <v/>
      </c>
      <c r="J43" s="440" t="str">
        <f>IF(I43="","",+SUMIF('Argus Drop'!$D$7:$D$64,$A43,'Argus Drop'!#REF!))</f>
        <v/>
      </c>
      <c r="K43" s="440" t="str">
        <f>IF(J43="","",+SUMIF('Argus Drop'!$D$7:$D$64,$A43,'Argus Drop'!#REF!))</f>
        <v/>
      </c>
      <c r="L43" s="440" t="str">
        <f>IF(K43="","",+SUMIF('Argus Drop'!$D$7:$D$64,$A43,'Argus Drop'!#REF!))</f>
        <v/>
      </c>
      <c r="M43" s="440" t="str">
        <f>IF(L43="","",+SUMIF('Argus Drop'!$D$7:$D$64,$A43,'Argus Drop'!#REF!))</f>
        <v/>
      </c>
      <c r="N43" s="440" t="str">
        <f>IF(M43="","",+SUMIF('Argus Drop'!$D$7:$D$64,$A43,'Argus Drop'!#REF!))</f>
        <v/>
      </c>
      <c r="O43" s="440" t="str">
        <f>IF(N43="","",+SUMIF('Argus Drop'!$D$7:$D$64,$A43,'Argus Drop'!#REF!))</f>
        <v/>
      </c>
      <c r="P43" s="440" t="str">
        <f>IF(O43="","",+SUMIF('Argus Drop'!$D$7:$D$64,$A43,'Argus Drop'!#REF!))</f>
        <v/>
      </c>
      <c r="Q43" s="440" t="str">
        <f>IF(P43="","",+SUMIF('Argus Drop'!$D$7:$D$64,$A43,'Argus Drop'!#REF!))</f>
        <v/>
      </c>
      <c r="R43" s="440" t="str">
        <f>IF(Q43="","",+SUMIF('Argus Drop'!$D$7:$D$64,$A43,'Argus Drop'!#REF!))</f>
        <v/>
      </c>
      <c r="S43" s="440" t="str">
        <f>IF(R43="","",+SUMIF('Argus Drop'!$D$7:$D$64,$A43,'Argus Drop'!#REF!))</f>
        <v/>
      </c>
      <c r="T43" s="440" t="str">
        <f>IF(S43="","",+SUMIF('Argus Drop'!$D$7:$D$64,$A43,'Argus Drop'!#REF!))</f>
        <v/>
      </c>
      <c r="U43" s="440" t="str">
        <f>IF(T43="","",+SUMIF('Argus Drop'!$D$7:$D$64,$A43,'Argus Drop'!#REF!))</f>
        <v/>
      </c>
      <c r="V43" s="440" t="str">
        <f>IF(U43="","",+SUMIF('Argus Drop'!$D$7:$D$64,$A43,'Argus Drop'!#REF!))</f>
        <v/>
      </c>
      <c r="W43" s="440" t="str">
        <f>IF(V43="","",+SUMIF('Argus Drop'!$D$7:$D$64,$A43,'Argus Drop'!#REF!))</f>
        <v/>
      </c>
      <c r="X43" s="440" t="str">
        <f>IF(W43="","",+SUMIF('Argus Drop'!$D$7:$D$64,$A43,'Argus Drop'!#REF!))</f>
        <v/>
      </c>
      <c r="Y43" s="440" t="str">
        <f>IF(X43="","",+SUMIF('Argus Drop'!$D$7:$D$64,$A43,'Argus Drop'!#REF!))</f>
        <v/>
      </c>
      <c r="Z43" s="440" t="str">
        <f>IF(Y43="","",+SUMIF('Argus Drop'!$D$7:$D$64,$A43,'Argus Drop'!#REF!))</f>
        <v/>
      </c>
      <c r="AA43" s="440" t="str">
        <f>IF(Z43="","",+SUMIF('Argus Drop'!$D$7:$D$64,$A43,'Argus Drop'!#REF!))</f>
        <v/>
      </c>
      <c r="AB43" s="440" t="str">
        <f>IF(AA43="","",+SUMIF('Argus Drop'!$D$7:$D$64,$A43,'Argus Drop'!#REF!))</f>
        <v/>
      </c>
      <c r="AC43" s="440" t="str">
        <f>IF(AB43="","",+SUMIF('Argus Drop'!$D$7:$D$64,$A43,'Argus Drop'!#REF!))</f>
        <v/>
      </c>
      <c r="AD43" s="440" t="str">
        <f>IF(AC43="","",+SUMIF('Argus Drop'!$D$7:$D$64,$A43,'Argus Drop'!#REF!))</f>
        <v/>
      </c>
      <c r="AE43" s="440" t="str">
        <f>IF(AD43="","",+SUMIF('Argus Drop'!$D$7:$D$64,$A43,'Argus Drop'!#REF!))</f>
        <v/>
      </c>
      <c r="AF43" s="440" t="str">
        <f>IF(AE43="","",+SUMIF('Argus Drop'!$D$7:$D$64,$A43,'Argus Drop'!#REF!))</f>
        <v/>
      </c>
      <c r="AG43" s="440" t="str">
        <f>IF(AF43="","",+SUMIF('Argus Drop'!$D$7:$D$64,$A43,'Argus Drop'!#REF!))</f>
        <v/>
      </c>
      <c r="AH43" s="440" t="str">
        <f>IF(AG43="","",+SUMIF('Argus Drop'!$D$7:$D$64,$A43,'Argus Drop'!#REF!))</f>
        <v/>
      </c>
      <c r="AI43" s="440" t="str">
        <f>IF(AH43="","",+SUMIF('Argus Drop'!$D$7:$D$64,$A43,'Argus Drop'!#REF!))</f>
        <v/>
      </c>
      <c r="AJ43" s="440" t="str">
        <f>IF(AI43="","",+SUMIF('Argus Drop'!$D$7:$D$64,$A43,'Argus Drop'!#REF!))</f>
        <v/>
      </c>
      <c r="AK43" s="440" t="str">
        <f>IF(AJ43="","",+SUMIF('Argus Drop'!$D$7:$D$64,$A43,'Argus Drop'!#REF!))</f>
        <v/>
      </c>
      <c r="AL43" s="440" t="str">
        <f>IF(AK43="","",+SUMIF('Argus Drop'!$D$7:$D$64,$A43,'Argus Drop'!#REF!))</f>
        <v/>
      </c>
      <c r="AM43" s="440" t="str">
        <f>IF(AL43="","",+SUMIF('Argus Drop'!$D$7:$D$64,$A43,'Argus Drop'!#REF!))</f>
        <v/>
      </c>
      <c r="AN43" s="440" t="str">
        <f>IF(AM43="","",+SUMIF('Argus Drop'!$D$7:$D$64,$A43,'Argus Drop'!#REF!))</f>
        <v/>
      </c>
      <c r="AO43" s="440" t="str">
        <f>IF(AN43="","",+SUMIF('Argus Drop'!$D$7:$D$64,$A43,'Argus Drop'!#REF!))</f>
        <v/>
      </c>
      <c r="AP43" s="440" t="str">
        <f>IF(AO43="","",+SUMIF('Argus Drop'!$D$7:$D$64,$A43,'Argus Drop'!#REF!))</f>
        <v/>
      </c>
      <c r="AQ43" s="440" t="str">
        <f>IF(AP43="","",+SUMIF('Argus Drop'!$D$7:$D$64,$A43,'Argus Drop'!#REF!))</f>
        <v/>
      </c>
      <c r="AR43" s="440" t="str">
        <f>IF(AQ43="","",+SUMIF('Argus Drop'!$D$7:$D$64,$A43,'Argus Drop'!#REF!))</f>
        <v/>
      </c>
      <c r="AS43" s="440" t="str">
        <f>IF(AR43="","",+SUMIF('Argus Drop'!$D$7:$D$64,$A43,'Argus Drop'!#REF!))</f>
        <v/>
      </c>
      <c r="AT43" s="440" t="str">
        <f>IF(AS43="","",+SUMIF('Argus Drop'!$D$7:$D$64,$A43,'Argus Drop'!#REF!))</f>
        <v/>
      </c>
      <c r="AU43" s="440" t="str">
        <f>IF(AT43="","",+SUMIF('Argus Drop'!$D$7:$D$64,$A43,'Argus Drop'!#REF!))</f>
        <v/>
      </c>
      <c r="AV43" s="440" t="str">
        <f>IF(AU43="","",+SUMIF('Argus Drop'!$D$7:$D$64,$A43,'Argus Drop'!#REF!))</f>
        <v/>
      </c>
      <c r="AW43" s="440" t="str">
        <f>IF(AV43="","",+SUMIF('Argus Drop'!$D$7:$D$64,$A43,'Argus Drop'!#REF!))</f>
        <v/>
      </c>
      <c r="AX43" s="440" t="str">
        <f>IF(AW43="","",+SUMIF('Argus Drop'!$D$7:$D$64,$A43,'Argus Drop'!#REF!))</f>
        <v/>
      </c>
      <c r="AY43" s="440" t="str">
        <f>IF(AX43="","",+SUMIF('Argus Drop'!$D$7:$D$64,$A43,'Argus Drop'!#REF!))</f>
        <v/>
      </c>
      <c r="AZ43" s="440" t="str">
        <f>IF(AY43="","",+SUMIF('Argus Drop'!$D$7:$D$64,$A43,'Argus Drop'!#REF!))</f>
        <v/>
      </c>
      <c r="BA43" s="440" t="str">
        <f>IF(AZ43="","",+SUMIF('Argus Drop'!$D$7:$D$64,$A43,'Argus Drop'!#REF!))</f>
        <v/>
      </c>
      <c r="BB43" s="440" t="str">
        <f>IF(BA43="","",+SUMIF('Argus Drop'!$D$7:$D$64,$A43,'Argus Drop'!#REF!))</f>
        <v/>
      </c>
      <c r="BC43" s="440" t="str">
        <f>IF(BB43="","",+SUMIF('Argus Drop'!$D$7:$D$64,$A43,'Argus Drop'!#REF!))</f>
        <v/>
      </c>
      <c r="BD43" s="440" t="str">
        <f>IF(BC43="","",+SUMIF('Argus Drop'!$D$7:$D$64,$A43,'Argus Drop'!#REF!))</f>
        <v/>
      </c>
      <c r="BE43" s="440" t="str">
        <f>IF(BD43="","",+SUMIF('Argus Drop'!$D$7:$D$64,$A43,'Argus Drop'!#REF!))</f>
        <v/>
      </c>
      <c r="BF43" s="440" t="str">
        <f>IF(BE43="","",+SUMIF('Argus Drop'!$D$7:$D$64,$A43,'Argus Drop'!#REF!))</f>
        <v/>
      </c>
      <c r="BG43" s="440" t="str">
        <f>IF(BF43="","",+SUMIF('Argus Drop'!$D$7:$D$64,$A43,'Argus Drop'!#REF!))</f>
        <v/>
      </c>
      <c r="BH43" s="440" t="str">
        <f>IF(BG43="","",+SUMIF('Argus Drop'!$D$7:$D$64,$A43,'Argus Drop'!#REF!))</f>
        <v/>
      </c>
      <c r="BI43" s="440" t="str">
        <f>IF(BH43="","",+SUMIF('Argus Drop'!$D$7:$D$64,$A43,'Argus Drop'!#REF!))</f>
        <v/>
      </c>
      <c r="BJ43" s="440" t="str">
        <f>IF(BI43="","",+SUMIF('Argus Drop'!$D$7:$D$64,$A43,'Argus Drop'!#REF!))</f>
        <v/>
      </c>
      <c r="BK43" s="440" t="str">
        <f>IF(BJ43="","",+SUMIF('Argus Drop'!$D$7:$D$64,$A43,'Argus Drop'!#REF!))</f>
        <v/>
      </c>
      <c r="BL43" s="440" t="str">
        <f>IF(BK43="","",+SUMIF('Argus Drop'!$D$7:$D$64,$A43,'Argus Drop'!#REF!))</f>
        <v/>
      </c>
      <c r="BM43" s="440" t="str">
        <f>IF(BL43="","",+SUMIF('Argus Drop'!$D$7:$D$64,$A43,'Argus Drop'!#REF!))</f>
        <v/>
      </c>
      <c r="BN43" s="440" t="str">
        <f>IF(BM43="","",+SUMIF('Argus Drop'!$D$7:$D$64,$A43,'Argus Drop'!#REF!))</f>
        <v/>
      </c>
      <c r="BO43" s="440" t="str">
        <f>IF(BN43="","",+SUMIF('Argus Drop'!$D$7:$D$64,$A43,'Argus Drop'!#REF!))</f>
        <v/>
      </c>
      <c r="BP43" s="440" t="str">
        <f>IF(BO43="","",+SUMIF('Argus Drop'!$D$7:$D$64,$A43,'Argus Drop'!#REF!))</f>
        <v/>
      </c>
      <c r="BQ43" s="440" t="str">
        <f>IF(BP43="","",+SUMIF('Argus Drop'!$D$7:$D$64,$A43,'Argus Drop'!#REF!))</f>
        <v/>
      </c>
      <c r="BR43" s="440" t="str">
        <f>IF(BQ43="","",+SUMIF('Argus Drop'!$D$7:$D$64,$A43,'Argus Drop'!#REF!))</f>
        <v/>
      </c>
      <c r="BS43" s="440" t="str">
        <f>IF(BR43="","",+SUMIF('Argus Drop'!$D$7:$D$64,$A43,'Argus Drop'!#REF!))</f>
        <v/>
      </c>
      <c r="BT43" s="440" t="str">
        <f>IF(BS43="","",+SUMIF('Argus Drop'!$D$7:$D$64,$A43,'Argus Drop'!#REF!))</f>
        <v/>
      </c>
      <c r="BU43" s="440" t="str">
        <f>IF(BT43="","",+SUMIF('Argus Drop'!$D$7:$D$64,$A43,'Argus Drop'!#REF!))</f>
        <v/>
      </c>
      <c r="BV43" s="440" t="str">
        <f>IF(BU43="","",+SUMIF('Argus Drop'!$D$7:$D$64,$A43,'Argus Drop'!#REF!))</f>
        <v/>
      </c>
      <c r="BW43" s="440" t="str">
        <f>IF(BV43="","",+SUMIF('Argus Drop'!$D$7:$D$64,$A43,'Argus Drop'!#REF!))</f>
        <v/>
      </c>
      <c r="BX43" s="440" t="str">
        <f>IF(BW43="","",+SUMIF('Argus Drop'!$D$7:$D$64,$A43,'Argus Drop'!#REF!))</f>
        <v/>
      </c>
      <c r="BY43" s="440" t="str">
        <f>IF(BX43="","",+SUMIF('Argus Drop'!$D$7:$D$64,$A43,'Argus Drop'!#REF!))</f>
        <v/>
      </c>
      <c r="BZ43" s="440" t="str">
        <f>IF(BY43="","",+SUMIF('Argus Drop'!$D$7:$D$64,$A43,'Argus Drop'!#REF!))</f>
        <v/>
      </c>
      <c r="CA43" s="440" t="str">
        <f>IF(BZ43="","",+SUMIF('Argus Drop'!$D$7:$D$64,$A43,'Argus Drop'!#REF!))</f>
        <v/>
      </c>
      <c r="CB43" s="440" t="str">
        <f>IF(CA43="","",+SUMIF('Argus Drop'!$D$7:$D$64,$A43,'Argus Drop'!#REF!))</f>
        <v/>
      </c>
      <c r="CC43" s="440" t="str">
        <f>IF(CB43="","",+SUMIF('Argus Drop'!$D$7:$D$64,$A43,'Argus Drop'!#REF!))</f>
        <v/>
      </c>
      <c r="CD43" s="440" t="str">
        <f>IF(CC43="","",+SUMIF('Argus Drop'!$D$7:$D$64,$A43,'Argus Drop'!#REF!))</f>
        <v/>
      </c>
      <c r="CE43" s="440" t="str">
        <f>IF(CD43="","",+SUMIF('Argus Drop'!$D$7:$D$64,$A43,'Argus Drop'!#REF!))</f>
        <v/>
      </c>
      <c r="CF43" s="440" t="str">
        <f>IF(CE43="","",+SUMIF('Argus Drop'!$D$7:$D$64,$A43,'Argus Drop'!#REF!))</f>
        <v/>
      </c>
      <c r="CG43" s="440" t="str">
        <f>IF(CF43="","",+SUMIF('Argus Drop'!$D$7:$D$64,$A43,'Argus Drop'!#REF!))</f>
        <v/>
      </c>
      <c r="CH43" s="440" t="str">
        <f>IF(CG43="","",+SUMIF('Argus Drop'!$D$7:$D$64,$A43,'Argus Drop'!#REF!))</f>
        <v/>
      </c>
      <c r="CI43" s="440" t="str">
        <f>IF(CH43="","",+SUMIF('Argus Drop'!$D$7:$D$64,$A43,'Argus Drop'!#REF!))</f>
        <v/>
      </c>
      <c r="CJ43" s="440" t="str">
        <f>IF(CI43="","",+SUMIF('Argus Drop'!$D$7:$D$64,$A43,'Argus Drop'!#REF!))</f>
        <v/>
      </c>
      <c r="CK43" s="440" t="str">
        <f>IF(CJ43="","",+SUMIF('Argus Drop'!$D$7:$D$64,$A43,'Argus Drop'!#REF!))</f>
        <v/>
      </c>
      <c r="CL43" s="440" t="str">
        <f>IF(CK43="","",+SUMIF('Argus Drop'!$D$7:$D$64,$A43,'Argus Drop'!#REF!))</f>
        <v/>
      </c>
      <c r="CM43" s="440" t="str">
        <f>IF(CL43="","",+SUMIF('Argus Drop'!$D$7:$D$64,$A43,'Argus Drop'!#REF!))</f>
        <v/>
      </c>
      <c r="CN43" s="440" t="str">
        <f>IF(CM43="","",+SUMIF('Argus Drop'!$D$7:$D$64,$A43,'Argus Drop'!#REF!))</f>
        <v/>
      </c>
      <c r="CO43" s="440" t="str">
        <f>IF(CN43="","",+SUMIF('Argus Drop'!$D$7:$D$64,$A43,'Argus Drop'!#REF!))</f>
        <v/>
      </c>
      <c r="CP43" s="440" t="str">
        <f>IF(CO43="","",+SUMIF('Argus Drop'!$D$7:$D$64,$A43,'Argus Drop'!#REF!))</f>
        <v/>
      </c>
      <c r="CQ43" s="440" t="str">
        <f>IF(CP43="","",+SUMIF('Argus Drop'!$D$7:$D$64,$A43,'Argus Drop'!#REF!))</f>
        <v/>
      </c>
      <c r="CR43" s="440" t="str">
        <f>IF(CQ43="","",+SUMIF('Argus Drop'!$D$7:$D$64,$A43,'Argus Drop'!#REF!))</f>
        <v/>
      </c>
      <c r="CS43" s="440" t="str">
        <f>IF(CR43="","",+SUMIF('Argus Drop'!$D$7:$D$64,$A43,'Argus Drop'!#REF!))</f>
        <v/>
      </c>
      <c r="CT43" s="440" t="str">
        <f>IF(CS43="","",+SUMIF('Argus Drop'!$D$7:$D$64,$A43,'Argus Drop'!#REF!))</f>
        <v/>
      </c>
      <c r="CU43" s="440" t="str">
        <f>IF(CT43="","",+SUMIF('Argus Drop'!$D$7:$D$64,$A43,'Argus Drop'!#REF!))</f>
        <v/>
      </c>
      <c r="CV43" s="440" t="str">
        <f>IF(CU43="","",+SUMIF('Argus Drop'!$D$7:$D$64,$A43,'Argus Drop'!#REF!))</f>
        <v/>
      </c>
      <c r="CW43" s="440" t="str">
        <f>IF(CV43="","",+SUMIF('Argus Drop'!$D$7:$D$64,$A43,'Argus Drop'!#REF!))</f>
        <v/>
      </c>
      <c r="CX43" s="440" t="str">
        <f>IF(CW43="","",+SUMIF('Argus Drop'!$D$7:$D$64,$A43,'Argus Drop'!#REF!))</f>
        <v/>
      </c>
      <c r="CY43" s="440" t="str">
        <f>IF(CX43="","",+SUMIF('Argus Drop'!$D$7:$D$64,$A43,'Argus Drop'!#REF!))</f>
        <v/>
      </c>
      <c r="CZ43" s="440" t="str">
        <f>IF(CY43="","",+SUMIF('Argus Drop'!$D$7:$D$64,$A43,'Argus Drop'!#REF!))</f>
        <v/>
      </c>
      <c r="DA43" s="440" t="str">
        <f>IF(CZ43="","",+SUMIF('Argus Drop'!$D$7:$D$64,$A43,'Argus Drop'!#REF!))</f>
        <v/>
      </c>
      <c r="DB43" s="440" t="str">
        <f>IF(DA43="","",+SUMIF('Argus Drop'!$D$7:$D$64,$A43,'Argus Drop'!#REF!))</f>
        <v/>
      </c>
      <c r="DC43" s="440" t="str">
        <f>IF(DB43="","",+SUMIF('Argus Drop'!$D$7:$D$64,$A43,'Argus Drop'!#REF!))</f>
        <v/>
      </c>
      <c r="DD43" s="440" t="str">
        <f>IF(DC43="","",+SUMIF('Argus Drop'!$D$7:$D$64,$A43,'Argus Drop'!#REF!))</f>
        <v/>
      </c>
      <c r="DE43" s="440" t="str">
        <f>IF(DD43="","",+SUMIF('Argus Drop'!$D$7:$D$64,$A43,'Argus Drop'!#REF!))</f>
        <v/>
      </c>
      <c r="DF43" s="440" t="str">
        <f>IF(DE43="","",+SUMIF('Argus Drop'!$D$7:$D$64,$A43,'Argus Drop'!#REF!))</f>
        <v/>
      </c>
      <c r="DG43" s="440" t="str">
        <f>IF(DF43="","",+SUMIF('Argus Drop'!$D$7:$D$64,$A43,'Argus Drop'!#REF!))</f>
        <v/>
      </c>
      <c r="DH43" s="440" t="str">
        <f>IF(DG43="","",+SUMIF('Argus Drop'!$D$7:$D$64,$A43,'Argus Drop'!#REF!))</f>
        <v/>
      </c>
      <c r="DI43" s="440" t="str">
        <f>IF(DH43="","",+SUMIF('Argus Drop'!$D$7:$D$64,$A43,'Argus Drop'!#REF!))</f>
        <v/>
      </c>
      <c r="DJ43" s="440" t="str">
        <f>IF(DI43="","",+SUMIF('Argus Drop'!$D$7:$D$64,$A43,'Argus Drop'!#REF!))</f>
        <v/>
      </c>
      <c r="DK43" s="440" t="str">
        <f>IF(DJ43="","",+SUMIF('Argus Drop'!$D$7:$D$64,$A43,'Argus Drop'!#REF!))</f>
        <v/>
      </c>
      <c r="DL43" s="440" t="str">
        <f>IF(DK43="","",+SUMIF('Argus Drop'!$D$7:$D$64,$A43,'Argus Drop'!#REF!))</f>
        <v/>
      </c>
      <c r="DM43" s="440" t="str">
        <f>IF(DL43="","",+SUMIF('Argus Drop'!$D$7:$D$64,$A43,'Argus Drop'!#REF!))</f>
        <v/>
      </c>
      <c r="DN43" s="440" t="str">
        <f>IF(DM43="","",+SUMIF('Argus Drop'!$D$7:$D$64,$A43,'Argus Drop'!#REF!))</f>
        <v/>
      </c>
      <c r="DO43" s="440" t="str">
        <f>IF(DN43="","",+SUMIF('Argus Drop'!$D$7:$D$64,$A43,'Argus Drop'!#REF!))</f>
        <v/>
      </c>
      <c r="DP43" s="440" t="str">
        <f>IF(DO43="","",+SUMIF('Argus Drop'!$D$7:$D$64,$A43,'Argus Drop'!#REF!))</f>
        <v/>
      </c>
      <c r="DQ43" s="440" t="str">
        <f>IF(DP43="","",+SUMIF('Argus Drop'!$D$7:$D$64,$A43,'Argus Drop'!#REF!))</f>
        <v/>
      </c>
      <c r="DR43" s="440" t="str">
        <f>IF(DQ43="","",+SUMIF('Argus Drop'!$D$7:$D$64,$A43,'Argus Drop'!#REF!))</f>
        <v/>
      </c>
      <c r="DS43" s="440"/>
      <c r="DT43" s="440"/>
      <c r="DU43" s="440"/>
      <c r="DV43" s="440"/>
      <c r="DW43" s="440"/>
      <c r="DX43" s="440"/>
      <c r="DY43" s="440"/>
      <c r="DZ43" s="440"/>
      <c r="EA43" s="440"/>
      <c r="EB43" s="440"/>
      <c r="EC43" s="440"/>
      <c r="ED43" s="1419"/>
      <c r="EE43" s="1419"/>
      <c r="EF43" s="1419"/>
      <c r="EG43" s="1419"/>
      <c r="EH43" s="1419"/>
      <c r="EI43" s="1419"/>
      <c r="EJ43" s="1419"/>
      <c r="EK43" s="1419"/>
      <c r="EL43" s="1419"/>
      <c r="EM43" s="1419"/>
      <c r="EN43" s="1419"/>
      <c r="EO43" s="1419"/>
      <c r="EP43" s="1419"/>
      <c r="EQ43" s="1419"/>
      <c r="ER43" s="1419"/>
      <c r="ES43" s="1419"/>
      <c r="ET43" s="1419"/>
      <c r="EU43" s="1419"/>
      <c r="EV43" s="1419"/>
      <c r="EW43" s="1419"/>
      <c r="EX43" s="1419"/>
      <c r="EY43" s="1419"/>
      <c r="EZ43" s="1419"/>
      <c r="FA43" s="1419"/>
      <c r="FB43" s="1419"/>
      <c r="FC43" s="1419"/>
      <c r="FD43" s="1419"/>
      <c r="FE43" s="1419"/>
      <c r="FF43" s="1419"/>
      <c r="FG43" s="1419"/>
      <c r="FH43" s="1419"/>
      <c r="FI43" s="1419"/>
    </row>
    <row r="44" spans="1:165">
      <c r="A44" s="448" t="str">
        <f>IF(+'Argus Drop'!B44="","",'Argus Drop'!B44)</f>
        <v/>
      </c>
      <c r="B44" s="440" t="str">
        <f>IF(A44="","",+SUMIF('Argus Drop'!$D$7:$D$64,$A44,'Argus Drop'!#REF!))</f>
        <v/>
      </c>
      <c r="C44" s="440" t="str">
        <f>IF(B44="","",+SUMIF('Argus Drop'!$D$7:$D$64,$A44,'Argus Drop'!#REF!))</f>
        <v/>
      </c>
      <c r="D44" s="440" t="str">
        <f>IF(C44="","",+SUMIF('Argus Drop'!$D$7:$D$64,$A44,'Argus Drop'!#REF!))</f>
        <v/>
      </c>
      <c r="E44" s="440" t="str">
        <f>IF(D44="","",+SUMIF('Argus Drop'!$D$7:$D$64,$A44,'Argus Drop'!#REF!))</f>
        <v/>
      </c>
      <c r="F44" s="440" t="str">
        <f>IF(E44="","",+SUMIF('Argus Drop'!$D$7:$D$64,$A44,'Argus Drop'!#REF!))</f>
        <v/>
      </c>
      <c r="G44" s="440" t="str">
        <f>IF(F44="","",+SUMIF('Argus Drop'!$D$7:$D$64,$A44,'Argus Drop'!#REF!))</f>
        <v/>
      </c>
      <c r="H44" s="440" t="str">
        <f>IF(G44="","",+SUMIF('Argus Drop'!$D$7:$D$64,$A44,'Argus Drop'!#REF!))</f>
        <v/>
      </c>
      <c r="I44" s="440" t="str">
        <f>IF(H44="","",+SUMIF('Argus Drop'!$D$7:$D$64,$A44,'Argus Drop'!#REF!))</f>
        <v/>
      </c>
      <c r="J44" s="440" t="str">
        <f>IF(I44="","",+SUMIF('Argus Drop'!$D$7:$D$64,$A44,'Argus Drop'!#REF!))</f>
        <v/>
      </c>
      <c r="K44" s="440" t="str">
        <f>IF(J44="","",+SUMIF('Argus Drop'!$D$7:$D$64,$A44,'Argus Drop'!#REF!))</f>
        <v/>
      </c>
      <c r="L44" s="440" t="str">
        <f>IF(K44="","",+SUMIF('Argus Drop'!$D$7:$D$64,$A44,'Argus Drop'!#REF!))</f>
        <v/>
      </c>
      <c r="M44" s="440" t="str">
        <f>IF(L44="","",+SUMIF('Argus Drop'!$D$7:$D$64,$A44,'Argus Drop'!#REF!))</f>
        <v/>
      </c>
      <c r="N44" s="440" t="str">
        <f>IF(M44="","",+SUMIF('Argus Drop'!$D$7:$D$64,$A44,'Argus Drop'!#REF!))</f>
        <v/>
      </c>
      <c r="O44" s="440" t="str">
        <f>IF(N44="","",+SUMIF('Argus Drop'!$D$7:$D$64,$A44,'Argus Drop'!#REF!))</f>
        <v/>
      </c>
      <c r="P44" s="440" t="str">
        <f>IF(O44="","",+SUMIF('Argus Drop'!$D$7:$D$64,$A44,'Argus Drop'!#REF!))</f>
        <v/>
      </c>
      <c r="Q44" s="440" t="str">
        <f>IF(P44="","",+SUMIF('Argus Drop'!$D$7:$D$64,$A44,'Argus Drop'!#REF!))</f>
        <v/>
      </c>
      <c r="R44" s="440" t="str">
        <f>IF(Q44="","",+SUMIF('Argus Drop'!$D$7:$D$64,$A44,'Argus Drop'!#REF!))</f>
        <v/>
      </c>
      <c r="S44" s="440" t="str">
        <f>IF(R44="","",+SUMIF('Argus Drop'!$D$7:$D$64,$A44,'Argus Drop'!#REF!))</f>
        <v/>
      </c>
      <c r="T44" s="440" t="str">
        <f>IF(S44="","",+SUMIF('Argus Drop'!$D$7:$D$64,$A44,'Argus Drop'!#REF!))</f>
        <v/>
      </c>
      <c r="U44" s="440" t="str">
        <f>IF(T44="","",+SUMIF('Argus Drop'!$D$7:$D$64,$A44,'Argus Drop'!#REF!))</f>
        <v/>
      </c>
      <c r="V44" s="440" t="str">
        <f>IF(U44="","",+SUMIF('Argus Drop'!$D$7:$D$64,$A44,'Argus Drop'!#REF!))</f>
        <v/>
      </c>
      <c r="W44" s="440" t="str">
        <f>IF(V44="","",+SUMIF('Argus Drop'!$D$7:$D$64,$A44,'Argus Drop'!#REF!))</f>
        <v/>
      </c>
      <c r="X44" s="440" t="str">
        <f>IF(W44="","",+SUMIF('Argus Drop'!$D$7:$D$64,$A44,'Argus Drop'!#REF!))</f>
        <v/>
      </c>
      <c r="Y44" s="440" t="str">
        <f>IF(X44="","",+SUMIF('Argus Drop'!$D$7:$D$64,$A44,'Argus Drop'!#REF!))</f>
        <v/>
      </c>
      <c r="Z44" s="440" t="str">
        <f>IF(Y44="","",+SUMIF('Argus Drop'!$D$7:$D$64,$A44,'Argus Drop'!#REF!))</f>
        <v/>
      </c>
      <c r="AA44" s="440" t="str">
        <f>IF(Z44="","",+SUMIF('Argus Drop'!$D$7:$D$64,$A44,'Argus Drop'!#REF!))</f>
        <v/>
      </c>
      <c r="AB44" s="440" t="str">
        <f>IF(AA44="","",+SUMIF('Argus Drop'!$D$7:$D$64,$A44,'Argus Drop'!#REF!))</f>
        <v/>
      </c>
      <c r="AC44" s="440" t="str">
        <f>IF(AB44="","",+SUMIF('Argus Drop'!$D$7:$D$64,$A44,'Argus Drop'!#REF!))</f>
        <v/>
      </c>
      <c r="AD44" s="440" t="str">
        <f>IF(AC44="","",+SUMIF('Argus Drop'!$D$7:$D$64,$A44,'Argus Drop'!#REF!))</f>
        <v/>
      </c>
      <c r="AE44" s="440" t="str">
        <f>IF(AD44="","",+SUMIF('Argus Drop'!$D$7:$D$64,$A44,'Argus Drop'!#REF!))</f>
        <v/>
      </c>
      <c r="AF44" s="440" t="str">
        <f>IF(AE44="","",+SUMIF('Argus Drop'!$D$7:$D$64,$A44,'Argus Drop'!#REF!))</f>
        <v/>
      </c>
      <c r="AG44" s="440" t="str">
        <f>IF(AF44="","",+SUMIF('Argus Drop'!$D$7:$D$64,$A44,'Argus Drop'!#REF!))</f>
        <v/>
      </c>
      <c r="AH44" s="440" t="str">
        <f>IF(AG44="","",+SUMIF('Argus Drop'!$D$7:$D$64,$A44,'Argus Drop'!#REF!))</f>
        <v/>
      </c>
      <c r="AI44" s="440" t="str">
        <f>IF(AH44="","",+SUMIF('Argus Drop'!$D$7:$D$64,$A44,'Argus Drop'!#REF!))</f>
        <v/>
      </c>
      <c r="AJ44" s="440" t="str">
        <f>IF(AI44="","",+SUMIF('Argus Drop'!$D$7:$D$64,$A44,'Argus Drop'!#REF!))</f>
        <v/>
      </c>
      <c r="AK44" s="440" t="str">
        <f>IF(AJ44="","",+SUMIF('Argus Drop'!$D$7:$D$64,$A44,'Argus Drop'!#REF!))</f>
        <v/>
      </c>
      <c r="AL44" s="440" t="str">
        <f>IF(AK44="","",+SUMIF('Argus Drop'!$D$7:$D$64,$A44,'Argus Drop'!#REF!))</f>
        <v/>
      </c>
      <c r="AM44" s="440" t="str">
        <f>IF(AL44="","",+SUMIF('Argus Drop'!$D$7:$D$64,$A44,'Argus Drop'!#REF!))</f>
        <v/>
      </c>
      <c r="AN44" s="440" t="str">
        <f>IF(AM44="","",+SUMIF('Argus Drop'!$D$7:$D$64,$A44,'Argus Drop'!#REF!))</f>
        <v/>
      </c>
      <c r="AO44" s="440" t="str">
        <f>IF(AN44="","",+SUMIF('Argus Drop'!$D$7:$D$64,$A44,'Argus Drop'!#REF!))</f>
        <v/>
      </c>
      <c r="AP44" s="440" t="str">
        <f>IF(AO44="","",+SUMIF('Argus Drop'!$D$7:$D$64,$A44,'Argus Drop'!#REF!))</f>
        <v/>
      </c>
      <c r="AQ44" s="440" t="str">
        <f>IF(AP44="","",+SUMIF('Argus Drop'!$D$7:$D$64,$A44,'Argus Drop'!#REF!))</f>
        <v/>
      </c>
      <c r="AR44" s="440" t="str">
        <f>IF(AQ44="","",+SUMIF('Argus Drop'!$D$7:$D$64,$A44,'Argus Drop'!#REF!))</f>
        <v/>
      </c>
      <c r="AS44" s="440" t="str">
        <f>IF(AR44="","",+SUMIF('Argus Drop'!$D$7:$D$64,$A44,'Argus Drop'!#REF!))</f>
        <v/>
      </c>
      <c r="AT44" s="440" t="str">
        <f>IF(AS44="","",+SUMIF('Argus Drop'!$D$7:$D$64,$A44,'Argus Drop'!#REF!))</f>
        <v/>
      </c>
      <c r="AU44" s="440" t="str">
        <f>IF(AT44="","",+SUMIF('Argus Drop'!$D$7:$D$64,$A44,'Argus Drop'!#REF!))</f>
        <v/>
      </c>
      <c r="AV44" s="440" t="str">
        <f>IF(AU44="","",+SUMIF('Argus Drop'!$D$7:$D$64,$A44,'Argus Drop'!#REF!))</f>
        <v/>
      </c>
      <c r="AW44" s="440" t="str">
        <f>IF(AV44="","",+SUMIF('Argus Drop'!$D$7:$D$64,$A44,'Argus Drop'!#REF!))</f>
        <v/>
      </c>
      <c r="AX44" s="440" t="str">
        <f>IF(AW44="","",+SUMIF('Argus Drop'!$D$7:$D$64,$A44,'Argus Drop'!#REF!))</f>
        <v/>
      </c>
      <c r="AY44" s="440" t="str">
        <f>IF(AX44="","",+SUMIF('Argus Drop'!$D$7:$D$64,$A44,'Argus Drop'!#REF!))</f>
        <v/>
      </c>
      <c r="AZ44" s="440" t="str">
        <f>IF(AY44="","",+SUMIF('Argus Drop'!$D$7:$D$64,$A44,'Argus Drop'!#REF!))</f>
        <v/>
      </c>
      <c r="BA44" s="440" t="str">
        <f>IF(AZ44="","",+SUMIF('Argus Drop'!$D$7:$D$64,$A44,'Argus Drop'!#REF!))</f>
        <v/>
      </c>
      <c r="BB44" s="440" t="str">
        <f>IF(BA44="","",+SUMIF('Argus Drop'!$D$7:$D$64,$A44,'Argus Drop'!#REF!))</f>
        <v/>
      </c>
      <c r="BC44" s="440" t="str">
        <f>IF(BB44="","",+SUMIF('Argus Drop'!$D$7:$D$64,$A44,'Argus Drop'!#REF!))</f>
        <v/>
      </c>
      <c r="BD44" s="440" t="str">
        <f>IF(BC44="","",+SUMIF('Argus Drop'!$D$7:$D$64,$A44,'Argus Drop'!#REF!))</f>
        <v/>
      </c>
      <c r="BE44" s="440" t="str">
        <f>IF(BD44="","",+SUMIF('Argus Drop'!$D$7:$D$64,$A44,'Argus Drop'!#REF!))</f>
        <v/>
      </c>
      <c r="BF44" s="440" t="str">
        <f>IF(BE44="","",+SUMIF('Argus Drop'!$D$7:$D$64,$A44,'Argus Drop'!#REF!))</f>
        <v/>
      </c>
      <c r="BG44" s="440" t="str">
        <f>IF(BF44="","",+SUMIF('Argus Drop'!$D$7:$D$64,$A44,'Argus Drop'!#REF!))</f>
        <v/>
      </c>
      <c r="BH44" s="440" t="str">
        <f>IF(BG44="","",+SUMIF('Argus Drop'!$D$7:$D$64,$A44,'Argus Drop'!#REF!))</f>
        <v/>
      </c>
      <c r="BI44" s="440" t="str">
        <f>IF(BH44="","",+SUMIF('Argus Drop'!$D$7:$D$64,$A44,'Argus Drop'!#REF!))</f>
        <v/>
      </c>
      <c r="BJ44" s="440" t="str">
        <f>IF(BI44="","",+SUMIF('Argus Drop'!$D$7:$D$64,$A44,'Argus Drop'!#REF!))</f>
        <v/>
      </c>
      <c r="BK44" s="440" t="str">
        <f>IF(BJ44="","",+SUMIF('Argus Drop'!$D$7:$D$64,$A44,'Argus Drop'!#REF!))</f>
        <v/>
      </c>
      <c r="BL44" s="440" t="str">
        <f>IF(BK44="","",+SUMIF('Argus Drop'!$D$7:$D$64,$A44,'Argus Drop'!#REF!))</f>
        <v/>
      </c>
      <c r="BM44" s="440" t="str">
        <f>IF(BL44="","",+SUMIF('Argus Drop'!$D$7:$D$64,$A44,'Argus Drop'!#REF!))</f>
        <v/>
      </c>
      <c r="BN44" s="440" t="str">
        <f>IF(BM44="","",+SUMIF('Argus Drop'!$D$7:$D$64,$A44,'Argus Drop'!#REF!))</f>
        <v/>
      </c>
      <c r="BO44" s="440" t="str">
        <f>IF(BN44="","",+SUMIF('Argus Drop'!$D$7:$D$64,$A44,'Argus Drop'!#REF!))</f>
        <v/>
      </c>
      <c r="BP44" s="440" t="str">
        <f>IF(BO44="","",+SUMIF('Argus Drop'!$D$7:$D$64,$A44,'Argus Drop'!#REF!))</f>
        <v/>
      </c>
      <c r="BQ44" s="440" t="str">
        <f>IF(BP44="","",+SUMIF('Argus Drop'!$D$7:$D$64,$A44,'Argus Drop'!#REF!))</f>
        <v/>
      </c>
      <c r="BR44" s="440" t="str">
        <f>IF(BQ44="","",+SUMIF('Argus Drop'!$D$7:$D$64,$A44,'Argus Drop'!#REF!))</f>
        <v/>
      </c>
      <c r="BS44" s="440" t="str">
        <f>IF(BR44="","",+SUMIF('Argus Drop'!$D$7:$D$64,$A44,'Argus Drop'!#REF!))</f>
        <v/>
      </c>
      <c r="BT44" s="440" t="str">
        <f>IF(BS44="","",+SUMIF('Argus Drop'!$D$7:$D$64,$A44,'Argus Drop'!#REF!))</f>
        <v/>
      </c>
      <c r="BU44" s="440" t="str">
        <f>IF(BT44="","",+SUMIF('Argus Drop'!$D$7:$D$64,$A44,'Argus Drop'!#REF!))</f>
        <v/>
      </c>
      <c r="BV44" s="440" t="str">
        <f>IF(BU44="","",+SUMIF('Argus Drop'!$D$7:$D$64,$A44,'Argus Drop'!#REF!))</f>
        <v/>
      </c>
      <c r="BW44" s="440" t="str">
        <f>IF(BV44="","",+SUMIF('Argus Drop'!$D$7:$D$64,$A44,'Argus Drop'!#REF!))</f>
        <v/>
      </c>
      <c r="BX44" s="440" t="str">
        <f>IF(BW44="","",+SUMIF('Argus Drop'!$D$7:$D$64,$A44,'Argus Drop'!#REF!))</f>
        <v/>
      </c>
      <c r="BY44" s="440" t="str">
        <f>IF(BX44="","",+SUMIF('Argus Drop'!$D$7:$D$64,$A44,'Argus Drop'!#REF!))</f>
        <v/>
      </c>
      <c r="BZ44" s="440" t="str">
        <f>IF(BY44="","",+SUMIF('Argus Drop'!$D$7:$D$64,$A44,'Argus Drop'!#REF!))</f>
        <v/>
      </c>
      <c r="CA44" s="440" t="str">
        <f>IF(BZ44="","",+SUMIF('Argus Drop'!$D$7:$D$64,$A44,'Argus Drop'!#REF!))</f>
        <v/>
      </c>
      <c r="CB44" s="440" t="str">
        <f>IF(CA44="","",+SUMIF('Argus Drop'!$D$7:$D$64,$A44,'Argus Drop'!#REF!))</f>
        <v/>
      </c>
      <c r="CC44" s="440" t="str">
        <f>IF(CB44="","",+SUMIF('Argus Drop'!$D$7:$D$64,$A44,'Argus Drop'!#REF!))</f>
        <v/>
      </c>
      <c r="CD44" s="440" t="str">
        <f>IF(CC44="","",+SUMIF('Argus Drop'!$D$7:$D$64,$A44,'Argus Drop'!#REF!))</f>
        <v/>
      </c>
      <c r="CE44" s="440" t="str">
        <f>IF(CD44="","",+SUMIF('Argus Drop'!$D$7:$D$64,$A44,'Argus Drop'!#REF!))</f>
        <v/>
      </c>
      <c r="CF44" s="440" t="str">
        <f>IF(CE44="","",+SUMIF('Argus Drop'!$D$7:$D$64,$A44,'Argus Drop'!#REF!))</f>
        <v/>
      </c>
      <c r="CG44" s="440" t="str">
        <f>IF(CF44="","",+SUMIF('Argus Drop'!$D$7:$D$64,$A44,'Argus Drop'!#REF!))</f>
        <v/>
      </c>
      <c r="CH44" s="440" t="str">
        <f>IF(CG44="","",+SUMIF('Argus Drop'!$D$7:$D$64,$A44,'Argus Drop'!#REF!))</f>
        <v/>
      </c>
      <c r="CI44" s="440" t="str">
        <f>IF(CH44="","",+SUMIF('Argus Drop'!$D$7:$D$64,$A44,'Argus Drop'!#REF!))</f>
        <v/>
      </c>
      <c r="CJ44" s="440" t="str">
        <f>IF(CI44="","",+SUMIF('Argus Drop'!$D$7:$D$64,$A44,'Argus Drop'!#REF!))</f>
        <v/>
      </c>
      <c r="CK44" s="440" t="str">
        <f>IF(CJ44="","",+SUMIF('Argus Drop'!$D$7:$D$64,$A44,'Argus Drop'!#REF!))</f>
        <v/>
      </c>
      <c r="CL44" s="440" t="str">
        <f>IF(CK44="","",+SUMIF('Argus Drop'!$D$7:$D$64,$A44,'Argus Drop'!#REF!))</f>
        <v/>
      </c>
      <c r="CM44" s="440" t="str">
        <f>IF(CL44="","",+SUMIF('Argus Drop'!$D$7:$D$64,$A44,'Argus Drop'!#REF!))</f>
        <v/>
      </c>
      <c r="CN44" s="440" t="str">
        <f>IF(CM44="","",+SUMIF('Argus Drop'!$D$7:$D$64,$A44,'Argus Drop'!#REF!))</f>
        <v/>
      </c>
      <c r="CO44" s="440" t="str">
        <f>IF(CN44="","",+SUMIF('Argus Drop'!$D$7:$D$64,$A44,'Argus Drop'!#REF!))</f>
        <v/>
      </c>
      <c r="CP44" s="440" t="str">
        <f>IF(CO44="","",+SUMIF('Argus Drop'!$D$7:$D$64,$A44,'Argus Drop'!#REF!))</f>
        <v/>
      </c>
      <c r="CQ44" s="440" t="str">
        <f>IF(CP44="","",+SUMIF('Argus Drop'!$D$7:$D$64,$A44,'Argus Drop'!#REF!))</f>
        <v/>
      </c>
      <c r="CR44" s="440" t="str">
        <f>IF(CQ44="","",+SUMIF('Argus Drop'!$D$7:$D$64,$A44,'Argus Drop'!#REF!))</f>
        <v/>
      </c>
      <c r="CS44" s="440" t="str">
        <f>IF(CR44="","",+SUMIF('Argus Drop'!$D$7:$D$64,$A44,'Argus Drop'!#REF!))</f>
        <v/>
      </c>
      <c r="CT44" s="440" t="str">
        <f>IF(CS44="","",+SUMIF('Argus Drop'!$D$7:$D$64,$A44,'Argus Drop'!#REF!))</f>
        <v/>
      </c>
      <c r="CU44" s="440" t="str">
        <f>IF(CT44="","",+SUMIF('Argus Drop'!$D$7:$D$64,$A44,'Argus Drop'!#REF!))</f>
        <v/>
      </c>
      <c r="CV44" s="440" t="str">
        <f>IF(CU44="","",+SUMIF('Argus Drop'!$D$7:$D$64,$A44,'Argus Drop'!#REF!))</f>
        <v/>
      </c>
      <c r="CW44" s="440" t="str">
        <f>IF(CV44="","",+SUMIF('Argus Drop'!$D$7:$D$64,$A44,'Argus Drop'!#REF!))</f>
        <v/>
      </c>
      <c r="CX44" s="440" t="str">
        <f>IF(CW44="","",+SUMIF('Argus Drop'!$D$7:$D$64,$A44,'Argus Drop'!#REF!))</f>
        <v/>
      </c>
      <c r="CY44" s="440" t="str">
        <f>IF(CX44="","",+SUMIF('Argus Drop'!$D$7:$D$64,$A44,'Argus Drop'!#REF!))</f>
        <v/>
      </c>
      <c r="CZ44" s="440" t="str">
        <f>IF(CY44="","",+SUMIF('Argus Drop'!$D$7:$D$64,$A44,'Argus Drop'!#REF!))</f>
        <v/>
      </c>
      <c r="DA44" s="440" t="str">
        <f>IF(CZ44="","",+SUMIF('Argus Drop'!$D$7:$D$64,$A44,'Argus Drop'!#REF!))</f>
        <v/>
      </c>
      <c r="DB44" s="440" t="str">
        <f>IF(DA44="","",+SUMIF('Argus Drop'!$D$7:$D$64,$A44,'Argus Drop'!#REF!))</f>
        <v/>
      </c>
      <c r="DC44" s="440" t="str">
        <f>IF(DB44="","",+SUMIF('Argus Drop'!$D$7:$D$64,$A44,'Argus Drop'!#REF!))</f>
        <v/>
      </c>
      <c r="DD44" s="440" t="str">
        <f>IF(DC44="","",+SUMIF('Argus Drop'!$D$7:$D$64,$A44,'Argus Drop'!#REF!))</f>
        <v/>
      </c>
      <c r="DE44" s="440" t="str">
        <f>IF(DD44="","",+SUMIF('Argus Drop'!$D$7:$D$64,$A44,'Argus Drop'!#REF!))</f>
        <v/>
      </c>
      <c r="DF44" s="440" t="str">
        <f>IF(DE44="","",+SUMIF('Argus Drop'!$D$7:$D$64,$A44,'Argus Drop'!#REF!))</f>
        <v/>
      </c>
      <c r="DG44" s="440" t="str">
        <f>IF(DF44="","",+SUMIF('Argus Drop'!$D$7:$D$64,$A44,'Argus Drop'!#REF!))</f>
        <v/>
      </c>
      <c r="DH44" s="440" t="str">
        <f>IF(DG44="","",+SUMIF('Argus Drop'!$D$7:$D$64,$A44,'Argus Drop'!#REF!))</f>
        <v/>
      </c>
      <c r="DI44" s="440" t="str">
        <f>IF(DH44="","",+SUMIF('Argus Drop'!$D$7:$D$64,$A44,'Argus Drop'!#REF!))</f>
        <v/>
      </c>
      <c r="DJ44" s="440" t="str">
        <f>IF(DI44="","",+SUMIF('Argus Drop'!$D$7:$D$64,$A44,'Argus Drop'!#REF!))</f>
        <v/>
      </c>
      <c r="DK44" s="440" t="str">
        <f>IF(DJ44="","",+SUMIF('Argus Drop'!$D$7:$D$64,$A44,'Argus Drop'!#REF!))</f>
        <v/>
      </c>
      <c r="DL44" s="440" t="str">
        <f>IF(DK44="","",+SUMIF('Argus Drop'!$D$7:$D$64,$A44,'Argus Drop'!#REF!))</f>
        <v/>
      </c>
      <c r="DM44" s="440" t="str">
        <f>IF(DL44="","",+SUMIF('Argus Drop'!$D$7:$D$64,$A44,'Argus Drop'!#REF!))</f>
        <v/>
      </c>
      <c r="DN44" s="440" t="str">
        <f>IF(DM44="","",+SUMIF('Argus Drop'!$D$7:$D$64,$A44,'Argus Drop'!#REF!))</f>
        <v/>
      </c>
      <c r="DO44" s="440" t="str">
        <f>IF(DN44="","",+SUMIF('Argus Drop'!$D$7:$D$64,$A44,'Argus Drop'!#REF!))</f>
        <v/>
      </c>
      <c r="DP44" s="440" t="str">
        <f>IF(DO44="","",+SUMIF('Argus Drop'!$D$7:$D$64,$A44,'Argus Drop'!#REF!))</f>
        <v/>
      </c>
      <c r="DQ44" s="440" t="str">
        <f>IF(DP44="","",+SUMIF('Argus Drop'!$D$7:$D$64,$A44,'Argus Drop'!#REF!))</f>
        <v/>
      </c>
      <c r="DR44" s="440" t="str">
        <f>IF(DQ44="","",+SUMIF('Argus Drop'!$D$7:$D$64,$A44,'Argus Drop'!#REF!))</f>
        <v/>
      </c>
      <c r="DS44" s="440"/>
      <c r="DT44" s="440"/>
      <c r="DU44" s="440"/>
      <c r="DV44" s="440"/>
      <c r="DW44" s="440"/>
      <c r="DX44" s="440"/>
      <c r="DY44" s="440"/>
      <c r="DZ44" s="440"/>
      <c r="EA44" s="440"/>
      <c r="EB44" s="440"/>
      <c r="EC44" s="440"/>
      <c r="ED44" s="1419"/>
      <c r="EE44" s="1419"/>
      <c r="EF44" s="1419"/>
      <c r="EG44" s="1419"/>
      <c r="EH44" s="1419"/>
      <c r="EI44" s="1419"/>
      <c r="EJ44" s="1419"/>
      <c r="EK44" s="1419"/>
      <c r="EL44" s="1419"/>
      <c r="EM44" s="1419"/>
      <c r="EN44" s="1419"/>
      <c r="EO44" s="1419"/>
      <c r="EP44" s="1419"/>
      <c r="EQ44" s="1419"/>
      <c r="ER44" s="1419"/>
      <c r="ES44" s="1419"/>
      <c r="ET44" s="1419"/>
      <c r="EU44" s="1419"/>
      <c r="EV44" s="1419"/>
      <c r="EW44" s="1419"/>
      <c r="EX44" s="1419"/>
      <c r="EY44" s="1419"/>
      <c r="EZ44" s="1419"/>
      <c r="FA44" s="1419"/>
      <c r="FB44" s="1419"/>
      <c r="FC44" s="1419"/>
      <c r="FD44" s="1419"/>
      <c r="FE44" s="1419"/>
      <c r="FF44" s="1419"/>
      <c r="FG44" s="1419"/>
      <c r="FH44" s="1419"/>
      <c r="FI44" s="1419"/>
    </row>
    <row r="45" spans="1:165">
      <c r="A45" s="448" t="str">
        <f>IF(+'Argus Drop'!B45="","",'Argus Drop'!B45)</f>
        <v>TI</v>
      </c>
      <c r="B45" s="440">
        <f>SUMIF('Argus Drop'!$D:$D,$A45,'Argus Drop'!F:F)</f>
        <v>0</v>
      </c>
      <c r="C45" s="440">
        <f>SUMIF('Argus Drop'!$D:$D,$A45,'Argus Drop'!G:G)</f>
        <v>0</v>
      </c>
      <c r="D45" s="440">
        <f>SUMIF('Argus Drop'!$D:$D,$A45,'Argus Drop'!H:H)</f>
        <v>0</v>
      </c>
      <c r="E45" s="440">
        <f>SUMIF('Argus Drop'!$D:$D,$A45,'Argus Drop'!I:I)</f>
        <v>0</v>
      </c>
      <c r="F45" s="440">
        <f>SUMIF('Argus Drop'!$D:$D,$A45,'Argus Drop'!J:J)</f>
        <v>0</v>
      </c>
      <c r="G45" s="440">
        <f>SUMIF('Argus Drop'!$D:$D,$A45,'Argus Drop'!K:K)</f>
        <v>0</v>
      </c>
      <c r="H45" s="440">
        <f>SUMIF('Argus Drop'!$D:$D,$A45,'Argus Drop'!L:L)</f>
        <v>0</v>
      </c>
      <c r="I45" s="440">
        <f>SUMIF('Argus Drop'!$D:$D,$A45,'Argus Drop'!M:M)</f>
        <v>65700</v>
      </c>
      <c r="J45" s="440">
        <f>SUMIF('Argus Drop'!$D:$D,$A45,'Argus Drop'!N:N)</f>
        <v>0</v>
      </c>
      <c r="K45" s="440">
        <f>SUMIF('Argus Drop'!$D:$D,$A45,'Argus Drop'!O:O)</f>
        <v>0</v>
      </c>
      <c r="L45" s="440">
        <f>SUMIF('Argus Drop'!$D:$D,$A45,'Argus Drop'!P:P)</f>
        <v>102960</v>
      </c>
      <c r="M45" s="440">
        <f>SUMIF('Argus Drop'!$D:$D,$A45,'Argus Drop'!Q:Q)</f>
        <v>154368</v>
      </c>
      <c r="N45" s="440">
        <f>SUMIF('Argus Drop'!$D:$D,$A45,'Argus Drop'!R:R)</f>
        <v>0</v>
      </c>
      <c r="O45" s="440">
        <f>SUMIF('Argus Drop'!$D:$D,$A45,'Argus Drop'!S:S)</f>
        <v>0</v>
      </c>
      <c r="P45" s="440">
        <f>SUMIF('Argus Drop'!$D:$D,$A45,'Argus Drop'!T:T)</f>
        <v>0</v>
      </c>
      <c r="Q45" s="440">
        <f>SUMIF('Argus Drop'!$D:$D,$A45,'Argus Drop'!U:U)</f>
        <v>0</v>
      </c>
      <c r="R45" s="440">
        <f>SUMIF('Argus Drop'!$D:$D,$A45,'Argus Drop'!V:V)</f>
        <v>103860</v>
      </c>
      <c r="S45" s="440">
        <f>SUMIF('Argus Drop'!$D:$D,$A45,'Argus Drop'!W:W)</f>
        <v>0</v>
      </c>
      <c r="T45" s="440">
        <f>SUMIF('Argus Drop'!$D:$D,$A45,'Argus Drop'!X:X)</f>
        <v>91404</v>
      </c>
      <c r="U45" s="440">
        <f>SUMIF('Argus Drop'!$D:$D,$A45,'Argus Drop'!Y:Y)</f>
        <v>1125000</v>
      </c>
      <c r="V45" s="440">
        <f>SUMIF('Argus Drop'!$D:$D,$A45,'Argus Drop'!Z:Z)</f>
        <v>147450</v>
      </c>
      <c r="W45" s="440">
        <f>SUMIF('Argus Drop'!$D:$D,$A45,'Argus Drop'!AA:AA)</f>
        <v>0</v>
      </c>
      <c r="X45" s="440">
        <f>SUMIF('Argus Drop'!$D:$D,$A45,'Argus Drop'!AB:AB)</f>
        <v>0</v>
      </c>
      <c r="Y45" s="440">
        <f>SUMIF('Argus Drop'!$D:$D,$A45,'Argus Drop'!AC:AC)</f>
        <v>0</v>
      </c>
      <c r="Z45" s="440">
        <f>SUMIF('Argus Drop'!$D:$D,$A45,'Argus Drop'!AD:AD)</f>
        <v>0</v>
      </c>
      <c r="AA45" s="440">
        <f>SUMIF('Argus Drop'!$D:$D,$A45,'Argus Drop'!AE:AE)</f>
        <v>0</v>
      </c>
      <c r="AB45" s="440">
        <f>SUMIF('Argus Drop'!$D:$D,$A45,'Argus Drop'!AF:AF)</f>
        <v>0</v>
      </c>
      <c r="AC45" s="440">
        <f>SUMIF('Argus Drop'!$D:$D,$A45,'Argus Drop'!AG:AG)</f>
        <v>0</v>
      </c>
      <c r="AD45" s="440">
        <f>SUMIF('Argus Drop'!$D:$D,$A45,'Argus Drop'!AH:AH)</f>
        <v>0</v>
      </c>
      <c r="AE45" s="440">
        <f>SUMIF('Argus Drop'!$D:$D,$A45,'Argus Drop'!AI:AI)</f>
        <v>0</v>
      </c>
      <c r="AF45" s="440">
        <f>SUMIF('Argus Drop'!$D:$D,$A45,'Argus Drop'!AJ:AJ)</f>
        <v>0</v>
      </c>
      <c r="AG45" s="440">
        <f>SUMIF('Argus Drop'!$D:$D,$A45,'Argus Drop'!AK:AK)</f>
        <v>0</v>
      </c>
      <c r="AH45" s="440">
        <f>SUMIF('Argus Drop'!$D:$D,$A45,'Argus Drop'!AL:AL)</f>
        <v>37008</v>
      </c>
      <c r="AI45" s="440">
        <f>SUMIF('Argus Drop'!$D:$D,$A45,'Argus Drop'!AM:AM)</f>
        <v>0</v>
      </c>
      <c r="AJ45" s="440">
        <f>SUMIF('Argus Drop'!$D:$D,$A45,'Argus Drop'!AN:AN)</f>
        <v>0</v>
      </c>
      <c r="AK45" s="440">
        <f>SUMIF('Argus Drop'!$D:$D,$A45,'Argus Drop'!AO:AO)</f>
        <v>0</v>
      </c>
      <c r="AL45" s="440">
        <f>SUMIF('Argus Drop'!$D:$D,$A45,'Argus Drop'!AP:AP)</f>
        <v>0</v>
      </c>
      <c r="AM45" s="440">
        <f>SUMIF('Argus Drop'!$D:$D,$A45,'Argus Drop'!AQ:AQ)</f>
        <v>0</v>
      </c>
      <c r="AN45" s="440">
        <f>SUMIF('Argus Drop'!$D:$D,$A45,'Argus Drop'!AR:AR)</f>
        <v>0</v>
      </c>
      <c r="AO45" s="440">
        <f>SUMIF('Argus Drop'!$D:$D,$A45,'Argus Drop'!AS:AS)</f>
        <v>0</v>
      </c>
      <c r="AP45" s="440">
        <f>SUMIF('Argus Drop'!$D:$D,$A45,'Argus Drop'!AT:AT)</f>
        <v>0</v>
      </c>
      <c r="AQ45" s="440">
        <f>SUMIF('Argus Drop'!$D:$D,$A45,'Argus Drop'!AU:AU)</f>
        <v>0</v>
      </c>
      <c r="AR45" s="440">
        <f>SUMIF('Argus Drop'!$D:$D,$A45,'Argus Drop'!AV:AV)</f>
        <v>0</v>
      </c>
      <c r="AS45" s="440">
        <f>SUMIF('Argus Drop'!$D:$D,$A45,'Argus Drop'!AW:AW)</f>
        <v>0</v>
      </c>
      <c r="AT45" s="440">
        <f>SUMIF('Argus Drop'!$D:$D,$A45,'Argus Drop'!AX:AX)</f>
        <v>0</v>
      </c>
      <c r="AU45" s="440">
        <f>SUMIF('Argus Drop'!$D:$D,$A45,'Argus Drop'!AY:AY)</f>
        <v>0</v>
      </c>
      <c r="AV45" s="440">
        <f>SUMIF('Argus Drop'!$D:$D,$A45,'Argus Drop'!AZ:AZ)</f>
        <v>0</v>
      </c>
      <c r="AW45" s="440">
        <f>SUMIF('Argus Drop'!$D:$D,$A45,'Argus Drop'!BA:BA)</f>
        <v>0</v>
      </c>
      <c r="AX45" s="440">
        <f>SUMIF('Argus Drop'!$D:$D,$A45,'Argus Drop'!BB:BB)</f>
        <v>0</v>
      </c>
      <c r="AY45" s="440">
        <f>SUMIF('Argus Drop'!$D:$D,$A45,'Argus Drop'!BC:BC)</f>
        <v>99684</v>
      </c>
      <c r="AZ45" s="440">
        <f>SUMIF('Argus Drop'!$D:$D,$A45,'Argus Drop'!BD:BD)</f>
        <v>114984</v>
      </c>
      <c r="BA45" s="440">
        <f>SUMIF('Argus Drop'!$D:$D,$A45,'Argus Drop'!BE:BE)</f>
        <v>0</v>
      </c>
      <c r="BB45" s="440">
        <f>SUMIF('Argus Drop'!$D:$D,$A45,'Argus Drop'!BF:BF)</f>
        <v>0</v>
      </c>
      <c r="BC45" s="440">
        <f>SUMIF('Argus Drop'!$D:$D,$A45,'Argus Drop'!BG:BG)</f>
        <v>0</v>
      </c>
      <c r="BD45" s="440">
        <f>SUMIF('Argus Drop'!$D:$D,$A45,'Argus Drop'!BH:BH)</f>
        <v>0</v>
      </c>
      <c r="BE45" s="440">
        <f>SUMIF('Argus Drop'!$D:$D,$A45,'Argus Drop'!BI:BI)</f>
        <v>0</v>
      </c>
      <c r="BF45" s="440">
        <f>SUMIF('Argus Drop'!$D:$D,$A45,'Argus Drop'!BJ:BJ)</f>
        <v>0</v>
      </c>
      <c r="BG45" s="440">
        <f>SUMIF('Argus Drop'!$D:$D,$A45,'Argus Drop'!BK:BK)</f>
        <v>0</v>
      </c>
      <c r="BH45" s="440">
        <f>SUMIF('Argus Drop'!$D:$D,$A45,'Argus Drop'!BL:BL)</f>
        <v>0</v>
      </c>
      <c r="BI45" s="440">
        <f>SUMIF('Argus Drop'!$D:$D,$A45,'Argus Drop'!BM:BM)</f>
        <v>0</v>
      </c>
      <c r="BJ45" s="440">
        <f>SUMIF('Argus Drop'!$D:$D,$A45,'Argus Drop'!BN:BN)</f>
        <v>0</v>
      </c>
      <c r="BK45" s="440">
        <f>SUMIF('Argus Drop'!$D:$D,$A45,'Argus Drop'!BO:BO)</f>
        <v>62856</v>
      </c>
      <c r="BL45" s="440">
        <f>SUMIF('Argus Drop'!$D:$D,$A45,'Argus Drop'!BP:BP)</f>
        <v>0</v>
      </c>
      <c r="BM45" s="440">
        <f>SUMIF('Argus Drop'!$D:$D,$A45,'Argus Drop'!BQ:BQ)</f>
        <v>0</v>
      </c>
      <c r="BN45" s="440">
        <f>SUMIF('Argus Drop'!$D:$D,$A45,'Argus Drop'!BR:BR)</f>
        <v>0</v>
      </c>
      <c r="BO45" s="440">
        <f>SUMIF('Argus Drop'!$D:$D,$A45,'Argus Drop'!BS:BS)</f>
        <v>0</v>
      </c>
      <c r="BP45" s="440">
        <f>SUMIF('Argus Drop'!$D:$D,$A45,'Argus Drop'!BT:BT)</f>
        <v>0</v>
      </c>
      <c r="BQ45" s="440">
        <f>SUMIF('Argus Drop'!$D:$D,$A45,'Argus Drop'!BU:BU)</f>
        <v>0</v>
      </c>
      <c r="BR45" s="440">
        <f>SUMIF('Argus Drop'!$D:$D,$A45,'Argus Drop'!BV:BV)</f>
        <v>39420</v>
      </c>
      <c r="BS45" s="440">
        <f>SUMIF('Argus Drop'!$D:$D,$A45,'Argus Drop'!BW:BW)</f>
        <v>81684</v>
      </c>
      <c r="BT45" s="440">
        <f>SUMIF('Argus Drop'!$D:$D,$A45,'Argus Drop'!BX:BX)</f>
        <v>0</v>
      </c>
      <c r="BU45" s="440">
        <f>SUMIF('Argus Drop'!$D:$D,$A45,'Argus Drop'!BY:BY)</f>
        <v>102960</v>
      </c>
      <c r="BV45" s="440">
        <f>SUMIF('Argus Drop'!$D:$D,$A45,'Argus Drop'!BZ:BZ)</f>
        <v>154368</v>
      </c>
      <c r="BW45" s="440">
        <f>SUMIF('Argus Drop'!$D:$D,$A45,'Argus Drop'!CA:CA)</f>
        <v>0</v>
      </c>
      <c r="BX45" s="440">
        <f>SUMIF('Argus Drop'!$D:$D,$A45,'Argus Drop'!CB:CB)</f>
        <v>0</v>
      </c>
      <c r="BY45" s="440">
        <f>SUMIF('Argus Drop'!$D:$D,$A45,'Argus Drop'!CC:CC)</f>
        <v>0</v>
      </c>
      <c r="BZ45" s="440">
        <f>SUMIF('Argus Drop'!$D:$D,$A45,'Argus Drop'!CD:CD)</f>
        <v>0</v>
      </c>
      <c r="CA45" s="440">
        <f>SUMIF('Argus Drop'!$D:$D,$A45,'Argus Drop'!CE:CE)</f>
        <v>103860</v>
      </c>
      <c r="CB45" s="440">
        <f>SUMIF('Argus Drop'!$D:$D,$A45,'Argus Drop'!CF:CF)</f>
        <v>0</v>
      </c>
      <c r="CC45" s="440">
        <f>SUMIF('Argus Drop'!$D:$D,$A45,'Argus Drop'!CG:CG)</f>
        <v>91404</v>
      </c>
      <c r="CD45" s="440">
        <f>SUMIF('Argus Drop'!$D:$D,$A45,'Argus Drop'!CH:CH)</f>
        <v>0</v>
      </c>
      <c r="CE45" s="440">
        <f>SUMIF('Argus Drop'!$D:$D,$A45,'Argus Drop'!CI:CI)</f>
        <v>63504</v>
      </c>
      <c r="CF45" s="440">
        <f>SUMIF('Argus Drop'!$D:$D,$A45,'Argus Drop'!CJ:CJ)</f>
        <v>88470</v>
      </c>
      <c r="CG45" s="440">
        <f>SUMIF('Argus Drop'!$D:$D,$A45,'Argus Drop'!CK:CK)</f>
        <v>0</v>
      </c>
      <c r="CH45" s="440">
        <f>SUMIF('Argus Drop'!$D:$D,$A45,'Argus Drop'!CL:CL)</f>
        <v>0</v>
      </c>
      <c r="CI45" s="440">
        <f>SUMIF('Argus Drop'!$D:$D,$A45,'Argus Drop'!CM:CM)</f>
        <v>0</v>
      </c>
      <c r="CJ45" s="440">
        <f>SUMIF('Argus Drop'!$D:$D,$A45,'Argus Drop'!CN:CN)</f>
        <v>0</v>
      </c>
      <c r="CK45" s="440">
        <f>SUMIF('Argus Drop'!$D:$D,$A45,'Argus Drop'!CO:CO)</f>
        <v>0</v>
      </c>
      <c r="CL45" s="440">
        <f>SUMIF('Argus Drop'!$D:$D,$A45,'Argus Drop'!CP:CP)</f>
        <v>0</v>
      </c>
      <c r="CM45" s="440">
        <f>SUMIF('Argus Drop'!$D:$D,$A45,'Argus Drop'!CQ:CQ)</f>
        <v>0</v>
      </c>
      <c r="CN45" s="440">
        <f>SUMIF('Argus Drop'!$D:$D,$A45,'Argus Drop'!CR:CR)</f>
        <v>0</v>
      </c>
      <c r="CO45" s="440">
        <f>SUMIF('Argus Drop'!$D:$D,$A45,'Argus Drop'!CS:CS)</f>
        <v>0</v>
      </c>
      <c r="CP45" s="440">
        <f>SUMIF('Argus Drop'!$D:$D,$A45,'Argus Drop'!CT:CT)</f>
        <v>0</v>
      </c>
      <c r="CQ45" s="440">
        <f>SUMIF('Argus Drop'!$D:$D,$A45,'Argus Drop'!CU:CU)</f>
        <v>37008</v>
      </c>
      <c r="CR45" s="440">
        <f>SUMIF('Argus Drop'!$D:$D,$A45,'Argus Drop'!CV:CV)</f>
        <v>0</v>
      </c>
      <c r="CS45" s="440">
        <f>SUMIF('Argus Drop'!$D:$D,$A45,'Argus Drop'!CW:CW)</f>
        <v>0</v>
      </c>
      <c r="CT45" s="440">
        <f>SUMIF('Argus Drop'!$D:$D,$A45,'Argus Drop'!CX:CX)</f>
        <v>0</v>
      </c>
      <c r="CU45" s="440">
        <f>SUMIF('Argus Drop'!$D:$D,$A45,'Argus Drop'!CY:CY)</f>
        <v>0</v>
      </c>
      <c r="CV45" s="440">
        <f>SUMIF('Argus Drop'!$D:$D,$A45,'Argus Drop'!CZ:CZ)</f>
        <v>0</v>
      </c>
      <c r="CW45" s="440">
        <f>SUMIF('Argus Drop'!$D:$D,$A45,'Argus Drop'!DA:DA)</f>
        <v>0</v>
      </c>
      <c r="CX45" s="440">
        <f>SUMIF('Argus Drop'!$D:$D,$A45,'Argus Drop'!DB:DB)</f>
        <v>0</v>
      </c>
      <c r="CY45" s="440">
        <f>SUMIF('Argus Drop'!$D:$D,$A45,'Argus Drop'!DC:DC)</f>
        <v>0</v>
      </c>
      <c r="CZ45" s="440">
        <f>SUMIF('Argus Drop'!$D:$D,$A45,'Argus Drop'!DD:DD)</f>
        <v>0</v>
      </c>
      <c r="DA45" s="440">
        <f>SUMIF('Argus Drop'!$D:$D,$A45,'Argus Drop'!DE:DE)</f>
        <v>0</v>
      </c>
      <c r="DB45" s="440">
        <f>SUMIF('Argus Drop'!$D:$D,$A45,'Argus Drop'!DF:DF)</f>
        <v>0</v>
      </c>
      <c r="DC45" s="440">
        <f>SUMIF('Argus Drop'!$D:$D,$A45,'Argus Drop'!DG:DG)</f>
        <v>0</v>
      </c>
      <c r="DD45" s="440">
        <f>SUMIF('Argus Drop'!$D:$D,$A45,'Argus Drop'!DH:DH)</f>
        <v>0</v>
      </c>
      <c r="DE45" s="440">
        <f>SUMIF('Argus Drop'!$D:$D,$A45,'Argus Drop'!DI:DI)</f>
        <v>0</v>
      </c>
      <c r="DF45" s="440">
        <f>SUMIF('Argus Drop'!$D:$D,$A45,'Argus Drop'!DJ:DJ)</f>
        <v>0</v>
      </c>
      <c r="DG45" s="440">
        <f>SUMIF('Argus Drop'!$D:$D,$A45,'Argus Drop'!DK:DK)</f>
        <v>0</v>
      </c>
      <c r="DH45" s="440">
        <f>SUMIF('Argus Drop'!$D:$D,$A45,'Argus Drop'!DL:DL)</f>
        <v>99684</v>
      </c>
      <c r="DI45" s="440">
        <f>SUMIF('Argus Drop'!$D:$D,$A45,'Argus Drop'!DM:DM)</f>
        <v>114984</v>
      </c>
      <c r="DJ45" s="440">
        <f>SUMIF('Argus Drop'!$D:$D,$A45,'Argus Drop'!DN:DN)</f>
        <v>0</v>
      </c>
      <c r="DK45" s="440">
        <f>SUMIF('Argus Drop'!$D:$D,$A45,'Argus Drop'!DO:DO)</f>
        <v>0</v>
      </c>
      <c r="DL45" s="440">
        <f>SUMIF('Argus Drop'!$D:$D,$A45,'Argus Drop'!DP:DP)</f>
        <v>0</v>
      </c>
      <c r="DM45" s="440">
        <f>SUMIF('Argus Drop'!$D:$D,$A45,'Argus Drop'!DQ:DQ)</f>
        <v>0</v>
      </c>
      <c r="DN45" s="440">
        <f>SUMIF('Argus Drop'!$D:$D,$A45,'Argus Drop'!DR:DR)</f>
        <v>0</v>
      </c>
      <c r="DO45" s="440">
        <f>SUMIF('Argus Drop'!$D:$D,$A45,'Argus Drop'!DS:DS)</f>
        <v>0</v>
      </c>
      <c r="DP45" s="440">
        <f>SUMIF('Argus Drop'!$D:$D,$A45,'Argus Drop'!DT:DT)</f>
        <v>0</v>
      </c>
      <c r="DQ45" s="440">
        <f>SUMIF('Argus Drop'!$D:$D,$A45,'Argus Drop'!DU:DU)</f>
        <v>0</v>
      </c>
      <c r="DR45" s="440">
        <f>SUMIF('Argus Drop'!$D:$D,$A45,'Argus Drop'!DV:DV)</f>
        <v>19800</v>
      </c>
      <c r="DS45" s="440"/>
      <c r="DT45" s="440"/>
      <c r="DU45" s="440"/>
      <c r="DV45" s="440"/>
      <c r="DW45" s="440"/>
      <c r="DX45" s="440"/>
      <c r="DY45" s="440"/>
      <c r="DZ45" s="440"/>
      <c r="EA45" s="440"/>
      <c r="EB45" s="440"/>
      <c r="EC45" s="440"/>
      <c r="ED45" s="1419"/>
      <c r="EE45" s="1419"/>
      <c r="EF45" s="1419"/>
      <c r="EG45" s="1419"/>
      <c r="EH45" s="1419"/>
      <c r="EI45" s="1419"/>
      <c r="EJ45" s="1419"/>
      <c r="EK45" s="1419"/>
      <c r="EL45" s="1419"/>
      <c r="EM45" s="1419"/>
      <c r="EN45" s="1419"/>
      <c r="EO45" s="1419"/>
      <c r="EP45" s="1419"/>
      <c r="EQ45" s="1419"/>
      <c r="ER45" s="1419"/>
      <c r="ES45" s="1419"/>
      <c r="ET45" s="1419"/>
      <c r="EU45" s="1419"/>
      <c r="EV45" s="1419"/>
      <c r="EW45" s="1419"/>
      <c r="EX45" s="1419"/>
      <c r="EY45" s="1419"/>
      <c r="EZ45" s="1419"/>
      <c r="FA45" s="1419"/>
      <c r="FB45" s="1419"/>
      <c r="FC45" s="1419"/>
      <c r="FD45" s="1419"/>
      <c r="FE45" s="1419"/>
      <c r="FF45" s="1419"/>
      <c r="FG45" s="1419"/>
      <c r="FH45" s="1419"/>
      <c r="FI45" s="1419"/>
    </row>
    <row r="46" spans="1:165">
      <c r="A46" s="448" t="str">
        <f>IF(+'Argus Drop'!B46="","",'Argus Drop'!B46)</f>
        <v>LC</v>
      </c>
      <c r="B46" s="440">
        <f>SUMIF('Argus Drop'!$D:$D,$A46,'Argus Drop'!F:F)</f>
        <v>0</v>
      </c>
      <c r="C46" s="440">
        <f>SUMIF('Argus Drop'!$D:$D,$A46,'Argus Drop'!G:G)</f>
        <v>0</v>
      </c>
      <c r="D46" s="440">
        <f>SUMIF('Argus Drop'!$D:$D,$A46,'Argus Drop'!H:H)</f>
        <v>0</v>
      </c>
      <c r="E46" s="440">
        <f>SUMIF('Argus Drop'!$D:$D,$A46,'Argus Drop'!I:I)</f>
        <v>0</v>
      </c>
      <c r="F46" s="440">
        <f>SUMIF('Argus Drop'!$D:$D,$A46,'Argus Drop'!J:J)</f>
        <v>0</v>
      </c>
      <c r="G46" s="440">
        <f>SUMIF('Argus Drop'!$D:$D,$A46,'Argus Drop'!K:K)</f>
        <v>0</v>
      </c>
      <c r="H46" s="440">
        <f>SUMIF('Argus Drop'!$D:$D,$A46,'Argus Drop'!L:L)</f>
        <v>0</v>
      </c>
      <c r="I46" s="440">
        <f>SUMIF('Argus Drop'!$D:$D,$A46,'Argus Drop'!M:M)</f>
        <v>27209</v>
      </c>
      <c r="J46" s="440">
        <f>SUMIF('Argus Drop'!$D:$D,$A46,'Argus Drop'!N:N)</f>
        <v>0</v>
      </c>
      <c r="K46" s="440">
        <f>SUMIF('Argus Drop'!$D:$D,$A46,'Argus Drop'!O:O)</f>
        <v>0</v>
      </c>
      <c r="L46" s="440">
        <f>SUMIF('Argus Drop'!$D:$D,$A46,'Argus Drop'!P:P)</f>
        <v>70642</v>
      </c>
      <c r="M46" s="440">
        <f>SUMIF('Argus Drop'!$D:$D,$A46,'Argus Drop'!Q:Q)</f>
        <v>114558</v>
      </c>
      <c r="N46" s="440">
        <f>SUMIF('Argus Drop'!$D:$D,$A46,'Argus Drop'!R:R)</f>
        <v>0</v>
      </c>
      <c r="O46" s="440">
        <f>SUMIF('Argus Drop'!$D:$D,$A46,'Argus Drop'!S:S)</f>
        <v>0</v>
      </c>
      <c r="P46" s="440">
        <f>SUMIF('Argus Drop'!$D:$D,$A46,'Argus Drop'!T:T)</f>
        <v>0</v>
      </c>
      <c r="Q46" s="440">
        <f>SUMIF('Argus Drop'!$D:$D,$A46,'Argus Drop'!U:U)</f>
        <v>0</v>
      </c>
      <c r="R46" s="440">
        <f>SUMIF('Argus Drop'!$D:$D,$A46,'Argus Drop'!V:V)</f>
        <v>71259</v>
      </c>
      <c r="S46" s="440">
        <f>SUMIF('Argus Drop'!$D:$D,$A46,'Argus Drop'!W:W)</f>
        <v>0</v>
      </c>
      <c r="T46" s="440">
        <f>SUMIF('Argus Drop'!$D:$D,$A46,'Argus Drop'!X:X)</f>
        <v>62713</v>
      </c>
      <c r="U46" s="440">
        <f>SUMIF('Argus Drop'!$D:$D,$A46,'Argus Drop'!Y:Y)</f>
        <v>56643</v>
      </c>
      <c r="V46" s="440">
        <f>SUMIF('Argus Drop'!$D:$D,$A46,'Argus Drop'!Z:Z)</f>
        <v>45351</v>
      </c>
      <c r="W46" s="440">
        <f>SUMIF('Argus Drop'!$D:$D,$A46,'Argus Drop'!AA:AA)</f>
        <v>0</v>
      </c>
      <c r="X46" s="440">
        <f>SUMIF('Argus Drop'!$D:$D,$A46,'Argus Drop'!AB:AB)</f>
        <v>0</v>
      </c>
      <c r="Y46" s="440">
        <f>SUMIF('Argus Drop'!$D:$D,$A46,'Argus Drop'!AC:AC)</f>
        <v>0</v>
      </c>
      <c r="Z46" s="440">
        <f>SUMIF('Argus Drop'!$D:$D,$A46,'Argus Drop'!AD:AD)</f>
        <v>0</v>
      </c>
      <c r="AA46" s="440">
        <f>SUMIF('Argus Drop'!$D:$D,$A46,'Argus Drop'!AE:AE)</f>
        <v>0</v>
      </c>
      <c r="AB46" s="440">
        <f>SUMIF('Argus Drop'!$D:$D,$A46,'Argus Drop'!AF:AF)</f>
        <v>0</v>
      </c>
      <c r="AC46" s="440">
        <f>SUMIF('Argus Drop'!$D:$D,$A46,'Argus Drop'!AG:AG)</f>
        <v>0</v>
      </c>
      <c r="AD46" s="440">
        <f>SUMIF('Argus Drop'!$D:$D,$A46,'Argus Drop'!AH:AH)</f>
        <v>0</v>
      </c>
      <c r="AE46" s="440">
        <f>SUMIF('Argus Drop'!$D:$D,$A46,'Argus Drop'!AI:AI)</f>
        <v>0</v>
      </c>
      <c r="AF46" s="440">
        <f>SUMIF('Argus Drop'!$D:$D,$A46,'Argus Drop'!AJ:AJ)</f>
        <v>0</v>
      </c>
      <c r="AG46" s="440">
        <f>SUMIF('Argus Drop'!$D:$D,$A46,'Argus Drop'!AK:AK)</f>
        <v>0</v>
      </c>
      <c r="AH46" s="440">
        <f>SUMIF('Argus Drop'!$D:$D,$A46,'Argus Drop'!AL:AL)</f>
        <v>22462</v>
      </c>
      <c r="AI46" s="440">
        <f>SUMIF('Argus Drop'!$D:$D,$A46,'Argus Drop'!AM:AM)</f>
        <v>0</v>
      </c>
      <c r="AJ46" s="440">
        <f>SUMIF('Argus Drop'!$D:$D,$A46,'Argus Drop'!AN:AN)</f>
        <v>0</v>
      </c>
      <c r="AK46" s="440">
        <f>SUMIF('Argus Drop'!$D:$D,$A46,'Argus Drop'!AO:AO)</f>
        <v>0</v>
      </c>
      <c r="AL46" s="440">
        <f>SUMIF('Argus Drop'!$D:$D,$A46,'Argus Drop'!AP:AP)</f>
        <v>0</v>
      </c>
      <c r="AM46" s="440">
        <f>SUMIF('Argus Drop'!$D:$D,$A46,'Argus Drop'!AQ:AQ)</f>
        <v>0</v>
      </c>
      <c r="AN46" s="440">
        <f>SUMIF('Argus Drop'!$D:$D,$A46,'Argus Drop'!AR:AR)</f>
        <v>0</v>
      </c>
      <c r="AO46" s="440">
        <f>SUMIF('Argus Drop'!$D:$D,$A46,'Argus Drop'!AS:AS)</f>
        <v>0</v>
      </c>
      <c r="AP46" s="440">
        <f>SUMIF('Argus Drop'!$D:$D,$A46,'Argus Drop'!AT:AT)</f>
        <v>0</v>
      </c>
      <c r="AQ46" s="440">
        <f>SUMIF('Argus Drop'!$D:$D,$A46,'Argus Drop'!AU:AU)</f>
        <v>0</v>
      </c>
      <c r="AR46" s="440">
        <f>SUMIF('Argus Drop'!$D:$D,$A46,'Argus Drop'!AV:AV)</f>
        <v>0</v>
      </c>
      <c r="AS46" s="440">
        <f>SUMIF('Argus Drop'!$D:$D,$A46,'Argus Drop'!AW:AW)</f>
        <v>0</v>
      </c>
      <c r="AT46" s="440">
        <f>SUMIF('Argus Drop'!$D:$D,$A46,'Argus Drop'!AX:AX)</f>
        <v>0</v>
      </c>
      <c r="AU46" s="440">
        <f>SUMIF('Argus Drop'!$D:$D,$A46,'Argus Drop'!AY:AY)</f>
        <v>0</v>
      </c>
      <c r="AV46" s="440">
        <f>SUMIF('Argus Drop'!$D:$D,$A46,'Argus Drop'!AZ:AZ)</f>
        <v>0</v>
      </c>
      <c r="AW46" s="440">
        <f>SUMIF('Argus Drop'!$D:$D,$A46,'Argus Drop'!BA:BA)</f>
        <v>0</v>
      </c>
      <c r="AX46" s="440">
        <f>SUMIF('Argus Drop'!$D:$D,$A46,'Argus Drop'!BB:BB)</f>
        <v>0</v>
      </c>
      <c r="AY46" s="440">
        <f>SUMIF('Argus Drop'!$D:$D,$A46,'Argus Drop'!BC:BC)</f>
        <v>60502</v>
      </c>
      <c r="AZ46" s="440">
        <f>SUMIF('Argus Drop'!$D:$D,$A46,'Argus Drop'!BD:BD)</f>
        <v>78892</v>
      </c>
      <c r="BA46" s="440">
        <f>SUMIF('Argus Drop'!$D:$D,$A46,'Argus Drop'!BE:BE)</f>
        <v>0</v>
      </c>
      <c r="BB46" s="440">
        <f>SUMIF('Argus Drop'!$D:$D,$A46,'Argus Drop'!BF:BF)</f>
        <v>0</v>
      </c>
      <c r="BC46" s="440">
        <f>SUMIF('Argus Drop'!$D:$D,$A46,'Argus Drop'!BG:BG)</f>
        <v>0</v>
      </c>
      <c r="BD46" s="440">
        <f>SUMIF('Argus Drop'!$D:$D,$A46,'Argus Drop'!BH:BH)</f>
        <v>0</v>
      </c>
      <c r="BE46" s="440">
        <f>SUMIF('Argus Drop'!$D:$D,$A46,'Argus Drop'!BI:BI)</f>
        <v>0</v>
      </c>
      <c r="BF46" s="440">
        <f>SUMIF('Argus Drop'!$D:$D,$A46,'Argus Drop'!BJ:BJ)</f>
        <v>0</v>
      </c>
      <c r="BG46" s="440">
        <f>SUMIF('Argus Drop'!$D:$D,$A46,'Argus Drop'!BK:BK)</f>
        <v>0</v>
      </c>
      <c r="BH46" s="440">
        <f>SUMIF('Argus Drop'!$D:$D,$A46,'Argus Drop'!BL:BL)</f>
        <v>0</v>
      </c>
      <c r="BI46" s="440">
        <f>SUMIF('Argus Drop'!$D:$D,$A46,'Argus Drop'!BM:BM)</f>
        <v>0</v>
      </c>
      <c r="BJ46" s="440">
        <f>SUMIF('Argus Drop'!$D:$D,$A46,'Argus Drop'!BN:BN)</f>
        <v>0</v>
      </c>
      <c r="BK46" s="440">
        <f>SUMIF('Argus Drop'!$D:$D,$A46,'Argus Drop'!BO:BO)</f>
        <v>38150</v>
      </c>
      <c r="BL46" s="440">
        <f>SUMIF('Argus Drop'!$D:$D,$A46,'Argus Drop'!BP:BP)</f>
        <v>0</v>
      </c>
      <c r="BM46" s="440">
        <f>SUMIF('Argus Drop'!$D:$D,$A46,'Argus Drop'!BQ:BQ)</f>
        <v>0</v>
      </c>
      <c r="BN46" s="440">
        <f>SUMIF('Argus Drop'!$D:$D,$A46,'Argus Drop'!BR:BR)</f>
        <v>0</v>
      </c>
      <c r="BO46" s="440">
        <f>SUMIF('Argus Drop'!$D:$D,$A46,'Argus Drop'!BS:BS)</f>
        <v>0</v>
      </c>
      <c r="BP46" s="440">
        <f>SUMIF('Argus Drop'!$D:$D,$A46,'Argus Drop'!BT:BT)</f>
        <v>0</v>
      </c>
      <c r="BQ46" s="440">
        <f>SUMIF('Argus Drop'!$D:$D,$A46,'Argus Drop'!BU:BU)</f>
        <v>0</v>
      </c>
      <c r="BR46" s="440">
        <f>SUMIF('Argus Drop'!$D:$D,$A46,'Argus Drop'!BV:BV)</f>
        <v>27209</v>
      </c>
      <c r="BS46" s="440">
        <f>SUMIF('Argus Drop'!$D:$D,$A46,'Argus Drop'!BW:BW)</f>
        <v>49578</v>
      </c>
      <c r="BT46" s="440">
        <f>SUMIF('Argus Drop'!$D:$D,$A46,'Argus Drop'!BX:BX)</f>
        <v>0</v>
      </c>
      <c r="BU46" s="440">
        <f>SUMIF('Argus Drop'!$D:$D,$A46,'Argus Drop'!BY:BY)</f>
        <v>70642</v>
      </c>
      <c r="BV46" s="440">
        <f>SUMIF('Argus Drop'!$D:$D,$A46,'Argus Drop'!BZ:BZ)</f>
        <v>114558</v>
      </c>
      <c r="BW46" s="440">
        <f>SUMIF('Argus Drop'!$D:$D,$A46,'Argus Drop'!CA:CA)</f>
        <v>0</v>
      </c>
      <c r="BX46" s="440">
        <f>SUMIF('Argus Drop'!$D:$D,$A46,'Argus Drop'!CB:CB)</f>
        <v>0</v>
      </c>
      <c r="BY46" s="440">
        <f>SUMIF('Argus Drop'!$D:$D,$A46,'Argus Drop'!CC:CC)</f>
        <v>0</v>
      </c>
      <c r="BZ46" s="440">
        <f>SUMIF('Argus Drop'!$D:$D,$A46,'Argus Drop'!CD:CD)</f>
        <v>0</v>
      </c>
      <c r="CA46" s="440">
        <f>SUMIF('Argus Drop'!$D:$D,$A46,'Argus Drop'!CE:CE)</f>
        <v>71259</v>
      </c>
      <c r="CB46" s="440">
        <f>SUMIF('Argus Drop'!$D:$D,$A46,'Argus Drop'!CF:CF)</f>
        <v>0</v>
      </c>
      <c r="CC46" s="440">
        <f>SUMIF('Argus Drop'!$D:$D,$A46,'Argus Drop'!CG:CG)</f>
        <v>62713</v>
      </c>
      <c r="CD46" s="440">
        <f>SUMIF('Argus Drop'!$D:$D,$A46,'Argus Drop'!CH:CH)</f>
        <v>0</v>
      </c>
      <c r="CE46" s="440">
        <f>SUMIF('Argus Drop'!$D:$D,$A46,'Argus Drop'!CI:CI)</f>
        <v>42604</v>
      </c>
      <c r="CF46" s="440">
        <f>SUMIF('Argus Drop'!$D:$D,$A46,'Argus Drop'!CJ:CJ)</f>
        <v>45351</v>
      </c>
      <c r="CG46" s="440">
        <f>SUMIF('Argus Drop'!$D:$D,$A46,'Argus Drop'!CK:CK)</f>
        <v>0</v>
      </c>
      <c r="CH46" s="440">
        <f>SUMIF('Argus Drop'!$D:$D,$A46,'Argus Drop'!CL:CL)</f>
        <v>0</v>
      </c>
      <c r="CI46" s="440">
        <f>SUMIF('Argus Drop'!$D:$D,$A46,'Argus Drop'!CM:CM)</f>
        <v>0</v>
      </c>
      <c r="CJ46" s="440">
        <f>SUMIF('Argus Drop'!$D:$D,$A46,'Argus Drop'!CN:CN)</f>
        <v>0</v>
      </c>
      <c r="CK46" s="440">
        <f>SUMIF('Argus Drop'!$D:$D,$A46,'Argus Drop'!CO:CO)</f>
        <v>0</v>
      </c>
      <c r="CL46" s="440">
        <f>SUMIF('Argus Drop'!$D:$D,$A46,'Argus Drop'!CP:CP)</f>
        <v>0</v>
      </c>
      <c r="CM46" s="440">
        <f>SUMIF('Argus Drop'!$D:$D,$A46,'Argus Drop'!CQ:CQ)</f>
        <v>0</v>
      </c>
      <c r="CN46" s="440">
        <f>SUMIF('Argus Drop'!$D:$D,$A46,'Argus Drop'!CR:CR)</f>
        <v>0</v>
      </c>
      <c r="CO46" s="440">
        <f>SUMIF('Argus Drop'!$D:$D,$A46,'Argus Drop'!CS:CS)</f>
        <v>0</v>
      </c>
      <c r="CP46" s="440">
        <f>SUMIF('Argus Drop'!$D:$D,$A46,'Argus Drop'!CT:CT)</f>
        <v>0</v>
      </c>
      <c r="CQ46" s="440">
        <f>SUMIF('Argus Drop'!$D:$D,$A46,'Argus Drop'!CU:CU)</f>
        <v>22462</v>
      </c>
      <c r="CR46" s="440">
        <f>SUMIF('Argus Drop'!$D:$D,$A46,'Argus Drop'!CV:CV)</f>
        <v>0</v>
      </c>
      <c r="CS46" s="440">
        <f>SUMIF('Argus Drop'!$D:$D,$A46,'Argus Drop'!CW:CW)</f>
        <v>0</v>
      </c>
      <c r="CT46" s="440">
        <f>SUMIF('Argus Drop'!$D:$D,$A46,'Argus Drop'!CX:CX)</f>
        <v>0</v>
      </c>
      <c r="CU46" s="440">
        <f>SUMIF('Argus Drop'!$D:$D,$A46,'Argus Drop'!CY:CY)</f>
        <v>0</v>
      </c>
      <c r="CV46" s="440">
        <f>SUMIF('Argus Drop'!$D:$D,$A46,'Argus Drop'!CZ:CZ)</f>
        <v>0</v>
      </c>
      <c r="CW46" s="440">
        <f>SUMIF('Argus Drop'!$D:$D,$A46,'Argus Drop'!DA:DA)</f>
        <v>0</v>
      </c>
      <c r="CX46" s="440">
        <f>SUMIF('Argus Drop'!$D:$D,$A46,'Argus Drop'!DB:DB)</f>
        <v>0</v>
      </c>
      <c r="CY46" s="440">
        <f>SUMIF('Argus Drop'!$D:$D,$A46,'Argus Drop'!DC:DC)</f>
        <v>0</v>
      </c>
      <c r="CZ46" s="440">
        <f>SUMIF('Argus Drop'!$D:$D,$A46,'Argus Drop'!DD:DD)</f>
        <v>0</v>
      </c>
      <c r="DA46" s="440">
        <f>SUMIF('Argus Drop'!$D:$D,$A46,'Argus Drop'!DE:DE)</f>
        <v>0</v>
      </c>
      <c r="DB46" s="440">
        <f>SUMIF('Argus Drop'!$D:$D,$A46,'Argus Drop'!DF:DF)</f>
        <v>0</v>
      </c>
      <c r="DC46" s="440">
        <f>SUMIF('Argus Drop'!$D:$D,$A46,'Argus Drop'!DG:DG)</f>
        <v>0</v>
      </c>
      <c r="DD46" s="440">
        <f>SUMIF('Argus Drop'!$D:$D,$A46,'Argus Drop'!DH:DH)</f>
        <v>0</v>
      </c>
      <c r="DE46" s="440">
        <f>SUMIF('Argus Drop'!$D:$D,$A46,'Argus Drop'!DI:DI)</f>
        <v>0</v>
      </c>
      <c r="DF46" s="440">
        <f>SUMIF('Argus Drop'!$D:$D,$A46,'Argus Drop'!DJ:DJ)</f>
        <v>0</v>
      </c>
      <c r="DG46" s="440">
        <f>SUMIF('Argus Drop'!$D:$D,$A46,'Argus Drop'!DK:DK)</f>
        <v>0</v>
      </c>
      <c r="DH46" s="440">
        <f>SUMIF('Argus Drop'!$D:$D,$A46,'Argus Drop'!DL:DL)</f>
        <v>60502</v>
      </c>
      <c r="DI46" s="440">
        <f>SUMIF('Argus Drop'!$D:$D,$A46,'Argus Drop'!DM:DM)</f>
        <v>78892</v>
      </c>
      <c r="DJ46" s="440">
        <f>SUMIF('Argus Drop'!$D:$D,$A46,'Argus Drop'!DN:DN)</f>
        <v>0</v>
      </c>
      <c r="DK46" s="440">
        <f>SUMIF('Argus Drop'!$D:$D,$A46,'Argus Drop'!DO:DO)</f>
        <v>0</v>
      </c>
      <c r="DL46" s="440">
        <f>SUMIF('Argus Drop'!$D:$D,$A46,'Argus Drop'!DP:DP)</f>
        <v>0</v>
      </c>
      <c r="DM46" s="440">
        <f>SUMIF('Argus Drop'!$D:$D,$A46,'Argus Drop'!DQ:DQ)</f>
        <v>0</v>
      </c>
      <c r="DN46" s="440">
        <f>SUMIF('Argus Drop'!$D:$D,$A46,'Argus Drop'!DR:DR)</f>
        <v>0</v>
      </c>
      <c r="DO46" s="440">
        <f>SUMIF('Argus Drop'!$D:$D,$A46,'Argus Drop'!DS:DS)</f>
        <v>0</v>
      </c>
      <c r="DP46" s="440">
        <f>SUMIF('Argus Drop'!$D:$D,$A46,'Argus Drop'!DT:DT)</f>
        <v>0</v>
      </c>
      <c r="DQ46" s="440">
        <f>SUMIF('Argus Drop'!$D:$D,$A46,'Argus Drop'!DU:DU)</f>
        <v>0</v>
      </c>
      <c r="DR46" s="440">
        <f>SUMIF('Argus Drop'!$D:$D,$A46,'Argus Drop'!DV:DV)</f>
        <v>12017</v>
      </c>
      <c r="DS46" s="440"/>
      <c r="DT46" s="440"/>
      <c r="DU46" s="440"/>
      <c r="DV46" s="440"/>
      <c r="DW46" s="440"/>
      <c r="DX46" s="440"/>
      <c r="DY46" s="440"/>
      <c r="DZ46" s="440"/>
      <c r="EA46" s="440"/>
      <c r="EB46" s="440"/>
      <c r="EC46" s="440"/>
      <c r="ED46" s="1419"/>
      <c r="EE46" s="1419"/>
      <c r="EF46" s="1419"/>
      <c r="EG46" s="1419"/>
      <c r="EH46" s="1419"/>
      <c r="EI46" s="1419"/>
      <c r="EJ46" s="1419"/>
      <c r="EK46" s="1419"/>
      <c r="EL46" s="1419"/>
      <c r="EM46" s="1419"/>
      <c r="EN46" s="1419"/>
      <c r="EO46" s="1419"/>
      <c r="EP46" s="1419"/>
      <c r="EQ46" s="1419"/>
      <c r="ER46" s="1419"/>
      <c r="ES46" s="1419"/>
      <c r="ET46" s="1419"/>
      <c r="EU46" s="1419"/>
      <c r="EV46" s="1419"/>
      <c r="EW46" s="1419"/>
      <c r="EX46" s="1419"/>
      <c r="EY46" s="1419"/>
      <c r="EZ46" s="1419"/>
      <c r="FA46" s="1419"/>
      <c r="FB46" s="1419"/>
      <c r="FC46" s="1419"/>
      <c r="FD46" s="1419"/>
      <c r="FE46" s="1419"/>
      <c r="FF46" s="1419"/>
      <c r="FG46" s="1419"/>
      <c r="FH46" s="1419"/>
      <c r="FI46" s="1419"/>
    </row>
    <row r="47" spans="1:165">
      <c r="A47" s="448" t="str">
        <f>IF(+'Argus Drop'!B47="","",'Argus Drop'!B47)</f>
        <v>TLC</v>
      </c>
      <c r="B47" s="440">
        <f>SUMIF('Argus Drop'!$D:$D,$A47,'Argus Drop'!F:F)</f>
        <v>0</v>
      </c>
      <c r="C47" s="440">
        <f>SUMIF('Argus Drop'!$D:$D,$A47,'Argus Drop'!G:G)</f>
        <v>0</v>
      </c>
      <c r="D47" s="440">
        <f>SUMIF('Argus Drop'!$D:$D,$A47,'Argus Drop'!H:H)</f>
        <v>0</v>
      </c>
      <c r="E47" s="440">
        <f>SUMIF('Argus Drop'!$D:$D,$A47,'Argus Drop'!I:I)</f>
        <v>0</v>
      </c>
      <c r="F47" s="440">
        <f>SUMIF('Argus Drop'!$D:$D,$A47,'Argus Drop'!J:J)</f>
        <v>0</v>
      </c>
      <c r="G47" s="440">
        <f>SUMIF('Argus Drop'!$D:$D,$A47,'Argus Drop'!K:K)</f>
        <v>0</v>
      </c>
      <c r="H47" s="440">
        <f>SUMIF('Argus Drop'!$D:$D,$A47,'Argus Drop'!L:L)</f>
        <v>0</v>
      </c>
      <c r="I47" s="440">
        <f>SUMIF('Argus Drop'!$D:$D,$A47,'Argus Drop'!M:M)</f>
        <v>92909</v>
      </c>
      <c r="J47" s="440">
        <f>SUMIF('Argus Drop'!$D:$D,$A47,'Argus Drop'!N:N)</f>
        <v>0</v>
      </c>
      <c r="K47" s="440">
        <f>SUMIF('Argus Drop'!$D:$D,$A47,'Argus Drop'!O:O)</f>
        <v>0</v>
      </c>
      <c r="L47" s="440">
        <f>SUMIF('Argus Drop'!$D:$D,$A47,'Argus Drop'!P:P)</f>
        <v>173602</v>
      </c>
      <c r="M47" s="440">
        <f>SUMIF('Argus Drop'!$D:$D,$A47,'Argus Drop'!Q:Q)</f>
        <v>268926</v>
      </c>
      <c r="N47" s="440">
        <f>SUMIF('Argus Drop'!$D:$D,$A47,'Argus Drop'!R:R)</f>
        <v>0</v>
      </c>
      <c r="O47" s="440">
        <f>SUMIF('Argus Drop'!$D:$D,$A47,'Argus Drop'!S:S)</f>
        <v>0</v>
      </c>
      <c r="P47" s="440">
        <f>SUMIF('Argus Drop'!$D:$D,$A47,'Argus Drop'!T:T)</f>
        <v>0</v>
      </c>
      <c r="Q47" s="440">
        <f>SUMIF('Argus Drop'!$D:$D,$A47,'Argus Drop'!U:U)</f>
        <v>0</v>
      </c>
      <c r="R47" s="440">
        <f>SUMIF('Argus Drop'!$D:$D,$A47,'Argus Drop'!V:V)</f>
        <v>175119</v>
      </c>
      <c r="S47" s="440">
        <f>SUMIF('Argus Drop'!$D:$D,$A47,'Argus Drop'!W:W)</f>
        <v>0</v>
      </c>
      <c r="T47" s="440">
        <f>SUMIF('Argus Drop'!$D:$D,$A47,'Argus Drop'!X:X)</f>
        <v>154117</v>
      </c>
      <c r="U47" s="440">
        <f>SUMIF('Argus Drop'!$D:$D,$A47,'Argus Drop'!Y:Y)</f>
        <v>1181643</v>
      </c>
      <c r="V47" s="440">
        <f>SUMIF('Argus Drop'!$D:$D,$A47,'Argus Drop'!Z:Z)</f>
        <v>192801</v>
      </c>
      <c r="W47" s="440">
        <f>SUMIF('Argus Drop'!$D:$D,$A47,'Argus Drop'!AA:AA)</f>
        <v>0</v>
      </c>
      <c r="X47" s="440">
        <f>SUMIF('Argus Drop'!$D:$D,$A47,'Argus Drop'!AB:AB)</f>
        <v>0</v>
      </c>
      <c r="Y47" s="440">
        <f>SUMIF('Argus Drop'!$D:$D,$A47,'Argus Drop'!AC:AC)</f>
        <v>0</v>
      </c>
      <c r="Z47" s="440">
        <f>SUMIF('Argus Drop'!$D:$D,$A47,'Argus Drop'!AD:AD)</f>
        <v>0</v>
      </c>
      <c r="AA47" s="440">
        <f>SUMIF('Argus Drop'!$D:$D,$A47,'Argus Drop'!AE:AE)</f>
        <v>0</v>
      </c>
      <c r="AB47" s="440">
        <f>SUMIF('Argus Drop'!$D:$D,$A47,'Argus Drop'!AF:AF)</f>
        <v>0</v>
      </c>
      <c r="AC47" s="440">
        <f>SUMIF('Argus Drop'!$D:$D,$A47,'Argus Drop'!AG:AG)</f>
        <v>0</v>
      </c>
      <c r="AD47" s="440">
        <f>SUMIF('Argus Drop'!$D:$D,$A47,'Argus Drop'!AH:AH)</f>
        <v>0</v>
      </c>
      <c r="AE47" s="440">
        <f>SUMIF('Argus Drop'!$D:$D,$A47,'Argus Drop'!AI:AI)</f>
        <v>0</v>
      </c>
      <c r="AF47" s="440">
        <f>SUMIF('Argus Drop'!$D:$D,$A47,'Argus Drop'!AJ:AJ)</f>
        <v>0</v>
      </c>
      <c r="AG47" s="440">
        <f>SUMIF('Argus Drop'!$D:$D,$A47,'Argus Drop'!AK:AK)</f>
        <v>0</v>
      </c>
      <c r="AH47" s="440">
        <f>SUMIF('Argus Drop'!$D:$D,$A47,'Argus Drop'!AL:AL)</f>
        <v>59470</v>
      </c>
      <c r="AI47" s="440">
        <f>SUMIF('Argus Drop'!$D:$D,$A47,'Argus Drop'!AM:AM)</f>
        <v>0</v>
      </c>
      <c r="AJ47" s="440">
        <f>SUMIF('Argus Drop'!$D:$D,$A47,'Argus Drop'!AN:AN)</f>
        <v>0</v>
      </c>
      <c r="AK47" s="440">
        <f>SUMIF('Argus Drop'!$D:$D,$A47,'Argus Drop'!AO:AO)</f>
        <v>0</v>
      </c>
      <c r="AL47" s="440">
        <f>SUMIF('Argus Drop'!$D:$D,$A47,'Argus Drop'!AP:AP)</f>
        <v>0</v>
      </c>
      <c r="AM47" s="440">
        <f>SUMIF('Argus Drop'!$D:$D,$A47,'Argus Drop'!AQ:AQ)</f>
        <v>0</v>
      </c>
      <c r="AN47" s="440">
        <f>SUMIF('Argus Drop'!$D:$D,$A47,'Argus Drop'!AR:AR)</f>
        <v>0</v>
      </c>
      <c r="AO47" s="440">
        <f>SUMIF('Argus Drop'!$D:$D,$A47,'Argus Drop'!AS:AS)</f>
        <v>0</v>
      </c>
      <c r="AP47" s="440">
        <f>SUMIF('Argus Drop'!$D:$D,$A47,'Argus Drop'!AT:AT)</f>
        <v>0</v>
      </c>
      <c r="AQ47" s="440">
        <f>SUMIF('Argus Drop'!$D:$D,$A47,'Argus Drop'!AU:AU)</f>
        <v>0</v>
      </c>
      <c r="AR47" s="440">
        <f>SUMIF('Argus Drop'!$D:$D,$A47,'Argus Drop'!AV:AV)</f>
        <v>0</v>
      </c>
      <c r="AS47" s="440">
        <f>SUMIF('Argus Drop'!$D:$D,$A47,'Argus Drop'!AW:AW)</f>
        <v>0</v>
      </c>
      <c r="AT47" s="440">
        <f>SUMIF('Argus Drop'!$D:$D,$A47,'Argus Drop'!AX:AX)</f>
        <v>0</v>
      </c>
      <c r="AU47" s="440">
        <f>SUMIF('Argus Drop'!$D:$D,$A47,'Argus Drop'!AY:AY)</f>
        <v>0</v>
      </c>
      <c r="AV47" s="440">
        <f>SUMIF('Argus Drop'!$D:$D,$A47,'Argus Drop'!AZ:AZ)</f>
        <v>0</v>
      </c>
      <c r="AW47" s="440">
        <f>SUMIF('Argus Drop'!$D:$D,$A47,'Argus Drop'!BA:BA)</f>
        <v>0</v>
      </c>
      <c r="AX47" s="440">
        <f>SUMIF('Argus Drop'!$D:$D,$A47,'Argus Drop'!BB:BB)</f>
        <v>0</v>
      </c>
      <c r="AY47" s="440">
        <f>SUMIF('Argus Drop'!$D:$D,$A47,'Argus Drop'!BC:BC)</f>
        <v>160186</v>
      </c>
      <c r="AZ47" s="440">
        <f>SUMIF('Argus Drop'!$D:$D,$A47,'Argus Drop'!BD:BD)</f>
        <v>193876</v>
      </c>
      <c r="BA47" s="440">
        <f>SUMIF('Argus Drop'!$D:$D,$A47,'Argus Drop'!BE:BE)</f>
        <v>0</v>
      </c>
      <c r="BB47" s="440">
        <f>SUMIF('Argus Drop'!$D:$D,$A47,'Argus Drop'!BF:BF)</f>
        <v>0</v>
      </c>
      <c r="BC47" s="440">
        <f>SUMIF('Argus Drop'!$D:$D,$A47,'Argus Drop'!BG:BG)</f>
        <v>0</v>
      </c>
      <c r="BD47" s="440">
        <f>SUMIF('Argus Drop'!$D:$D,$A47,'Argus Drop'!BH:BH)</f>
        <v>0</v>
      </c>
      <c r="BE47" s="440">
        <f>SUMIF('Argus Drop'!$D:$D,$A47,'Argus Drop'!BI:BI)</f>
        <v>0</v>
      </c>
      <c r="BF47" s="440">
        <f>SUMIF('Argus Drop'!$D:$D,$A47,'Argus Drop'!BJ:BJ)</f>
        <v>0</v>
      </c>
      <c r="BG47" s="440">
        <f>SUMIF('Argus Drop'!$D:$D,$A47,'Argus Drop'!BK:BK)</f>
        <v>0</v>
      </c>
      <c r="BH47" s="440">
        <f>SUMIF('Argus Drop'!$D:$D,$A47,'Argus Drop'!BL:BL)</f>
        <v>0</v>
      </c>
      <c r="BI47" s="440">
        <f>SUMIF('Argus Drop'!$D:$D,$A47,'Argus Drop'!BM:BM)</f>
        <v>0</v>
      </c>
      <c r="BJ47" s="440">
        <f>SUMIF('Argus Drop'!$D:$D,$A47,'Argus Drop'!BN:BN)</f>
        <v>0</v>
      </c>
      <c r="BK47" s="440">
        <f>SUMIF('Argus Drop'!$D:$D,$A47,'Argus Drop'!BO:BO)</f>
        <v>101006</v>
      </c>
      <c r="BL47" s="440">
        <f>SUMIF('Argus Drop'!$D:$D,$A47,'Argus Drop'!BP:BP)</f>
        <v>0</v>
      </c>
      <c r="BM47" s="440">
        <f>SUMIF('Argus Drop'!$D:$D,$A47,'Argus Drop'!BQ:BQ)</f>
        <v>0</v>
      </c>
      <c r="BN47" s="440">
        <f>SUMIF('Argus Drop'!$D:$D,$A47,'Argus Drop'!BR:BR)</f>
        <v>0</v>
      </c>
      <c r="BO47" s="440">
        <f>SUMIF('Argus Drop'!$D:$D,$A47,'Argus Drop'!BS:BS)</f>
        <v>0</v>
      </c>
      <c r="BP47" s="440">
        <f>SUMIF('Argus Drop'!$D:$D,$A47,'Argus Drop'!BT:BT)</f>
        <v>0</v>
      </c>
      <c r="BQ47" s="440">
        <f>SUMIF('Argus Drop'!$D:$D,$A47,'Argus Drop'!BU:BU)</f>
        <v>0</v>
      </c>
      <c r="BR47" s="440">
        <f>SUMIF('Argus Drop'!$D:$D,$A47,'Argus Drop'!BV:BV)</f>
        <v>66629</v>
      </c>
      <c r="BS47" s="440">
        <f>SUMIF('Argus Drop'!$D:$D,$A47,'Argus Drop'!BW:BW)</f>
        <v>131262</v>
      </c>
      <c r="BT47" s="440">
        <f>SUMIF('Argus Drop'!$D:$D,$A47,'Argus Drop'!BX:BX)</f>
        <v>0</v>
      </c>
      <c r="BU47" s="440">
        <f>SUMIF('Argus Drop'!$D:$D,$A47,'Argus Drop'!BY:BY)</f>
        <v>173602</v>
      </c>
      <c r="BV47" s="440">
        <f>SUMIF('Argus Drop'!$D:$D,$A47,'Argus Drop'!BZ:BZ)</f>
        <v>268926</v>
      </c>
      <c r="BW47" s="440">
        <f>SUMIF('Argus Drop'!$D:$D,$A47,'Argus Drop'!CA:CA)</f>
        <v>0</v>
      </c>
      <c r="BX47" s="440">
        <f>SUMIF('Argus Drop'!$D:$D,$A47,'Argus Drop'!CB:CB)</f>
        <v>0</v>
      </c>
      <c r="BY47" s="440">
        <f>SUMIF('Argus Drop'!$D:$D,$A47,'Argus Drop'!CC:CC)</f>
        <v>0</v>
      </c>
      <c r="BZ47" s="440">
        <f>SUMIF('Argus Drop'!$D:$D,$A47,'Argus Drop'!CD:CD)</f>
        <v>0</v>
      </c>
      <c r="CA47" s="440">
        <f>SUMIF('Argus Drop'!$D:$D,$A47,'Argus Drop'!CE:CE)</f>
        <v>175119</v>
      </c>
      <c r="CB47" s="440">
        <f>SUMIF('Argus Drop'!$D:$D,$A47,'Argus Drop'!CF:CF)</f>
        <v>0</v>
      </c>
      <c r="CC47" s="440">
        <f>SUMIF('Argus Drop'!$D:$D,$A47,'Argus Drop'!CG:CG)</f>
        <v>154117</v>
      </c>
      <c r="CD47" s="440">
        <f>SUMIF('Argus Drop'!$D:$D,$A47,'Argus Drop'!CH:CH)</f>
        <v>0</v>
      </c>
      <c r="CE47" s="440">
        <f>SUMIF('Argus Drop'!$D:$D,$A47,'Argus Drop'!CI:CI)</f>
        <v>106108</v>
      </c>
      <c r="CF47" s="440">
        <f>SUMIF('Argus Drop'!$D:$D,$A47,'Argus Drop'!CJ:CJ)</f>
        <v>133821</v>
      </c>
      <c r="CG47" s="440">
        <f>SUMIF('Argus Drop'!$D:$D,$A47,'Argus Drop'!CK:CK)</f>
        <v>0</v>
      </c>
      <c r="CH47" s="440">
        <f>SUMIF('Argus Drop'!$D:$D,$A47,'Argus Drop'!CL:CL)</f>
        <v>0</v>
      </c>
      <c r="CI47" s="440">
        <f>SUMIF('Argus Drop'!$D:$D,$A47,'Argus Drop'!CM:CM)</f>
        <v>0</v>
      </c>
      <c r="CJ47" s="440">
        <f>SUMIF('Argus Drop'!$D:$D,$A47,'Argus Drop'!CN:CN)</f>
        <v>0</v>
      </c>
      <c r="CK47" s="440">
        <f>SUMIF('Argus Drop'!$D:$D,$A47,'Argus Drop'!CO:CO)</f>
        <v>0</v>
      </c>
      <c r="CL47" s="440">
        <f>SUMIF('Argus Drop'!$D:$D,$A47,'Argus Drop'!CP:CP)</f>
        <v>0</v>
      </c>
      <c r="CM47" s="440">
        <f>SUMIF('Argus Drop'!$D:$D,$A47,'Argus Drop'!CQ:CQ)</f>
        <v>0</v>
      </c>
      <c r="CN47" s="440">
        <f>SUMIF('Argus Drop'!$D:$D,$A47,'Argus Drop'!CR:CR)</f>
        <v>0</v>
      </c>
      <c r="CO47" s="440">
        <f>SUMIF('Argus Drop'!$D:$D,$A47,'Argus Drop'!CS:CS)</f>
        <v>0</v>
      </c>
      <c r="CP47" s="440">
        <f>SUMIF('Argus Drop'!$D:$D,$A47,'Argus Drop'!CT:CT)</f>
        <v>0</v>
      </c>
      <c r="CQ47" s="440">
        <f>SUMIF('Argus Drop'!$D:$D,$A47,'Argus Drop'!CU:CU)</f>
        <v>59470</v>
      </c>
      <c r="CR47" s="440">
        <f>SUMIF('Argus Drop'!$D:$D,$A47,'Argus Drop'!CV:CV)</f>
        <v>0</v>
      </c>
      <c r="CS47" s="440">
        <f>SUMIF('Argus Drop'!$D:$D,$A47,'Argus Drop'!CW:CW)</f>
        <v>0</v>
      </c>
      <c r="CT47" s="440">
        <f>SUMIF('Argus Drop'!$D:$D,$A47,'Argus Drop'!CX:CX)</f>
        <v>0</v>
      </c>
      <c r="CU47" s="440">
        <f>SUMIF('Argus Drop'!$D:$D,$A47,'Argus Drop'!CY:CY)</f>
        <v>0</v>
      </c>
      <c r="CV47" s="440">
        <f>SUMIF('Argus Drop'!$D:$D,$A47,'Argus Drop'!CZ:CZ)</f>
        <v>0</v>
      </c>
      <c r="CW47" s="440">
        <f>SUMIF('Argus Drop'!$D:$D,$A47,'Argus Drop'!DA:DA)</f>
        <v>0</v>
      </c>
      <c r="CX47" s="440">
        <f>SUMIF('Argus Drop'!$D:$D,$A47,'Argus Drop'!DB:DB)</f>
        <v>0</v>
      </c>
      <c r="CY47" s="440">
        <f>SUMIF('Argus Drop'!$D:$D,$A47,'Argus Drop'!DC:DC)</f>
        <v>0</v>
      </c>
      <c r="CZ47" s="440">
        <f>SUMIF('Argus Drop'!$D:$D,$A47,'Argus Drop'!DD:DD)</f>
        <v>0</v>
      </c>
      <c r="DA47" s="440">
        <f>SUMIF('Argus Drop'!$D:$D,$A47,'Argus Drop'!DE:DE)</f>
        <v>0</v>
      </c>
      <c r="DB47" s="440">
        <f>SUMIF('Argus Drop'!$D:$D,$A47,'Argus Drop'!DF:DF)</f>
        <v>0</v>
      </c>
      <c r="DC47" s="440">
        <f>SUMIF('Argus Drop'!$D:$D,$A47,'Argus Drop'!DG:DG)</f>
        <v>0</v>
      </c>
      <c r="DD47" s="440">
        <f>SUMIF('Argus Drop'!$D:$D,$A47,'Argus Drop'!DH:DH)</f>
        <v>0</v>
      </c>
      <c r="DE47" s="440">
        <f>SUMIF('Argus Drop'!$D:$D,$A47,'Argus Drop'!DI:DI)</f>
        <v>0</v>
      </c>
      <c r="DF47" s="440">
        <f>SUMIF('Argus Drop'!$D:$D,$A47,'Argus Drop'!DJ:DJ)</f>
        <v>0</v>
      </c>
      <c r="DG47" s="440">
        <f>SUMIF('Argus Drop'!$D:$D,$A47,'Argus Drop'!DK:DK)</f>
        <v>0</v>
      </c>
      <c r="DH47" s="440">
        <f>SUMIF('Argus Drop'!$D:$D,$A47,'Argus Drop'!DL:DL)</f>
        <v>160186</v>
      </c>
      <c r="DI47" s="440">
        <f>SUMIF('Argus Drop'!$D:$D,$A47,'Argus Drop'!DM:DM)</f>
        <v>193876</v>
      </c>
      <c r="DJ47" s="440">
        <f>SUMIF('Argus Drop'!$D:$D,$A47,'Argus Drop'!DN:DN)</f>
        <v>0</v>
      </c>
      <c r="DK47" s="440">
        <f>SUMIF('Argus Drop'!$D:$D,$A47,'Argus Drop'!DO:DO)</f>
        <v>0</v>
      </c>
      <c r="DL47" s="440">
        <f>SUMIF('Argus Drop'!$D:$D,$A47,'Argus Drop'!DP:DP)</f>
        <v>0</v>
      </c>
      <c r="DM47" s="440">
        <f>SUMIF('Argus Drop'!$D:$D,$A47,'Argus Drop'!DQ:DQ)</f>
        <v>0</v>
      </c>
      <c r="DN47" s="440">
        <f>SUMIF('Argus Drop'!$D:$D,$A47,'Argus Drop'!DR:DR)</f>
        <v>0</v>
      </c>
      <c r="DO47" s="440">
        <f>SUMIF('Argus Drop'!$D:$D,$A47,'Argus Drop'!DS:DS)</f>
        <v>0</v>
      </c>
      <c r="DP47" s="440">
        <f>SUMIF('Argus Drop'!$D:$D,$A47,'Argus Drop'!DT:DT)</f>
        <v>0</v>
      </c>
      <c r="DQ47" s="440">
        <f>SUMIF('Argus Drop'!$D:$D,$A47,'Argus Drop'!DU:DU)</f>
        <v>0</v>
      </c>
      <c r="DR47" s="440">
        <f>SUMIF('Argus Drop'!$D:$D,$A47,'Argus Drop'!DV:DV)</f>
        <v>31817</v>
      </c>
      <c r="DS47" s="440"/>
      <c r="DT47" s="440"/>
      <c r="DU47" s="440"/>
      <c r="DV47" s="440"/>
      <c r="DW47" s="440"/>
      <c r="DX47" s="440"/>
      <c r="DY47" s="440"/>
      <c r="DZ47" s="440"/>
      <c r="EA47" s="440"/>
      <c r="EB47" s="440"/>
      <c r="EC47" s="440"/>
      <c r="ED47" s="1419"/>
      <c r="EE47" s="1419"/>
      <c r="EF47" s="1419"/>
      <c r="EG47" s="1419"/>
      <c r="EH47" s="1419"/>
      <c r="EI47" s="1419"/>
      <c r="EJ47" s="1419"/>
      <c r="EK47" s="1419"/>
      <c r="EL47" s="1419"/>
      <c r="EM47" s="1419"/>
      <c r="EN47" s="1419"/>
      <c r="EO47" s="1419"/>
      <c r="EP47" s="1419"/>
      <c r="EQ47" s="1419"/>
      <c r="ER47" s="1419"/>
      <c r="ES47" s="1419"/>
      <c r="ET47" s="1419"/>
      <c r="EU47" s="1419"/>
      <c r="EV47" s="1419"/>
      <c r="EW47" s="1419"/>
      <c r="EX47" s="1419"/>
      <c r="EY47" s="1419"/>
      <c r="EZ47" s="1419"/>
      <c r="FA47" s="1419"/>
      <c r="FB47" s="1419"/>
      <c r="FC47" s="1419"/>
      <c r="FD47" s="1419"/>
      <c r="FE47" s="1419"/>
      <c r="FF47" s="1419"/>
      <c r="FG47" s="1419"/>
      <c r="FH47" s="1419"/>
      <c r="FI47" s="1419"/>
    </row>
    <row r="48" spans="1:165">
      <c r="A48" s="448" t="str">
        <f>IF(+'Argus Drop'!B48="","",'Argus Drop'!B48)</f>
        <v/>
      </c>
      <c r="B48" s="440" t="str">
        <f>IF(A48="","",+SUMIF('Argus Drop'!$D$7:$D$64,$A48,'Argus Drop'!#REF!))</f>
        <v/>
      </c>
      <c r="C48" s="440" t="str">
        <f>IF(B48="","",+SUMIF('Argus Drop'!$D$7:$D$64,$A48,'Argus Drop'!#REF!))</f>
        <v/>
      </c>
      <c r="D48" s="440" t="str">
        <f>IF(C48="","",+SUMIF('Argus Drop'!$D$7:$D$64,$A48,'Argus Drop'!#REF!))</f>
        <v/>
      </c>
      <c r="E48" s="440" t="str">
        <f>IF(D48="","",+SUMIF('Argus Drop'!$D$7:$D$64,$A48,'Argus Drop'!#REF!))</f>
        <v/>
      </c>
      <c r="F48" s="440" t="str">
        <f>IF(E48="","",+SUMIF('Argus Drop'!$D$7:$D$64,$A48,'Argus Drop'!#REF!))</f>
        <v/>
      </c>
      <c r="G48" s="440" t="str">
        <f>IF(F48="","",+SUMIF('Argus Drop'!$D$7:$D$64,$A48,'Argus Drop'!#REF!))</f>
        <v/>
      </c>
      <c r="H48" s="440" t="str">
        <f>IF(G48="","",+SUMIF('Argus Drop'!$D$7:$D$64,$A48,'Argus Drop'!#REF!))</f>
        <v/>
      </c>
      <c r="I48" s="440" t="str">
        <f>IF(H48="","",+SUMIF('Argus Drop'!$D$7:$D$64,$A48,'Argus Drop'!#REF!))</f>
        <v/>
      </c>
      <c r="J48" s="440" t="str">
        <f>IF(I48="","",+SUMIF('Argus Drop'!$D$7:$D$64,$A48,'Argus Drop'!#REF!))</f>
        <v/>
      </c>
      <c r="K48" s="440" t="str">
        <f>IF(J48="","",+SUMIF('Argus Drop'!$D$7:$D$64,$A48,'Argus Drop'!#REF!))</f>
        <v/>
      </c>
      <c r="L48" s="440" t="str">
        <f>IF(K48="","",+SUMIF('Argus Drop'!$D$7:$D$64,$A48,'Argus Drop'!#REF!))</f>
        <v/>
      </c>
      <c r="M48" s="440" t="str">
        <f>IF(L48="","",+SUMIF('Argus Drop'!$D$7:$D$64,$A48,'Argus Drop'!#REF!))</f>
        <v/>
      </c>
      <c r="N48" s="440" t="str">
        <f>IF(M48="","",+SUMIF('Argus Drop'!$D$7:$D$64,$A48,'Argus Drop'!#REF!))</f>
        <v/>
      </c>
      <c r="O48" s="440" t="str">
        <f>IF(N48="","",+SUMIF('Argus Drop'!$D$7:$D$64,$A48,'Argus Drop'!#REF!))</f>
        <v/>
      </c>
      <c r="P48" s="440" t="str">
        <f>IF(O48="","",+SUMIF('Argus Drop'!$D$7:$D$64,$A48,'Argus Drop'!#REF!))</f>
        <v/>
      </c>
      <c r="Q48" s="440" t="str">
        <f>IF(P48="","",+SUMIF('Argus Drop'!$D$7:$D$64,$A48,'Argus Drop'!#REF!))</f>
        <v/>
      </c>
      <c r="R48" s="440" t="str">
        <f>IF(Q48="","",+SUMIF('Argus Drop'!$D$7:$D$64,$A48,'Argus Drop'!#REF!))</f>
        <v/>
      </c>
      <c r="S48" s="440" t="str">
        <f>IF(R48="","",+SUMIF('Argus Drop'!$D$7:$D$64,$A48,'Argus Drop'!#REF!))</f>
        <v/>
      </c>
      <c r="T48" s="440" t="str">
        <f>IF(S48="","",+SUMIF('Argus Drop'!$D$7:$D$64,$A48,'Argus Drop'!#REF!))</f>
        <v/>
      </c>
      <c r="U48" s="440" t="str">
        <f>IF(T48="","",+SUMIF('Argus Drop'!$D$7:$D$64,$A48,'Argus Drop'!#REF!))</f>
        <v/>
      </c>
      <c r="V48" s="440" t="str">
        <f>IF(U48="","",+SUMIF('Argus Drop'!$D$7:$D$64,$A48,'Argus Drop'!#REF!))</f>
        <v/>
      </c>
      <c r="W48" s="440" t="str">
        <f>IF(V48="","",+SUMIF('Argus Drop'!$D$7:$D$64,$A48,'Argus Drop'!#REF!))</f>
        <v/>
      </c>
      <c r="X48" s="440" t="str">
        <f>IF(W48="","",+SUMIF('Argus Drop'!$D$7:$D$64,$A48,'Argus Drop'!#REF!))</f>
        <v/>
      </c>
      <c r="Y48" s="440" t="str">
        <f>IF(X48="","",+SUMIF('Argus Drop'!$D$7:$D$64,$A48,'Argus Drop'!#REF!))</f>
        <v/>
      </c>
      <c r="Z48" s="440" t="str">
        <f>IF(Y48="","",+SUMIF('Argus Drop'!$D$7:$D$64,$A48,'Argus Drop'!#REF!))</f>
        <v/>
      </c>
      <c r="AA48" s="440" t="str">
        <f>IF(Z48="","",+SUMIF('Argus Drop'!$D$7:$D$64,$A48,'Argus Drop'!#REF!))</f>
        <v/>
      </c>
      <c r="AB48" s="440" t="str">
        <f>IF(AA48="","",+SUMIF('Argus Drop'!$D$7:$D$64,$A48,'Argus Drop'!#REF!))</f>
        <v/>
      </c>
      <c r="AC48" s="440" t="str">
        <f>IF(AB48="","",+SUMIF('Argus Drop'!$D$7:$D$64,$A48,'Argus Drop'!#REF!))</f>
        <v/>
      </c>
      <c r="AD48" s="440" t="str">
        <f>IF(AC48="","",+SUMIF('Argus Drop'!$D$7:$D$64,$A48,'Argus Drop'!#REF!))</f>
        <v/>
      </c>
      <c r="AE48" s="440" t="str">
        <f>IF(AD48="","",+SUMIF('Argus Drop'!$D$7:$D$64,$A48,'Argus Drop'!#REF!))</f>
        <v/>
      </c>
      <c r="AF48" s="440" t="str">
        <f>IF(AE48="","",+SUMIF('Argus Drop'!$D$7:$D$64,$A48,'Argus Drop'!#REF!))</f>
        <v/>
      </c>
      <c r="AG48" s="440" t="str">
        <f>IF(AF48="","",+SUMIF('Argus Drop'!$D$7:$D$64,$A48,'Argus Drop'!#REF!))</f>
        <v/>
      </c>
      <c r="AH48" s="440" t="str">
        <f>IF(AG48="","",+SUMIF('Argus Drop'!$D$7:$D$64,$A48,'Argus Drop'!#REF!))</f>
        <v/>
      </c>
      <c r="AI48" s="440" t="str">
        <f>IF(AH48="","",+SUMIF('Argus Drop'!$D$7:$D$64,$A48,'Argus Drop'!#REF!))</f>
        <v/>
      </c>
      <c r="AJ48" s="440" t="str">
        <f>IF(AI48="","",+SUMIF('Argus Drop'!$D$7:$D$64,$A48,'Argus Drop'!#REF!))</f>
        <v/>
      </c>
      <c r="AK48" s="440" t="str">
        <f>IF(AJ48="","",+SUMIF('Argus Drop'!$D$7:$D$64,$A48,'Argus Drop'!#REF!))</f>
        <v/>
      </c>
      <c r="AL48" s="440" t="str">
        <f>IF(AK48="","",+SUMIF('Argus Drop'!$D$7:$D$64,$A48,'Argus Drop'!#REF!))</f>
        <v/>
      </c>
      <c r="AM48" s="440" t="str">
        <f>IF(AL48="","",+SUMIF('Argus Drop'!$D$7:$D$64,$A48,'Argus Drop'!#REF!))</f>
        <v/>
      </c>
      <c r="AN48" s="440" t="str">
        <f>IF(AM48="","",+SUMIF('Argus Drop'!$D$7:$D$64,$A48,'Argus Drop'!#REF!))</f>
        <v/>
      </c>
      <c r="AO48" s="440" t="str">
        <f>IF(AN48="","",+SUMIF('Argus Drop'!$D$7:$D$64,$A48,'Argus Drop'!#REF!))</f>
        <v/>
      </c>
      <c r="AP48" s="440" t="str">
        <f>IF(AO48="","",+SUMIF('Argus Drop'!$D$7:$D$64,$A48,'Argus Drop'!#REF!))</f>
        <v/>
      </c>
      <c r="AQ48" s="440" t="str">
        <f>IF(AP48="","",+SUMIF('Argus Drop'!$D$7:$D$64,$A48,'Argus Drop'!#REF!))</f>
        <v/>
      </c>
      <c r="AR48" s="440" t="str">
        <f>IF(AQ48="","",+SUMIF('Argus Drop'!$D$7:$D$64,$A48,'Argus Drop'!#REF!))</f>
        <v/>
      </c>
      <c r="AS48" s="440" t="str">
        <f>IF(AR48="","",+SUMIF('Argus Drop'!$D$7:$D$64,$A48,'Argus Drop'!#REF!))</f>
        <v/>
      </c>
      <c r="AT48" s="440" t="str">
        <f>IF(AS48="","",+SUMIF('Argus Drop'!$D$7:$D$64,$A48,'Argus Drop'!#REF!))</f>
        <v/>
      </c>
      <c r="AU48" s="440" t="str">
        <f>IF(AT48="","",+SUMIF('Argus Drop'!$D$7:$D$64,$A48,'Argus Drop'!#REF!))</f>
        <v/>
      </c>
      <c r="AV48" s="440" t="str">
        <f>IF(AU48="","",+SUMIF('Argus Drop'!$D$7:$D$64,$A48,'Argus Drop'!#REF!))</f>
        <v/>
      </c>
      <c r="AW48" s="440" t="str">
        <f>IF(AV48="","",+SUMIF('Argus Drop'!$D$7:$D$64,$A48,'Argus Drop'!#REF!))</f>
        <v/>
      </c>
      <c r="AX48" s="440" t="str">
        <f>IF(AW48="","",+SUMIF('Argus Drop'!$D$7:$D$64,$A48,'Argus Drop'!#REF!))</f>
        <v/>
      </c>
      <c r="AY48" s="440" t="str">
        <f>IF(AX48="","",+SUMIF('Argus Drop'!$D$7:$D$64,$A48,'Argus Drop'!#REF!))</f>
        <v/>
      </c>
      <c r="AZ48" s="440" t="str">
        <f>IF(AY48="","",+SUMIF('Argus Drop'!$D$7:$D$64,$A48,'Argus Drop'!#REF!))</f>
        <v/>
      </c>
      <c r="BA48" s="440" t="str">
        <f>IF(AZ48="","",+SUMIF('Argus Drop'!$D$7:$D$64,$A48,'Argus Drop'!#REF!))</f>
        <v/>
      </c>
      <c r="BB48" s="440" t="str">
        <f>IF(BA48="","",+SUMIF('Argus Drop'!$D$7:$D$64,$A48,'Argus Drop'!#REF!))</f>
        <v/>
      </c>
      <c r="BC48" s="440" t="str">
        <f>IF(BB48="","",+SUMIF('Argus Drop'!$D$7:$D$64,$A48,'Argus Drop'!#REF!))</f>
        <v/>
      </c>
      <c r="BD48" s="440" t="str">
        <f>IF(BC48="","",+SUMIF('Argus Drop'!$D$7:$D$64,$A48,'Argus Drop'!#REF!))</f>
        <v/>
      </c>
      <c r="BE48" s="440" t="str">
        <f>IF(BD48="","",+SUMIF('Argus Drop'!$D$7:$D$64,$A48,'Argus Drop'!#REF!))</f>
        <v/>
      </c>
      <c r="BF48" s="440" t="str">
        <f>IF(BE48="","",+SUMIF('Argus Drop'!$D$7:$D$64,$A48,'Argus Drop'!#REF!))</f>
        <v/>
      </c>
      <c r="BG48" s="440" t="str">
        <f>IF(BF48="","",+SUMIF('Argus Drop'!$D$7:$D$64,$A48,'Argus Drop'!#REF!))</f>
        <v/>
      </c>
      <c r="BH48" s="440" t="str">
        <f>IF(BG48="","",+SUMIF('Argus Drop'!$D$7:$D$64,$A48,'Argus Drop'!#REF!))</f>
        <v/>
      </c>
      <c r="BI48" s="440" t="str">
        <f>IF(BH48="","",+SUMIF('Argus Drop'!$D$7:$D$64,$A48,'Argus Drop'!#REF!))</f>
        <v/>
      </c>
      <c r="BJ48" s="440" t="str">
        <f>IF(BI48="","",+SUMIF('Argus Drop'!$D$7:$D$64,$A48,'Argus Drop'!#REF!))</f>
        <v/>
      </c>
      <c r="BK48" s="440" t="str">
        <f>IF(BJ48="","",+SUMIF('Argus Drop'!$D$7:$D$64,$A48,'Argus Drop'!#REF!))</f>
        <v/>
      </c>
      <c r="BL48" s="440" t="str">
        <f>IF(BK48="","",+SUMIF('Argus Drop'!$D$7:$D$64,$A48,'Argus Drop'!#REF!))</f>
        <v/>
      </c>
      <c r="BM48" s="440" t="str">
        <f>IF(BL48="","",+SUMIF('Argus Drop'!$D$7:$D$64,$A48,'Argus Drop'!#REF!))</f>
        <v/>
      </c>
      <c r="BN48" s="440" t="str">
        <f>IF(BM48="","",+SUMIF('Argus Drop'!$D$7:$D$64,$A48,'Argus Drop'!#REF!))</f>
        <v/>
      </c>
      <c r="BO48" s="440" t="str">
        <f>IF(BN48="","",+SUMIF('Argus Drop'!$D$7:$D$64,$A48,'Argus Drop'!#REF!))</f>
        <v/>
      </c>
      <c r="BP48" s="440" t="str">
        <f>IF(BO48="","",+SUMIF('Argus Drop'!$D$7:$D$64,$A48,'Argus Drop'!#REF!))</f>
        <v/>
      </c>
      <c r="BQ48" s="440" t="str">
        <f>IF(BP48="","",+SUMIF('Argus Drop'!$D$7:$D$64,$A48,'Argus Drop'!#REF!))</f>
        <v/>
      </c>
      <c r="BR48" s="440" t="str">
        <f>IF(BQ48="","",+SUMIF('Argus Drop'!$D$7:$D$64,$A48,'Argus Drop'!#REF!))</f>
        <v/>
      </c>
      <c r="BS48" s="440" t="str">
        <f>IF(BR48="","",+SUMIF('Argus Drop'!$D$7:$D$64,$A48,'Argus Drop'!#REF!))</f>
        <v/>
      </c>
      <c r="BT48" s="440" t="str">
        <f>IF(BS48="","",+SUMIF('Argus Drop'!$D$7:$D$64,$A48,'Argus Drop'!#REF!))</f>
        <v/>
      </c>
      <c r="BU48" s="440" t="str">
        <f>IF(BT48="","",+SUMIF('Argus Drop'!$D$7:$D$64,$A48,'Argus Drop'!#REF!))</f>
        <v/>
      </c>
      <c r="BV48" s="440" t="str">
        <f>IF(BU48="","",+SUMIF('Argus Drop'!$D$7:$D$64,$A48,'Argus Drop'!#REF!))</f>
        <v/>
      </c>
      <c r="BW48" s="440" t="str">
        <f>IF(BV48="","",+SUMIF('Argus Drop'!$D$7:$D$64,$A48,'Argus Drop'!#REF!))</f>
        <v/>
      </c>
      <c r="BX48" s="440" t="str">
        <f>IF(BW48="","",+SUMIF('Argus Drop'!$D$7:$D$64,$A48,'Argus Drop'!#REF!))</f>
        <v/>
      </c>
      <c r="BY48" s="440" t="str">
        <f>IF(BX48="","",+SUMIF('Argus Drop'!$D$7:$D$64,$A48,'Argus Drop'!#REF!))</f>
        <v/>
      </c>
      <c r="BZ48" s="440" t="str">
        <f>IF(BY48="","",+SUMIF('Argus Drop'!$D$7:$D$64,$A48,'Argus Drop'!#REF!))</f>
        <v/>
      </c>
      <c r="CA48" s="440" t="str">
        <f>IF(BZ48="","",+SUMIF('Argus Drop'!$D$7:$D$64,$A48,'Argus Drop'!#REF!))</f>
        <v/>
      </c>
      <c r="CB48" s="440" t="str">
        <f>IF(CA48="","",+SUMIF('Argus Drop'!$D$7:$D$64,$A48,'Argus Drop'!#REF!))</f>
        <v/>
      </c>
      <c r="CC48" s="440" t="str">
        <f>IF(CB48="","",+SUMIF('Argus Drop'!$D$7:$D$64,$A48,'Argus Drop'!#REF!))</f>
        <v/>
      </c>
      <c r="CD48" s="440" t="str">
        <f>IF(CC48="","",+SUMIF('Argus Drop'!$D$7:$D$64,$A48,'Argus Drop'!#REF!))</f>
        <v/>
      </c>
      <c r="CE48" s="440" t="str">
        <f>IF(CD48="","",+SUMIF('Argus Drop'!$D$7:$D$64,$A48,'Argus Drop'!#REF!))</f>
        <v/>
      </c>
      <c r="CF48" s="440" t="str">
        <f>IF(CE48="","",+SUMIF('Argus Drop'!$D$7:$D$64,$A48,'Argus Drop'!#REF!))</f>
        <v/>
      </c>
      <c r="CG48" s="440" t="str">
        <f>IF(CF48="","",+SUMIF('Argus Drop'!$D$7:$D$64,$A48,'Argus Drop'!#REF!))</f>
        <v/>
      </c>
      <c r="CH48" s="440" t="str">
        <f>IF(CG48="","",+SUMIF('Argus Drop'!$D$7:$D$64,$A48,'Argus Drop'!#REF!))</f>
        <v/>
      </c>
      <c r="CI48" s="440" t="str">
        <f>IF(CH48="","",+SUMIF('Argus Drop'!$D$7:$D$64,$A48,'Argus Drop'!#REF!))</f>
        <v/>
      </c>
      <c r="CJ48" s="440" t="str">
        <f>IF(CI48="","",+SUMIF('Argus Drop'!$D$7:$D$64,$A48,'Argus Drop'!#REF!))</f>
        <v/>
      </c>
      <c r="CK48" s="440" t="str">
        <f>IF(CJ48="","",+SUMIF('Argus Drop'!$D$7:$D$64,$A48,'Argus Drop'!#REF!))</f>
        <v/>
      </c>
      <c r="CL48" s="440" t="str">
        <f>IF(CK48="","",+SUMIF('Argus Drop'!$D$7:$D$64,$A48,'Argus Drop'!#REF!))</f>
        <v/>
      </c>
      <c r="CM48" s="440" t="str">
        <f>IF(CL48="","",+SUMIF('Argus Drop'!$D$7:$D$64,$A48,'Argus Drop'!#REF!))</f>
        <v/>
      </c>
      <c r="CN48" s="440" t="str">
        <f>IF(CM48="","",+SUMIF('Argus Drop'!$D$7:$D$64,$A48,'Argus Drop'!#REF!))</f>
        <v/>
      </c>
      <c r="CO48" s="440" t="str">
        <f>IF(CN48="","",+SUMIF('Argus Drop'!$D$7:$D$64,$A48,'Argus Drop'!#REF!))</f>
        <v/>
      </c>
      <c r="CP48" s="440" t="str">
        <f>IF(CO48="","",+SUMIF('Argus Drop'!$D$7:$D$64,$A48,'Argus Drop'!#REF!))</f>
        <v/>
      </c>
      <c r="CQ48" s="440" t="str">
        <f>IF(CP48="","",+SUMIF('Argus Drop'!$D$7:$D$64,$A48,'Argus Drop'!#REF!))</f>
        <v/>
      </c>
      <c r="CR48" s="440" t="str">
        <f>IF(CQ48="","",+SUMIF('Argus Drop'!$D$7:$D$64,$A48,'Argus Drop'!#REF!))</f>
        <v/>
      </c>
      <c r="CS48" s="440" t="str">
        <f>IF(CR48="","",+SUMIF('Argus Drop'!$D$7:$D$64,$A48,'Argus Drop'!#REF!))</f>
        <v/>
      </c>
      <c r="CT48" s="440" t="str">
        <f>IF(CS48="","",+SUMIF('Argus Drop'!$D$7:$D$64,$A48,'Argus Drop'!#REF!))</f>
        <v/>
      </c>
      <c r="CU48" s="440" t="str">
        <f>IF(CT48="","",+SUMIF('Argus Drop'!$D$7:$D$64,$A48,'Argus Drop'!#REF!))</f>
        <v/>
      </c>
      <c r="CV48" s="440" t="str">
        <f>IF(CU48="","",+SUMIF('Argus Drop'!$D$7:$D$64,$A48,'Argus Drop'!#REF!))</f>
        <v/>
      </c>
      <c r="CW48" s="440" t="str">
        <f>IF(CV48="","",+SUMIF('Argus Drop'!$D$7:$D$64,$A48,'Argus Drop'!#REF!))</f>
        <v/>
      </c>
      <c r="CX48" s="440" t="str">
        <f>IF(CW48="","",+SUMIF('Argus Drop'!$D$7:$D$64,$A48,'Argus Drop'!#REF!))</f>
        <v/>
      </c>
      <c r="CY48" s="440" t="str">
        <f>IF(CX48="","",+SUMIF('Argus Drop'!$D$7:$D$64,$A48,'Argus Drop'!#REF!))</f>
        <v/>
      </c>
      <c r="CZ48" s="440" t="str">
        <f>IF(CY48="","",+SUMIF('Argus Drop'!$D$7:$D$64,$A48,'Argus Drop'!#REF!))</f>
        <v/>
      </c>
      <c r="DA48" s="440" t="str">
        <f>IF(CZ48="","",+SUMIF('Argus Drop'!$D$7:$D$64,$A48,'Argus Drop'!#REF!))</f>
        <v/>
      </c>
      <c r="DB48" s="440" t="str">
        <f>IF(DA48="","",+SUMIF('Argus Drop'!$D$7:$D$64,$A48,'Argus Drop'!#REF!))</f>
        <v/>
      </c>
      <c r="DC48" s="440" t="str">
        <f>IF(DB48="","",+SUMIF('Argus Drop'!$D$7:$D$64,$A48,'Argus Drop'!#REF!))</f>
        <v/>
      </c>
      <c r="DD48" s="440" t="str">
        <f>IF(DC48="","",+SUMIF('Argus Drop'!$D$7:$D$64,$A48,'Argus Drop'!#REF!))</f>
        <v/>
      </c>
      <c r="DE48" s="440" t="str">
        <f>IF(DD48="","",+SUMIF('Argus Drop'!$D$7:$D$64,$A48,'Argus Drop'!#REF!))</f>
        <v/>
      </c>
      <c r="DF48" s="440" t="str">
        <f>IF(DE48="","",+SUMIF('Argus Drop'!$D$7:$D$64,$A48,'Argus Drop'!#REF!))</f>
        <v/>
      </c>
      <c r="DG48" s="440" t="str">
        <f>IF(DF48="","",+SUMIF('Argus Drop'!$D$7:$D$64,$A48,'Argus Drop'!#REF!))</f>
        <v/>
      </c>
      <c r="DH48" s="440" t="str">
        <f>IF(DG48="","",+SUMIF('Argus Drop'!$D$7:$D$64,$A48,'Argus Drop'!#REF!))</f>
        <v/>
      </c>
      <c r="DI48" s="440" t="str">
        <f>IF(DH48="","",+SUMIF('Argus Drop'!$D$7:$D$64,$A48,'Argus Drop'!#REF!))</f>
        <v/>
      </c>
      <c r="DJ48" s="440" t="str">
        <f>IF(DI48="","",+SUMIF('Argus Drop'!$D$7:$D$64,$A48,'Argus Drop'!#REF!))</f>
        <v/>
      </c>
      <c r="DK48" s="440" t="str">
        <f>IF(DJ48="","",+SUMIF('Argus Drop'!$D$7:$D$64,$A48,'Argus Drop'!#REF!))</f>
        <v/>
      </c>
      <c r="DL48" s="440" t="str">
        <f>IF(DK48="","",+SUMIF('Argus Drop'!$D$7:$D$64,$A48,'Argus Drop'!#REF!))</f>
        <v/>
      </c>
      <c r="DM48" s="440" t="str">
        <f>IF(DL48="","",+SUMIF('Argus Drop'!$D$7:$D$64,$A48,'Argus Drop'!#REF!))</f>
        <v/>
      </c>
      <c r="DN48" s="440" t="str">
        <f>IF(DM48="","",+SUMIF('Argus Drop'!$D$7:$D$64,$A48,'Argus Drop'!#REF!))</f>
        <v/>
      </c>
      <c r="DO48" s="440" t="str">
        <f>IF(DN48="","",+SUMIF('Argus Drop'!$D$7:$D$64,$A48,'Argus Drop'!#REF!))</f>
        <v/>
      </c>
      <c r="DP48" s="440" t="str">
        <f>IF(DO48="","",+SUMIF('Argus Drop'!$D$7:$D$64,$A48,'Argus Drop'!#REF!))</f>
        <v/>
      </c>
      <c r="DQ48" s="440" t="str">
        <f>IF(DP48="","",+SUMIF('Argus Drop'!$D$7:$D$64,$A48,'Argus Drop'!#REF!))</f>
        <v/>
      </c>
      <c r="DR48" s="440" t="str">
        <f>IF(DQ48="","",+SUMIF('Argus Drop'!$D$7:$D$64,$A48,'Argus Drop'!#REF!))</f>
        <v/>
      </c>
      <c r="DS48" s="440"/>
      <c r="DT48" s="440"/>
      <c r="DU48" s="440"/>
      <c r="DV48" s="440"/>
      <c r="DW48" s="440"/>
      <c r="DX48" s="440"/>
      <c r="DY48" s="440"/>
      <c r="DZ48" s="440"/>
      <c r="EA48" s="440"/>
      <c r="EB48" s="440"/>
      <c r="EC48" s="440"/>
      <c r="ED48" s="1419"/>
      <c r="EE48" s="1419"/>
      <c r="EF48" s="1419"/>
      <c r="EG48" s="1419"/>
      <c r="EH48" s="1419"/>
      <c r="EI48" s="1419"/>
      <c r="EJ48" s="1419"/>
      <c r="EK48" s="1419"/>
      <c r="EL48" s="1419"/>
      <c r="EM48" s="1419"/>
      <c r="EN48" s="1419"/>
      <c r="EO48" s="1419"/>
      <c r="EP48" s="1419"/>
      <c r="EQ48" s="1419"/>
      <c r="ER48" s="1419"/>
      <c r="ES48" s="1419"/>
      <c r="ET48" s="1419"/>
      <c r="EU48" s="1419"/>
      <c r="EV48" s="1419"/>
      <c r="EW48" s="1419"/>
      <c r="EX48" s="1419"/>
      <c r="EY48" s="1419"/>
      <c r="EZ48" s="1419"/>
      <c r="FA48" s="1419"/>
      <c r="FB48" s="1419"/>
      <c r="FC48" s="1419"/>
      <c r="FD48" s="1419"/>
      <c r="FE48" s="1419"/>
      <c r="FF48" s="1419"/>
      <c r="FG48" s="1419"/>
      <c r="FH48" s="1419"/>
      <c r="FI48" s="1419"/>
    </row>
    <row r="49" spans="1:165">
      <c r="A49" s="448" t="str">
        <f>IF(+'Argus Drop'!B49="","",'Argus Drop'!B49)</f>
        <v/>
      </c>
      <c r="B49" s="440" t="str">
        <f>IF(A49="","",+SUMIF('Argus Drop'!$D$7:$D$64,$A49,'Argus Drop'!#REF!))</f>
        <v/>
      </c>
      <c r="C49" s="440" t="str">
        <f>IF(B49="","",+SUMIF('Argus Drop'!$D$7:$D$64,$A49,'Argus Drop'!#REF!))</f>
        <v/>
      </c>
      <c r="D49" s="440" t="str">
        <f>IF(C49="","",+SUMIF('Argus Drop'!$D$7:$D$64,$A49,'Argus Drop'!#REF!))</f>
        <v/>
      </c>
      <c r="E49" s="440" t="str">
        <f>IF(D49="","",+SUMIF('Argus Drop'!$D$7:$D$64,$A49,'Argus Drop'!#REF!))</f>
        <v/>
      </c>
      <c r="F49" s="440" t="str">
        <f>IF(E49="","",+SUMIF('Argus Drop'!$D$7:$D$64,$A49,'Argus Drop'!#REF!))</f>
        <v/>
      </c>
      <c r="G49" s="440" t="str">
        <f>IF(F49="","",+SUMIF('Argus Drop'!$D$7:$D$64,$A49,'Argus Drop'!#REF!))</f>
        <v/>
      </c>
      <c r="H49" s="440" t="str">
        <f>IF(G49="","",+SUMIF('Argus Drop'!$D$7:$D$64,$A49,'Argus Drop'!#REF!))</f>
        <v/>
      </c>
      <c r="I49" s="440" t="str">
        <f>IF(H49="","",+SUMIF('Argus Drop'!$D$7:$D$64,$A49,'Argus Drop'!#REF!))</f>
        <v/>
      </c>
      <c r="J49" s="440" t="str">
        <f>IF(I49="","",+SUMIF('Argus Drop'!$D$7:$D$64,$A49,'Argus Drop'!#REF!))</f>
        <v/>
      </c>
      <c r="K49" s="440" t="str">
        <f>IF(J49="","",+SUMIF('Argus Drop'!$D$7:$D$64,$A49,'Argus Drop'!#REF!))</f>
        <v/>
      </c>
      <c r="L49" s="440" t="str">
        <f>IF(K49="","",+SUMIF('Argus Drop'!$D$7:$D$64,$A49,'Argus Drop'!#REF!))</f>
        <v/>
      </c>
      <c r="M49" s="440" t="str">
        <f>IF(L49="","",+SUMIF('Argus Drop'!$D$7:$D$64,$A49,'Argus Drop'!#REF!))</f>
        <v/>
      </c>
      <c r="N49" s="440" t="str">
        <f>IF(M49="","",+SUMIF('Argus Drop'!$D$7:$D$64,$A49,'Argus Drop'!#REF!))</f>
        <v/>
      </c>
      <c r="O49" s="440" t="str">
        <f>IF(N49="","",+SUMIF('Argus Drop'!$D$7:$D$64,$A49,'Argus Drop'!#REF!))</f>
        <v/>
      </c>
      <c r="P49" s="440" t="str">
        <f>IF(O49="","",+SUMIF('Argus Drop'!$D$7:$D$64,$A49,'Argus Drop'!#REF!))</f>
        <v/>
      </c>
      <c r="Q49" s="440" t="str">
        <f>IF(P49="","",+SUMIF('Argus Drop'!$D$7:$D$64,$A49,'Argus Drop'!#REF!))</f>
        <v/>
      </c>
      <c r="R49" s="440" t="str">
        <f>IF(Q49="","",+SUMIF('Argus Drop'!$D$7:$D$64,$A49,'Argus Drop'!#REF!))</f>
        <v/>
      </c>
      <c r="S49" s="440" t="str">
        <f>IF(R49="","",+SUMIF('Argus Drop'!$D$7:$D$64,$A49,'Argus Drop'!#REF!))</f>
        <v/>
      </c>
      <c r="T49" s="440" t="str">
        <f>IF(S49="","",+SUMIF('Argus Drop'!$D$7:$D$64,$A49,'Argus Drop'!#REF!))</f>
        <v/>
      </c>
      <c r="U49" s="440" t="str">
        <f>IF(T49="","",+SUMIF('Argus Drop'!$D$7:$D$64,$A49,'Argus Drop'!#REF!))</f>
        <v/>
      </c>
      <c r="V49" s="440" t="str">
        <f>IF(U49="","",+SUMIF('Argus Drop'!$D$7:$D$64,$A49,'Argus Drop'!#REF!))</f>
        <v/>
      </c>
      <c r="W49" s="440" t="str">
        <f>IF(V49="","",+SUMIF('Argus Drop'!$D$7:$D$64,$A49,'Argus Drop'!#REF!))</f>
        <v/>
      </c>
      <c r="X49" s="440" t="str">
        <f>IF(W49="","",+SUMIF('Argus Drop'!$D$7:$D$64,$A49,'Argus Drop'!#REF!))</f>
        <v/>
      </c>
      <c r="Y49" s="440" t="str">
        <f>IF(X49="","",+SUMIF('Argus Drop'!$D$7:$D$64,$A49,'Argus Drop'!#REF!))</f>
        <v/>
      </c>
      <c r="Z49" s="440" t="str">
        <f>IF(Y49="","",+SUMIF('Argus Drop'!$D$7:$D$64,$A49,'Argus Drop'!#REF!))</f>
        <v/>
      </c>
      <c r="AA49" s="440" t="str">
        <f>IF(Z49="","",+SUMIF('Argus Drop'!$D$7:$D$64,$A49,'Argus Drop'!#REF!))</f>
        <v/>
      </c>
      <c r="AB49" s="440" t="str">
        <f>IF(AA49="","",+SUMIF('Argus Drop'!$D$7:$D$64,$A49,'Argus Drop'!#REF!))</f>
        <v/>
      </c>
      <c r="AC49" s="440" t="str">
        <f>IF(AB49="","",+SUMIF('Argus Drop'!$D$7:$D$64,$A49,'Argus Drop'!#REF!))</f>
        <v/>
      </c>
      <c r="AD49" s="440" t="str">
        <f>IF(AC49="","",+SUMIF('Argus Drop'!$D$7:$D$64,$A49,'Argus Drop'!#REF!))</f>
        <v/>
      </c>
      <c r="AE49" s="440" t="str">
        <f>IF(AD49="","",+SUMIF('Argus Drop'!$D$7:$D$64,$A49,'Argus Drop'!#REF!))</f>
        <v/>
      </c>
      <c r="AF49" s="440" t="str">
        <f>IF(AE49="","",+SUMIF('Argus Drop'!$D$7:$D$64,$A49,'Argus Drop'!#REF!))</f>
        <v/>
      </c>
      <c r="AG49" s="440" t="str">
        <f>IF(AF49="","",+SUMIF('Argus Drop'!$D$7:$D$64,$A49,'Argus Drop'!#REF!))</f>
        <v/>
      </c>
      <c r="AH49" s="440" t="str">
        <f>IF(AG49="","",+SUMIF('Argus Drop'!$D$7:$D$64,$A49,'Argus Drop'!#REF!))</f>
        <v/>
      </c>
      <c r="AI49" s="440" t="str">
        <f>IF(AH49="","",+SUMIF('Argus Drop'!$D$7:$D$64,$A49,'Argus Drop'!#REF!))</f>
        <v/>
      </c>
      <c r="AJ49" s="440" t="str">
        <f>IF(AI49="","",+SUMIF('Argus Drop'!$D$7:$D$64,$A49,'Argus Drop'!#REF!))</f>
        <v/>
      </c>
      <c r="AK49" s="440" t="str">
        <f>IF(AJ49="","",+SUMIF('Argus Drop'!$D$7:$D$64,$A49,'Argus Drop'!#REF!))</f>
        <v/>
      </c>
      <c r="AL49" s="440" t="str">
        <f>IF(AK49="","",+SUMIF('Argus Drop'!$D$7:$D$64,$A49,'Argus Drop'!#REF!))</f>
        <v/>
      </c>
      <c r="AM49" s="440" t="str">
        <f>IF(AL49="","",+SUMIF('Argus Drop'!$D$7:$D$64,$A49,'Argus Drop'!#REF!))</f>
        <v/>
      </c>
      <c r="AN49" s="440" t="str">
        <f>IF(AM49="","",+SUMIF('Argus Drop'!$D$7:$D$64,$A49,'Argus Drop'!#REF!))</f>
        <v/>
      </c>
      <c r="AO49" s="440" t="str">
        <f>IF(AN49="","",+SUMIF('Argus Drop'!$D$7:$D$64,$A49,'Argus Drop'!#REF!))</f>
        <v/>
      </c>
      <c r="AP49" s="440" t="str">
        <f>IF(AO49="","",+SUMIF('Argus Drop'!$D$7:$D$64,$A49,'Argus Drop'!#REF!))</f>
        <v/>
      </c>
      <c r="AQ49" s="440" t="str">
        <f>IF(AP49="","",+SUMIF('Argus Drop'!$D$7:$D$64,$A49,'Argus Drop'!#REF!))</f>
        <v/>
      </c>
      <c r="AR49" s="440" t="str">
        <f>IF(AQ49="","",+SUMIF('Argus Drop'!$D$7:$D$64,$A49,'Argus Drop'!#REF!))</f>
        <v/>
      </c>
      <c r="AS49" s="440" t="str">
        <f>IF(AR49="","",+SUMIF('Argus Drop'!$D$7:$D$64,$A49,'Argus Drop'!#REF!))</f>
        <v/>
      </c>
      <c r="AT49" s="440" t="str">
        <f>IF(AS49="","",+SUMIF('Argus Drop'!$D$7:$D$64,$A49,'Argus Drop'!#REF!))</f>
        <v/>
      </c>
      <c r="AU49" s="440" t="str">
        <f>IF(AT49="","",+SUMIF('Argus Drop'!$D$7:$D$64,$A49,'Argus Drop'!#REF!))</f>
        <v/>
      </c>
      <c r="AV49" s="440" t="str">
        <f>IF(AU49="","",+SUMIF('Argus Drop'!$D$7:$D$64,$A49,'Argus Drop'!#REF!))</f>
        <v/>
      </c>
      <c r="AW49" s="440" t="str">
        <f>IF(AV49="","",+SUMIF('Argus Drop'!$D$7:$D$64,$A49,'Argus Drop'!#REF!))</f>
        <v/>
      </c>
      <c r="AX49" s="440" t="str">
        <f>IF(AW49="","",+SUMIF('Argus Drop'!$D$7:$D$64,$A49,'Argus Drop'!#REF!))</f>
        <v/>
      </c>
      <c r="AY49" s="440" t="str">
        <f>IF(AX49="","",+SUMIF('Argus Drop'!$D$7:$D$64,$A49,'Argus Drop'!#REF!))</f>
        <v/>
      </c>
      <c r="AZ49" s="440" t="str">
        <f>IF(AY49="","",+SUMIF('Argus Drop'!$D$7:$D$64,$A49,'Argus Drop'!#REF!))</f>
        <v/>
      </c>
      <c r="BA49" s="440" t="str">
        <f>IF(AZ49="","",+SUMIF('Argus Drop'!$D$7:$D$64,$A49,'Argus Drop'!#REF!))</f>
        <v/>
      </c>
      <c r="BB49" s="440" t="str">
        <f>IF(BA49="","",+SUMIF('Argus Drop'!$D$7:$D$64,$A49,'Argus Drop'!#REF!))</f>
        <v/>
      </c>
      <c r="BC49" s="440" t="str">
        <f>IF(BB49="","",+SUMIF('Argus Drop'!$D$7:$D$64,$A49,'Argus Drop'!#REF!))</f>
        <v/>
      </c>
      <c r="BD49" s="440" t="str">
        <f>IF(BC49="","",+SUMIF('Argus Drop'!$D$7:$D$64,$A49,'Argus Drop'!#REF!))</f>
        <v/>
      </c>
      <c r="BE49" s="440" t="str">
        <f>IF(BD49="","",+SUMIF('Argus Drop'!$D$7:$D$64,$A49,'Argus Drop'!#REF!))</f>
        <v/>
      </c>
      <c r="BF49" s="440" t="str">
        <f>IF(BE49="","",+SUMIF('Argus Drop'!$D$7:$D$64,$A49,'Argus Drop'!#REF!))</f>
        <v/>
      </c>
      <c r="BG49" s="440" t="str">
        <f>IF(BF49="","",+SUMIF('Argus Drop'!$D$7:$D$64,$A49,'Argus Drop'!#REF!))</f>
        <v/>
      </c>
      <c r="BH49" s="440" t="str">
        <f>IF(BG49="","",+SUMIF('Argus Drop'!$D$7:$D$64,$A49,'Argus Drop'!#REF!))</f>
        <v/>
      </c>
      <c r="BI49" s="440" t="str">
        <f>IF(BH49="","",+SUMIF('Argus Drop'!$D$7:$D$64,$A49,'Argus Drop'!#REF!))</f>
        <v/>
      </c>
      <c r="BJ49" s="440" t="str">
        <f>IF(BI49="","",+SUMIF('Argus Drop'!$D$7:$D$64,$A49,'Argus Drop'!#REF!))</f>
        <v/>
      </c>
      <c r="BK49" s="440" t="str">
        <f>IF(BJ49="","",+SUMIF('Argus Drop'!$D$7:$D$64,$A49,'Argus Drop'!#REF!))</f>
        <v/>
      </c>
      <c r="BL49" s="440" t="str">
        <f>IF(BK49="","",+SUMIF('Argus Drop'!$D$7:$D$64,$A49,'Argus Drop'!#REF!))</f>
        <v/>
      </c>
      <c r="BM49" s="440" t="str">
        <f>IF(BL49="","",+SUMIF('Argus Drop'!$D$7:$D$64,$A49,'Argus Drop'!#REF!))</f>
        <v/>
      </c>
      <c r="BN49" s="440" t="str">
        <f>IF(BM49="","",+SUMIF('Argus Drop'!$D$7:$D$64,$A49,'Argus Drop'!#REF!))</f>
        <v/>
      </c>
      <c r="BO49" s="440" t="str">
        <f>IF(BN49="","",+SUMIF('Argus Drop'!$D$7:$D$64,$A49,'Argus Drop'!#REF!))</f>
        <v/>
      </c>
      <c r="BP49" s="440" t="str">
        <f>IF(BO49="","",+SUMIF('Argus Drop'!$D$7:$D$64,$A49,'Argus Drop'!#REF!))</f>
        <v/>
      </c>
      <c r="BQ49" s="440" t="str">
        <f>IF(BP49="","",+SUMIF('Argus Drop'!$D$7:$D$64,$A49,'Argus Drop'!#REF!))</f>
        <v/>
      </c>
      <c r="BR49" s="440" t="str">
        <f>IF(BQ49="","",+SUMIF('Argus Drop'!$D$7:$D$64,$A49,'Argus Drop'!#REF!))</f>
        <v/>
      </c>
      <c r="BS49" s="440" t="str">
        <f>IF(BR49="","",+SUMIF('Argus Drop'!$D$7:$D$64,$A49,'Argus Drop'!#REF!))</f>
        <v/>
      </c>
      <c r="BT49" s="440" t="str">
        <f>IF(BS49="","",+SUMIF('Argus Drop'!$D$7:$D$64,$A49,'Argus Drop'!#REF!))</f>
        <v/>
      </c>
      <c r="BU49" s="440" t="str">
        <f>IF(BT49="","",+SUMIF('Argus Drop'!$D$7:$D$64,$A49,'Argus Drop'!#REF!))</f>
        <v/>
      </c>
      <c r="BV49" s="440" t="str">
        <f>IF(BU49="","",+SUMIF('Argus Drop'!$D$7:$D$64,$A49,'Argus Drop'!#REF!))</f>
        <v/>
      </c>
      <c r="BW49" s="440" t="str">
        <f>IF(BV49="","",+SUMIF('Argus Drop'!$D$7:$D$64,$A49,'Argus Drop'!#REF!))</f>
        <v/>
      </c>
      <c r="BX49" s="440" t="str">
        <f>IF(BW49="","",+SUMIF('Argus Drop'!$D$7:$D$64,$A49,'Argus Drop'!#REF!))</f>
        <v/>
      </c>
      <c r="BY49" s="440" t="str">
        <f>IF(BX49="","",+SUMIF('Argus Drop'!$D$7:$D$64,$A49,'Argus Drop'!#REF!))</f>
        <v/>
      </c>
      <c r="BZ49" s="440" t="str">
        <f>IF(BY49="","",+SUMIF('Argus Drop'!$D$7:$D$64,$A49,'Argus Drop'!#REF!))</f>
        <v/>
      </c>
      <c r="CA49" s="440" t="str">
        <f>IF(BZ49="","",+SUMIF('Argus Drop'!$D$7:$D$64,$A49,'Argus Drop'!#REF!))</f>
        <v/>
      </c>
      <c r="CB49" s="440" t="str">
        <f>IF(CA49="","",+SUMIF('Argus Drop'!$D$7:$D$64,$A49,'Argus Drop'!#REF!))</f>
        <v/>
      </c>
      <c r="CC49" s="440" t="str">
        <f>IF(CB49="","",+SUMIF('Argus Drop'!$D$7:$D$64,$A49,'Argus Drop'!#REF!))</f>
        <v/>
      </c>
      <c r="CD49" s="440" t="str">
        <f>IF(CC49="","",+SUMIF('Argus Drop'!$D$7:$D$64,$A49,'Argus Drop'!#REF!))</f>
        <v/>
      </c>
      <c r="CE49" s="440" t="str">
        <f>IF(CD49="","",+SUMIF('Argus Drop'!$D$7:$D$64,$A49,'Argus Drop'!#REF!))</f>
        <v/>
      </c>
      <c r="CF49" s="440" t="str">
        <f>IF(CE49="","",+SUMIF('Argus Drop'!$D$7:$D$64,$A49,'Argus Drop'!#REF!))</f>
        <v/>
      </c>
      <c r="CG49" s="440" t="str">
        <f>IF(CF49="","",+SUMIF('Argus Drop'!$D$7:$D$64,$A49,'Argus Drop'!#REF!))</f>
        <v/>
      </c>
      <c r="CH49" s="440" t="str">
        <f>IF(CG49="","",+SUMIF('Argus Drop'!$D$7:$D$64,$A49,'Argus Drop'!#REF!))</f>
        <v/>
      </c>
      <c r="CI49" s="440" t="str">
        <f>IF(CH49="","",+SUMIF('Argus Drop'!$D$7:$D$64,$A49,'Argus Drop'!#REF!))</f>
        <v/>
      </c>
      <c r="CJ49" s="440" t="str">
        <f>IF(CI49="","",+SUMIF('Argus Drop'!$D$7:$D$64,$A49,'Argus Drop'!#REF!))</f>
        <v/>
      </c>
      <c r="CK49" s="440" t="str">
        <f>IF(CJ49="","",+SUMIF('Argus Drop'!$D$7:$D$64,$A49,'Argus Drop'!#REF!))</f>
        <v/>
      </c>
      <c r="CL49" s="440" t="str">
        <f>IF(CK49="","",+SUMIF('Argus Drop'!$D$7:$D$64,$A49,'Argus Drop'!#REF!))</f>
        <v/>
      </c>
      <c r="CM49" s="440" t="str">
        <f>IF(CL49="","",+SUMIF('Argus Drop'!$D$7:$D$64,$A49,'Argus Drop'!#REF!))</f>
        <v/>
      </c>
      <c r="CN49" s="440" t="str">
        <f>IF(CM49="","",+SUMIF('Argus Drop'!$D$7:$D$64,$A49,'Argus Drop'!#REF!))</f>
        <v/>
      </c>
      <c r="CO49" s="440" t="str">
        <f>IF(CN49="","",+SUMIF('Argus Drop'!$D$7:$D$64,$A49,'Argus Drop'!#REF!))</f>
        <v/>
      </c>
      <c r="CP49" s="440" t="str">
        <f>IF(CO49="","",+SUMIF('Argus Drop'!$D$7:$D$64,$A49,'Argus Drop'!#REF!))</f>
        <v/>
      </c>
      <c r="CQ49" s="440" t="str">
        <f>IF(CP49="","",+SUMIF('Argus Drop'!$D$7:$D$64,$A49,'Argus Drop'!#REF!))</f>
        <v/>
      </c>
      <c r="CR49" s="440" t="str">
        <f>IF(CQ49="","",+SUMIF('Argus Drop'!$D$7:$D$64,$A49,'Argus Drop'!#REF!))</f>
        <v/>
      </c>
      <c r="CS49" s="440" t="str">
        <f>IF(CR49="","",+SUMIF('Argus Drop'!$D$7:$D$64,$A49,'Argus Drop'!#REF!))</f>
        <v/>
      </c>
      <c r="CT49" s="440" t="str">
        <f>IF(CS49="","",+SUMIF('Argus Drop'!$D$7:$D$64,$A49,'Argus Drop'!#REF!))</f>
        <v/>
      </c>
      <c r="CU49" s="440" t="str">
        <f>IF(CT49="","",+SUMIF('Argus Drop'!$D$7:$D$64,$A49,'Argus Drop'!#REF!))</f>
        <v/>
      </c>
      <c r="CV49" s="440" t="str">
        <f>IF(CU49="","",+SUMIF('Argus Drop'!$D$7:$D$64,$A49,'Argus Drop'!#REF!))</f>
        <v/>
      </c>
      <c r="CW49" s="440" t="str">
        <f>IF(CV49="","",+SUMIF('Argus Drop'!$D$7:$D$64,$A49,'Argus Drop'!#REF!))</f>
        <v/>
      </c>
      <c r="CX49" s="440" t="str">
        <f>IF(CW49="","",+SUMIF('Argus Drop'!$D$7:$D$64,$A49,'Argus Drop'!#REF!))</f>
        <v/>
      </c>
      <c r="CY49" s="440" t="str">
        <f>IF(CX49="","",+SUMIF('Argus Drop'!$D$7:$D$64,$A49,'Argus Drop'!#REF!))</f>
        <v/>
      </c>
      <c r="CZ49" s="440" t="str">
        <f>IF(CY49="","",+SUMIF('Argus Drop'!$D$7:$D$64,$A49,'Argus Drop'!#REF!))</f>
        <v/>
      </c>
      <c r="DA49" s="440" t="str">
        <f>IF(CZ49="","",+SUMIF('Argus Drop'!$D$7:$D$64,$A49,'Argus Drop'!#REF!))</f>
        <v/>
      </c>
      <c r="DB49" s="440" t="str">
        <f>IF(DA49="","",+SUMIF('Argus Drop'!$D$7:$D$64,$A49,'Argus Drop'!#REF!))</f>
        <v/>
      </c>
      <c r="DC49" s="440" t="str">
        <f>IF(DB49="","",+SUMIF('Argus Drop'!$D$7:$D$64,$A49,'Argus Drop'!#REF!))</f>
        <v/>
      </c>
      <c r="DD49" s="440" t="str">
        <f>IF(DC49="","",+SUMIF('Argus Drop'!$D$7:$D$64,$A49,'Argus Drop'!#REF!))</f>
        <v/>
      </c>
      <c r="DE49" s="440" t="str">
        <f>IF(DD49="","",+SUMIF('Argus Drop'!$D$7:$D$64,$A49,'Argus Drop'!#REF!))</f>
        <v/>
      </c>
      <c r="DF49" s="440" t="str">
        <f>IF(DE49="","",+SUMIF('Argus Drop'!$D$7:$D$64,$A49,'Argus Drop'!#REF!))</f>
        <v/>
      </c>
      <c r="DG49" s="440" t="str">
        <f>IF(DF49="","",+SUMIF('Argus Drop'!$D$7:$D$64,$A49,'Argus Drop'!#REF!))</f>
        <v/>
      </c>
      <c r="DH49" s="440" t="str">
        <f>IF(DG49="","",+SUMIF('Argus Drop'!$D$7:$D$64,$A49,'Argus Drop'!#REF!))</f>
        <v/>
      </c>
      <c r="DI49" s="440" t="str">
        <f>IF(DH49="","",+SUMIF('Argus Drop'!$D$7:$D$64,$A49,'Argus Drop'!#REF!))</f>
        <v/>
      </c>
      <c r="DJ49" s="440" t="str">
        <f>IF(DI49="","",+SUMIF('Argus Drop'!$D$7:$D$64,$A49,'Argus Drop'!#REF!))</f>
        <v/>
      </c>
      <c r="DK49" s="440" t="str">
        <f>IF(DJ49="","",+SUMIF('Argus Drop'!$D$7:$D$64,$A49,'Argus Drop'!#REF!))</f>
        <v/>
      </c>
      <c r="DL49" s="440" t="str">
        <f>IF(DK49="","",+SUMIF('Argus Drop'!$D$7:$D$64,$A49,'Argus Drop'!#REF!))</f>
        <v/>
      </c>
      <c r="DM49" s="440" t="str">
        <f>IF(DL49="","",+SUMIF('Argus Drop'!$D$7:$D$64,$A49,'Argus Drop'!#REF!))</f>
        <v/>
      </c>
      <c r="DN49" s="440" t="str">
        <f>IF(DM49="","",+SUMIF('Argus Drop'!$D$7:$D$64,$A49,'Argus Drop'!#REF!))</f>
        <v/>
      </c>
      <c r="DO49" s="440" t="str">
        <f>IF(DN49="","",+SUMIF('Argus Drop'!$D$7:$D$64,$A49,'Argus Drop'!#REF!))</f>
        <v/>
      </c>
      <c r="DP49" s="440" t="str">
        <f>IF(DO49="","",+SUMIF('Argus Drop'!$D$7:$D$64,$A49,'Argus Drop'!#REF!))</f>
        <v/>
      </c>
      <c r="DQ49" s="440" t="str">
        <f>IF(DP49="","",+SUMIF('Argus Drop'!$D$7:$D$64,$A49,'Argus Drop'!#REF!))</f>
        <v/>
      </c>
      <c r="DR49" s="440" t="str">
        <f>IF(DQ49="","",+SUMIF('Argus Drop'!$D$7:$D$64,$A49,'Argus Drop'!#REF!))</f>
        <v/>
      </c>
      <c r="DS49" s="440"/>
      <c r="DT49" s="440"/>
      <c r="DU49" s="440"/>
      <c r="DV49" s="440"/>
      <c r="DW49" s="440"/>
      <c r="DX49" s="440"/>
      <c r="DY49" s="440"/>
      <c r="DZ49" s="440"/>
      <c r="EA49" s="440"/>
      <c r="EB49" s="440"/>
      <c r="EC49" s="440"/>
      <c r="ED49" s="1419"/>
      <c r="EE49" s="1419"/>
      <c r="EF49" s="1419"/>
      <c r="EG49" s="1419"/>
      <c r="EH49" s="1419"/>
      <c r="EI49" s="1419"/>
      <c r="EJ49" s="1419"/>
      <c r="EK49" s="1419"/>
      <c r="EL49" s="1419"/>
      <c r="EM49" s="1419"/>
      <c r="EN49" s="1419"/>
      <c r="EO49" s="1419"/>
      <c r="EP49" s="1419"/>
      <c r="EQ49" s="1419"/>
      <c r="ER49" s="1419"/>
      <c r="ES49" s="1419"/>
      <c r="ET49" s="1419"/>
      <c r="EU49" s="1419"/>
      <c r="EV49" s="1419"/>
      <c r="EW49" s="1419"/>
      <c r="EX49" s="1419"/>
      <c r="EY49" s="1419"/>
      <c r="EZ49" s="1419"/>
      <c r="FA49" s="1419"/>
      <c r="FB49" s="1419"/>
      <c r="FC49" s="1419"/>
      <c r="FD49" s="1419"/>
      <c r="FE49" s="1419"/>
      <c r="FF49" s="1419"/>
      <c r="FG49" s="1419"/>
      <c r="FH49" s="1419"/>
      <c r="FI49" s="1419"/>
    </row>
    <row r="50" spans="1:165">
      <c r="A50" s="448">
        <f>IF(+'Argus Drop'!B50="","",'Argus Drop'!B50)</f>
        <v>14</v>
      </c>
      <c r="B50" s="440">
        <f>SUMIF('Argus Drop'!$D:$D,$A50,'Argus Drop'!F:F)</f>
        <v>0</v>
      </c>
      <c r="C50" s="440">
        <f>SUMIF('Argus Drop'!$D:$D,$A50,'Argus Drop'!G:G)</f>
        <v>0</v>
      </c>
      <c r="D50" s="440">
        <f>SUMIF('Argus Drop'!$D:$D,$A50,'Argus Drop'!H:H)</f>
        <v>0</v>
      </c>
      <c r="E50" s="440">
        <f>SUMIF('Argus Drop'!$D:$D,$A50,'Argus Drop'!I:I)</f>
        <v>0</v>
      </c>
      <c r="F50" s="440">
        <f>SUMIF('Argus Drop'!$D:$D,$A50,'Argus Drop'!J:J)</f>
        <v>0</v>
      </c>
      <c r="G50" s="440">
        <f>SUMIF('Argus Drop'!$D:$D,$A50,'Argus Drop'!K:K)</f>
        <v>0</v>
      </c>
      <c r="H50" s="440">
        <f>SUMIF('Argus Drop'!$D:$D,$A50,'Argus Drop'!L:L)</f>
        <v>0</v>
      </c>
      <c r="I50" s="440">
        <f>SUMIF('Argus Drop'!$D:$D,$A50,'Argus Drop'!M:M)</f>
        <v>0</v>
      </c>
      <c r="J50" s="440">
        <f>SUMIF('Argus Drop'!$D:$D,$A50,'Argus Drop'!N:N)</f>
        <v>0</v>
      </c>
      <c r="K50" s="440">
        <f>SUMIF('Argus Drop'!$D:$D,$A50,'Argus Drop'!O:O)</f>
        <v>0</v>
      </c>
      <c r="L50" s="440">
        <f>SUMIF('Argus Drop'!$D:$D,$A50,'Argus Drop'!P:P)</f>
        <v>0</v>
      </c>
      <c r="M50" s="440">
        <f>SUMIF('Argus Drop'!$D:$D,$A50,'Argus Drop'!Q:Q)</f>
        <v>0</v>
      </c>
      <c r="N50" s="440">
        <f>SUMIF('Argus Drop'!$D:$D,$A50,'Argus Drop'!R:R)</f>
        <v>0</v>
      </c>
      <c r="O50" s="440">
        <f>SUMIF('Argus Drop'!$D:$D,$A50,'Argus Drop'!S:S)</f>
        <v>0</v>
      </c>
      <c r="P50" s="440">
        <f>SUMIF('Argus Drop'!$D:$D,$A50,'Argus Drop'!T:T)</f>
        <v>0</v>
      </c>
      <c r="Q50" s="440">
        <f>SUMIF('Argus Drop'!$D:$D,$A50,'Argus Drop'!U:U)</f>
        <v>0</v>
      </c>
      <c r="R50" s="440">
        <f>SUMIF('Argus Drop'!$D:$D,$A50,'Argus Drop'!V:V)</f>
        <v>0</v>
      </c>
      <c r="S50" s="440">
        <f>SUMIF('Argus Drop'!$D:$D,$A50,'Argus Drop'!W:W)</f>
        <v>0</v>
      </c>
      <c r="T50" s="440">
        <f>SUMIF('Argus Drop'!$D:$D,$A50,'Argus Drop'!X:X)</f>
        <v>0</v>
      </c>
      <c r="U50" s="440">
        <f>SUMIF('Argus Drop'!$D:$D,$A50,'Argus Drop'!Y:Y)</f>
        <v>0</v>
      </c>
      <c r="V50" s="440">
        <f>SUMIF('Argus Drop'!$D:$D,$A50,'Argus Drop'!Z:Z)</f>
        <v>0</v>
      </c>
      <c r="W50" s="440">
        <f>SUMIF('Argus Drop'!$D:$D,$A50,'Argus Drop'!AA:AA)</f>
        <v>0</v>
      </c>
      <c r="X50" s="440">
        <f>SUMIF('Argus Drop'!$D:$D,$A50,'Argus Drop'!AB:AB)</f>
        <v>0</v>
      </c>
      <c r="Y50" s="440">
        <f>SUMIF('Argus Drop'!$D:$D,$A50,'Argus Drop'!AC:AC)</f>
        <v>0</v>
      </c>
      <c r="Z50" s="440">
        <f>SUMIF('Argus Drop'!$D:$D,$A50,'Argus Drop'!AD:AD)</f>
        <v>0</v>
      </c>
      <c r="AA50" s="440">
        <f>SUMIF('Argus Drop'!$D:$D,$A50,'Argus Drop'!AE:AE)</f>
        <v>0</v>
      </c>
      <c r="AB50" s="440">
        <f>SUMIF('Argus Drop'!$D:$D,$A50,'Argus Drop'!AF:AF)</f>
        <v>0</v>
      </c>
      <c r="AC50" s="440">
        <f>SUMIF('Argus Drop'!$D:$D,$A50,'Argus Drop'!AG:AG)</f>
        <v>0</v>
      </c>
      <c r="AD50" s="440">
        <f>SUMIF('Argus Drop'!$D:$D,$A50,'Argus Drop'!AH:AH)</f>
        <v>0</v>
      </c>
      <c r="AE50" s="440">
        <f>SUMIF('Argus Drop'!$D:$D,$A50,'Argus Drop'!AI:AI)</f>
        <v>0</v>
      </c>
      <c r="AF50" s="440">
        <f>SUMIF('Argus Drop'!$D:$D,$A50,'Argus Drop'!AJ:AJ)</f>
        <v>0</v>
      </c>
      <c r="AG50" s="440">
        <f>SUMIF('Argus Drop'!$D:$D,$A50,'Argus Drop'!AK:AK)</f>
        <v>0</v>
      </c>
      <c r="AH50" s="440">
        <f>SUMIF('Argus Drop'!$D:$D,$A50,'Argus Drop'!AL:AL)</f>
        <v>0</v>
      </c>
      <c r="AI50" s="440">
        <f>SUMIF('Argus Drop'!$D:$D,$A50,'Argus Drop'!AM:AM)</f>
        <v>0</v>
      </c>
      <c r="AJ50" s="440">
        <f>SUMIF('Argus Drop'!$D:$D,$A50,'Argus Drop'!AN:AN)</f>
        <v>0</v>
      </c>
      <c r="AK50" s="440">
        <f>SUMIF('Argus Drop'!$D:$D,$A50,'Argus Drop'!AO:AO)</f>
        <v>0</v>
      </c>
      <c r="AL50" s="440">
        <f>SUMIF('Argus Drop'!$D:$D,$A50,'Argus Drop'!AP:AP)</f>
        <v>0</v>
      </c>
      <c r="AM50" s="440">
        <f>SUMIF('Argus Drop'!$D:$D,$A50,'Argus Drop'!AQ:AQ)</f>
        <v>0</v>
      </c>
      <c r="AN50" s="440">
        <f>SUMIF('Argus Drop'!$D:$D,$A50,'Argus Drop'!AR:AR)</f>
        <v>0</v>
      </c>
      <c r="AO50" s="440">
        <f>SUMIF('Argus Drop'!$D:$D,$A50,'Argus Drop'!AS:AS)</f>
        <v>0</v>
      </c>
      <c r="AP50" s="440">
        <f>SUMIF('Argus Drop'!$D:$D,$A50,'Argus Drop'!AT:AT)</f>
        <v>0</v>
      </c>
      <c r="AQ50" s="440">
        <f>SUMIF('Argus Drop'!$D:$D,$A50,'Argus Drop'!AU:AU)</f>
        <v>0</v>
      </c>
      <c r="AR50" s="440">
        <f>SUMIF('Argus Drop'!$D:$D,$A50,'Argus Drop'!AV:AV)</f>
        <v>0</v>
      </c>
      <c r="AS50" s="440">
        <f>SUMIF('Argus Drop'!$D:$D,$A50,'Argus Drop'!AW:AW)</f>
        <v>0</v>
      </c>
      <c r="AT50" s="440">
        <f>SUMIF('Argus Drop'!$D:$D,$A50,'Argus Drop'!AX:AX)</f>
        <v>0</v>
      </c>
      <c r="AU50" s="440">
        <f>SUMIF('Argus Drop'!$D:$D,$A50,'Argus Drop'!AY:AY)</f>
        <v>0</v>
      </c>
      <c r="AV50" s="440">
        <f>SUMIF('Argus Drop'!$D:$D,$A50,'Argus Drop'!AZ:AZ)</f>
        <v>0</v>
      </c>
      <c r="AW50" s="440">
        <f>SUMIF('Argus Drop'!$D:$D,$A50,'Argus Drop'!BA:BA)</f>
        <v>0</v>
      </c>
      <c r="AX50" s="440">
        <f>SUMIF('Argus Drop'!$D:$D,$A50,'Argus Drop'!BB:BB)</f>
        <v>0</v>
      </c>
      <c r="AY50" s="440">
        <f>SUMIF('Argus Drop'!$D:$D,$A50,'Argus Drop'!BC:BC)</f>
        <v>0</v>
      </c>
      <c r="AZ50" s="440">
        <f>SUMIF('Argus Drop'!$D:$D,$A50,'Argus Drop'!BD:BD)</f>
        <v>0</v>
      </c>
      <c r="BA50" s="440">
        <f>SUMIF('Argus Drop'!$D:$D,$A50,'Argus Drop'!BE:BE)</f>
        <v>0</v>
      </c>
      <c r="BB50" s="440">
        <f>SUMIF('Argus Drop'!$D:$D,$A50,'Argus Drop'!BF:BF)</f>
        <v>0</v>
      </c>
      <c r="BC50" s="440">
        <f>SUMIF('Argus Drop'!$D:$D,$A50,'Argus Drop'!BG:BG)</f>
        <v>0</v>
      </c>
      <c r="BD50" s="440">
        <f>SUMIF('Argus Drop'!$D:$D,$A50,'Argus Drop'!BH:BH)</f>
        <v>0</v>
      </c>
      <c r="BE50" s="440">
        <f>SUMIF('Argus Drop'!$D:$D,$A50,'Argus Drop'!BI:BI)</f>
        <v>0</v>
      </c>
      <c r="BF50" s="440">
        <f>SUMIF('Argus Drop'!$D:$D,$A50,'Argus Drop'!BJ:BJ)</f>
        <v>0</v>
      </c>
      <c r="BG50" s="440">
        <f>SUMIF('Argus Drop'!$D:$D,$A50,'Argus Drop'!BK:BK)</f>
        <v>0</v>
      </c>
      <c r="BH50" s="440">
        <f>SUMIF('Argus Drop'!$D:$D,$A50,'Argus Drop'!BL:BL)</f>
        <v>0</v>
      </c>
      <c r="BI50" s="440">
        <f>SUMIF('Argus Drop'!$D:$D,$A50,'Argus Drop'!BM:BM)</f>
        <v>0</v>
      </c>
      <c r="BJ50" s="440">
        <f>SUMIF('Argus Drop'!$D:$D,$A50,'Argus Drop'!BN:BN)</f>
        <v>0</v>
      </c>
      <c r="BK50" s="440">
        <f>SUMIF('Argus Drop'!$D:$D,$A50,'Argus Drop'!BO:BO)</f>
        <v>0</v>
      </c>
      <c r="BL50" s="440">
        <f>SUMIF('Argus Drop'!$D:$D,$A50,'Argus Drop'!BP:BP)</f>
        <v>0</v>
      </c>
      <c r="BM50" s="440">
        <f>SUMIF('Argus Drop'!$D:$D,$A50,'Argus Drop'!BQ:BQ)</f>
        <v>0</v>
      </c>
      <c r="BN50" s="440">
        <f>SUMIF('Argus Drop'!$D:$D,$A50,'Argus Drop'!BR:BR)</f>
        <v>0</v>
      </c>
      <c r="BO50" s="440">
        <f>SUMIF('Argus Drop'!$D:$D,$A50,'Argus Drop'!BS:BS)</f>
        <v>0</v>
      </c>
      <c r="BP50" s="440">
        <f>SUMIF('Argus Drop'!$D:$D,$A50,'Argus Drop'!BT:BT)</f>
        <v>0</v>
      </c>
      <c r="BQ50" s="440">
        <f>SUMIF('Argus Drop'!$D:$D,$A50,'Argus Drop'!BU:BU)</f>
        <v>0</v>
      </c>
      <c r="BR50" s="440">
        <f>SUMIF('Argus Drop'!$D:$D,$A50,'Argus Drop'!BV:BV)</f>
        <v>0</v>
      </c>
      <c r="BS50" s="440">
        <f>SUMIF('Argus Drop'!$D:$D,$A50,'Argus Drop'!BW:BW)</f>
        <v>0</v>
      </c>
      <c r="BT50" s="440">
        <f>SUMIF('Argus Drop'!$D:$D,$A50,'Argus Drop'!BX:BX)</f>
        <v>0</v>
      </c>
      <c r="BU50" s="440">
        <f>SUMIF('Argus Drop'!$D:$D,$A50,'Argus Drop'!BY:BY)</f>
        <v>0</v>
      </c>
      <c r="BV50" s="440">
        <f>SUMIF('Argus Drop'!$D:$D,$A50,'Argus Drop'!BZ:BZ)</f>
        <v>0</v>
      </c>
      <c r="BW50" s="440">
        <f>SUMIF('Argus Drop'!$D:$D,$A50,'Argus Drop'!CA:CA)</f>
        <v>0</v>
      </c>
      <c r="BX50" s="440">
        <f>SUMIF('Argus Drop'!$D:$D,$A50,'Argus Drop'!CB:CB)</f>
        <v>0</v>
      </c>
      <c r="BY50" s="440">
        <f>SUMIF('Argus Drop'!$D:$D,$A50,'Argus Drop'!CC:CC)</f>
        <v>0</v>
      </c>
      <c r="BZ50" s="440">
        <f>SUMIF('Argus Drop'!$D:$D,$A50,'Argus Drop'!CD:CD)</f>
        <v>0</v>
      </c>
      <c r="CA50" s="440">
        <f>SUMIF('Argus Drop'!$D:$D,$A50,'Argus Drop'!CE:CE)</f>
        <v>0</v>
      </c>
      <c r="CB50" s="440">
        <f>SUMIF('Argus Drop'!$D:$D,$A50,'Argus Drop'!CF:CF)</f>
        <v>0</v>
      </c>
      <c r="CC50" s="440">
        <f>SUMIF('Argus Drop'!$D:$D,$A50,'Argus Drop'!CG:CG)</f>
        <v>0</v>
      </c>
      <c r="CD50" s="440">
        <f>SUMIF('Argus Drop'!$D:$D,$A50,'Argus Drop'!CH:CH)</f>
        <v>0</v>
      </c>
      <c r="CE50" s="440">
        <f>SUMIF('Argus Drop'!$D:$D,$A50,'Argus Drop'!CI:CI)</f>
        <v>0</v>
      </c>
      <c r="CF50" s="440">
        <f>SUMIF('Argus Drop'!$D:$D,$A50,'Argus Drop'!CJ:CJ)</f>
        <v>0</v>
      </c>
      <c r="CG50" s="440">
        <f>SUMIF('Argus Drop'!$D:$D,$A50,'Argus Drop'!CK:CK)</f>
        <v>0</v>
      </c>
      <c r="CH50" s="440">
        <f>SUMIF('Argus Drop'!$D:$D,$A50,'Argus Drop'!CL:CL)</f>
        <v>0</v>
      </c>
      <c r="CI50" s="440">
        <f>SUMIF('Argus Drop'!$D:$D,$A50,'Argus Drop'!CM:CM)</f>
        <v>0</v>
      </c>
      <c r="CJ50" s="440">
        <f>SUMIF('Argus Drop'!$D:$D,$A50,'Argus Drop'!CN:CN)</f>
        <v>0</v>
      </c>
      <c r="CK50" s="440">
        <f>SUMIF('Argus Drop'!$D:$D,$A50,'Argus Drop'!CO:CO)</f>
        <v>0</v>
      </c>
      <c r="CL50" s="440">
        <f>SUMIF('Argus Drop'!$D:$D,$A50,'Argus Drop'!CP:CP)</f>
        <v>0</v>
      </c>
      <c r="CM50" s="440">
        <f>SUMIF('Argus Drop'!$D:$D,$A50,'Argus Drop'!CQ:CQ)</f>
        <v>0</v>
      </c>
      <c r="CN50" s="440">
        <f>SUMIF('Argus Drop'!$D:$D,$A50,'Argus Drop'!CR:CR)</f>
        <v>0</v>
      </c>
      <c r="CO50" s="440">
        <f>SUMIF('Argus Drop'!$D:$D,$A50,'Argus Drop'!CS:CS)</f>
        <v>0</v>
      </c>
      <c r="CP50" s="440">
        <f>SUMIF('Argus Drop'!$D:$D,$A50,'Argus Drop'!CT:CT)</f>
        <v>0</v>
      </c>
      <c r="CQ50" s="440">
        <f>SUMIF('Argus Drop'!$D:$D,$A50,'Argus Drop'!CU:CU)</f>
        <v>0</v>
      </c>
      <c r="CR50" s="440">
        <f>SUMIF('Argus Drop'!$D:$D,$A50,'Argus Drop'!CV:CV)</f>
        <v>0</v>
      </c>
      <c r="CS50" s="440">
        <f>SUMIF('Argus Drop'!$D:$D,$A50,'Argus Drop'!CW:CW)</f>
        <v>0</v>
      </c>
      <c r="CT50" s="440">
        <f>SUMIF('Argus Drop'!$D:$D,$A50,'Argus Drop'!CX:CX)</f>
        <v>0</v>
      </c>
      <c r="CU50" s="440">
        <f>SUMIF('Argus Drop'!$D:$D,$A50,'Argus Drop'!CY:CY)</f>
        <v>0</v>
      </c>
      <c r="CV50" s="440">
        <f>SUMIF('Argus Drop'!$D:$D,$A50,'Argus Drop'!CZ:CZ)</f>
        <v>0</v>
      </c>
      <c r="CW50" s="440">
        <f>SUMIF('Argus Drop'!$D:$D,$A50,'Argus Drop'!DA:DA)</f>
        <v>0</v>
      </c>
      <c r="CX50" s="440">
        <f>SUMIF('Argus Drop'!$D:$D,$A50,'Argus Drop'!DB:DB)</f>
        <v>0</v>
      </c>
      <c r="CY50" s="440">
        <f>SUMIF('Argus Drop'!$D:$D,$A50,'Argus Drop'!DC:DC)</f>
        <v>0</v>
      </c>
      <c r="CZ50" s="440">
        <f>SUMIF('Argus Drop'!$D:$D,$A50,'Argus Drop'!DD:DD)</f>
        <v>0</v>
      </c>
      <c r="DA50" s="440">
        <f>SUMIF('Argus Drop'!$D:$D,$A50,'Argus Drop'!DE:DE)</f>
        <v>0</v>
      </c>
      <c r="DB50" s="440">
        <f>SUMIF('Argus Drop'!$D:$D,$A50,'Argus Drop'!DF:DF)</f>
        <v>0</v>
      </c>
      <c r="DC50" s="440">
        <f>SUMIF('Argus Drop'!$D:$D,$A50,'Argus Drop'!DG:DG)</f>
        <v>0</v>
      </c>
      <c r="DD50" s="440">
        <f>SUMIF('Argus Drop'!$D:$D,$A50,'Argus Drop'!DH:DH)</f>
        <v>0</v>
      </c>
      <c r="DE50" s="440">
        <f>SUMIF('Argus Drop'!$D:$D,$A50,'Argus Drop'!DI:DI)</f>
        <v>0</v>
      </c>
      <c r="DF50" s="440">
        <f>SUMIF('Argus Drop'!$D:$D,$A50,'Argus Drop'!DJ:DJ)</f>
        <v>0</v>
      </c>
      <c r="DG50" s="440">
        <f>SUMIF('Argus Drop'!$D:$D,$A50,'Argus Drop'!DK:DK)</f>
        <v>0</v>
      </c>
      <c r="DH50" s="440">
        <f>SUMIF('Argus Drop'!$D:$D,$A50,'Argus Drop'!DL:DL)</f>
        <v>0</v>
      </c>
      <c r="DI50" s="440">
        <f>SUMIF('Argus Drop'!$D:$D,$A50,'Argus Drop'!DM:DM)</f>
        <v>0</v>
      </c>
      <c r="DJ50" s="440">
        <f>SUMIF('Argus Drop'!$D:$D,$A50,'Argus Drop'!DN:DN)</f>
        <v>0</v>
      </c>
      <c r="DK50" s="440">
        <f>SUMIF('Argus Drop'!$D:$D,$A50,'Argus Drop'!DO:DO)</f>
        <v>0</v>
      </c>
      <c r="DL50" s="440">
        <f>SUMIF('Argus Drop'!$D:$D,$A50,'Argus Drop'!DP:DP)</f>
        <v>0</v>
      </c>
      <c r="DM50" s="440">
        <f>SUMIF('Argus Drop'!$D:$D,$A50,'Argus Drop'!DQ:DQ)</f>
        <v>0</v>
      </c>
      <c r="DN50" s="440">
        <f>SUMIF('Argus Drop'!$D:$D,$A50,'Argus Drop'!DR:DR)</f>
        <v>0</v>
      </c>
      <c r="DO50" s="440">
        <f>SUMIF('Argus Drop'!$D:$D,$A50,'Argus Drop'!DS:DS)</f>
        <v>0</v>
      </c>
      <c r="DP50" s="440">
        <f>SUMIF('Argus Drop'!$D:$D,$A50,'Argus Drop'!DT:DT)</f>
        <v>0</v>
      </c>
      <c r="DQ50" s="440">
        <f>SUMIF('Argus Drop'!$D:$D,$A50,'Argus Drop'!DU:DU)</f>
        <v>0</v>
      </c>
      <c r="DR50" s="440">
        <f>SUMIF('Argus Drop'!$D:$D,$A50,'Argus Drop'!DV:DV)</f>
        <v>0</v>
      </c>
      <c r="DS50" s="440"/>
      <c r="DT50" s="440"/>
      <c r="DU50" s="440"/>
      <c r="DV50" s="440"/>
      <c r="DW50" s="440"/>
      <c r="DX50" s="440"/>
      <c r="DY50" s="440"/>
      <c r="DZ50" s="440"/>
      <c r="EA50" s="440"/>
      <c r="EB50" s="440"/>
      <c r="EC50" s="440"/>
      <c r="ED50" s="1419"/>
      <c r="EE50" s="1419"/>
      <c r="EF50" s="1419"/>
      <c r="EG50" s="1419"/>
      <c r="EH50" s="1419"/>
      <c r="EI50" s="1419"/>
      <c r="EJ50" s="1419"/>
      <c r="EK50" s="1419"/>
      <c r="EL50" s="1419"/>
      <c r="EM50" s="1419"/>
      <c r="EN50" s="1419"/>
      <c r="EO50" s="1419"/>
      <c r="EP50" s="1419"/>
      <c r="EQ50" s="1419"/>
      <c r="ER50" s="1419"/>
      <c r="ES50" s="1419"/>
      <c r="ET50" s="1419"/>
      <c r="EU50" s="1419"/>
      <c r="EV50" s="1419"/>
      <c r="EW50" s="1419"/>
      <c r="EX50" s="1419"/>
      <c r="EY50" s="1419"/>
      <c r="EZ50" s="1419"/>
      <c r="FA50" s="1419"/>
      <c r="FB50" s="1419"/>
      <c r="FC50" s="1419"/>
      <c r="FD50" s="1419"/>
      <c r="FE50" s="1419"/>
      <c r="FF50" s="1419"/>
      <c r="FG50" s="1419"/>
      <c r="FH50" s="1419"/>
      <c r="FI50" s="1419"/>
    </row>
    <row r="51" spans="1:165">
      <c r="A51" s="448">
        <f>IF(+'Argus Drop'!B55="","",'Argus Drop'!B55)</f>
        <v>16</v>
      </c>
      <c r="B51" s="440">
        <f>SUMIF('Argus Drop'!$D:$D,$A51,'Argus Drop'!F:F)</f>
        <v>107245</v>
      </c>
      <c r="C51" s="440">
        <f>SUMIF('Argus Drop'!$D:$D,$A51,'Argus Drop'!G:G)</f>
        <v>134697</v>
      </c>
      <c r="D51" s="440">
        <f>SUMIF('Argus Drop'!$D:$D,$A51,'Argus Drop'!H:H)</f>
        <v>134697</v>
      </c>
      <c r="E51" s="440">
        <f>SUMIF('Argus Drop'!$D:$D,$A51,'Argus Drop'!I:I)</f>
        <v>135093</v>
      </c>
      <c r="F51" s="440">
        <f>SUMIF('Argus Drop'!$D:$D,$A51,'Argus Drop'!J:J)</f>
        <v>135093</v>
      </c>
      <c r="G51" s="440">
        <f>SUMIF('Argus Drop'!$D:$D,$A51,'Argus Drop'!K:K)</f>
        <v>135573</v>
      </c>
      <c r="H51" s="440">
        <f>SUMIF('Argus Drop'!$D:$D,$A51,'Argus Drop'!L:L)</f>
        <v>135573</v>
      </c>
      <c r="I51" s="440">
        <f>SUMIF('Argus Drop'!$D:$D,$A51,'Argus Drop'!M:M)</f>
        <v>55016</v>
      </c>
      <c r="J51" s="440">
        <f>SUMIF('Argus Drop'!$D:$D,$A51,'Argus Drop'!N:N)</f>
        <v>148944</v>
      </c>
      <c r="K51" s="440">
        <f>SUMIF('Argus Drop'!$D:$D,$A51,'Argus Drop'!O:O)</f>
        <v>128977</v>
      </c>
      <c r="L51" s="440">
        <f>SUMIF('Argus Drop'!$D:$D,$A51,'Argus Drop'!P:P)</f>
        <v>-62337</v>
      </c>
      <c r="M51" s="440">
        <f>SUMIF('Argus Drop'!$D:$D,$A51,'Argus Drop'!Q:Q)</f>
        <v>-112170</v>
      </c>
      <c r="N51" s="440">
        <f>SUMIF('Argus Drop'!$D:$D,$A51,'Argus Drop'!R:R)</f>
        <v>152522</v>
      </c>
      <c r="O51" s="440">
        <f>SUMIF('Argus Drop'!$D:$D,$A51,'Argus Drop'!S:S)</f>
        <v>159969</v>
      </c>
      <c r="P51" s="440">
        <f>SUMIF('Argus Drop'!$D:$D,$A51,'Argus Drop'!T:T)</f>
        <v>159969</v>
      </c>
      <c r="Q51" s="440">
        <f>SUMIF('Argus Drop'!$D:$D,$A51,'Argus Drop'!U:U)</f>
        <v>131020</v>
      </c>
      <c r="R51" s="440">
        <f>SUMIF('Argus Drop'!$D:$D,$A51,'Argus Drop'!V:V)</f>
        <v>-17053</v>
      </c>
      <c r="S51" s="440">
        <f>SUMIF('Argus Drop'!$D:$D,$A51,'Argus Drop'!W:W)</f>
        <v>132687</v>
      </c>
      <c r="T51" s="440">
        <f>SUMIF('Argus Drop'!$D:$D,$A51,'Argus Drop'!X:X)</f>
        <v>3169</v>
      </c>
      <c r="U51" s="440">
        <f>SUMIF('Argus Drop'!$D:$D,$A51,'Argus Drop'!Y:Y)</f>
        <v>-1005853</v>
      </c>
      <c r="V51" s="440">
        <f>SUMIF('Argus Drop'!$D:$D,$A51,'Argus Drop'!Z:Z)</f>
        <v>25399</v>
      </c>
      <c r="W51" s="440">
        <f>SUMIF('Argus Drop'!$D:$D,$A51,'Argus Drop'!AA:AA)</f>
        <v>218200</v>
      </c>
      <c r="X51" s="440">
        <f>SUMIF('Argus Drop'!$D:$D,$A51,'Argus Drop'!AB:AB)</f>
        <v>218744</v>
      </c>
      <c r="Y51" s="440">
        <f>SUMIF('Argus Drop'!$D:$D,$A51,'Argus Drop'!AC:AC)</f>
        <v>219625</v>
      </c>
      <c r="Z51" s="440">
        <f>SUMIF('Argus Drop'!$D:$D,$A51,'Argus Drop'!AD:AD)</f>
        <v>220165</v>
      </c>
      <c r="AA51" s="440">
        <f>SUMIF('Argus Drop'!$D:$D,$A51,'Argus Drop'!AE:AE)</f>
        <v>221040</v>
      </c>
      <c r="AB51" s="440">
        <f>SUMIF('Argus Drop'!$D:$D,$A51,'Argus Drop'!AF:AF)</f>
        <v>221623</v>
      </c>
      <c r="AC51" s="440">
        <f>SUMIF('Argus Drop'!$D:$D,$A51,'Argus Drop'!AG:AG)</f>
        <v>222741</v>
      </c>
      <c r="AD51" s="440">
        <f>SUMIF('Argus Drop'!$D:$D,$A51,'Argus Drop'!AH:AH)</f>
        <v>223289</v>
      </c>
      <c r="AE51" s="440">
        <f>SUMIF('Argus Drop'!$D:$D,$A51,'Argus Drop'!AI:AI)</f>
        <v>223289</v>
      </c>
      <c r="AF51" s="440">
        <f>SUMIF('Argus Drop'!$D:$D,$A51,'Argus Drop'!AJ:AJ)</f>
        <v>223772</v>
      </c>
      <c r="AG51" s="440">
        <f>SUMIF('Argus Drop'!$D:$D,$A51,'Argus Drop'!AK:AK)</f>
        <v>213466</v>
      </c>
      <c r="AH51" s="440">
        <f>SUMIF('Argus Drop'!$D:$D,$A51,'Argus Drop'!AL:AL)</f>
        <v>164210</v>
      </c>
      <c r="AI51" s="440">
        <f>SUMIF('Argus Drop'!$D:$D,$A51,'Argus Drop'!AM:AM)</f>
        <v>223679</v>
      </c>
      <c r="AJ51" s="440">
        <f>SUMIF('Argus Drop'!$D:$D,$A51,'Argus Drop'!AN:AN)</f>
        <v>224239</v>
      </c>
      <c r="AK51" s="440">
        <f>SUMIF('Argus Drop'!$D:$D,$A51,'Argus Drop'!AO:AO)</f>
        <v>225139</v>
      </c>
      <c r="AL51" s="440">
        <f>SUMIF('Argus Drop'!$D:$D,$A51,'Argus Drop'!AP:AP)</f>
        <v>225609</v>
      </c>
      <c r="AM51" s="440">
        <f>SUMIF('Argus Drop'!$D:$D,$A51,'Argus Drop'!AQ:AQ)</f>
        <v>226520</v>
      </c>
      <c r="AN51" s="440">
        <f>SUMIF('Argus Drop'!$D:$D,$A51,'Argus Drop'!AR:AR)</f>
        <v>227190</v>
      </c>
      <c r="AO51" s="440">
        <f>SUMIF('Argus Drop'!$D:$D,$A51,'Argus Drop'!AS:AS)</f>
        <v>226650</v>
      </c>
      <c r="AP51" s="440">
        <f>SUMIF('Argus Drop'!$D:$D,$A51,'Argus Drop'!AT:AT)</f>
        <v>227215</v>
      </c>
      <c r="AQ51" s="440">
        <f>SUMIF('Argus Drop'!$D:$D,$A51,'Argus Drop'!AU:AU)</f>
        <v>227215</v>
      </c>
      <c r="AR51" s="440">
        <f>SUMIF('Argus Drop'!$D:$D,$A51,'Argus Drop'!AV:AV)</f>
        <v>227712</v>
      </c>
      <c r="AS51" s="440">
        <f>SUMIF('Argus Drop'!$D:$D,$A51,'Argus Drop'!AW:AW)</f>
        <v>228136</v>
      </c>
      <c r="AT51" s="440">
        <f>SUMIF('Argus Drop'!$D:$D,$A51,'Argus Drop'!AX:AX)</f>
        <v>229166</v>
      </c>
      <c r="AU51" s="440">
        <f>SUMIF('Argus Drop'!$D:$D,$A51,'Argus Drop'!AY:AY)</f>
        <v>229166</v>
      </c>
      <c r="AV51" s="440">
        <f>SUMIF('Argus Drop'!$D:$D,$A51,'Argus Drop'!AZ:AZ)</f>
        <v>229743</v>
      </c>
      <c r="AW51" s="440">
        <f>SUMIF('Argus Drop'!$D:$D,$A51,'Argus Drop'!BA:BA)</f>
        <v>230679</v>
      </c>
      <c r="AX51" s="440">
        <f>SUMIF('Argus Drop'!$D:$D,$A51,'Argus Drop'!BB:BB)</f>
        <v>210224</v>
      </c>
      <c r="AY51" s="440">
        <f>SUMIF('Argus Drop'!$D:$D,$A51,'Argus Drop'!BC:BC)</f>
        <v>39564</v>
      </c>
      <c r="AZ51" s="440">
        <f>SUMIF('Argus Drop'!$D:$D,$A51,'Argus Drop'!BD:BD)</f>
        <v>37365</v>
      </c>
      <c r="BA51" s="440">
        <f>SUMIF('Argus Drop'!$D:$D,$A51,'Argus Drop'!BE:BE)</f>
        <v>232135</v>
      </c>
      <c r="BB51" s="440">
        <f>SUMIF('Argus Drop'!$D:$D,$A51,'Argus Drop'!BF:BF)</f>
        <v>232717</v>
      </c>
      <c r="BC51" s="440">
        <f>SUMIF('Argus Drop'!$D:$D,$A51,'Argus Drop'!BG:BG)</f>
        <v>232717</v>
      </c>
      <c r="BD51" s="440">
        <f>SUMIF('Argus Drop'!$D:$D,$A51,'Argus Drop'!BH:BH)</f>
        <v>233229</v>
      </c>
      <c r="BE51" s="440">
        <f>SUMIF('Argus Drop'!$D:$D,$A51,'Argus Drop'!BI:BI)</f>
        <v>233666</v>
      </c>
      <c r="BF51" s="440">
        <f>SUMIF('Argus Drop'!$D:$D,$A51,'Argus Drop'!BJ:BJ)</f>
        <v>234727</v>
      </c>
      <c r="BG51" s="440">
        <f>SUMIF('Argus Drop'!$D:$D,$A51,'Argus Drop'!BK:BK)</f>
        <v>234727</v>
      </c>
      <c r="BH51" s="440">
        <f>SUMIF('Argus Drop'!$D:$D,$A51,'Argus Drop'!BL:BL)</f>
        <v>235321</v>
      </c>
      <c r="BI51" s="440">
        <f>SUMIF('Argus Drop'!$D:$D,$A51,'Argus Drop'!BM:BM)</f>
        <v>236596</v>
      </c>
      <c r="BJ51" s="440">
        <f>SUMIF('Argus Drop'!$D:$D,$A51,'Argus Drop'!BN:BN)</f>
        <v>216492</v>
      </c>
      <c r="BK51" s="440">
        <f>SUMIF('Argus Drop'!$D:$D,$A51,'Argus Drop'!BO:BO)</f>
        <v>132071</v>
      </c>
      <c r="BL51" s="440">
        <f>SUMIF('Argus Drop'!$D:$D,$A51,'Argus Drop'!BP:BP)</f>
        <v>234320</v>
      </c>
      <c r="BM51" s="440">
        <f>SUMIF('Argus Drop'!$D:$D,$A51,'Argus Drop'!BQ:BQ)</f>
        <v>234965</v>
      </c>
      <c r="BN51" s="440">
        <f>SUMIF('Argus Drop'!$D:$D,$A51,'Argus Drop'!BR:BR)</f>
        <v>235564</v>
      </c>
      <c r="BO51" s="440">
        <f>SUMIF('Argus Drop'!$D:$D,$A51,'Argus Drop'!BS:BS)</f>
        <v>235564</v>
      </c>
      <c r="BP51" s="440">
        <f>SUMIF('Argus Drop'!$D:$D,$A51,'Argus Drop'!BT:BT)</f>
        <v>236091</v>
      </c>
      <c r="BQ51" s="440">
        <f>SUMIF('Argus Drop'!$D:$D,$A51,'Argus Drop'!BU:BU)</f>
        <v>222475</v>
      </c>
      <c r="BR51" s="440">
        <f>SUMIF('Argus Drop'!$D:$D,$A51,'Argus Drop'!BV:BV)</f>
        <v>146035</v>
      </c>
      <c r="BS51" s="440">
        <f>SUMIF('Argus Drop'!$D:$D,$A51,'Argus Drop'!BW:BW)</f>
        <v>102571</v>
      </c>
      <c r="BT51" s="440">
        <f>SUMIF('Argus Drop'!$D:$D,$A51,'Argus Drop'!BX:BX)</f>
        <v>202784</v>
      </c>
      <c r="BU51" s="440">
        <f>SUMIF('Argus Drop'!$D:$D,$A51,'Argus Drop'!BY:BY)</f>
        <v>6301</v>
      </c>
      <c r="BV51" s="440">
        <f>SUMIF('Argus Drop'!$D:$D,$A51,'Argus Drop'!BZ:BZ)</f>
        <v>-40663</v>
      </c>
      <c r="BW51" s="440">
        <f>SUMIF('Argus Drop'!$D:$D,$A51,'Argus Drop'!CA:CA)</f>
        <v>229036</v>
      </c>
      <c r="BX51" s="440">
        <f>SUMIF('Argus Drop'!$D:$D,$A51,'Argus Drop'!CB:CB)</f>
        <v>229662</v>
      </c>
      <c r="BY51" s="440">
        <f>SUMIF('Argus Drop'!$D:$D,$A51,'Argus Drop'!CC:CC)</f>
        <v>229950</v>
      </c>
      <c r="BZ51" s="440">
        <f>SUMIF('Argus Drop'!$D:$D,$A51,'Argus Drop'!CD:CD)</f>
        <v>198348</v>
      </c>
      <c r="CA51" s="440">
        <f>SUMIF('Argus Drop'!$D:$D,$A51,'Argus Drop'!CE:CE)</f>
        <v>52536</v>
      </c>
      <c r="CB51" s="440">
        <f>SUMIF('Argus Drop'!$D:$D,$A51,'Argus Drop'!CF:CF)</f>
        <v>199843</v>
      </c>
      <c r="CC51" s="440">
        <f>SUMIF('Argus Drop'!$D:$D,$A51,'Argus Drop'!CG:CG)</f>
        <v>71739</v>
      </c>
      <c r="CD51" s="440">
        <f>SUMIF('Argus Drop'!$D:$D,$A51,'Argus Drop'!CH:CH)</f>
        <v>163732</v>
      </c>
      <c r="CE51" s="440">
        <f>SUMIF('Argus Drop'!$D:$D,$A51,'Argus Drop'!CI:CI)</f>
        <v>77095</v>
      </c>
      <c r="CF51" s="440">
        <f>SUMIF('Argus Drop'!$D:$D,$A51,'Argus Drop'!CJ:CJ)</f>
        <v>82759</v>
      </c>
      <c r="CG51" s="440">
        <f>SUMIF('Argus Drop'!$D:$D,$A51,'Argus Drop'!CK:CK)</f>
        <v>217124</v>
      </c>
      <c r="CH51" s="440">
        <f>SUMIF('Argus Drop'!$D:$D,$A51,'Argus Drop'!CL:CL)</f>
        <v>218067</v>
      </c>
      <c r="CI51" s="440">
        <f>SUMIF('Argus Drop'!$D:$D,$A51,'Argus Drop'!CM:CM)</f>
        <v>218863</v>
      </c>
      <c r="CJ51" s="440">
        <f>SUMIF('Argus Drop'!$D:$D,$A51,'Argus Drop'!CN:CN)</f>
        <v>219508</v>
      </c>
      <c r="CK51" s="440">
        <f>SUMIF('Argus Drop'!$D:$D,$A51,'Argus Drop'!CO:CO)</f>
        <v>220359</v>
      </c>
      <c r="CL51" s="440">
        <f>SUMIF('Argus Drop'!$D:$D,$A51,'Argus Drop'!CP:CP)</f>
        <v>220359</v>
      </c>
      <c r="CM51" s="440">
        <f>SUMIF('Argus Drop'!$D:$D,$A51,'Argus Drop'!CQ:CQ)</f>
        <v>220907</v>
      </c>
      <c r="CN51" s="440">
        <f>SUMIF('Argus Drop'!$D:$D,$A51,'Argus Drop'!CR:CR)</f>
        <v>220907</v>
      </c>
      <c r="CO51" s="440">
        <f>SUMIF('Argus Drop'!$D:$D,$A51,'Argus Drop'!CS:CS)</f>
        <v>221617</v>
      </c>
      <c r="CP51" s="440">
        <f>SUMIF('Argus Drop'!$D:$D,$A51,'Argus Drop'!CT:CT)</f>
        <v>211392</v>
      </c>
      <c r="CQ51" s="440">
        <f>SUMIF('Argus Drop'!$D:$D,$A51,'Argus Drop'!CU:CU)</f>
        <v>162454</v>
      </c>
      <c r="CR51" s="440">
        <f>SUMIF('Argus Drop'!$D:$D,$A51,'Argus Drop'!CV:CV)</f>
        <v>222273</v>
      </c>
      <c r="CS51" s="440">
        <f>SUMIF('Argus Drop'!$D:$D,$A51,'Argus Drop'!CW:CW)</f>
        <v>222833</v>
      </c>
      <c r="CT51" s="440">
        <f>SUMIF('Argus Drop'!$D:$D,$A51,'Argus Drop'!CX:CX)</f>
        <v>223444</v>
      </c>
      <c r="CU51" s="440">
        <f>SUMIF('Argus Drop'!$D:$D,$A51,'Argus Drop'!CY:CY)</f>
        <v>224265</v>
      </c>
      <c r="CV51" s="440">
        <f>SUMIF('Argus Drop'!$D:$D,$A51,'Argus Drop'!CZ:CZ)</f>
        <v>225621</v>
      </c>
      <c r="CW51" s="440">
        <f>SUMIF('Argus Drop'!$D:$D,$A51,'Argus Drop'!DA:DA)</f>
        <v>226475</v>
      </c>
      <c r="CX51" s="440">
        <f>SUMIF('Argus Drop'!$D:$D,$A51,'Argus Drop'!DB:DB)</f>
        <v>226475</v>
      </c>
      <c r="CY51" s="440">
        <f>SUMIF('Argus Drop'!$D:$D,$A51,'Argus Drop'!DC:DC)</f>
        <v>227040</v>
      </c>
      <c r="CZ51" s="440">
        <f>SUMIF('Argus Drop'!$D:$D,$A51,'Argus Drop'!DD:DD)</f>
        <v>227040</v>
      </c>
      <c r="DA51" s="440">
        <f>SUMIF('Argus Drop'!$D:$D,$A51,'Argus Drop'!DE:DE)</f>
        <v>227771</v>
      </c>
      <c r="DB51" s="440">
        <f>SUMIF('Argus Drop'!$D:$D,$A51,'Argus Drop'!DF:DF)</f>
        <v>228089</v>
      </c>
      <c r="DC51" s="440">
        <f>SUMIF('Argus Drop'!$D:$D,$A51,'Argus Drop'!DG:DG)</f>
        <v>229005</v>
      </c>
      <c r="DD51" s="440">
        <f>SUMIF('Argus Drop'!$D:$D,$A51,'Argus Drop'!DH:DH)</f>
        <v>229364</v>
      </c>
      <c r="DE51" s="440">
        <f>SUMIF('Argus Drop'!$D:$D,$A51,'Argus Drop'!DI:DI)</f>
        <v>229941</v>
      </c>
      <c r="DF51" s="440">
        <f>SUMIF('Argus Drop'!$D:$D,$A51,'Argus Drop'!DJ:DJ)</f>
        <v>230819</v>
      </c>
      <c r="DG51" s="440">
        <f>SUMIF('Argus Drop'!$D:$D,$A51,'Argus Drop'!DK:DK)</f>
        <v>202451</v>
      </c>
      <c r="DH51" s="440">
        <f>SUMIF('Argus Drop'!$D:$D,$A51,'Argus Drop'!DL:DL)</f>
        <v>33284</v>
      </c>
      <c r="DI51" s="440">
        <f>SUMIF('Argus Drop'!$D:$D,$A51,'Argus Drop'!DM:DM)</f>
        <v>32305</v>
      </c>
      <c r="DJ51" s="440">
        <f>SUMIF('Argus Drop'!$D:$D,$A51,'Argus Drop'!DN:DN)</f>
        <v>226181</v>
      </c>
      <c r="DK51" s="440">
        <f>SUMIF('Argus Drop'!$D:$D,$A51,'Argus Drop'!DO:DO)</f>
        <v>226763</v>
      </c>
      <c r="DL51" s="440">
        <f>SUMIF('Argus Drop'!$D:$D,$A51,'Argus Drop'!DP:DP)</f>
        <v>226763</v>
      </c>
      <c r="DM51" s="440">
        <f>SUMIF('Argus Drop'!$D:$D,$A51,'Argus Drop'!DQ:DQ)</f>
        <v>227516</v>
      </c>
      <c r="DN51" s="440">
        <f>SUMIF('Argus Drop'!$D:$D,$A51,'Argus Drop'!DR:DR)</f>
        <v>227843</v>
      </c>
      <c r="DO51" s="440">
        <f>SUMIF('Argus Drop'!$D:$D,$A51,'Argus Drop'!DS:DS)</f>
        <v>228786</v>
      </c>
      <c r="DP51" s="440">
        <f>SUMIF('Argus Drop'!$D:$D,$A51,'Argus Drop'!DT:DT)</f>
        <v>229157</v>
      </c>
      <c r="DQ51" s="440">
        <f>SUMIF('Argus Drop'!$D:$D,$A51,'Argus Drop'!DU:DU)</f>
        <v>223736</v>
      </c>
      <c r="DR51" s="440">
        <f>SUMIF('Argus Drop'!$D:$D,$A51,'Argus Drop'!DV:DV)</f>
        <v>198128</v>
      </c>
      <c r="DS51" s="440"/>
      <c r="DT51" s="440"/>
      <c r="DU51" s="440"/>
      <c r="DV51" s="440"/>
      <c r="DW51" s="440"/>
      <c r="DX51" s="440"/>
      <c r="DY51" s="440"/>
      <c r="DZ51" s="440"/>
      <c r="EA51" s="440"/>
      <c r="EB51" s="440"/>
      <c r="EC51" s="440"/>
      <c r="ED51" s="1419"/>
      <c r="EE51" s="1419"/>
      <c r="EF51" s="1419"/>
      <c r="EG51" s="1419"/>
      <c r="EH51" s="1419"/>
      <c r="EI51" s="1419"/>
      <c r="EJ51" s="1419"/>
      <c r="EK51" s="1419"/>
      <c r="EL51" s="1419"/>
      <c r="EM51" s="1419"/>
      <c r="EN51" s="1419"/>
      <c r="EO51" s="1419"/>
      <c r="EP51" s="1419"/>
      <c r="EQ51" s="1419"/>
      <c r="ER51" s="1419"/>
      <c r="ES51" s="1419"/>
      <c r="ET51" s="1419"/>
      <c r="EU51" s="1419"/>
      <c r="EV51" s="1419"/>
      <c r="EW51" s="1419"/>
      <c r="EX51" s="1419"/>
      <c r="EY51" s="1419"/>
      <c r="EZ51" s="1419"/>
      <c r="FA51" s="1419"/>
      <c r="FB51" s="1419"/>
      <c r="FC51" s="1419"/>
      <c r="FD51" s="1419"/>
      <c r="FE51" s="1419"/>
      <c r="FF51" s="1419"/>
      <c r="FG51" s="1419"/>
      <c r="FH51" s="1419"/>
      <c r="FI51" s="1419"/>
    </row>
    <row r="52" spans="1:165">
      <c r="A52" s="448" t="str">
        <f>IF(+'Argus Drop'!B56="","",'Argus Drop'!B56)</f>
        <v/>
      </c>
      <c r="B52" s="440" t="str">
        <f>IF(A52="","",+SUMIF('Argus Drop'!$D$7:$D$64,$A52,'Argus Drop'!#REF!))</f>
        <v/>
      </c>
      <c r="C52" s="440" t="str">
        <f>IF(B52="","",+SUMIF('Argus Drop'!$D$7:$D$64,$A52,'Argus Drop'!#REF!))</f>
        <v/>
      </c>
      <c r="D52" s="440" t="str">
        <f>IF(C52="","",+SUMIF('Argus Drop'!$D$7:$D$64,$A52,'Argus Drop'!#REF!))</f>
        <v/>
      </c>
      <c r="E52" s="440" t="str">
        <f>IF(D52="","",+SUMIF('Argus Drop'!$D$7:$D$64,$A52,'Argus Drop'!#REF!))</f>
        <v/>
      </c>
      <c r="F52" s="440" t="str">
        <f>IF(E52="","",+SUMIF('Argus Drop'!$D$7:$D$64,$A52,'Argus Drop'!#REF!))</f>
        <v/>
      </c>
      <c r="G52" s="440" t="str">
        <f>IF(F52="","",+SUMIF('Argus Drop'!$D$7:$D$64,$A52,'Argus Drop'!#REF!))</f>
        <v/>
      </c>
      <c r="H52" s="440" t="str">
        <f>IF(G52="","",+SUMIF('Argus Drop'!$D$7:$D$64,$A52,'Argus Drop'!#REF!))</f>
        <v/>
      </c>
      <c r="I52" s="440" t="str">
        <f>IF(H52="","",+SUMIF('Argus Drop'!$D$7:$D$64,$A52,'Argus Drop'!#REF!))</f>
        <v/>
      </c>
      <c r="J52" s="440" t="str">
        <f>IF(I52="","",+SUMIF('Argus Drop'!$D$7:$D$64,$A52,'Argus Drop'!#REF!))</f>
        <v/>
      </c>
      <c r="K52" s="440" t="str">
        <f>IF(J52="","",+SUMIF('Argus Drop'!$D$7:$D$64,$A52,'Argus Drop'!#REF!))</f>
        <v/>
      </c>
      <c r="L52" s="440" t="str">
        <f>IF(K52="","",+SUMIF('Argus Drop'!$D$7:$D$64,$A52,'Argus Drop'!#REF!))</f>
        <v/>
      </c>
      <c r="M52" s="440" t="str">
        <f>IF(L52="","",+SUMIF('Argus Drop'!$D$7:$D$64,$A52,'Argus Drop'!#REF!))</f>
        <v/>
      </c>
      <c r="N52" s="440" t="str">
        <f>IF(M52="","",+SUMIF('Argus Drop'!$D$7:$D$64,$A52,'Argus Drop'!#REF!))</f>
        <v/>
      </c>
      <c r="O52" s="440" t="str">
        <f>IF(N52="","",+SUMIF('Argus Drop'!$D$7:$D$64,$A52,'Argus Drop'!#REF!))</f>
        <v/>
      </c>
      <c r="P52" s="440" t="str">
        <f>IF(O52="","",+SUMIF('Argus Drop'!$D$7:$D$64,$A52,'Argus Drop'!#REF!))</f>
        <v/>
      </c>
      <c r="Q52" s="440" t="str">
        <f>IF(P52="","",+SUMIF('Argus Drop'!$D$7:$D$64,$A52,'Argus Drop'!#REF!))</f>
        <v/>
      </c>
      <c r="R52" s="440" t="str">
        <f>IF(Q52="","",+SUMIF('Argus Drop'!$D$7:$D$64,$A52,'Argus Drop'!#REF!))</f>
        <v/>
      </c>
      <c r="S52" s="440" t="str">
        <f>IF(R52="","",+SUMIF('Argus Drop'!$D$7:$D$64,$A52,'Argus Drop'!#REF!))</f>
        <v/>
      </c>
      <c r="T52" s="440" t="str">
        <f>IF(S52="","",+SUMIF('Argus Drop'!$D$7:$D$64,$A52,'Argus Drop'!#REF!))</f>
        <v/>
      </c>
      <c r="U52" s="440" t="str">
        <f>IF(T52="","",+SUMIF('Argus Drop'!$D$7:$D$64,$A52,'Argus Drop'!#REF!))</f>
        <v/>
      </c>
      <c r="V52" s="440" t="str">
        <f>IF(U52="","",+SUMIF('Argus Drop'!$D$7:$D$64,$A52,'Argus Drop'!#REF!))</f>
        <v/>
      </c>
      <c r="W52" s="440" t="str">
        <f>IF(V52="","",+SUMIF('Argus Drop'!$D$7:$D$64,$A52,'Argus Drop'!#REF!))</f>
        <v/>
      </c>
      <c r="X52" s="440" t="str">
        <f>IF(W52="","",+SUMIF('Argus Drop'!$D$7:$D$64,$A52,'Argus Drop'!#REF!))</f>
        <v/>
      </c>
      <c r="Y52" s="440" t="str">
        <f>IF(X52="","",+SUMIF('Argus Drop'!$D$7:$D$64,$A52,'Argus Drop'!#REF!))</f>
        <v/>
      </c>
      <c r="Z52" s="440" t="str">
        <f>IF(Y52="","",+SUMIF('Argus Drop'!$D$7:$D$64,$A52,'Argus Drop'!#REF!))</f>
        <v/>
      </c>
      <c r="AA52" s="440" t="str">
        <f>IF(Z52="","",+SUMIF('Argus Drop'!$D$7:$D$64,$A52,'Argus Drop'!#REF!))</f>
        <v/>
      </c>
      <c r="AB52" s="440" t="str">
        <f>IF(AA52="","",+SUMIF('Argus Drop'!$D$7:$D$64,$A52,'Argus Drop'!#REF!))</f>
        <v/>
      </c>
      <c r="AC52" s="440" t="str">
        <f>IF(AB52="","",+SUMIF('Argus Drop'!$D$7:$D$64,$A52,'Argus Drop'!#REF!))</f>
        <v/>
      </c>
      <c r="AD52" s="440" t="str">
        <f>IF(AC52="","",+SUMIF('Argus Drop'!$D$7:$D$64,$A52,'Argus Drop'!#REF!))</f>
        <v/>
      </c>
      <c r="AE52" s="440" t="str">
        <f>IF(AD52="","",+SUMIF('Argus Drop'!$D$7:$D$64,$A52,'Argus Drop'!#REF!))</f>
        <v/>
      </c>
      <c r="AF52" s="440" t="str">
        <f>IF(AE52="","",+SUMIF('Argus Drop'!$D$7:$D$64,$A52,'Argus Drop'!#REF!))</f>
        <v/>
      </c>
      <c r="AG52" s="440" t="str">
        <f>IF(AF52="","",+SUMIF('Argus Drop'!$D$7:$D$64,$A52,'Argus Drop'!#REF!))</f>
        <v/>
      </c>
      <c r="AH52" s="440" t="str">
        <f>IF(AG52="","",+SUMIF('Argus Drop'!$D$7:$D$64,$A52,'Argus Drop'!#REF!))</f>
        <v/>
      </c>
      <c r="AI52" s="440" t="str">
        <f>IF(AH52="","",+SUMIF('Argus Drop'!$D$7:$D$64,$A52,'Argus Drop'!#REF!))</f>
        <v/>
      </c>
      <c r="AJ52" s="440" t="str">
        <f>IF(AI52="","",+SUMIF('Argus Drop'!$D$7:$D$64,$A52,'Argus Drop'!#REF!))</f>
        <v/>
      </c>
      <c r="AK52" s="440" t="str">
        <f>IF(AJ52="","",+SUMIF('Argus Drop'!$D$7:$D$64,$A52,'Argus Drop'!#REF!))</f>
        <v/>
      </c>
      <c r="AL52" s="440" t="str">
        <f>IF(AK52="","",+SUMIF('Argus Drop'!$D$7:$D$64,$A52,'Argus Drop'!#REF!))</f>
        <v/>
      </c>
      <c r="AM52" s="440" t="str">
        <f>IF(AL52="","",+SUMIF('Argus Drop'!$D$7:$D$64,$A52,'Argus Drop'!#REF!))</f>
        <v/>
      </c>
      <c r="AN52" s="440" t="str">
        <f>IF(AM52="","",+SUMIF('Argus Drop'!$D$7:$D$64,$A52,'Argus Drop'!#REF!))</f>
        <v/>
      </c>
      <c r="AO52" s="440" t="str">
        <f>IF(AN52="","",+SUMIF('Argus Drop'!$D$7:$D$64,$A52,'Argus Drop'!#REF!))</f>
        <v/>
      </c>
      <c r="AP52" s="440" t="str">
        <f>IF(AO52="","",+SUMIF('Argus Drop'!$D$7:$D$64,$A52,'Argus Drop'!#REF!))</f>
        <v/>
      </c>
      <c r="AQ52" s="440" t="str">
        <f>IF(AP52="","",+SUMIF('Argus Drop'!$D$7:$D$64,$A52,'Argus Drop'!#REF!))</f>
        <v/>
      </c>
      <c r="AR52" s="440" t="str">
        <f>IF(AQ52="","",+SUMIF('Argus Drop'!$D$7:$D$64,$A52,'Argus Drop'!#REF!))</f>
        <v/>
      </c>
      <c r="AS52" s="440" t="str">
        <f>IF(AR52="","",+SUMIF('Argus Drop'!$D$7:$D$64,$A52,'Argus Drop'!#REF!))</f>
        <v/>
      </c>
      <c r="AT52" s="440" t="str">
        <f>IF(AS52="","",+SUMIF('Argus Drop'!$D$7:$D$64,$A52,'Argus Drop'!#REF!))</f>
        <v/>
      </c>
      <c r="AU52" s="440" t="str">
        <f>IF(AT52="","",+SUMIF('Argus Drop'!$D$7:$D$64,$A52,'Argus Drop'!#REF!))</f>
        <v/>
      </c>
      <c r="AV52" s="440" t="str">
        <f>IF(AU52="","",+SUMIF('Argus Drop'!$D$7:$D$64,$A52,'Argus Drop'!#REF!))</f>
        <v/>
      </c>
      <c r="AW52" s="440" t="str">
        <f>IF(AV52="","",+SUMIF('Argus Drop'!$D$7:$D$64,$A52,'Argus Drop'!#REF!))</f>
        <v/>
      </c>
      <c r="AX52" s="440" t="str">
        <f>IF(AW52="","",+SUMIF('Argus Drop'!$D$7:$D$64,$A52,'Argus Drop'!#REF!))</f>
        <v/>
      </c>
      <c r="AY52" s="440" t="str">
        <f>IF(AX52="","",+SUMIF('Argus Drop'!$D$7:$D$64,$A52,'Argus Drop'!#REF!))</f>
        <v/>
      </c>
      <c r="AZ52" s="440" t="str">
        <f>IF(AY52="","",+SUMIF('Argus Drop'!$D$7:$D$64,$A52,'Argus Drop'!#REF!))</f>
        <v/>
      </c>
      <c r="BA52" s="440" t="str">
        <f>IF(AZ52="","",+SUMIF('Argus Drop'!$D$7:$D$64,$A52,'Argus Drop'!#REF!))</f>
        <v/>
      </c>
      <c r="BB52" s="440" t="str">
        <f>IF(BA52="","",+SUMIF('Argus Drop'!$D$7:$D$64,$A52,'Argus Drop'!#REF!))</f>
        <v/>
      </c>
      <c r="BC52" s="440" t="str">
        <f>IF(BB52="","",+SUMIF('Argus Drop'!$D$7:$D$64,$A52,'Argus Drop'!#REF!))</f>
        <v/>
      </c>
      <c r="BD52" s="440" t="str">
        <f>IF(BC52="","",+SUMIF('Argus Drop'!$D$7:$D$64,$A52,'Argus Drop'!#REF!))</f>
        <v/>
      </c>
      <c r="BE52" s="440" t="str">
        <f>IF(BD52="","",+SUMIF('Argus Drop'!$D$7:$D$64,$A52,'Argus Drop'!#REF!))</f>
        <v/>
      </c>
      <c r="BF52" s="440" t="str">
        <f>IF(BE52="","",+SUMIF('Argus Drop'!$D$7:$D$64,$A52,'Argus Drop'!#REF!))</f>
        <v/>
      </c>
      <c r="BG52" s="440" t="str">
        <f>IF(BF52="","",+SUMIF('Argus Drop'!$D$7:$D$64,$A52,'Argus Drop'!#REF!))</f>
        <v/>
      </c>
      <c r="BH52" s="440" t="str">
        <f>IF(BG52="","",+SUMIF('Argus Drop'!$D$7:$D$64,$A52,'Argus Drop'!#REF!))</f>
        <v/>
      </c>
      <c r="BI52" s="440" t="str">
        <f>IF(BH52="","",+SUMIF('Argus Drop'!$D$7:$D$64,$A52,'Argus Drop'!#REF!))</f>
        <v/>
      </c>
      <c r="BJ52" s="440" t="str">
        <f>IF(BI52="","",+SUMIF('Argus Drop'!$D$7:$D$64,$A52,'Argus Drop'!#REF!))</f>
        <v/>
      </c>
      <c r="BK52" s="440" t="str">
        <f>IF(BJ52="","",+SUMIF('Argus Drop'!$D$7:$D$64,$A52,'Argus Drop'!#REF!))</f>
        <v/>
      </c>
      <c r="BL52" s="440" t="str">
        <f>IF(BK52="","",+SUMIF('Argus Drop'!$D$7:$D$64,$A52,'Argus Drop'!#REF!))</f>
        <v/>
      </c>
      <c r="BM52" s="440" t="str">
        <f>IF(BL52="","",+SUMIF('Argus Drop'!$D$7:$D$64,$A52,'Argus Drop'!#REF!))</f>
        <v/>
      </c>
      <c r="BN52" s="440" t="str">
        <f>IF(BM52="","",+SUMIF('Argus Drop'!$D$7:$D$64,$A52,'Argus Drop'!#REF!))</f>
        <v/>
      </c>
      <c r="BO52" s="440" t="str">
        <f>IF(BN52="","",+SUMIF('Argus Drop'!$D$7:$D$64,$A52,'Argus Drop'!#REF!))</f>
        <v/>
      </c>
      <c r="BP52" s="440" t="str">
        <f>IF(BO52="","",+SUMIF('Argus Drop'!$D$7:$D$64,$A52,'Argus Drop'!#REF!))</f>
        <v/>
      </c>
      <c r="BQ52" s="440" t="str">
        <f>IF(BP52="","",+SUMIF('Argus Drop'!$D$7:$D$64,$A52,'Argus Drop'!#REF!))</f>
        <v/>
      </c>
      <c r="BR52" s="440" t="str">
        <f>IF(BQ52="","",+SUMIF('Argus Drop'!$D$7:$D$64,$A52,'Argus Drop'!#REF!))</f>
        <v/>
      </c>
      <c r="BS52" s="440" t="str">
        <f>IF(BR52="","",+SUMIF('Argus Drop'!$D$7:$D$64,$A52,'Argus Drop'!#REF!))</f>
        <v/>
      </c>
      <c r="BT52" s="440" t="str">
        <f>IF(BS52="","",+SUMIF('Argus Drop'!$D$7:$D$64,$A52,'Argus Drop'!#REF!))</f>
        <v/>
      </c>
      <c r="BU52" s="440" t="str">
        <f>IF(BT52="","",+SUMIF('Argus Drop'!$D$7:$D$64,$A52,'Argus Drop'!#REF!))</f>
        <v/>
      </c>
      <c r="BV52" s="440" t="str">
        <f>IF(BU52="","",+SUMIF('Argus Drop'!$D$7:$D$64,$A52,'Argus Drop'!#REF!))</f>
        <v/>
      </c>
      <c r="BW52" s="440" t="str">
        <f>IF(BV52="","",+SUMIF('Argus Drop'!$D$7:$D$64,$A52,'Argus Drop'!#REF!))</f>
        <v/>
      </c>
      <c r="BX52" s="440" t="str">
        <f>IF(BW52="","",+SUMIF('Argus Drop'!$D$7:$D$64,$A52,'Argus Drop'!#REF!))</f>
        <v/>
      </c>
      <c r="BY52" s="440" t="str">
        <f>IF(BX52="","",+SUMIF('Argus Drop'!$D$7:$D$64,$A52,'Argus Drop'!#REF!))</f>
        <v/>
      </c>
      <c r="BZ52" s="440" t="str">
        <f>IF(BY52="","",+SUMIF('Argus Drop'!$D$7:$D$64,$A52,'Argus Drop'!#REF!))</f>
        <v/>
      </c>
      <c r="CA52" s="440" t="str">
        <f>IF(BZ52="","",+SUMIF('Argus Drop'!$D$7:$D$64,$A52,'Argus Drop'!#REF!))</f>
        <v/>
      </c>
      <c r="CB52" s="440" t="str">
        <f>IF(CA52="","",+SUMIF('Argus Drop'!$D$7:$D$64,$A52,'Argus Drop'!#REF!))</f>
        <v/>
      </c>
      <c r="CC52" s="440" t="str">
        <f>IF(CB52="","",+SUMIF('Argus Drop'!$D$7:$D$64,$A52,'Argus Drop'!#REF!))</f>
        <v/>
      </c>
      <c r="CD52" s="440" t="str">
        <f>IF(CC52="","",+SUMIF('Argus Drop'!$D$7:$D$64,$A52,'Argus Drop'!#REF!))</f>
        <v/>
      </c>
      <c r="CE52" s="440" t="str">
        <f>IF(CD52="","",+SUMIF('Argus Drop'!$D$7:$D$64,$A52,'Argus Drop'!#REF!))</f>
        <v/>
      </c>
      <c r="CF52" s="440" t="str">
        <f>IF(CE52="","",+SUMIF('Argus Drop'!$D$7:$D$64,$A52,'Argus Drop'!#REF!))</f>
        <v/>
      </c>
      <c r="CG52" s="440" t="str">
        <f>IF(CF52="","",+SUMIF('Argus Drop'!$D$7:$D$64,$A52,'Argus Drop'!#REF!))</f>
        <v/>
      </c>
      <c r="CH52" s="440" t="str">
        <f>IF(CG52="","",+SUMIF('Argus Drop'!$D$7:$D$64,$A52,'Argus Drop'!#REF!))</f>
        <v/>
      </c>
      <c r="CI52" s="440" t="str">
        <f>IF(CH52="","",+SUMIF('Argus Drop'!$D$7:$D$64,$A52,'Argus Drop'!#REF!))</f>
        <v/>
      </c>
      <c r="CJ52" s="440" t="str">
        <f>IF(CI52="","",+SUMIF('Argus Drop'!$D$7:$D$64,$A52,'Argus Drop'!#REF!))</f>
        <v/>
      </c>
      <c r="CK52" s="440" t="str">
        <f>IF(CJ52="","",+SUMIF('Argus Drop'!$D$7:$D$64,$A52,'Argus Drop'!#REF!))</f>
        <v/>
      </c>
      <c r="CL52" s="440" t="str">
        <f>IF(CK52="","",+SUMIF('Argus Drop'!$D$7:$D$64,$A52,'Argus Drop'!#REF!))</f>
        <v/>
      </c>
      <c r="CM52" s="440" t="str">
        <f>IF(CL52="","",+SUMIF('Argus Drop'!$D$7:$D$64,$A52,'Argus Drop'!#REF!))</f>
        <v/>
      </c>
      <c r="CN52" s="440" t="str">
        <f>IF(CM52="","",+SUMIF('Argus Drop'!$D$7:$D$64,$A52,'Argus Drop'!#REF!))</f>
        <v/>
      </c>
      <c r="CO52" s="440" t="str">
        <f>IF(CN52="","",+SUMIF('Argus Drop'!$D$7:$D$64,$A52,'Argus Drop'!#REF!))</f>
        <v/>
      </c>
      <c r="CP52" s="440" t="str">
        <f>IF(CO52="","",+SUMIF('Argus Drop'!$D$7:$D$64,$A52,'Argus Drop'!#REF!))</f>
        <v/>
      </c>
      <c r="CQ52" s="440" t="str">
        <f>IF(CP52="","",+SUMIF('Argus Drop'!$D$7:$D$64,$A52,'Argus Drop'!#REF!))</f>
        <v/>
      </c>
      <c r="CR52" s="440" t="str">
        <f>IF(CQ52="","",+SUMIF('Argus Drop'!$D$7:$D$64,$A52,'Argus Drop'!#REF!))</f>
        <v/>
      </c>
      <c r="CS52" s="440" t="str">
        <f>IF(CR52="","",+SUMIF('Argus Drop'!$D$7:$D$64,$A52,'Argus Drop'!#REF!))</f>
        <v/>
      </c>
      <c r="CT52" s="440" t="str">
        <f>IF(CS52="","",+SUMIF('Argus Drop'!$D$7:$D$64,$A52,'Argus Drop'!#REF!))</f>
        <v/>
      </c>
      <c r="CU52" s="440" t="str">
        <f>IF(CT52="","",+SUMIF('Argus Drop'!$D$7:$D$64,$A52,'Argus Drop'!#REF!))</f>
        <v/>
      </c>
      <c r="CV52" s="440" t="str">
        <f>IF(CU52="","",+SUMIF('Argus Drop'!$D$7:$D$64,$A52,'Argus Drop'!#REF!))</f>
        <v/>
      </c>
      <c r="CW52" s="440" t="str">
        <f>IF(CV52="","",+SUMIF('Argus Drop'!$D$7:$D$64,$A52,'Argus Drop'!#REF!))</f>
        <v/>
      </c>
      <c r="CX52" s="440" t="str">
        <f>IF(CW52="","",+SUMIF('Argus Drop'!$D$7:$D$64,$A52,'Argus Drop'!#REF!))</f>
        <v/>
      </c>
      <c r="CY52" s="440" t="str">
        <f>IF(CX52="","",+SUMIF('Argus Drop'!$D$7:$D$64,$A52,'Argus Drop'!#REF!))</f>
        <v/>
      </c>
      <c r="CZ52" s="440" t="str">
        <f>IF(CY52="","",+SUMIF('Argus Drop'!$D$7:$D$64,$A52,'Argus Drop'!#REF!))</f>
        <v/>
      </c>
      <c r="DA52" s="440" t="str">
        <f>IF(CZ52="","",+SUMIF('Argus Drop'!$D$7:$D$64,$A52,'Argus Drop'!#REF!))</f>
        <v/>
      </c>
      <c r="DB52" s="440" t="str">
        <f>IF(DA52="","",+SUMIF('Argus Drop'!$D$7:$D$64,$A52,'Argus Drop'!#REF!))</f>
        <v/>
      </c>
      <c r="DC52" s="440" t="str">
        <f>IF(DB52="","",+SUMIF('Argus Drop'!$D$7:$D$64,$A52,'Argus Drop'!#REF!))</f>
        <v/>
      </c>
      <c r="DD52" s="440" t="str">
        <f>IF(DC52="","",+SUMIF('Argus Drop'!$D$7:$D$64,$A52,'Argus Drop'!#REF!))</f>
        <v/>
      </c>
      <c r="DE52" s="440" t="str">
        <f>IF(DD52="","",+SUMIF('Argus Drop'!$D$7:$D$64,$A52,'Argus Drop'!#REF!))</f>
        <v/>
      </c>
      <c r="DF52" s="440" t="str">
        <f>IF(DE52="","",+SUMIF('Argus Drop'!$D$7:$D$64,$A52,'Argus Drop'!#REF!))</f>
        <v/>
      </c>
      <c r="DG52" s="440" t="str">
        <f>IF(DF52="","",+SUMIF('Argus Drop'!$D$7:$D$64,$A52,'Argus Drop'!#REF!))</f>
        <v/>
      </c>
      <c r="DH52" s="440" t="str">
        <f>IF(DG52="","",+SUMIF('Argus Drop'!$D$7:$D$64,$A52,'Argus Drop'!#REF!))</f>
        <v/>
      </c>
      <c r="DI52" s="440" t="str">
        <f>IF(DH52="","",+SUMIF('Argus Drop'!$D$7:$D$64,$A52,'Argus Drop'!#REF!))</f>
        <v/>
      </c>
      <c r="DJ52" s="440" t="str">
        <f>IF(DI52="","",+SUMIF('Argus Drop'!$D$7:$D$64,$A52,'Argus Drop'!#REF!))</f>
        <v/>
      </c>
      <c r="DK52" s="440" t="str">
        <f>IF(DJ52="","",+SUMIF('Argus Drop'!$D$7:$D$64,$A52,'Argus Drop'!#REF!))</f>
        <v/>
      </c>
      <c r="DL52" s="440" t="str">
        <f>IF(DK52="","",+SUMIF('Argus Drop'!$D$7:$D$64,$A52,'Argus Drop'!#REF!))</f>
        <v/>
      </c>
      <c r="DM52" s="440" t="str">
        <f>IF(DL52="","",+SUMIF('Argus Drop'!$D$7:$D$64,$A52,'Argus Drop'!#REF!))</f>
        <v/>
      </c>
      <c r="DN52" s="440" t="str">
        <f>IF(DM52="","",+SUMIF('Argus Drop'!$D$7:$D$64,$A52,'Argus Drop'!#REF!))</f>
        <v/>
      </c>
      <c r="DO52" s="440" t="str">
        <f>IF(DN52="","",+SUMIF('Argus Drop'!$D$7:$D$64,$A52,'Argus Drop'!#REF!))</f>
        <v/>
      </c>
      <c r="DP52" s="440" t="str">
        <f>IF(DO52="","",+SUMIF('Argus Drop'!$D$7:$D$64,$A52,'Argus Drop'!#REF!))</f>
        <v/>
      </c>
      <c r="DQ52" s="440" t="str">
        <f>IF(DP52="","",+SUMIF('Argus Drop'!$D$7:$D$64,$A52,'Argus Drop'!#REF!))</f>
        <v/>
      </c>
      <c r="DR52" s="440" t="str">
        <f>IF(DQ52="","",+SUMIF('Argus Drop'!$D$7:$D$64,$A52,'Argus Drop'!#REF!))</f>
        <v/>
      </c>
      <c r="DS52" s="440"/>
      <c r="DT52" s="440"/>
      <c r="DU52" s="440"/>
      <c r="DV52" s="440"/>
      <c r="DW52" s="440"/>
      <c r="DX52" s="440"/>
      <c r="DY52" s="440"/>
      <c r="DZ52" s="440"/>
      <c r="EA52" s="440"/>
      <c r="EB52" s="440"/>
      <c r="EC52" s="440"/>
      <c r="ED52" s="1419"/>
      <c r="EE52" s="1419"/>
      <c r="EF52" s="1419"/>
      <c r="EG52" s="1419"/>
      <c r="EH52" s="1419"/>
      <c r="EI52" s="1419"/>
      <c r="EJ52" s="1419"/>
      <c r="EK52" s="1419"/>
      <c r="EL52" s="1419"/>
      <c r="EM52" s="1419"/>
      <c r="EN52" s="1419"/>
      <c r="EO52" s="1419"/>
      <c r="EP52" s="1419"/>
      <c r="EQ52" s="1419"/>
      <c r="ER52" s="1419"/>
      <c r="ES52" s="1419"/>
      <c r="ET52" s="1419"/>
      <c r="EU52" s="1419"/>
      <c r="EV52" s="1419"/>
      <c r="EW52" s="1419"/>
      <c r="EX52" s="1419"/>
      <c r="EY52" s="1419"/>
      <c r="EZ52" s="1419"/>
      <c r="FA52" s="1419"/>
      <c r="FB52" s="1419"/>
      <c r="FC52" s="1419"/>
      <c r="FD52" s="1419"/>
      <c r="FE52" s="1419"/>
      <c r="FF52" s="1419"/>
      <c r="FG52" s="1419"/>
      <c r="FH52" s="1419"/>
      <c r="FI52" s="1419"/>
    </row>
    <row r="53" spans="1:165">
      <c r="A53" s="448">
        <f>IF(+'Argus Drop'!B57="","",'Argus Drop'!B57)</f>
        <v>17</v>
      </c>
      <c r="B53" s="440">
        <f>SUMIF('Argus Drop'!$D:$D,$A53,'Argus Drop'!F:F)</f>
        <v>107245</v>
      </c>
      <c r="C53" s="440">
        <f>SUMIF('Argus Drop'!$D:$D,$A53,'Argus Drop'!G:G)</f>
        <v>134697</v>
      </c>
      <c r="D53" s="440">
        <f>SUMIF('Argus Drop'!$D:$D,$A53,'Argus Drop'!H:H)</f>
        <v>134697</v>
      </c>
      <c r="E53" s="440">
        <f>SUMIF('Argus Drop'!$D:$D,$A53,'Argus Drop'!I:I)</f>
        <v>135093</v>
      </c>
      <c r="F53" s="440">
        <f>SUMIF('Argus Drop'!$D:$D,$A53,'Argus Drop'!J:J)</f>
        <v>135093</v>
      </c>
      <c r="G53" s="440">
        <f>SUMIF('Argus Drop'!$D:$D,$A53,'Argus Drop'!K:K)</f>
        <v>135573</v>
      </c>
      <c r="H53" s="440">
        <f>SUMIF('Argus Drop'!$D:$D,$A53,'Argus Drop'!L:L)</f>
        <v>135573</v>
      </c>
      <c r="I53" s="440">
        <f>SUMIF('Argus Drop'!$D:$D,$A53,'Argus Drop'!M:M)</f>
        <v>55016</v>
      </c>
      <c r="J53" s="440">
        <f>SUMIF('Argus Drop'!$D:$D,$A53,'Argus Drop'!N:N)</f>
        <v>148944</v>
      </c>
      <c r="K53" s="440">
        <f>SUMIF('Argus Drop'!$D:$D,$A53,'Argus Drop'!O:O)</f>
        <v>128977</v>
      </c>
      <c r="L53" s="440">
        <f>SUMIF('Argus Drop'!$D:$D,$A53,'Argus Drop'!P:P)</f>
        <v>-62337</v>
      </c>
      <c r="M53" s="440">
        <f>SUMIF('Argus Drop'!$D:$D,$A53,'Argus Drop'!Q:Q)</f>
        <v>-112170</v>
      </c>
      <c r="N53" s="440">
        <f>SUMIF('Argus Drop'!$D:$D,$A53,'Argus Drop'!R:R)</f>
        <v>152522</v>
      </c>
      <c r="O53" s="440">
        <f>SUMIF('Argus Drop'!$D:$D,$A53,'Argus Drop'!S:S)</f>
        <v>159969</v>
      </c>
      <c r="P53" s="440">
        <f>SUMIF('Argus Drop'!$D:$D,$A53,'Argus Drop'!T:T)</f>
        <v>159969</v>
      </c>
      <c r="Q53" s="440">
        <f>SUMIF('Argus Drop'!$D:$D,$A53,'Argus Drop'!U:U)</f>
        <v>131020</v>
      </c>
      <c r="R53" s="440">
        <f>SUMIF('Argus Drop'!$D:$D,$A53,'Argus Drop'!V:V)</f>
        <v>-17053</v>
      </c>
      <c r="S53" s="440">
        <f>SUMIF('Argus Drop'!$D:$D,$A53,'Argus Drop'!W:W)</f>
        <v>132687</v>
      </c>
      <c r="T53" s="440">
        <f>SUMIF('Argus Drop'!$D:$D,$A53,'Argus Drop'!X:X)</f>
        <v>3169</v>
      </c>
      <c r="U53" s="440">
        <f>SUMIF('Argus Drop'!$D:$D,$A53,'Argus Drop'!Y:Y)</f>
        <v>-1005853</v>
      </c>
      <c r="V53" s="440">
        <f>SUMIF('Argus Drop'!$D:$D,$A53,'Argus Drop'!Z:Z)</f>
        <v>25399</v>
      </c>
      <c r="W53" s="440">
        <f>SUMIF('Argus Drop'!$D:$D,$A53,'Argus Drop'!AA:AA)</f>
        <v>218200</v>
      </c>
      <c r="X53" s="440">
        <f>SUMIF('Argus Drop'!$D:$D,$A53,'Argus Drop'!AB:AB)</f>
        <v>218744</v>
      </c>
      <c r="Y53" s="440">
        <f>SUMIF('Argus Drop'!$D:$D,$A53,'Argus Drop'!AC:AC)</f>
        <v>219625</v>
      </c>
      <c r="Z53" s="440">
        <f>SUMIF('Argus Drop'!$D:$D,$A53,'Argus Drop'!AD:AD)</f>
        <v>220165</v>
      </c>
      <c r="AA53" s="440">
        <f>SUMIF('Argus Drop'!$D:$D,$A53,'Argus Drop'!AE:AE)</f>
        <v>221040</v>
      </c>
      <c r="AB53" s="440">
        <f>SUMIF('Argus Drop'!$D:$D,$A53,'Argus Drop'!AF:AF)</f>
        <v>221623</v>
      </c>
      <c r="AC53" s="440">
        <f>SUMIF('Argus Drop'!$D:$D,$A53,'Argus Drop'!AG:AG)</f>
        <v>222741</v>
      </c>
      <c r="AD53" s="440">
        <f>SUMIF('Argus Drop'!$D:$D,$A53,'Argus Drop'!AH:AH)</f>
        <v>223289</v>
      </c>
      <c r="AE53" s="440">
        <f>SUMIF('Argus Drop'!$D:$D,$A53,'Argus Drop'!AI:AI)</f>
        <v>223289</v>
      </c>
      <c r="AF53" s="440">
        <f>SUMIF('Argus Drop'!$D:$D,$A53,'Argus Drop'!AJ:AJ)</f>
        <v>223772</v>
      </c>
      <c r="AG53" s="440">
        <f>SUMIF('Argus Drop'!$D:$D,$A53,'Argus Drop'!AK:AK)</f>
        <v>213466</v>
      </c>
      <c r="AH53" s="440">
        <f>SUMIF('Argus Drop'!$D:$D,$A53,'Argus Drop'!AL:AL)</f>
        <v>164210</v>
      </c>
      <c r="AI53" s="440">
        <f>SUMIF('Argus Drop'!$D:$D,$A53,'Argus Drop'!AM:AM)</f>
        <v>223679</v>
      </c>
      <c r="AJ53" s="440">
        <f>SUMIF('Argus Drop'!$D:$D,$A53,'Argus Drop'!AN:AN)</f>
        <v>224239</v>
      </c>
      <c r="AK53" s="440">
        <f>SUMIF('Argus Drop'!$D:$D,$A53,'Argus Drop'!AO:AO)</f>
        <v>225139</v>
      </c>
      <c r="AL53" s="440">
        <f>SUMIF('Argus Drop'!$D:$D,$A53,'Argus Drop'!AP:AP)</f>
        <v>225609</v>
      </c>
      <c r="AM53" s="440">
        <f>SUMIF('Argus Drop'!$D:$D,$A53,'Argus Drop'!AQ:AQ)</f>
        <v>226520</v>
      </c>
      <c r="AN53" s="440">
        <f>SUMIF('Argus Drop'!$D:$D,$A53,'Argus Drop'!AR:AR)</f>
        <v>227190</v>
      </c>
      <c r="AO53" s="440">
        <f>SUMIF('Argus Drop'!$D:$D,$A53,'Argus Drop'!AS:AS)</f>
        <v>226650</v>
      </c>
      <c r="AP53" s="440">
        <f>SUMIF('Argus Drop'!$D:$D,$A53,'Argus Drop'!AT:AT)</f>
        <v>227215</v>
      </c>
      <c r="AQ53" s="440">
        <f>SUMIF('Argus Drop'!$D:$D,$A53,'Argus Drop'!AU:AU)</f>
        <v>227215</v>
      </c>
      <c r="AR53" s="440">
        <f>SUMIF('Argus Drop'!$D:$D,$A53,'Argus Drop'!AV:AV)</f>
        <v>227712</v>
      </c>
      <c r="AS53" s="440">
        <f>SUMIF('Argus Drop'!$D:$D,$A53,'Argus Drop'!AW:AW)</f>
        <v>228136</v>
      </c>
      <c r="AT53" s="440">
        <f>SUMIF('Argus Drop'!$D:$D,$A53,'Argus Drop'!AX:AX)</f>
        <v>229166</v>
      </c>
      <c r="AU53" s="440">
        <f>SUMIF('Argus Drop'!$D:$D,$A53,'Argus Drop'!AY:AY)</f>
        <v>229166</v>
      </c>
      <c r="AV53" s="440">
        <f>SUMIF('Argus Drop'!$D:$D,$A53,'Argus Drop'!AZ:AZ)</f>
        <v>229743</v>
      </c>
      <c r="AW53" s="440">
        <f>SUMIF('Argus Drop'!$D:$D,$A53,'Argus Drop'!BA:BA)</f>
        <v>230679</v>
      </c>
      <c r="AX53" s="440">
        <f>SUMIF('Argus Drop'!$D:$D,$A53,'Argus Drop'!BB:BB)</f>
        <v>210224</v>
      </c>
      <c r="AY53" s="440">
        <f>SUMIF('Argus Drop'!$D:$D,$A53,'Argus Drop'!BC:BC)</f>
        <v>39564</v>
      </c>
      <c r="AZ53" s="440">
        <f>SUMIF('Argus Drop'!$D:$D,$A53,'Argus Drop'!BD:BD)</f>
        <v>37365</v>
      </c>
      <c r="BA53" s="440">
        <f>SUMIF('Argus Drop'!$D:$D,$A53,'Argus Drop'!BE:BE)</f>
        <v>232135</v>
      </c>
      <c r="BB53" s="440">
        <f>SUMIF('Argus Drop'!$D:$D,$A53,'Argus Drop'!BF:BF)</f>
        <v>232717</v>
      </c>
      <c r="BC53" s="440">
        <f>SUMIF('Argus Drop'!$D:$D,$A53,'Argus Drop'!BG:BG)</f>
        <v>232717</v>
      </c>
      <c r="BD53" s="440">
        <f>SUMIF('Argus Drop'!$D:$D,$A53,'Argus Drop'!BH:BH)</f>
        <v>233229</v>
      </c>
      <c r="BE53" s="440">
        <f>SUMIF('Argus Drop'!$D:$D,$A53,'Argus Drop'!BI:BI)</f>
        <v>233666</v>
      </c>
      <c r="BF53" s="440">
        <f>SUMIF('Argus Drop'!$D:$D,$A53,'Argus Drop'!BJ:BJ)</f>
        <v>234727</v>
      </c>
      <c r="BG53" s="440">
        <f>SUMIF('Argus Drop'!$D:$D,$A53,'Argus Drop'!BK:BK)</f>
        <v>234727</v>
      </c>
      <c r="BH53" s="440">
        <f>SUMIF('Argus Drop'!$D:$D,$A53,'Argus Drop'!BL:BL)</f>
        <v>235321</v>
      </c>
      <c r="BI53" s="440">
        <f>SUMIF('Argus Drop'!$D:$D,$A53,'Argus Drop'!BM:BM)</f>
        <v>236596</v>
      </c>
      <c r="BJ53" s="440">
        <f>SUMIF('Argus Drop'!$D:$D,$A53,'Argus Drop'!BN:BN)</f>
        <v>216492</v>
      </c>
      <c r="BK53" s="440">
        <f>SUMIF('Argus Drop'!$D:$D,$A53,'Argus Drop'!BO:BO)</f>
        <v>132071</v>
      </c>
      <c r="BL53" s="440">
        <f>SUMIF('Argus Drop'!$D:$D,$A53,'Argus Drop'!BP:BP)</f>
        <v>234320</v>
      </c>
      <c r="BM53" s="440">
        <f>SUMIF('Argus Drop'!$D:$D,$A53,'Argus Drop'!BQ:BQ)</f>
        <v>234965</v>
      </c>
      <c r="BN53" s="440">
        <f>SUMIF('Argus Drop'!$D:$D,$A53,'Argus Drop'!BR:BR)</f>
        <v>235564</v>
      </c>
      <c r="BO53" s="440">
        <f>SUMIF('Argus Drop'!$D:$D,$A53,'Argus Drop'!BS:BS)</f>
        <v>235564</v>
      </c>
      <c r="BP53" s="440">
        <f>SUMIF('Argus Drop'!$D:$D,$A53,'Argus Drop'!BT:BT)</f>
        <v>236091</v>
      </c>
      <c r="BQ53" s="440">
        <f>SUMIF('Argus Drop'!$D:$D,$A53,'Argus Drop'!BU:BU)</f>
        <v>222475</v>
      </c>
      <c r="BR53" s="440">
        <f>SUMIF('Argus Drop'!$D:$D,$A53,'Argus Drop'!BV:BV)</f>
        <v>146035</v>
      </c>
      <c r="BS53" s="440">
        <f>SUMIF('Argus Drop'!$D:$D,$A53,'Argus Drop'!BW:BW)</f>
        <v>102571</v>
      </c>
      <c r="BT53" s="440">
        <f>SUMIF('Argus Drop'!$D:$D,$A53,'Argus Drop'!BX:BX)</f>
        <v>202784</v>
      </c>
      <c r="BU53" s="440">
        <f>SUMIF('Argus Drop'!$D:$D,$A53,'Argus Drop'!BY:BY)</f>
        <v>6301</v>
      </c>
      <c r="BV53" s="440">
        <f>SUMIF('Argus Drop'!$D:$D,$A53,'Argus Drop'!BZ:BZ)</f>
        <v>-40663</v>
      </c>
      <c r="BW53" s="440">
        <f>SUMIF('Argus Drop'!$D:$D,$A53,'Argus Drop'!CA:CA)</f>
        <v>229036</v>
      </c>
      <c r="BX53" s="440">
        <f>SUMIF('Argus Drop'!$D:$D,$A53,'Argus Drop'!CB:CB)</f>
        <v>229662</v>
      </c>
      <c r="BY53" s="440">
        <f>SUMIF('Argus Drop'!$D:$D,$A53,'Argus Drop'!CC:CC)</f>
        <v>229950</v>
      </c>
      <c r="BZ53" s="440">
        <f>SUMIF('Argus Drop'!$D:$D,$A53,'Argus Drop'!CD:CD)</f>
        <v>198348</v>
      </c>
      <c r="CA53" s="440">
        <f>SUMIF('Argus Drop'!$D:$D,$A53,'Argus Drop'!CE:CE)</f>
        <v>52536</v>
      </c>
      <c r="CB53" s="440">
        <f>SUMIF('Argus Drop'!$D:$D,$A53,'Argus Drop'!CF:CF)</f>
        <v>199843</v>
      </c>
      <c r="CC53" s="440">
        <f>SUMIF('Argus Drop'!$D:$D,$A53,'Argus Drop'!CG:CG)</f>
        <v>71739</v>
      </c>
      <c r="CD53" s="440">
        <f>SUMIF('Argus Drop'!$D:$D,$A53,'Argus Drop'!CH:CH)</f>
        <v>163732</v>
      </c>
      <c r="CE53" s="440">
        <f>SUMIF('Argus Drop'!$D:$D,$A53,'Argus Drop'!CI:CI)</f>
        <v>77095</v>
      </c>
      <c r="CF53" s="440">
        <f>SUMIF('Argus Drop'!$D:$D,$A53,'Argus Drop'!CJ:CJ)</f>
        <v>82759</v>
      </c>
      <c r="CG53" s="440">
        <f>SUMIF('Argus Drop'!$D:$D,$A53,'Argus Drop'!CK:CK)</f>
        <v>217124</v>
      </c>
      <c r="CH53" s="440">
        <f>SUMIF('Argus Drop'!$D:$D,$A53,'Argus Drop'!CL:CL)</f>
        <v>218067</v>
      </c>
      <c r="CI53" s="440">
        <f>SUMIF('Argus Drop'!$D:$D,$A53,'Argus Drop'!CM:CM)</f>
        <v>218863</v>
      </c>
      <c r="CJ53" s="440">
        <f>SUMIF('Argus Drop'!$D:$D,$A53,'Argus Drop'!CN:CN)</f>
        <v>219508</v>
      </c>
      <c r="CK53" s="440">
        <f>SUMIF('Argus Drop'!$D:$D,$A53,'Argus Drop'!CO:CO)</f>
        <v>220359</v>
      </c>
      <c r="CL53" s="440">
        <f>SUMIF('Argus Drop'!$D:$D,$A53,'Argus Drop'!CP:CP)</f>
        <v>220359</v>
      </c>
      <c r="CM53" s="440">
        <f>SUMIF('Argus Drop'!$D:$D,$A53,'Argus Drop'!CQ:CQ)</f>
        <v>220907</v>
      </c>
      <c r="CN53" s="440">
        <f>SUMIF('Argus Drop'!$D:$D,$A53,'Argus Drop'!CR:CR)</f>
        <v>220907</v>
      </c>
      <c r="CO53" s="440">
        <f>SUMIF('Argus Drop'!$D:$D,$A53,'Argus Drop'!CS:CS)</f>
        <v>221617</v>
      </c>
      <c r="CP53" s="440">
        <f>SUMIF('Argus Drop'!$D:$D,$A53,'Argus Drop'!CT:CT)</f>
        <v>211392</v>
      </c>
      <c r="CQ53" s="440">
        <f>SUMIF('Argus Drop'!$D:$D,$A53,'Argus Drop'!CU:CU)</f>
        <v>162454</v>
      </c>
      <c r="CR53" s="440">
        <f>SUMIF('Argus Drop'!$D:$D,$A53,'Argus Drop'!CV:CV)</f>
        <v>222273</v>
      </c>
      <c r="CS53" s="440">
        <f>SUMIF('Argus Drop'!$D:$D,$A53,'Argus Drop'!CW:CW)</f>
        <v>222833</v>
      </c>
      <c r="CT53" s="440">
        <f>SUMIF('Argus Drop'!$D:$D,$A53,'Argus Drop'!CX:CX)</f>
        <v>223444</v>
      </c>
      <c r="CU53" s="440">
        <f>SUMIF('Argus Drop'!$D:$D,$A53,'Argus Drop'!CY:CY)</f>
        <v>224265</v>
      </c>
      <c r="CV53" s="440">
        <f>SUMIF('Argus Drop'!$D:$D,$A53,'Argus Drop'!CZ:CZ)</f>
        <v>225621</v>
      </c>
      <c r="CW53" s="440">
        <f>SUMIF('Argus Drop'!$D:$D,$A53,'Argus Drop'!DA:DA)</f>
        <v>226475</v>
      </c>
      <c r="CX53" s="440">
        <f>SUMIF('Argus Drop'!$D:$D,$A53,'Argus Drop'!DB:DB)</f>
        <v>226475</v>
      </c>
      <c r="CY53" s="440">
        <f>SUMIF('Argus Drop'!$D:$D,$A53,'Argus Drop'!DC:DC)</f>
        <v>227040</v>
      </c>
      <c r="CZ53" s="440">
        <f>SUMIF('Argus Drop'!$D:$D,$A53,'Argus Drop'!DD:DD)</f>
        <v>227040</v>
      </c>
      <c r="DA53" s="440">
        <f>SUMIF('Argus Drop'!$D:$D,$A53,'Argus Drop'!DE:DE)</f>
        <v>227771</v>
      </c>
      <c r="DB53" s="440">
        <f>SUMIF('Argus Drop'!$D:$D,$A53,'Argus Drop'!DF:DF)</f>
        <v>228089</v>
      </c>
      <c r="DC53" s="440">
        <f>SUMIF('Argus Drop'!$D:$D,$A53,'Argus Drop'!DG:DG)</f>
        <v>229005</v>
      </c>
      <c r="DD53" s="440">
        <f>SUMIF('Argus Drop'!$D:$D,$A53,'Argus Drop'!DH:DH)</f>
        <v>229364</v>
      </c>
      <c r="DE53" s="440">
        <f>SUMIF('Argus Drop'!$D:$D,$A53,'Argus Drop'!DI:DI)</f>
        <v>229941</v>
      </c>
      <c r="DF53" s="440">
        <f>SUMIF('Argus Drop'!$D:$D,$A53,'Argus Drop'!DJ:DJ)</f>
        <v>230819</v>
      </c>
      <c r="DG53" s="440">
        <f>SUMIF('Argus Drop'!$D:$D,$A53,'Argus Drop'!DK:DK)</f>
        <v>202451</v>
      </c>
      <c r="DH53" s="440">
        <f>SUMIF('Argus Drop'!$D:$D,$A53,'Argus Drop'!DL:DL)</f>
        <v>33284</v>
      </c>
      <c r="DI53" s="440">
        <f>SUMIF('Argus Drop'!$D:$D,$A53,'Argus Drop'!DM:DM)</f>
        <v>32305</v>
      </c>
      <c r="DJ53" s="440">
        <f>SUMIF('Argus Drop'!$D:$D,$A53,'Argus Drop'!DN:DN)</f>
        <v>226181</v>
      </c>
      <c r="DK53" s="440">
        <f>SUMIF('Argus Drop'!$D:$D,$A53,'Argus Drop'!DO:DO)</f>
        <v>226763</v>
      </c>
      <c r="DL53" s="440">
        <f>SUMIF('Argus Drop'!$D:$D,$A53,'Argus Drop'!DP:DP)</f>
        <v>226763</v>
      </c>
      <c r="DM53" s="440">
        <f>SUMIF('Argus Drop'!$D:$D,$A53,'Argus Drop'!DQ:DQ)</f>
        <v>227516</v>
      </c>
      <c r="DN53" s="440">
        <f>SUMIF('Argus Drop'!$D:$D,$A53,'Argus Drop'!DR:DR)</f>
        <v>227843</v>
      </c>
      <c r="DO53" s="440">
        <f>SUMIF('Argus Drop'!$D:$D,$A53,'Argus Drop'!DS:DS)</f>
        <v>228786</v>
      </c>
      <c r="DP53" s="440">
        <f>SUMIF('Argus Drop'!$D:$D,$A53,'Argus Drop'!DT:DT)</f>
        <v>229157</v>
      </c>
      <c r="DQ53" s="440">
        <f>SUMIF('Argus Drop'!$D:$D,$A53,'Argus Drop'!DU:DU)</f>
        <v>223736</v>
      </c>
      <c r="DR53" s="440">
        <f>SUMIF('Argus Drop'!$D:$D,$A53,'Argus Drop'!DV:DV)</f>
        <v>198128</v>
      </c>
      <c r="DS53" s="440"/>
      <c r="DT53" s="440"/>
      <c r="DU53" s="440"/>
      <c r="DV53" s="440"/>
      <c r="DW53" s="440"/>
      <c r="DX53" s="440"/>
      <c r="DY53" s="440"/>
      <c r="DZ53" s="440"/>
      <c r="EA53" s="440"/>
      <c r="EB53" s="440"/>
      <c r="EC53" s="440"/>
      <c r="ED53" s="1419"/>
      <c r="EE53" s="1419"/>
      <c r="EF53" s="1419"/>
      <c r="EG53" s="1419"/>
      <c r="EH53" s="1419"/>
      <c r="EI53" s="1419"/>
      <c r="EJ53" s="1419"/>
      <c r="EK53" s="1419"/>
      <c r="EL53" s="1419"/>
      <c r="EM53" s="1419"/>
      <c r="EN53" s="1419"/>
      <c r="EO53" s="1419"/>
      <c r="EP53" s="1419"/>
      <c r="EQ53" s="1419"/>
      <c r="ER53" s="1419"/>
      <c r="ES53" s="1419"/>
      <c r="ET53" s="1419"/>
      <c r="EU53" s="1419"/>
      <c r="EV53" s="1419"/>
      <c r="EW53" s="1419"/>
      <c r="EX53" s="1419"/>
      <c r="EY53" s="1419"/>
      <c r="EZ53" s="1419"/>
      <c r="FA53" s="1419"/>
      <c r="FB53" s="1419"/>
      <c r="FC53" s="1419"/>
      <c r="FD53" s="1419"/>
      <c r="FE53" s="1419"/>
      <c r="FF53" s="1419"/>
      <c r="FG53" s="1419"/>
      <c r="FH53" s="1419"/>
      <c r="FI53" s="1419"/>
    </row>
    <row r="54" spans="1:165">
      <c r="A54" s="448" t="str">
        <f>IF(+'Argus Drop'!B58="","",'Argus Drop'!B58)</f>
        <v/>
      </c>
      <c r="B54" s="440" t="str">
        <f>IF(A54="","",+SUMIF('Argus Drop'!$D$7:$D$64,$A54,'Argus Drop'!#REF!))</f>
        <v/>
      </c>
      <c r="C54" s="440" t="str">
        <f>IF(B54="","",+SUMIF('Argus Drop'!$D$7:$D$64,$A54,'Argus Drop'!#REF!))</f>
        <v/>
      </c>
      <c r="D54" s="440" t="str">
        <f>IF(C54="","",+SUMIF('Argus Drop'!$D$7:$D$64,$A54,'Argus Drop'!#REF!))</f>
        <v/>
      </c>
      <c r="E54" s="440" t="str">
        <f>IF(D54="","",+SUMIF('Argus Drop'!$D$7:$D$64,$A54,'Argus Drop'!#REF!))</f>
        <v/>
      </c>
      <c r="F54" s="440" t="str">
        <f>IF(E54="","",+SUMIF('Argus Drop'!$D$7:$D$64,$A54,'Argus Drop'!#REF!))</f>
        <v/>
      </c>
      <c r="G54" s="440" t="str">
        <f>IF(F54="","",+SUMIF('Argus Drop'!$D$7:$D$64,$A54,'Argus Drop'!#REF!))</f>
        <v/>
      </c>
      <c r="H54" s="440" t="str">
        <f>IF(G54="","",+SUMIF('Argus Drop'!$D$7:$D$64,$A54,'Argus Drop'!#REF!))</f>
        <v/>
      </c>
      <c r="I54" s="440" t="str">
        <f>IF(H54="","",+SUMIF('Argus Drop'!$D$7:$D$64,$A54,'Argus Drop'!#REF!))</f>
        <v/>
      </c>
      <c r="J54" s="440" t="str">
        <f>IF(I54="","",+SUMIF('Argus Drop'!$D$7:$D$64,$A54,'Argus Drop'!#REF!))</f>
        <v/>
      </c>
      <c r="K54" s="440" t="str">
        <f>IF(J54="","",+SUMIF('Argus Drop'!$D$7:$D$64,$A54,'Argus Drop'!#REF!))</f>
        <v/>
      </c>
      <c r="L54" s="440" t="str">
        <f>IF(K54="","",+SUMIF('Argus Drop'!$D$7:$D$64,$A54,'Argus Drop'!#REF!))</f>
        <v/>
      </c>
      <c r="M54" s="440" t="str">
        <f>IF(L54="","",+SUMIF('Argus Drop'!$D$7:$D$64,$A54,'Argus Drop'!#REF!))</f>
        <v/>
      </c>
      <c r="N54" s="440" t="str">
        <f>IF(M54="","",+SUMIF('Argus Drop'!$D$7:$D$64,$A54,'Argus Drop'!#REF!))</f>
        <v/>
      </c>
      <c r="O54" s="440" t="str">
        <f>IF(N54="","",+SUMIF('Argus Drop'!$D$7:$D$64,$A54,'Argus Drop'!#REF!))</f>
        <v/>
      </c>
      <c r="P54" s="440" t="str">
        <f>IF(O54="","",+SUMIF('Argus Drop'!$D$7:$D$64,$A54,'Argus Drop'!#REF!))</f>
        <v/>
      </c>
      <c r="Q54" s="440" t="str">
        <f>IF(P54="","",+SUMIF('Argus Drop'!$D$7:$D$64,$A54,'Argus Drop'!#REF!))</f>
        <v/>
      </c>
      <c r="R54" s="440" t="str">
        <f>IF(Q54="","",+SUMIF('Argus Drop'!$D$7:$D$64,$A54,'Argus Drop'!#REF!))</f>
        <v/>
      </c>
      <c r="S54" s="440" t="str">
        <f>IF(R54="","",+SUMIF('Argus Drop'!$D$7:$D$64,$A54,'Argus Drop'!#REF!))</f>
        <v/>
      </c>
      <c r="T54" s="440" t="str">
        <f>IF(S54="","",+SUMIF('Argus Drop'!$D$7:$D$64,$A54,'Argus Drop'!#REF!))</f>
        <v/>
      </c>
      <c r="U54" s="440" t="str">
        <f>IF(T54="","",+SUMIF('Argus Drop'!$D$7:$D$64,$A54,'Argus Drop'!#REF!))</f>
        <v/>
      </c>
      <c r="V54" s="440" t="str">
        <f>IF(U54="","",+SUMIF('Argus Drop'!$D$7:$D$64,$A54,'Argus Drop'!#REF!))</f>
        <v/>
      </c>
      <c r="W54" s="440" t="str">
        <f>IF(V54="","",+SUMIF('Argus Drop'!$D$7:$D$64,$A54,'Argus Drop'!#REF!))</f>
        <v/>
      </c>
      <c r="X54" s="440" t="str">
        <f>IF(W54="","",+SUMIF('Argus Drop'!$D$7:$D$64,$A54,'Argus Drop'!#REF!))</f>
        <v/>
      </c>
      <c r="Y54" s="440" t="str">
        <f>IF(X54="","",+SUMIF('Argus Drop'!$D$7:$D$64,$A54,'Argus Drop'!#REF!))</f>
        <v/>
      </c>
      <c r="Z54" s="440" t="str">
        <f>IF(Y54="","",+SUMIF('Argus Drop'!$D$7:$D$64,$A54,'Argus Drop'!#REF!))</f>
        <v/>
      </c>
      <c r="AA54" s="440" t="str">
        <f>IF(Z54="","",+SUMIF('Argus Drop'!$D$7:$D$64,$A54,'Argus Drop'!#REF!))</f>
        <v/>
      </c>
      <c r="AB54" s="440" t="str">
        <f>IF(AA54="","",+SUMIF('Argus Drop'!$D$7:$D$64,$A54,'Argus Drop'!#REF!))</f>
        <v/>
      </c>
      <c r="AC54" s="440" t="str">
        <f>IF(AB54="","",+SUMIF('Argus Drop'!$D$7:$D$64,$A54,'Argus Drop'!#REF!))</f>
        <v/>
      </c>
      <c r="AD54" s="440" t="str">
        <f>IF(AC54="","",+SUMIF('Argus Drop'!$D$7:$D$64,$A54,'Argus Drop'!#REF!))</f>
        <v/>
      </c>
      <c r="AE54" s="440" t="str">
        <f>IF(AD54="","",+SUMIF('Argus Drop'!$D$7:$D$64,$A54,'Argus Drop'!#REF!))</f>
        <v/>
      </c>
      <c r="AF54" s="440" t="str">
        <f>IF(AE54="","",+SUMIF('Argus Drop'!$D$7:$D$64,$A54,'Argus Drop'!#REF!))</f>
        <v/>
      </c>
      <c r="AG54" s="440" t="str">
        <f>IF(AF54="","",+SUMIF('Argus Drop'!$D$7:$D$64,$A54,'Argus Drop'!#REF!))</f>
        <v/>
      </c>
      <c r="AH54" s="440" t="str">
        <f>IF(AG54="","",+SUMIF('Argus Drop'!$D$7:$D$64,$A54,'Argus Drop'!#REF!))</f>
        <v/>
      </c>
      <c r="AI54" s="440" t="str">
        <f>IF(AH54="","",+SUMIF('Argus Drop'!$D$7:$D$64,$A54,'Argus Drop'!#REF!))</f>
        <v/>
      </c>
      <c r="AJ54" s="440" t="str">
        <f>IF(AI54="","",+SUMIF('Argus Drop'!$D$7:$D$64,$A54,'Argus Drop'!#REF!))</f>
        <v/>
      </c>
      <c r="AK54" s="440" t="str">
        <f>IF(AJ54="","",+SUMIF('Argus Drop'!$D$7:$D$64,$A54,'Argus Drop'!#REF!))</f>
        <v/>
      </c>
      <c r="AL54" s="440" t="str">
        <f>IF(AK54="","",+SUMIF('Argus Drop'!$D$7:$D$64,$A54,'Argus Drop'!#REF!))</f>
        <v/>
      </c>
      <c r="AM54" s="440" t="str">
        <f>IF(AL54="","",+SUMIF('Argus Drop'!$D$7:$D$64,$A54,'Argus Drop'!#REF!))</f>
        <v/>
      </c>
      <c r="AN54" s="440" t="str">
        <f>IF(AM54="","",+SUMIF('Argus Drop'!$D$7:$D$64,$A54,'Argus Drop'!#REF!))</f>
        <v/>
      </c>
      <c r="AO54" s="440" t="str">
        <f>IF(AN54="","",+SUMIF('Argus Drop'!$D$7:$D$64,$A54,'Argus Drop'!#REF!))</f>
        <v/>
      </c>
      <c r="AP54" s="440" t="str">
        <f>IF(AO54="","",+SUMIF('Argus Drop'!$D$7:$D$64,$A54,'Argus Drop'!#REF!))</f>
        <v/>
      </c>
      <c r="AQ54" s="440" t="str">
        <f>IF(AP54="","",+SUMIF('Argus Drop'!$D$7:$D$64,$A54,'Argus Drop'!#REF!))</f>
        <v/>
      </c>
      <c r="AR54" s="440" t="str">
        <f>IF(AQ54="","",+SUMIF('Argus Drop'!$D$7:$D$64,$A54,'Argus Drop'!#REF!))</f>
        <v/>
      </c>
      <c r="AS54" s="440" t="str">
        <f>IF(AR54="","",+SUMIF('Argus Drop'!$D$7:$D$64,$A54,'Argus Drop'!#REF!))</f>
        <v/>
      </c>
      <c r="AT54" s="440" t="str">
        <f>IF(AS54="","",+SUMIF('Argus Drop'!$D$7:$D$64,$A54,'Argus Drop'!#REF!))</f>
        <v/>
      </c>
      <c r="AU54" s="440" t="str">
        <f>IF(AT54="","",+SUMIF('Argus Drop'!$D$7:$D$64,$A54,'Argus Drop'!#REF!))</f>
        <v/>
      </c>
      <c r="AV54" s="440" t="str">
        <f>IF(AU54="","",+SUMIF('Argus Drop'!$D$7:$D$64,$A54,'Argus Drop'!#REF!))</f>
        <v/>
      </c>
      <c r="AW54" s="440" t="str">
        <f>IF(AV54="","",+SUMIF('Argus Drop'!$D$7:$D$64,$A54,'Argus Drop'!#REF!))</f>
        <v/>
      </c>
      <c r="AX54" s="440" t="str">
        <f>IF(AW54="","",+SUMIF('Argus Drop'!$D$7:$D$64,$A54,'Argus Drop'!#REF!))</f>
        <v/>
      </c>
      <c r="AY54" s="440" t="str">
        <f>IF(AX54="","",+SUMIF('Argus Drop'!$D$7:$D$64,$A54,'Argus Drop'!#REF!))</f>
        <v/>
      </c>
      <c r="AZ54" s="440" t="str">
        <f>IF(AY54="","",+SUMIF('Argus Drop'!$D$7:$D$64,$A54,'Argus Drop'!#REF!))</f>
        <v/>
      </c>
      <c r="BA54" s="440" t="str">
        <f>IF(AZ54="","",+SUMIF('Argus Drop'!$D$7:$D$64,$A54,'Argus Drop'!#REF!))</f>
        <v/>
      </c>
      <c r="BB54" s="440" t="str">
        <f>IF(BA54="","",+SUMIF('Argus Drop'!$D$7:$D$64,$A54,'Argus Drop'!#REF!))</f>
        <v/>
      </c>
      <c r="BC54" s="440" t="str">
        <f>IF(BB54="","",+SUMIF('Argus Drop'!$D$7:$D$64,$A54,'Argus Drop'!#REF!))</f>
        <v/>
      </c>
      <c r="BD54" s="440" t="str">
        <f>IF(BC54="","",+SUMIF('Argus Drop'!$D$7:$D$64,$A54,'Argus Drop'!#REF!))</f>
        <v/>
      </c>
      <c r="BE54" s="440" t="str">
        <f>IF(BD54="","",+SUMIF('Argus Drop'!$D$7:$D$64,$A54,'Argus Drop'!#REF!))</f>
        <v/>
      </c>
      <c r="BF54" s="440" t="str">
        <f>IF(BE54="","",+SUMIF('Argus Drop'!$D$7:$D$64,$A54,'Argus Drop'!#REF!))</f>
        <v/>
      </c>
      <c r="BG54" s="440" t="str">
        <f>IF(BF54="","",+SUMIF('Argus Drop'!$D$7:$D$64,$A54,'Argus Drop'!#REF!))</f>
        <v/>
      </c>
      <c r="BH54" s="440" t="str">
        <f>IF(BG54="","",+SUMIF('Argus Drop'!$D$7:$D$64,$A54,'Argus Drop'!#REF!))</f>
        <v/>
      </c>
      <c r="BI54" s="440" t="str">
        <f>IF(BH54="","",+SUMIF('Argus Drop'!$D$7:$D$64,$A54,'Argus Drop'!#REF!))</f>
        <v/>
      </c>
      <c r="BJ54" s="440" t="str">
        <f>IF(BI54="","",+SUMIF('Argus Drop'!$D$7:$D$64,$A54,'Argus Drop'!#REF!))</f>
        <v/>
      </c>
      <c r="BK54" s="440" t="str">
        <f>IF(BJ54="","",+SUMIF('Argus Drop'!$D$7:$D$64,$A54,'Argus Drop'!#REF!))</f>
        <v/>
      </c>
      <c r="BL54" s="440" t="str">
        <f>IF(BK54="","",+SUMIF('Argus Drop'!$D$7:$D$64,$A54,'Argus Drop'!#REF!))</f>
        <v/>
      </c>
      <c r="BM54" s="440" t="str">
        <f>IF(BL54="","",+SUMIF('Argus Drop'!$D$7:$D$64,$A54,'Argus Drop'!#REF!))</f>
        <v/>
      </c>
      <c r="BN54" s="440" t="str">
        <f>IF(BM54="","",+SUMIF('Argus Drop'!$D$7:$D$64,$A54,'Argus Drop'!#REF!))</f>
        <v/>
      </c>
      <c r="BO54" s="440" t="str">
        <f>IF(BN54="","",+SUMIF('Argus Drop'!$D$7:$D$64,$A54,'Argus Drop'!#REF!))</f>
        <v/>
      </c>
      <c r="BP54" s="440" t="str">
        <f>IF(BO54="","",+SUMIF('Argus Drop'!$D$7:$D$64,$A54,'Argus Drop'!#REF!))</f>
        <v/>
      </c>
      <c r="BQ54" s="440" t="str">
        <f>IF(BP54="","",+SUMIF('Argus Drop'!$D$7:$D$64,$A54,'Argus Drop'!#REF!))</f>
        <v/>
      </c>
      <c r="BR54" s="440" t="str">
        <f>IF(BQ54="","",+SUMIF('Argus Drop'!$D$7:$D$64,$A54,'Argus Drop'!#REF!))</f>
        <v/>
      </c>
      <c r="BS54" s="440" t="str">
        <f>IF(BR54="","",+SUMIF('Argus Drop'!$D$7:$D$64,$A54,'Argus Drop'!#REF!))</f>
        <v/>
      </c>
      <c r="BT54" s="440" t="str">
        <f>IF(BS54="","",+SUMIF('Argus Drop'!$D$7:$D$64,$A54,'Argus Drop'!#REF!))</f>
        <v/>
      </c>
      <c r="BU54" s="440" t="str">
        <f>IF(BT54="","",+SUMIF('Argus Drop'!$D$7:$D$64,$A54,'Argus Drop'!#REF!))</f>
        <v/>
      </c>
      <c r="BV54" s="440" t="str">
        <f>IF(BU54="","",+SUMIF('Argus Drop'!$D$7:$D$64,$A54,'Argus Drop'!#REF!))</f>
        <v/>
      </c>
      <c r="BW54" s="440" t="str">
        <f>IF(BV54="","",+SUMIF('Argus Drop'!$D$7:$D$64,$A54,'Argus Drop'!#REF!))</f>
        <v/>
      </c>
      <c r="BX54" s="440" t="str">
        <f>IF(BW54="","",+SUMIF('Argus Drop'!$D$7:$D$64,$A54,'Argus Drop'!#REF!))</f>
        <v/>
      </c>
      <c r="BY54" s="440" t="str">
        <f>IF(BX54="","",+SUMIF('Argus Drop'!$D$7:$D$64,$A54,'Argus Drop'!#REF!))</f>
        <v/>
      </c>
      <c r="BZ54" s="440" t="str">
        <f>IF(BY54="","",+SUMIF('Argus Drop'!$D$7:$D$64,$A54,'Argus Drop'!#REF!))</f>
        <v/>
      </c>
      <c r="CA54" s="440" t="str">
        <f>IF(BZ54="","",+SUMIF('Argus Drop'!$D$7:$D$64,$A54,'Argus Drop'!#REF!))</f>
        <v/>
      </c>
      <c r="CB54" s="440" t="str">
        <f>IF(CA54="","",+SUMIF('Argus Drop'!$D$7:$D$64,$A54,'Argus Drop'!#REF!))</f>
        <v/>
      </c>
      <c r="CC54" s="440" t="str">
        <f>IF(CB54="","",+SUMIF('Argus Drop'!$D$7:$D$64,$A54,'Argus Drop'!#REF!))</f>
        <v/>
      </c>
      <c r="CD54" s="440" t="str">
        <f>IF(CC54="","",+SUMIF('Argus Drop'!$D$7:$D$64,$A54,'Argus Drop'!#REF!))</f>
        <v/>
      </c>
      <c r="CE54" s="440" t="str">
        <f>IF(CD54="","",+SUMIF('Argus Drop'!$D$7:$D$64,$A54,'Argus Drop'!#REF!))</f>
        <v/>
      </c>
      <c r="CF54" s="440" t="str">
        <f>IF(CE54="","",+SUMIF('Argus Drop'!$D$7:$D$64,$A54,'Argus Drop'!#REF!))</f>
        <v/>
      </c>
      <c r="CG54" s="440" t="str">
        <f>IF(CF54="","",+SUMIF('Argus Drop'!$D$7:$D$64,$A54,'Argus Drop'!#REF!))</f>
        <v/>
      </c>
      <c r="CH54" s="440" t="str">
        <f>IF(CG54="","",+SUMIF('Argus Drop'!$D$7:$D$64,$A54,'Argus Drop'!#REF!))</f>
        <v/>
      </c>
      <c r="CI54" s="440" t="str">
        <f>IF(CH54="","",+SUMIF('Argus Drop'!$D$7:$D$64,$A54,'Argus Drop'!#REF!))</f>
        <v/>
      </c>
      <c r="CJ54" s="440" t="str">
        <f>IF(CI54="","",+SUMIF('Argus Drop'!$D$7:$D$64,$A54,'Argus Drop'!#REF!))</f>
        <v/>
      </c>
      <c r="CK54" s="440" t="str">
        <f>IF(CJ54="","",+SUMIF('Argus Drop'!$D$7:$D$64,$A54,'Argus Drop'!#REF!))</f>
        <v/>
      </c>
      <c r="CL54" s="440" t="str">
        <f>IF(CK54="","",+SUMIF('Argus Drop'!$D$7:$D$64,$A54,'Argus Drop'!#REF!))</f>
        <v/>
      </c>
      <c r="CM54" s="440" t="str">
        <f>IF(CL54="","",+SUMIF('Argus Drop'!$D$7:$D$64,$A54,'Argus Drop'!#REF!))</f>
        <v/>
      </c>
      <c r="CN54" s="440" t="str">
        <f>IF(CM54="","",+SUMIF('Argus Drop'!$D$7:$D$64,$A54,'Argus Drop'!#REF!))</f>
        <v/>
      </c>
      <c r="CO54" s="440" t="str">
        <f>IF(CN54="","",+SUMIF('Argus Drop'!$D$7:$D$64,$A54,'Argus Drop'!#REF!))</f>
        <v/>
      </c>
      <c r="CP54" s="440" t="str">
        <f>IF(CO54="","",+SUMIF('Argus Drop'!$D$7:$D$64,$A54,'Argus Drop'!#REF!))</f>
        <v/>
      </c>
      <c r="CQ54" s="440" t="str">
        <f>IF(CP54="","",+SUMIF('Argus Drop'!$D$7:$D$64,$A54,'Argus Drop'!#REF!))</f>
        <v/>
      </c>
      <c r="CR54" s="440" t="str">
        <f>IF(CQ54="","",+SUMIF('Argus Drop'!$D$7:$D$64,$A54,'Argus Drop'!#REF!))</f>
        <v/>
      </c>
      <c r="CS54" s="440" t="str">
        <f>IF(CR54="","",+SUMIF('Argus Drop'!$D$7:$D$64,$A54,'Argus Drop'!#REF!))</f>
        <v/>
      </c>
      <c r="CT54" s="440" t="str">
        <f>IF(CS54="","",+SUMIF('Argus Drop'!$D$7:$D$64,$A54,'Argus Drop'!#REF!))</f>
        <v/>
      </c>
      <c r="CU54" s="440" t="str">
        <f>IF(CT54="","",+SUMIF('Argus Drop'!$D$7:$D$64,$A54,'Argus Drop'!#REF!))</f>
        <v/>
      </c>
      <c r="CV54" s="440" t="str">
        <f>IF(CU54="","",+SUMIF('Argus Drop'!$D$7:$D$64,$A54,'Argus Drop'!#REF!))</f>
        <v/>
      </c>
      <c r="CW54" s="440" t="str">
        <f>IF(CV54="","",+SUMIF('Argus Drop'!$D$7:$D$64,$A54,'Argus Drop'!#REF!))</f>
        <v/>
      </c>
      <c r="CX54" s="440" t="str">
        <f>IF(CW54="","",+SUMIF('Argus Drop'!$D$7:$D$64,$A54,'Argus Drop'!#REF!))</f>
        <v/>
      </c>
      <c r="CY54" s="440" t="str">
        <f>IF(CX54="","",+SUMIF('Argus Drop'!$D$7:$D$64,$A54,'Argus Drop'!#REF!))</f>
        <v/>
      </c>
      <c r="CZ54" s="440" t="str">
        <f>IF(CY54="","",+SUMIF('Argus Drop'!$D$7:$D$64,$A54,'Argus Drop'!#REF!))</f>
        <v/>
      </c>
      <c r="DA54" s="440" t="str">
        <f>IF(CZ54="","",+SUMIF('Argus Drop'!$D$7:$D$64,$A54,'Argus Drop'!#REF!))</f>
        <v/>
      </c>
      <c r="DB54" s="440" t="str">
        <f>IF(DA54="","",+SUMIF('Argus Drop'!$D$7:$D$64,$A54,'Argus Drop'!#REF!))</f>
        <v/>
      </c>
      <c r="DC54" s="440" t="str">
        <f>IF(DB54="","",+SUMIF('Argus Drop'!$D$7:$D$64,$A54,'Argus Drop'!#REF!))</f>
        <v/>
      </c>
      <c r="DD54" s="440" t="str">
        <f>IF(DC54="","",+SUMIF('Argus Drop'!$D$7:$D$64,$A54,'Argus Drop'!#REF!))</f>
        <v/>
      </c>
      <c r="DE54" s="440" t="str">
        <f>IF(DD54="","",+SUMIF('Argus Drop'!$D$7:$D$64,$A54,'Argus Drop'!#REF!))</f>
        <v/>
      </c>
      <c r="DF54" s="440" t="str">
        <f>IF(DE54="","",+SUMIF('Argus Drop'!$D$7:$D$64,$A54,'Argus Drop'!#REF!))</f>
        <v/>
      </c>
      <c r="DG54" s="440" t="str">
        <f>IF(DF54="","",+SUMIF('Argus Drop'!$D$7:$D$64,$A54,'Argus Drop'!#REF!))</f>
        <v/>
      </c>
      <c r="DH54" s="440" t="str">
        <f>IF(DG54="","",+SUMIF('Argus Drop'!$D$7:$D$64,$A54,'Argus Drop'!#REF!))</f>
        <v/>
      </c>
      <c r="DI54" s="440" t="str">
        <f>IF(DH54="","",+SUMIF('Argus Drop'!$D$7:$D$64,$A54,'Argus Drop'!#REF!))</f>
        <v/>
      </c>
      <c r="DJ54" s="440" t="str">
        <f>IF(DI54="","",+SUMIF('Argus Drop'!$D$7:$D$64,$A54,'Argus Drop'!#REF!))</f>
        <v/>
      </c>
      <c r="DK54" s="440" t="str">
        <f>IF(DJ54="","",+SUMIF('Argus Drop'!$D$7:$D$64,$A54,'Argus Drop'!#REF!))</f>
        <v/>
      </c>
      <c r="DL54" s="440" t="str">
        <f>IF(DK54="","",+SUMIF('Argus Drop'!$D$7:$D$64,$A54,'Argus Drop'!#REF!))</f>
        <v/>
      </c>
      <c r="DM54" s="440" t="str">
        <f>IF(DL54="","",+SUMIF('Argus Drop'!$D$7:$D$64,$A54,'Argus Drop'!#REF!))</f>
        <v/>
      </c>
      <c r="DN54" s="440" t="str">
        <f>IF(DM54="","",+SUMIF('Argus Drop'!$D$7:$D$64,$A54,'Argus Drop'!#REF!))</f>
        <v/>
      </c>
      <c r="DO54" s="440" t="str">
        <f>IF(DN54="","",+SUMIF('Argus Drop'!$D$7:$D$64,$A54,'Argus Drop'!#REF!))</f>
        <v/>
      </c>
      <c r="DP54" s="440" t="str">
        <f>IF(DO54="","",+SUMIF('Argus Drop'!$D$7:$D$64,$A54,'Argus Drop'!#REF!))</f>
        <v/>
      </c>
      <c r="DQ54" s="440" t="str">
        <f>IF(DP54="","",+SUMIF('Argus Drop'!$D$7:$D$64,$A54,'Argus Drop'!#REF!))</f>
        <v/>
      </c>
      <c r="DR54" s="440" t="str">
        <f>IF(DQ54="","",+SUMIF('Argus Drop'!$D$7:$D$64,$A54,'Argus Drop'!#REF!))</f>
        <v/>
      </c>
      <c r="DS54" s="440"/>
      <c r="DT54" s="440"/>
      <c r="DU54" s="440"/>
      <c r="DV54" s="440"/>
      <c r="DW54" s="440"/>
      <c r="DX54" s="440"/>
      <c r="DY54" s="440"/>
      <c r="DZ54" s="440"/>
      <c r="EA54" s="440"/>
      <c r="EB54" s="440"/>
      <c r="EC54" s="440"/>
      <c r="ED54" s="1419"/>
      <c r="EE54" s="1419"/>
      <c r="EF54" s="1419"/>
      <c r="EG54" s="1419"/>
      <c r="EH54" s="1419"/>
      <c r="EI54" s="1419"/>
      <c r="EJ54" s="1419"/>
      <c r="EK54" s="1419"/>
      <c r="EL54" s="1419"/>
      <c r="EM54" s="1419"/>
      <c r="EN54" s="1419"/>
      <c r="EO54" s="1419"/>
      <c r="EP54" s="1419"/>
      <c r="EQ54" s="1419"/>
      <c r="ER54" s="1419"/>
      <c r="ES54" s="1419"/>
      <c r="ET54" s="1419"/>
      <c r="EU54" s="1419"/>
      <c r="EV54" s="1419"/>
      <c r="EW54" s="1419"/>
      <c r="EX54" s="1419"/>
      <c r="EY54" s="1419"/>
      <c r="EZ54" s="1419"/>
      <c r="FA54" s="1419"/>
      <c r="FB54" s="1419"/>
      <c r="FC54" s="1419"/>
      <c r="FD54" s="1419"/>
      <c r="FE54" s="1419"/>
      <c r="FF54" s="1419"/>
      <c r="FG54" s="1419"/>
      <c r="FH54" s="1419"/>
      <c r="FI54" s="1419"/>
    </row>
    <row r="55" spans="1:165">
      <c r="A55" s="448">
        <f>IF(+'Argus Drop'!B59="","",'Argus Drop'!B59)</f>
        <v>18</v>
      </c>
      <c r="B55" s="440">
        <f>SUMIF('Argus Drop'!$D:$D,$A55,'Argus Drop'!F:F)</f>
        <v>107898</v>
      </c>
      <c r="C55" s="440">
        <f>SUMIF('Argus Drop'!$D:$D,$A55,'Argus Drop'!G:G)</f>
        <v>5276</v>
      </c>
      <c r="D55" s="440">
        <f>SUMIF('Argus Drop'!$D:$D,$A55,'Argus Drop'!H:H)</f>
        <v>177713</v>
      </c>
      <c r="E55" s="440">
        <f>SUMIF('Argus Drop'!$D:$D,$A55,'Argus Drop'!I:I)</f>
        <v>-103744</v>
      </c>
      <c r="F55" s="440">
        <f>SUMIF('Argus Drop'!$D:$D,$A55,'Argus Drop'!J:J)</f>
        <v>130528</v>
      </c>
      <c r="G55" s="440">
        <f>SUMIF('Argus Drop'!$D:$D,$A55,'Argus Drop'!K:K)</f>
        <v>79028</v>
      </c>
      <c r="H55" s="440">
        <f>SUMIF('Argus Drop'!$D:$D,$A55,'Argus Drop'!L:L)</f>
        <v>55995</v>
      </c>
      <c r="I55" s="440">
        <f>SUMIF('Argus Drop'!$D:$D,$A55,'Argus Drop'!M:M)</f>
        <v>130996</v>
      </c>
      <c r="J55" s="440">
        <f>SUMIF('Argus Drop'!$D:$D,$A55,'Argus Drop'!N:N)</f>
        <v>133693</v>
      </c>
      <c r="K55" s="440">
        <f>SUMIF('Argus Drop'!$D:$D,$A55,'Argus Drop'!O:O)</f>
        <v>134029</v>
      </c>
      <c r="L55" s="440">
        <f>SUMIF('Argus Drop'!$D:$D,$A55,'Argus Drop'!P:P)</f>
        <v>119306</v>
      </c>
      <c r="M55" s="440">
        <f>SUMIF('Argus Drop'!$D:$D,$A55,'Argus Drop'!Q:Q)</f>
        <v>35233</v>
      </c>
      <c r="N55" s="440">
        <f>SUMIF('Argus Drop'!$D:$D,$A55,'Argus Drop'!R:R)</f>
        <v>138429</v>
      </c>
      <c r="O55" s="440">
        <f>SUMIF('Argus Drop'!$D:$D,$A55,'Argus Drop'!S:S)</f>
        <v>-129365</v>
      </c>
      <c r="P55" s="440">
        <f>SUMIF('Argus Drop'!$D:$D,$A55,'Argus Drop'!T:T)</f>
        <v>153134</v>
      </c>
      <c r="Q55" s="440">
        <f>SUMIF('Argus Drop'!$D:$D,$A55,'Argus Drop'!U:U)</f>
        <v>107564</v>
      </c>
      <c r="R55" s="440">
        <f>SUMIF('Argus Drop'!$D:$D,$A55,'Argus Drop'!V:V)</f>
        <v>160051</v>
      </c>
      <c r="S55" s="440">
        <f>SUMIF('Argus Drop'!$D:$D,$A55,'Argus Drop'!W:W)</f>
        <v>-828864</v>
      </c>
      <c r="T55" s="440">
        <f>SUMIF('Argus Drop'!$D:$D,$A55,'Argus Drop'!X:X)</f>
        <v>171616</v>
      </c>
      <c r="U55" s="440">
        <f>SUMIF('Argus Drop'!$D:$D,$A55,'Argus Drop'!Y:Y)</f>
        <v>171616</v>
      </c>
      <c r="V55" s="440">
        <f>SUMIF('Argus Drop'!$D:$D,$A55,'Argus Drop'!Z:Z)</f>
        <v>171808</v>
      </c>
      <c r="W55" s="440">
        <f>SUMIF('Argus Drop'!$D:$D,$A55,'Argus Drop'!AA:AA)</f>
        <v>172793</v>
      </c>
      <c r="X55" s="440">
        <f>SUMIF('Argus Drop'!$D:$D,$A55,'Argus Drop'!AB:AB)</f>
        <v>152615</v>
      </c>
      <c r="Y55" s="440">
        <f>SUMIF('Argus Drop'!$D:$D,$A55,'Argus Drop'!AC:AC)</f>
        <v>111627</v>
      </c>
      <c r="Z55" s="440">
        <f>SUMIF('Argus Drop'!$D:$D,$A55,'Argus Drop'!AD:AD)</f>
        <v>-4077</v>
      </c>
      <c r="AA55" s="440">
        <f>SUMIF('Argus Drop'!$D:$D,$A55,'Argus Drop'!AE:AE)</f>
        <v>-5475</v>
      </c>
      <c r="AB55" s="440">
        <f>SUMIF('Argus Drop'!$D:$D,$A55,'Argus Drop'!AF:AF)</f>
        <v>190685</v>
      </c>
      <c r="AC55" s="440">
        <f>SUMIF('Argus Drop'!$D:$D,$A55,'Argus Drop'!AG:AG)</f>
        <v>190987</v>
      </c>
      <c r="AD55" s="440">
        <f>SUMIF('Argus Drop'!$D:$D,$A55,'Argus Drop'!AH:AH)</f>
        <v>161953</v>
      </c>
      <c r="AE55" s="440">
        <f>SUMIF('Argus Drop'!$D:$D,$A55,'Argus Drop'!AI:AI)</f>
        <v>-381584</v>
      </c>
      <c r="AF55" s="440">
        <f>SUMIF('Argus Drop'!$D:$D,$A55,'Argus Drop'!AJ:AJ)</f>
        <v>69465</v>
      </c>
      <c r="AG55" s="440">
        <f>SUMIF('Argus Drop'!$D:$D,$A55,'Argus Drop'!AK:AK)</f>
        <v>198078</v>
      </c>
      <c r="AH55" s="440">
        <f>SUMIF('Argus Drop'!$D:$D,$A55,'Argus Drop'!AL:AL)</f>
        <v>110692</v>
      </c>
      <c r="AI55" s="440">
        <f>SUMIF('Argus Drop'!$D:$D,$A55,'Argus Drop'!AM:AM)</f>
        <v>224236</v>
      </c>
      <c r="AJ55" s="440">
        <f>SUMIF('Argus Drop'!$D:$D,$A55,'Argus Drop'!AN:AN)</f>
        <v>224236</v>
      </c>
      <c r="AK55" s="440">
        <f>SUMIF('Argus Drop'!$D:$D,$A55,'Argus Drop'!AO:AO)</f>
        <v>224236</v>
      </c>
      <c r="AL55" s="440">
        <f>SUMIF('Argus Drop'!$D:$D,$A55,'Argus Drop'!AP:AP)</f>
        <v>225093</v>
      </c>
      <c r="AM55" s="440">
        <f>SUMIF('Argus Drop'!$D:$D,$A55,'Argus Drop'!AQ:AQ)</f>
        <v>224703</v>
      </c>
      <c r="AN55" s="440">
        <f>SUMIF('Argus Drop'!$D:$D,$A55,'Argus Drop'!AR:AR)</f>
        <v>225578</v>
      </c>
      <c r="AO55" s="440">
        <f>SUMIF('Argus Drop'!$D:$D,$A55,'Argus Drop'!AS:AS)</f>
        <v>226473</v>
      </c>
      <c r="AP55" s="440">
        <f>SUMIF('Argus Drop'!$D:$D,$A55,'Argus Drop'!AT:AT)</f>
        <v>226415</v>
      </c>
      <c r="AQ55" s="440">
        <f>SUMIF('Argus Drop'!$D:$D,$A55,'Argus Drop'!AU:AU)</f>
        <v>226799</v>
      </c>
      <c r="AR55" s="440">
        <f>SUMIF('Argus Drop'!$D:$D,$A55,'Argus Drop'!AV:AV)</f>
        <v>227376</v>
      </c>
      <c r="AS55" s="440">
        <f>SUMIF('Argus Drop'!$D:$D,$A55,'Argus Drop'!AW:AW)</f>
        <v>227376</v>
      </c>
      <c r="AT55" s="440">
        <f>SUMIF('Argus Drop'!$D:$D,$A55,'Argus Drop'!AX:AX)</f>
        <v>216951</v>
      </c>
      <c r="AU55" s="440">
        <f>SUMIF('Argus Drop'!$D:$D,$A55,'Argus Drop'!AY:AY)</f>
        <v>217318</v>
      </c>
      <c r="AV55" s="440">
        <f>SUMIF('Argus Drop'!$D:$D,$A55,'Argus Drop'!AZ:AZ)</f>
        <v>187970</v>
      </c>
      <c r="AW55" s="440">
        <f>SUMIF('Argus Drop'!$D:$D,$A55,'Argus Drop'!BA:BA)</f>
        <v>220908</v>
      </c>
      <c r="AX55" s="440">
        <f>SUMIF('Argus Drop'!$D:$D,$A55,'Argus Drop'!BB:BB)</f>
        <v>228285</v>
      </c>
      <c r="AY55" s="440">
        <f>SUMIF('Argus Drop'!$D:$D,$A55,'Argus Drop'!BC:BC)</f>
        <v>230374</v>
      </c>
      <c r="AZ55" s="440">
        <f>SUMIF('Argus Drop'!$D:$D,$A55,'Argus Drop'!BD:BD)</f>
        <v>231284</v>
      </c>
      <c r="BA55" s="440">
        <f>SUMIF('Argus Drop'!$D:$D,$A55,'Argus Drop'!BE:BE)</f>
        <v>232276</v>
      </c>
      <c r="BB55" s="440">
        <f>SUMIF('Argus Drop'!$D:$D,$A55,'Argus Drop'!BF:BF)</f>
        <v>232812</v>
      </c>
      <c r="BC55" s="440">
        <f>SUMIF('Argus Drop'!$D:$D,$A55,'Argus Drop'!BG:BG)</f>
        <v>233208</v>
      </c>
      <c r="BD55" s="440">
        <f>SUMIF('Argus Drop'!$D:$D,$A55,'Argus Drop'!BH:BH)</f>
        <v>233801</v>
      </c>
      <c r="BE55" s="440">
        <f>SUMIF('Argus Drop'!$D:$D,$A55,'Argus Drop'!BI:BI)</f>
        <v>233801</v>
      </c>
      <c r="BF55" s="440">
        <f>SUMIF('Argus Drop'!$D:$D,$A55,'Argus Drop'!BJ:BJ)</f>
        <v>234324</v>
      </c>
      <c r="BG55" s="440">
        <f>SUMIF('Argus Drop'!$D:$D,$A55,'Argus Drop'!BK:BK)</f>
        <v>234702</v>
      </c>
      <c r="BH55" s="440">
        <f>SUMIF('Argus Drop'!$D:$D,$A55,'Argus Drop'!BL:BL)</f>
        <v>234897</v>
      </c>
      <c r="BI55" s="440">
        <f>SUMIF('Argus Drop'!$D:$D,$A55,'Argus Drop'!BM:BM)</f>
        <v>234897</v>
      </c>
      <c r="BJ55" s="440">
        <f>SUMIF('Argus Drop'!$D:$D,$A55,'Argus Drop'!BN:BN)</f>
        <v>235814</v>
      </c>
      <c r="BK55" s="440">
        <f>SUMIF('Argus Drop'!$D:$D,$A55,'Argus Drop'!BO:BO)</f>
        <v>216741</v>
      </c>
      <c r="BL55" s="440">
        <f>SUMIF('Argus Drop'!$D:$D,$A55,'Argus Drop'!BP:BP)</f>
        <v>180778</v>
      </c>
      <c r="BM55" s="440">
        <f>SUMIF('Argus Drop'!$D:$D,$A55,'Argus Drop'!BQ:BQ)</f>
        <v>99645</v>
      </c>
      <c r="BN55" s="440">
        <f>SUMIF('Argus Drop'!$D:$D,$A55,'Argus Drop'!BR:BR)</f>
        <v>78603</v>
      </c>
      <c r="BO55" s="440">
        <f>SUMIF('Argus Drop'!$D:$D,$A55,'Argus Drop'!BS:BS)</f>
        <v>245194</v>
      </c>
      <c r="BP55" s="440">
        <f>SUMIF('Argus Drop'!$D:$D,$A55,'Argus Drop'!BT:BT)</f>
        <v>245806</v>
      </c>
      <c r="BQ55" s="440">
        <f>SUMIF('Argus Drop'!$D:$D,$A55,'Argus Drop'!BU:BU)</f>
        <v>245806</v>
      </c>
      <c r="BR55" s="440">
        <f>SUMIF('Argus Drop'!$D:$D,$A55,'Argus Drop'!BV:BV)</f>
        <v>246344</v>
      </c>
      <c r="BS55" s="440">
        <f>SUMIF('Argus Drop'!$D:$D,$A55,'Argus Drop'!BW:BW)</f>
        <v>246733</v>
      </c>
      <c r="BT55" s="440">
        <f>SUMIF('Argus Drop'!$D:$D,$A55,'Argus Drop'!BX:BX)</f>
        <v>247245</v>
      </c>
      <c r="BU55" s="440">
        <f>SUMIF('Argus Drop'!$D:$D,$A55,'Argus Drop'!BY:BY)</f>
        <v>247245</v>
      </c>
      <c r="BV55" s="440">
        <f>SUMIF('Argus Drop'!$D:$D,$A55,'Argus Drop'!BZ:BZ)</f>
        <v>248190</v>
      </c>
      <c r="BW55" s="440">
        <f>SUMIF('Argus Drop'!$D:$D,$A55,'Argus Drop'!CA:CA)</f>
        <v>134874</v>
      </c>
      <c r="BX55" s="440">
        <f>SUMIF('Argus Drop'!$D:$D,$A55,'Argus Drop'!CB:CB)</f>
        <v>245297</v>
      </c>
      <c r="BY55" s="440">
        <f>SUMIF('Argus Drop'!$D:$D,$A55,'Argus Drop'!CC:CC)</f>
        <v>228689</v>
      </c>
      <c r="BZ55" s="440">
        <f>SUMIF('Argus Drop'!$D:$D,$A55,'Argus Drop'!CD:CD)</f>
        <v>229552</v>
      </c>
      <c r="CA55" s="440">
        <f>SUMIF('Argus Drop'!$D:$D,$A55,'Argus Drop'!CE:CE)</f>
        <v>175426</v>
      </c>
      <c r="CB55" s="440">
        <f>SUMIF('Argus Drop'!$D:$D,$A55,'Argus Drop'!CF:CF)</f>
        <v>237185</v>
      </c>
      <c r="CC55" s="440">
        <f>SUMIF('Argus Drop'!$D:$D,$A55,'Argus Drop'!CG:CG)</f>
        <v>249224</v>
      </c>
      <c r="CD55" s="440">
        <f>SUMIF('Argus Drop'!$D:$D,$A55,'Argus Drop'!CH:CH)</f>
        <v>249778</v>
      </c>
      <c r="CE55" s="440">
        <f>SUMIF('Argus Drop'!$D:$D,$A55,'Argus Drop'!CI:CI)</f>
        <v>226951</v>
      </c>
      <c r="CF55" s="440">
        <f>SUMIF('Argus Drop'!$D:$D,$A55,'Argus Drop'!CJ:CJ)</f>
        <v>227158</v>
      </c>
      <c r="CG55" s="440">
        <f>SUMIF('Argus Drop'!$D:$D,$A55,'Argus Drop'!CK:CK)</f>
        <v>156272</v>
      </c>
      <c r="CH55" s="440">
        <f>SUMIF('Argus Drop'!$D:$D,$A55,'Argus Drop'!CL:CL)</f>
        <v>198532</v>
      </c>
      <c r="CI55" s="440">
        <f>SUMIF('Argus Drop'!$D:$D,$A55,'Argus Drop'!CM:CM)</f>
        <v>167030</v>
      </c>
      <c r="CJ55" s="440">
        <f>SUMIF('Argus Drop'!$D:$D,$A55,'Argus Drop'!CN:CN)</f>
        <v>45869</v>
      </c>
      <c r="CK55" s="440">
        <f>SUMIF('Argus Drop'!$D:$D,$A55,'Argus Drop'!CO:CO)</f>
        <v>52349</v>
      </c>
      <c r="CL55" s="440">
        <f>SUMIF('Argus Drop'!$D:$D,$A55,'Argus Drop'!CP:CP)</f>
        <v>255145</v>
      </c>
      <c r="CM55" s="440">
        <f>SUMIF('Argus Drop'!$D:$D,$A55,'Argus Drop'!CQ:CQ)</f>
        <v>217706</v>
      </c>
      <c r="CN55" s="440">
        <f>SUMIF('Argus Drop'!$D:$D,$A55,'Argus Drop'!CR:CR)</f>
        <v>184935</v>
      </c>
      <c r="CO55" s="440">
        <f>SUMIF('Argus Drop'!$D:$D,$A55,'Argus Drop'!CS:CS)</f>
        <v>184935</v>
      </c>
      <c r="CP55" s="440">
        <f>SUMIF('Argus Drop'!$D:$D,$A55,'Argus Drop'!CT:CT)</f>
        <v>51904</v>
      </c>
      <c r="CQ55" s="440">
        <f>SUMIF('Argus Drop'!$D:$D,$A55,'Argus Drop'!CU:CU)</f>
        <v>166582</v>
      </c>
      <c r="CR55" s="440">
        <f>SUMIF('Argus Drop'!$D:$D,$A55,'Argus Drop'!CV:CV)</f>
        <v>-61925</v>
      </c>
      <c r="CS55" s="440">
        <f>SUMIF('Argus Drop'!$D:$D,$A55,'Argus Drop'!CW:CW)</f>
        <v>179143</v>
      </c>
      <c r="CT55" s="440">
        <f>SUMIF('Argus Drop'!$D:$D,$A55,'Argus Drop'!CX:CX)</f>
        <v>229856</v>
      </c>
      <c r="CU55" s="440">
        <f>SUMIF('Argus Drop'!$D:$D,$A55,'Argus Drop'!CY:CY)</f>
        <v>242910</v>
      </c>
      <c r="CV55" s="440">
        <f>SUMIF('Argus Drop'!$D:$D,$A55,'Argus Drop'!CZ:CZ)</f>
        <v>208416</v>
      </c>
      <c r="CW55" s="440">
        <f>SUMIF('Argus Drop'!$D:$D,$A55,'Argus Drop'!DA:DA)</f>
        <v>249440</v>
      </c>
      <c r="CX55" s="440">
        <f>SUMIF('Argus Drop'!$D:$D,$A55,'Argus Drop'!DB:DB)</f>
        <v>259309</v>
      </c>
      <c r="CY55" s="440">
        <f>SUMIF('Argus Drop'!$D:$D,$A55,'Argus Drop'!DC:DC)</f>
        <v>259681</v>
      </c>
      <c r="CZ55" s="440">
        <f>SUMIF('Argus Drop'!$D:$D,$A55,'Argus Drop'!DD:DD)</f>
        <v>259681</v>
      </c>
      <c r="DA55" s="440">
        <f>SUMIF('Argus Drop'!$D:$D,$A55,'Argus Drop'!DE:DE)</f>
        <v>259681</v>
      </c>
      <c r="DB55" s="440">
        <f>SUMIF('Argus Drop'!$D:$D,$A55,'Argus Drop'!DF:DF)</f>
        <v>260350</v>
      </c>
      <c r="DC55" s="440">
        <f>SUMIF('Argus Drop'!$D:$D,$A55,'Argus Drop'!DG:DG)</f>
        <v>260350</v>
      </c>
      <c r="DD55" s="440">
        <f>SUMIF('Argus Drop'!$D:$D,$A55,'Argus Drop'!DH:DH)</f>
        <v>250483</v>
      </c>
      <c r="DE55" s="440">
        <f>SUMIF('Argus Drop'!$D:$D,$A55,'Argus Drop'!DI:DI)</f>
        <v>251342</v>
      </c>
      <c r="DF55" s="440">
        <f>SUMIF('Argus Drop'!$D:$D,$A55,'Argus Drop'!DJ:DJ)</f>
        <v>217260</v>
      </c>
      <c r="DG55" s="440">
        <f>SUMIF('Argus Drop'!$D:$D,$A55,'Argus Drop'!DK:DK)</f>
        <v>255863</v>
      </c>
      <c r="DH55" s="440">
        <f>SUMIF('Argus Drop'!$D:$D,$A55,'Argus Drop'!DL:DL)</f>
        <v>264401</v>
      </c>
      <c r="DI55" s="440">
        <f>SUMIF('Argus Drop'!$D:$D,$A55,'Argus Drop'!DM:DM)</f>
        <v>266676</v>
      </c>
      <c r="DJ55" s="440">
        <f>SUMIF('Argus Drop'!$D:$D,$A55,'Argus Drop'!DN:DN)</f>
        <v>267236</v>
      </c>
      <c r="DK55" s="440">
        <f>SUMIF('Argus Drop'!$D:$D,$A55,'Argus Drop'!DO:DO)</f>
        <v>267619</v>
      </c>
      <c r="DL55" s="440">
        <f>SUMIF('Argus Drop'!$D:$D,$A55,'Argus Drop'!DP:DP)</f>
        <v>267619</v>
      </c>
      <c r="DM55" s="440">
        <f>SUMIF('Argus Drop'!$D:$D,$A55,'Argus Drop'!DQ:DQ)</f>
        <v>267619</v>
      </c>
      <c r="DN55" s="440">
        <f>SUMIF('Argus Drop'!$D:$D,$A55,'Argus Drop'!DR:DR)</f>
        <v>268307</v>
      </c>
      <c r="DO55" s="440">
        <f>SUMIF('Argus Drop'!$D:$D,$A55,'Argus Drop'!DS:DS)</f>
        <v>268307</v>
      </c>
      <c r="DP55" s="440">
        <f>SUMIF('Argus Drop'!$D:$D,$A55,'Argus Drop'!DT:DT)</f>
        <v>269907</v>
      </c>
      <c r="DQ55" s="440">
        <f>SUMIF('Argus Drop'!$D:$D,$A55,'Argus Drop'!DU:DU)</f>
        <v>270792</v>
      </c>
      <c r="DR55" s="440">
        <f>SUMIF('Argus Drop'!$D:$D,$A55,'Argus Drop'!DV:DV)</f>
        <v>271018</v>
      </c>
      <c r="DS55" s="440"/>
      <c r="DT55" s="440"/>
      <c r="DU55" s="440"/>
      <c r="DV55" s="440"/>
      <c r="DW55" s="440"/>
      <c r="DX55" s="440"/>
      <c r="DY55" s="440"/>
      <c r="DZ55" s="440"/>
      <c r="EA55" s="440"/>
      <c r="EB55" s="440"/>
      <c r="EC55" s="440"/>
      <c r="ED55" s="1419"/>
      <c r="EE55" s="1419"/>
      <c r="EF55" s="1419"/>
      <c r="EG55" s="1419"/>
      <c r="EH55" s="1419"/>
      <c r="EI55" s="1419"/>
      <c r="EJ55" s="1419"/>
      <c r="EK55" s="1419"/>
      <c r="EL55" s="1419"/>
      <c r="EM55" s="1419"/>
      <c r="EN55" s="1419"/>
      <c r="EO55" s="1419"/>
      <c r="EP55" s="1419"/>
      <c r="EQ55" s="1419"/>
      <c r="ER55" s="1419"/>
      <c r="ES55" s="1419"/>
      <c r="ET55" s="1419"/>
      <c r="EU55" s="1419"/>
      <c r="EV55" s="1419"/>
      <c r="EW55" s="1419"/>
      <c r="EX55" s="1419"/>
      <c r="EY55" s="1419"/>
      <c r="EZ55" s="1419"/>
      <c r="FA55" s="1419"/>
      <c r="FB55" s="1419"/>
      <c r="FC55" s="1419"/>
      <c r="FD55" s="1419"/>
      <c r="FE55" s="1419"/>
      <c r="FF55" s="1419"/>
      <c r="FG55" s="1419"/>
      <c r="FH55" s="1419"/>
      <c r="FI55" s="1419"/>
    </row>
    <row r="56" spans="1:165">
      <c r="A56" s="448" t="str">
        <f>IF(+'Argus Drop'!B60="","",'Argus Drop'!B60)</f>
        <v/>
      </c>
      <c r="B56" s="440" t="str">
        <f>IF(A56="","",+SUMIF('Argus Drop'!$D$7:$D$64,$A56,'Argus Drop'!#REF!))</f>
        <v/>
      </c>
      <c r="C56" s="440" t="str">
        <f>IF(B56="","",+SUMIF('Argus Drop'!$D$7:$D$64,$A56,'Argus Drop'!#REF!))</f>
        <v/>
      </c>
      <c r="D56" s="440" t="str">
        <f>IF(C56="","",+SUMIF('Argus Drop'!$D$7:$D$64,$A56,'Argus Drop'!#REF!))</f>
        <v/>
      </c>
      <c r="E56" s="440" t="str">
        <f>IF(D56="","",+SUMIF('Argus Drop'!$D$7:$D$64,$A56,'Argus Drop'!#REF!))</f>
        <v/>
      </c>
      <c r="F56" s="440" t="str">
        <f>IF(E56="","",+SUMIF('Argus Drop'!$D$7:$D$64,$A56,'Argus Drop'!#REF!))</f>
        <v/>
      </c>
      <c r="G56" s="440" t="str">
        <f>IF(F56="","",+SUMIF('Argus Drop'!$D$7:$D$64,$A56,'Argus Drop'!#REF!))</f>
        <v/>
      </c>
      <c r="H56" s="440" t="str">
        <f>IF(G56="","",+SUMIF('Argus Drop'!$D$7:$D$64,$A56,'Argus Drop'!#REF!))</f>
        <v/>
      </c>
      <c r="I56" s="440" t="str">
        <f>IF(H56="","",+SUMIF('Argus Drop'!$D$7:$D$64,$A56,'Argus Drop'!#REF!))</f>
        <v/>
      </c>
      <c r="J56" s="440" t="str">
        <f>IF(I56="","",+SUMIF('Argus Drop'!$D$7:$D$64,$A56,'Argus Drop'!#REF!))</f>
        <v/>
      </c>
      <c r="K56" s="440" t="str">
        <f>IF(J56="","",+SUMIF('Argus Drop'!$D$7:$D$64,$A56,'Argus Drop'!#REF!))</f>
        <v/>
      </c>
      <c r="L56" s="440" t="str">
        <f>IF(K56="","",+SUMIF('Argus Drop'!$D$7:$D$64,$A56,'Argus Drop'!#REF!))</f>
        <v/>
      </c>
      <c r="M56" s="440" t="str">
        <f>IF(L56="","",+SUMIF('Argus Drop'!$D$7:$D$64,$A56,'Argus Drop'!#REF!))</f>
        <v/>
      </c>
      <c r="N56" s="440" t="str">
        <f>IF(M56="","",+SUMIF('Argus Drop'!$D$7:$D$64,$A56,'Argus Drop'!#REF!))</f>
        <v/>
      </c>
      <c r="O56" s="440" t="str">
        <f>IF(N56="","",+SUMIF('Argus Drop'!$D$7:$D$64,$A56,'Argus Drop'!#REF!))</f>
        <v/>
      </c>
      <c r="P56" s="440" t="str">
        <f>IF(O56="","",+SUMIF('Argus Drop'!$D$7:$D$64,$A56,'Argus Drop'!#REF!))</f>
        <v/>
      </c>
      <c r="Q56" s="440" t="str">
        <f>IF(P56="","",+SUMIF('Argus Drop'!$D$7:$D$64,$A56,'Argus Drop'!#REF!))</f>
        <v/>
      </c>
      <c r="R56" s="440" t="str">
        <f>IF(Q56="","",+SUMIF('Argus Drop'!$D$7:$D$64,$A56,'Argus Drop'!#REF!))</f>
        <v/>
      </c>
      <c r="S56" s="440" t="str">
        <f>IF(R56="","",+SUMIF('Argus Drop'!$D$7:$D$64,$A56,'Argus Drop'!#REF!))</f>
        <v/>
      </c>
      <c r="T56" s="440" t="str">
        <f>IF(S56="","",+SUMIF('Argus Drop'!$D$7:$D$64,$A56,'Argus Drop'!#REF!))</f>
        <v/>
      </c>
      <c r="U56" s="440" t="str">
        <f>IF(T56="","",+SUMIF('Argus Drop'!$D$7:$D$64,$A56,'Argus Drop'!#REF!))</f>
        <v/>
      </c>
      <c r="V56" s="440" t="str">
        <f>IF(U56="","",+SUMIF('Argus Drop'!$D$7:$D$64,$A56,'Argus Drop'!#REF!))</f>
        <v/>
      </c>
      <c r="W56" s="440" t="str">
        <f>IF(V56="","",+SUMIF('Argus Drop'!$D$7:$D$64,$A56,'Argus Drop'!#REF!))</f>
        <v/>
      </c>
      <c r="X56" s="440" t="str">
        <f>IF(W56="","",+SUMIF('Argus Drop'!$D$7:$D$64,$A56,'Argus Drop'!#REF!))</f>
        <v/>
      </c>
      <c r="Y56" s="440" t="str">
        <f>IF(X56="","",+SUMIF('Argus Drop'!$D$7:$D$64,$A56,'Argus Drop'!#REF!))</f>
        <v/>
      </c>
      <c r="Z56" s="440" t="str">
        <f>IF(Y56="","",+SUMIF('Argus Drop'!$D$7:$D$64,$A56,'Argus Drop'!#REF!))</f>
        <v/>
      </c>
      <c r="AA56" s="440" t="str">
        <f>IF(Z56="","",+SUMIF('Argus Drop'!$D$7:$D$64,$A56,'Argus Drop'!#REF!))</f>
        <v/>
      </c>
      <c r="AB56" s="440" t="str">
        <f>IF(AA56="","",+SUMIF('Argus Drop'!$D$7:$D$64,$A56,'Argus Drop'!#REF!))</f>
        <v/>
      </c>
      <c r="AC56" s="440" t="str">
        <f>IF(AB56="","",+SUMIF('Argus Drop'!$D$7:$D$64,$A56,'Argus Drop'!#REF!))</f>
        <v/>
      </c>
      <c r="AD56" s="440" t="str">
        <f>IF(AC56="","",+SUMIF('Argus Drop'!$D$7:$D$64,$A56,'Argus Drop'!#REF!))</f>
        <v/>
      </c>
      <c r="AE56" s="440" t="str">
        <f>IF(AD56="","",+SUMIF('Argus Drop'!$D$7:$D$64,$A56,'Argus Drop'!#REF!))</f>
        <v/>
      </c>
      <c r="AF56" s="440" t="str">
        <f>IF(AE56="","",+SUMIF('Argus Drop'!$D$7:$D$64,$A56,'Argus Drop'!#REF!))</f>
        <v/>
      </c>
      <c r="AG56" s="440" t="str">
        <f>IF(AF56="","",+SUMIF('Argus Drop'!$D$7:$D$64,$A56,'Argus Drop'!#REF!))</f>
        <v/>
      </c>
      <c r="AH56" s="440" t="str">
        <f>IF(AG56="","",+SUMIF('Argus Drop'!$D$7:$D$64,$A56,'Argus Drop'!#REF!))</f>
        <v/>
      </c>
      <c r="AI56" s="440" t="str">
        <f>IF(AH56="","",+SUMIF('Argus Drop'!$D$7:$D$64,$A56,'Argus Drop'!#REF!))</f>
        <v/>
      </c>
      <c r="AJ56" s="440" t="str">
        <f>IF(AI56="","",+SUMIF('Argus Drop'!$D$7:$D$64,$A56,'Argus Drop'!#REF!))</f>
        <v/>
      </c>
      <c r="AK56" s="440" t="str">
        <f>IF(AJ56="","",+SUMIF('Argus Drop'!$D$7:$D$64,$A56,'Argus Drop'!#REF!))</f>
        <v/>
      </c>
      <c r="AL56" s="440" t="str">
        <f>IF(AK56="","",+SUMIF('Argus Drop'!$D$7:$D$64,$A56,'Argus Drop'!#REF!))</f>
        <v/>
      </c>
      <c r="AM56" s="440" t="str">
        <f>IF(AL56="","",+SUMIF('Argus Drop'!$D$7:$D$64,$A56,'Argus Drop'!#REF!))</f>
        <v/>
      </c>
      <c r="AN56" s="440" t="str">
        <f>IF(AM56="","",+SUMIF('Argus Drop'!$D$7:$D$64,$A56,'Argus Drop'!#REF!))</f>
        <v/>
      </c>
      <c r="AO56" s="440" t="str">
        <f>IF(AN56="","",+SUMIF('Argus Drop'!$D$7:$D$64,$A56,'Argus Drop'!#REF!))</f>
        <v/>
      </c>
      <c r="AP56" s="440" t="str">
        <f>IF(AO56="","",+SUMIF('Argus Drop'!$D$7:$D$64,$A56,'Argus Drop'!#REF!))</f>
        <v/>
      </c>
      <c r="AQ56" s="440" t="str">
        <f>IF(AP56="","",+SUMIF('Argus Drop'!$D$7:$D$64,$A56,'Argus Drop'!#REF!))</f>
        <v/>
      </c>
      <c r="AR56" s="440" t="str">
        <f>IF(AQ56="","",+SUMIF('Argus Drop'!$D$7:$D$64,$A56,'Argus Drop'!#REF!))</f>
        <v/>
      </c>
      <c r="AS56" s="440" t="str">
        <f>IF(AR56="","",+SUMIF('Argus Drop'!$D$7:$D$64,$A56,'Argus Drop'!#REF!))</f>
        <v/>
      </c>
      <c r="AT56" s="440" t="str">
        <f>IF(AS56="","",+SUMIF('Argus Drop'!$D$7:$D$64,$A56,'Argus Drop'!#REF!))</f>
        <v/>
      </c>
      <c r="AU56" s="440" t="str">
        <f>IF(AT56="","",+SUMIF('Argus Drop'!$D$7:$D$64,$A56,'Argus Drop'!#REF!))</f>
        <v/>
      </c>
      <c r="AV56" s="440" t="str">
        <f>IF(AU56="","",+SUMIF('Argus Drop'!$D$7:$D$64,$A56,'Argus Drop'!#REF!))</f>
        <v/>
      </c>
      <c r="AW56" s="440" t="str">
        <f>IF(AV56="","",+SUMIF('Argus Drop'!$D$7:$D$64,$A56,'Argus Drop'!#REF!))</f>
        <v/>
      </c>
      <c r="AX56" s="440" t="str">
        <f>IF(AW56="","",+SUMIF('Argus Drop'!$D$7:$D$64,$A56,'Argus Drop'!#REF!))</f>
        <v/>
      </c>
      <c r="AY56" s="440" t="str">
        <f>IF(AX56="","",+SUMIF('Argus Drop'!$D$7:$D$64,$A56,'Argus Drop'!#REF!))</f>
        <v/>
      </c>
      <c r="AZ56" s="440" t="str">
        <f>IF(AY56="","",+SUMIF('Argus Drop'!$D$7:$D$64,$A56,'Argus Drop'!#REF!))</f>
        <v/>
      </c>
      <c r="BA56" s="440" t="str">
        <f>IF(AZ56="","",+SUMIF('Argus Drop'!$D$7:$D$64,$A56,'Argus Drop'!#REF!))</f>
        <v/>
      </c>
      <c r="BB56" s="440" t="str">
        <f>IF(BA56="","",+SUMIF('Argus Drop'!$D$7:$D$64,$A56,'Argus Drop'!#REF!))</f>
        <v/>
      </c>
      <c r="BC56" s="440" t="str">
        <f>IF(BB56="","",+SUMIF('Argus Drop'!$D$7:$D$64,$A56,'Argus Drop'!#REF!))</f>
        <v/>
      </c>
      <c r="BD56" s="440" t="str">
        <f>IF(BC56="","",+SUMIF('Argus Drop'!$D$7:$D$64,$A56,'Argus Drop'!#REF!))</f>
        <v/>
      </c>
      <c r="BE56" s="440" t="str">
        <f>IF(BD56="","",+SUMIF('Argus Drop'!$D$7:$D$64,$A56,'Argus Drop'!#REF!))</f>
        <v/>
      </c>
      <c r="BF56" s="440" t="str">
        <f>IF(BE56="","",+SUMIF('Argus Drop'!$D$7:$D$64,$A56,'Argus Drop'!#REF!))</f>
        <v/>
      </c>
      <c r="BG56" s="440" t="str">
        <f>IF(BF56="","",+SUMIF('Argus Drop'!$D$7:$D$64,$A56,'Argus Drop'!#REF!))</f>
        <v/>
      </c>
      <c r="BH56" s="440" t="str">
        <f>IF(BG56="","",+SUMIF('Argus Drop'!$D$7:$D$64,$A56,'Argus Drop'!#REF!))</f>
        <v/>
      </c>
      <c r="BI56" s="440" t="str">
        <f>IF(BH56="","",+SUMIF('Argus Drop'!$D$7:$D$64,$A56,'Argus Drop'!#REF!))</f>
        <v/>
      </c>
      <c r="BJ56" s="440" t="str">
        <f>IF(BI56="","",+SUMIF('Argus Drop'!$D$7:$D$64,$A56,'Argus Drop'!#REF!))</f>
        <v/>
      </c>
      <c r="BK56" s="440" t="str">
        <f>IF(BJ56="","",+SUMIF('Argus Drop'!$D$7:$D$64,$A56,'Argus Drop'!#REF!))</f>
        <v/>
      </c>
      <c r="BL56" s="440" t="str">
        <f>IF(BK56="","",+SUMIF('Argus Drop'!$D$7:$D$64,$A56,'Argus Drop'!#REF!))</f>
        <v/>
      </c>
      <c r="BM56" s="440" t="str">
        <f>IF(BL56="","",+SUMIF('Argus Drop'!$D$7:$D$64,$A56,'Argus Drop'!#REF!))</f>
        <v/>
      </c>
      <c r="BN56" s="440" t="str">
        <f>IF(BM56="","",+SUMIF('Argus Drop'!$D$7:$D$64,$A56,'Argus Drop'!#REF!))</f>
        <v/>
      </c>
      <c r="BO56" s="440" t="str">
        <f>IF(BN56="","",+SUMIF('Argus Drop'!$D$7:$D$64,$A56,'Argus Drop'!#REF!))</f>
        <v/>
      </c>
      <c r="BP56" s="440" t="str">
        <f>IF(BO56="","",+SUMIF('Argus Drop'!$D$7:$D$64,$A56,'Argus Drop'!#REF!))</f>
        <v/>
      </c>
      <c r="BQ56" s="440" t="str">
        <f>IF(BP56="","",+SUMIF('Argus Drop'!$D$7:$D$64,$A56,'Argus Drop'!#REF!))</f>
        <v/>
      </c>
      <c r="BR56" s="440" t="str">
        <f>IF(BQ56="","",+SUMIF('Argus Drop'!$D$7:$D$64,$A56,'Argus Drop'!#REF!))</f>
        <v/>
      </c>
      <c r="BS56" s="440" t="str">
        <f>IF(BR56="","",+SUMIF('Argus Drop'!$D$7:$D$64,$A56,'Argus Drop'!#REF!))</f>
        <v/>
      </c>
      <c r="BT56" s="440" t="str">
        <f>IF(BS56="","",+SUMIF('Argus Drop'!$D$7:$D$64,$A56,'Argus Drop'!#REF!))</f>
        <v/>
      </c>
      <c r="BU56" s="440" t="str">
        <f>IF(BT56="","",+SUMIF('Argus Drop'!$D$7:$D$64,$A56,'Argus Drop'!#REF!))</f>
        <v/>
      </c>
      <c r="BV56" s="440" t="str">
        <f>IF(BU56="","",+SUMIF('Argus Drop'!$D$7:$D$64,$A56,'Argus Drop'!#REF!))</f>
        <v/>
      </c>
      <c r="BW56" s="440" t="str">
        <f>IF(BV56="","",+SUMIF('Argus Drop'!$D$7:$D$64,$A56,'Argus Drop'!#REF!))</f>
        <v/>
      </c>
      <c r="BX56" s="440" t="str">
        <f>IF(BW56="","",+SUMIF('Argus Drop'!$D$7:$D$64,$A56,'Argus Drop'!#REF!))</f>
        <v/>
      </c>
      <c r="BY56" s="440" t="str">
        <f>IF(BX56="","",+SUMIF('Argus Drop'!$D$7:$D$64,$A56,'Argus Drop'!#REF!))</f>
        <v/>
      </c>
      <c r="BZ56" s="440" t="str">
        <f>IF(BY56="","",+SUMIF('Argus Drop'!$D$7:$D$64,$A56,'Argus Drop'!#REF!))</f>
        <v/>
      </c>
      <c r="CA56" s="440" t="str">
        <f>IF(BZ56="","",+SUMIF('Argus Drop'!$D$7:$D$64,$A56,'Argus Drop'!#REF!))</f>
        <v/>
      </c>
      <c r="CB56" s="440" t="str">
        <f>IF(CA56="","",+SUMIF('Argus Drop'!$D$7:$D$64,$A56,'Argus Drop'!#REF!))</f>
        <v/>
      </c>
      <c r="CC56" s="440" t="str">
        <f>IF(CB56="","",+SUMIF('Argus Drop'!$D$7:$D$64,$A56,'Argus Drop'!#REF!))</f>
        <v/>
      </c>
      <c r="CD56" s="440" t="str">
        <f>IF(CC56="","",+SUMIF('Argus Drop'!$D$7:$D$64,$A56,'Argus Drop'!#REF!))</f>
        <v/>
      </c>
      <c r="CE56" s="440" t="str">
        <f>IF(CD56="","",+SUMIF('Argus Drop'!$D$7:$D$64,$A56,'Argus Drop'!#REF!))</f>
        <v/>
      </c>
      <c r="CF56" s="440" t="str">
        <f>IF(CE56="","",+SUMIF('Argus Drop'!$D$7:$D$64,$A56,'Argus Drop'!#REF!))</f>
        <v/>
      </c>
      <c r="CG56" s="440" t="str">
        <f>IF(CF56="","",+SUMIF('Argus Drop'!$D$7:$D$64,$A56,'Argus Drop'!#REF!))</f>
        <v/>
      </c>
      <c r="CH56" s="440" t="str">
        <f>IF(CG56="","",+SUMIF('Argus Drop'!$D$7:$D$64,$A56,'Argus Drop'!#REF!))</f>
        <v/>
      </c>
      <c r="CI56" s="440" t="str">
        <f>IF(CH56="","",+SUMIF('Argus Drop'!$D$7:$D$64,$A56,'Argus Drop'!#REF!))</f>
        <v/>
      </c>
      <c r="CJ56" s="440" t="str">
        <f>IF(CI56="","",+SUMIF('Argus Drop'!$D$7:$D$64,$A56,'Argus Drop'!#REF!))</f>
        <v/>
      </c>
      <c r="CK56" s="440" t="str">
        <f>IF(CJ56="","",+SUMIF('Argus Drop'!$D$7:$D$64,$A56,'Argus Drop'!#REF!))</f>
        <v/>
      </c>
      <c r="CL56" s="440" t="str">
        <f>IF(CK56="","",+SUMIF('Argus Drop'!$D$7:$D$64,$A56,'Argus Drop'!#REF!))</f>
        <v/>
      </c>
      <c r="CM56" s="440" t="str">
        <f>IF(CL56="","",+SUMIF('Argus Drop'!$D$7:$D$64,$A56,'Argus Drop'!#REF!))</f>
        <v/>
      </c>
      <c r="CN56" s="440" t="str">
        <f>IF(CM56="","",+SUMIF('Argus Drop'!$D$7:$D$64,$A56,'Argus Drop'!#REF!))</f>
        <v/>
      </c>
      <c r="CO56" s="440" t="str">
        <f>IF(CN56="","",+SUMIF('Argus Drop'!$D$7:$D$64,$A56,'Argus Drop'!#REF!))</f>
        <v/>
      </c>
      <c r="CP56" s="440" t="str">
        <f>IF(CO56="","",+SUMIF('Argus Drop'!$D$7:$D$64,$A56,'Argus Drop'!#REF!))</f>
        <v/>
      </c>
      <c r="CQ56" s="440" t="str">
        <f>IF(CP56="","",+SUMIF('Argus Drop'!$D$7:$D$64,$A56,'Argus Drop'!#REF!))</f>
        <v/>
      </c>
      <c r="CR56" s="440" t="str">
        <f>IF(CQ56="","",+SUMIF('Argus Drop'!$D$7:$D$64,$A56,'Argus Drop'!#REF!))</f>
        <v/>
      </c>
      <c r="CS56" s="440" t="str">
        <f>IF(CR56="","",+SUMIF('Argus Drop'!$D$7:$D$64,$A56,'Argus Drop'!#REF!))</f>
        <v/>
      </c>
      <c r="CT56" s="440" t="str">
        <f>IF(CS56="","",+SUMIF('Argus Drop'!$D$7:$D$64,$A56,'Argus Drop'!#REF!))</f>
        <v/>
      </c>
      <c r="CU56" s="440" t="str">
        <f>IF(CT56="","",+SUMIF('Argus Drop'!$D$7:$D$64,$A56,'Argus Drop'!#REF!))</f>
        <v/>
      </c>
      <c r="CV56" s="440" t="str">
        <f>IF(CU56="","",+SUMIF('Argus Drop'!$D$7:$D$64,$A56,'Argus Drop'!#REF!))</f>
        <v/>
      </c>
      <c r="CW56" s="440" t="str">
        <f>IF(CV56="","",+SUMIF('Argus Drop'!$D$7:$D$64,$A56,'Argus Drop'!#REF!))</f>
        <v/>
      </c>
      <c r="CX56" s="440" t="str">
        <f>IF(CW56="","",+SUMIF('Argus Drop'!$D$7:$D$64,$A56,'Argus Drop'!#REF!))</f>
        <v/>
      </c>
      <c r="CY56" s="440" t="str">
        <f>IF(CX56="","",+SUMIF('Argus Drop'!$D$7:$D$64,$A56,'Argus Drop'!#REF!))</f>
        <v/>
      </c>
      <c r="CZ56" s="440" t="str">
        <f>IF(CY56="","",+SUMIF('Argus Drop'!$D$7:$D$64,$A56,'Argus Drop'!#REF!))</f>
        <v/>
      </c>
      <c r="DA56" s="440" t="str">
        <f>IF(CZ56="","",+SUMIF('Argus Drop'!$D$7:$D$64,$A56,'Argus Drop'!#REF!))</f>
        <v/>
      </c>
      <c r="DB56" s="440" t="str">
        <f>IF(DA56="","",+SUMIF('Argus Drop'!$D$7:$D$64,$A56,'Argus Drop'!#REF!))</f>
        <v/>
      </c>
      <c r="DC56" s="440" t="str">
        <f>IF(DB56="","",+SUMIF('Argus Drop'!$D$7:$D$64,$A56,'Argus Drop'!#REF!))</f>
        <v/>
      </c>
      <c r="DD56" s="440" t="str">
        <f>IF(DC56="","",+SUMIF('Argus Drop'!$D$7:$D$64,$A56,'Argus Drop'!#REF!))</f>
        <v/>
      </c>
      <c r="DE56" s="440" t="str">
        <f>IF(DD56="","",+SUMIF('Argus Drop'!$D$7:$D$64,$A56,'Argus Drop'!#REF!))</f>
        <v/>
      </c>
      <c r="DF56" s="440" t="str">
        <f>IF(DE56="","",+SUMIF('Argus Drop'!$D$7:$D$64,$A56,'Argus Drop'!#REF!))</f>
        <v/>
      </c>
      <c r="DG56" s="440" t="str">
        <f>IF(DF56="","",+SUMIF('Argus Drop'!$D$7:$D$64,$A56,'Argus Drop'!#REF!))</f>
        <v/>
      </c>
      <c r="DH56" s="440" t="str">
        <f>IF(DG56="","",+SUMIF('Argus Drop'!$D$7:$D$64,$A56,'Argus Drop'!#REF!))</f>
        <v/>
      </c>
      <c r="DI56" s="440" t="str">
        <f>IF(DH56="","",+SUMIF('Argus Drop'!$D$7:$D$64,$A56,'Argus Drop'!#REF!))</f>
        <v/>
      </c>
      <c r="DJ56" s="440" t="str">
        <f>IF(DI56="","",+SUMIF('Argus Drop'!$D$7:$D$64,$A56,'Argus Drop'!#REF!))</f>
        <v/>
      </c>
      <c r="DK56" s="440" t="str">
        <f>IF(DJ56="","",+SUMIF('Argus Drop'!$D$7:$D$64,$A56,'Argus Drop'!#REF!))</f>
        <v/>
      </c>
      <c r="DL56" s="440" t="str">
        <f>IF(DK56="","",+SUMIF('Argus Drop'!$D$7:$D$64,$A56,'Argus Drop'!#REF!))</f>
        <v/>
      </c>
      <c r="DM56" s="440" t="str">
        <f>IF(DL56="","",+SUMIF('Argus Drop'!$D$7:$D$64,$A56,'Argus Drop'!#REF!))</f>
        <v/>
      </c>
      <c r="DN56" s="440" t="str">
        <f>IF(DM56="","",+SUMIF('Argus Drop'!$D$7:$D$64,$A56,'Argus Drop'!#REF!))</f>
        <v/>
      </c>
      <c r="DO56" s="440" t="str">
        <f>IF(DN56="","",+SUMIF('Argus Drop'!$D$7:$D$64,$A56,'Argus Drop'!#REF!))</f>
        <v/>
      </c>
      <c r="DP56" s="440" t="str">
        <f>IF(DO56="","",+SUMIF('Argus Drop'!$D$7:$D$64,$A56,'Argus Drop'!#REF!))</f>
        <v/>
      </c>
      <c r="DQ56" s="440" t="str">
        <f>IF(DP56="","",+SUMIF('Argus Drop'!$D$7:$D$64,$A56,'Argus Drop'!#REF!))</f>
        <v/>
      </c>
      <c r="DR56" s="440" t="str">
        <f>IF(DQ56="","",+SUMIF('Argus Drop'!$D$7:$D$64,$A56,'Argus Drop'!#REF!))</f>
        <v/>
      </c>
      <c r="DS56" s="440"/>
      <c r="DT56" s="440"/>
      <c r="DU56" s="440"/>
      <c r="DV56" s="440"/>
      <c r="DW56" s="440"/>
      <c r="DX56" s="440"/>
      <c r="DY56" s="440"/>
      <c r="DZ56" s="440"/>
      <c r="EA56" s="440"/>
      <c r="EB56" s="440"/>
      <c r="EC56" s="440"/>
      <c r="ED56" s="1419"/>
      <c r="EE56" s="1419"/>
      <c r="EF56" s="1419"/>
      <c r="EG56" s="1419"/>
      <c r="EH56" s="1419"/>
      <c r="EI56" s="1419"/>
      <c r="EJ56" s="1419"/>
      <c r="EK56" s="1419"/>
      <c r="EL56" s="1419"/>
      <c r="EM56" s="1419"/>
      <c r="EN56" s="1419"/>
      <c r="EO56" s="1419"/>
      <c r="EP56" s="1419"/>
      <c r="EQ56" s="1419"/>
      <c r="ER56" s="1419"/>
      <c r="ES56" s="1419"/>
      <c r="ET56" s="1419"/>
      <c r="EU56" s="1419"/>
      <c r="EV56" s="1419"/>
      <c r="EW56" s="1419"/>
      <c r="EX56" s="1419"/>
      <c r="EY56" s="1419"/>
      <c r="EZ56" s="1419"/>
      <c r="FA56" s="1419"/>
      <c r="FB56" s="1419"/>
      <c r="FC56" s="1419"/>
      <c r="FD56" s="1419"/>
      <c r="FE56" s="1419"/>
      <c r="FF56" s="1419"/>
      <c r="FG56" s="1419"/>
      <c r="FH56" s="1419"/>
      <c r="FI56" s="1419"/>
    </row>
    <row r="57" spans="1:165">
      <c r="A57" s="448">
        <f>IF(+'Argus Drop'!B61="","",'Argus Drop'!B61)</f>
        <v>19</v>
      </c>
      <c r="B57" s="440">
        <f>SUMIF('Argus Drop'!$D:$D,$A57,'Argus Drop'!F:F)</f>
        <v>107898</v>
      </c>
      <c r="C57" s="440">
        <f>SUMIF('Argus Drop'!$D:$D,$A57,'Argus Drop'!G:G)</f>
        <v>5276</v>
      </c>
      <c r="D57" s="440">
        <f>SUMIF('Argus Drop'!$D:$D,$A57,'Argus Drop'!H:H)</f>
        <v>177713</v>
      </c>
      <c r="E57" s="440">
        <f>SUMIF('Argus Drop'!$D:$D,$A57,'Argus Drop'!I:I)</f>
        <v>-103744</v>
      </c>
      <c r="F57" s="440">
        <f>SUMIF('Argus Drop'!$D:$D,$A57,'Argus Drop'!J:J)</f>
        <v>130528</v>
      </c>
      <c r="G57" s="440">
        <f>SUMIF('Argus Drop'!$D:$D,$A57,'Argus Drop'!K:K)</f>
        <v>79028</v>
      </c>
      <c r="H57" s="440">
        <f>SUMIF('Argus Drop'!$D:$D,$A57,'Argus Drop'!L:L)</f>
        <v>55995</v>
      </c>
      <c r="I57" s="440">
        <f>SUMIF('Argus Drop'!$D:$D,$A57,'Argus Drop'!M:M)</f>
        <v>130996</v>
      </c>
      <c r="J57" s="440">
        <f>SUMIF('Argus Drop'!$D:$D,$A57,'Argus Drop'!N:N)</f>
        <v>133693</v>
      </c>
      <c r="K57" s="440">
        <f>SUMIF('Argus Drop'!$D:$D,$A57,'Argus Drop'!O:O)</f>
        <v>134029</v>
      </c>
      <c r="L57" s="440">
        <f>SUMIF('Argus Drop'!$D:$D,$A57,'Argus Drop'!P:P)</f>
        <v>119306</v>
      </c>
      <c r="M57" s="440">
        <f>SUMIF('Argus Drop'!$D:$D,$A57,'Argus Drop'!Q:Q)</f>
        <v>35233</v>
      </c>
      <c r="N57" s="440">
        <f>SUMIF('Argus Drop'!$D:$D,$A57,'Argus Drop'!R:R)</f>
        <v>138429</v>
      </c>
      <c r="O57" s="440">
        <f>SUMIF('Argus Drop'!$D:$D,$A57,'Argus Drop'!S:S)</f>
        <v>-129365</v>
      </c>
      <c r="P57" s="440">
        <f>SUMIF('Argus Drop'!$D:$D,$A57,'Argus Drop'!T:T)</f>
        <v>153134</v>
      </c>
      <c r="Q57" s="440">
        <f>SUMIF('Argus Drop'!$D:$D,$A57,'Argus Drop'!U:U)</f>
        <v>107564</v>
      </c>
      <c r="R57" s="440">
        <f>SUMIF('Argus Drop'!$D:$D,$A57,'Argus Drop'!V:V)</f>
        <v>160051</v>
      </c>
      <c r="S57" s="440">
        <f>SUMIF('Argus Drop'!$D:$D,$A57,'Argus Drop'!W:W)</f>
        <v>-828864</v>
      </c>
      <c r="T57" s="440">
        <f>SUMIF('Argus Drop'!$D:$D,$A57,'Argus Drop'!X:X)</f>
        <v>171616</v>
      </c>
      <c r="U57" s="440">
        <f>SUMIF('Argus Drop'!$D:$D,$A57,'Argus Drop'!Y:Y)</f>
        <v>171616</v>
      </c>
      <c r="V57" s="440">
        <f>SUMIF('Argus Drop'!$D:$D,$A57,'Argus Drop'!Z:Z)</f>
        <v>171808</v>
      </c>
      <c r="W57" s="440">
        <f>SUMIF('Argus Drop'!$D:$D,$A57,'Argus Drop'!AA:AA)</f>
        <v>172793</v>
      </c>
      <c r="X57" s="440">
        <f>SUMIF('Argus Drop'!$D:$D,$A57,'Argus Drop'!AB:AB)</f>
        <v>152615</v>
      </c>
      <c r="Y57" s="440">
        <f>SUMIF('Argus Drop'!$D:$D,$A57,'Argus Drop'!AC:AC)</f>
        <v>111627</v>
      </c>
      <c r="Z57" s="440">
        <f>SUMIF('Argus Drop'!$D:$D,$A57,'Argus Drop'!AD:AD)</f>
        <v>-4077</v>
      </c>
      <c r="AA57" s="440">
        <f>SUMIF('Argus Drop'!$D:$D,$A57,'Argus Drop'!AE:AE)</f>
        <v>-5475</v>
      </c>
      <c r="AB57" s="440">
        <f>SUMIF('Argus Drop'!$D:$D,$A57,'Argus Drop'!AF:AF)</f>
        <v>190685</v>
      </c>
      <c r="AC57" s="440">
        <f>SUMIF('Argus Drop'!$D:$D,$A57,'Argus Drop'!AG:AG)</f>
        <v>190987</v>
      </c>
      <c r="AD57" s="440">
        <f>SUMIF('Argus Drop'!$D:$D,$A57,'Argus Drop'!AH:AH)</f>
        <v>161953</v>
      </c>
      <c r="AE57" s="440">
        <f>SUMIF('Argus Drop'!$D:$D,$A57,'Argus Drop'!AI:AI)</f>
        <v>-381584</v>
      </c>
      <c r="AF57" s="440">
        <f>SUMIF('Argus Drop'!$D:$D,$A57,'Argus Drop'!AJ:AJ)</f>
        <v>69465</v>
      </c>
      <c r="AG57" s="440">
        <f>SUMIF('Argus Drop'!$D:$D,$A57,'Argus Drop'!AK:AK)</f>
        <v>198078</v>
      </c>
      <c r="AH57" s="440">
        <f>SUMIF('Argus Drop'!$D:$D,$A57,'Argus Drop'!AL:AL)</f>
        <v>110692</v>
      </c>
      <c r="AI57" s="440">
        <f>SUMIF('Argus Drop'!$D:$D,$A57,'Argus Drop'!AM:AM)</f>
        <v>224236</v>
      </c>
      <c r="AJ57" s="440">
        <f>SUMIF('Argus Drop'!$D:$D,$A57,'Argus Drop'!AN:AN)</f>
        <v>224236</v>
      </c>
      <c r="AK57" s="440">
        <f>SUMIF('Argus Drop'!$D:$D,$A57,'Argus Drop'!AO:AO)</f>
        <v>224236</v>
      </c>
      <c r="AL57" s="440">
        <f>SUMIF('Argus Drop'!$D:$D,$A57,'Argus Drop'!AP:AP)</f>
        <v>225093</v>
      </c>
      <c r="AM57" s="440">
        <f>SUMIF('Argus Drop'!$D:$D,$A57,'Argus Drop'!AQ:AQ)</f>
        <v>224703</v>
      </c>
      <c r="AN57" s="440">
        <f>SUMIF('Argus Drop'!$D:$D,$A57,'Argus Drop'!AR:AR)</f>
        <v>225578</v>
      </c>
      <c r="AO57" s="440">
        <f>SUMIF('Argus Drop'!$D:$D,$A57,'Argus Drop'!AS:AS)</f>
        <v>226473</v>
      </c>
      <c r="AP57" s="440">
        <f>SUMIF('Argus Drop'!$D:$D,$A57,'Argus Drop'!AT:AT)</f>
        <v>226415</v>
      </c>
      <c r="AQ57" s="440">
        <f>SUMIF('Argus Drop'!$D:$D,$A57,'Argus Drop'!AU:AU)</f>
        <v>226799</v>
      </c>
      <c r="AR57" s="440">
        <f>SUMIF('Argus Drop'!$D:$D,$A57,'Argus Drop'!AV:AV)</f>
        <v>227376</v>
      </c>
      <c r="AS57" s="440">
        <f>SUMIF('Argus Drop'!$D:$D,$A57,'Argus Drop'!AW:AW)</f>
        <v>227376</v>
      </c>
      <c r="AT57" s="440">
        <f>SUMIF('Argus Drop'!$D:$D,$A57,'Argus Drop'!AX:AX)</f>
        <v>216951</v>
      </c>
      <c r="AU57" s="440">
        <f>SUMIF('Argus Drop'!$D:$D,$A57,'Argus Drop'!AY:AY)</f>
        <v>217318</v>
      </c>
      <c r="AV57" s="440">
        <f>SUMIF('Argus Drop'!$D:$D,$A57,'Argus Drop'!AZ:AZ)</f>
        <v>187970</v>
      </c>
      <c r="AW57" s="440">
        <f>SUMIF('Argus Drop'!$D:$D,$A57,'Argus Drop'!BA:BA)</f>
        <v>220908</v>
      </c>
      <c r="AX57" s="440">
        <f>SUMIF('Argus Drop'!$D:$D,$A57,'Argus Drop'!BB:BB)</f>
        <v>228285</v>
      </c>
      <c r="AY57" s="440">
        <f>SUMIF('Argus Drop'!$D:$D,$A57,'Argus Drop'!BC:BC)</f>
        <v>230374</v>
      </c>
      <c r="AZ57" s="440">
        <f>SUMIF('Argus Drop'!$D:$D,$A57,'Argus Drop'!BD:BD)</f>
        <v>231284</v>
      </c>
      <c r="BA57" s="440">
        <f>SUMIF('Argus Drop'!$D:$D,$A57,'Argus Drop'!BE:BE)</f>
        <v>232276</v>
      </c>
      <c r="BB57" s="440">
        <f>SUMIF('Argus Drop'!$D:$D,$A57,'Argus Drop'!BF:BF)</f>
        <v>232812</v>
      </c>
      <c r="BC57" s="440">
        <f>SUMIF('Argus Drop'!$D:$D,$A57,'Argus Drop'!BG:BG)</f>
        <v>233208</v>
      </c>
      <c r="BD57" s="440">
        <f>SUMIF('Argus Drop'!$D:$D,$A57,'Argus Drop'!BH:BH)</f>
        <v>233801</v>
      </c>
      <c r="BE57" s="440">
        <f>SUMIF('Argus Drop'!$D:$D,$A57,'Argus Drop'!BI:BI)</f>
        <v>233801</v>
      </c>
      <c r="BF57" s="440">
        <f>SUMIF('Argus Drop'!$D:$D,$A57,'Argus Drop'!BJ:BJ)</f>
        <v>234324</v>
      </c>
      <c r="BG57" s="440">
        <f>SUMIF('Argus Drop'!$D:$D,$A57,'Argus Drop'!BK:BK)</f>
        <v>234702</v>
      </c>
      <c r="BH57" s="440">
        <f>SUMIF('Argus Drop'!$D:$D,$A57,'Argus Drop'!BL:BL)</f>
        <v>234897</v>
      </c>
      <c r="BI57" s="440">
        <f>SUMIF('Argus Drop'!$D:$D,$A57,'Argus Drop'!BM:BM)</f>
        <v>234897</v>
      </c>
      <c r="BJ57" s="440">
        <f>SUMIF('Argus Drop'!$D:$D,$A57,'Argus Drop'!BN:BN)</f>
        <v>235814</v>
      </c>
      <c r="BK57" s="440">
        <f>SUMIF('Argus Drop'!$D:$D,$A57,'Argus Drop'!BO:BO)</f>
        <v>216741</v>
      </c>
      <c r="BL57" s="440">
        <f>SUMIF('Argus Drop'!$D:$D,$A57,'Argus Drop'!BP:BP)</f>
        <v>180778</v>
      </c>
      <c r="BM57" s="440">
        <f>SUMIF('Argus Drop'!$D:$D,$A57,'Argus Drop'!BQ:BQ)</f>
        <v>99645</v>
      </c>
      <c r="BN57" s="440">
        <f>SUMIF('Argus Drop'!$D:$D,$A57,'Argus Drop'!BR:BR)</f>
        <v>78603</v>
      </c>
      <c r="BO57" s="440">
        <f>SUMIF('Argus Drop'!$D:$D,$A57,'Argus Drop'!BS:BS)</f>
        <v>245194</v>
      </c>
      <c r="BP57" s="440">
        <f>SUMIF('Argus Drop'!$D:$D,$A57,'Argus Drop'!BT:BT)</f>
        <v>245806</v>
      </c>
      <c r="BQ57" s="440">
        <f>SUMIF('Argus Drop'!$D:$D,$A57,'Argus Drop'!BU:BU)</f>
        <v>245806</v>
      </c>
      <c r="BR57" s="440">
        <f>SUMIF('Argus Drop'!$D:$D,$A57,'Argus Drop'!BV:BV)</f>
        <v>246344</v>
      </c>
      <c r="BS57" s="440">
        <f>SUMIF('Argus Drop'!$D:$D,$A57,'Argus Drop'!BW:BW)</f>
        <v>246733</v>
      </c>
      <c r="BT57" s="440">
        <f>SUMIF('Argus Drop'!$D:$D,$A57,'Argus Drop'!BX:BX)</f>
        <v>247245</v>
      </c>
      <c r="BU57" s="440">
        <f>SUMIF('Argus Drop'!$D:$D,$A57,'Argus Drop'!BY:BY)</f>
        <v>247245</v>
      </c>
      <c r="BV57" s="440">
        <f>SUMIF('Argus Drop'!$D:$D,$A57,'Argus Drop'!BZ:BZ)</f>
        <v>248190</v>
      </c>
      <c r="BW57" s="440">
        <f>SUMIF('Argus Drop'!$D:$D,$A57,'Argus Drop'!CA:CA)</f>
        <v>134874</v>
      </c>
      <c r="BX57" s="440">
        <f>SUMIF('Argus Drop'!$D:$D,$A57,'Argus Drop'!CB:CB)</f>
        <v>245297</v>
      </c>
      <c r="BY57" s="440">
        <f>SUMIF('Argus Drop'!$D:$D,$A57,'Argus Drop'!CC:CC)</f>
        <v>228689</v>
      </c>
      <c r="BZ57" s="440">
        <f>SUMIF('Argus Drop'!$D:$D,$A57,'Argus Drop'!CD:CD)</f>
        <v>229552</v>
      </c>
      <c r="CA57" s="440">
        <f>SUMIF('Argus Drop'!$D:$D,$A57,'Argus Drop'!CE:CE)</f>
        <v>175426</v>
      </c>
      <c r="CB57" s="440">
        <f>SUMIF('Argus Drop'!$D:$D,$A57,'Argus Drop'!CF:CF)</f>
        <v>237185</v>
      </c>
      <c r="CC57" s="440">
        <f>SUMIF('Argus Drop'!$D:$D,$A57,'Argus Drop'!CG:CG)</f>
        <v>249224</v>
      </c>
      <c r="CD57" s="440">
        <f>SUMIF('Argus Drop'!$D:$D,$A57,'Argus Drop'!CH:CH)</f>
        <v>249778</v>
      </c>
      <c r="CE57" s="440">
        <f>SUMIF('Argus Drop'!$D:$D,$A57,'Argus Drop'!CI:CI)</f>
        <v>226951</v>
      </c>
      <c r="CF57" s="440">
        <f>SUMIF('Argus Drop'!$D:$D,$A57,'Argus Drop'!CJ:CJ)</f>
        <v>227158</v>
      </c>
      <c r="CG57" s="440">
        <f>SUMIF('Argus Drop'!$D:$D,$A57,'Argus Drop'!CK:CK)</f>
        <v>156272</v>
      </c>
      <c r="CH57" s="440">
        <f>SUMIF('Argus Drop'!$D:$D,$A57,'Argus Drop'!CL:CL)</f>
        <v>198532</v>
      </c>
      <c r="CI57" s="440">
        <f>SUMIF('Argus Drop'!$D:$D,$A57,'Argus Drop'!CM:CM)</f>
        <v>167030</v>
      </c>
      <c r="CJ57" s="440">
        <f>SUMIF('Argus Drop'!$D:$D,$A57,'Argus Drop'!CN:CN)</f>
        <v>45869</v>
      </c>
      <c r="CK57" s="440">
        <f>SUMIF('Argus Drop'!$D:$D,$A57,'Argus Drop'!CO:CO)</f>
        <v>52349</v>
      </c>
      <c r="CL57" s="440">
        <f>SUMIF('Argus Drop'!$D:$D,$A57,'Argus Drop'!CP:CP)</f>
        <v>255145</v>
      </c>
      <c r="CM57" s="440">
        <f>SUMIF('Argus Drop'!$D:$D,$A57,'Argus Drop'!CQ:CQ)</f>
        <v>217706</v>
      </c>
      <c r="CN57" s="440">
        <f>SUMIF('Argus Drop'!$D:$D,$A57,'Argus Drop'!CR:CR)</f>
        <v>184935</v>
      </c>
      <c r="CO57" s="440">
        <f>SUMIF('Argus Drop'!$D:$D,$A57,'Argus Drop'!CS:CS)</f>
        <v>184935</v>
      </c>
      <c r="CP57" s="440">
        <f>SUMIF('Argus Drop'!$D:$D,$A57,'Argus Drop'!CT:CT)</f>
        <v>51904</v>
      </c>
      <c r="CQ57" s="440">
        <f>SUMIF('Argus Drop'!$D:$D,$A57,'Argus Drop'!CU:CU)</f>
        <v>166582</v>
      </c>
      <c r="CR57" s="440">
        <f>SUMIF('Argus Drop'!$D:$D,$A57,'Argus Drop'!CV:CV)</f>
        <v>-61925</v>
      </c>
      <c r="CS57" s="440">
        <f>SUMIF('Argus Drop'!$D:$D,$A57,'Argus Drop'!CW:CW)</f>
        <v>179143</v>
      </c>
      <c r="CT57" s="440">
        <f>SUMIF('Argus Drop'!$D:$D,$A57,'Argus Drop'!CX:CX)</f>
        <v>229856</v>
      </c>
      <c r="CU57" s="440">
        <f>SUMIF('Argus Drop'!$D:$D,$A57,'Argus Drop'!CY:CY)</f>
        <v>242910</v>
      </c>
      <c r="CV57" s="440">
        <f>SUMIF('Argus Drop'!$D:$D,$A57,'Argus Drop'!CZ:CZ)</f>
        <v>208416</v>
      </c>
      <c r="CW57" s="440">
        <f>SUMIF('Argus Drop'!$D:$D,$A57,'Argus Drop'!DA:DA)</f>
        <v>249440</v>
      </c>
      <c r="CX57" s="440">
        <f>SUMIF('Argus Drop'!$D:$D,$A57,'Argus Drop'!DB:DB)</f>
        <v>259309</v>
      </c>
      <c r="CY57" s="440">
        <f>SUMIF('Argus Drop'!$D:$D,$A57,'Argus Drop'!DC:DC)</f>
        <v>259681</v>
      </c>
      <c r="CZ57" s="440">
        <f>SUMIF('Argus Drop'!$D:$D,$A57,'Argus Drop'!DD:DD)</f>
        <v>259681</v>
      </c>
      <c r="DA57" s="440">
        <f>SUMIF('Argus Drop'!$D:$D,$A57,'Argus Drop'!DE:DE)</f>
        <v>259681</v>
      </c>
      <c r="DB57" s="440">
        <f>SUMIF('Argus Drop'!$D:$D,$A57,'Argus Drop'!DF:DF)</f>
        <v>260350</v>
      </c>
      <c r="DC57" s="440">
        <f>SUMIF('Argus Drop'!$D:$D,$A57,'Argus Drop'!DG:DG)</f>
        <v>260350</v>
      </c>
      <c r="DD57" s="440">
        <f>SUMIF('Argus Drop'!$D:$D,$A57,'Argus Drop'!DH:DH)</f>
        <v>250483</v>
      </c>
      <c r="DE57" s="440">
        <f>SUMIF('Argus Drop'!$D:$D,$A57,'Argus Drop'!DI:DI)</f>
        <v>251342</v>
      </c>
      <c r="DF57" s="440">
        <f>SUMIF('Argus Drop'!$D:$D,$A57,'Argus Drop'!DJ:DJ)</f>
        <v>217260</v>
      </c>
      <c r="DG57" s="440">
        <f>SUMIF('Argus Drop'!$D:$D,$A57,'Argus Drop'!DK:DK)</f>
        <v>255863</v>
      </c>
      <c r="DH57" s="440">
        <f>SUMIF('Argus Drop'!$D:$D,$A57,'Argus Drop'!DL:DL)</f>
        <v>264401</v>
      </c>
      <c r="DI57" s="440">
        <f>SUMIF('Argus Drop'!$D:$D,$A57,'Argus Drop'!DM:DM)</f>
        <v>266676</v>
      </c>
      <c r="DJ57" s="440">
        <f>SUMIF('Argus Drop'!$D:$D,$A57,'Argus Drop'!DN:DN)</f>
        <v>267236</v>
      </c>
      <c r="DK57" s="440">
        <f>SUMIF('Argus Drop'!$D:$D,$A57,'Argus Drop'!DO:DO)</f>
        <v>267619</v>
      </c>
      <c r="DL57" s="440">
        <f>SUMIF('Argus Drop'!$D:$D,$A57,'Argus Drop'!DP:DP)</f>
        <v>267619</v>
      </c>
      <c r="DM57" s="440">
        <f>SUMIF('Argus Drop'!$D:$D,$A57,'Argus Drop'!DQ:DQ)</f>
        <v>267619</v>
      </c>
      <c r="DN57" s="440">
        <f>SUMIF('Argus Drop'!$D:$D,$A57,'Argus Drop'!DR:DR)</f>
        <v>268307</v>
      </c>
      <c r="DO57" s="440">
        <f>SUMIF('Argus Drop'!$D:$D,$A57,'Argus Drop'!DS:DS)</f>
        <v>268307</v>
      </c>
      <c r="DP57" s="440">
        <f>SUMIF('Argus Drop'!$D:$D,$A57,'Argus Drop'!DT:DT)</f>
        <v>269907</v>
      </c>
      <c r="DQ57" s="440">
        <f>SUMIF('Argus Drop'!$D:$D,$A57,'Argus Drop'!DU:DU)</f>
        <v>270792</v>
      </c>
      <c r="DR57" s="440">
        <f>SUMIF('Argus Drop'!$D:$D,$A57,'Argus Drop'!DV:DV)</f>
        <v>271018</v>
      </c>
      <c r="DS57" s="440"/>
      <c r="DT57" s="440"/>
      <c r="DU57" s="440"/>
      <c r="DV57" s="440"/>
      <c r="DW57" s="440"/>
      <c r="DX57" s="440"/>
      <c r="DY57" s="440"/>
      <c r="DZ57" s="440"/>
      <c r="EA57" s="440"/>
      <c r="EB57" s="440"/>
      <c r="EC57" s="440"/>
      <c r="ED57" s="1419"/>
      <c r="EE57" s="1419"/>
      <c r="EF57" s="1419"/>
      <c r="EG57" s="1419"/>
      <c r="EH57" s="1419"/>
      <c r="EI57" s="1419"/>
      <c r="EJ57" s="1419"/>
      <c r="EK57" s="1419"/>
      <c r="EL57" s="1419"/>
      <c r="EM57" s="1419"/>
      <c r="EN57" s="1419"/>
      <c r="EO57" s="1419"/>
      <c r="EP57" s="1419"/>
      <c r="EQ57" s="1419"/>
      <c r="ER57" s="1419"/>
      <c r="ES57" s="1419"/>
      <c r="ET57" s="1419"/>
      <c r="EU57" s="1419"/>
      <c r="EV57" s="1419"/>
      <c r="EW57" s="1419"/>
      <c r="EX57" s="1419"/>
      <c r="EY57" s="1419"/>
      <c r="EZ57" s="1419"/>
      <c r="FA57" s="1419"/>
      <c r="FB57" s="1419"/>
      <c r="FC57" s="1419"/>
      <c r="FD57" s="1419"/>
      <c r="FE57" s="1419"/>
      <c r="FF57" s="1419"/>
      <c r="FG57" s="1419"/>
      <c r="FH57" s="1419"/>
      <c r="FI57" s="1419"/>
    </row>
    <row r="58" spans="1:165">
      <c r="A58" s="448" t="str">
        <f>IF(+'Argus Drop'!B62="","",'Argus Drop'!B62)</f>
        <v/>
      </c>
      <c r="B58" s="440" t="str">
        <f>IF(A58="","",+SUMIF('Argus Drop'!$D$7:$D$64,$A58,'Argus Drop'!#REF!))</f>
        <v/>
      </c>
      <c r="C58" s="440" t="str">
        <f>IF(B58="","",+SUMIF('Argus Drop'!$D$7:$D$64,$A58,'Argus Drop'!#REF!))</f>
        <v/>
      </c>
      <c r="D58" s="440" t="str">
        <f>IF(C58="","",+SUMIF('Argus Drop'!$D$7:$D$64,$A58,'Argus Drop'!#REF!))</f>
        <v/>
      </c>
      <c r="E58" s="440" t="str">
        <f>IF(D58="","",+SUMIF('Argus Drop'!$D$7:$D$64,$A58,'Argus Drop'!#REF!))</f>
        <v/>
      </c>
      <c r="F58" s="440" t="str">
        <f>IF(E58="","",+SUMIF('Argus Drop'!$D$7:$D$64,$A58,'Argus Drop'!#REF!))</f>
        <v/>
      </c>
      <c r="G58" s="440" t="str">
        <f>IF(F58="","",+SUMIF('Argus Drop'!$D$7:$D$64,$A58,'Argus Drop'!F$7:F$64))</f>
        <v/>
      </c>
      <c r="H58" s="440" t="str">
        <f>IF(G58="","",+SUMIF('Argus Drop'!$D$7:$D$64,$A58,'Argus Drop'!G$12:G$64))</f>
        <v/>
      </c>
      <c r="I58" s="440" t="str">
        <f>IF(H58="","",+SUMIF('Argus Drop'!$D$7:$D$64,$A58,'Argus Drop'!H$12:H$64))</f>
        <v/>
      </c>
      <c r="J58" s="440" t="str">
        <f>IF(I58="","",+SUMIF('Argus Drop'!$D$7:$D$64,$A58,'Argus Drop'!I$12:I$64))</f>
        <v/>
      </c>
      <c r="K58" s="440" t="str">
        <f>IF(J58="","",+SUMIF('Argus Drop'!$D$7:$D$64,$A58,'Argus Drop'!J$12:J$64))</f>
        <v/>
      </c>
      <c r="L58" s="440" t="str">
        <f>IF(K58="","",+SUMIF('Argus Drop'!$D$7:$D$64,$A58,'Argus Drop'!K$12:K$64))</f>
        <v/>
      </c>
      <c r="M58" s="440" t="str">
        <f>IF(L58="","",+SUMIF('Argus Drop'!$D$7:$D$64,$A58,'Argus Drop'!L$12:L$64))</f>
        <v/>
      </c>
      <c r="N58" s="440" t="str">
        <f>IF(M58="","",+SUMIF('Argus Drop'!$D$7:$D$64,$A58,'Argus Drop'!#REF!))</f>
        <v/>
      </c>
      <c r="O58" s="440" t="str">
        <f>IF(N58="","",+SUMIF('Argus Drop'!$D$7:$D$64,$A58,'Argus Drop'!M$12:M$64))</f>
        <v/>
      </c>
      <c r="P58" s="440" t="str">
        <f>IF(O58="","",+SUMIF('Argus Drop'!$D$7:$D$64,$A58,'Argus Drop'!N$12:N$64))</f>
        <v/>
      </c>
      <c r="Q58" s="440" t="str">
        <f>IF(P58="","",+SUMIF('Argus Drop'!$D$7:$D$64,$A58,'Argus Drop'!O$12:O$64))</f>
        <v/>
      </c>
      <c r="R58" s="440" t="str">
        <f>IF(Q58="","",+SUMIF('Argus Drop'!$D$7:$D$64,$A58,'Argus Drop'!P$12:P$64))</f>
        <v/>
      </c>
      <c r="S58" s="440" t="str">
        <f>IF(R58="","",+SUMIF('Argus Drop'!$D$7:$D$64,$A58,'Argus Drop'!Q$12:Q$64))</f>
        <v/>
      </c>
      <c r="T58" s="440" t="str">
        <f>IF(S58="","",+SUMIF('Argus Drop'!$D$7:$D$64,$A58,'Argus Drop'!R$12:R$64))</f>
        <v/>
      </c>
      <c r="U58" s="440" t="str">
        <f>IF(T58="","",+SUMIF('Argus Drop'!$D$7:$D$64,$A58,'Argus Drop'!S$12:S$64))</f>
        <v/>
      </c>
      <c r="V58" s="440" t="str">
        <f>IF(U58="","",+SUMIF('Argus Drop'!$D$7:$D$64,$A58,'Argus Drop'!T$12:T$64))</f>
        <v/>
      </c>
      <c r="W58" s="440" t="str">
        <f>IF(V58="","",+SUMIF('Argus Drop'!$D$7:$D$64,$A58,'Argus Drop'!U$12:U$64))</f>
        <v/>
      </c>
      <c r="X58" s="440" t="str">
        <f>IF(W58="","",+SUMIF('Argus Drop'!$D$7:$D$64,$A58,'Argus Drop'!V$12:V$64))</f>
        <v/>
      </c>
      <c r="Y58" s="440" t="str">
        <f>IF(X58="","",+SUMIF('Argus Drop'!$D$7:$D$64,$A58,'Argus Drop'!W$12:W$64))</f>
        <v/>
      </c>
      <c r="Z58" s="440" t="str">
        <f>IF(Y58="","",+SUMIF('Argus Drop'!$D$7:$D$64,$A58,'Argus Drop'!X$12:X$64))</f>
        <v/>
      </c>
      <c r="AA58" s="440" t="str">
        <f>IF(Z58="","",+SUMIF('Argus Drop'!$D$7:$D$64,$A58,'Argus Drop'!#REF!))</f>
        <v/>
      </c>
      <c r="AB58" s="440" t="str">
        <f>IF(AA58="","",+SUMIF('Argus Drop'!$D$7:$D$64,$A58,'Argus Drop'!Y$12:Y$64))</f>
        <v/>
      </c>
      <c r="AC58" s="440" t="str">
        <f>IF(AB58="","",+SUMIF('Argus Drop'!$D$7:$D$64,$A58,'Argus Drop'!Z$12:Z$64))</f>
        <v/>
      </c>
      <c r="AD58" s="440" t="str">
        <f>IF(AC58="","",+SUMIF('Argus Drop'!$D$7:$D$64,$A58,'Argus Drop'!AA$12:AA$64))</f>
        <v/>
      </c>
      <c r="AE58" s="440" t="str">
        <f>IF(AD58="","",+SUMIF('Argus Drop'!$D$7:$D$64,$A58,'Argus Drop'!AB$12:AB$64))</f>
        <v/>
      </c>
      <c r="AF58" s="440" t="str">
        <f>IF(AE58="","",+SUMIF('Argus Drop'!$D$7:$D$64,$A58,'Argus Drop'!AC$12:AC$64))</f>
        <v/>
      </c>
      <c r="AG58" s="440" t="str">
        <f>IF(AF58="","",+SUMIF('Argus Drop'!$D$7:$D$64,$A58,'Argus Drop'!AD$12:AD$64))</f>
        <v/>
      </c>
      <c r="AH58" s="440" t="str">
        <f>IF(AG58="","",+SUMIF('Argus Drop'!$D$7:$D$64,$A58,'Argus Drop'!AE$12:AE$64))</f>
        <v/>
      </c>
      <c r="AI58" s="440" t="str">
        <f>IF(AH58="","",+SUMIF('Argus Drop'!$D$7:$D$64,$A58,'Argus Drop'!AF$12:AF$64))</f>
        <v/>
      </c>
      <c r="AJ58" s="440" t="str">
        <f>IF(AI58="","",+SUMIF('Argus Drop'!$D$7:$D$64,$A58,'Argus Drop'!AG$12:AG$64))</f>
        <v/>
      </c>
      <c r="AK58" s="440" t="str">
        <f>IF(AJ58="","",+SUMIF('Argus Drop'!$D$7:$D$64,$A58,'Argus Drop'!AH$12:AH$64))</f>
        <v/>
      </c>
      <c r="AL58" s="440" t="str">
        <f>IF(AK58="","",+SUMIF('Argus Drop'!$D$7:$D$64,$A58,'Argus Drop'!AI$12:AI$64))</f>
        <v/>
      </c>
      <c r="AM58" s="440" t="str">
        <f>IF(AL58="","",+SUMIF('Argus Drop'!$D$7:$D$64,$A58,'Argus Drop'!AJ$12:AJ$64))</f>
        <v/>
      </c>
      <c r="AN58" s="440" t="str">
        <f>IF(AM58="","",+SUMIF('Argus Drop'!$D$7:$D$64,$A58,'Argus Drop'!#REF!))</f>
        <v/>
      </c>
      <c r="AO58" s="440" t="str">
        <f>IF(AN58="","",+SUMIF('Argus Drop'!$D$7:$D$64,$A58,'Argus Drop'!AK$12:AK$64))</f>
        <v/>
      </c>
      <c r="AP58" s="440" t="str">
        <f>IF(AO58="","",+SUMIF('Argus Drop'!$D$7:$D$64,$A58,'Argus Drop'!AL$12:AL$64))</f>
        <v/>
      </c>
      <c r="AQ58" s="440" t="str">
        <f>IF(AP58="","",+SUMIF('Argus Drop'!$D$7:$D$64,$A58,'Argus Drop'!AM$12:AM$64))</f>
        <v/>
      </c>
      <c r="AR58" s="440" t="str">
        <f>IF(AQ58="","",+SUMIF('Argus Drop'!$D$7:$D$64,$A58,'Argus Drop'!AN$12:AN$64))</f>
        <v/>
      </c>
      <c r="AS58" s="440" t="str">
        <f>IF(AR58="","",+SUMIF('Argus Drop'!$D$7:$D$64,$A58,'Argus Drop'!AO$12:AO$64))</f>
        <v/>
      </c>
      <c r="AT58" s="440" t="str">
        <f>IF(AS58="","",+SUMIF('Argus Drop'!$D$7:$D$64,$A58,'Argus Drop'!AP$12:AP$64))</f>
        <v/>
      </c>
      <c r="AU58" s="440" t="str">
        <f>IF(AT58="","",+SUMIF('Argus Drop'!$D$7:$D$64,$A58,'Argus Drop'!AQ$12:AQ$64))</f>
        <v/>
      </c>
      <c r="AV58" s="440" t="str">
        <f>IF(AU58="","",+SUMIF('Argus Drop'!$D$7:$D$64,$A58,'Argus Drop'!AR$12:AR$64))</f>
        <v/>
      </c>
      <c r="AW58" s="440" t="str">
        <f>IF(AV58="","",+SUMIF('Argus Drop'!$D$7:$D$64,$A58,'Argus Drop'!AS$12:AS$64))</f>
        <v/>
      </c>
      <c r="AX58" s="440" t="str">
        <f>IF(AW58="","",+SUMIF('Argus Drop'!$D$7:$D$64,$A58,'Argus Drop'!AT$12:AT$64))</f>
        <v/>
      </c>
      <c r="AY58" s="440" t="str">
        <f>IF(AX58="","",+SUMIF('Argus Drop'!$D$7:$D$64,$A58,'Argus Drop'!AU$12:AU$64))</f>
        <v/>
      </c>
      <c r="AZ58" s="440" t="str">
        <f>IF(AY58="","",+SUMIF('Argus Drop'!$D$7:$D$64,$A58,'Argus Drop'!AV$12:AV$64))</f>
        <v/>
      </c>
      <c r="BA58" s="440" t="str">
        <f>IF(AZ58="","",+SUMIF('Argus Drop'!$D$7:$D$64,$A58,'Argus Drop'!#REF!))</f>
        <v/>
      </c>
      <c r="BB58" s="440" t="str">
        <f>IF(BA58="","",+SUMIF('Argus Drop'!$D$7:$D$64,$A58,'Argus Drop'!AW$12:AW$64))</f>
        <v/>
      </c>
      <c r="BC58" s="440" t="str">
        <f>IF(BB58="","",+SUMIF('Argus Drop'!$D$7:$D$64,$A58,'Argus Drop'!AX$12:AX$64))</f>
        <v/>
      </c>
      <c r="BD58" s="440" t="str">
        <f>IF(BC58="","",+SUMIF('Argus Drop'!$D$7:$D$64,$A58,'Argus Drop'!AY$12:AY$64))</f>
        <v/>
      </c>
      <c r="BE58" s="440" t="str">
        <f>IF(BD58="","",+SUMIF('Argus Drop'!$D$7:$D$64,$A58,'Argus Drop'!AZ$12:AZ$64))</f>
        <v/>
      </c>
      <c r="BF58" s="440" t="str">
        <f>IF(BE58="","",+SUMIF('Argus Drop'!$D$7:$D$64,$A58,'Argus Drop'!BA$12:BA$64))</f>
        <v/>
      </c>
      <c r="BG58" s="440" t="str">
        <f>IF(BF58="","",+SUMIF('Argus Drop'!$D$7:$D$64,$A58,'Argus Drop'!BB$12:BB$64))</f>
        <v/>
      </c>
      <c r="BH58" s="440" t="str">
        <f>IF(BG58="","",+SUMIF('Argus Drop'!$D$7:$D$64,$A58,'Argus Drop'!BC$12:BC$64))</f>
        <v/>
      </c>
      <c r="BI58" s="440" t="str">
        <f>IF(BH58="","",+SUMIF('Argus Drop'!$D$7:$D$64,$A58,'Argus Drop'!BD$12:BD$64))</f>
        <v/>
      </c>
      <c r="BJ58" s="440" t="str">
        <f>IF(BI58="","",+SUMIF('Argus Drop'!$D$7:$D$64,$A58,'Argus Drop'!BE$12:BE$64))</f>
        <v/>
      </c>
      <c r="BK58" s="440" t="str">
        <f>IF(BJ58="","",+SUMIF('Argus Drop'!$D$7:$D$64,$A58,'Argus Drop'!BF$12:BF$64))</f>
        <v/>
      </c>
      <c r="BL58" s="440" t="str">
        <f>IF(BK58="","",+SUMIF('Argus Drop'!$D$7:$D$64,$A58,'Argus Drop'!BG$12:BG$64))</f>
        <v/>
      </c>
      <c r="BM58" s="440" t="str">
        <f>IF(BL58="","",+SUMIF('Argus Drop'!$D$7:$D$64,$A58,'Argus Drop'!BH$12:BH$64))</f>
        <v/>
      </c>
      <c r="BN58" s="440" t="str">
        <f>IF(BM58="","",+SUMIF('Argus Drop'!$D$7:$D$64,$A58,'Argus Drop'!#REF!))</f>
        <v/>
      </c>
      <c r="BO58" s="440" t="str">
        <f>IF(BN58="","",+SUMIF('Argus Drop'!$D$7:$D$64,$A58,'Argus Drop'!BI$12:BI$64))</f>
        <v/>
      </c>
      <c r="BP58" s="440" t="str">
        <f>IF(BO58="","",+SUMIF('Argus Drop'!$D$7:$D$64,$A58,'Argus Drop'!BJ$12:BJ$64))</f>
        <v/>
      </c>
      <c r="BQ58" s="440" t="str">
        <f>IF(BP58="","",+SUMIF('Argus Drop'!$D$7:$D$64,$A58,'Argus Drop'!BK$12:BK$64))</f>
        <v/>
      </c>
      <c r="BR58" s="440" t="str">
        <f>IF(BQ58="","",+SUMIF('Argus Drop'!$D$7:$D$64,$A58,'Argus Drop'!BL$12:BL$64))</f>
        <v/>
      </c>
      <c r="BS58" s="440" t="str">
        <f>IF(BR58="","",+SUMIF('Argus Drop'!$D$7:$D$64,$A58,'Argus Drop'!BM$12:BM$64))</f>
        <v/>
      </c>
      <c r="BT58" s="440" t="str">
        <f>IF(BS58="","",+SUMIF('Argus Drop'!$D$7:$D$64,$A58,'Argus Drop'!BN$12:BN$64))</f>
        <v/>
      </c>
      <c r="BU58" s="440" t="str">
        <f>IF(BT58="","",+SUMIF('Argus Drop'!$D$7:$D$64,$A58,'Argus Drop'!BO$12:BO$64))</f>
        <v/>
      </c>
      <c r="BV58" s="440" t="str">
        <f>IF(BU58="","",+SUMIF('Argus Drop'!$D$7:$D$64,$A58,'Argus Drop'!BP$12:BP$64))</f>
        <v/>
      </c>
      <c r="BW58" s="440" t="str">
        <f>IF(BV58="","",+SUMIF('Argus Drop'!$D$7:$D$64,$A58,'Argus Drop'!BQ$12:BQ$64))</f>
        <v/>
      </c>
      <c r="BX58" s="440" t="str">
        <f>IF(BW58="","",+SUMIF('Argus Drop'!$D$7:$D$64,$A58,'Argus Drop'!BR$12:BR$64))</f>
        <v/>
      </c>
      <c r="BY58" s="440" t="str">
        <f>IF(BX58="","",+SUMIF('Argus Drop'!$D$7:$D$64,$A58,'Argus Drop'!BS$12:BS$64))</f>
        <v/>
      </c>
      <c r="BZ58" s="440" t="str">
        <f>IF(BY58="","",+SUMIF('Argus Drop'!$D$7:$D$64,$A58,'Argus Drop'!BT$12:BT$64))</f>
        <v/>
      </c>
      <c r="CA58" s="440" t="str">
        <f>IF(BZ58="","",+SUMIF('Argus Drop'!$D$7:$D$64,$A58,'Argus Drop'!#REF!))</f>
        <v/>
      </c>
      <c r="CB58" s="440" t="str">
        <f>IF(CA58="","",+SUMIF('Argus Drop'!$D$7:$D$64,$A58,'Argus Drop'!BU$12:BU$64))</f>
        <v/>
      </c>
      <c r="CC58" s="440" t="str">
        <f>IF(CB58="","",+SUMIF('Argus Drop'!$D$7:$D$64,$A58,'Argus Drop'!BV$12:BV$64))</f>
        <v/>
      </c>
      <c r="CD58" s="440" t="str">
        <f>IF(CC58="","",+SUMIF('Argus Drop'!$D$7:$D$64,$A58,'Argus Drop'!BW$12:BW$64))</f>
        <v/>
      </c>
      <c r="CE58" s="440" t="str">
        <f>IF(CD58="","",+SUMIF('Argus Drop'!$D$7:$D$64,$A58,'Argus Drop'!BX$12:BX$64))</f>
        <v/>
      </c>
      <c r="CF58" s="440" t="str">
        <f>IF(CE58="","",+SUMIF('Argus Drop'!$D$7:$D$64,$A58,'Argus Drop'!BY$12:BY$64))</f>
        <v/>
      </c>
      <c r="CG58" s="440" t="str">
        <f>IF(CF58="","",+SUMIF('Argus Drop'!$D$7:$D$64,$A58,'Argus Drop'!BZ$12:BZ$64))</f>
        <v/>
      </c>
      <c r="CH58" s="440" t="str">
        <f>IF(CG58="","",+SUMIF('Argus Drop'!$D$7:$D$64,$A58,'Argus Drop'!CA$12:CA$64))</f>
        <v/>
      </c>
      <c r="CI58" s="440" t="str">
        <f>IF(CH58="","",+SUMIF('Argus Drop'!$D$7:$D$64,$A58,'Argus Drop'!CB$12:CB$64))</f>
        <v/>
      </c>
      <c r="CJ58" s="440" t="str">
        <f>IF(CI58="","",+SUMIF('Argus Drop'!$D$7:$D$64,$A58,'Argus Drop'!CC$12:CC$64))</f>
        <v/>
      </c>
      <c r="CK58" s="440" t="str">
        <f>IF(CJ58="","",+SUMIF('Argus Drop'!$D$7:$D$64,$A58,'Argus Drop'!CD$12:CD$64))</f>
        <v/>
      </c>
      <c r="CL58" s="440" t="str">
        <f>IF(CK58="","",+SUMIF('Argus Drop'!$D$7:$D$64,$A58,'Argus Drop'!CE$12:CE$64))</f>
        <v/>
      </c>
      <c r="CM58" s="440" t="str">
        <f>IF(CL58="","",+SUMIF('Argus Drop'!$D$7:$D$64,$A58,'Argus Drop'!CF$12:CF$64))</f>
        <v/>
      </c>
      <c r="CN58" s="440" t="str">
        <f>IF(CM58="","",+SUMIF('Argus Drop'!$D$7:$D$64,$A58,'Argus Drop'!#REF!))</f>
        <v/>
      </c>
      <c r="CO58" s="440" t="str">
        <f>IF(CN58="","",+SUMIF('Argus Drop'!$D$7:$D$64,$A58,'Argus Drop'!CG$12:CG$64))</f>
        <v/>
      </c>
      <c r="CP58" s="440" t="str">
        <f>IF(CO58="","",+SUMIF('Argus Drop'!$D$7:$D$64,$A58,'Argus Drop'!CH$12:CH$64))</f>
        <v/>
      </c>
      <c r="CQ58" s="440" t="str">
        <f>IF(CP58="","",+SUMIF('Argus Drop'!$D$7:$D$64,$A58,'Argus Drop'!CI$12:CI$64))</f>
        <v/>
      </c>
      <c r="CR58" s="440" t="str">
        <f>IF(CQ58="","",+SUMIF('Argus Drop'!$D$7:$D$64,$A58,'Argus Drop'!CJ$12:CJ$64))</f>
        <v/>
      </c>
      <c r="CS58" s="440" t="str">
        <f>IF(CR58="","",+SUMIF('Argus Drop'!$D$7:$D$64,$A58,'Argus Drop'!CK$12:CK$64))</f>
        <v/>
      </c>
      <c r="CT58" s="440" t="str">
        <f>IF(CS58="","",+SUMIF('Argus Drop'!$D$7:$D$64,$A58,'Argus Drop'!CL$12:CL$64))</f>
        <v/>
      </c>
      <c r="CU58" s="440" t="str">
        <f>IF(CT58="","",+SUMIF('Argus Drop'!$D$7:$D$64,$A58,'Argus Drop'!CM$12:CM$64))</f>
        <v/>
      </c>
      <c r="CV58" s="440" t="str">
        <f>IF(CU58="","",+SUMIF('Argus Drop'!$D$7:$D$64,$A58,'Argus Drop'!CN$12:CN$64))</f>
        <v/>
      </c>
      <c r="CW58" s="440" t="str">
        <f>IF(CV58="","",+SUMIF('Argus Drop'!$D$7:$D$64,$A58,'Argus Drop'!CO$12:CO$64))</f>
        <v/>
      </c>
      <c r="CX58" s="440" t="str">
        <f>IF(CW58="","",+SUMIF('Argus Drop'!$D$7:$D$64,$A58,'Argus Drop'!CP$12:CP$64))</f>
        <v/>
      </c>
      <c r="CY58" s="440" t="str">
        <f>IF(CX58="","",+SUMIF('Argus Drop'!$D$7:$D$64,$A58,'Argus Drop'!CQ$12:CQ$64))</f>
        <v/>
      </c>
      <c r="CZ58" s="440" t="str">
        <f>IF(CY58="","",+SUMIF('Argus Drop'!$D$7:$D$64,$A58,'Argus Drop'!CR$12:CR$64))</f>
        <v/>
      </c>
      <c r="DA58" s="440" t="str">
        <f>IF(CZ58="","",+SUMIF('Argus Drop'!$D$7:$D$64,$A58,'Argus Drop'!#REF!))</f>
        <v/>
      </c>
      <c r="DB58" s="440" t="str">
        <f>IF(DA58="","",+SUMIF('Argus Drop'!$D$7:$D$64,$A58,'Argus Drop'!CS$12:CS$64))</f>
        <v/>
      </c>
      <c r="DC58" s="440" t="str">
        <f>IF(DB58="","",+SUMIF('Argus Drop'!$D$7:$D$64,$A58,'Argus Drop'!CT$12:CT$64))</f>
        <v/>
      </c>
      <c r="DD58" s="440" t="str">
        <f>IF(DC58="","",+SUMIF('Argus Drop'!$D$7:$D$64,$A58,'Argus Drop'!CU$12:CU$64))</f>
        <v/>
      </c>
      <c r="DE58" s="440" t="str">
        <f>IF(DD58="","",+SUMIF('Argus Drop'!$D$7:$D$64,$A58,'Argus Drop'!CV$12:CV$64))</f>
        <v/>
      </c>
      <c r="DF58" s="440" t="str">
        <f>IF(DE58="","",+SUMIF('Argus Drop'!$D$7:$D$64,$A58,'Argus Drop'!CW$12:CW$64))</f>
        <v/>
      </c>
      <c r="DG58" s="440" t="str">
        <f>IF(DF58="","",+SUMIF('Argus Drop'!$D$7:$D$64,$A58,'Argus Drop'!CX$12:CX$64))</f>
        <v/>
      </c>
      <c r="DH58" s="440" t="str">
        <f>IF(DG58="","",+SUMIF('Argus Drop'!$D$7:$D$64,$A58,'Argus Drop'!CY$12:CY$64))</f>
        <v/>
      </c>
      <c r="DI58" s="440" t="str">
        <f>IF(DH58="","",+SUMIF('Argus Drop'!$D$7:$D$64,$A58,'Argus Drop'!CZ$12:CZ$64))</f>
        <v/>
      </c>
      <c r="DJ58" s="440" t="str">
        <f>IF(DI58="","",+SUMIF('Argus Drop'!$D$7:$D$64,$A58,'Argus Drop'!DA$12:DA$64))</f>
        <v/>
      </c>
      <c r="DK58" s="440" t="str">
        <f>IF(DJ58="","",+SUMIF('Argus Drop'!$D$7:$D$64,$A58,'Argus Drop'!DB$12:DB$64))</f>
        <v/>
      </c>
      <c r="DL58" s="440" t="str">
        <f>IF(DK58="","",+SUMIF('Argus Drop'!$D$7:$D$64,$A58,'Argus Drop'!DC$12:DC$64))</f>
        <v/>
      </c>
      <c r="DM58" s="440" t="str">
        <f>IF(DL58="","",+SUMIF('Argus Drop'!$D$7:$D$64,$A58,'Argus Drop'!DD$12:DD$64))</f>
        <v/>
      </c>
      <c r="DN58" s="440" t="str">
        <f>IF(DM58="","",+SUMIF('Argus Drop'!$D$7:$D$64,$A58,'Argus Drop'!#REF!))</f>
        <v/>
      </c>
      <c r="DO58" s="440" t="str">
        <f>IF(DN58="","",+SUMIF('Argus Drop'!$D$7:$D$64,$A58,'Argus Drop'!DE$12:DE$64))</f>
        <v/>
      </c>
      <c r="DP58" s="440" t="str">
        <f>IF(DO58="","",+SUMIF('Argus Drop'!$D$7:$D$64,$A58,'Argus Drop'!DF$12:DF$64))</f>
        <v/>
      </c>
      <c r="DQ58" s="440" t="str">
        <f>IF(DP58="","",+SUMIF('Argus Drop'!$D$7:$D$64,$A58,'Argus Drop'!DG$12:DG$64))</f>
        <v/>
      </c>
      <c r="DR58" s="440" t="str">
        <f>IF(DQ58="","",+SUMIF('Argus Drop'!$D$7:$D$64,$A58,'Argus Drop'!DH$12:DH$64))</f>
        <v/>
      </c>
      <c r="DS58" s="440"/>
      <c r="DT58" s="440"/>
      <c r="DU58" s="440"/>
      <c r="DV58" s="440"/>
      <c r="DW58" s="440"/>
      <c r="DX58" s="440"/>
      <c r="DY58" s="440"/>
      <c r="DZ58" s="440"/>
      <c r="EA58" s="440"/>
      <c r="EB58" s="440"/>
      <c r="EC58" s="440"/>
      <c r="ED58" s="1419"/>
      <c r="EE58" s="1419"/>
      <c r="EF58" s="1419"/>
      <c r="EG58" s="1419"/>
      <c r="EH58" s="1419"/>
      <c r="EI58" s="1419"/>
      <c r="EJ58" s="1419"/>
      <c r="EK58" s="1419"/>
      <c r="EL58" s="1419"/>
      <c r="EM58" s="1419"/>
      <c r="EN58" s="1419"/>
      <c r="EO58" s="1419"/>
      <c r="EP58" s="1419"/>
      <c r="EQ58" s="1419"/>
      <c r="ER58" s="1419"/>
      <c r="ES58" s="1419"/>
      <c r="ET58" s="1419"/>
      <c r="EU58" s="1419"/>
      <c r="EV58" s="1419"/>
      <c r="EW58" s="1419"/>
      <c r="EX58" s="1419"/>
      <c r="EY58" s="1419"/>
      <c r="EZ58" s="1419"/>
      <c r="FA58" s="1419"/>
      <c r="FB58" s="1419"/>
      <c r="FC58" s="1419"/>
      <c r="FD58" s="1419"/>
      <c r="FE58" s="1419"/>
      <c r="FF58" s="1419"/>
      <c r="FG58" s="1419"/>
      <c r="FH58" s="1419"/>
      <c r="FI58" s="1419"/>
    </row>
    <row r="59" spans="1:165">
      <c r="A59" s="448" t="str">
        <f>IF(+'Argus Drop'!B63="","",'Argus Drop'!B63)</f>
        <v/>
      </c>
      <c r="B59" s="440" t="str">
        <f>IF(A59="","",+SUMIF('Argus Drop'!$D$7:$D$64,$A59,'Argus Drop'!#REF!))</f>
        <v/>
      </c>
      <c r="C59" s="440" t="str">
        <f>IF(B59="","",+SUMIF('Argus Drop'!$D$7:$D$64,$A59,'Argus Drop'!#REF!))</f>
        <v/>
      </c>
      <c r="D59" s="440" t="str">
        <f>IF(C59="","",+SUMIF('Argus Drop'!$D$7:$D$64,$A59,'Argus Drop'!#REF!))</f>
        <v/>
      </c>
      <c r="E59" s="440" t="str">
        <f>IF(D59="","",+SUMIF('Argus Drop'!$D$7:$D$64,$A59,'Argus Drop'!#REF!))</f>
        <v/>
      </c>
      <c r="F59" s="440" t="str">
        <f>IF(E59="","",+SUMIF('Argus Drop'!$D$7:$D$64,$A59,'Argus Drop'!#REF!))</f>
        <v/>
      </c>
      <c r="G59" s="440" t="str">
        <f>IF(F59="","",+SUMIF('Argus Drop'!$D$7:$D$64,$A59,'Argus Drop'!F$7:F$64))</f>
        <v/>
      </c>
      <c r="H59" s="440" t="str">
        <f>IF(G59="","",+SUMIF('Argus Drop'!$D$7:$D$64,$A59,'Argus Drop'!G$12:G$64))</f>
        <v/>
      </c>
      <c r="I59" s="440" t="str">
        <f>IF(H59="","",+SUMIF('Argus Drop'!$D$7:$D$64,$A59,'Argus Drop'!H$12:H$64))</f>
        <v/>
      </c>
      <c r="J59" s="440" t="str">
        <f>IF(I59="","",+SUMIF('Argus Drop'!$D$7:$D$64,$A59,'Argus Drop'!I$12:I$64))</f>
        <v/>
      </c>
      <c r="K59" s="440" t="str">
        <f>IF(J59="","",+SUMIF('Argus Drop'!$D$7:$D$64,$A59,'Argus Drop'!J$12:J$64))</f>
        <v/>
      </c>
      <c r="L59" s="440" t="str">
        <f>IF(K59="","",+SUMIF('Argus Drop'!$D$7:$D$64,$A59,'Argus Drop'!K$12:K$64))</f>
        <v/>
      </c>
      <c r="M59" s="440" t="str">
        <f>IF(L59="","",+SUMIF('Argus Drop'!$D$7:$D$64,$A59,'Argus Drop'!L$12:L$64))</f>
        <v/>
      </c>
      <c r="N59" s="440" t="str">
        <f>IF(M59="","",+SUMIF('Argus Drop'!$D$7:$D$64,$A59,'Argus Drop'!#REF!))</f>
        <v/>
      </c>
      <c r="O59" s="440" t="str">
        <f>IF(N59="","",+SUMIF('Argus Drop'!$D$7:$D$64,$A59,'Argus Drop'!M$12:M$64))</f>
        <v/>
      </c>
      <c r="P59" s="440" t="str">
        <f>IF(O59="","",+SUMIF('Argus Drop'!$D$7:$D$64,$A59,'Argus Drop'!N$12:N$64))</f>
        <v/>
      </c>
      <c r="Q59" s="440" t="str">
        <f>IF(P59="","",+SUMIF('Argus Drop'!$D$7:$D$64,$A59,'Argus Drop'!O$12:O$64))</f>
        <v/>
      </c>
      <c r="R59" s="440" t="str">
        <f>IF(Q59="","",+SUMIF('Argus Drop'!$D$7:$D$64,$A59,'Argus Drop'!P$12:P$64))</f>
        <v/>
      </c>
      <c r="S59" s="440" t="str">
        <f>IF(R59="","",+SUMIF('Argus Drop'!$D$7:$D$64,$A59,'Argus Drop'!Q$12:Q$64))</f>
        <v/>
      </c>
      <c r="T59" s="440" t="str">
        <f>IF(S59="","",+SUMIF('Argus Drop'!$D$7:$D$64,$A59,'Argus Drop'!R$12:R$64))</f>
        <v/>
      </c>
      <c r="U59" s="440" t="str">
        <f>IF(T59="","",+SUMIF('Argus Drop'!$D$7:$D$64,$A59,'Argus Drop'!S$12:S$64))</f>
        <v/>
      </c>
      <c r="V59" s="440" t="str">
        <f>IF(U59="","",+SUMIF('Argus Drop'!$D$7:$D$64,$A59,'Argus Drop'!T$12:T$64))</f>
        <v/>
      </c>
      <c r="W59" s="440" t="str">
        <f>IF(V59="","",+SUMIF('Argus Drop'!$D$7:$D$64,$A59,'Argus Drop'!U$12:U$64))</f>
        <v/>
      </c>
      <c r="X59" s="440" t="str">
        <f>IF(W59="","",+SUMIF('Argus Drop'!$D$7:$D$64,$A59,'Argus Drop'!V$12:V$64))</f>
        <v/>
      </c>
      <c r="Y59" s="440" t="str">
        <f>IF(X59="","",+SUMIF('Argus Drop'!$D$7:$D$64,$A59,'Argus Drop'!W$12:W$64))</f>
        <v/>
      </c>
      <c r="Z59" s="440" t="str">
        <f>IF(Y59="","",+SUMIF('Argus Drop'!$D$7:$D$64,$A59,'Argus Drop'!X$12:X$64))</f>
        <v/>
      </c>
      <c r="AA59" s="440" t="str">
        <f>IF(Z59="","",+SUMIF('Argus Drop'!$D$7:$D$64,$A59,'Argus Drop'!#REF!))</f>
        <v/>
      </c>
      <c r="AB59" s="440" t="str">
        <f>IF(AA59="","",+SUMIF('Argus Drop'!$D$7:$D$64,$A59,'Argus Drop'!Y$12:Y$64))</f>
        <v/>
      </c>
      <c r="AC59" s="440" t="str">
        <f>IF(AB59="","",+SUMIF('Argus Drop'!$D$7:$D$64,$A59,'Argus Drop'!Z$12:Z$64))</f>
        <v/>
      </c>
      <c r="AD59" s="440" t="str">
        <f>IF(AC59="","",+SUMIF('Argus Drop'!$D$7:$D$64,$A59,'Argus Drop'!AA$12:AA$64))</f>
        <v/>
      </c>
      <c r="AE59" s="440" t="str">
        <f>IF(AD59="","",+SUMIF('Argus Drop'!$D$7:$D$64,$A59,'Argus Drop'!AB$12:AB$64))</f>
        <v/>
      </c>
      <c r="AF59" s="440" t="str">
        <f>IF(AE59="","",+SUMIF('Argus Drop'!$D$7:$D$64,$A59,'Argus Drop'!AC$12:AC$64))</f>
        <v/>
      </c>
      <c r="AG59" s="440" t="str">
        <f>IF(AF59="","",+SUMIF('Argus Drop'!$D$7:$D$64,$A59,'Argus Drop'!AD$12:AD$64))</f>
        <v/>
      </c>
      <c r="AH59" s="440" t="str">
        <f>IF(AG59="","",+SUMIF('Argus Drop'!$D$7:$D$64,$A59,'Argus Drop'!AE$12:AE$64))</f>
        <v/>
      </c>
      <c r="AI59" s="440" t="str">
        <f>IF(AH59="","",+SUMIF('Argus Drop'!$D$7:$D$64,$A59,'Argus Drop'!AF$12:AF$64))</f>
        <v/>
      </c>
      <c r="AJ59" s="440" t="str">
        <f>IF(AI59="","",+SUMIF('Argus Drop'!$D$7:$D$64,$A59,'Argus Drop'!AG$12:AG$64))</f>
        <v/>
      </c>
      <c r="AK59" s="440" t="str">
        <f>IF(AJ59="","",+SUMIF('Argus Drop'!$D$7:$D$64,$A59,'Argus Drop'!AH$12:AH$64))</f>
        <v/>
      </c>
      <c r="AL59" s="440" t="str">
        <f>IF(AK59="","",+SUMIF('Argus Drop'!$D$7:$D$64,$A59,'Argus Drop'!AI$12:AI$64))</f>
        <v/>
      </c>
      <c r="AM59" s="440" t="str">
        <f>IF(AL59="","",+SUMIF('Argus Drop'!$D$7:$D$64,$A59,'Argus Drop'!AJ$12:AJ$64))</f>
        <v/>
      </c>
      <c r="AN59" s="440" t="str">
        <f>IF(AM59="","",+SUMIF('Argus Drop'!$D$7:$D$64,$A59,'Argus Drop'!#REF!))</f>
        <v/>
      </c>
      <c r="AO59" s="440" t="str">
        <f>IF(AN59="","",+SUMIF('Argus Drop'!$D$7:$D$64,$A59,'Argus Drop'!AK$12:AK$64))</f>
        <v/>
      </c>
      <c r="AP59" s="440" t="str">
        <f>IF(AO59="","",+SUMIF('Argus Drop'!$D$7:$D$64,$A59,'Argus Drop'!AL$12:AL$64))</f>
        <v/>
      </c>
      <c r="AQ59" s="440" t="str">
        <f>IF(AP59="","",+SUMIF('Argus Drop'!$D$7:$D$64,$A59,'Argus Drop'!AM$12:AM$64))</f>
        <v/>
      </c>
      <c r="AR59" s="440" t="str">
        <f>IF(AQ59="","",+SUMIF('Argus Drop'!$D$7:$D$64,$A59,'Argus Drop'!AN$12:AN$64))</f>
        <v/>
      </c>
      <c r="AS59" s="440" t="str">
        <f>IF(AR59="","",+SUMIF('Argus Drop'!$D$7:$D$64,$A59,'Argus Drop'!AO$12:AO$64))</f>
        <v/>
      </c>
      <c r="AT59" s="440" t="str">
        <f>IF(AS59="","",+SUMIF('Argus Drop'!$D$7:$D$64,$A59,'Argus Drop'!AP$12:AP$64))</f>
        <v/>
      </c>
      <c r="AU59" s="440" t="str">
        <f>IF(AT59="","",+SUMIF('Argus Drop'!$D$7:$D$64,$A59,'Argus Drop'!AQ$12:AQ$64))</f>
        <v/>
      </c>
      <c r="AV59" s="440" t="str">
        <f>IF(AU59="","",+SUMIF('Argus Drop'!$D$7:$D$64,$A59,'Argus Drop'!AR$12:AR$64))</f>
        <v/>
      </c>
      <c r="AW59" s="440" t="str">
        <f>IF(AV59="","",+SUMIF('Argus Drop'!$D$7:$D$64,$A59,'Argus Drop'!AS$12:AS$64))</f>
        <v/>
      </c>
      <c r="AX59" s="440" t="str">
        <f>IF(AW59="","",+SUMIF('Argus Drop'!$D$7:$D$64,$A59,'Argus Drop'!AT$12:AT$64))</f>
        <v/>
      </c>
      <c r="AY59" s="440" t="str">
        <f>IF(AX59="","",+SUMIF('Argus Drop'!$D$7:$D$64,$A59,'Argus Drop'!AU$12:AU$64))</f>
        <v/>
      </c>
      <c r="AZ59" s="440" t="str">
        <f>IF(AY59="","",+SUMIF('Argus Drop'!$D$7:$D$64,$A59,'Argus Drop'!AV$12:AV$64))</f>
        <v/>
      </c>
      <c r="BA59" s="440" t="str">
        <f>IF(AZ59="","",+SUMIF('Argus Drop'!$D$7:$D$64,$A59,'Argus Drop'!#REF!))</f>
        <v/>
      </c>
      <c r="BB59" s="440" t="str">
        <f>IF(BA59="","",+SUMIF('Argus Drop'!$D$7:$D$64,$A59,'Argus Drop'!AW$12:AW$64))</f>
        <v/>
      </c>
      <c r="BC59" s="440" t="str">
        <f>IF(BB59="","",+SUMIF('Argus Drop'!$D$7:$D$64,$A59,'Argus Drop'!AX$12:AX$64))</f>
        <v/>
      </c>
      <c r="BD59" s="440" t="str">
        <f>IF(BC59="","",+SUMIF('Argus Drop'!$D$7:$D$64,$A59,'Argus Drop'!AY$12:AY$64))</f>
        <v/>
      </c>
      <c r="BE59" s="440" t="str">
        <f>IF(BD59="","",+SUMIF('Argus Drop'!$D$7:$D$64,$A59,'Argus Drop'!AZ$12:AZ$64))</f>
        <v/>
      </c>
      <c r="BF59" s="440" t="str">
        <f>IF(BE59="","",+SUMIF('Argus Drop'!$D$7:$D$64,$A59,'Argus Drop'!BA$12:BA$64))</f>
        <v/>
      </c>
      <c r="BG59" s="440" t="str">
        <f>IF(BF59="","",+SUMIF('Argus Drop'!$D$7:$D$64,$A59,'Argus Drop'!BB$12:BB$64))</f>
        <v/>
      </c>
      <c r="BH59" s="440" t="str">
        <f>IF(BG59="","",+SUMIF('Argus Drop'!$D$7:$D$64,$A59,'Argus Drop'!BC$12:BC$64))</f>
        <v/>
      </c>
      <c r="BI59" s="440" t="str">
        <f>IF(BH59="","",+SUMIF('Argus Drop'!$D$7:$D$64,$A59,'Argus Drop'!BD$12:BD$64))</f>
        <v/>
      </c>
      <c r="BJ59" s="440" t="str">
        <f>IF(BI59="","",+SUMIF('Argus Drop'!$D$7:$D$64,$A59,'Argus Drop'!BE$12:BE$64))</f>
        <v/>
      </c>
      <c r="BK59" s="440" t="str">
        <f>IF(BJ59="","",+SUMIF('Argus Drop'!$D$7:$D$64,$A59,'Argus Drop'!BF$12:BF$64))</f>
        <v/>
      </c>
      <c r="BL59" s="440" t="str">
        <f>IF(BK59="","",+SUMIF('Argus Drop'!$D$7:$D$64,$A59,'Argus Drop'!BG$12:BG$64))</f>
        <v/>
      </c>
      <c r="BM59" s="440" t="str">
        <f>IF(BL59="","",+SUMIF('Argus Drop'!$D$7:$D$64,$A59,'Argus Drop'!BH$12:BH$64))</f>
        <v/>
      </c>
      <c r="BN59" s="440" t="str">
        <f>IF(BM59="","",+SUMIF('Argus Drop'!$D$7:$D$64,$A59,'Argus Drop'!#REF!))</f>
        <v/>
      </c>
      <c r="BO59" s="440" t="str">
        <f>IF(BN59="","",+SUMIF('Argus Drop'!$D$7:$D$64,$A59,'Argus Drop'!BI$12:BI$64))</f>
        <v/>
      </c>
      <c r="BP59" s="440" t="str">
        <f>IF(BO59="","",+SUMIF('Argus Drop'!$D$7:$D$64,$A59,'Argus Drop'!BJ$12:BJ$64))</f>
        <v/>
      </c>
      <c r="BQ59" s="440" t="str">
        <f>IF(BP59="","",+SUMIF('Argus Drop'!$D$7:$D$64,$A59,'Argus Drop'!BK$12:BK$64))</f>
        <v/>
      </c>
      <c r="BR59" s="440" t="str">
        <f>IF(BQ59="","",+SUMIF('Argus Drop'!$D$7:$D$64,$A59,'Argus Drop'!BL$12:BL$64))</f>
        <v/>
      </c>
      <c r="BS59" s="440" t="str">
        <f>IF(BR59="","",+SUMIF('Argus Drop'!$D$7:$D$64,$A59,'Argus Drop'!BM$12:BM$64))</f>
        <v/>
      </c>
      <c r="BT59" s="440" t="str">
        <f>IF(BS59="","",+SUMIF('Argus Drop'!$D$7:$D$64,$A59,'Argus Drop'!BN$12:BN$64))</f>
        <v/>
      </c>
      <c r="BU59" s="440" t="str">
        <f>IF(BT59="","",+SUMIF('Argus Drop'!$D$7:$D$64,$A59,'Argus Drop'!BO$12:BO$64))</f>
        <v/>
      </c>
      <c r="BV59" s="440" t="str">
        <f>IF(BU59="","",+SUMIF('Argus Drop'!$D$7:$D$64,$A59,'Argus Drop'!BP$12:BP$64))</f>
        <v/>
      </c>
      <c r="BW59" s="440" t="str">
        <f>IF(BV59="","",+SUMIF('Argus Drop'!$D$7:$D$64,$A59,'Argus Drop'!BQ$12:BQ$64))</f>
        <v/>
      </c>
      <c r="BX59" s="440" t="str">
        <f>IF(BW59="","",+SUMIF('Argus Drop'!$D$7:$D$64,$A59,'Argus Drop'!BR$12:BR$64))</f>
        <v/>
      </c>
      <c r="BY59" s="440" t="str">
        <f>IF(BX59="","",+SUMIF('Argus Drop'!$D$7:$D$64,$A59,'Argus Drop'!BS$12:BS$64))</f>
        <v/>
      </c>
      <c r="BZ59" s="440" t="str">
        <f>IF(BY59="","",+SUMIF('Argus Drop'!$D$7:$D$64,$A59,'Argus Drop'!BT$12:BT$64))</f>
        <v/>
      </c>
      <c r="CA59" s="440" t="str">
        <f>IF(BZ59="","",+SUMIF('Argus Drop'!$D$7:$D$64,$A59,'Argus Drop'!#REF!))</f>
        <v/>
      </c>
      <c r="CB59" s="440" t="str">
        <f>IF(CA59="","",+SUMIF('Argus Drop'!$D$7:$D$64,$A59,'Argus Drop'!BU$12:BU$64))</f>
        <v/>
      </c>
      <c r="CC59" s="440" t="str">
        <f>IF(CB59="","",+SUMIF('Argus Drop'!$D$7:$D$64,$A59,'Argus Drop'!BV$12:BV$64))</f>
        <v/>
      </c>
      <c r="CD59" s="440" t="str">
        <f>IF(CC59="","",+SUMIF('Argus Drop'!$D$7:$D$64,$A59,'Argus Drop'!BW$12:BW$64))</f>
        <v/>
      </c>
      <c r="CE59" s="440" t="str">
        <f>IF(CD59="","",+SUMIF('Argus Drop'!$D$7:$D$64,$A59,'Argus Drop'!BX$12:BX$64))</f>
        <v/>
      </c>
      <c r="CF59" s="440" t="str">
        <f>IF(CE59="","",+SUMIF('Argus Drop'!$D$7:$D$64,$A59,'Argus Drop'!BY$12:BY$64))</f>
        <v/>
      </c>
      <c r="CG59" s="440" t="str">
        <f>IF(CF59="","",+SUMIF('Argus Drop'!$D$7:$D$64,$A59,'Argus Drop'!BZ$12:BZ$64))</f>
        <v/>
      </c>
      <c r="CH59" s="440" t="str">
        <f>IF(CG59="","",+SUMIF('Argus Drop'!$D$7:$D$64,$A59,'Argus Drop'!CA$12:CA$64))</f>
        <v/>
      </c>
      <c r="CI59" s="440" t="str">
        <f>IF(CH59="","",+SUMIF('Argus Drop'!$D$7:$D$64,$A59,'Argus Drop'!CB$12:CB$64))</f>
        <v/>
      </c>
      <c r="CJ59" s="440" t="str">
        <f>IF(CI59="","",+SUMIF('Argus Drop'!$D$7:$D$64,$A59,'Argus Drop'!CC$12:CC$64))</f>
        <v/>
      </c>
      <c r="CK59" s="440" t="str">
        <f>IF(CJ59="","",+SUMIF('Argus Drop'!$D$7:$D$64,$A59,'Argus Drop'!CD$12:CD$64))</f>
        <v/>
      </c>
      <c r="CL59" s="440" t="str">
        <f>IF(CK59="","",+SUMIF('Argus Drop'!$D$7:$D$64,$A59,'Argus Drop'!CE$12:CE$64))</f>
        <v/>
      </c>
      <c r="CM59" s="440" t="str">
        <f>IF(CL59="","",+SUMIF('Argus Drop'!$D$7:$D$64,$A59,'Argus Drop'!CF$12:CF$64))</f>
        <v/>
      </c>
      <c r="CN59" s="440" t="str">
        <f>IF(CM59="","",+SUMIF('Argus Drop'!$D$7:$D$64,$A59,'Argus Drop'!#REF!))</f>
        <v/>
      </c>
      <c r="CO59" s="440" t="str">
        <f>IF(CN59="","",+SUMIF('Argus Drop'!$D$7:$D$64,$A59,'Argus Drop'!CG$12:CG$64))</f>
        <v/>
      </c>
      <c r="CP59" s="440" t="str">
        <f>IF(CO59="","",+SUMIF('Argus Drop'!$D$7:$D$64,$A59,'Argus Drop'!CH$12:CH$64))</f>
        <v/>
      </c>
      <c r="CQ59" s="440" t="str">
        <f>IF(CP59="","",+SUMIF('Argus Drop'!$D$7:$D$64,$A59,'Argus Drop'!CI$12:CI$64))</f>
        <v/>
      </c>
      <c r="CR59" s="440" t="str">
        <f>IF(CQ59="","",+SUMIF('Argus Drop'!$D$7:$D$64,$A59,'Argus Drop'!CJ$12:CJ$64))</f>
        <v/>
      </c>
      <c r="CS59" s="440" t="str">
        <f>IF(CR59="","",+SUMIF('Argus Drop'!$D$7:$D$64,$A59,'Argus Drop'!CK$12:CK$64))</f>
        <v/>
      </c>
      <c r="CT59" s="440" t="str">
        <f>IF(CS59="","",+SUMIF('Argus Drop'!$D$7:$D$64,$A59,'Argus Drop'!CL$12:CL$64))</f>
        <v/>
      </c>
      <c r="CU59" s="440" t="str">
        <f>IF(CT59="","",+SUMIF('Argus Drop'!$D$7:$D$64,$A59,'Argus Drop'!CM$12:CM$64))</f>
        <v/>
      </c>
      <c r="CV59" s="440" t="str">
        <f>IF(CU59="","",+SUMIF('Argus Drop'!$D$7:$D$64,$A59,'Argus Drop'!CN$12:CN$64))</f>
        <v/>
      </c>
      <c r="CW59" s="440" t="str">
        <f>IF(CV59="","",+SUMIF('Argus Drop'!$D$7:$D$64,$A59,'Argus Drop'!CO$12:CO$64))</f>
        <v/>
      </c>
      <c r="CX59" s="440" t="str">
        <f>IF(CW59="","",+SUMIF('Argus Drop'!$D$7:$D$64,$A59,'Argus Drop'!CP$12:CP$64))</f>
        <v/>
      </c>
      <c r="CY59" s="440" t="str">
        <f>IF(CX59="","",+SUMIF('Argus Drop'!$D$7:$D$64,$A59,'Argus Drop'!CQ$12:CQ$64))</f>
        <v/>
      </c>
      <c r="CZ59" s="440" t="str">
        <f>IF(CY59="","",+SUMIF('Argus Drop'!$D$7:$D$64,$A59,'Argus Drop'!CR$12:CR$64))</f>
        <v/>
      </c>
      <c r="DA59" s="440" t="str">
        <f>IF(CZ59="","",+SUMIF('Argus Drop'!$D$7:$D$64,$A59,'Argus Drop'!#REF!))</f>
        <v/>
      </c>
      <c r="DB59" s="440" t="str">
        <f>IF(DA59="","",+SUMIF('Argus Drop'!$D$7:$D$64,$A59,'Argus Drop'!CS$12:CS$64))</f>
        <v/>
      </c>
      <c r="DC59" s="440" t="str">
        <f>IF(DB59="","",+SUMIF('Argus Drop'!$D$7:$D$64,$A59,'Argus Drop'!CT$12:CT$64))</f>
        <v/>
      </c>
      <c r="DD59" s="440" t="str">
        <f>IF(DC59="","",+SUMIF('Argus Drop'!$D$7:$D$64,$A59,'Argus Drop'!CU$12:CU$64))</f>
        <v/>
      </c>
      <c r="DE59" s="440" t="str">
        <f>IF(DD59="","",+SUMIF('Argus Drop'!$D$7:$D$64,$A59,'Argus Drop'!CV$12:CV$64))</f>
        <v/>
      </c>
      <c r="DF59" s="440" t="str">
        <f>IF(DE59="","",+SUMIF('Argus Drop'!$D$7:$D$64,$A59,'Argus Drop'!CW$12:CW$64))</f>
        <v/>
      </c>
      <c r="DG59" s="440" t="str">
        <f>IF(DF59="","",+SUMIF('Argus Drop'!$D$7:$D$64,$A59,'Argus Drop'!CX$12:CX$64))</f>
        <v/>
      </c>
      <c r="DH59" s="440" t="str">
        <f>IF(DG59="","",+SUMIF('Argus Drop'!$D$7:$D$64,$A59,'Argus Drop'!CY$12:CY$64))</f>
        <v/>
      </c>
      <c r="DI59" s="440" t="str">
        <f>IF(DH59="","",+SUMIF('Argus Drop'!$D$7:$D$64,$A59,'Argus Drop'!CZ$12:CZ$64))</f>
        <v/>
      </c>
      <c r="DJ59" s="440" t="str">
        <f>IF(DI59="","",+SUMIF('Argus Drop'!$D$7:$D$64,$A59,'Argus Drop'!DA$12:DA$64))</f>
        <v/>
      </c>
      <c r="DK59" s="440" t="str">
        <f>IF(DJ59="","",+SUMIF('Argus Drop'!$D$7:$D$64,$A59,'Argus Drop'!DB$12:DB$64))</f>
        <v/>
      </c>
      <c r="DL59" s="440" t="str">
        <f>IF(DK59="","",+SUMIF('Argus Drop'!$D$7:$D$64,$A59,'Argus Drop'!DC$12:DC$64))</f>
        <v/>
      </c>
      <c r="DM59" s="440" t="str">
        <f>IF(DL59="","",+SUMIF('Argus Drop'!$D$7:$D$64,$A59,'Argus Drop'!DD$12:DD$64))</f>
        <v/>
      </c>
      <c r="DN59" s="440" t="str">
        <f>IF(DM59="","",+SUMIF('Argus Drop'!$D$7:$D$64,$A59,'Argus Drop'!#REF!))</f>
        <v/>
      </c>
      <c r="DO59" s="440" t="str">
        <f>IF(DN59="","",+SUMIF('Argus Drop'!$D$7:$D$64,$A59,'Argus Drop'!DE$12:DE$64))</f>
        <v/>
      </c>
      <c r="DP59" s="440" t="str">
        <f>IF(DO59="","",+SUMIF('Argus Drop'!$D$7:$D$64,$A59,'Argus Drop'!DF$12:DF$64))</f>
        <v/>
      </c>
      <c r="DQ59" s="440" t="str">
        <f>IF(DP59="","",+SUMIF('Argus Drop'!$D$7:$D$64,$A59,'Argus Drop'!DG$12:DG$64))</f>
        <v/>
      </c>
      <c r="DR59" s="440" t="str">
        <f>IF(DQ59="","",+SUMIF('Argus Drop'!$D$7:$D$64,$A59,'Argus Drop'!DH$12:DH$64))</f>
        <v/>
      </c>
      <c r="DS59" s="440"/>
      <c r="DT59" s="440"/>
      <c r="DU59" s="440"/>
      <c r="DV59" s="440"/>
      <c r="DW59" s="440"/>
      <c r="DX59" s="440"/>
      <c r="DY59" s="440"/>
      <c r="DZ59" s="440"/>
      <c r="EA59" s="440"/>
      <c r="EB59" s="440"/>
      <c r="EC59" s="440"/>
      <c r="ED59" s="1419"/>
      <c r="EE59" s="1419"/>
      <c r="EF59" s="1419"/>
      <c r="EG59" s="1419"/>
      <c r="EH59" s="1419"/>
      <c r="EI59" s="1419"/>
      <c r="EJ59" s="1419"/>
      <c r="EK59" s="1419"/>
      <c r="EL59" s="1419"/>
      <c r="EM59" s="1419"/>
      <c r="EN59" s="1419"/>
      <c r="EO59" s="1419"/>
      <c r="EP59" s="1419"/>
      <c r="EQ59" s="1419"/>
      <c r="ER59" s="1419"/>
      <c r="ES59" s="1419"/>
      <c r="ET59" s="1419"/>
      <c r="EU59" s="1419"/>
      <c r="EV59" s="1419"/>
      <c r="EW59" s="1419"/>
      <c r="EX59" s="1419"/>
      <c r="EY59" s="1419"/>
      <c r="EZ59" s="1419"/>
      <c r="FA59" s="1419"/>
      <c r="FB59" s="1419"/>
      <c r="FC59" s="1419"/>
      <c r="FD59" s="1419"/>
      <c r="FE59" s="1419"/>
      <c r="FF59" s="1419"/>
      <c r="FG59" s="1419"/>
      <c r="FH59" s="1419"/>
      <c r="FI59" s="1419"/>
    </row>
    <row r="60" spans="1:165">
      <c r="A60" s="448" t="str">
        <f>IF(+'Argus Drop'!B64="","",'Argus Drop'!B64)</f>
        <v/>
      </c>
      <c r="B60" s="440" t="str">
        <f>IF(A60="","",+SUMIF('Argus Drop'!$D$7:$D$64,$A60,'Argus Drop'!#REF!))</f>
        <v/>
      </c>
      <c r="C60" s="440" t="str">
        <f>IF(B60="","",+SUMIF('Argus Drop'!$D$7:$D$64,$A60,'Argus Drop'!#REF!))</f>
        <v/>
      </c>
      <c r="D60" s="440" t="str">
        <f>IF(C60="","",+SUMIF('Argus Drop'!$D$7:$D$64,$A60,'Argus Drop'!#REF!))</f>
        <v/>
      </c>
      <c r="E60" s="440" t="str">
        <f>IF(D60="","",+SUMIF('Argus Drop'!$D$7:$D$64,$A60,'Argus Drop'!#REF!))</f>
        <v/>
      </c>
      <c r="F60" s="440" t="str">
        <f>IF(E60="","",+SUMIF('Argus Drop'!$D$7:$D$64,$A60,'Argus Drop'!#REF!))</f>
        <v/>
      </c>
      <c r="G60" s="440" t="str">
        <f>IF(F60="","",+SUMIF('Argus Drop'!$D$7:$D$64,$A60,'Argus Drop'!F$7:F$64))</f>
        <v/>
      </c>
      <c r="H60" s="440" t="str">
        <f>IF(G60="","",+SUMIF('Argus Drop'!$D$7:$D$64,$A60,'Argus Drop'!G$12:G$64))</f>
        <v/>
      </c>
      <c r="I60" s="440" t="str">
        <f>IF(H60="","",+SUMIF('Argus Drop'!$D$7:$D$64,$A60,'Argus Drop'!H$12:H$64))</f>
        <v/>
      </c>
      <c r="J60" s="440" t="str">
        <f>IF(I60="","",+SUMIF('Argus Drop'!$D$7:$D$64,$A60,'Argus Drop'!I$12:I$64))</f>
        <v/>
      </c>
      <c r="K60" s="440" t="str">
        <f>IF(J60="","",+SUMIF('Argus Drop'!$D$7:$D$64,$A60,'Argus Drop'!J$12:J$64))</f>
        <v/>
      </c>
      <c r="L60" s="440" t="str">
        <f>IF(K60="","",+SUMIF('Argus Drop'!$D$7:$D$64,$A60,'Argus Drop'!K$12:K$64))</f>
        <v/>
      </c>
      <c r="M60" s="440" t="str">
        <f>IF(L60="","",+SUMIF('Argus Drop'!$D$7:$D$64,$A60,'Argus Drop'!L$12:L$64))</f>
        <v/>
      </c>
      <c r="N60" s="440" t="str">
        <f>IF(M60="","",+SUMIF('Argus Drop'!$D$7:$D$64,$A60,'Argus Drop'!#REF!))</f>
        <v/>
      </c>
      <c r="O60" s="440" t="str">
        <f>IF(N60="","",+SUMIF('Argus Drop'!$D$7:$D$64,$A60,'Argus Drop'!M$12:M$64))</f>
        <v/>
      </c>
      <c r="P60" s="440" t="str">
        <f>IF(O60="","",+SUMIF('Argus Drop'!$D$7:$D$64,$A60,'Argus Drop'!N$12:N$64))</f>
        <v/>
      </c>
      <c r="Q60" s="440" t="str">
        <f>IF(P60="","",+SUMIF('Argus Drop'!$D$7:$D$64,$A60,'Argus Drop'!O$12:O$64))</f>
        <v/>
      </c>
      <c r="R60" s="440" t="str">
        <f>IF(Q60="","",+SUMIF('Argus Drop'!$D$7:$D$64,$A60,'Argus Drop'!P$12:P$64))</f>
        <v/>
      </c>
      <c r="S60" s="440" t="str">
        <f>IF(R60="","",+SUMIF('Argus Drop'!$D$7:$D$64,$A60,'Argus Drop'!Q$12:Q$64))</f>
        <v/>
      </c>
      <c r="T60" s="440" t="str">
        <f>IF(S60="","",+SUMIF('Argus Drop'!$D$7:$D$64,$A60,'Argus Drop'!R$12:R$64))</f>
        <v/>
      </c>
      <c r="U60" s="440" t="str">
        <f>IF(T60="","",+SUMIF('Argus Drop'!$D$7:$D$64,$A60,'Argus Drop'!S$12:S$64))</f>
        <v/>
      </c>
      <c r="V60" s="440" t="str">
        <f>IF(U60="","",+SUMIF('Argus Drop'!$D$7:$D$64,$A60,'Argus Drop'!T$12:T$64))</f>
        <v/>
      </c>
      <c r="W60" s="440" t="str">
        <f>IF(V60="","",+SUMIF('Argus Drop'!$D$7:$D$64,$A60,'Argus Drop'!U$12:U$64))</f>
        <v/>
      </c>
      <c r="X60" s="440" t="str">
        <f>IF(W60="","",+SUMIF('Argus Drop'!$D$7:$D$64,$A60,'Argus Drop'!V$12:V$64))</f>
        <v/>
      </c>
      <c r="Y60" s="440" t="str">
        <f>IF(X60="","",+SUMIF('Argus Drop'!$D$7:$D$64,$A60,'Argus Drop'!W$12:W$64))</f>
        <v/>
      </c>
      <c r="Z60" s="440" t="str">
        <f>IF(Y60="","",+SUMIF('Argus Drop'!$D$7:$D$64,$A60,'Argus Drop'!X$12:X$64))</f>
        <v/>
      </c>
      <c r="AA60" s="440" t="str">
        <f>IF(Z60="","",+SUMIF('Argus Drop'!$D$7:$D$64,$A60,'Argus Drop'!#REF!))</f>
        <v/>
      </c>
      <c r="AB60" s="440" t="str">
        <f>IF(AA60="","",+SUMIF('Argus Drop'!$D$7:$D$64,$A60,'Argus Drop'!Y$12:Y$64))</f>
        <v/>
      </c>
      <c r="AC60" s="440" t="str">
        <f>IF(AB60="","",+SUMIF('Argus Drop'!$D$7:$D$64,$A60,'Argus Drop'!Z$12:Z$64))</f>
        <v/>
      </c>
      <c r="AD60" s="440" t="str">
        <f>IF(AC60="","",+SUMIF('Argus Drop'!$D$7:$D$64,$A60,'Argus Drop'!AA$12:AA$64))</f>
        <v/>
      </c>
      <c r="AE60" s="440" t="str">
        <f>IF(AD60="","",+SUMIF('Argus Drop'!$D$7:$D$64,$A60,'Argus Drop'!AB$12:AB$64))</f>
        <v/>
      </c>
      <c r="AF60" s="440" t="str">
        <f>IF(AE60="","",+SUMIF('Argus Drop'!$D$7:$D$64,$A60,'Argus Drop'!AC$12:AC$64))</f>
        <v/>
      </c>
      <c r="AG60" s="440" t="str">
        <f>IF(AF60="","",+SUMIF('Argus Drop'!$D$7:$D$64,$A60,'Argus Drop'!AD$12:AD$64))</f>
        <v/>
      </c>
      <c r="AH60" s="440" t="str">
        <f>IF(AG60="","",+SUMIF('Argus Drop'!$D$7:$D$64,$A60,'Argus Drop'!AE$12:AE$64))</f>
        <v/>
      </c>
      <c r="AI60" s="440" t="str">
        <f>IF(AH60="","",+SUMIF('Argus Drop'!$D$7:$D$64,$A60,'Argus Drop'!AF$12:AF$64))</f>
        <v/>
      </c>
      <c r="AJ60" s="440" t="str">
        <f>IF(AI60="","",+SUMIF('Argus Drop'!$D$7:$D$64,$A60,'Argus Drop'!AG$12:AG$64))</f>
        <v/>
      </c>
      <c r="AK60" s="440" t="str">
        <f>IF(AJ60="","",+SUMIF('Argus Drop'!$D$7:$D$64,$A60,'Argus Drop'!AH$12:AH$64))</f>
        <v/>
      </c>
      <c r="AL60" s="440" t="str">
        <f>IF(AK60="","",+SUMIF('Argus Drop'!$D$7:$D$64,$A60,'Argus Drop'!AI$12:AI$64))</f>
        <v/>
      </c>
      <c r="AM60" s="440" t="str">
        <f>IF(AL60="","",+SUMIF('Argus Drop'!$D$7:$D$64,$A60,'Argus Drop'!AJ$12:AJ$64))</f>
        <v/>
      </c>
      <c r="AN60" s="440" t="str">
        <f>IF(AM60="","",+SUMIF('Argus Drop'!$D$7:$D$64,$A60,'Argus Drop'!#REF!))</f>
        <v/>
      </c>
      <c r="AO60" s="440" t="str">
        <f>IF(AN60="","",+SUMIF('Argus Drop'!$D$7:$D$64,$A60,'Argus Drop'!AK$12:AK$64))</f>
        <v/>
      </c>
      <c r="AP60" s="440" t="str">
        <f>IF(AO60="","",+SUMIF('Argus Drop'!$D$7:$D$64,$A60,'Argus Drop'!AL$12:AL$64))</f>
        <v/>
      </c>
      <c r="AQ60" s="440" t="str">
        <f>IF(AP60="","",+SUMIF('Argus Drop'!$D$7:$D$64,$A60,'Argus Drop'!AM$12:AM$64))</f>
        <v/>
      </c>
      <c r="AR60" s="440" t="str">
        <f>IF(AQ60="","",+SUMIF('Argus Drop'!$D$7:$D$64,$A60,'Argus Drop'!AN$12:AN$64))</f>
        <v/>
      </c>
      <c r="AS60" s="440" t="str">
        <f>IF(AR60="","",+SUMIF('Argus Drop'!$D$7:$D$64,$A60,'Argus Drop'!AO$12:AO$64))</f>
        <v/>
      </c>
      <c r="AT60" s="440" t="str">
        <f>IF(AS60="","",+SUMIF('Argus Drop'!$D$7:$D$64,$A60,'Argus Drop'!AP$12:AP$64))</f>
        <v/>
      </c>
      <c r="AU60" s="440" t="str">
        <f>IF(AT60="","",+SUMIF('Argus Drop'!$D$7:$D$64,$A60,'Argus Drop'!AQ$12:AQ$64))</f>
        <v/>
      </c>
      <c r="AV60" s="440" t="str">
        <f>IF(AU60="","",+SUMIF('Argus Drop'!$D$7:$D$64,$A60,'Argus Drop'!AR$12:AR$64))</f>
        <v/>
      </c>
      <c r="AW60" s="440" t="str">
        <f>IF(AV60="","",+SUMIF('Argus Drop'!$D$7:$D$64,$A60,'Argus Drop'!AS$12:AS$64))</f>
        <v/>
      </c>
      <c r="AX60" s="440" t="str">
        <f>IF(AW60="","",+SUMIF('Argus Drop'!$D$7:$D$64,$A60,'Argus Drop'!AT$12:AT$64))</f>
        <v/>
      </c>
      <c r="AY60" s="440" t="str">
        <f>IF(AX60="","",+SUMIF('Argus Drop'!$D$7:$D$64,$A60,'Argus Drop'!AU$12:AU$64))</f>
        <v/>
      </c>
      <c r="AZ60" s="440" t="str">
        <f>IF(AY60="","",+SUMIF('Argus Drop'!$D$7:$D$64,$A60,'Argus Drop'!AV$12:AV$64))</f>
        <v/>
      </c>
      <c r="BA60" s="440" t="str">
        <f>IF(AZ60="","",+SUMIF('Argus Drop'!$D$7:$D$64,$A60,'Argus Drop'!#REF!))</f>
        <v/>
      </c>
      <c r="BB60" s="440" t="str">
        <f>IF(BA60="","",+SUMIF('Argus Drop'!$D$7:$D$64,$A60,'Argus Drop'!AW$12:AW$64))</f>
        <v/>
      </c>
      <c r="BC60" s="440" t="str">
        <f>IF(BB60="","",+SUMIF('Argus Drop'!$D$7:$D$64,$A60,'Argus Drop'!AX$12:AX$64))</f>
        <v/>
      </c>
      <c r="BD60" s="440" t="str">
        <f>IF(BC60="","",+SUMIF('Argus Drop'!$D$7:$D$64,$A60,'Argus Drop'!AY$12:AY$64))</f>
        <v/>
      </c>
      <c r="BE60" s="440" t="str">
        <f>IF(BD60="","",+SUMIF('Argus Drop'!$D$7:$D$64,$A60,'Argus Drop'!AZ$12:AZ$64))</f>
        <v/>
      </c>
      <c r="BF60" s="440" t="str">
        <f>IF(BE60="","",+SUMIF('Argus Drop'!$D$7:$D$64,$A60,'Argus Drop'!BA$12:BA$64))</f>
        <v/>
      </c>
      <c r="BG60" s="440" t="str">
        <f>IF(BF60="","",+SUMIF('Argus Drop'!$D$7:$D$64,$A60,'Argus Drop'!BB$12:BB$64))</f>
        <v/>
      </c>
      <c r="BH60" s="440" t="str">
        <f>IF(BG60="","",+SUMIF('Argus Drop'!$D$7:$D$64,$A60,'Argus Drop'!BC$12:BC$64))</f>
        <v/>
      </c>
      <c r="BI60" s="440" t="str">
        <f>IF(BH60="","",+SUMIF('Argus Drop'!$D$7:$D$64,$A60,'Argus Drop'!BD$12:BD$64))</f>
        <v/>
      </c>
      <c r="BJ60" s="440" t="str">
        <f>IF(BI60="","",+SUMIF('Argus Drop'!$D$7:$D$64,$A60,'Argus Drop'!BE$12:BE$64))</f>
        <v/>
      </c>
      <c r="BK60" s="440" t="str">
        <f>IF(BJ60="","",+SUMIF('Argus Drop'!$D$7:$D$64,$A60,'Argus Drop'!BF$12:BF$64))</f>
        <v/>
      </c>
      <c r="BL60" s="440" t="str">
        <f>IF(BK60="","",+SUMIF('Argus Drop'!$D$7:$D$64,$A60,'Argus Drop'!BG$12:BG$64))</f>
        <v/>
      </c>
      <c r="BM60" s="440" t="str">
        <f>IF(BL60="","",+SUMIF('Argus Drop'!$D$7:$D$64,$A60,'Argus Drop'!BH$12:BH$64))</f>
        <v/>
      </c>
      <c r="BN60" s="440" t="str">
        <f>IF(BM60="","",+SUMIF('Argus Drop'!$D$7:$D$64,$A60,'Argus Drop'!#REF!))</f>
        <v/>
      </c>
      <c r="BO60" s="440" t="str">
        <f>IF(BN60="","",+SUMIF('Argus Drop'!$D$7:$D$64,$A60,'Argus Drop'!BI$12:BI$64))</f>
        <v/>
      </c>
      <c r="BP60" s="440" t="str">
        <f>IF(BO60="","",+SUMIF('Argus Drop'!$D$7:$D$64,$A60,'Argus Drop'!BJ$12:BJ$64))</f>
        <v/>
      </c>
      <c r="BQ60" s="440" t="str">
        <f>IF(BP60="","",+SUMIF('Argus Drop'!$D$7:$D$64,$A60,'Argus Drop'!BK$12:BK$64))</f>
        <v/>
      </c>
      <c r="BR60" s="440" t="str">
        <f>IF(BQ60="","",+SUMIF('Argus Drop'!$D$7:$D$64,$A60,'Argus Drop'!BL$12:BL$64))</f>
        <v/>
      </c>
      <c r="BS60" s="440" t="str">
        <f>IF(BR60="","",+SUMIF('Argus Drop'!$D$7:$D$64,$A60,'Argus Drop'!BM$12:BM$64))</f>
        <v/>
      </c>
      <c r="BT60" s="440" t="str">
        <f>IF(BS60="","",+SUMIF('Argus Drop'!$D$7:$D$64,$A60,'Argus Drop'!BN$12:BN$64))</f>
        <v/>
      </c>
      <c r="BU60" s="440" t="str">
        <f>IF(BT60="","",+SUMIF('Argus Drop'!$D$7:$D$64,$A60,'Argus Drop'!BO$12:BO$64))</f>
        <v/>
      </c>
      <c r="BV60" s="440" t="str">
        <f>IF(BU60="","",+SUMIF('Argus Drop'!$D$7:$D$64,$A60,'Argus Drop'!BP$12:BP$64))</f>
        <v/>
      </c>
      <c r="BW60" s="440" t="str">
        <f>IF(BV60="","",+SUMIF('Argus Drop'!$D$7:$D$64,$A60,'Argus Drop'!BQ$12:BQ$64))</f>
        <v/>
      </c>
      <c r="BX60" s="440" t="str">
        <f>IF(BW60="","",+SUMIF('Argus Drop'!$D$7:$D$64,$A60,'Argus Drop'!BR$12:BR$64))</f>
        <v/>
      </c>
      <c r="BY60" s="440" t="str">
        <f>IF(BX60="","",+SUMIF('Argus Drop'!$D$7:$D$64,$A60,'Argus Drop'!BS$12:BS$64))</f>
        <v/>
      </c>
      <c r="BZ60" s="440" t="str">
        <f>IF(BY60="","",+SUMIF('Argus Drop'!$D$7:$D$64,$A60,'Argus Drop'!BT$12:BT$64))</f>
        <v/>
      </c>
      <c r="CA60" s="440" t="str">
        <f>IF(BZ60="","",+SUMIF('Argus Drop'!$D$7:$D$64,$A60,'Argus Drop'!#REF!))</f>
        <v/>
      </c>
      <c r="CB60" s="440" t="str">
        <f>IF(CA60="","",+SUMIF('Argus Drop'!$D$7:$D$64,$A60,'Argus Drop'!BU$12:BU$64))</f>
        <v/>
      </c>
      <c r="CC60" s="440" t="str">
        <f>IF(CB60="","",+SUMIF('Argus Drop'!$D$7:$D$64,$A60,'Argus Drop'!BV$12:BV$64))</f>
        <v/>
      </c>
      <c r="CD60" s="440" t="str">
        <f>IF(CC60="","",+SUMIF('Argus Drop'!$D$7:$D$64,$A60,'Argus Drop'!BW$12:BW$64))</f>
        <v/>
      </c>
      <c r="CE60" s="440" t="str">
        <f>IF(CD60="","",+SUMIF('Argus Drop'!$D$7:$D$64,$A60,'Argus Drop'!BX$12:BX$64))</f>
        <v/>
      </c>
      <c r="CF60" s="440" t="str">
        <f>IF(CE60="","",+SUMIF('Argus Drop'!$D$7:$D$64,$A60,'Argus Drop'!BY$12:BY$64))</f>
        <v/>
      </c>
      <c r="CG60" s="440" t="str">
        <f>IF(CF60="","",+SUMIF('Argus Drop'!$D$7:$D$64,$A60,'Argus Drop'!BZ$12:BZ$64))</f>
        <v/>
      </c>
      <c r="CH60" s="440" t="str">
        <f>IF(CG60="","",+SUMIF('Argus Drop'!$D$7:$D$64,$A60,'Argus Drop'!CA$12:CA$64))</f>
        <v/>
      </c>
      <c r="CI60" s="440" t="str">
        <f>IF(CH60="","",+SUMIF('Argus Drop'!$D$7:$D$64,$A60,'Argus Drop'!CB$12:CB$64))</f>
        <v/>
      </c>
      <c r="CJ60" s="440" t="str">
        <f>IF(CI60="","",+SUMIF('Argus Drop'!$D$7:$D$64,$A60,'Argus Drop'!CC$12:CC$64))</f>
        <v/>
      </c>
      <c r="CK60" s="440" t="str">
        <f>IF(CJ60="","",+SUMIF('Argus Drop'!$D$7:$D$64,$A60,'Argus Drop'!CD$12:CD$64))</f>
        <v/>
      </c>
      <c r="CL60" s="440" t="str">
        <f>IF(CK60="","",+SUMIF('Argus Drop'!$D$7:$D$64,$A60,'Argus Drop'!CE$12:CE$64))</f>
        <v/>
      </c>
      <c r="CM60" s="440" t="str">
        <f>IF(CL60="","",+SUMIF('Argus Drop'!$D$7:$D$64,$A60,'Argus Drop'!CF$12:CF$64))</f>
        <v/>
      </c>
      <c r="CN60" s="440" t="str">
        <f>IF(CM60="","",+SUMIF('Argus Drop'!$D$7:$D$64,$A60,'Argus Drop'!#REF!))</f>
        <v/>
      </c>
      <c r="CO60" s="440" t="str">
        <f>IF(CN60="","",+SUMIF('Argus Drop'!$D$7:$D$64,$A60,'Argus Drop'!CG$12:CG$64))</f>
        <v/>
      </c>
      <c r="CP60" s="440" t="str">
        <f>IF(CO60="","",+SUMIF('Argus Drop'!$D$7:$D$64,$A60,'Argus Drop'!CH$12:CH$64))</f>
        <v/>
      </c>
      <c r="CQ60" s="440" t="str">
        <f>IF(CP60="","",+SUMIF('Argus Drop'!$D$7:$D$64,$A60,'Argus Drop'!CI$12:CI$64))</f>
        <v/>
      </c>
      <c r="CR60" s="440" t="str">
        <f>IF(CQ60="","",+SUMIF('Argus Drop'!$D$7:$D$64,$A60,'Argus Drop'!CJ$12:CJ$64))</f>
        <v/>
      </c>
      <c r="CS60" s="440" t="str">
        <f>IF(CR60="","",+SUMIF('Argus Drop'!$D$7:$D$64,$A60,'Argus Drop'!CK$12:CK$64))</f>
        <v/>
      </c>
      <c r="CT60" s="440" t="str">
        <f>IF(CS60="","",+SUMIF('Argus Drop'!$D$7:$D$64,$A60,'Argus Drop'!CL$12:CL$64))</f>
        <v/>
      </c>
      <c r="CU60" s="440" t="str">
        <f>IF(CT60="","",+SUMIF('Argus Drop'!$D$7:$D$64,$A60,'Argus Drop'!CM$12:CM$64))</f>
        <v/>
      </c>
      <c r="CV60" s="440" t="str">
        <f>IF(CU60="","",+SUMIF('Argus Drop'!$D$7:$D$64,$A60,'Argus Drop'!CN$12:CN$64))</f>
        <v/>
      </c>
      <c r="CW60" s="440" t="str">
        <f>IF(CV60="","",+SUMIF('Argus Drop'!$D$7:$D$64,$A60,'Argus Drop'!CO$12:CO$64))</f>
        <v/>
      </c>
      <c r="CX60" s="440" t="str">
        <f>IF(CW60="","",+SUMIF('Argus Drop'!$D$7:$D$64,$A60,'Argus Drop'!CP$12:CP$64))</f>
        <v/>
      </c>
      <c r="CY60" s="440" t="str">
        <f>IF(CX60="","",+SUMIF('Argus Drop'!$D$7:$D$64,$A60,'Argus Drop'!CQ$12:CQ$64))</f>
        <v/>
      </c>
      <c r="CZ60" s="440" t="str">
        <f>IF(CY60="","",+SUMIF('Argus Drop'!$D$7:$D$64,$A60,'Argus Drop'!CR$12:CR$64))</f>
        <v/>
      </c>
      <c r="DA60" s="440" t="str">
        <f>IF(CZ60="","",+SUMIF('Argus Drop'!$D$7:$D$64,$A60,'Argus Drop'!#REF!))</f>
        <v/>
      </c>
      <c r="DB60" s="440" t="str">
        <f>IF(DA60="","",+SUMIF('Argus Drop'!$D$7:$D$64,$A60,'Argus Drop'!CS$12:CS$64))</f>
        <v/>
      </c>
      <c r="DC60" s="440" t="str">
        <f>IF(DB60="","",+SUMIF('Argus Drop'!$D$7:$D$64,$A60,'Argus Drop'!CT$12:CT$64))</f>
        <v/>
      </c>
      <c r="DD60" s="440" t="str">
        <f>IF(DC60="","",+SUMIF('Argus Drop'!$D$7:$D$64,$A60,'Argus Drop'!CU$12:CU$64))</f>
        <v/>
      </c>
      <c r="DE60" s="440" t="str">
        <f>IF(DD60="","",+SUMIF('Argus Drop'!$D$7:$D$64,$A60,'Argus Drop'!CV$12:CV$64))</f>
        <v/>
      </c>
      <c r="DF60" s="440" t="str">
        <f>IF(DE60="","",+SUMIF('Argus Drop'!$D$7:$D$64,$A60,'Argus Drop'!CW$12:CW$64))</f>
        <v/>
      </c>
      <c r="DG60" s="440" t="str">
        <f>IF(DF60="","",+SUMIF('Argus Drop'!$D$7:$D$64,$A60,'Argus Drop'!CX$12:CX$64))</f>
        <v/>
      </c>
      <c r="DH60" s="440" t="str">
        <f>IF(DG60="","",+SUMIF('Argus Drop'!$D$7:$D$64,$A60,'Argus Drop'!CY$12:CY$64))</f>
        <v/>
      </c>
      <c r="DI60" s="440" t="str">
        <f>IF(DH60="","",+SUMIF('Argus Drop'!$D$7:$D$64,$A60,'Argus Drop'!CZ$12:CZ$64))</f>
        <v/>
      </c>
      <c r="DJ60" s="440" t="str">
        <f>IF(DI60="","",+SUMIF('Argus Drop'!$D$7:$D$64,$A60,'Argus Drop'!DA$12:DA$64))</f>
        <v/>
      </c>
      <c r="DK60" s="440" t="str">
        <f>IF(DJ60="","",+SUMIF('Argus Drop'!$D$7:$D$64,$A60,'Argus Drop'!DB$12:DB$64))</f>
        <v/>
      </c>
      <c r="DL60" s="440" t="str">
        <f>IF(DK60="","",+SUMIF('Argus Drop'!$D$7:$D$64,$A60,'Argus Drop'!DC$12:DC$64))</f>
        <v/>
      </c>
      <c r="DM60" s="440" t="str">
        <f>IF(DL60="","",+SUMIF('Argus Drop'!$D$7:$D$64,$A60,'Argus Drop'!DD$12:DD$64))</f>
        <v/>
      </c>
      <c r="DN60" s="440" t="str">
        <f>IF(DM60="","",+SUMIF('Argus Drop'!$D$7:$D$64,$A60,'Argus Drop'!#REF!))</f>
        <v/>
      </c>
      <c r="DO60" s="440" t="str">
        <f>IF(DN60="","",+SUMIF('Argus Drop'!$D$7:$D$64,$A60,'Argus Drop'!DE$12:DE$64))</f>
        <v/>
      </c>
      <c r="DP60" s="440" t="str">
        <f>IF(DO60="","",+SUMIF('Argus Drop'!$D$7:$D$64,$A60,'Argus Drop'!DF$12:DF$64))</f>
        <v/>
      </c>
      <c r="DQ60" s="440" t="str">
        <f>IF(DP60="","",+SUMIF('Argus Drop'!$D$7:$D$64,$A60,'Argus Drop'!DG$12:DG$64))</f>
        <v/>
      </c>
      <c r="DR60" s="440" t="str">
        <f>IF(DQ60="","",+SUMIF('Argus Drop'!$D$7:$D$64,$A60,'Argus Drop'!DH$12:DH$64))</f>
        <v/>
      </c>
      <c r="DS60" s="440"/>
      <c r="DT60" s="440"/>
      <c r="DU60" s="440"/>
      <c r="DV60" s="440"/>
      <c r="DW60" s="440"/>
      <c r="DX60" s="440"/>
      <c r="DY60" s="440"/>
      <c r="DZ60" s="440"/>
      <c r="EA60" s="440"/>
      <c r="EB60" s="440"/>
      <c r="EC60" s="440"/>
      <c r="ED60" s="1419"/>
      <c r="EE60" s="1419"/>
      <c r="EF60" s="1419"/>
      <c r="EG60" s="1419"/>
      <c r="EH60" s="1419"/>
      <c r="EI60" s="1419"/>
      <c r="EJ60" s="1419"/>
      <c r="EK60" s="1419"/>
      <c r="EL60" s="1419"/>
      <c r="EM60" s="1419"/>
      <c r="EN60" s="1419"/>
      <c r="EO60" s="1419"/>
      <c r="EP60" s="1419"/>
      <c r="EQ60" s="1419"/>
      <c r="ER60" s="1419"/>
      <c r="ES60" s="1419"/>
      <c r="ET60" s="1419"/>
      <c r="EU60" s="1419"/>
      <c r="EV60" s="1419"/>
      <c r="EW60" s="1419"/>
      <c r="EX60" s="1419"/>
      <c r="EY60" s="1419"/>
      <c r="EZ60" s="1419"/>
      <c r="FA60" s="1419"/>
      <c r="FB60" s="1419"/>
      <c r="FC60" s="1419"/>
      <c r="FD60" s="1419"/>
      <c r="FE60" s="1419"/>
      <c r="FF60" s="1419"/>
      <c r="FG60" s="1419"/>
      <c r="FH60" s="1419"/>
      <c r="FI60" s="1419"/>
    </row>
    <row r="61" spans="1:165">
      <c r="A61" s="448" t="str">
        <f>IF(+'Argus Drop'!B65="","",'Argus Drop'!B65)</f>
        <v/>
      </c>
      <c r="B61" s="440" t="str">
        <f>IF(A61="","",+SUMIF('Argus Drop'!$D$7:$D$64,$A61,'Argus Drop'!#REF!))</f>
        <v/>
      </c>
      <c r="C61" s="440" t="str">
        <f>IF(B61="","",+SUMIF('Argus Drop'!$D$7:$D$64,$A61,'Argus Drop'!#REF!))</f>
        <v/>
      </c>
      <c r="D61" s="440" t="str">
        <f>IF(C61="","",+SUMIF('Argus Drop'!$D$7:$D$64,$A61,'Argus Drop'!#REF!))</f>
        <v/>
      </c>
      <c r="E61" s="440" t="str">
        <f>IF(D61="","",+SUMIF('Argus Drop'!$D$7:$D$64,$A61,'Argus Drop'!#REF!))</f>
        <v/>
      </c>
      <c r="F61" s="440" t="str">
        <f>IF(E61="","",+SUMIF('Argus Drop'!$D$7:$D$64,$A61,'Argus Drop'!#REF!))</f>
        <v/>
      </c>
      <c r="G61" s="440" t="str">
        <f>IF(F61="","",+SUMIF('Argus Drop'!$D$7:$D$64,$A61,'Argus Drop'!F$7:F$64))</f>
        <v/>
      </c>
      <c r="H61" s="440" t="str">
        <f>IF(G61="","",+SUMIF('Argus Drop'!$D$7:$D$64,$A61,'Argus Drop'!G$12:G$64))</f>
        <v/>
      </c>
      <c r="I61" s="440" t="str">
        <f>IF(H61="","",+SUMIF('Argus Drop'!$D$7:$D$64,$A61,'Argus Drop'!H$12:H$64))</f>
        <v/>
      </c>
      <c r="J61" s="440" t="str">
        <f>IF(I61="","",+SUMIF('Argus Drop'!$D$7:$D$64,$A61,'Argus Drop'!I$12:I$64))</f>
        <v/>
      </c>
      <c r="K61" s="440" t="str">
        <f>IF(J61="","",+SUMIF('Argus Drop'!$D$7:$D$64,$A61,'Argus Drop'!J$12:J$64))</f>
        <v/>
      </c>
      <c r="L61" s="440" t="str">
        <f>IF(K61="","",+SUMIF('Argus Drop'!$D$7:$D$64,$A61,'Argus Drop'!K$12:K$64))</f>
        <v/>
      </c>
      <c r="M61" s="440" t="str">
        <f>IF(L61="","",+SUMIF('Argus Drop'!$D$7:$D$64,$A61,'Argus Drop'!L$12:L$64))</f>
        <v/>
      </c>
      <c r="N61" s="440" t="str">
        <f>IF(M61="","",+SUMIF('Argus Drop'!$D$7:$D$64,$A61,'Argus Drop'!#REF!))</f>
        <v/>
      </c>
      <c r="O61" s="440" t="str">
        <f>IF(N61="","",+SUMIF('Argus Drop'!$D$7:$D$64,$A61,'Argus Drop'!M$12:M$64))</f>
        <v/>
      </c>
      <c r="P61" s="440" t="str">
        <f>IF(O61="","",+SUMIF('Argus Drop'!$D$7:$D$64,$A61,'Argus Drop'!N$12:N$64))</f>
        <v/>
      </c>
      <c r="Q61" s="440" t="str">
        <f>IF(P61="","",+SUMIF('Argus Drop'!$D$7:$D$64,$A61,'Argus Drop'!O$12:O$64))</f>
        <v/>
      </c>
      <c r="R61" s="440" t="str">
        <f>IF(Q61="","",+SUMIF('Argus Drop'!$D$7:$D$64,$A61,'Argus Drop'!P$12:P$64))</f>
        <v/>
      </c>
      <c r="S61" s="440" t="str">
        <f>IF(R61="","",+SUMIF('Argus Drop'!$D$7:$D$64,$A61,'Argus Drop'!Q$12:Q$64))</f>
        <v/>
      </c>
      <c r="T61" s="440" t="str">
        <f>IF(S61="","",+SUMIF('Argus Drop'!$D$7:$D$64,$A61,'Argus Drop'!R$12:R$64))</f>
        <v/>
      </c>
      <c r="U61" s="440" t="str">
        <f>IF(T61="","",+SUMIF('Argus Drop'!$D$7:$D$64,$A61,'Argus Drop'!S$12:S$64))</f>
        <v/>
      </c>
      <c r="V61" s="440" t="str">
        <f>IF(U61="","",+SUMIF('Argus Drop'!$D$7:$D$64,$A61,'Argus Drop'!T$12:T$64))</f>
        <v/>
      </c>
      <c r="W61" s="440" t="str">
        <f>IF(V61="","",+SUMIF('Argus Drop'!$D$7:$D$64,$A61,'Argus Drop'!U$12:U$64))</f>
        <v/>
      </c>
      <c r="X61" s="440" t="str">
        <f>IF(W61="","",+SUMIF('Argus Drop'!$D$7:$D$64,$A61,'Argus Drop'!V$12:V$64))</f>
        <v/>
      </c>
      <c r="Y61" s="440" t="str">
        <f>IF(X61="","",+SUMIF('Argus Drop'!$D$7:$D$64,$A61,'Argus Drop'!W$12:W$64))</f>
        <v/>
      </c>
      <c r="Z61" s="440" t="str">
        <f>IF(Y61="","",+SUMIF('Argus Drop'!$D$7:$D$64,$A61,'Argus Drop'!X$12:X$64))</f>
        <v/>
      </c>
      <c r="AA61" s="440" t="str">
        <f>IF(Z61="","",+SUMIF('Argus Drop'!$D$7:$D$64,$A61,'Argus Drop'!#REF!))</f>
        <v/>
      </c>
      <c r="AB61" s="440" t="str">
        <f>IF(AA61="","",+SUMIF('Argus Drop'!$D$7:$D$64,$A61,'Argus Drop'!Y$12:Y$64))</f>
        <v/>
      </c>
      <c r="AC61" s="440" t="str">
        <f>IF(AB61="","",+SUMIF('Argus Drop'!$D$7:$D$64,$A61,'Argus Drop'!Z$12:Z$64))</f>
        <v/>
      </c>
      <c r="AD61" s="440" t="str">
        <f>IF(AC61="","",+SUMIF('Argus Drop'!$D$7:$D$64,$A61,'Argus Drop'!AA$12:AA$64))</f>
        <v/>
      </c>
      <c r="AE61" s="440" t="str">
        <f>IF(AD61="","",+SUMIF('Argus Drop'!$D$7:$D$64,$A61,'Argus Drop'!AB$12:AB$64))</f>
        <v/>
      </c>
      <c r="AF61" s="440" t="str">
        <f>IF(AE61="","",+SUMIF('Argus Drop'!$D$7:$D$64,$A61,'Argus Drop'!AC$12:AC$64))</f>
        <v/>
      </c>
      <c r="AG61" s="440" t="str">
        <f>IF(AF61="","",+SUMIF('Argus Drop'!$D$7:$D$64,$A61,'Argus Drop'!AD$12:AD$64))</f>
        <v/>
      </c>
      <c r="AH61" s="440" t="str">
        <f>IF(AG61="","",+SUMIF('Argus Drop'!$D$7:$D$64,$A61,'Argus Drop'!AE$12:AE$64))</f>
        <v/>
      </c>
      <c r="AI61" s="440" t="str">
        <f>IF(AH61="","",+SUMIF('Argus Drop'!$D$7:$D$64,$A61,'Argus Drop'!AF$12:AF$64))</f>
        <v/>
      </c>
      <c r="AJ61" s="440" t="str">
        <f>IF(AI61="","",+SUMIF('Argus Drop'!$D$7:$D$64,$A61,'Argus Drop'!AG$12:AG$64))</f>
        <v/>
      </c>
      <c r="AK61" s="440" t="str">
        <f>IF(AJ61="","",+SUMIF('Argus Drop'!$D$7:$D$64,$A61,'Argus Drop'!AH$12:AH$64))</f>
        <v/>
      </c>
      <c r="AL61" s="440" t="str">
        <f>IF(AK61="","",+SUMIF('Argus Drop'!$D$7:$D$64,$A61,'Argus Drop'!AI$12:AI$64))</f>
        <v/>
      </c>
      <c r="AM61" s="440" t="str">
        <f>IF(AL61="","",+SUMIF('Argus Drop'!$D$7:$D$64,$A61,'Argus Drop'!AJ$12:AJ$64))</f>
        <v/>
      </c>
      <c r="AN61" s="440" t="str">
        <f>IF(AM61="","",+SUMIF('Argus Drop'!$D$7:$D$64,$A61,'Argus Drop'!#REF!))</f>
        <v/>
      </c>
      <c r="AO61" s="440" t="str">
        <f>IF(AN61="","",+SUMIF('Argus Drop'!$D$7:$D$64,$A61,'Argus Drop'!AK$12:AK$64))</f>
        <v/>
      </c>
      <c r="AP61" s="440" t="str">
        <f>IF(AO61="","",+SUMIF('Argus Drop'!$D$7:$D$64,$A61,'Argus Drop'!AL$12:AL$64))</f>
        <v/>
      </c>
      <c r="AQ61" s="440" t="str">
        <f>IF(AP61="","",+SUMIF('Argus Drop'!$D$7:$D$64,$A61,'Argus Drop'!AM$12:AM$64))</f>
        <v/>
      </c>
      <c r="AR61" s="440" t="str">
        <f>IF(AQ61="","",+SUMIF('Argus Drop'!$D$7:$D$64,$A61,'Argus Drop'!AN$12:AN$64))</f>
        <v/>
      </c>
      <c r="AS61" s="440" t="str">
        <f>IF(AR61="","",+SUMIF('Argus Drop'!$D$7:$D$64,$A61,'Argus Drop'!AO$12:AO$64))</f>
        <v/>
      </c>
      <c r="AT61" s="440" t="str">
        <f>IF(AS61="","",+SUMIF('Argus Drop'!$D$7:$D$64,$A61,'Argus Drop'!AP$12:AP$64))</f>
        <v/>
      </c>
      <c r="AU61" s="440" t="str">
        <f>IF(AT61="","",+SUMIF('Argus Drop'!$D$7:$D$64,$A61,'Argus Drop'!AQ$12:AQ$64))</f>
        <v/>
      </c>
      <c r="AV61" s="440" t="str">
        <f>IF(AU61="","",+SUMIF('Argus Drop'!$D$7:$D$64,$A61,'Argus Drop'!AR$12:AR$64))</f>
        <v/>
      </c>
      <c r="AW61" s="440" t="str">
        <f>IF(AV61="","",+SUMIF('Argus Drop'!$D$7:$D$64,$A61,'Argus Drop'!AS$12:AS$64))</f>
        <v/>
      </c>
      <c r="AX61" s="440" t="str">
        <f>IF(AW61="","",+SUMIF('Argus Drop'!$D$7:$D$64,$A61,'Argus Drop'!AT$12:AT$64))</f>
        <v/>
      </c>
      <c r="AY61" s="440" t="str">
        <f>IF(AX61="","",+SUMIF('Argus Drop'!$D$7:$D$64,$A61,'Argus Drop'!AU$12:AU$64))</f>
        <v/>
      </c>
      <c r="AZ61" s="440" t="str">
        <f>IF(AY61="","",+SUMIF('Argus Drop'!$D$7:$D$64,$A61,'Argus Drop'!AV$12:AV$64))</f>
        <v/>
      </c>
      <c r="BA61" s="440" t="str">
        <f>IF(AZ61="","",+SUMIF('Argus Drop'!$D$7:$D$64,$A61,'Argus Drop'!#REF!))</f>
        <v/>
      </c>
      <c r="BB61" s="440" t="str">
        <f>IF(BA61="","",+SUMIF('Argus Drop'!$D$7:$D$64,$A61,'Argus Drop'!AW$12:AW$64))</f>
        <v/>
      </c>
      <c r="BC61" s="440" t="str">
        <f>IF(BB61="","",+SUMIF('Argus Drop'!$D$7:$D$64,$A61,'Argus Drop'!AX$12:AX$64))</f>
        <v/>
      </c>
      <c r="BD61" s="440" t="str">
        <f>IF(BC61="","",+SUMIF('Argus Drop'!$D$7:$D$64,$A61,'Argus Drop'!AY$12:AY$64))</f>
        <v/>
      </c>
      <c r="BE61" s="440" t="str">
        <f>IF(BD61="","",+SUMIF('Argus Drop'!$D$7:$D$64,$A61,'Argus Drop'!AZ$12:AZ$64))</f>
        <v/>
      </c>
      <c r="BF61" s="440" t="str">
        <f>IF(BE61="","",+SUMIF('Argus Drop'!$D$7:$D$64,$A61,'Argus Drop'!BA$12:BA$64))</f>
        <v/>
      </c>
      <c r="BG61" s="440" t="str">
        <f>IF(BF61="","",+SUMIF('Argus Drop'!$D$7:$D$64,$A61,'Argus Drop'!BB$12:BB$64))</f>
        <v/>
      </c>
      <c r="BH61" s="440" t="str">
        <f>IF(BG61="","",+SUMIF('Argus Drop'!$D$7:$D$64,$A61,'Argus Drop'!BC$12:BC$64))</f>
        <v/>
      </c>
      <c r="BI61" s="440" t="str">
        <f>IF(BH61="","",+SUMIF('Argus Drop'!$D$7:$D$64,$A61,'Argus Drop'!BD$12:BD$64))</f>
        <v/>
      </c>
      <c r="BJ61" s="440" t="str">
        <f>IF(BI61="","",+SUMIF('Argus Drop'!$D$7:$D$64,$A61,'Argus Drop'!BE$12:BE$64))</f>
        <v/>
      </c>
      <c r="BK61" s="440" t="str">
        <f>IF(BJ61="","",+SUMIF('Argus Drop'!$D$7:$D$64,$A61,'Argus Drop'!BF$12:BF$64))</f>
        <v/>
      </c>
      <c r="BL61" s="440" t="str">
        <f>IF(BK61="","",+SUMIF('Argus Drop'!$D$7:$D$64,$A61,'Argus Drop'!BG$12:BG$64))</f>
        <v/>
      </c>
      <c r="BM61" s="440" t="str">
        <f>IF(BL61="","",+SUMIF('Argus Drop'!$D$7:$D$64,$A61,'Argus Drop'!BH$12:BH$64))</f>
        <v/>
      </c>
      <c r="BN61" s="440" t="str">
        <f>IF(BM61="","",+SUMIF('Argus Drop'!$D$7:$D$64,$A61,'Argus Drop'!#REF!))</f>
        <v/>
      </c>
      <c r="BO61" s="440" t="str">
        <f>IF(BN61="","",+SUMIF('Argus Drop'!$D$7:$D$64,$A61,'Argus Drop'!BI$12:BI$64))</f>
        <v/>
      </c>
      <c r="BP61" s="440" t="str">
        <f>IF(BO61="","",+SUMIF('Argus Drop'!$D$7:$D$64,$A61,'Argus Drop'!BJ$12:BJ$64))</f>
        <v/>
      </c>
      <c r="BQ61" s="440" t="str">
        <f>IF(BP61="","",+SUMIF('Argus Drop'!$D$7:$D$64,$A61,'Argus Drop'!BK$12:BK$64))</f>
        <v/>
      </c>
      <c r="BR61" s="440" t="str">
        <f>IF(BQ61="","",+SUMIF('Argus Drop'!$D$7:$D$64,$A61,'Argus Drop'!BL$12:BL$64))</f>
        <v/>
      </c>
      <c r="BS61" s="440" t="str">
        <f>IF(BR61="","",+SUMIF('Argus Drop'!$D$7:$D$64,$A61,'Argus Drop'!BM$12:BM$64))</f>
        <v/>
      </c>
      <c r="BT61" s="440" t="str">
        <f>IF(BS61="","",+SUMIF('Argus Drop'!$D$7:$D$64,$A61,'Argus Drop'!BN$12:BN$64))</f>
        <v/>
      </c>
      <c r="BU61" s="440" t="str">
        <f>IF(BT61="","",+SUMIF('Argus Drop'!$D$7:$D$64,$A61,'Argus Drop'!BO$12:BO$64))</f>
        <v/>
      </c>
      <c r="BV61" s="440" t="str">
        <f>IF(BU61="","",+SUMIF('Argus Drop'!$D$7:$D$64,$A61,'Argus Drop'!BP$12:BP$64))</f>
        <v/>
      </c>
      <c r="BW61" s="440" t="str">
        <f>IF(BV61="","",+SUMIF('Argus Drop'!$D$7:$D$64,$A61,'Argus Drop'!BQ$12:BQ$64))</f>
        <v/>
      </c>
      <c r="BX61" s="440" t="str">
        <f>IF(BW61="","",+SUMIF('Argus Drop'!$D$7:$D$64,$A61,'Argus Drop'!BR$12:BR$64))</f>
        <v/>
      </c>
      <c r="BY61" s="440" t="str">
        <f>IF(BX61="","",+SUMIF('Argus Drop'!$D$7:$D$64,$A61,'Argus Drop'!BS$12:BS$64))</f>
        <v/>
      </c>
      <c r="BZ61" s="440" t="str">
        <f>IF(BY61="","",+SUMIF('Argus Drop'!$D$7:$D$64,$A61,'Argus Drop'!BT$12:BT$64))</f>
        <v/>
      </c>
      <c r="CA61" s="440" t="str">
        <f>IF(BZ61="","",+SUMIF('Argus Drop'!$D$7:$D$64,$A61,'Argus Drop'!#REF!))</f>
        <v/>
      </c>
      <c r="CB61" s="440" t="str">
        <f>IF(CA61="","",+SUMIF('Argus Drop'!$D$7:$D$64,$A61,'Argus Drop'!BU$12:BU$64))</f>
        <v/>
      </c>
      <c r="CC61" s="440" t="str">
        <f>IF(CB61="","",+SUMIF('Argus Drop'!$D$7:$D$64,$A61,'Argus Drop'!BV$12:BV$64))</f>
        <v/>
      </c>
      <c r="CD61" s="440" t="str">
        <f>IF(CC61="","",+SUMIF('Argus Drop'!$D$7:$D$64,$A61,'Argus Drop'!BW$12:BW$64))</f>
        <v/>
      </c>
      <c r="CE61" s="440" t="str">
        <f>IF(CD61="","",+SUMIF('Argus Drop'!$D$7:$D$64,$A61,'Argus Drop'!BX$12:BX$64))</f>
        <v/>
      </c>
      <c r="CF61" s="440" t="str">
        <f>IF(CE61="","",+SUMIF('Argus Drop'!$D$7:$D$64,$A61,'Argus Drop'!BY$12:BY$64))</f>
        <v/>
      </c>
      <c r="CG61" s="440" t="str">
        <f>IF(CF61="","",+SUMIF('Argus Drop'!$D$7:$D$64,$A61,'Argus Drop'!BZ$12:BZ$64))</f>
        <v/>
      </c>
      <c r="CH61" s="440" t="str">
        <f>IF(CG61="","",+SUMIF('Argus Drop'!$D$7:$D$64,$A61,'Argus Drop'!CA$12:CA$64))</f>
        <v/>
      </c>
      <c r="CI61" s="440" t="str">
        <f>IF(CH61="","",+SUMIF('Argus Drop'!$D$7:$D$64,$A61,'Argus Drop'!CB$12:CB$64))</f>
        <v/>
      </c>
      <c r="CJ61" s="440" t="str">
        <f>IF(CI61="","",+SUMIF('Argus Drop'!$D$7:$D$64,$A61,'Argus Drop'!CC$12:CC$64))</f>
        <v/>
      </c>
      <c r="CK61" s="440" t="str">
        <f>IF(CJ61="","",+SUMIF('Argus Drop'!$D$7:$D$64,$A61,'Argus Drop'!CD$12:CD$64))</f>
        <v/>
      </c>
      <c r="CL61" s="440" t="str">
        <f>IF(CK61="","",+SUMIF('Argus Drop'!$D$7:$D$64,$A61,'Argus Drop'!CE$12:CE$64))</f>
        <v/>
      </c>
      <c r="CM61" s="440" t="str">
        <f>IF(CL61="","",+SUMIF('Argus Drop'!$D$7:$D$64,$A61,'Argus Drop'!CF$12:CF$64))</f>
        <v/>
      </c>
      <c r="CN61" s="440" t="str">
        <f>IF(CM61="","",+SUMIF('Argus Drop'!$D$7:$D$64,$A61,'Argus Drop'!#REF!))</f>
        <v/>
      </c>
      <c r="CO61" s="440" t="str">
        <f>IF(CN61="","",+SUMIF('Argus Drop'!$D$7:$D$64,$A61,'Argus Drop'!CG$12:CG$64))</f>
        <v/>
      </c>
      <c r="CP61" s="440" t="str">
        <f>IF(CO61="","",+SUMIF('Argus Drop'!$D$7:$D$64,$A61,'Argus Drop'!CH$12:CH$64))</f>
        <v/>
      </c>
      <c r="CQ61" s="440" t="str">
        <f>IF(CP61="","",+SUMIF('Argus Drop'!$D$7:$D$64,$A61,'Argus Drop'!CI$12:CI$64))</f>
        <v/>
      </c>
      <c r="CR61" s="440" t="str">
        <f>IF(CQ61="","",+SUMIF('Argus Drop'!$D$7:$D$64,$A61,'Argus Drop'!CJ$12:CJ$64))</f>
        <v/>
      </c>
      <c r="CS61" s="440" t="str">
        <f>IF(CR61="","",+SUMIF('Argus Drop'!$D$7:$D$64,$A61,'Argus Drop'!CK$12:CK$64))</f>
        <v/>
      </c>
      <c r="CT61" s="440" t="str">
        <f>IF(CS61="","",+SUMIF('Argus Drop'!$D$7:$D$64,$A61,'Argus Drop'!CL$12:CL$64))</f>
        <v/>
      </c>
      <c r="CU61" s="440" t="str">
        <f>IF(CT61="","",+SUMIF('Argus Drop'!$D$7:$D$64,$A61,'Argus Drop'!CM$12:CM$64))</f>
        <v/>
      </c>
      <c r="CV61" s="440" t="str">
        <f>IF(CU61="","",+SUMIF('Argus Drop'!$D$7:$D$64,$A61,'Argus Drop'!CN$12:CN$64))</f>
        <v/>
      </c>
      <c r="CW61" s="440" t="str">
        <f>IF(CV61="","",+SUMIF('Argus Drop'!$D$7:$D$64,$A61,'Argus Drop'!CO$12:CO$64))</f>
        <v/>
      </c>
      <c r="CX61" s="440" t="str">
        <f>IF(CW61="","",+SUMIF('Argus Drop'!$D$7:$D$64,$A61,'Argus Drop'!CP$12:CP$64))</f>
        <v/>
      </c>
      <c r="CY61" s="440" t="str">
        <f>IF(CX61="","",+SUMIF('Argus Drop'!$D$7:$D$64,$A61,'Argus Drop'!CQ$12:CQ$64))</f>
        <v/>
      </c>
      <c r="CZ61" s="440" t="str">
        <f>IF(CY61="","",+SUMIF('Argus Drop'!$D$7:$D$64,$A61,'Argus Drop'!CR$12:CR$64))</f>
        <v/>
      </c>
      <c r="DA61" s="440" t="str">
        <f>IF(CZ61="","",+SUMIF('Argus Drop'!$D$7:$D$64,$A61,'Argus Drop'!#REF!))</f>
        <v/>
      </c>
      <c r="DB61" s="440" t="str">
        <f>IF(DA61="","",+SUMIF('Argus Drop'!$D$7:$D$64,$A61,'Argus Drop'!CS$12:CS$64))</f>
        <v/>
      </c>
      <c r="DC61" s="440" t="str">
        <f>IF(DB61="","",+SUMIF('Argus Drop'!$D$7:$D$64,$A61,'Argus Drop'!CT$12:CT$64))</f>
        <v/>
      </c>
      <c r="DD61" s="440" t="str">
        <f>IF(DC61="","",+SUMIF('Argus Drop'!$D$7:$D$64,$A61,'Argus Drop'!CU$12:CU$64))</f>
        <v/>
      </c>
      <c r="DE61" s="440" t="str">
        <f>IF(DD61="","",+SUMIF('Argus Drop'!$D$7:$D$64,$A61,'Argus Drop'!CV$12:CV$64))</f>
        <v/>
      </c>
      <c r="DF61" s="440" t="str">
        <f>IF(DE61="","",+SUMIF('Argus Drop'!$D$7:$D$64,$A61,'Argus Drop'!CW$12:CW$64))</f>
        <v/>
      </c>
      <c r="DG61" s="440" t="str">
        <f>IF(DF61="","",+SUMIF('Argus Drop'!$D$7:$D$64,$A61,'Argus Drop'!CX$12:CX$64))</f>
        <v/>
      </c>
      <c r="DH61" s="440" t="str">
        <f>IF(DG61="","",+SUMIF('Argus Drop'!$D$7:$D$64,$A61,'Argus Drop'!CY$12:CY$64))</f>
        <v/>
      </c>
      <c r="DI61" s="440" t="str">
        <f>IF(DH61="","",+SUMIF('Argus Drop'!$D$7:$D$64,$A61,'Argus Drop'!CZ$12:CZ$64))</f>
        <v/>
      </c>
      <c r="DJ61" s="440" t="str">
        <f>IF(DI61="","",+SUMIF('Argus Drop'!$D$7:$D$64,$A61,'Argus Drop'!DA$12:DA$64))</f>
        <v/>
      </c>
      <c r="DK61" s="440" t="str">
        <f>IF(DJ61="","",+SUMIF('Argus Drop'!$D$7:$D$64,$A61,'Argus Drop'!DB$12:DB$64))</f>
        <v/>
      </c>
      <c r="DL61" s="440" t="str">
        <f>IF(DK61="","",+SUMIF('Argus Drop'!$D$7:$D$64,$A61,'Argus Drop'!DC$12:DC$64))</f>
        <v/>
      </c>
      <c r="DM61" s="440" t="str">
        <f>IF(DL61="","",+SUMIF('Argus Drop'!$D$7:$D$64,$A61,'Argus Drop'!DD$12:DD$64))</f>
        <v/>
      </c>
      <c r="DN61" s="440" t="str">
        <f>IF(DM61="","",+SUMIF('Argus Drop'!$D$7:$D$64,$A61,'Argus Drop'!#REF!))</f>
        <v/>
      </c>
      <c r="DO61" s="440" t="str">
        <f>IF(DN61="","",+SUMIF('Argus Drop'!$D$7:$D$64,$A61,'Argus Drop'!DE$12:DE$64))</f>
        <v/>
      </c>
      <c r="DP61" s="440" t="str">
        <f>IF(DO61="","",+SUMIF('Argus Drop'!$D$7:$D$64,$A61,'Argus Drop'!DF$12:DF$64))</f>
        <v/>
      </c>
      <c r="DQ61" s="440" t="str">
        <f>IF(DP61="","",+SUMIF('Argus Drop'!$D$7:$D$64,$A61,'Argus Drop'!DG$12:DG$64))</f>
        <v/>
      </c>
      <c r="DR61" s="440" t="str">
        <f>IF(DQ61="","",+SUMIF('Argus Drop'!$D$7:$D$64,$A61,'Argus Drop'!DH$12:DH$64))</f>
        <v/>
      </c>
      <c r="DS61" s="440"/>
      <c r="DT61" s="440"/>
      <c r="DU61" s="440"/>
      <c r="DV61" s="440"/>
      <c r="DW61" s="440"/>
      <c r="DX61" s="440"/>
      <c r="DY61" s="440"/>
      <c r="DZ61" s="440"/>
      <c r="EA61" s="440"/>
      <c r="EB61" s="440"/>
      <c r="EC61" s="440"/>
      <c r="ED61" s="1419"/>
      <c r="EE61" s="1419"/>
      <c r="EF61" s="1419"/>
      <c r="EG61" s="1419"/>
      <c r="EH61" s="1419"/>
      <c r="EI61" s="1419"/>
      <c r="EJ61" s="1419"/>
      <c r="EK61" s="1419"/>
      <c r="EL61" s="1419"/>
      <c r="EM61" s="1419"/>
      <c r="EN61" s="1419"/>
      <c r="EO61" s="1419"/>
      <c r="EP61" s="1419"/>
      <c r="EQ61" s="1419"/>
      <c r="ER61" s="1419"/>
      <c r="ES61" s="1419"/>
      <c r="ET61" s="1419"/>
      <c r="EU61" s="1419"/>
      <c r="EV61" s="1419"/>
      <c r="EW61" s="1419"/>
      <c r="EX61" s="1419"/>
      <c r="EY61" s="1419"/>
      <c r="EZ61" s="1419"/>
      <c r="FA61" s="1419"/>
      <c r="FB61" s="1419"/>
      <c r="FC61" s="1419"/>
      <c r="FD61" s="1419"/>
      <c r="FE61" s="1419"/>
      <c r="FF61" s="1419"/>
      <c r="FG61" s="1419"/>
      <c r="FH61" s="1419"/>
      <c r="FI61" s="1419"/>
    </row>
    <row r="62" spans="1:165">
      <c r="A62" s="448" t="str">
        <f>IF(+'Argus Drop'!B66="","",'Argus Drop'!B66)</f>
        <v/>
      </c>
      <c r="B62" s="440" t="str">
        <f>IF(A62="","",+SUMIF('Argus Drop'!$D$7:$D$64,$A62,'Argus Drop'!#REF!))</f>
        <v/>
      </c>
      <c r="C62" s="440" t="str">
        <f>IF(B62="","",+SUMIF('Argus Drop'!$D$7:$D$64,$A62,'Argus Drop'!#REF!))</f>
        <v/>
      </c>
      <c r="D62" s="440" t="str">
        <f>IF(C62="","",+SUMIF('Argus Drop'!$D$7:$D$64,$A62,'Argus Drop'!#REF!))</f>
        <v/>
      </c>
      <c r="E62" s="440" t="str">
        <f>IF(D62="","",+SUMIF('Argus Drop'!$D$7:$D$64,$A62,'Argus Drop'!#REF!))</f>
        <v/>
      </c>
      <c r="F62" s="440" t="str">
        <f>IF(E62="","",+SUMIF('Argus Drop'!$D$7:$D$64,$A62,'Argus Drop'!#REF!))</f>
        <v/>
      </c>
      <c r="G62" s="440" t="str">
        <f>IF(F62="","",+SUMIF('Argus Drop'!$D$7:$D$64,$A62,'Argus Drop'!F$7:F$64))</f>
        <v/>
      </c>
      <c r="H62" s="440" t="str">
        <f>IF(G62="","",+SUMIF('Argus Drop'!$D$7:$D$64,$A62,'Argus Drop'!G$12:G$64))</f>
        <v/>
      </c>
      <c r="I62" s="440" t="str">
        <f>IF(H62="","",+SUMIF('Argus Drop'!$D$7:$D$64,$A62,'Argus Drop'!H$12:H$64))</f>
        <v/>
      </c>
      <c r="J62" s="440" t="str">
        <f>IF(I62="","",+SUMIF('Argus Drop'!$D$7:$D$64,$A62,'Argus Drop'!I$12:I$64))</f>
        <v/>
      </c>
      <c r="K62" s="440" t="str">
        <f>IF(J62="","",+SUMIF('Argus Drop'!$D$7:$D$64,$A62,'Argus Drop'!J$12:J$64))</f>
        <v/>
      </c>
      <c r="L62" s="440" t="str">
        <f>IF(K62="","",+SUMIF('Argus Drop'!$D$7:$D$64,$A62,'Argus Drop'!K$12:K$64))</f>
        <v/>
      </c>
      <c r="M62" s="440" t="str">
        <f>IF(L62="","",+SUMIF('Argus Drop'!$D$7:$D$64,$A62,'Argus Drop'!L$12:L$64))</f>
        <v/>
      </c>
      <c r="N62" s="440" t="str">
        <f>IF(M62="","",+SUMIF('Argus Drop'!$D$7:$D$64,$A62,'Argus Drop'!#REF!))</f>
        <v/>
      </c>
      <c r="O62" s="440" t="str">
        <f>IF(N62="","",+SUMIF('Argus Drop'!$D$7:$D$64,$A62,'Argus Drop'!M$12:M$64))</f>
        <v/>
      </c>
      <c r="P62" s="440" t="str">
        <f>IF(O62="","",+SUMIF('Argus Drop'!$D$7:$D$64,$A62,'Argus Drop'!N$12:N$64))</f>
        <v/>
      </c>
      <c r="Q62" s="440" t="str">
        <f>IF(P62="","",+SUMIF('Argus Drop'!$D$7:$D$64,$A62,'Argus Drop'!O$12:O$64))</f>
        <v/>
      </c>
      <c r="R62" s="440" t="str">
        <f>IF(Q62="","",+SUMIF('Argus Drop'!$D$7:$D$64,$A62,'Argus Drop'!P$12:P$64))</f>
        <v/>
      </c>
      <c r="S62" s="440" t="str">
        <f>IF(R62="","",+SUMIF('Argus Drop'!$D$7:$D$64,$A62,'Argus Drop'!Q$12:Q$64))</f>
        <v/>
      </c>
      <c r="T62" s="440" t="str">
        <f>IF(S62="","",+SUMIF('Argus Drop'!$D$7:$D$64,$A62,'Argus Drop'!R$12:R$64))</f>
        <v/>
      </c>
      <c r="U62" s="440" t="str">
        <f>IF(T62="","",+SUMIF('Argus Drop'!$D$7:$D$64,$A62,'Argus Drop'!S$12:S$64))</f>
        <v/>
      </c>
      <c r="V62" s="440" t="str">
        <f>IF(U62="","",+SUMIF('Argus Drop'!$D$7:$D$64,$A62,'Argus Drop'!T$12:T$64))</f>
        <v/>
      </c>
      <c r="W62" s="440" t="str">
        <f>IF(V62="","",+SUMIF('Argus Drop'!$D$7:$D$64,$A62,'Argus Drop'!U$12:U$64))</f>
        <v/>
      </c>
      <c r="X62" s="440" t="str">
        <f>IF(W62="","",+SUMIF('Argus Drop'!$D$7:$D$64,$A62,'Argus Drop'!V$12:V$64))</f>
        <v/>
      </c>
      <c r="Y62" s="440" t="str">
        <f>IF(X62="","",+SUMIF('Argus Drop'!$D$7:$D$64,$A62,'Argus Drop'!W$12:W$64))</f>
        <v/>
      </c>
      <c r="Z62" s="440" t="str">
        <f>IF(Y62="","",+SUMIF('Argus Drop'!$D$7:$D$64,$A62,'Argus Drop'!X$12:X$64))</f>
        <v/>
      </c>
      <c r="AA62" s="440" t="str">
        <f>IF(Z62="","",+SUMIF('Argus Drop'!$D$7:$D$64,$A62,'Argus Drop'!#REF!))</f>
        <v/>
      </c>
      <c r="AB62" s="440" t="str">
        <f>IF(AA62="","",+SUMIF('Argus Drop'!$D$7:$D$64,$A62,'Argus Drop'!Y$12:Y$64))</f>
        <v/>
      </c>
      <c r="AC62" s="440" t="str">
        <f>IF(AB62="","",+SUMIF('Argus Drop'!$D$7:$D$64,$A62,'Argus Drop'!Z$12:Z$64))</f>
        <v/>
      </c>
      <c r="AD62" s="440" t="str">
        <f>IF(AC62="","",+SUMIF('Argus Drop'!$D$7:$D$64,$A62,'Argus Drop'!AA$12:AA$64))</f>
        <v/>
      </c>
      <c r="AE62" s="440" t="str">
        <f>IF(AD62="","",+SUMIF('Argus Drop'!$D$7:$D$64,$A62,'Argus Drop'!AB$12:AB$64))</f>
        <v/>
      </c>
      <c r="AF62" s="440" t="str">
        <f>IF(AE62="","",+SUMIF('Argus Drop'!$D$7:$D$64,$A62,'Argus Drop'!AC$12:AC$64))</f>
        <v/>
      </c>
      <c r="AG62" s="440" t="str">
        <f>IF(AF62="","",+SUMIF('Argus Drop'!$D$7:$D$64,$A62,'Argus Drop'!AD$12:AD$64))</f>
        <v/>
      </c>
      <c r="AH62" s="440" t="str">
        <f>IF(AG62="","",+SUMIF('Argus Drop'!$D$7:$D$64,$A62,'Argus Drop'!AE$12:AE$64))</f>
        <v/>
      </c>
      <c r="AI62" s="440" t="str">
        <f>IF(AH62="","",+SUMIF('Argus Drop'!$D$7:$D$64,$A62,'Argus Drop'!AF$12:AF$64))</f>
        <v/>
      </c>
      <c r="AJ62" s="440" t="str">
        <f>IF(AI62="","",+SUMIF('Argus Drop'!$D$7:$D$64,$A62,'Argus Drop'!AG$12:AG$64))</f>
        <v/>
      </c>
      <c r="AK62" s="440" t="str">
        <f>IF(AJ62="","",+SUMIF('Argus Drop'!$D$7:$D$64,$A62,'Argus Drop'!AH$12:AH$64))</f>
        <v/>
      </c>
      <c r="AL62" s="440" t="str">
        <f>IF(AK62="","",+SUMIF('Argus Drop'!$D$7:$D$64,$A62,'Argus Drop'!AI$12:AI$64))</f>
        <v/>
      </c>
      <c r="AM62" s="440" t="str">
        <f>IF(AL62="","",+SUMIF('Argus Drop'!$D$7:$D$64,$A62,'Argus Drop'!AJ$12:AJ$64))</f>
        <v/>
      </c>
      <c r="AN62" s="440" t="str">
        <f>IF(AM62="","",+SUMIF('Argus Drop'!$D$7:$D$64,$A62,'Argus Drop'!#REF!))</f>
        <v/>
      </c>
      <c r="AO62" s="440" t="str">
        <f>IF(AN62="","",+SUMIF('Argus Drop'!$D$7:$D$64,$A62,'Argus Drop'!AK$12:AK$64))</f>
        <v/>
      </c>
      <c r="AP62" s="440" t="str">
        <f>IF(AO62="","",+SUMIF('Argus Drop'!$D$7:$D$64,$A62,'Argus Drop'!AL$12:AL$64))</f>
        <v/>
      </c>
      <c r="AQ62" s="440" t="str">
        <f>IF(AP62="","",+SUMIF('Argus Drop'!$D$7:$D$64,$A62,'Argus Drop'!AM$12:AM$64))</f>
        <v/>
      </c>
      <c r="AR62" s="440" t="str">
        <f>IF(AQ62="","",+SUMIF('Argus Drop'!$D$7:$D$64,$A62,'Argus Drop'!AN$12:AN$64))</f>
        <v/>
      </c>
      <c r="AS62" s="440" t="str">
        <f>IF(AR62="","",+SUMIF('Argus Drop'!$D$7:$D$64,$A62,'Argus Drop'!AO$12:AO$64))</f>
        <v/>
      </c>
      <c r="AT62" s="440" t="str">
        <f>IF(AS62="","",+SUMIF('Argus Drop'!$D$7:$D$64,$A62,'Argus Drop'!AP$12:AP$64))</f>
        <v/>
      </c>
      <c r="AU62" s="440" t="str">
        <f>IF(AT62="","",+SUMIF('Argus Drop'!$D$7:$D$64,$A62,'Argus Drop'!AQ$12:AQ$64))</f>
        <v/>
      </c>
      <c r="AV62" s="440" t="str">
        <f>IF(AU62="","",+SUMIF('Argus Drop'!$D$7:$D$64,$A62,'Argus Drop'!AR$12:AR$64))</f>
        <v/>
      </c>
      <c r="AW62" s="440" t="str">
        <f>IF(AV62="","",+SUMIF('Argus Drop'!$D$7:$D$64,$A62,'Argus Drop'!AS$12:AS$64))</f>
        <v/>
      </c>
      <c r="AX62" s="440" t="str">
        <f>IF(AW62="","",+SUMIF('Argus Drop'!$D$7:$D$64,$A62,'Argus Drop'!AT$12:AT$64))</f>
        <v/>
      </c>
      <c r="AY62" s="440" t="str">
        <f>IF(AX62="","",+SUMIF('Argus Drop'!$D$7:$D$64,$A62,'Argus Drop'!AU$12:AU$64))</f>
        <v/>
      </c>
      <c r="AZ62" s="440" t="str">
        <f>IF(AY62="","",+SUMIF('Argus Drop'!$D$7:$D$64,$A62,'Argus Drop'!AV$12:AV$64))</f>
        <v/>
      </c>
      <c r="BA62" s="440" t="str">
        <f>IF(AZ62="","",+SUMIF('Argus Drop'!$D$7:$D$64,$A62,'Argus Drop'!#REF!))</f>
        <v/>
      </c>
      <c r="BB62" s="440" t="str">
        <f>IF(BA62="","",+SUMIF('Argus Drop'!$D$7:$D$64,$A62,'Argus Drop'!AW$12:AW$64))</f>
        <v/>
      </c>
      <c r="BC62" s="440" t="str">
        <f>IF(BB62="","",+SUMIF('Argus Drop'!$D$7:$D$64,$A62,'Argus Drop'!AX$12:AX$64))</f>
        <v/>
      </c>
      <c r="BD62" s="440" t="str">
        <f>IF(BC62="","",+SUMIF('Argus Drop'!$D$7:$D$64,$A62,'Argus Drop'!AY$12:AY$64))</f>
        <v/>
      </c>
      <c r="BE62" s="440" t="str">
        <f>IF(BD62="","",+SUMIF('Argus Drop'!$D$7:$D$64,$A62,'Argus Drop'!AZ$12:AZ$64))</f>
        <v/>
      </c>
      <c r="BF62" s="440" t="str">
        <f>IF(BE62="","",+SUMIF('Argus Drop'!$D$7:$D$64,$A62,'Argus Drop'!BA$12:BA$64))</f>
        <v/>
      </c>
      <c r="BG62" s="440" t="str">
        <f>IF(BF62="","",+SUMIF('Argus Drop'!$D$7:$D$64,$A62,'Argus Drop'!BB$12:BB$64))</f>
        <v/>
      </c>
      <c r="BH62" s="440" t="str">
        <f>IF(BG62="","",+SUMIF('Argus Drop'!$D$7:$D$64,$A62,'Argus Drop'!BC$12:BC$64))</f>
        <v/>
      </c>
      <c r="BI62" s="440" t="str">
        <f>IF(BH62="","",+SUMIF('Argus Drop'!$D$7:$D$64,$A62,'Argus Drop'!BD$12:BD$64))</f>
        <v/>
      </c>
      <c r="BJ62" s="440" t="str">
        <f>IF(BI62="","",+SUMIF('Argus Drop'!$D$7:$D$64,$A62,'Argus Drop'!BE$12:BE$64))</f>
        <v/>
      </c>
      <c r="BK62" s="440" t="str">
        <f>IF(BJ62="","",+SUMIF('Argus Drop'!$D$7:$D$64,$A62,'Argus Drop'!BF$12:BF$64))</f>
        <v/>
      </c>
      <c r="BL62" s="440" t="str">
        <f>IF(BK62="","",+SUMIF('Argus Drop'!$D$7:$D$64,$A62,'Argus Drop'!BG$12:BG$64))</f>
        <v/>
      </c>
      <c r="BM62" s="440" t="str">
        <f>IF(BL62="","",+SUMIF('Argus Drop'!$D$7:$D$64,$A62,'Argus Drop'!BH$12:BH$64))</f>
        <v/>
      </c>
      <c r="BN62" s="440" t="str">
        <f>IF(BM62="","",+SUMIF('Argus Drop'!$D$7:$D$64,$A62,'Argus Drop'!#REF!))</f>
        <v/>
      </c>
      <c r="BO62" s="440" t="str">
        <f>IF(BN62="","",+SUMIF('Argus Drop'!$D$7:$D$64,$A62,'Argus Drop'!BI$12:BI$64))</f>
        <v/>
      </c>
      <c r="BP62" s="440" t="str">
        <f>IF(BO62="","",+SUMIF('Argus Drop'!$D$7:$D$64,$A62,'Argus Drop'!BJ$12:BJ$64))</f>
        <v/>
      </c>
      <c r="BQ62" s="440" t="str">
        <f>IF(BP62="","",+SUMIF('Argus Drop'!$D$7:$D$64,$A62,'Argus Drop'!BK$12:BK$64))</f>
        <v/>
      </c>
      <c r="BR62" s="440" t="str">
        <f>IF(BQ62="","",+SUMIF('Argus Drop'!$D$7:$D$64,$A62,'Argus Drop'!BL$12:BL$64))</f>
        <v/>
      </c>
      <c r="BS62" s="440" t="str">
        <f>IF(BR62="","",+SUMIF('Argus Drop'!$D$7:$D$64,$A62,'Argus Drop'!BM$12:BM$64))</f>
        <v/>
      </c>
      <c r="BT62" s="440" t="str">
        <f>IF(BS62="","",+SUMIF('Argus Drop'!$D$7:$D$64,$A62,'Argus Drop'!BN$12:BN$64))</f>
        <v/>
      </c>
      <c r="BU62" s="440" t="str">
        <f>IF(BT62="","",+SUMIF('Argus Drop'!$D$7:$D$64,$A62,'Argus Drop'!BO$12:BO$64))</f>
        <v/>
      </c>
      <c r="BV62" s="440" t="str">
        <f>IF(BU62="","",+SUMIF('Argus Drop'!$D$7:$D$64,$A62,'Argus Drop'!BP$12:BP$64))</f>
        <v/>
      </c>
      <c r="BW62" s="440" t="str">
        <f>IF(BV62="","",+SUMIF('Argus Drop'!$D$7:$D$64,$A62,'Argus Drop'!BQ$12:BQ$64))</f>
        <v/>
      </c>
      <c r="BX62" s="440" t="str">
        <f>IF(BW62="","",+SUMIF('Argus Drop'!$D$7:$D$64,$A62,'Argus Drop'!BR$12:BR$64))</f>
        <v/>
      </c>
      <c r="BY62" s="440" t="str">
        <f>IF(BX62="","",+SUMIF('Argus Drop'!$D$7:$D$64,$A62,'Argus Drop'!BS$12:BS$64))</f>
        <v/>
      </c>
      <c r="BZ62" s="440" t="str">
        <f>IF(BY62="","",+SUMIF('Argus Drop'!$D$7:$D$64,$A62,'Argus Drop'!BT$12:BT$64))</f>
        <v/>
      </c>
      <c r="CA62" s="440" t="str">
        <f>IF(BZ62="","",+SUMIF('Argus Drop'!$D$7:$D$64,$A62,'Argus Drop'!#REF!))</f>
        <v/>
      </c>
      <c r="CB62" s="440" t="str">
        <f>IF(CA62="","",+SUMIF('Argus Drop'!$D$7:$D$64,$A62,'Argus Drop'!BU$12:BU$64))</f>
        <v/>
      </c>
      <c r="CC62" s="440" t="str">
        <f>IF(CB62="","",+SUMIF('Argus Drop'!$D$7:$D$64,$A62,'Argus Drop'!BV$12:BV$64))</f>
        <v/>
      </c>
      <c r="CD62" s="440" t="str">
        <f>IF(CC62="","",+SUMIF('Argus Drop'!$D$7:$D$64,$A62,'Argus Drop'!BW$12:BW$64))</f>
        <v/>
      </c>
      <c r="CE62" s="440" t="str">
        <f>IF(CD62="","",+SUMIF('Argus Drop'!$D$7:$D$64,$A62,'Argus Drop'!BX$12:BX$64))</f>
        <v/>
      </c>
      <c r="CF62" s="440" t="str">
        <f>IF(CE62="","",+SUMIF('Argus Drop'!$D$7:$D$64,$A62,'Argus Drop'!BY$12:BY$64))</f>
        <v/>
      </c>
      <c r="CG62" s="440" t="str">
        <f>IF(CF62="","",+SUMIF('Argus Drop'!$D$7:$D$64,$A62,'Argus Drop'!BZ$12:BZ$64))</f>
        <v/>
      </c>
      <c r="CH62" s="440" t="str">
        <f>IF(CG62="","",+SUMIF('Argus Drop'!$D$7:$D$64,$A62,'Argus Drop'!CA$12:CA$64))</f>
        <v/>
      </c>
      <c r="CI62" s="440" t="str">
        <f>IF(CH62="","",+SUMIF('Argus Drop'!$D$7:$D$64,$A62,'Argus Drop'!CB$12:CB$64))</f>
        <v/>
      </c>
      <c r="CJ62" s="440" t="str">
        <f>IF(CI62="","",+SUMIF('Argus Drop'!$D$7:$D$64,$A62,'Argus Drop'!CC$12:CC$64))</f>
        <v/>
      </c>
      <c r="CK62" s="440" t="str">
        <f>IF(CJ62="","",+SUMIF('Argus Drop'!$D$7:$D$64,$A62,'Argus Drop'!CD$12:CD$64))</f>
        <v/>
      </c>
      <c r="CL62" s="440" t="str">
        <f>IF(CK62="","",+SUMIF('Argus Drop'!$D$7:$D$64,$A62,'Argus Drop'!CE$12:CE$64))</f>
        <v/>
      </c>
      <c r="CM62" s="440" t="str">
        <f>IF(CL62="","",+SUMIF('Argus Drop'!$D$7:$D$64,$A62,'Argus Drop'!CF$12:CF$64))</f>
        <v/>
      </c>
      <c r="CN62" s="440" t="str">
        <f>IF(CM62="","",+SUMIF('Argus Drop'!$D$7:$D$64,$A62,'Argus Drop'!#REF!))</f>
        <v/>
      </c>
      <c r="CO62" s="440" t="str">
        <f>IF(CN62="","",+SUMIF('Argus Drop'!$D$7:$D$64,$A62,'Argus Drop'!CG$12:CG$64))</f>
        <v/>
      </c>
      <c r="CP62" s="440" t="str">
        <f>IF(CO62="","",+SUMIF('Argus Drop'!$D$7:$D$64,$A62,'Argus Drop'!CH$12:CH$64))</f>
        <v/>
      </c>
      <c r="CQ62" s="440" t="str">
        <f>IF(CP62="","",+SUMIF('Argus Drop'!$D$7:$D$64,$A62,'Argus Drop'!CI$12:CI$64))</f>
        <v/>
      </c>
      <c r="CR62" s="440" t="str">
        <f>IF(CQ62="","",+SUMIF('Argus Drop'!$D$7:$D$64,$A62,'Argus Drop'!CJ$12:CJ$64))</f>
        <v/>
      </c>
      <c r="CS62" s="440" t="str">
        <f>IF(CR62="","",+SUMIF('Argus Drop'!$D$7:$D$64,$A62,'Argus Drop'!CK$12:CK$64))</f>
        <v/>
      </c>
      <c r="CT62" s="440" t="str">
        <f>IF(CS62="","",+SUMIF('Argus Drop'!$D$7:$D$64,$A62,'Argus Drop'!CL$12:CL$64))</f>
        <v/>
      </c>
      <c r="CU62" s="440" t="str">
        <f>IF(CT62="","",+SUMIF('Argus Drop'!$D$7:$D$64,$A62,'Argus Drop'!CM$12:CM$64))</f>
        <v/>
      </c>
      <c r="CV62" s="440" t="str">
        <f>IF(CU62="","",+SUMIF('Argus Drop'!$D$7:$D$64,$A62,'Argus Drop'!CN$12:CN$64))</f>
        <v/>
      </c>
      <c r="CW62" s="440" t="str">
        <f>IF(CV62="","",+SUMIF('Argus Drop'!$D$7:$D$64,$A62,'Argus Drop'!CO$12:CO$64))</f>
        <v/>
      </c>
      <c r="CX62" s="440" t="str">
        <f>IF(CW62="","",+SUMIF('Argus Drop'!$D$7:$D$64,$A62,'Argus Drop'!CP$12:CP$64))</f>
        <v/>
      </c>
      <c r="CY62" s="440" t="str">
        <f>IF(CX62="","",+SUMIF('Argus Drop'!$D$7:$D$64,$A62,'Argus Drop'!CQ$12:CQ$64))</f>
        <v/>
      </c>
      <c r="CZ62" s="440" t="str">
        <f>IF(CY62="","",+SUMIF('Argus Drop'!$D$7:$D$64,$A62,'Argus Drop'!CR$12:CR$64))</f>
        <v/>
      </c>
      <c r="DA62" s="440" t="str">
        <f>IF(CZ62="","",+SUMIF('Argus Drop'!$D$7:$D$64,$A62,'Argus Drop'!#REF!))</f>
        <v/>
      </c>
      <c r="DB62" s="440" t="str">
        <f>IF(DA62="","",+SUMIF('Argus Drop'!$D$7:$D$64,$A62,'Argus Drop'!CS$12:CS$64))</f>
        <v/>
      </c>
      <c r="DC62" s="440" t="str">
        <f>IF(DB62="","",+SUMIF('Argus Drop'!$D$7:$D$64,$A62,'Argus Drop'!CT$12:CT$64))</f>
        <v/>
      </c>
      <c r="DD62" s="440" t="str">
        <f>IF(DC62="","",+SUMIF('Argus Drop'!$D$7:$D$64,$A62,'Argus Drop'!CU$12:CU$64))</f>
        <v/>
      </c>
      <c r="DE62" s="440" t="str">
        <f>IF(DD62="","",+SUMIF('Argus Drop'!$D$7:$D$64,$A62,'Argus Drop'!CV$12:CV$64))</f>
        <v/>
      </c>
      <c r="DF62" s="440" t="str">
        <f>IF(DE62="","",+SUMIF('Argus Drop'!$D$7:$D$64,$A62,'Argus Drop'!CW$12:CW$64))</f>
        <v/>
      </c>
      <c r="DG62" s="440" t="str">
        <f>IF(DF62="","",+SUMIF('Argus Drop'!$D$7:$D$64,$A62,'Argus Drop'!CX$12:CX$64))</f>
        <v/>
      </c>
      <c r="DH62" s="440" t="str">
        <f>IF(DG62="","",+SUMIF('Argus Drop'!$D$7:$D$64,$A62,'Argus Drop'!CY$12:CY$64))</f>
        <v/>
      </c>
      <c r="DI62" s="440" t="str">
        <f>IF(DH62="","",+SUMIF('Argus Drop'!$D$7:$D$64,$A62,'Argus Drop'!CZ$12:CZ$64))</f>
        <v/>
      </c>
      <c r="DJ62" s="440" t="str">
        <f>IF(DI62="","",+SUMIF('Argus Drop'!$D$7:$D$64,$A62,'Argus Drop'!DA$12:DA$64))</f>
        <v/>
      </c>
      <c r="DK62" s="440" t="str">
        <f>IF(DJ62="","",+SUMIF('Argus Drop'!$D$7:$D$64,$A62,'Argus Drop'!DB$12:DB$64))</f>
        <v/>
      </c>
      <c r="DL62" s="440" t="str">
        <f>IF(DK62="","",+SUMIF('Argus Drop'!$D$7:$D$64,$A62,'Argus Drop'!DC$12:DC$64))</f>
        <v/>
      </c>
      <c r="DM62" s="440" t="str">
        <f>IF(DL62="","",+SUMIF('Argus Drop'!$D$7:$D$64,$A62,'Argus Drop'!DD$12:DD$64))</f>
        <v/>
      </c>
      <c r="DN62" s="440" t="str">
        <f>IF(DM62="","",+SUMIF('Argus Drop'!$D$7:$D$64,$A62,'Argus Drop'!#REF!))</f>
        <v/>
      </c>
      <c r="DO62" s="440" t="str">
        <f>IF(DN62="","",+SUMIF('Argus Drop'!$D$7:$D$64,$A62,'Argus Drop'!DE$12:DE$64))</f>
        <v/>
      </c>
      <c r="DP62" s="440" t="str">
        <f>IF(DO62="","",+SUMIF('Argus Drop'!$D$7:$D$64,$A62,'Argus Drop'!DF$12:DF$64))</f>
        <v/>
      </c>
      <c r="DQ62" s="440" t="str">
        <f>IF(DP62="","",+SUMIF('Argus Drop'!$D$7:$D$64,$A62,'Argus Drop'!DG$12:DG$64))</f>
        <v/>
      </c>
      <c r="DR62" s="440" t="str">
        <f>IF(DQ62="","",+SUMIF('Argus Drop'!$D$7:$D$64,$A62,'Argus Drop'!DH$12:DH$64))</f>
        <v/>
      </c>
      <c r="DS62" s="440"/>
      <c r="DT62" s="440"/>
      <c r="DU62" s="440"/>
      <c r="DV62" s="440"/>
      <c r="DW62" s="440"/>
      <c r="DX62" s="440"/>
      <c r="DY62" s="440"/>
      <c r="DZ62" s="440"/>
      <c r="EA62" s="440"/>
      <c r="EB62" s="440"/>
      <c r="EC62" s="440"/>
      <c r="ED62" s="1419"/>
      <c r="EE62" s="1419"/>
      <c r="EF62" s="1419"/>
      <c r="EG62" s="1419"/>
      <c r="EH62" s="1419"/>
      <c r="EI62" s="1419"/>
      <c r="EJ62" s="1419"/>
      <c r="EK62" s="1419"/>
      <c r="EL62" s="1419"/>
      <c r="EM62" s="1419"/>
      <c r="EN62" s="1419"/>
      <c r="EO62" s="1419"/>
      <c r="EP62" s="1419"/>
      <c r="EQ62" s="1419"/>
      <c r="ER62" s="1419"/>
      <c r="ES62" s="1419"/>
      <c r="ET62" s="1419"/>
      <c r="EU62" s="1419"/>
      <c r="EV62" s="1419"/>
      <c r="EW62" s="1419"/>
      <c r="EX62" s="1419"/>
      <c r="EY62" s="1419"/>
      <c r="EZ62" s="1419"/>
      <c r="FA62" s="1419"/>
      <c r="FB62" s="1419"/>
      <c r="FC62" s="1419"/>
      <c r="FD62" s="1419"/>
      <c r="FE62" s="1419"/>
      <c r="FF62" s="1419"/>
      <c r="FG62" s="1419"/>
      <c r="FH62" s="1419"/>
      <c r="FI62" s="1419"/>
    </row>
    <row r="63" spans="1:165">
      <c r="A63" s="448" t="str">
        <f>IF(+'Argus Drop'!B67="","",'Argus Drop'!B67)</f>
        <v/>
      </c>
      <c r="B63" s="440" t="str">
        <f>IF(A63="","",+SUMIF('Argus Drop'!$D$7:$D$64,$A63,'Argus Drop'!#REF!))</f>
        <v/>
      </c>
      <c r="C63" s="440" t="str">
        <f>IF(B63="","",+SUMIF('Argus Drop'!$D$7:$D$64,$A63,'Argus Drop'!#REF!))</f>
        <v/>
      </c>
      <c r="D63" s="440" t="str">
        <f>IF(C63="","",+SUMIF('Argus Drop'!$D$7:$D$64,$A63,'Argus Drop'!#REF!))</f>
        <v/>
      </c>
      <c r="E63" s="440" t="str">
        <f>IF(D63="","",+SUMIF('Argus Drop'!$D$7:$D$64,$A63,'Argus Drop'!#REF!))</f>
        <v/>
      </c>
      <c r="F63" s="440" t="str">
        <f>IF(E63="","",+SUMIF('Argus Drop'!$D$7:$D$64,$A63,'Argus Drop'!#REF!))</f>
        <v/>
      </c>
      <c r="G63" s="440" t="str">
        <f>IF(F63="","",+SUMIF('Argus Drop'!$D$7:$D$64,$A63,'Argus Drop'!F$7:F$64))</f>
        <v/>
      </c>
      <c r="H63" s="440" t="str">
        <f>IF(G63="","",+SUMIF('Argus Drop'!$D$7:$D$64,$A63,'Argus Drop'!G$12:G$64))</f>
        <v/>
      </c>
      <c r="I63" s="440" t="str">
        <f>IF(H63="","",+SUMIF('Argus Drop'!$D$7:$D$64,$A63,'Argus Drop'!H$12:H$64))</f>
        <v/>
      </c>
      <c r="J63" s="440" t="str">
        <f>IF(I63="","",+SUMIF('Argus Drop'!$D$7:$D$64,$A63,'Argus Drop'!I$12:I$64))</f>
        <v/>
      </c>
      <c r="K63" s="440" t="str">
        <f>IF(J63="","",+SUMIF('Argus Drop'!$D$7:$D$64,$A63,'Argus Drop'!J$12:J$64))</f>
        <v/>
      </c>
      <c r="L63" s="440" t="str">
        <f>IF(K63="","",+SUMIF('Argus Drop'!$D$7:$D$64,$A63,'Argus Drop'!K$12:K$64))</f>
        <v/>
      </c>
      <c r="M63" s="440" t="str">
        <f>IF(L63="","",+SUMIF('Argus Drop'!$D$7:$D$64,$A63,'Argus Drop'!L$12:L$64))</f>
        <v/>
      </c>
      <c r="N63" s="440" t="str">
        <f>IF(M63="","",+SUMIF('Argus Drop'!$D$7:$D$64,$A63,'Argus Drop'!#REF!))</f>
        <v/>
      </c>
      <c r="O63" s="440" t="str">
        <f>IF(N63="","",+SUMIF('Argus Drop'!$D$7:$D$64,$A63,'Argus Drop'!M$12:M$64))</f>
        <v/>
      </c>
      <c r="P63" s="440" t="str">
        <f>IF(O63="","",+SUMIF('Argus Drop'!$D$7:$D$64,$A63,'Argus Drop'!N$12:N$64))</f>
        <v/>
      </c>
      <c r="Q63" s="440" t="str">
        <f>IF(P63="","",+SUMIF('Argus Drop'!$D$7:$D$64,$A63,'Argus Drop'!O$12:O$64))</f>
        <v/>
      </c>
      <c r="R63" s="440" t="str">
        <f>IF(Q63="","",+SUMIF('Argus Drop'!$D$7:$D$64,$A63,'Argus Drop'!P$12:P$64))</f>
        <v/>
      </c>
      <c r="S63" s="440" t="str">
        <f>IF(R63="","",+SUMIF('Argus Drop'!$D$7:$D$64,$A63,'Argus Drop'!Q$12:Q$64))</f>
        <v/>
      </c>
      <c r="T63" s="440" t="str">
        <f>IF(S63="","",+SUMIF('Argus Drop'!$D$7:$D$64,$A63,'Argus Drop'!R$12:R$64))</f>
        <v/>
      </c>
      <c r="U63" s="440" t="str">
        <f>IF(T63="","",+SUMIF('Argus Drop'!$D$7:$D$64,$A63,'Argus Drop'!S$12:S$64))</f>
        <v/>
      </c>
      <c r="V63" s="440" t="str">
        <f>IF(U63="","",+SUMIF('Argus Drop'!$D$7:$D$64,$A63,'Argus Drop'!T$12:T$64))</f>
        <v/>
      </c>
      <c r="W63" s="440" t="str">
        <f>IF(V63="","",+SUMIF('Argus Drop'!$D$7:$D$64,$A63,'Argus Drop'!U$12:U$64))</f>
        <v/>
      </c>
      <c r="X63" s="440" t="str">
        <f>IF(W63="","",+SUMIF('Argus Drop'!$D$7:$D$64,$A63,'Argus Drop'!V$12:V$64))</f>
        <v/>
      </c>
      <c r="Y63" s="440" t="str">
        <f>IF(X63="","",+SUMIF('Argus Drop'!$D$7:$D$64,$A63,'Argus Drop'!W$12:W$64))</f>
        <v/>
      </c>
      <c r="Z63" s="440" t="str">
        <f>IF(Y63="","",+SUMIF('Argus Drop'!$D$7:$D$64,$A63,'Argus Drop'!X$12:X$64))</f>
        <v/>
      </c>
      <c r="AA63" s="440" t="str">
        <f>IF(Z63="","",+SUMIF('Argus Drop'!$D$7:$D$64,$A63,'Argus Drop'!#REF!))</f>
        <v/>
      </c>
      <c r="AB63" s="440" t="str">
        <f>IF(AA63="","",+SUMIF('Argus Drop'!$D$7:$D$64,$A63,'Argus Drop'!Y$12:Y$64))</f>
        <v/>
      </c>
      <c r="AC63" s="440" t="str">
        <f>IF(AB63="","",+SUMIF('Argus Drop'!$D$7:$D$64,$A63,'Argus Drop'!Z$12:Z$64))</f>
        <v/>
      </c>
      <c r="AD63" s="440" t="str">
        <f>IF(AC63="","",+SUMIF('Argus Drop'!$D$7:$D$64,$A63,'Argus Drop'!AA$12:AA$64))</f>
        <v/>
      </c>
      <c r="AE63" s="440" t="str">
        <f>IF(AD63="","",+SUMIF('Argus Drop'!$D$7:$D$64,$A63,'Argus Drop'!AB$12:AB$64))</f>
        <v/>
      </c>
      <c r="AF63" s="440" t="str">
        <f>IF(AE63="","",+SUMIF('Argus Drop'!$D$7:$D$64,$A63,'Argus Drop'!AC$12:AC$64))</f>
        <v/>
      </c>
      <c r="AG63" s="440" t="str">
        <f>IF(AF63="","",+SUMIF('Argus Drop'!$D$7:$D$64,$A63,'Argus Drop'!AD$12:AD$64))</f>
        <v/>
      </c>
      <c r="AH63" s="440" t="str">
        <f>IF(AG63="","",+SUMIF('Argus Drop'!$D$7:$D$64,$A63,'Argus Drop'!AE$12:AE$64))</f>
        <v/>
      </c>
      <c r="AI63" s="440" t="str">
        <f>IF(AH63="","",+SUMIF('Argus Drop'!$D$7:$D$64,$A63,'Argus Drop'!AF$12:AF$64))</f>
        <v/>
      </c>
      <c r="AJ63" s="440" t="str">
        <f>IF(AI63="","",+SUMIF('Argus Drop'!$D$7:$D$64,$A63,'Argus Drop'!AG$12:AG$64))</f>
        <v/>
      </c>
      <c r="AK63" s="440" t="str">
        <f>IF(AJ63="","",+SUMIF('Argus Drop'!$D$7:$D$64,$A63,'Argus Drop'!AH$12:AH$64))</f>
        <v/>
      </c>
      <c r="AL63" s="440" t="str">
        <f>IF(AK63="","",+SUMIF('Argus Drop'!$D$7:$D$64,$A63,'Argus Drop'!AI$12:AI$64))</f>
        <v/>
      </c>
      <c r="AM63" s="440" t="str">
        <f>IF(AL63="","",+SUMIF('Argus Drop'!$D$7:$D$64,$A63,'Argus Drop'!AJ$12:AJ$64))</f>
        <v/>
      </c>
      <c r="AN63" s="440" t="str">
        <f>IF(AM63="","",+SUMIF('Argus Drop'!$D$7:$D$64,$A63,'Argus Drop'!#REF!))</f>
        <v/>
      </c>
      <c r="AO63" s="440" t="str">
        <f>IF(AN63="","",+SUMIF('Argus Drop'!$D$7:$D$64,$A63,'Argus Drop'!AK$12:AK$64))</f>
        <v/>
      </c>
      <c r="AP63" s="440" t="str">
        <f>IF(AO63="","",+SUMIF('Argus Drop'!$D$7:$D$64,$A63,'Argus Drop'!AL$12:AL$64))</f>
        <v/>
      </c>
      <c r="AQ63" s="440" t="str">
        <f>IF(AP63="","",+SUMIF('Argus Drop'!$D$7:$D$64,$A63,'Argus Drop'!AM$12:AM$64))</f>
        <v/>
      </c>
      <c r="AR63" s="440" t="str">
        <f>IF(AQ63="","",+SUMIF('Argus Drop'!$D$7:$D$64,$A63,'Argus Drop'!AN$12:AN$64))</f>
        <v/>
      </c>
      <c r="AS63" s="440" t="str">
        <f>IF(AR63="","",+SUMIF('Argus Drop'!$D$7:$D$64,$A63,'Argus Drop'!AO$12:AO$64))</f>
        <v/>
      </c>
      <c r="AT63" s="440" t="str">
        <f>IF(AS63="","",+SUMIF('Argus Drop'!$D$7:$D$64,$A63,'Argus Drop'!AP$12:AP$64))</f>
        <v/>
      </c>
      <c r="AU63" s="440" t="str">
        <f>IF(AT63="","",+SUMIF('Argus Drop'!$D$7:$D$64,$A63,'Argus Drop'!AQ$12:AQ$64))</f>
        <v/>
      </c>
      <c r="AV63" s="440" t="str">
        <f>IF(AU63="","",+SUMIF('Argus Drop'!$D$7:$D$64,$A63,'Argus Drop'!AR$12:AR$64))</f>
        <v/>
      </c>
      <c r="AW63" s="440" t="str">
        <f>IF(AV63="","",+SUMIF('Argus Drop'!$D$7:$D$64,$A63,'Argus Drop'!AS$12:AS$64))</f>
        <v/>
      </c>
      <c r="AX63" s="440" t="str">
        <f>IF(AW63="","",+SUMIF('Argus Drop'!$D$7:$D$64,$A63,'Argus Drop'!AT$12:AT$64))</f>
        <v/>
      </c>
      <c r="AY63" s="440" t="str">
        <f>IF(AX63="","",+SUMIF('Argus Drop'!$D$7:$D$64,$A63,'Argus Drop'!AU$12:AU$64))</f>
        <v/>
      </c>
      <c r="AZ63" s="440" t="str">
        <f>IF(AY63="","",+SUMIF('Argus Drop'!$D$7:$D$64,$A63,'Argus Drop'!AV$12:AV$64))</f>
        <v/>
      </c>
      <c r="BA63" s="440" t="str">
        <f>IF(AZ63="","",+SUMIF('Argus Drop'!$D$7:$D$64,$A63,'Argus Drop'!#REF!))</f>
        <v/>
      </c>
      <c r="BB63" s="440" t="str">
        <f>IF(BA63="","",+SUMIF('Argus Drop'!$D$7:$D$64,$A63,'Argus Drop'!AW$12:AW$64))</f>
        <v/>
      </c>
      <c r="BC63" s="440" t="str">
        <f>IF(BB63="","",+SUMIF('Argus Drop'!$D$7:$D$64,$A63,'Argus Drop'!AX$12:AX$64))</f>
        <v/>
      </c>
      <c r="BD63" s="440" t="str">
        <f>IF(BC63="","",+SUMIF('Argus Drop'!$D$7:$D$64,$A63,'Argus Drop'!AY$12:AY$64))</f>
        <v/>
      </c>
      <c r="BE63" s="440" t="str">
        <f>IF(BD63="","",+SUMIF('Argus Drop'!$D$7:$D$64,$A63,'Argus Drop'!AZ$12:AZ$64))</f>
        <v/>
      </c>
      <c r="BF63" s="440" t="str">
        <f>IF(BE63="","",+SUMIF('Argus Drop'!$D$7:$D$64,$A63,'Argus Drop'!BA$12:BA$64))</f>
        <v/>
      </c>
      <c r="BG63" s="440" t="str">
        <f>IF(BF63="","",+SUMIF('Argus Drop'!$D$7:$D$64,$A63,'Argus Drop'!BB$12:BB$64))</f>
        <v/>
      </c>
      <c r="BH63" s="440" t="str">
        <f>IF(BG63="","",+SUMIF('Argus Drop'!$D$7:$D$64,$A63,'Argus Drop'!BC$12:BC$64))</f>
        <v/>
      </c>
      <c r="BI63" s="440" t="str">
        <f>IF(BH63="","",+SUMIF('Argus Drop'!$D$7:$D$64,$A63,'Argus Drop'!BD$12:BD$64))</f>
        <v/>
      </c>
      <c r="BJ63" s="440" t="str">
        <f>IF(BI63="","",+SUMIF('Argus Drop'!$D$7:$D$64,$A63,'Argus Drop'!BE$12:BE$64))</f>
        <v/>
      </c>
      <c r="BK63" s="440" t="str">
        <f>IF(BJ63="","",+SUMIF('Argus Drop'!$D$7:$D$64,$A63,'Argus Drop'!BF$12:BF$64))</f>
        <v/>
      </c>
      <c r="BL63" s="440" t="str">
        <f>IF(BK63="","",+SUMIF('Argus Drop'!$D$7:$D$64,$A63,'Argus Drop'!BG$12:BG$64))</f>
        <v/>
      </c>
      <c r="BM63" s="440" t="str">
        <f>IF(BL63="","",+SUMIF('Argus Drop'!$D$7:$D$64,$A63,'Argus Drop'!BH$12:BH$64))</f>
        <v/>
      </c>
      <c r="BN63" s="440" t="str">
        <f>IF(BM63="","",+SUMIF('Argus Drop'!$D$7:$D$64,$A63,'Argus Drop'!#REF!))</f>
        <v/>
      </c>
      <c r="BO63" s="440" t="str">
        <f>IF(BN63="","",+SUMIF('Argus Drop'!$D$7:$D$64,$A63,'Argus Drop'!BI$12:BI$64))</f>
        <v/>
      </c>
      <c r="BP63" s="440" t="str">
        <f>IF(BO63="","",+SUMIF('Argus Drop'!$D$7:$D$64,$A63,'Argus Drop'!BJ$12:BJ$64))</f>
        <v/>
      </c>
      <c r="BQ63" s="440" t="str">
        <f>IF(BP63="","",+SUMIF('Argus Drop'!$D$7:$D$64,$A63,'Argus Drop'!BK$12:BK$64))</f>
        <v/>
      </c>
      <c r="BR63" s="440" t="str">
        <f>IF(BQ63="","",+SUMIF('Argus Drop'!$D$7:$D$64,$A63,'Argus Drop'!BL$12:BL$64))</f>
        <v/>
      </c>
      <c r="BS63" s="440" t="str">
        <f>IF(BR63="","",+SUMIF('Argus Drop'!$D$7:$D$64,$A63,'Argus Drop'!BM$12:BM$64))</f>
        <v/>
      </c>
      <c r="BT63" s="440" t="str">
        <f>IF(BS63="","",+SUMIF('Argus Drop'!$D$7:$D$64,$A63,'Argus Drop'!BN$12:BN$64))</f>
        <v/>
      </c>
      <c r="BU63" s="440" t="str">
        <f>IF(BT63="","",+SUMIF('Argus Drop'!$D$7:$D$64,$A63,'Argus Drop'!BO$12:BO$64))</f>
        <v/>
      </c>
      <c r="BV63" s="440" t="str">
        <f>IF(BU63="","",+SUMIF('Argus Drop'!$D$7:$D$64,$A63,'Argus Drop'!BP$12:BP$64))</f>
        <v/>
      </c>
      <c r="BW63" s="440" t="str">
        <f>IF(BV63="","",+SUMIF('Argus Drop'!$D$7:$D$64,$A63,'Argus Drop'!BQ$12:BQ$64))</f>
        <v/>
      </c>
      <c r="BX63" s="440" t="str">
        <f>IF(BW63="","",+SUMIF('Argus Drop'!$D$7:$D$64,$A63,'Argus Drop'!BR$12:BR$64))</f>
        <v/>
      </c>
      <c r="BY63" s="440" t="str">
        <f>IF(BX63="","",+SUMIF('Argus Drop'!$D$7:$D$64,$A63,'Argus Drop'!BS$12:BS$64))</f>
        <v/>
      </c>
      <c r="BZ63" s="440" t="str">
        <f>IF(BY63="","",+SUMIF('Argus Drop'!$D$7:$D$64,$A63,'Argus Drop'!BT$12:BT$64))</f>
        <v/>
      </c>
      <c r="CA63" s="440" t="str">
        <f>IF(BZ63="","",+SUMIF('Argus Drop'!$D$7:$D$64,$A63,'Argus Drop'!#REF!))</f>
        <v/>
      </c>
      <c r="CB63" s="440" t="str">
        <f>IF(CA63="","",+SUMIF('Argus Drop'!$D$7:$D$64,$A63,'Argus Drop'!BU$12:BU$64))</f>
        <v/>
      </c>
      <c r="CC63" s="440" t="str">
        <f>IF(CB63="","",+SUMIF('Argus Drop'!$D$7:$D$64,$A63,'Argus Drop'!BV$12:BV$64))</f>
        <v/>
      </c>
      <c r="CD63" s="440" t="str">
        <f>IF(CC63="","",+SUMIF('Argus Drop'!$D$7:$D$64,$A63,'Argus Drop'!BW$12:BW$64))</f>
        <v/>
      </c>
      <c r="CE63" s="440" t="str">
        <f>IF(CD63="","",+SUMIF('Argus Drop'!$D$7:$D$64,$A63,'Argus Drop'!BX$12:BX$64))</f>
        <v/>
      </c>
      <c r="CF63" s="440" t="str">
        <f>IF(CE63="","",+SUMIF('Argus Drop'!$D$7:$D$64,$A63,'Argus Drop'!BY$12:BY$64))</f>
        <v/>
      </c>
      <c r="CG63" s="440" t="str">
        <f>IF(CF63="","",+SUMIF('Argus Drop'!$D$7:$D$64,$A63,'Argus Drop'!BZ$12:BZ$64))</f>
        <v/>
      </c>
      <c r="CH63" s="440" t="str">
        <f>IF(CG63="","",+SUMIF('Argus Drop'!$D$7:$D$64,$A63,'Argus Drop'!CA$12:CA$64))</f>
        <v/>
      </c>
      <c r="CI63" s="440" t="str">
        <f>IF(CH63="","",+SUMIF('Argus Drop'!$D$7:$D$64,$A63,'Argus Drop'!CB$12:CB$64))</f>
        <v/>
      </c>
      <c r="CJ63" s="440" t="str">
        <f>IF(CI63="","",+SUMIF('Argus Drop'!$D$7:$D$64,$A63,'Argus Drop'!CC$12:CC$64))</f>
        <v/>
      </c>
      <c r="CK63" s="440" t="str">
        <f>IF(CJ63="","",+SUMIF('Argus Drop'!$D$7:$D$64,$A63,'Argus Drop'!CD$12:CD$64))</f>
        <v/>
      </c>
      <c r="CL63" s="440" t="str">
        <f>IF(CK63="","",+SUMIF('Argus Drop'!$D$7:$D$64,$A63,'Argus Drop'!CE$12:CE$64))</f>
        <v/>
      </c>
      <c r="CM63" s="440" t="str">
        <f>IF(CL63="","",+SUMIF('Argus Drop'!$D$7:$D$64,$A63,'Argus Drop'!CF$12:CF$64))</f>
        <v/>
      </c>
      <c r="CN63" s="440" t="str">
        <f>IF(CM63="","",+SUMIF('Argus Drop'!$D$7:$D$64,$A63,'Argus Drop'!#REF!))</f>
        <v/>
      </c>
      <c r="CO63" s="440" t="str">
        <f>IF(CN63="","",+SUMIF('Argus Drop'!$D$7:$D$64,$A63,'Argus Drop'!CG$12:CG$64))</f>
        <v/>
      </c>
      <c r="CP63" s="440" t="str">
        <f>IF(CO63="","",+SUMIF('Argus Drop'!$D$7:$D$64,$A63,'Argus Drop'!CH$12:CH$64))</f>
        <v/>
      </c>
      <c r="CQ63" s="440" t="str">
        <f>IF(CP63="","",+SUMIF('Argus Drop'!$D$7:$D$64,$A63,'Argus Drop'!CI$12:CI$64))</f>
        <v/>
      </c>
      <c r="CR63" s="440" t="str">
        <f>IF(CQ63="","",+SUMIF('Argus Drop'!$D$7:$D$64,$A63,'Argus Drop'!CJ$12:CJ$64))</f>
        <v/>
      </c>
      <c r="CS63" s="440" t="str">
        <f>IF(CR63="","",+SUMIF('Argus Drop'!$D$7:$D$64,$A63,'Argus Drop'!CK$12:CK$64))</f>
        <v/>
      </c>
      <c r="CT63" s="440" t="str">
        <f>IF(CS63="","",+SUMIF('Argus Drop'!$D$7:$D$64,$A63,'Argus Drop'!CL$12:CL$64))</f>
        <v/>
      </c>
      <c r="CU63" s="440" t="str">
        <f>IF(CT63="","",+SUMIF('Argus Drop'!$D$7:$D$64,$A63,'Argus Drop'!CM$12:CM$64))</f>
        <v/>
      </c>
      <c r="CV63" s="440" t="str">
        <f>IF(CU63="","",+SUMIF('Argus Drop'!$D$7:$D$64,$A63,'Argus Drop'!CN$12:CN$64))</f>
        <v/>
      </c>
      <c r="CW63" s="440" t="str">
        <f>IF(CV63="","",+SUMIF('Argus Drop'!$D$7:$D$64,$A63,'Argus Drop'!CO$12:CO$64))</f>
        <v/>
      </c>
      <c r="CX63" s="440" t="str">
        <f>IF(CW63="","",+SUMIF('Argus Drop'!$D$7:$D$64,$A63,'Argus Drop'!CP$12:CP$64))</f>
        <v/>
      </c>
      <c r="CY63" s="440" t="str">
        <f>IF(CX63="","",+SUMIF('Argus Drop'!$D$7:$D$64,$A63,'Argus Drop'!CQ$12:CQ$64))</f>
        <v/>
      </c>
      <c r="CZ63" s="440" t="str">
        <f>IF(CY63="","",+SUMIF('Argus Drop'!$D$7:$D$64,$A63,'Argus Drop'!CR$12:CR$64))</f>
        <v/>
      </c>
      <c r="DA63" s="440" t="str">
        <f>IF(CZ63="","",+SUMIF('Argus Drop'!$D$7:$D$64,$A63,'Argus Drop'!#REF!))</f>
        <v/>
      </c>
      <c r="DB63" s="440" t="str">
        <f>IF(DA63="","",+SUMIF('Argus Drop'!$D$7:$D$64,$A63,'Argus Drop'!CS$12:CS$64))</f>
        <v/>
      </c>
      <c r="DC63" s="440" t="str">
        <f>IF(DB63="","",+SUMIF('Argus Drop'!$D$7:$D$64,$A63,'Argus Drop'!CT$12:CT$64))</f>
        <v/>
      </c>
      <c r="DD63" s="440" t="str">
        <f>IF(DC63="","",+SUMIF('Argus Drop'!$D$7:$D$64,$A63,'Argus Drop'!CU$12:CU$64))</f>
        <v/>
      </c>
      <c r="DE63" s="440" t="str">
        <f>IF(DD63="","",+SUMIF('Argus Drop'!$D$7:$D$64,$A63,'Argus Drop'!CV$12:CV$64))</f>
        <v/>
      </c>
      <c r="DF63" s="440" t="str">
        <f>IF(DE63="","",+SUMIF('Argus Drop'!$D$7:$D$64,$A63,'Argus Drop'!CW$12:CW$64))</f>
        <v/>
      </c>
      <c r="DG63" s="440" t="str">
        <f>IF(DF63="","",+SUMIF('Argus Drop'!$D$7:$D$64,$A63,'Argus Drop'!CX$12:CX$64))</f>
        <v/>
      </c>
      <c r="DH63" s="440" t="str">
        <f>IF(DG63="","",+SUMIF('Argus Drop'!$D$7:$D$64,$A63,'Argus Drop'!CY$12:CY$64))</f>
        <v/>
      </c>
      <c r="DI63" s="440" t="str">
        <f>IF(DH63="","",+SUMIF('Argus Drop'!$D$7:$D$64,$A63,'Argus Drop'!CZ$12:CZ$64))</f>
        <v/>
      </c>
      <c r="DJ63" s="440" t="str">
        <f>IF(DI63="","",+SUMIF('Argus Drop'!$D$7:$D$64,$A63,'Argus Drop'!DA$12:DA$64))</f>
        <v/>
      </c>
      <c r="DK63" s="440" t="str">
        <f>IF(DJ63="","",+SUMIF('Argus Drop'!$D$7:$D$64,$A63,'Argus Drop'!DB$12:DB$64))</f>
        <v/>
      </c>
      <c r="DL63" s="440" t="str">
        <f>IF(DK63="","",+SUMIF('Argus Drop'!$D$7:$D$64,$A63,'Argus Drop'!DC$12:DC$64))</f>
        <v/>
      </c>
      <c r="DM63" s="440" t="str">
        <f>IF(DL63="","",+SUMIF('Argus Drop'!$D$7:$D$64,$A63,'Argus Drop'!DD$12:DD$64))</f>
        <v/>
      </c>
      <c r="DN63" s="440" t="str">
        <f>IF(DM63="","",+SUMIF('Argus Drop'!$D$7:$D$64,$A63,'Argus Drop'!#REF!))</f>
        <v/>
      </c>
      <c r="DO63" s="440" t="str">
        <f>IF(DN63="","",+SUMIF('Argus Drop'!$D$7:$D$64,$A63,'Argus Drop'!DE$12:DE$64))</f>
        <v/>
      </c>
      <c r="DP63" s="440" t="str">
        <f>IF(DO63="","",+SUMIF('Argus Drop'!$D$7:$D$64,$A63,'Argus Drop'!DF$12:DF$64))</f>
        <v/>
      </c>
      <c r="DQ63" s="440" t="str">
        <f>IF(DP63="","",+SUMIF('Argus Drop'!$D$7:$D$64,$A63,'Argus Drop'!DG$12:DG$64))</f>
        <v/>
      </c>
      <c r="DR63" s="440" t="str">
        <f>IF(DQ63="","",+SUMIF('Argus Drop'!$D$7:$D$64,$A63,'Argus Drop'!DH$12:DH$64))</f>
        <v/>
      </c>
      <c r="DS63" s="440"/>
      <c r="DT63" s="440"/>
      <c r="DU63" s="440"/>
      <c r="DV63" s="440"/>
      <c r="DW63" s="440"/>
      <c r="DX63" s="440"/>
      <c r="DY63" s="440"/>
      <c r="DZ63" s="440"/>
      <c r="EA63" s="440"/>
      <c r="EB63" s="440"/>
      <c r="EC63" s="440"/>
      <c r="ED63" s="1419"/>
      <c r="EE63" s="1419"/>
      <c r="EF63" s="1419"/>
      <c r="EG63" s="1419"/>
      <c r="EH63" s="1419"/>
      <c r="EI63" s="1419"/>
      <c r="EJ63" s="1419"/>
      <c r="EK63" s="1419"/>
      <c r="EL63" s="1419"/>
      <c r="EM63" s="1419"/>
      <c r="EN63" s="1419"/>
      <c r="EO63" s="1419"/>
      <c r="EP63" s="1419"/>
      <c r="EQ63" s="1419"/>
      <c r="ER63" s="1419"/>
      <c r="ES63" s="1419"/>
      <c r="ET63" s="1419"/>
      <c r="EU63" s="1419"/>
      <c r="EV63" s="1419"/>
      <c r="EW63" s="1419"/>
      <c r="EX63" s="1419"/>
      <c r="EY63" s="1419"/>
      <c r="EZ63" s="1419"/>
      <c r="FA63" s="1419"/>
      <c r="FB63" s="1419"/>
      <c r="FC63" s="1419"/>
      <c r="FD63" s="1419"/>
      <c r="FE63" s="1419"/>
      <c r="FF63" s="1419"/>
      <c r="FG63" s="1419"/>
      <c r="FH63" s="1419"/>
      <c r="FI63" s="1419"/>
    </row>
    <row r="64" spans="1:165">
      <c r="A64" s="448" t="str">
        <f>IF(+'Argus Drop'!B68="","",'Argus Drop'!B68)</f>
        <v/>
      </c>
      <c r="B64" s="440" t="str">
        <f>IF(A64="","",+SUMIF('Argus Drop'!$D$7:$D$64,$A64,'Argus Drop'!#REF!))</f>
        <v/>
      </c>
      <c r="C64" s="440" t="str">
        <f>IF(B64="","",+SUMIF('Argus Drop'!$D$7:$D$64,$A64,'Argus Drop'!#REF!))</f>
        <v/>
      </c>
      <c r="D64" s="440" t="str">
        <f>IF(C64="","",+SUMIF('Argus Drop'!$D$7:$D$64,$A64,'Argus Drop'!#REF!))</f>
        <v/>
      </c>
      <c r="E64" s="440" t="str">
        <f>IF(D64="","",+SUMIF('Argus Drop'!$D$7:$D$64,$A64,'Argus Drop'!#REF!))</f>
        <v/>
      </c>
      <c r="F64" s="440" t="str">
        <f>IF(E64="","",+SUMIF('Argus Drop'!$D$7:$D$64,$A64,'Argus Drop'!#REF!))</f>
        <v/>
      </c>
      <c r="G64" s="440" t="str">
        <f>IF(F64="","",+SUMIF('Argus Drop'!$D$7:$D$64,$A64,'Argus Drop'!F$7:F$64))</f>
        <v/>
      </c>
      <c r="H64" s="440" t="str">
        <f>IF(G64="","",+SUMIF('Argus Drop'!$D$7:$D$64,$A64,'Argus Drop'!G$12:G$64))</f>
        <v/>
      </c>
      <c r="I64" s="440" t="str">
        <f>IF(H64="","",+SUMIF('Argus Drop'!$D$7:$D$64,$A64,'Argus Drop'!H$12:H$64))</f>
        <v/>
      </c>
      <c r="J64" s="440" t="str">
        <f>IF(I64="","",+SUMIF('Argus Drop'!$D$7:$D$64,$A64,'Argus Drop'!I$12:I$64))</f>
        <v/>
      </c>
      <c r="K64" s="440" t="str">
        <f>IF(J64="","",+SUMIF('Argus Drop'!$D$7:$D$64,$A64,'Argus Drop'!J$12:J$64))</f>
        <v/>
      </c>
      <c r="L64" s="440" t="str">
        <f>IF(K64="","",+SUMIF('Argus Drop'!$D$7:$D$64,$A64,'Argus Drop'!K$12:K$64))</f>
        <v/>
      </c>
      <c r="M64" s="440" t="str">
        <f>IF(L64="","",+SUMIF('Argus Drop'!$D$7:$D$64,$A64,'Argus Drop'!L$12:L$64))</f>
        <v/>
      </c>
      <c r="N64" s="440" t="str">
        <f>IF(M64="","",+SUMIF('Argus Drop'!$D$7:$D$64,$A64,'Argus Drop'!#REF!))</f>
        <v/>
      </c>
      <c r="O64" s="440" t="str">
        <f>IF(N64="","",+SUMIF('Argus Drop'!$D$7:$D$64,$A64,'Argus Drop'!M$12:M$64))</f>
        <v/>
      </c>
      <c r="P64" s="440" t="str">
        <f>IF(O64="","",+SUMIF('Argus Drop'!$D$7:$D$64,$A64,'Argus Drop'!N$12:N$64))</f>
        <v/>
      </c>
      <c r="Q64" s="440" t="str">
        <f>IF(P64="","",+SUMIF('Argus Drop'!$D$7:$D$64,$A64,'Argus Drop'!O$12:O$64))</f>
        <v/>
      </c>
      <c r="R64" s="440" t="str">
        <f>IF(Q64="","",+SUMIF('Argus Drop'!$D$7:$D$64,$A64,'Argus Drop'!P$12:P$64))</f>
        <v/>
      </c>
      <c r="S64" s="440" t="str">
        <f>IF(R64="","",+SUMIF('Argus Drop'!$D$7:$D$64,$A64,'Argus Drop'!Q$12:Q$64))</f>
        <v/>
      </c>
      <c r="T64" s="440" t="str">
        <f>IF(S64="","",+SUMIF('Argus Drop'!$D$7:$D$64,$A64,'Argus Drop'!R$12:R$64))</f>
        <v/>
      </c>
      <c r="U64" s="440" t="str">
        <f>IF(T64="","",+SUMIF('Argus Drop'!$D$7:$D$64,$A64,'Argus Drop'!S$12:S$64))</f>
        <v/>
      </c>
      <c r="V64" s="440" t="str">
        <f>IF(U64="","",+SUMIF('Argus Drop'!$D$7:$D$64,$A64,'Argus Drop'!T$12:T$64))</f>
        <v/>
      </c>
      <c r="W64" s="440" t="str">
        <f>IF(V64="","",+SUMIF('Argus Drop'!$D$7:$D$64,$A64,'Argus Drop'!U$12:U$64))</f>
        <v/>
      </c>
      <c r="X64" s="440" t="str">
        <f>IF(W64="","",+SUMIF('Argus Drop'!$D$7:$D$64,$A64,'Argus Drop'!V$12:V$64))</f>
        <v/>
      </c>
      <c r="Y64" s="440" t="str">
        <f>IF(X64="","",+SUMIF('Argus Drop'!$D$7:$D$64,$A64,'Argus Drop'!W$12:W$64))</f>
        <v/>
      </c>
      <c r="Z64" s="440" t="str">
        <f>IF(Y64="","",+SUMIF('Argus Drop'!$D$7:$D$64,$A64,'Argus Drop'!X$12:X$64))</f>
        <v/>
      </c>
      <c r="AA64" s="440" t="str">
        <f>IF(Z64="","",+SUMIF('Argus Drop'!$D$7:$D$64,$A64,'Argus Drop'!#REF!))</f>
        <v/>
      </c>
      <c r="AB64" s="440" t="str">
        <f>IF(AA64="","",+SUMIF('Argus Drop'!$D$7:$D$64,$A64,'Argus Drop'!Y$12:Y$64))</f>
        <v/>
      </c>
      <c r="AC64" s="440" t="str">
        <f>IF(AB64="","",+SUMIF('Argus Drop'!$D$7:$D$64,$A64,'Argus Drop'!Z$12:Z$64))</f>
        <v/>
      </c>
      <c r="AD64" s="440" t="str">
        <f>IF(AC64="","",+SUMIF('Argus Drop'!$D$7:$D$64,$A64,'Argus Drop'!AA$12:AA$64))</f>
        <v/>
      </c>
      <c r="AE64" s="440" t="str">
        <f>IF(AD64="","",+SUMIF('Argus Drop'!$D$7:$D$64,$A64,'Argus Drop'!AB$12:AB$64))</f>
        <v/>
      </c>
      <c r="AF64" s="440" t="str">
        <f>IF(AE64="","",+SUMIF('Argus Drop'!$D$7:$D$64,$A64,'Argus Drop'!AC$12:AC$64))</f>
        <v/>
      </c>
      <c r="AG64" s="440" t="str">
        <f>IF(AF64="","",+SUMIF('Argus Drop'!$D$7:$D$64,$A64,'Argus Drop'!AD$12:AD$64))</f>
        <v/>
      </c>
      <c r="AH64" s="440" t="str">
        <f>IF(AG64="","",+SUMIF('Argus Drop'!$D$7:$D$64,$A64,'Argus Drop'!AE$12:AE$64))</f>
        <v/>
      </c>
      <c r="AI64" s="440" t="str">
        <f>IF(AH64="","",+SUMIF('Argus Drop'!$D$7:$D$64,$A64,'Argus Drop'!AF$12:AF$64))</f>
        <v/>
      </c>
      <c r="AJ64" s="440" t="str">
        <f>IF(AI64="","",+SUMIF('Argus Drop'!$D$7:$D$64,$A64,'Argus Drop'!AG$12:AG$64))</f>
        <v/>
      </c>
      <c r="AK64" s="440" t="str">
        <f>IF(AJ64="","",+SUMIF('Argus Drop'!$D$7:$D$64,$A64,'Argus Drop'!AH$12:AH$64))</f>
        <v/>
      </c>
      <c r="AL64" s="440" t="str">
        <f>IF(AK64="","",+SUMIF('Argus Drop'!$D$7:$D$64,$A64,'Argus Drop'!AI$12:AI$64))</f>
        <v/>
      </c>
      <c r="AM64" s="440" t="str">
        <f>IF(AL64="","",+SUMIF('Argus Drop'!$D$7:$D$64,$A64,'Argus Drop'!AJ$12:AJ$64))</f>
        <v/>
      </c>
      <c r="AN64" s="440" t="str">
        <f>IF(AM64="","",+SUMIF('Argus Drop'!$D$7:$D$64,$A64,'Argus Drop'!#REF!))</f>
        <v/>
      </c>
      <c r="AO64" s="440" t="str">
        <f>IF(AN64="","",+SUMIF('Argus Drop'!$D$7:$D$64,$A64,'Argus Drop'!AK$12:AK$64))</f>
        <v/>
      </c>
      <c r="AP64" s="440" t="str">
        <f>IF(AO64="","",+SUMIF('Argus Drop'!$D$7:$D$64,$A64,'Argus Drop'!AL$12:AL$64))</f>
        <v/>
      </c>
      <c r="AQ64" s="440" t="str">
        <f>IF(AP64="","",+SUMIF('Argus Drop'!$D$7:$D$64,$A64,'Argus Drop'!AM$12:AM$64))</f>
        <v/>
      </c>
      <c r="AR64" s="440" t="str">
        <f>IF(AQ64="","",+SUMIF('Argus Drop'!$D$7:$D$64,$A64,'Argus Drop'!AN$12:AN$64))</f>
        <v/>
      </c>
      <c r="AS64" s="440" t="str">
        <f>IF(AR64="","",+SUMIF('Argus Drop'!$D$7:$D$64,$A64,'Argus Drop'!AO$12:AO$64))</f>
        <v/>
      </c>
      <c r="AT64" s="440" t="str">
        <f>IF(AS64="","",+SUMIF('Argus Drop'!$D$7:$D$64,$A64,'Argus Drop'!AP$12:AP$64))</f>
        <v/>
      </c>
      <c r="AU64" s="440" t="str">
        <f>IF(AT64="","",+SUMIF('Argus Drop'!$D$7:$D$64,$A64,'Argus Drop'!AQ$12:AQ$64))</f>
        <v/>
      </c>
      <c r="AV64" s="440" t="str">
        <f>IF(AU64="","",+SUMIF('Argus Drop'!$D$7:$D$64,$A64,'Argus Drop'!AR$12:AR$64))</f>
        <v/>
      </c>
      <c r="AW64" s="440" t="str">
        <f>IF(AV64="","",+SUMIF('Argus Drop'!$D$7:$D$64,$A64,'Argus Drop'!AS$12:AS$64))</f>
        <v/>
      </c>
      <c r="AX64" s="440" t="str">
        <f>IF(AW64="","",+SUMIF('Argus Drop'!$D$7:$D$64,$A64,'Argus Drop'!AT$12:AT$64))</f>
        <v/>
      </c>
      <c r="AY64" s="440" t="str">
        <f>IF(AX64="","",+SUMIF('Argus Drop'!$D$7:$D$64,$A64,'Argus Drop'!AU$12:AU$64))</f>
        <v/>
      </c>
      <c r="AZ64" s="440" t="str">
        <f>IF(AY64="","",+SUMIF('Argus Drop'!$D$7:$D$64,$A64,'Argus Drop'!AV$12:AV$64))</f>
        <v/>
      </c>
      <c r="BA64" s="440" t="str">
        <f>IF(AZ64="","",+SUMIF('Argus Drop'!$D$7:$D$64,$A64,'Argus Drop'!#REF!))</f>
        <v/>
      </c>
      <c r="BB64" s="440" t="str">
        <f>IF(BA64="","",+SUMIF('Argus Drop'!$D$7:$D$64,$A64,'Argus Drop'!AW$12:AW$64))</f>
        <v/>
      </c>
      <c r="BC64" s="440" t="str">
        <f>IF(BB64="","",+SUMIF('Argus Drop'!$D$7:$D$64,$A64,'Argus Drop'!AX$12:AX$64))</f>
        <v/>
      </c>
      <c r="BD64" s="440" t="str">
        <f>IF(BC64="","",+SUMIF('Argus Drop'!$D$7:$D$64,$A64,'Argus Drop'!AY$12:AY$64))</f>
        <v/>
      </c>
      <c r="BE64" s="440" t="str">
        <f>IF(BD64="","",+SUMIF('Argus Drop'!$D$7:$D$64,$A64,'Argus Drop'!AZ$12:AZ$64))</f>
        <v/>
      </c>
      <c r="BF64" s="440" t="str">
        <f>IF(BE64="","",+SUMIF('Argus Drop'!$D$7:$D$64,$A64,'Argus Drop'!BA$12:BA$64))</f>
        <v/>
      </c>
      <c r="BG64" s="440" t="str">
        <f>IF(BF64="","",+SUMIF('Argus Drop'!$D$7:$D$64,$A64,'Argus Drop'!BB$12:BB$64))</f>
        <v/>
      </c>
      <c r="BH64" s="440" t="str">
        <f>IF(BG64="","",+SUMIF('Argus Drop'!$D$7:$D$64,$A64,'Argus Drop'!BC$12:BC$64))</f>
        <v/>
      </c>
      <c r="BI64" s="440" t="str">
        <f>IF(BH64="","",+SUMIF('Argus Drop'!$D$7:$D$64,$A64,'Argus Drop'!BD$12:BD$64))</f>
        <v/>
      </c>
      <c r="BJ64" s="440" t="str">
        <f>IF(BI64="","",+SUMIF('Argus Drop'!$D$7:$D$64,$A64,'Argus Drop'!BE$12:BE$64))</f>
        <v/>
      </c>
      <c r="BK64" s="440" t="str">
        <f>IF(BJ64="","",+SUMIF('Argus Drop'!$D$7:$D$64,$A64,'Argus Drop'!BF$12:BF$64))</f>
        <v/>
      </c>
      <c r="BL64" s="440" t="str">
        <f>IF(BK64="","",+SUMIF('Argus Drop'!$D$7:$D$64,$A64,'Argus Drop'!BG$12:BG$64))</f>
        <v/>
      </c>
      <c r="BM64" s="440" t="str">
        <f>IF(BL64="","",+SUMIF('Argus Drop'!$D$7:$D$64,$A64,'Argus Drop'!BH$12:BH$64))</f>
        <v/>
      </c>
      <c r="BN64" s="440" t="str">
        <f>IF(BM64="","",+SUMIF('Argus Drop'!$D$7:$D$64,$A64,'Argus Drop'!#REF!))</f>
        <v/>
      </c>
      <c r="BO64" s="440" t="str">
        <f>IF(BN64="","",+SUMIF('Argus Drop'!$D$7:$D$64,$A64,'Argus Drop'!BI$12:BI$64))</f>
        <v/>
      </c>
      <c r="BP64" s="440" t="str">
        <f>IF(BO64="","",+SUMIF('Argus Drop'!$D$7:$D$64,$A64,'Argus Drop'!BJ$12:BJ$64))</f>
        <v/>
      </c>
      <c r="BQ64" s="440" t="str">
        <f>IF(BP64="","",+SUMIF('Argus Drop'!$D$7:$D$64,$A64,'Argus Drop'!BK$12:BK$64))</f>
        <v/>
      </c>
      <c r="BR64" s="440" t="str">
        <f>IF(BQ64="","",+SUMIF('Argus Drop'!$D$7:$D$64,$A64,'Argus Drop'!BL$12:BL$64))</f>
        <v/>
      </c>
      <c r="BS64" s="440" t="str">
        <f>IF(BR64="","",+SUMIF('Argus Drop'!$D$7:$D$64,$A64,'Argus Drop'!BM$12:BM$64))</f>
        <v/>
      </c>
      <c r="BT64" s="440" t="str">
        <f>IF(BS64="","",+SUMIF('Argus Drop'!$D$7:$D$64,$A64,'Argus Drop'!BN$12:BN$64))</f>
        <v/>
      </c>
      <c r="BU64" s="440" t="str">
        <f>IF(BT64="","",+SUMIF('Argus Drop'!$D$7:$D$64,$A64,'Argus Drop'!BO$12:BO$64))</f>
        <v/>
      </c>
      <c r="BV64" s="440" t="str">
        <f>IF(BU64="","",+SUMIF('Argus Drop'!$D$7:$D$64,$A64,'Argus Drop'!BP$12:BP$64))</f>
        <v/>
      </c>
      <c r="BW64" s="440" t="str">
        <f>IF(BV64="","",+SUMIF('Argus Drop'!$D$7:$D$64,$A64,'Argus Drop'!BQ$12:BQ$64))</f>
        <v/>
      </c>
      <c r="BX64" s="440" t="str">
        <f>IF(BW64="","",+SUMIF('Argus Drop'!$D$7:$D$64,$A64,'Argus Drop'!BR$12:BR$64))</f>
        <v/>
      </c>
      <c r="BY64" s="440" t="str">
        <f>IF(BX64="","",+SUMIF('Argus Drop'!$D$7:$D$64,$A64,'Argus Drop'!BS$12:BS$64))</f>
        <v/>
      </c>
      <c r="BZ64" s="440" t="str">
        <f>IF(BY64="","",+SUMIF('Argus Drop'!$D$7:$D$64,$A64,'Argus Drop'!BT$12:BT$64))</f>
        <v/>
      </c>
      <c r="CA64" s="440" t="str">
        <f>IF(BZ64="","",+SUMIF('Argus Drop'!$D$7:$D$64,$A64,'Argus Drop'!#REF!))</f>
        <v/>
      </c>
      <c r="CB64" s="440" t="str">
        <f>IF(CA64="","",+SUMIF('Argus Drop'!$D$7:$D$64,$A64,'Argus Drop'!BU$12:BU$64))</f>
        <v/>
      </c>
      <c r="CC64" s="440" t="str">
        <f>IF(CB64="","",+SUMIF('Argus Drop'!$D$7:$D$64,$A64,'Argus Drop'!BV$12:BV$64))</f>
        <v/>
      </c>
      <c r="CD64" s="440" t="str">
        <f>IF(CC64="","",+SUMIF('Argus Drop'!$D$7:$D$64,$A64,'Argus Drop'!BW$12:BW$64))</f>
        <v/>
      </c>
      <c r="CE64" s="440" t="str">
        <f>IF(CD64="","",+SUMIF('Argus Drop'!$D$7:$D$64,$A64,'Argus Drop'!BX$12:BX$64))</f>
        <v/>
      </c>
      <c r="CF64" s="440" t="str">
        <f>IF(CE64="","",+SUMIF('Argus Drop'!$D$7:$D$64,$A64,'Argus Drop'!BY$12:BY$64))</f>
        <v/>
      </c>
      <c r="CG64" s="440" t="str">
        <f>IF(CF64="","",+SUMIF('Argus Drop'!$D$7:$D$64,$A64,'Argus Drop'!BZ$12:BZ$64))</f>
        <v/>
      </c>
      <c r="CH64" s="440" t="str">
        <f>IF(CG64="","",+SUMIF('Argus Drop'!$D$7:$D$64,$A64,'Argus Drop'!CA$12:CA$64))</f>
        <v/>
      </c>
      <c r="CI64" s="440" t="str">
        <f>IF(CH64="","",+SUMIF('Argus Drop'!$D$7:$D$64,$A64,'Argus Drop'!CB$12:CB$64))</f>
        <v/>
      </c>
      <c r="CJ64" s="440" t="str">
        <f>IF(CI64="","",+SUMIF('Argus Drop'!$D$7:$D$64,$A64,'Argus Drop'!CC$12:CC$64))</f>
        <v/>
      </c>
      <c r="CK64" s="440" t="str">
        <f>IF(CJ64="","",+SUMIF('Argus Drop'!$D$7:$D$64,$A64,'Argus Drop'!CD$12:CD$64))</f>
        <v/>
      </c>
      <c r="CL64" s="440" t="str">
        <f>IF(CK64="","",+SUMIF('Argus Drop'!$D$7:$D$64,$A64,'Argus Drop'!CE$12:CE$64))</f>
        <v/>
      </c>
      <c r="CM64" s="440" t="str">
        <f>IF(CL64="","",+SUMIF('Argus Drop'!$D$7:$D$64,$A64,'Argus Drop'!CF$12:CF$64))</f>
        <v/>
      </c>
      <c r="CN64" s="440" t="str">
        <f>IF(CM64="","",+SUMIF('Argus Drop'!$D$7:$D$64,$A64,'Argus Drop'!#REF!))</f>
        <v/>
      </c>
      <c r="CO64" s="440" t="str">
        <f>IF(CN64="","",+SUMIF('Argus Drop'!$D$7:$D$64,$A64,'Argus Drop'!CG$12:CG$64))</f>
        <v/>
      </c>
      <c r="CP64" s="440" t="str">
        <f>IF(CO64="","",+SUMIF('Argus Drop'!$D$7:$D$64,$A64,'Argus Drop'!CH$12:CH$64))</f>
        <v/>
      </c>
      <c r="CQ64" s="440" t="str">
        <f>IF(CP64="","",+SUMIF('Argus Drop'!$D$7:$D$64,$A64,'Argus Drop'!CI$12:CI$64))</f>
        <v/>
      </c>
      <c r="CR64" s="440" t="str">
        <f>IF(CQ64="","",+SUMIF('Argus Drop'!$D$7:$D$64,$A64,'Argus Drop'!CJ$12:CJ$64))</f>
        <v/>
      </c>
      <c r="CS64" s="440" t="str">
        <f>IF(CR64="","",+SUMIF('Argus Drop'!$D$7:$D$64,$A64,'Argus Drop'!CK$12:CK$64))</f>
        <v/>
      </c>
      <c r="CT64" s="440" t="str">
        <f>IF(CS64="","",+SUMIF('Argus Drop'!$D$7:$D$64,$A64,'Argus Drop'!CL$12:CL$64))</f>
        <v/>
      </c>
      <c r="CU64" s="440" t="str">
        <f>IF(CT64="","",+SUMIF('Argus Drop'!$D$7:$D$64,$A64,'Argus Drop'!CM$12:CM$64))</f>
        <v/>
      </c>
      <c r="CV64" s="440" t="str">
        <f>IF(CU64="","",+SUMIF('Argus Drop'!$D$7:$D$64,$A64,'Argus Drop'!CN$12:CN$64))</f>
        <v/>
      </c>
      <c r="CW64" s="440" t="str">
        <f>IF(CV64="","",+SUMIF('Argus Drop'!$D$7:$D$64,$A64,'Argus Drop'!CO$12:CO$64))</f>
        <v/>
      </c>
      <c r="CX64" s="440" t="str">
        <f>IF(CW64="","",+SUMIF('Argus Drop'!$D$7:$D$64,$A64,'Argus Drop'!CP$12:CP$64))</f>
        <v/>
      </c>
      <c r="CY64" s="440" t="str">
        <f>IF(CX64="","",+SUMIF('Argus Drop'!$D$7:$D$64,$A64,'Argus Drop'!CQ$12:CQ$64))</f>
        <v/>
      </c>
      <c r="CZ64" s="440" t="str">
        <f>IF(CY64="","",+SUMIF('Argus Drop'!$D$7:$D$64,$A64,'Argus Drop'!CR$12:CR$64))</f>
        <v/>
      </c>
      <c r="DA64" s="440" t="str">
        <f>IF(CZ64="","",+SUMIF('Argus Drop'!$D$7:$D$64,$A64,'Argus Drop'!#REF!))</f>
        <v/>
      </c>
      <c r="DB64" s="440" t="str">
        <f>IF(DA64="","",+SUMIF('Argus Drop'!$D$7:$D$64,$A64,'Argus Drop'!CS$12:CS$64))</f>
        <v/>
      </c>
      <c r="DC64" s="440" t="str">
        <f>IF(DB64="","",+SUMIF('Argus Drop'!$D$7:$D$64,$A64,'Argus Drop'!CT$12:CT$64))</f>
        <v/>
      </c>
      <c r="DD64" s="440" t="str">
        <f>IF(DC64="","",+SUMIF('Argus Drop'!$D$7:$D$64,$A64,'Argus Drop'!CU$12:CU$64))</f>
        <v/>
      </c>
      <c r="DE64" s="440" t="str">
        <f>IF(DD64="","",+SUMIF('Argus Drop'!$D$7:$D$64,$A64,'Argus Drop'!CV$12:CV$64))</f>
        <v/>
      </c>
      <c r="DF64" s="440" t="str">
        <f>IF(DE64="","",+SUMIF('Argus Drop'!$D$7:$D$64,$A64,'Argus Drop'!CW$12:CW$64))</f>
        <v/>
      </c>
      <c r="DG64" s="440" t="str">
        <f>IF(DF64="","",+SUMIF('Argus Drop'!$D$7:$D$64,$A64,'Argus Drop'!CX$12:CX$64))</f>
        <v/>
      </c>
      <c r="DH64" s="440" t="str">
        <f>IF(DG64="","",+SUMIF('Argus Drop'!$D$7:$D$64,$A64,'Argus Drop'!CY$12:CY$64))</f>
        <v/>
      </c>
      <c r="DI64" s="440" t="str">
        <f>IF(DH64="","",+SUMIF('Argus Drop'!$D$7:$D$64,$A64,'Argus Drop'!CZ$12:CZ$64))</f>
        <v/>
      </c>
      <c r="DJ64" s="440" t="str">
        <f>IF(DI64="","",+SUMIF('Argus Drop'!$D$7:$D$64,$A64,'Argus Drop'!DA$12:DA$64))</f>
        <v/>
      </c>
      <c r="DK64" s="440" t="str">
        <f>IF(DJ64="","",+SUMIF('Argus Drop'!$D$7:$D$64,$A64,'Argus Drop'!DB$12:DB$64))</f>
        <v/>
      </c>
      <c r="DL64" s="440" t="str">
        <f>IF(DK64="","",+SUMIF('Argus Drop'!$D$7:$D$64,$A64,'Argus Drop'!DC$12:DC$64))</f>
        <v/>
      </c>
      <c r="DM64" s="440" t="str">
        <f>IF(DL64="","",+SUMIF('Argus Drop'!$D$7:$D$64,$A64,'Argus Drop'!DD$12:DD$64))</f>
        <v/>
      </c>
      <c r="DN64" s="440" t="str">
        <f>IF(DM64="","",+SUMIF('Argus Drop'!$D$7:$D$64,$A64,'Argus Drop'!#REF!))</f>
        <v/>
      </c>
      <c r="DO64" s="440" t="str">
        <f>IF(DN64="","",+SUMIF('Argus Drop'!$D$7:$D$64,$A64,'Argus Drop'!DE$12:DE$64))</f>
        <v/>
      </c>
      <c r="DP64" s="440" t="str">
        <f>IF(DO64="","",+SUMIF('Argus Drop'!$D$7:$D$64,$A64,'Argus Drop'!DF$12:DF$64))</f>
        <v/>
      </c>
      <c r="DQ64" s="440" t="str">
        <f>IF(DP64="","",+SUMIF('Argus Drop'!$D$7:$D$64,$A64,'Argus Drop'!DG$12:DG$64))</f>
        <v/>
      </c>
      <c r="DR64" s="440" t="str">
        <f>IF(DQ64="","",+SUMIF('Argus Drop'!$D$7:$D$64,$A64,'Argus Drop'!DH$12:DH$64))</f>
        <v/>
      </c>
      <c r="DS64" s="440"/>
      <c r="DT64" s="440"/>
      <c r="DU64" s="440"/>
      <c r="DV64" s="440"/>
      <c r="DW64" s="440"/>
      <c r="DX64" s="440"/>
      <c r="DY64" s="440"/>
      <c r="DZ64" s="440"/>
      <c r="EA64" s="440"/>
      <c r="EB64" s="440"/>
      <c r="EC64" s="440"/>
      <c r="ED64" s="1419"/>
      <c r="EE64" s="1419"/>
      <c r="EF64" s="1419"/>
      <c r="EG64" s="1419"/>
      <c r="EH64" s="1419"/>
      <c r="EI64" s="1419"/>
      <c r="EJ64" s="1419"/>
      <c r="EK64" s="1419"/>
      <c r="EL64" s="1419"/>
      <c r="EM64" s="1419"/>
      <c r="EN64" s="1419"/>
      <c r="EO64" s="1419"/>
      <c r="EP64" s="1419"/>
      <c r="EQ64" s="1419"/>
      <c r="ER64" s="1419"/>
      <c r="ES64" s="1419"/>
      <c r="ET64" s="1419"/>
      <c r="EU64" s="1419"/>
      <c r="EV64" s="1419"/>
      <c r="EW64" s="1419"/>
      <c r="EX64" s="1419"/>
      <c r="EY64" s="1419"/>
      <c r="EZ64" s="1419"/>
      <c r="FA64" s="1419"/>
      <c r="FB64" s="1419"/>
      <c r="FC64" s="1419"/>
      <c r="FD64" s="1419"/>
      <c r="FE64" s="1419"/>
      <c r="FF64" s="1419"/>
      <c r="FG64" s="1419"/>
      <c r="FH64" s="1419"/>
      <c r="FI64" s="1419"/>
    </row>
    <row r="65" spans="1:165">
      <c r="A65" s="448" t="str">
        <f>IF(+'Argus Drop'!B69="","",'Argus Drop'!B69)</f>
        <v/>
      </c>
      <c r="B65" s="440" t="str">
        <f>IF(A65="","",+SUMIF('Argus Drop'!$D$7:$D$64,$A65,'Argus Drop'!#REF!))</f>
        <v/>
      </c>
      <c r="C65" s="440" t="str">
        <f>IF(B65="","",+SUMIF('Argus Drop'!$D$7:$D$64,$A65,'Argus Drop'!#REF!))</f>
        <v/>
      </c>
      <c r="D65" s="440" t="str">
        <f>IF(C65="","",+SUMIF('Argus Drop'!$D$7:$D$64,$A65,'Argus Drop'!#REF!))</f>
        <v/>
      </c>
      <c r="E65" s="440" t="str">
        <f>IF(D65="","",+SUMIF('Argus Drop'!$D$7:$D$64,$A65,'Argus Drop'!#REF!))</f>
        <v/>
      </c>
      <c r="F65" s="440" t="str">
        <f>IF(E65="","",+SUMIF('Argus Drop'!$D$7:$D$64,$A65,'Argus Drop'!#REF!))</f>
        <v/>
      </c>
      <c r="G65" s="440" t="str">
        <f>IF(F65="","",+SUMIF('Argus Drop'!$D$7:$D$64,$A65,'Argus Drop'!F$7:F$64))</f>
        <v/>
      </c>
      <c r="H65" s="440" t="str">
        <f>IF(G65="","",+SUMIF('Argus Drop'!$D$7:$D$64,$A65,'Argus Drop'!G$12:G$64))</f>
        <v/>
      </c>
      <c r="I65" s="440" t="str">
        <f>IF(H65="","",+SUMIF('Argus Drop'!$D$7:$D$64,$A65,'Argus Drop'!H$12:H$64))</f>
        <v/>
      </c>
      <c r="J65" s="440" t="str">
        <f>IF(I65="","",+SUMIF('Argus Drop'!$D$7:$D$64,$A65,'Argus Drop'!I$12:I$64))</f>
        <v/>
      </c>
      <c r="K65" s="440" t="str">
        <f>IF(J65="","",+SUMIF('Argus Drop'!$D$7:$D$64,$A65,'Argus Drop'!J$12:J$64))</f>
        <v/>
      </c>
      <c r="L65" s="440" t="str">
        <f>IF(K65="","",+SUMIF('Argus Drop'!$D$7:$D$64,$A65,'Argus Drop'!K$12:K$64))</f>
        <v/>
      </c>
      <c r="M65" s="440" t="str">
        <f>IF(L65="","",+SUMIF('Argus Drop'!$D$7:$D$64,$A65,'Argus Drop'!L$12:L$64))</f>
        <v/>
      </c>
      <c r="N65" s="440" t="str">
        <f>IF(M65="","",+SUMIF('Argus Drop'!$D$7:$D$64,$A65,'Argus Drop'!#REF!))</f>
        <v/>
      </c>
      <c r="O65" s="440" t="str">
        <f>IF(N65="","",+SUMIF('Argus Drop'!$D$7:$D$64,$A65,'Argus Drop'!M$12:M$64))</f>
        <v/>
      </c>
      <c r="P65" s="440" t="str">
        <f>IF(O65="","",+SUMIF('Argus Drop'!$D$7:$D$64,$A65,'Argus Drop'!N$12:N$64))</f>
        <v/>
      </c>
      <c r="Q65" s="440" t="str">
        <f>IF(P65="","",+SUMIF('Argus Drop'!$D$7:$D$64,$A65,'Argus Drop'!O$12:O$64))</f>
        <v/>
      </c>
      <c r="R65" s="440" t="str">
        <f>IF(Q65="","",+SUMIF('Argus Drop'!$D$7:$D$64,$A65,'Argus Drop'!P$12:P$64))</f>
        <v/>
      </c>
      <c r="S65" s="440" t="str">
        <f>IF(R65="","",+SUMIF('Argus Drop'!$D$7:$D$64,$A65,'Argus Drop'!Q$12:Q$64))</f>
        <v/>
      </c>
      <c r="T65" s="440" t="str">
        <f>IF(S65="","",+SUMIF('Argus Drop'!$D$7:$D$64,$A65,'Argus Drop'!R$12:R$64))</f>
        <v/>
      </c>
      <c r="U65" s="440" t="str">
        <f>IF(T65="","",+SUMIF('Argus Drop'!$D$7:$D$64,$A65,'Argus Drop'!S$12:S$64))</f>
        <v/>
      </c>
      <c r="V65" s="440" t="str">
        <f>IF(U65="","",+SUMIF('Argus Drop'!$D$7:$D$64,$A65,'Argus Drop'!T$12:T$64))</f>
        <v/>
      </c>
      <c r="W65" s="440" t="str">
        <f>IF(V65="","",+SUMIF('Argus Drop'!$D$7:$D$64,$A65,'Argus Drop'!U$12:U$64))</f>
        <v/>
      </c>
      <c r="X65" s="440" t="str">
        <f>IF(W65="","",+SUMIF('Argus Drop'!$D$7:$D$64,$A65,'Argus Drop'!V$12:V$64))</f>
        <v/>
      </c>
      <c r="Y65" s="440" t="str">
        <f>IF(X65="","",+SUMIF('Argus Drop'!$D$7:$D$64,$A65,'Argus Drop'!W$12:W$64))</f>
        <v/>
      </c>
      <c r="Z65" s="440" t="str">
        <f>IF(Y65="","",+SUMIF('Argus Drop'!$D$7:$D$64,$A65,'Argus Drop'!X$12:X$64))</f>
        <v/>
      </c>
      <c r="AA65" s="440" t="str">
        <f>IF(Z65="","",+SUMIF('Argus Drop'!$D$7:$D$64,$A65,'Argus Drop'!#REF!))</f>
        <v/>
      </c>
      <c r="AB65" s="440" t="str">
        <f>IF(AA65="","",+SUMIF('Argus Drop'!$D$7:$D$64,$A65,'Argus Drop'!Y$12:Y$64))</f>
        <v/>
      </c>
      <c r="AC65" s="440" t="str">
        <f>IF(AB65="","",+SUMIF('Argus Drop'!$D$7:$D$64,$A65,'Argus Drop'!Z$12:Z$64))</f>
        <v/>
      </c>
      <c r="AD65" s="440" t="str">
        <f>IF(AC65="","",+SUMIF('Argus Drop'!$D$7:$D$64,$A65,'Argus Drop'!AA$12:AA$64))</f>
        <v/>
      </c>
      <c r="AE65" s="440" t="str">
        <f>IF(AD65="","",+SUMIF('Argus Drop'!$D$7:$D$64,$A65,'Argus Drop'!AB$12:AB$64))</f>
        <v/>
      </c>
      <c r="AF65" s="440" t="str">
        <f>IF(AE65="","",+SUMIF('Argus Drop'!$D$7:$D$64,$A65,'Argus Drop'!AC$12:AC$64))</f>
        <v/>
      </c>
      <c r="AG65" s="440" t="str">
        <f>IF(AF65="","",+SUMIF('Argus Drop'!$D$7:$D$64,$A65,'Argus Drop'!AD$12:AD$64))</f>
        <v/>
      </c>
      <c r="AH65" s="440" t="str">
        <f>IF(AG65="","",+SUMIF('Argus Drop'!$D$7:$D$64,$A65,'Argus Drop'!AE$12:AE$64))</f>
        <v/>
      </c>
      <c r="AI65" s="440" t="str">
        <f>IF(AH65="","",+SUMIF('Argus Drop'!$D$7:$D$64,$A65,'Argus Drop'!AF$12:AF$64))</f>
        <v/>
      </c>
      <c r="AJ65" s="440" t="str">
        <f>IF(AI65="","",+SUMIF('Argus Drop'!$D$7:$D$64,$A65,'Argus Drop'!AG$12:AG$64))</f>
        <v/>
      </c>
      <c r="AK65" s="440" t="str">
        <f>IF(AJ65="","",+SUMIF('Argus Drop'!$D$7:$D$64,$A65,'Argus Drop'!AH$12:AH$64))</f>
        <v/>
      </c>
      <c r="AL65" s="440" t="str">
        <f>IF(AK65="","",+SUMIF('Argus Drop'!$D$7:$D$64,$A65,'Argus Drop'!AI$12:AI$64))</f>
        <v/>
      </c>
      <c r="AM65" s="440" t="str">
        <f>IF(AL65="","",+SUMIF('Argus Drop'!$D$7:$D$64,$A65,'Argus Drop'!AJ$12:AJ$64))</f>
        <v/>
      </c>
      <c r="AN65" s="440" t="str">
        <f>IF(AM65="","",+SUMIF('Argus Drop'!$D$7:$D$64,$A65,'Argus Drop'!#REF!))</f>
        <v/>
      </c>
      <c r="AO65" s="440" t="str">
        <f>IF(AN65="","",+SUMIF('Argus Drop'!$D$7:$D$64,$A65,'Argus Drop'!AK$12:AK$64))</f>
        <v/>
      </c>
      <c r="AP65" s="440" t="str">
        <f>IF(AO65="","",+SUMIF('Argus Drop'!$D$7:$D$64,$A65,'Argus Drop'!AL$12:AL$64))</f>
        <v/>
      </c>
      <c r="AQ65" s="440" t="str">
        <f>IF(AP65="","",+SUMIF('Argus Drop'!$D$7:$D$64,$A65,'Argus Drop'!AM$12:AM$64))</f>
        <v/>
      </c>
      <c r="AR65" s="440" t="str">
        <f>IF(AQ65="","",+SUMIF('Argus Drop'!$D$7:$D$64,$A65,'Argus Drop'!AN$12:AN$64))</f>
        <v/>
      </c>
      <c r="AS65" s="440" t="str">
        <f>IF(AR65="","",+SUMIF('Argus Drop'!$D$7:$D$64,$A65,'Argus Drop'!AO$12:AO$64))</f>
        <v/>
      </c>
      <c r="AT65" s="440" t="str">
        <f>IF(AS65="","",+SUMIF('Argus Drop'!$D$7:$D$64,$A65,'Argus Drop'!AP$12:AP$64))</f>
        <v/>
      </c>
      <c r="AU65" s="440" t="str">
        <f>IF(AT65="","",+SUMIF('Argus Drop'!$D$7:$D$64,$A65,'Argus Drop'!AQ$12:AQ$64))</f>
        <v/>
      </c>
      <c r="AV65" s="440" t="str">
        <f>IF(AU65="","",+SUMIF('Argus Drop'!$D$7:$D$64,$A65,'Argus Drop'!AR$12:AR$64))</f>
        <v/>
      </c>
      <c r="AW65" s="440" t="str">
        <f>IF(AV65="","",+SUMIF('Argus Drop'!$D$7:$D$64,$A65,'Argus Drop'!AS$12:AS$64))</f>
        <v/>
      </c>
      <c r="AX65" s="440" t="str">
        <f>IF(AW65="","",+SUMIF('Argus Drop'!$D$7:$D$64,$A65,'Argus Drop'!AT$12:AT$64))</f>
        <v/>
      </c>
      <c r="AY65" s="440" t="str">
        <f>IF(AX65="","",+SUMIF('Argus Drop'!$D$7:$D$64,$A65,'Argus Drop'!AU$12:AU$64))</f>
        <v/>
      </c>
      <c r="AZ65" s="440" t="str">
        <f>IF(AY65="","",+SUMIF('Argus Drop'!$D$7:$D$64,$A65,'Argus Drop'!AV$12:AV$64))</f>
        <v/>
      </c>
      <c r="BA65" s="440" t="str">
        <f>IF(AZ65="","",+SUMIF('Argus Drop'!$D$7:$D$64,$A65,'Argus Drop'!#REF!))</f>
        <v/>
      </c>
      <c r="BB65" s="440" t="str">
        <f>IF(BA65="","",+SUMIF('Argus Drop'!$D$7:$D$64,$A65,'Argus Drop'!AW$12:AW$64))</f>
        <v/>
      </c>
      <c r="BC65" s="440" t="str">
        <f>IF(BB65="","",+SUMIF('Argus Drop'!$D$7:$D$64,$A65,'Argus Drop'!AX$12:AX$64))</f>
        <v/>
      </c>
      <c r="BD65" s="440" t="str">
        <f>IF(BC65="","",+SUMIF('Argus Drop'!$D$7:$D$64,$A65,'Argus Drop'!AY$12:AY$64))</f>
        <v/>
      </c>
      <c r="BE65" s="440" t="str">
        <f>IF(BD65="","",+SUMIF('Argus Drop'!$D$7:$D$64,$A65,'Argus Drop'!AZ$12:AZ$64))</f>
        <v/>
      </c>
      <c r="BF65" s="440" t="str">
        <f>IF(BE65="","",+SUMIF('Argus Drop'!$D$7:$D$64,$A65,'Argus Drop'!BA$12:BA$64))</f>
        <v/>
      </c>
      <c r="BG65" s="440" t="str">
        <f>IF(BF65="","",+SUMIF('Argus Drop'!$D$7:$D$64,$A65,'Argus Drop'!BB$12:BB$64))</f>
        <v/>
      </c>
      <c r="BH65" s="440" t="str">
        <f>IF(BG65="","",+SUMIF('Argus Drop'!$D$7:$D$64,$A65,'Argus Drop'!BC$12:BC$64))</f>
        <v/>
      </c>
      <c r="BI65" s="440" t="str">
        <f>IF(BH65="","",+SUMIF('Argus Drop'!$D$7:$D$64,$A65,'Argus Drop'!BD$12:BD$64))</f>
        <v/>
      </c>
      <c r="BJ65" s="440" t="str">
        <f>IF(BI65="","",+SUMIF('Argus Drop'!$D$7:$D$64,$A65,'Argus Drop'!BE$12:BE$64))</f>
        <v/>
      </c>
      <c r="BK65" s="440" t="str">
        <f>IF(BJ65="","",+SUMIF('Argus Drop'!$D$7:$D$64,$A65,'Argus Drop'!BF$12:BF$64))</f>
        <v/>
      </c>
      <c r="BL65" s="440" t="str">
        <f>IF(BK65="","",+SUMIF('Argus Drop'!$D$7:$D$64,$A65,'Argus Drop'!BG$12:BG$64))</f>
        <v/>
      </c>
      <c r="BM65" s="440" t="str">
        <f>IF(BL65="","",+SUMIF('Argus Drop'!$D$7:$D$64,$A65,'Argus Drop'!BH$12:BH$64))</f>
        <v/>
      </c>
      <c r="BN65" s="440" t="str">
        <f>IF(BM65="","",+SUMIF('Argus Drop'!$D$7:$D$64,$A65,'Argus Drop'!#REF!))</f>
        <v/>
      </c>
      <c r="BO65" s="440" t="str">
        <f>IF(BN65="","",+SUMIF('Argus Drop'!$D$7:$D$64,$A65,'Argus Drop'!BI$12:BI$64))</f>
        <v/>
      </c>
      <c r="BP65" s="440" t="str">
        <f>IF(BO65="","",+SUMIF('Argus Drop'!$D$7:$D$64,$A65,'Argus Drop'!BJ$12:BJ$64))</f>
        <v/>
      </c>
      <c r="BQ65" s="440" t="str">
        <f>IF(BP65="","",+SUMIF('Argus Drop'!$D$7:$D$64,$A65,'Argus Drop'!BK$12:BK$64))</f>
        <v/>
      </c>
      <c r="BR65" s="440" t="str">
        <f>IF(BQ65="","",+SUMIF('Argus Drop'!$D$7:$D$64,$A65,'Argus Drop'!BL$12:BL$64))</f>
        <v/>
      </c>
      <c r="BS65" s="440" t="str">
        <f>IF(BR65="","",+SUMIF('Argus Drop'!$D$7:$D$64,$A65,'Argus Drop'!BM$12:BM$64))</f>
        <v/>
      </c>
      <c r="BT65" s="440" t="str">
        <f>IF(BS65="","",+SUMIF('Argus Drop'!$D$7:$D$64,$A65,'Argus Drop'!BN$12:BN$64))</f>
        <v/>
      </c>
      <c r="BU65" s="440" t="str">
        <f>IF(BT65="","",+SUMIF('Argus Drop'!$D$7:$D$64,$A65,'Argus Drop'!BO$12:BO$64))</f>
        <v/>
      </c>
      <c r="BV65" s="440" t="str">
        <f>IF(BU65="","",+SUMIF('Argus Drop'!$D$7:$D$64,$A65,'Argus Drop'!BP$12:BP$64))</f>
        <v/>
      </c>
      <c r="BW65" s="440" t="str">
        <f>IF(BV65="","",+SUMIF('Argus Drop'!$D$7:$D$64,$A65,'Argus Drop'!BQ$12:BQ$64))</f>
        <v/>
      </c>
      <c r="BX65" s="440" t="str">
        <f>IF(BW65="","",+SUMIF('Argus Drop'!$D$7:$D$64,$A65,'Argus Drop'!BR$12:BR$64))</f>
        <v/>
      </c>
      <c r="BY65" s="440" t="str">
        <f>IF(BX65="","",+SUMIF('Argus Drop'!$D$7:$D$64,$A65,'Argus Drop'!BS$12:BS$64))</f>
        <v/>
      </c>
      <c r="BZ65" s="440" t="str">
        <f>IF(BY65="","",+SUMIF('Argus Drop'!$D$7:$D$64,$A65,'Argus Drop'!BT$12:BT$64))</f>
        <v/>
      </c>
      <c r="CA65" s="440" t="str">
        <f>IF(BZ65="","",+SUMIF('Argus Drop'!$D$7:$D$64,$A65,'Argus Drop'!#REF!))</f>
        <v/>
      </c>
      <c r="CB65" s="440" t="str">
        <f>IF(CA65="","",+SUMIF('Argus Drop'!$D$7:$D$64,$A65,'Argus Drop'!BU$12:BU$64))</f>
        <v/>
      </c>
      <c r="CC65" s="440" t="str">
        <f>IF(CB65="","",+SUMIF('Argus Drop'!$D$7:$D$64,$A65,'Argus Drop'!BV$12:BV$64))</f>
        <v/>
      </c>
      <c r="CD65" s="440" t="str">
        <f>IF(CC65="","",+SUMIF('Argus Drop'!$D$7:$D$64,$A65,'Argus Drop'!BW$12:BW$64))</f>
        <v/>
      </c>
      <c r="CE65" s="440" t="str">
        <f>IF(CD65="","",+SUMIF('Argus Drop'!$D$7:$D$64,$A65,'Argus Drop'!BX$12:BX$64))</f>
        <v/>
      </c>
      <c r="CF65" s="440" t="str">
        <f>IF(CE65="","",+SUMIF('Argus Drop'!$D$7:$D$64,$A65,'Argus Drop'!BY$12:BY$64))</f>
        <v/>
      </c>
      <c r="CG65" s="440" t="str">
        <f>IF(CF65="","",+SUMIF('Argus Drop'!$D$7:$D$64,$A65,'Argus Drop'!BZ$12:BZ$64))</f>
        <v/>
      </c>
      <c r="CH65" s="440" t="str">
        <f>IF(CG65="","",+SUMIF('Argus Drop'!$D$7:$D$64,$A65,'Argus Drop'!CA$12:CA$64))</f>
        <v/>
      </c>
      <c r="CI65" s="440" t="str">
        <f>IF(CH65="","",+SUMIF('Argus Drop'!$D$7:$D$64,$A65,'Argus Drop'!CB$12:CB$64))</f>
        <v/>
      </c>
      <c r="CJ65" s="440" t="str">
        <f>IF(CI65="","",+SUMIF('Argus Drop'!$D$7:$D$64,$A65,'Argus Drop'!CC$12:CC$64))</f>
        <v/>
      </c>
      <c r="CK65" s="440" t="str">
        <f>IF(CJ65="","",+SUMIF('Argus Drop'!$D$7:$D$64,$A65,'Argus Drop'!CD$12:CD$64))</f>
        <v/>
      </c>
      <c r="CL65" s="440" t="str">
        <f>IF(CK65="","",+SUMIF('Argus Drop'!$D$7:$D$64,$A65,'Argus Drop'!CE$12:CE$64))</f>
        <v/>
      </c>
      <c r="CM65" s="440" t="str">
        <f>IF(CL65="","",+SUMIF('Argus Drop'!$D$7:$D$64,$A65,'Argus Drop'!CF$12:CF$64))</f>
        <v/>
      </c>
      <c r="CN65" s="440" t="str">
        <f>IF(CM65="","",+SUMIF('Argus Drop'!$D$7:$D$64,$A65,'Argus Drop'!#REF!))</f>
        <v/>
      </c>
      <c r="CO65" s="440" t="str">
        <f>IF(CN65="","",+SUMIF('Argus Drop'!$D$7:$D$64,$A65,'Argus Drop'!CG$12:CG$64))</f>
        <v/>
      </c>
      <c r="CP65" s="440" t="str">
        <f>IF(CO65="","",+SUMIF('Argus Drop'!$D$7:$D$64,$A65,'Argus Drop'!CH$12:CH$64))</f>
        <v/>
      </c>
      <c r="CQ65" s="440" t="str">
        <f>IF(CP65="","",+SUMIF('Argus Drop'!$D$7:$D$64,$A65,'Argus Drop'!CI$12:CI$64))</f>
        <v/>
      </c>
      <c r="CR65" s="440" t="str">
        <f>IF(CQ65="","",+SUMIF('Argus Drop'!$D$7:$D$64,$A65,'Argus Drop'!CJ$12:CJ$64))</f>
        <v/>
      </c>
      <c r="CS65" s="440" t="str">
        <f>IF(CR65="","",+SUMIF('Argus Drop'!$D$7:$D$64,$A65,'Argus Drop'!CK$12:CK$64))</f>
        <v/>
      </c>
      <c r="CT65" s="440" t="str">
        <f>IF(CS65="","",+SUMIF('Argus Drop'!$D$7:$D$64,$A65,'Argus Drop'!CL$12:CL$64))</f>
        <v/>
      </c>
      <c r="CU65" s="440" t="str">
        <f>IF(CT65="","",+SUMIF('Argus Drop'!$D$7:$D$64,$A65,'Argus Drop'!CM$12:CM$64))</f>
        <v/>
      </c>
      <c r="CV65" s="440" t="str">
        <f>IF(CU65="","",+SUMIF('Argus Drop'!$D$7:$D$64,$A65,'Argus Drop'!CN$12:CN$64))</f>
        <v/>
      </c>
      <c r="CW65" s="440" t="str">
        <f>IF(CV65="","",+SUMIF('Argus Drop'!$D$7:$D$64,$A65,'Argus Drop'!CO$12:CO$64))</f>
        <v/>
      </c>
      <c r="CX65" s="440" t="str">
        <f>IF(CW65="","",+SUMIF('Argus Drop'!$D$7:$D$64,$A65,'Argus Drop'!CP$12:CP$64))</f>
        <v/>
      </c>
      <c r="CY65" s="440" t="str">
        <f>IF(CX65="","",+SUMIF('Argus Drop'!$D$7:$D$64,$A65,'Argus Drop'!CQ$12:CQ$64))</f>
        <v/>
      </c>
      <c r="CZ65" s="440" t="str">
        <f>IF(CY65="","",+SUMIF('Argus Drop'!$D$7:$D$64,$A65,'Argus Drop'!CR$12:CR$64))</f>
        <v/>
      </c>
      <c r="DA65" s="440" t="str">
        <f>IF(CZ65="","",+SUMIF('Argus Drop'!$D$7:$D$64,$A65,'Argus Drop'!#REF!))</f>
        <v/>
      </c>
      <c r="DB65" s="440" t="str">
        <f>IF(DA65="","",+SUMIF('Argus Drop'!$D$7:$D$64,$A65,'Argus Drop'!CS$12:CS$64))</f>
        <v/>
      </c>
      <c r="DC65" s="440" t="str">
        <f>IF(DB65="","",+SUMIF('Argus Drop'!$D$7:$D$64,$A65,'Argus Drop'!CT$12:CT$64))</f>
        <v/>
      </c>
      <c r="DD65" s="440" t="str">
        <f>IF(DC65="","",+SUMIF('Argus Drop'!$D$7:$D$64,$A65,'Argus Drop'!CU$12:CU$64))</f>
        <v/>
      </c>
      <c r="DE65" s="440" t="str">
        <f>IF(DD65="","",+SUMIF('Argus Drop'!$D$7:$D$64,$A65,'Argus Drop'!CV$12:CV$64))</f>
        <v/>
      </c>
      <c r="DF65" s="440" t="str">
        <f>IF(DE65="","",+SUMIF('Argus Drop'!$D$7:$D$64,$A65,'Argus Drop'!CW$12:CW$64))</f>
        <v/>
      </c>
      <c r="DG65" s="440" t="str">
        <f>IF(DF65="","",+SUMIF('Argus Drop'!$D$7:$D$64,$A65,'Argus Drop'!CX$12:CX$64))</f>
        <v/>
      </c>
      <c r="DH65" s="440" t="str">
        <f>IF(DG65="","",+SUMIF('Argus Drop'!$D$7:$D$64,$A65,'Argus Drop'!CY$12:CY$64))</f>
        <v/>
      </c>
      <c r="DI65" s="440" t="str">
        <f>IF(DH65="","",+SUMIF('Argus Drop'!$D$7:$D$64,$A65,'Argus Drop'!CZ$12:CZ$64))</f>
        <v/>
      </c>
      <c r="DJ65" s="440" t="str">
        <f>IF(DI65="","",+SUMIF('Argus Drop'!$D$7:$D$64,$A65,'Argus Drop'!DA$12:DA$64))</f>
        <v/>
      </c>
      <c r="DK65" s="440" t="str">
        <f>IF(DJ65="","",+SUMIF('Argus Drop'!$D$7:$D$64,$A65,'Argus Drop'!DB$12:DB$64))</f>
        <v/>
      </c>
      <c r="DL65" s="440" t="str">
        <f>IF(DK65="","",+SUMIF('Argus Drop'!$D$7:$D$64,$A65,'Argus Drop'!DC$12:DC$64))</f>
        <v/>
      </c>
      <c r="DM65" s="440" t="str">
        <f>IF(DL65="","",+SUMIF('Argus Drop'!$D$7:$D$64,$A65,'Argus Drop'!DD$12:DD$64))</f>
        <v/>
      </c>
      <c r="DN65" s="440" t="str">
        <f>IF(DM65="","",+SUMIF('Argus Drop'!$D$7:$D$64,$A65,'Argus Drop'!#REF!))</f>
        <v/>
      </c>
      <c r="DO65" s="440" t="str">
        <f>IF(DN65="","",+SUMIF('Argus Drop'!$D$7:$D$64,$A65,'Argus Drop'!DE$12:DE$64))</f>
        <v/>
      </c>
      <c r="DP65" s="440" t="str">
        <f>IF(DO65="","",+SUMIF('Argus Drop'!$D$7:$D$64,$A65,'Argus Drop'!DF$12:DF$64))</f>
        <v/>
      </c>
      <c r="DQ65" s="440" t="str">
        <f>IF(DP65="","",+SUMIF('Argus Drop'!$D$7:$D$64,$A65,'Argus Drop'!DG$12:DG$64))</f>
        <v/>
      </c>
      <c r="DR65" s="440" t="str">
        <f>IF(DQ65="","",+SUMIF('Argus Drop'!$D$7:$D$64,$A65,'Argus Drop'!DH$12:DH$64))</f>
        <v/>
      </c>
      <c r="DS65" s="440"/>
      <c r="DT65" s="440"/>
      <c r="DU65" s="440"/>
      <c r="DV65" s="440"/>
      <c r="DW65" s="440"/>
      <c r="DX65" s="440"/>
      <c r="DY65" s="440"/>
      <c r="DZ65" s="440"/>
      <c r="EA65" s="440"/>
      <c r="EB65" s="440"/>
      <c r="EC65" s="440"/>
      <c r="ED65" s="1419"/>
      <c r="EE65" s="1419"/>
      <c r="EF65" s="1419"/>
      <c r="EG65" s="1419"/>
      <c r="EH65" s="1419"/>
      <c r="EI65" s="1419"/>
      <c r="EJ65" s="1419"/>
      <c r="EK65" s="1419"/>
      <c r="EL65" s="1419"/>
      <c r="EM65" s="1419"/>
      <c r="EN65" s="1419"/>
      <c r="EO65" s="1419"/>
      <c r="EP65" s="1419"/>
      <c r="EQ65" s="1419"/>
      <c r="ER65" s="1419"/>
      <c r="ES65" s="1419"/>
      <c r="ET65" s="1419"/>
      <c r="EU65" s="1419"/>
      <c r="EV65" s="1419"/>
      <c r="EW65" s="1419"/>
      <c r="EX65" s="1419"/>
      <c r="EY65" s="1419"/>
      <c r="EZ65" s="1419"/>
      <c r="FA65" s="1419"/>
      <c r="FB65" s="1419"/>
      <c r="FC65" s="1419"/>
      <c r="FD65" s="1419"/>
      <c r="FE65" s="1419"/>
      <c r="FF65" s="1419"/>
      <c r="FG65" s="1419"/>
      <c r="FH65" s="1419"/>
      <c r="FI65" s="1419"/>
    </row>
    <row r="66" spans="1:165">
      <c r="A66" s="448" t="str">
        <f>IF(+'Argus Drop'!B70="","",'Argus Drop'!B70)</f>
        <v/>
      </c>
      <c r="B66" s="440" t="str">
        <f>IF(A66="","",+SUMIF('Argus Drop'!$D$7:$D$64,$A66,'Argus Drop'!#REF!))</f>
        <v/>
      </c>
      <c r="C66" s="440" t="str">
        <f>IF(B66="","",+SUMIF('Argus Drop'!$D$7:$D$64,$A66,'Argus Drop'!#REF!))</f>
        <v/>
      </c>
      <c r="D66" s="440" t="str">
        <f>IF(C66="","",+SUMIF('Argus Drop'!$D$7:$D$64,$A66,'Argus Drop'!#REF!))</f>
        <v/>
      </c>
      <c r="E66" s="440" t="str">
        <f>IF(D66="","",+SUMIF('Argus Drop'!$D$7:$D$64,$A66,'Argus Drop'!#REF!))</f>
        <v/>
      </c>
      <c r="F66" s="440" t="str">
        <f>IF(E66="","",+SUMIF('Argus Drop'!$D$7:$D$64,$A66,'Argus Drop'!#REF!))</f>
        <v/>
      </c>
      <c r="G66" s="440" t="str">
        <f>IF(F66="","",+SUMIF('Argus Drop'!$D$7:$D$64,$A66,'Argus Drop'!F$7:F$64))</f>
        <v/>
      </c>
      <c r="H66" s="440" t="str">
        <f>IF(G66="","",+SUMIF('Argus Drop'!$D$7:$D$64,$A66,'Argus Drop'!G$12:G$64))</f>
        <v/>
      </c>
      <c r="I66" s="440" t="str">
        <f>IF(H66="","",+SUMIF('Argus Drop'!$D$7:$D$64,$A66,'Argus Drop'!H$12:H$64))</f>
        <v/>
      </c>
      <c r="J66" s="440" t="str">
        <f>IF(I66="","",+SUMIF('Argus Drop'!$D$7:$D$64,$A66,'Argus Drop'!I$12:I$64))</f>
        <v/>
      </c>
      <c r="K66" s="440" t="str">
        <f>IF(J66="","",+SUMIF('Argus Drop'!$D$7:$D$64,$A66,'Argus Drop'!J$12:J$64))</f>
        <v/>
      </c>
      <c r="L66" s="440" t="str">
        <f>IF(K66="","",+SUMIF('Argus Drop'!$D$7:$D$64,$A66,'Argus Drop'!K$12:K$64))</f>
        <v/>
      </c>
      <c r="M66" s="440" t="str">
        <f>IF(L66="","",+SUMIF('Argus Drop'!$D$7:$D$64,$A66,'Argus Drop'!L$12:L$64))</f>
        <v/>
      </c>
      <c r="N66" s="440" t="str">
        <f>IF(M66="","",+SUMIF('Argus Drop'!$D$7:$D$64,$A66,'Argus Drop'!#REF!))</f>
        <v/>
      </c>
      <c r="O66" s="440" t="str">
        <f>IF(N66="","",+SUMIF('Argus Drop'!$D$7:$D$64,$A66,'Argus Drop'!M$12:M$64))</f>
        <v/>
      </c>
      <c r="P66" s="440" t="str">
        <f>IF(O66="","",+SUMIF('Argus Drop'!$D$7:$D$64,$A66,'Argus Drop'!N$12:N$64))</f>
        <v/>
      </c>
      <c r="Q66" s="440" t="str">
        <f>IF(P66="","",+SUMIF('Argus Drop'!$D$7:$D$64,$A66,'Argus Drop'!O$12:O$64))</f>
        <v/>
      </c>
      <c r="R66" s="440" t="str">
        <f>IF(Q66="","",+SUMIF('Argus Drop'!$D$7:$D$64,$A66,'Argus Drop'!P$12:P$64))</f>
        <v/>
      </c>
      <c r="S66" s="440" t="str">
        <f>IF(R66="","",+SUMIF('Argus Drop'!$D$7:$D$64,$A66,'Argus Drop'!Q$12:Q$64))</f>
        <v/>
      </c>
      <c r="T66" s="440" t="str">
        <f>IF(S66="","",+SUMIF('Argus Drop'!$D$7:$D$64,$A66,'Argus Drop'!R$12:R$64))</f>
        <v/>
      </c>
      <c r="U66" s="440" t="str">
        <f>IF(T66="","",+SUMIF('Argus Drop'!$D$7:$D$64,$A66,'Argus Drop'!S$12:S$64))</f>
        <v/>
      </c>
      <c r="V66" s="440" t="str">
        <f>IF(U66="","",+SUMIF('Argus Drop'!$D$7:$D$64,$A66,'Argus Drop'!T$12:T$64))</f>
        <v/>
      </c>
      <c r="W66" s="440" t="str">
        <f>IF(V66="","",+SUMIF('Argus Drop'!$D$7:$D$64,$A66,'Argus Drop'!U$12:U$64))</f>
        <v/>
      </c>
      <c r="X66" s="440" t="str">
        <f>IF(W66="","",+SUMIF('Argus Drop'!$D$7:$D$64,$A66,'Argus Drop'!V$12:V$64))</f>
        <v/>
      </c>
      <c r="Y66" s="440" t="str">
        <f>IF(X66="","",+SUMIF('Argus Drop'!$D$7:$D$64,$A66,'Argus Drop'!W$12:W$64))</f>
        <v/>
      </c>
      <c r="Z66" s="440" t="str">
        <f>IF(Y66="","",+SUMIF('Argus Drop'!$D$7:$D$64,$A66,'Argus Drop'!X$12:X$64))</f>
        <v/>
      </c>
      <c r="AA66" s="440" t="str">
        <f>IF(Z66="","",+SUMIF('Argus Drop'!$D$7:$D$64,$A66,'Argus Drop'!#REF!))</f>
        <v/>
      </c>
      <c r="AB66" s="440" t="str">
        <f>IF(AA66="","",+SUMIF('Argus Drop'!$D$7:$D$64,$A66,'Argus Drop'!Y$12:Y$64))</f>
        <v/>
      </c>
      <c r="AC66" s="440" t="str">
        <f>IF(AB66="","",+SUMIF('Argus Drop'!$D$7:$D$64,$A66,'Argus Drop'!Z$12:Z$64))</f>
        <v/>
      </c>
      <c r="AD66" s="440" t="str">
        <f>IF(AC66="","",+SUMIF('Argus Drop'!$D$7:$D$64,$A66,'Argus Drop'!AA$12:AA$64))</f>
        <v/>
      </c>
      <c r="AE66" s="440" t="str">
        <f>IF(AD66="","",+SUMIF('Argus Drop'!$D$7:$D$64,$A66,'Argus Drop'!AB$12:AB$64))</f>
        <v/>
      </c>
      <c r="AF66" s="440" t="str">
        <f>IF(AE66="","",+SUMIF('Argus Drop'!$D$7:$D$64,$A66,'Argus Drop'!AC$12:AC$64))</f>
        <v/>
      </c>
      <c r="AG66" s="440" t="str">
        <f>IF(AF66="","",+SUMIF('Argus Drop'!$D$7:$D$64,$A66,'Argus Drop'!AD$12:AD$64))</f>
        <v/>
      </c>
      <c r="AH66" s="440" t="str">
        <f>IF(AG66="","",+SUMIF('Argus Drop'!$D$7:$D$64,$A66,'Argus Drop'!AE$12:AE$64))</f>
        <v/>
      </c>
      <c r="AI66" s="440" t="str">
        <f>IF(AH66="","",+SUMIF('Argus Drop'!$D$7:$D$64,$A66,'Argus Drop'!AF$12:AF$64))</f>
        <v/>
      </c>
      <c r="AJ66" s="440" t="str">
        <f>IF(AI66="","",+SUMIF('Argus Drop'!$D$7:$D$64,$A66,'Argus Drop'!AG$12:AG$64))</f>
        <v/>
      </c>
      <c r="AK66" s="440" t="str">
        <f>IF(AJ66="","",+SUMIF('Argus Drop'!$D$7:$D$64,$A66,'Argus Drop'!AH$12:AH$64))</f>
        <v/>
      </c>
      <c r="AL66" s="440" t="str">
        <f>IF(AK66="","",+SUMIF('Argus Drop'!$D$7:$D$64,$A66,'Argus Drop'!AI$12:AI$64))</f>
        <v/>
      </c>
      <c r="AM66" s="440" t="str">
        <f>IF(AL66="","",+SUMIF('Argus Drop'!$D$7:$D$64,$A66,'Argus Drop'!AJ$12:AJ$64))</f>
        <v/>
      </c>
      <c r="AN66" s="440" t="str">
        <f>IF(AM66="","",+SUMIF('Argus Drop'!$D$7:$D$64,$A66,'Argus Drop'!#REF!))</f>
        <v/>
      </c>
      <c r="AO66" s="440" t="str">
        <f>IF(AN66="","",+SUMIF('Argus Drop'!$D$7:$D$64,$A66,'Argus Drop'!AK$12:AK$64))</f>
        <v/>
      </c>
      <c r="AP66" s="440" t="str">
        <f>IF(AO66="","",+SUMIF('Argus Drop'!$D$7:$D$64,$A66,'Argus Drop'!AL$12:AL$64))</f>
        <v/>
      </c>
      <c r="AQ66" s="440" t="str">
        <f>IF(AP66="","",+SUMIF('Argus Drop'!$D$7:$D$64,$A66,'Argus Drop'!AM$12:AM$64))</f>
        <v/>
      </c>
      <c r="AR66" s="440" t="str">
        <f>IF(AQ66="","",+SUMIF('Argus Drop'!$D$7:$D$64,$A66,'Argus Drop'!AN$12:AN$64))</f>
        <v/>
      </c>
      <c r="AS66" s="440" t="str">
        <f>IF(AR66="","",+SUMIF('Argus Drop'!$D$7:$D$64,$A66,'Argus Drop'!AO$12:AO$64))</f>
        <v/>
      </c>
      <c r="AT66" s="440" t="str">
        <f>IF(AS66="","",+SUMIF('Argus Drop'!$D$7:$D$64,$A66,'Argus Drop'!AP$12:AP$64))</f>
        <v/>
      </c>
      <c r="AU66" s="440" t="str">
        <f>IF(AT66="","",+SUMIF('Argus Drop'!$D$7:$D$64,$A66,'Argus Drop'!AQ$12:AQ$64))</f>
        <v/>
      </c>
      <c r="AV66" s="440" t="str">
        <f>IF(AU66="","",+SUMIF('Argus Drop'!$D$7:$D$64,$A66,'Argus Drop'!AR$12:AR$64))</f>
        <v/>
      </c>
      <c r="AW66" s="440" t="str">
        <f>IF(AV66="","",+SUMIF('Argus Drop'!$D$7:$D$64,$A66,'Argus Drop'!AS$12:AS$64))</f>
        <v/>
      </c>
      <c r="AX66" s="440" t="str">
        <f>IF(AW66="","",+SUMIF('Argus Drop'!$D$7:$D$64,$A66,'Argus Drop'!AT$12:AT$64))</f>
        <v/>
      </c>
      <c r="AY66" s="440" t="str">
        <f>IF(AX66="","",+SUMIF('Argus Drop'!$D$7:$D$64,$A66,'Argus Drop'!AU$12:AU$64))</f>
        <v/>
      </c>
      <c r="AZ66" s="440" t="str">
        <f>IF(AY66="","",+SUMIF('Argus Drop'!$D$7:$D$64,$A66,'Argus Drop'!AV$12:AV$64))</f>
        <v/>
      </c>
      <c r="BA66" s="440" t="str">
        <f>IF(AZ66="","",+SUMIF('Argus Drop'!$D$7:$D$64,$A66,'Argus Drop'!#REF!))</f>
        <v/>
      </c>
      <c r="BB66" s="440" t="str">
        <f>IF(BA66="","",+SUMIF('Argus Drop'!$D$7:$D$64,$A66,'Argus Drop'!AW$12:AW$64))</f>
        <v/>
      </c>
      <c r="BC66" s="440" t="str">
        <f>IF(BB66="","",+SUMIF('Argus Drop'!$D$7:$D$64,$A66,'Argus Drop'!AX$12:AX$64))</f>
        <v/>
      </c>
      <c r="BD66" s="440" t="str">
        <f>IF(BC66="","",+SUMIF('Argus Drop'!$D$7:$D$64,$A66,'Argus Drop'!AY$12:AY$64))</f>
        <v/>
      </c>
      <c r="BE66" s="440" t="str">
        <f>IF(BD66="","",+SUMIF('Argus Drop'!$D$7:$D$64,$A66,'Argus Drop'!AZ$12:AZ$64))</f>
        <v/>
      </c>
      <c r="BF66" s="440" t="str">
        <f>IF(BE66="","",+SUMIF('Argus Drop'!$D$7:$D$64,$A66,'Argus Drop'!BA$12:BA$64))</f>
        <v/>
      </c>
      <c r="BG66" s="440" t="str">
        <f>IF(BF66="","",+SUMIF('Argus Drop'!$D$7:$D$64,$A66,'Argus Drop'!BB$12:BB$64))</f>
        <v/>
      </c>
      <c r="BH66" s="440" t="str">
        <f>IF(BG66="","",+SUMIF('Argus Drop'!$D$7:$D$64,$A66,'Argus Drop'!BC$12:BC$64))</f>
        <v/>
      </c>
      <c r="BI66" s="440" t="str">
        <f>IF(BH66="","",+SUMIF('Argus Drop'!$D$7:$D$64,$A66,'Argus Drop'!BD$12:BD$64))</f>
        <v/>
      </c>
      <c r="BJ66" s="440" t="str">
        <f>IF(BI66="","",+SUMIF('Argus Drop'!$D$7:$D$64,$A66,'Argus Drop'!BE$12:BE$64))</f>
        <v/>
      </c>
      <c r="BK66" s="440" t="str">
        <f>IF(BJ66="","",+SUMIF('Argus Drop'!$D$7:$D$64,$A66,'Argus Drop'!BF$12:BF$64))</f>
        <v/>
      </c>
      <c r="BL66" s="440" t="str">
        <f>IF(BK66="","",+SUMIF('Argus Drop'!$D$7:$D$64,$A66,'Argus Drop'!BG$12:BG$64))</f>
        <v/>
      </c>
      <c r="BM66" s="440" t="str">
        <f>IF(BL66="","",+SUMIF('Argus Drop'!$D$7:$D$64,$A66,'Argus Drop'!BH$12:BH$64))</f>
        <v/>
      </c>
      <c r="BN66" s="440" t="str">
        <f>IF(BM66="","",+SUMIF('Argus Drop'!$D$7:$D$64,$A66,'Argus Drop'!#REF!))</f>
        <v/>
      </c>
      <c r="BO66" s="440" t="str">
        <f>IF(BN66="","",+SUMIF('Argus Drop'!$D$7:$D$64,$A66,'Argus Drop'!BI$12:BI$64))</f>
        <v/>
      </c>
      <c r="BP66" s="440" t="str">
        <f>IF(BO66="","",+SUMIF('Argus Drop'!$D$7:$D$64,$A66,'Argus Drop'!BJ$12:BJ$64))</f>
        <v/>
      </c>
      <c r="BQ66" s="440" t="str">
        <f>IF(BP66="","",+SUMIF('Argus Drop'!$D$7:$D$64,$A66,'Argus Drop'!BK$12:BK$64))</f>
        <v/>
      </c>
      <c r="BR66" s="440" t="str">
        <f>IF(BQ66="","",+SUMIF('Argus Drop'!$D$7:$D$64,$A66,'Argus Drop'!BL$12:BL$64))</f>
        <v/>
      </c>
      <c r="BS66" s="440" t="str">
        <f>IF(BR66="","",+SUMIF('Argus Drop'!$D$7:$D$64,$A66,'Argus Drop'!BM$12:BM$64))</f>
        <v/>
      </c>
      <c r="BT66" s="440" t="str">
        <f>IF(BS66="","",+SUMIF('Argus Drop'!$D$7:$D$64,$A66,'Argus Drop'!BN$12:BN$64))</f>
        <v/>
      </c>
      <c r="BU66" s="440" t="str">
        <f>IF(BT66="","",+SUMIF('Argus Drop'!$D$7:$D$64,$A66,'Argus Drop'!BO$12:BO$64))</f>
        <v/>
      </c>
      <c r="BV66" s="440" t="str">
        <f>IF(BU66="","",+SUMIF('Argus Drop'!$D$7:$D$64,$A66,'Argus Drop'!BP$12:BP$64))</f>
        <v/>
      </c>
      <c r="BW66" s="440" t="str">
        <f>IF(BV66="","",+SUMIF('Argus Drop'!$D$7:$D$64,$A66,'Argus Drop'!BQ$12:BQ$64))</f>
        <v/>
      </c>
      <c r="BX66" s="440" t="str">
        <f>IF(BW66="","",+SUMIF('Argus Drop'!$D$7:$D$64,$A66,'Argus Drop'!BR$12:BR$64))</f>
        <v/>
      </c>
      <c r="BY66" s="440" t="str">
        <f>IF(BX66="","",+SUMIF('Argus Drop'!$D$7:$D$64,$A66,'Argus Drop'!BS$12:BS$64))</f>
        <v/>
      </c>
      <c r="BZ66" s="440" t="str">
        <f>IF(BY66="","",+SUMIF('Argus Drop'!$D$7:$D$64,$A66,'Argus Drop'!BT$12:BT$64))</f>
        <v/>
      </c>
      <c r="CA66" s="440" t="str">
        <f>IF(BZ66="","",+SUMIF('Argus Drop'!$D$7:$D$64,$A66,'Argus Drop'!#REF!))</f>
        <v/>
      </c>
      <c r="CB66" s="440" t="str">
        <f>IF(CA66="","",+SUMIF('Argus Drop'!$D$7:$D$64,$A66,'Argus Drop'!BU$12:BU$64))</f>
        <v/>
      </c>
      <c r="CC66" s="440" t="str">
        <f>IF(CB66="","",+SUMIF('Argus Drop'!$D$7:$D$64,$A66,'Argus Drop'!BV$12:BV$64))</f>
        <v/>
      </c>
      <c r="CD66" s="440" t="str">
        <f>IF(CC66="","",+SUMIF('Argus Drop'!$D$7:$D$64,$A66,'Argus Drop'!BW$12:BW$64))</f>
        <v/>
      </c>
      <c r="CE66" s="440" t="str">
        <f>IF(CD66="","",+SUMIF('Argus Drop'!$D$7:$D$64,$A66,'Argus Drop'!BX$12:BX$64))</f>
        <v/>
      </c>
      <c r="CF66" s="440" t="str">
        <f>IF(CE66="","",+SUMIF('Argus Drop'!$D$7:$D$64,$A66,'Argus Drop'!BY$12:BY$64))</f>
        <v/>
      </c>
      <c r="CG66" s="440" t="str">
        <f>IF(CF66="","",+SUMIF('Argus Drop'!$D$7:$D$64,$A66,'Argus Drop'!BZ$12:BZ$64))</f>
        <v/>
      </c>
      <c r="CH66" s="440" t="str">
        <f>IF(CG66="","",+SUMIF('Argus Drop'!$D$7:$D$64,$A66,'Argus Drop'!CA$12:CA$64))</f>
        <v/>
      </c>
      <c r="CI66" s="440" t="str">
        <f>IF(CH66="","",+SUMIF('Argus Drop'!$D$7:$D$64,$A66,'Argus Drop'!CB$12:CB$64))</f>
        <v/>
      </c>
      <c r="CJ66" s="440" t="str">
        <f>IF(CI66="","",+SUMIF('Argus Drop'!$D$7:$D$64,$A66,'Argus Drop'!CC$12:CC$64))</f>
        <v/>
      </c>
      <c r="CK66" s="440" t="str">
        <f>IF(CJ66="","",+SUMIF('Argus Drop'!$D$7:$D$64,$A66,'Argus Drop'!CD$12:CD$64))</f>
        <v/>
      </c>
      <c r="CL66" s="440" t="str">
        <f>IF(CK66="","",+SUMIF('Argus Drop'!$D$7:$D$64,$A66,'Argus Drop'!CE$12:CE$64))</f>
        <v/>
      </c>
      <c r="CM66" s="440" t="str">
        <f>IF(CL66="","",+SUMIF('Argus Drop'!$D$7:$D$64,$A66,'Argus Drop'!CF$12:CF$64))</f>
        <v/>
      </c>
      <c r="CN66" s="440" t="str">
        <f>IF(CM66="","",+SUMIF('Argus Drop'!$D$7:$D$64,$A66,'Argus Drop'!#REF!))</f>
        <v/>
      </c>
      <c r="CO66" s="440" t="str">
        <f>IF(CN66="","",+SUMIF('Argus Drop'!$D$7:$D$64,$A66,'Argus Drop'!CG$12:CG$64))</f>
        <v/>
      </c>
      <c r="CP66" s="440" t="str">
        <f>IF(CO66="","",+SUMIF('Argus Drop'!$D$7:$D$64,$A66,'Argus Drop'!CH$12:CH$64))</f>
        <v/>
      </c>
      <c r="CQ66" s="440" t="str">
        <f>IF(CP66="","",+SUMIF('Argus Drop'!$D$7:$D$64,$A66,'Argus Drop'!CI$12:CI$64))</f>
        <v/>
      </c>
      <c r="CR66" s="440" t="str">
        <f>IF(CQ66="","",+SUMIF('Argus Drop'!$D$7:$D$64,$A66,'Argus Drop'!CJ$12:CJ$64))</f>
        <v/>
      </c>
      <c r="CS66" s="440" t="str">
        <f>IF(CR66="","",+SUMIF('Argus Drop'!$D$7:$D$64,$A66,'Argus Drop'!CK$12:CK$64))</f>
        <v/>
      </c>
      <c r="CT66" s="440" t="str">
        <f>IF(CS66="","",+SUMIF('Argus Drop'!$D$7:$D$64,$A66,'Argus Drop'!CL$12:CL$64))</f>
        <v/>
      </c>
      <c r="CU66" s="440" t="str">
        <f>IF(CT66="","",+SUMIF('Argus Drop'!$D$7:$D$64,$A66,'Argus Drop'!CM$12:CM$64))</f>
        <v/>
      </c>
      <c r="CV66" s="440" t="str">
        <f>IF(CU66="","",+SUMIF('Argus Drop'!$D$7:$D$64,$A66,'Argus Drop'!CN$12:CN$64))</f>
        <v/>
      </c>
      <c r="CW66" s="440" t="str">
        <f>IF(CV66="","",+SUMIF('Argus Drop'!$D$7:$D$64,$A66,'Argus Drop'!CO$12:CO$64))</f>
        <v/>
      </c>
      <c r="CX66" s="440" t="str">
        <f>IF(CW66="","",+SUMIF('Argus Drop'!$D$7:$D$64,$A66,'Argus Drop'!CP$12:CP$64))</f>
        <v/>
      </c>
      <c r="CY66" s="440" t="str">
        <f>IF(CX66="","",+SUMIF('Argus Drop'!$D$7:$D$64,$A66,'Argus Drop'!CQ$12:CQ$64))</f>
        <v/>
      </c>
      <c r="CZ66" s="440" t="str">
        <f>IF(CY66="","",+SUMIF('Argus Drop'!$D$7:$D$64,$A66,'Argus Drop'!CR$12:CR$64))</f>
        <v/>
      </c>
      <c r="DA66" s="440" t="str">
        <f>IF(CZ66="","",+SUMIF('Argus Drop'!$D$7:$D$64,$A66,'Argus Drop'!#REF!))</f>
        <v/>
      </c>
      <c r="DB66" s="440" t="str">
        <f>IF(DA66="","",+SUMIF('Argus Drop'!$D$7:$D$64,$A66,'Argus Drop'!CS$12:CS$64))</f>
        <v/>
      </c>
      <c r="DC66" s="440" t="str">
        <f>IF(DB66="","",+SUMIF('Argus Drop'!$D$7:$D$64,$A66,'Argus Drop'!CT$12:CT$64))</f>
        <v/>
      </c>
      <c r="DD66" s="440" t="str">
        <f>IF(DC66="","",+SUMIF('Argus Drop'!$D$7:$D$64,$A66,'Argus Drop'!CU$12:CU$64))</f>
        <v/>
      </c>
      <c r="DE66" s="440" t="str">
        <f>IF(DD66="","",+SUMIF('Argus Drop'!$D$7:$D$64,$A66,'Argus Drop'!CV$12:CV$64))</f>
        <v/>
      </c>
      <c r="DF66" s="440" t="str">
        <f>IF(DE66="","",+SUMIF('Argus Drop'!$D$7:$D$64,$A66,'Argus Drop'!CW$12:CW$64))</f>
        <v/>
      </c>
      <c r="DG66" s="440" t="str">
        <f>IF(DF66="","",+SUMIF('Argus Drop'!$D$7:$D$64,$A66,'Argus Drop'!CX$12:CX$64))</f>
        <v/>
      </c>
      <c r="DH66" s="440" t="str">
        <f>IF(DG66="","",+SUMIF('Argus Drop'!$D$7:$D$64,$A66,'Argus Drop'!CY$12:CY$64))</f>
        <v/>
      </c>
      <c r="DI66" s="440" t="str">
        <f>IF(DH66="","",+SUMIF('Argus Drop'!$D$7:$D$64,$A66,'Argus Drop'!CZ$12:CZ$64))</f>
        <v/>
      </c>
      <c r="DJ66" s="440" t="str">
        <f>IF(DI66="","",+SUMIF('Argus Drop'!$D$7:$D$64,$A66,'Argus Drop'!DA$12:DA$64))</f>
        <v/>
      </c>
      <c r="DK66" s="440" t="str">
        <f>IF(DJ66="","",+SUMIF('Argus Drop'!$D$7:$D$64,$A66,'Argus Drop'!DB$12:DB$64))</f>
        <v/>
      </c>
      <c r="DL66" s="440" t="str">
        <f>IF(DK66="","",+SUMIF('Argus Drop'!$D$7:$D$64,$A66,'Argus Drop'!DC$12:DC$64))</f>
        <v/>
      </c>
      <c r="DM66" s="440" t="str">
        <f>IF(DL66="","",+SUMIF('Argus Drop'!$D$7:$D$64,$A66,'Argus Drop'!DD$12:DD$64))</f>
        <v/>
      </c>
      <c r="DN66" s="440" t="str">
        <f>IF(DM66="","",+SUMIF('Argus Drop'!$D$7:$D$64,$A66,'Argus Drop'!#REF!))</f>
        <v/>
      </c>
      <c r="DO66" s="440" t="str">
        <f>IF(DN66="","",+SUMIF('Argus Drop'!$D$7:$D$64,$A66,'Argus Drop'!DE$12:DE$64))</f>
        <v/>
      </c>
      <c r="DP66" s="440" t="str">
        <f>IF(DO66="","",+SUMIF('Argus Drop'!$D$7:$D$64,$A66,'Argus Drop'!DF$12:DF$64))</f>
        <v/>
      </c>
      <c r="DQ66" s="440" t="str">
        <f>IF(DP66="","",+SUMIF('Argus Drop'!$D$7:$D$64,$A66,'Argus Drop'!DG$12:DG$64))</f>
        <v/>
      </c>
      <c r="DR66" s="440" t="str">
        <f>IF(DQ66="","",+SUMIF('Argus Drop'!$D$7:$D$64,$A66,'Argus Drop'!DH$12:DH$64))</f>
        <v/>
      </c>
      <c r="DS66" s="440"/>
      <c r="DT66" s="440"/>
      <c r="DU66" s="440"/>
      <c r="DV66" s="440"/>
      <c r="DW66" s="440"/>
      <c r="DX66" s="440"/>
      <c r="DY66" s="440"/>
      <c r="DZ66" s="440"/>
      <c r="EA66" s="440"/>
      <c r="EB66" s="440"/>
      <c r="EC66" s="440"/>
      <c r="ED66" s="1419"/>
      <c r="EE66" s="1419"/>
      <c r="EF66" s="1419"/>
      <c r="EG66" s="1419"/>
      <c r="EH66" s="1419"/>
      <c r="EI66" s="1419"/>
      <c r="EJ66" s="1419"/>
      <c r="EK66" s="1419"/>
      <c r="EL66" s="1419"/>
      <c r="EM66" s="1419"/>
      <c r="EN66" s="1419"/>
      <c r="EO66" s="1419"/>
      <c r="EP66" s="1419"/>
      <c r="EQ66" s="1419"/>
      <c r="ER66" s="1419"/>
      <c r="ES66" s="1419"/>
      <c r="ET66" s="1419"/>
      <c r="EU66" s="1419"/>
      <c r="EV66" s="1419"/>
      <c r="EW66" s="1419"/>
      <c r="EX66" s="1419"/>
      <c r="EY66" s="1419"/>
      <c r="EZ66" s="1419"/>
      <c r="FA66" s="1419"/>
      <c r="FB66" s="1419"/>
      <c r="FC66" s="1419"/>
      <c r="FD66" s="1419"/>
      <c r="FE66" s="1419"/>
      <c r="FF66" s="1419"/>
      <c r="FG66" s="1419"/>
      <c r="FH66" s="1419"/>
      <c r="FI66" s="1419"/>
    </row>
    <row r="67" spans="1:165">
      <c r="A67" s="448" t="str">
        <f>IF(+'Argus Drop'!B71="","",'Argus Drop'!B71)</f>
        <v/>
      </c>
      <c r="B67" s="440" t="str">
        <f>IF(A67="","",+SUMIF('Argus Drop'!$D$7:$D$64,$A67,'Argus Drop'!#REF!))</f>
        <v/>
      </c>
      <c r="C67" s="440" t="str">
        <f>IF(B67="","",+SUMIF('Argus Drop'!$D$7:$D$64,$A67,'Argus Drop'!#REF!))</f>
        <v/>
      </c>
      <c r="D67" s="440" t="str">
        <f>IF(C67="","",+SUMIF('Argus Drop'!$D$7:$D$64,$A67,'Argus Drop'!#REF!))</f>
        <v/>
      </c>
      <c r="E67" s="440" t="str">
        <f>IF(D67="","",+SUMIF('Argus Drop'!$D$7:$D$64,$A67,'Argus Drop'!#REF!))</f>
        <v/>
      </c>
      <c r="F67" s="440" t="str">
        <f>IF(E67="","",+SUMIF('Argus Drop'!$D$7:$D$64,$A67,'Argus Drop'!#REF!))</f>
        <v/>
      </c>
      <c r="G67" s="440" t="str">
        <f>IF(F67="","",+SUMIF('Argus Drop'!$D$7:$D$64,$A67,'Argus Drop'!F$7:F$64))</f>
        <v/>
      </c>
      <c r="H67" s="440" t="str">
        <f>IF(G67="","",+SUMIF('Argus Drop'!$D$7:$D$64,$A67,'Argus Drop'!G$12:G$64))</f>
        <v/>
      </c>
      <c r="I67" s="440" t="str">
        <f>IF(H67="","",+SUMIF('Argus Drop'!$D$7:$D$64,$A67,'Argus Drop'!H$12:H$64))</f>
        <v/>
      </c>
      <c r="J67" s="440" t="str">
        <f>IF(I67="","",+SUMIF('Argus Drop'!$D$7:$D$64,$A67,'Argus Drop'!I$12:I$64))</f>
        <v/>
      </c>
      <c r="K67" s="440" t="str">
        <f>IF(J67="","",+SUMIF('Argus Drop'!$D$7:$D$64,$A67,'Argus Drop'!J$12:J$64))</f>
        <v/>
      </c>
      <c r="L67" s="440" t="str">
        <f>IF(K67="","",+SUMIF('Argus Drop'!$D$7:$D$64,$A67,'Argus Drop'!K$12:K$64))</f>
        <v/>
      </c>
      <c r="M67" s="440" t="str">
        <f>IF(L67="","",+SUMIF('Argus Drop'!$D$7:$D$64,$A67,'Argus Drop'!L$12:L$64))</f>
        <v/>
      </c>
      <c r="N67" s="440" t="str">
        <f>IF(M67="","",+SUMIF('Argus Drop'!$D$7:$D$64,$A67,'Argus Drop'!#REF!))</f>
        <v/>
      </c>
      <c r="O67" s="440" t="str">
        <f>IF(N67="","",+SUMIF('Argus Drop'!$D$7:$D$64,$A67,'Argus Drop'!M$12:M$64))</f>
        <v/>
      </c>
      <c r="P67" s="440" t="str">
        <f>IF(O67="","",+SUMIF('Argus Drop'!$D$7:$D$64,$A67,'Argus Drop'!N$12:N$64))</f>
        <v/>
      </c>
      <c r="Q67" s="440" t="str">
        <f>IF(P67="","",+SUMIF('Argus Drop'!$D$7:$D$64,$A67,'Argus Drop'!O$12:O$64))</f>
        <v/>
      </c>
      <c r="R67" s="440" t="str">
        <f>IF(Q67="","",+SUMIF('Argus Drop'!$D$7:$D$64,$A67,'Argus Drop'!P$12:P$64))</f>
        <v/>
      </c>
      <c r="S67" s="440" t="str">
        <f>IF(R67="","",+SUMIF('Argus Drop'!$D$7:$D$64,$A67,'Argus Drop'!Q$12:Q$64))</f>
        <v/>
      </c>
      <c r="T67" s="440" t="str">
        <f>IF(S67="","",+SUMIF('Argus Drop'!$D$7:$D$64,$A67,'Argus Drop'!R$12:R$64))</f>
        <v/>
      </c>
      <c r="U67" s="440" t="str">
        <f>IF(T67="","",+SUMIF('Argus Drop'!$D$7:$D$64,$A67,'Argus Drop'!S$12:S$64))</f>
        <v/>
      </c>
      <c r="V67" s="440" t="str">
        <f>IF(U67="","",+SUMIF('Argus Drop'!$D$7:$D$64,$A67,'Argus Drop'!T$12:T$64))</f>
        <v/>
      </c>
      <c r="W67" s="440" t="str">
        <f>IF(V67="","",+SUMIF('Argus Drop'!$D$7:$D$64,$A67,'Argus Drop'!U$12:U$64))</f>
        <v/>
      </c>
      <c r="X67" s="440" t="str">
        <f>IF(W67="","",+SUMIF('Argus Drop'!$D$7:$D$64,$A67,'Argus Drop'!V$12:V$64))</f>
        <v/>
      </c>
      <c r="Y67" s="440" t="str">
        <f>IF(X67="","",+SUMIF('Argus Drop'!$D$7:$D$64,$A67,'Argus Drop'!W$12:W$64))</f>
        <v/>
      </c>
      <c r="Z67" s="440" t="str">
        <f>IF(Y67="","",+SUMIF('Argus Drop'!$D$7:$D$64,$A67,'Argus Drop'!X$12:X$64))</f>
        <v/>
      </c>
      <c r="AA67" s="440" t="str">
        <f>IF(Z67="","",+SUMIF('Argus Drop'!$D$7:$D$64,$A67,'Argus Drop'!#REF!))</f>
        <v/>
      </c>
      <c r="AB67" s="440" t="str">
        <f>IF(AA67="","",+SUMIF('Argus Drop'!$D$7:$D$64,$A67,'Argus Drop'!Y$12:Y$64))</f>
        <v/>
      </c>
      <c r="AC67" s="440" t="str">
        <f>IF(AB67="","",+SUMIF('Argus Drop'!$D$7:$D$64,$A67,'Argus Drop'!Z$12:Z$64))</f>
        <v/>
      </c>
      <c r="AD67" s="440" t="str">
        <f>IF(AC67="","",+SUMIF('Argus Drop'!$D$7:$D$64,$A67,'Argus Drop'!AA$12:AA$64))</f>
        <v/>
      </c>
      <c r="AE67" s="440" t="str">
        <f>IF(AD67="","",+SUMIF('Argus Drop'!$D$7:$D$64,$A67,'Argus Drop'!AB$12:AB$64))</f>
        <v/>
      </c>
      <c r="AF67" s="440" t="str">
        <f>IF(AE67="","",+SUMIF('Argus Drop'!$D$7:$D$64,$A67,'Argus Drop'!AC$12:AC$64))</f>
        <v/>
      </c>
      <c r="AG67" s="440" t="str">
        <f>IF(AF67="","",+SUMIF('Argus Drop'!$D$7:$D$64,$A67,'Argus Drop'!AD$12:AD$64))</f>
        <v/>
      </c>
      <c r="AH67" s="440" t="str">
        <f>IF(AG67="","",+SUMIF('Argus Drop'!$D$7:$D$64,$A67,'Argus Drop'!AE$12:AE$64))</f>
        <v/>
      </c>
      <c r="AI67" s="440" t="str">
        <f>IF(AH67="","",+SUMIF('Argus Drop'!$D$7:$D$64,$A67,'Argus Drop'!AF$12:AF$64))</f>
        <v/>
      </c>
      <c r="AJ67" s="440" t="str">
        <f>IF(AI67="","",+SUMIF('Argus Drop'!$D$7:$D$64,$A67,'Argus Drop'!AG$12:AG$64))</f>
        <v/>
      </c>
      <c r="AK67" s="440" t="str">
        <f>IF(AJ67="","",+SUMIF('Argus Drop'!$D$7:$D$64,$A67,'Argus Drop'!AH$12:AH$64))</f>
        <v/>
      </c>
      <c r="AL67" s="440" t="str">
        <f>IF(AK67="","",+SUMIF('Argus Drop'!$D$7:$D$64,$A67,'Argus Drop'!AI$12:AI$64))</f>
        <v/>
      </c>
      <c r="AM67" s="440" t="str">
        <f>IF(AL67="","",+SUMIF('Argus Drop'!$D$7:$D$64,$A67,'Argus Drop'!AJ$12:AJ$64))</f>
        <v/>
      </c>
      <c r="AN67" s="440" t="str">
        <f>IF(AM67="","",+SUMIF('Argus Drop'!$D$7:$D$64,$A67,'Argus Drop'!#REF!))</f>
        <v/>
      </c>
      <c r="AO67" s="440" t="str">
        <f>IF(AN67="","",+SUMIF('Argus Drop'!$D$7:$D$64,$A67,'Argus Drop'!AK$12:AK$64))</f>
        <v/>
      </c>
      <c r="AP67" s="440" t="str">
        <f>IF(AO67="","",+SUMIF('Argus Drop'!$D$7:$D$64,$A67,'Argus Drop'!AL$12:AL$64))</f>
        <v/>
      </c>
      <c r="AQ67" s="440" t="str">
        <f>IF(AP67="","",+SUMIF('Argus Drop'!$D$7:$D$64,$A67,'Argus Drop'!AM$12:AM$64))</f>
        <v/>
      </c>
      <c r="AR67" s="440" t="str">
        <f>IF(AQ67="","",+SUMIF('Argus Drop'!$D$7:$D$64,$A67,'Argus Drop'!AN$12:AN$64))</f>
        <v/>
      </c>
      <c r="AS67" s="440" t="str">
        <f>IF(AR67="","",+SUMIF('Argus Drop'!$D$7:$D$64,$A67,'Argus Drop'!AO$12:AO$64))</f>
        <v/>
      </c>
      <c r="AT67" s="440" t="str">
        <f>IF(AS67="","",+SUMIF('Argus Drop'!$D$7:$D$64,$A67,'Argus Drop'!AP$12:AP$64))</f>
        <v/>
      </c>
      <c r="AU67" s="440" t="str">
        <f>IF(AT67="","",+SUMIF('Argus Drop'!$D$7:$D$64,$A67,'Argus Drop'!AQ$12:AQ$64))</f>
        <v/>
      </c>
      <c r="AV67" s="440" t="str">
        <f>IF(AU67="","",+SUMIF('Argus Drop'!$D$7:$D$64,$A67,'Argus Drop'!AR$12:AR$64))</f>
        <v/>
      </c>
      <c r="AW67" s="440" t="str">
        <f>IF(AV67="","",+SUMIF('Argus Drop'!$D$7:$D$64,$A67,'Argus Drop'!AS$12:AS$64))</f>
        <v/>
      </c>
      <c r="AX67" s="440" t="str">
        <f>IF(AW67="","",+SUMIF('Argus Drop'!$D$7:$D$64,$A67,'Argus Drop'!AT$12:AT$64))</f>
        <v/>
      </c>
      <c r="AY67" s="440" t="str">
        <f>IF(AX67="","",+SUMIF('Argus Drop'!$D$7:$D$64,$A67,'Argus Drop'!AU$12:AU$64))</f>
        <v/>
      </c>
      <c r="AZ67" s="440" t="str">
        <f>IF(AY67="","",+SUMIF('Argus Drop'!$D$7:$D$64,$A67,'Argus Drop'!AV$12:AV$64))</f>
        <v/>
      </c>
      <c r="BA67" s="440" t="str">
        <f>IF(AZ67="","",+SUMIF('Argus Drop'!$D$7:$D$64,$A67,'Argus Drop'!#REF!))</f>
        <v/>
      </c>
      <c r="BB67" s="440" t="str">
        <f>IF(BA67="","",+SUMIF('Argus Drop'!$D$7:$D$64,$A67,'Argus Drop'!AW$12:AW$64))</f>
        <v/>
      </c>
      <c r="BC67" s="440" t="str">
        <f>IF(BB67="","",+SUMIF('Argus Drop'!$D$7:$D$64,$A67,'Argus Drop'!AX$12:AX$64))</f>
        <v/>
      </c>
      <c r="BD67" s="440" t="str">
        <f>IF(BC67="","",+SUMIF('Argus Drop'!$D$7:$D$64,$A67,'Argus Drop'!AY$12:AY$64))</f>
        <v/>
      </c>
      <c r="BE67" s="440" t="str">
        <f>IF(BD67="","",+SUMIF('Argus Drop'!$D$7:$D$64,$A67,'Argus Drop'!AZ$12:AZ$64))</f>
        <v/>
      </c>
      <c r="BF67" s="440" t="str">
        <f>IF(BE67="","",+SUMIF('Argus Drop'!$D$7:$D$64,$A67,'Argus Drop'!BA$12:BA$64))</f>
        <v/>
      </c>
      <c r="BG67" s="440" t="str">
        <f>IF(BF67="","",+SUMIF('Argus Drop'!$D$7:$D$64,$A67,'Argus Drop'!BB$12:BB$64))</f>
        <v/>
      </c>
      <c r="BH67" s="440" t="str">
        <f>IF(BG67="","",+SUMIF('Argus Drop'!$D$7:$D$64,$A67,'Argus Drop'!BC$12:BC$64))</f>
        <v/>
      </c>
      <c r="BI67" s="440" t="str">
        <f>IF(BH67="","",+SUMIF('Argus Drop'!$D$7:$D$64,$A67,'Argus Drop'!BD$12:BD$64))</f>
        <v/>
      </c>
      <c r="BJ67" s="440" t="str">
        <f>IF(BI67="","",+SUMIF('Argus Drop'!$D$7:$D$64,$A67,'Argus Drop'!BE$12:BE$64))</f>
        <v/>
      </c>
      <c r="BK67" s="440" t="str">
        <f>IF(BJ67="","",+SUMIF('Argus Drop'!$D$7:$D$64,$A67,'Argus Drop'!BF$12:BF$64))</f>
        <v/>
      </c>
      <c r="BL67" s="440" t="str">
        <f>IF(BK67="","",+SUMIF('Argus Drop'!$D$7:$D$64,$A67,'Argus Drop'!BG$12:BG$64))</f>
        <v/>
      </c>
      <c r="BM67" s="440" t="str">
        <f>IF(BL67="","",+SUMIF('Argus Drop'!$D$7:$D$64,$A67,'Argus Drop'!BH$12:BH$64))</f>
        <v/>
      </c>
      <c r="BN67" s="440" t="str">
        <f>IF(BM67="","",+SUMIF('Argus Drop'!$D$7:$D$64,$A67,'Argus Drop'!#REF!))</f>
        <v/>
      </c>
      <c r="BO67" s="440" t="str">
        <f>IF(BN67="","",+SUMIF('Argus Drop'!$D$7:$D$64,$A67,'Argus Drop'!BI$12:BI$64))</f>
        <v/>
      </c>
      <c r="BP67" s="440" t="str">
        <f>IF(BO67="","",+SUMIF('Argus Drop'!$D$7:$D$64,$A67,'Argus Drop'!BJ$12:BJ$64))</f>
        <v/>
      </c>
      <c r="BQ67" s="440" t="str">
        <f>IF(BP67="","",+SUMIF('Argus Drop'!$D$7:$D$64,$A67,'Argus Drop'!BK$12:BK$64))</f>
        <v/>
      </c>
      <c r="BR67" s="440" t="str">
        <f>IF(BQ67="","",+SUMIF('Argus Drop'!$D$7:$D$64,$A67,'Argus Drop'!BL$12:BL$64))</f>
        <v/>
      </c>
      <c r="BS67" s="440" t="str">
        <f>IF(BR67="","",+SUMIF('Argus Drop'!$D$7:$D$64,$A67,'Argus Drop'!BM$12:BM$64))</f>
        <v/>
      </c>
      <c r="BT67" s="440" t="str">
        <f>IF(BS67="","",+SUMIF('Argus Drop'!$D$7:$D$64,$A67,'Argus Drop'!BN$12:BN$64))</f>
        <v/>
      </c>
      <c r="BU67" s="440" t="str">
        <f>IF(BT67="","",+SUMIF('Argus Drop'!$D$7:$D$64,$A67,'Argus Drop'!BO$12:BO$64))</f>
        <v/>
      </c>
      <c r="BV67" s="440" t="str">
        <f>IF(BU67="","",+SUMIF('Argus Drop'!$D$7:$D$64,$A67,'Argus Drop'!BP$12:BP$64))</f>
        <v/>
      </c>
      <c r="BW67" s="440" t="str">
        <f>IF(BV67="","",+SUMIF('Argus Drop'!$D$7:$D$64,$A67,'Argus Drop'!BQ$12:BQ$64))</f>
        <v/>
      </c>
      <c r="BX67" s="440" t="str">
        <f>IF(BW67="","",+SUMIF('Argus Drop'!$D$7:$D$64,$A67,'Argus Drop'!BR$12:BR$64))</f>
        <v/>
      </c>
      <c r="BY67" s="440" t="str">
        <f>IF(BX67="","",+SUMIF('Argus Drop'!$D$7:$D$64,$A67,'Argus Drop'!BS$12:BS$64))</f>
        <v/>
      </c>
      <c r="BZ67" s="440" t="str">
        <f>IF(BY67="","",+SUMIF('Argus Drop'!$D$7:$D$64,$A67,'Argus Drop'!BT$12:BT$64))</f>
        <v/>
      </c>
      <c r="CA67" s="440" t="str">
        <f>IF(BZ67="","",+SUMIF('Argus Drop'!$D$7:$D$64,$A67,'Argus Drop'!#REF!))</f>
        <v/>
      </c>
      <c r="CB67" s="440" t="str">
        <f>IF(CA67="","",+SUMIF('Argus Drop'!$D$7:$D$64,$A67,'Argus Drop'!BU$12:BU$64))</f>
        <v/>
      </c>
      <c r="CC67" s="440" t="str">
        <f>IF(CB67="","",+SUMIF('Argus Drop'!$D$7:$D$64,$A67,'Argus Drop'!BV$12:BV$64))</f>
        <v/>
      </c>
      <c r="CD67" s="440" t="str">
        <f>IF(CC67="","",+SUMIF('Argus Drop'!$D$7:$D$64,$A67,'Argus Drop'!BW$12:BW$64))</f>
        <v/>
      </c>
      <c r="CE67" s="440" t="str">
        <f>IF(CD67="","",+SUMIF('Argus Drop'!$D$7:$D$64,$A67,'Argus Drop'!BX$12:BX$64))</f>
        <v/>
      </c>
      <c r="CF67" s="440" t="str">
        <f>IF(CE67="","",+SUMIF('Argus Drop'!$D$7:$D$64,$A67,'Argus Drop'!BY$12:BY$64))</f>
        <v/>
      </c>
      <c r="CG67" s="440" t="str">
        <f>IF(CF67="","",+SUMIF('Argus Drop'!$D$7:$D$64,$A67,'Argus Drop'!BZ$12:BZ$64))</f>
        <v/>
      </c>
      <c r="CH67" s="440" t="str">
        <f>IF(CG67="","",+SUMIF('Argus Drop'!$D$7:$D$64,$A67,'Argus Drop'!CA$12:CA$64))</f>
        <v/>
      </c>
      <c r="CI67" s="440" t="str">
        <f>IF(CH67="","",+SUMIF('Argus Drop'!$D$7:$D$64,$A67,'Argus Drop'!CB$12:CB$64))</f>
        <v/>
      </c>
      <c r="CJ67" s="440" t="str">
        <f>IF(CI67="","",+SUMIF('Argus Drop'!$D$7:$D$64,$A67,'Argus Drop'!CC$12:CC$64))</f>
        <v/>
      </c>
      <c r="CK67" s="440" t="str">
        <f>IF(CJ67="","",+SUMIF('Argus Drop'!$D$7:$D$64,$A67,'Argus Drop'!CD$12:CD$64))</f>
        <v/>
      </c>
      <c r="CL67" s="440" t="str">
        <f>IF(CK67="","",+SUMIF('Argus Drop'!$D$7:$D$64,$A67,'Argus Drop'!CE$12:CE$64))</f>
        <v/>
      </c>
      <c r="CM67" s="440" t="str">
        <f>IF(CL67="","",+SUMIF('Argus Drop'!$D$7:$D$64,$A67,'Argus Drop'!CF$12:CF$64))</f>
        <v/>
      </c>
      <c r="CN67" s="440" t="str">
        <f>IF(CM67="","",+SUMIF('Argus Drop'!$D$7:$D$64,$A67,'Argus Drop'!#REF!))</f>
        <v/>
      </c>
      <c r="CO67" s="440" t="str">
        <f>IF(CN67="","",+SUMIF('Argus Drop'!$D$7:$D$64,$A67,'Argus Drop'!CG$12:CG$64))</f>
        <v/>
      </c>
      <c r="CP67" s="440" t="str">
        <f>IF(CO67="","",+SUMIF('Argus Drop'!$D$7:$D$64,$A67,'Argus Drop'!CH$12:CH$64))</f>
        <v/>
      </c>
      <c r="CQ67" s="440" t="str">
        <f>IF(CP67="","",+SUMIF('Argus Drop'!$D$7:$D$64,$A67,'Argus Drop'!CI$12:CI$64))</f>
        <v/>
      </c>
      <c r="CR67" s="440" t="str">
        <f>IF(CQ67="","",+SUMIF('Argus Drop'!$D$7:$D$64,$A67,'Argus Drop'!CJ$12:CJ$64))</f>
        <v/>
      </c>
      <c r="CS67" s="440" t="str">
        <f>IF(CR67="","",+SUMIF('Argus Drop'!$D$7:$D$64,$A67,'Argus Drop'!CK$12:CK$64))</f>
        <v/>
      </c>
      <c r="CT67" s="440" t="str">
        <f>IF(CS67="","",+SUMIF('Argus Drop'!$D$7:$D$64,$A67,'Argus Drop'!CL$12:CL$64))</f>
        <v/>
      </c>
      <c r="CU67" s="440" t="str">
        <f>IF(CT67="","",+SUMIF('Argus Drop'!$D$7:$D$64,$A67,'Argus Drop'!CM$12:CM$64))</f>
        <v/>
      </c>
      <c r="CV67" s="440" t="str">
        <f>IF(CU67="","",+SUMIF('Argus Drop'!$D$7:$D$64,$A67,'Argus Drop'!CN$12:CN$64))</f>
        <v/>
      </c>
      <c r="CW67" s="440" t="str">
        <f>IF(CV67="","",+SUMIF('Argus Drop'!$D$7:$D$64,$A67,'Argus Drop'!CO$12:CO$64))</f>
        <v/>
      </c>
      <c r="CX67" s="440" t="str">
        <f>IF(CW67="","",+SUMIF('Argus Drop'!$D$7:$D$64,$A67,'Argus Drop'!CP$12:CP$64))</f>
        <v/>
      </c>
      <c r="CY67" s="440" t="str">
        <f>IF(CX67="","",+SUMIF('Argus Drop'!$D$7:$D$64,$A67,'Argus Drop'!CQ$12:CQ$64))</f>
        <v/>
      </c>
      <c r="CZ67" s="440" t="str">
        <f>IF(CY67="","",+SUMIF('Argus Drop'!$D$7:$D$64,$A67,'Argus Drop'!CR$12:CR$64))</f>
        <v/>
      </c>
      <c r="DA67" s="440" t="str">
        <f>IF(CZ67="","",+SUMIF('Argus Drop'!$D$7:$D$64,$A67,'Argus Drop'!#REF!))</f>
        <v/>
      </c>
      <c r="DB67" s="440" t="str">
        <f>IF(DA67="","",+SUMIF('Argus Drop'!$D$7:$D$64,$A67,'Argus Drop'!CS$12:CS$64))</f>
        <v/>
      </c>
      <c r="DC67" s="440" t="str">
        <f>IF(DB67="","",+SUMIF('Argus Drop'!$D$7:$D$64,$A67,'Argus Drop'!CT$12:CT$64))</f>
        <v/>
      </c>
      <c r="DD67" s="440" t="str">
        <f>IF(DC67="","",+SUMIF('Argus Drop'!$D$7:$D$64,$A67,'Argus Drop'!CU$12:CU$64))</f>
        <v/>
      </c>
      <c r="DE67" s="440" t="str">
        <f>IF(DD67="","",+SUMIF('Argus Drop'!$D$7:$D$64,$A67,'Argus Drop'!CV$12:CV$64))</f>
        <v/>
      </c>
      <c r="DF67" s="440" t="str">
        <f>IF(DE67="","",+SUMIF('Argus Drop'!$D$7:$D$64,$A67,'Argus Drop'!CW$12:CW$64))</f>
        <v/>
      </c>
      <c r="DG67" s="440" t="str">
        <f>IF(DF67="","",+SUMIF('Argus Drop'!$D$7:$D$64,$A67,'Argus Drop'!CX$12:CX$64))</f>
        <v/>
      </c>
      <c r="DH67" s="440" t="str">
        <f>IF(DG67="","",+SUMIF('Argus Drop'!$D$7:$D$64,$A67,'Argus Drop'!CY$12:CY$64))</f>
        <v/>
      </c>
      <c r="DI67" s="440" t="str">
        <f>IF(DH67="","",+SUMIF('Argus Drop'!$D$7:$D$64,$A67,'Argus Drop'!CZ$12:CZ$64))</f>
        <v/>
      </c>
      <c r="DJ67" s="440" t="str">
        <f>IF(DI67="","",+SUMIF('Argus Drop'!$D$7:$D$64,$A67,'Argus Drop'!DA$12:DA$64))</f>
        <v/>
      </c>
      <c r="DK67" s="440" t="str">
        <f>IF(DJ67="","",+SUMIF('Argus Drop'!$D$7:$D$64,$A67,'Argus Drop'!DB$12:DB$64))</f>
        <v/>
      </c>
      <c r="DL67" s="440" t="str">
        <f>IF(DK67="","",+SUMIF('Argus Drop'!$D$7:$D$64,$A67,'Argus Drop'!DC$12:DC$64))</f>
        <v/>
      </c>
      <c r="DM67" s="440" t="str">
        <f>IF(DL67="","",+SUMIF('Argus Drop'!$D$7:$D$64,$A67,'Argus Drop'!DD$12:DD$64))</f>
        <v/>
      </c>
      <c r="DN67" s="440" t="str">
        <f>IF(DM67="","",+SUMIF('Argus Drop'!$D$7:$D$64,$A67,'Argus Drop'!#REF!))</f>
        <v/>
      </c>
      <c r="DO67" s="440" t="str">
        <f>IF(DN67="","",+SUMIF('Argus Drop'!$D$7:$D$64,$A67,'Argus Drop'!DE$12:DE$64))</f>
        <v/>
      </c>
      <c r="DP67" s="440" t="str">
        <f>IF(DO67="","",+SUMIF('Argus Drop'!$D$7:$D$64,$A67,'Argus Drop'!DF$12:DF$64))</f>
        <v/>
      </c>
      <c r="DQ67" s="440" t="str">
        <f>IF(DP67="","",+SUMIF('Argus Drop'!$D$7:$D$64,$A67,'Argus Drop'!DG$12:DG$64))</f>
        <v/>
      </c>
      <c r="DR67" s="440" t="str">
        <f>IF(DQ67="","",+SUMIF('Argus Drop'!$D$7:$D$64,$A67,'Argus Drop'!DH$12:DH$64))</f>
        <v/>
      </c>
      <c r="DS67" s="440"/>
      <c r="DT67" s="440"/>
      <c r="DU67" s="440"/>
      <c r="DV67" s="440"/>
      <c r="DW67" s="440"/>
      <c r="DX67" s="440"/>
      <c r="DY67" s="440"/>
      <c r="DZ67" s="440"/>
      <c r="EA67" s="440"/>
      <c r="EB67" s="440"/>
      <c r="EC67" s="440"/>
      <c r="ED67" s="1419"/>
      <c r="EE67" s="1419"/>
      <c r="EF67" s="1419"/>
      <c r="EG67" s="1419"/>
      <c r="EH67" s="1419"/>
      <c r="EI67" s="1419"/>
      <c r="EJ67" s="1419"/>
      <c r="EK67" s="1419"/>
      <c r="EL67" s="1419"/>
      <c r="EM67" s="1419"/>
      <c r="EN67" s="1419"/>
      <c r="EO67" s="1419"/>
      <c r="EP67" s="1419"/>
      <c r="EQ67" s="1419"/>
      <c r="ER67" s="1419"/>
      <c r="ES67" s="1419"/>
      <c r="ET67" s="1419"/>
      <c r="EU67" s="1419"/>
      <c r="EV67" s="1419"/>
      <c r="EW67" s="1419"/>
      <c r="EX67" s="1419"/>
      <c r="EY67" s="1419"/>
      <c r="EZ67" s="1419"/>
      <c r="FA67" s="1419"/>
      <c r="FB67" s="1419"/>
      <c r="FC67" s="1419"/>
      <c r="FD67" s="1419"/>
      <c r="FE67" s="1419"/>
      <c r="FF67" s="1419"/>
      <c r="FG67" s="1419"/>
      <c r="FH67" s="1419"/>
      <c r="FI67" s="1419"/>
    </row>
    <row r="68" spans="1:165">
      <c r="A68" s="448" t="str">
        <f>IF(+'Argus Drop'!B72="","",'Argus Drop'!B72)</f>
        <v/>
      </c>
      <c r="B68" s="440" t="str">
        <f>IF(A68="","",+SUMIF('Argus Drop'!$D$7:$D$64,$A68,'Argus Drop'!#REF!))</f>
        <v/>
      </c>
      <c r="C68" s="440" t="str">
        <f>IF(B68="","",+SUMIF('Argus Drop'!$D$7:$D$64,$A68,'Argus Drop'!#REF!))</f>
        <v/>
      </c>
      <c r="D68" s="440" t="str">
        <f>IF(C68="","",+SUMIF('Argus Drop'!$D$7:$D$64,$A68,'Argus Drop'!#REF!))</f>
        <v/>
      </c>
      <c r="E68" s="440" t="str">
        <f>IF(D68="","",+SUMIF('Argus Drop'!$D$7:$D$64,$A68,'Argus Drop'!#REF!))</f>
        <v/>
      </c>
      <c r="F68" s="440" t="str">
        <f>IF(E68="","",+SUMIF('Argus Drop'!$D$7:$D$64,$A68,'Argus Drop'!#REF!))</f>
        <v/>
      </c>
      <c r="G68" s="440" t="str">
        <f>IF(F68="","",+SUMIF('Argus Drop'!$D$7:$D$64,$A68,'Argus Drop'!F$7:F$64))</f>
        <v/>
      </c>
      <c r="H68" s="440" t="str">
        <f>IF(G68="","",+SUMIF('Argus Drop'!$D$7:$D$64,$A68,'Argus Drop'!G$12:G$64))</f>
        <v/>
      </c>
      <c r="I68" s="440" t="str">
        <f>IF(H68="","",+SUMIF('Argus Drop'!$D$7:$D$64,$A68,'Argus Drop'!H$12:H$64))</f>
        <v/>
      </c>
      <c r="J68" s="440" t="str">
        <f>IF(I68="","",+SUMIF('Argus Drop'!$D$7:$D$64,$A68,'Argus Drop'!I$12:I$64))</f>
        <v/>
      </c>
      <c r="K68" s="440" t="str">
        <f>IF(J68="","",+SUMIF('Argus Drop'!$D$7:$D$64,$A68,'Argus Drop'!J$12:J$64))</f>
        <v/>
      </c>
      <c r="L68" s="440" t="str">
        <f>IF(K68="","",+SUMIF('Argus Drop'!$D$7:$D$64,$A68,'Argus Drop'!K$12:K$64))</f>
        <v/>
      </c>
      <c r="M68" s="440" t="str">
        <f>IF(L68="","",+SUMIF('Argus Drop'!$D$7:$D$64,$A68,'Argus Drop'!L$12:L$64))</f>
        <v/>
      </c>
      <c r="N68" s="440" t="str">
        <f>IF(M68="","",+SUMIF('Argus Drop'!$D$7:$D$64,$A68,'Argus Drop'!#REF!))</f>
        <v/>
      </c>
      <c r="O68" s="440" t="str">
        <f>IF(N68="","",+SUMIF('Argus Drop'!$D$7:$D$64,$A68,'Argus Drop'!M$12:M$64))</f>
        <v/>
      </c>
      <c r="P68" s="440" t="str">
        <f>IF(O68="","",+SUMIF('Argus Drop'!$D$7:$D$64,$A68,'Argus Drop'!N$12:N$64))</f>
        <v/>
      </c>
      <c r="Q68" s="440" t="str">
        <f>IF(P68="","",+SUMIF('Argus Drop'!$D$7:$D$64,$A68,'Argus Drop'!O$12:O$64))</f>
        <v/>
      </c>
      <c r="R68" s="440" t="str">
        <f>IF(Q68="","",+SUMIF('Argus Drop'!$D$7:$D$64,$A68,'Argus Drop'!P$12:P$64))</f>
        <v/>
      </c>
      <c r="S68" s="440" t="str">
        <f>IF(R68="","",+SUMIF('Argus Drop'!$D$7:$D$64,$A68,'Argus Drop'!Q$12:Q$64))</f>
        <v/>
      </c>
      <c r="T68" s="440" t="str">
        <f>IF(S68="","",+SUMIF('Argus Drop'!$D$7:$D$64,$A68,'Argus Drop'!R$12:R$64))</f>
        <v/>
      </c>
      <c r="U68" s="440" t="str">
        <f>IF(T68="","",+SUMIF('Argus Drop'!$D$7:$D$64,$A68,'Argus Drop'!S$12:S$64))</f>
        <v/>
      </c>
      <c r="V68" s="440" t="str">
        <f>IF(U68="","",+SUMIF('Argus Drop'!$D$7:$D$64,$A68,'Argus Drop'!T$12:T$64))</f>
        <v/>
      </c>
      <c r="W68" s="440" t="str">
        <f>IF(V68="","",+SUMIF('Argus Drop'!$D$7:$D$64,$A68,'Argus Drop'!U$12:U$64))</f>
        <v/>
      </c>
      <c r="X68" s="440" t="str">
        <f>IF(W68="","",+SUMIF('Argus Drop'!$D$7:$D$64,$A68,'Argus Drop'!V$12:V$64))</f>
        <v/>
      </c>
      <c r="Y68" s="440" t="str">
        <f>IF(X68="","",+SUMIF('Argus Drop'!$D$7:$D$64,$A68,'Argus Drop'!W$12:W$64))</f>
        <v/>
      </c>
      <c r="Z68" s="440" t="str">
        <f>IF(Y68="","",+SUMIF('Argus Drop'!$D$7:$D$64,$A68,'Argus Drop'!X$12:X$64))</f>
        <v/>
      </c>
      <c r="AA68" s="440" t="str">
        <f>IF(Z68="","",+SUMIF('Argus Drop'!$D$7:$D$64,$A68,'Argus Drop'!#REF!))</f>
        <v/>
      </c>
      <c r="AB68" s="440" t="str">
        <f>IF(AA68="","",+SUMIF('Argus Drop'!$D$7:$D$64,$A68,'Argus Drop'!Y$12:Y$64))</f>
        <v/>
      </c>
      <c r="AC68" s="440" t="str">
        <f>IF(AB68="","",+SUMIF('Argus Drop'!$D$7:$D$64,$A68,'Argus Drop'!Z$12:Z$64))</f>
        <v/>
      </c>
      <c r="AD68" s="440" t="str">
        <f>IF(AC68="","",+SUMIF('Argus Drop'!$D$7:$D$64,$A68,'Argus Drop'!AA$12:AA$64))</f>
        <v/>
      </c>
      <c r="AE68" s="440" t="str">
        <f>IF(AD68="","",+SUMIF('Argus Drop'!$D$7:$D$64,$A68,'Argus Drop'!AB$12:AB$64))</f>
        <v/>
      </c>
      <c r="AF68" s="440" t="str">
        <f>IF(AE68="","",+SUMIF('Argus Drop'!$D$7:$D$64,$A68,'Argus Drop'!AC$12:AC$64))</f>
        <v/>
      </c>
      <c r="AG68" s="440" t="str">
        <f>IF(AF68="","",+SUMIF('Argus Drop'!$D$7:$D$64,$A68,'Argus Drop'!AD$12:AD$64))</f>
        <v/>
      </c>
      <c r="AH68" s="440" t="str">
        <f>IF(AG68="","",+SUMIF('Argus Drop'!$D$7:$D$64,$A68,'Argus Drop'!AE$12:AE$64))</f>
        <v/>
      </c>
      <c r="AI68" s="440" t="str">
        <f>IF(AH68="","",+SUMIF('Argus Drop'!$D$7:$D$64,$A68,'Argus Drop'!AF$12:AF$64))</f>
        <v/>
      </c>
      <c r="AJ68" s="440" t="str">
        <f>IF(AI68="","",+SUMIF('Argus Drop'!$D$7:$D$64,$A68,'Argus Drop'!AG$12:AG$64))</f>
        <v/>
      </c>
      <c r="AK68" s="440" t="str">
        <f>IF(AJ68="","",+SUMIF('Argus Drop'!$D$7:$D$64,$A68,'Argus Drop'!AH$12:AH$64))</f>
        <v/>
      </c>
      <c r="AL68" s="440" t="str">
        <f>IF(AK68="","",+SUMIF('Argus Drop'!$D$7:$D$64,$A68,'Argus Drop'!AI$12:AI$64))</f>
        <v/>
      </c>
      <c r="AM68" s="440" t="str">
        <f>IF(AL68="","",+SUMIF('Argus Drop'!$D$7:$D$64,$A68,'Argus Drop'!AJ$12:AJ$64))</f>
        <v/>
      </c>
      <c r="AN68" s="440" t="str">
        <f>IF(AM68="","",+SUMIF('Argus Drop'!$D$7:$D$64,$A68,'Argus Drop'!#REF!))</f>
        <v/>
      </c>
      <c r="AO68" s="440" t="str">
        <f>IF(AN68="","",+SUMIF('Argus Drop'!$D$7:$D$64,$A68,'Argus Drop'!AK$12:AK$64))</f>
        <v/>
      </c>
      <c r="AP68" s="440" t="str">
        <f>IF(AO68="","",+SUMIF('Argus Drop'!$D$7:$D$64,$A68,'Argus Drop'!AL$12:AL$64))</f>
        <v/>
      </c>
      <c r="AQ68" s="440" t="str">
        <f>IF(AP68="","",+SUMIF('Argus Drop'!$D$7:$D$64,$A68,'Argus Drop'!AM$12:AM$64))</f>
        <v/>
      </c>
      <c r="AR68" s="440" t="str">
        <f>IF(AQ68="","",+SUMIF('Argus Drop'!$D$7:$D$64,$A68,'Argus Drop'!AN$12:AN$64))</f>
        <v/>
      </c>
      <c r="AS68" s="440" t="str">
        <f>IF(AR68="","",+SUMIF('Argus Drop'!$D$7:$D$64,$A68,'Argus Drop'!AO$12:AO$64))</f>
        <v/>
      </c>
      <c r="AT68" s="440" t="str">
        <f>IF(AS68="","",+SUMIF('Argus Drop'!$D$7:$D$64,$A68,'Argus Drop'!AP$12:AP$64))</f>
        <v/>
      </c>
      <c r="AU68" s="440" t="str">
        <f>IF(AT68="","",+SUMIF('Argus Drop'!$D$7:$D$64,$A68,'Argus Drop'!AQ$12:AQ$64))</f>
        <v/>
      </c>
      <c r="AV68" s="440" t="str">
        <f>IF(AU68="","",+SUMIF('Argus Drop'!$D$7:$D$64,$A68,'Argus Drop'!AR$12:AR$64))</f>
        <v/>
      </c>
      <c r="AW68" s="440" t="str">
        <f>IF(AV68="","",+SUMIF('Argus Drop'!$D$7:$D$64,$A68,'Argus Drop'!AS$12:AS$64))</f>
        <v/>
      </c>
      <c r="AX68" s="440" t="str">
        <f>IF(AW68="","",+SUMIF('Argus Drop'!$D$7:$D$64,$A68,'Argus Drop'!AT$12:AT$64))</f>
        <v/>
      </c>
      <c r="AY68" s="440" t="str">
        <f>IF(AX68="","",+SUMIF('Argus Drop'!$D$7:$D$64,$A68,'Argus Drop'!AU$12:AU$64))</f>
        <v/>
      </c>
      <c r="AZ68" s="440" t="str">
        <f>IF(AY68="","",+SUMIF('Argus Drop'!$D$7:$D$64,$A68,'Argus Drop'!AV$12:AV$64))</f>
        <v/>
      </c>
      <c r="BA68" s="440" t="str">
        <f>IF(AZ68="","",+SUMIF('Argus Drop'!$D$7:$D$64,$A68,'Argus Drop'!#REF!))</f>
        <v/>
      </c>
      <c r="BB68" s="440" t="str">
        <f>IF(BA68="","",+SUMIF('Argus Drop'!$D$7:$D$64,$A68,'Argus Drop'!AW$12:AW$64))</f>
        <v/>
      </c>
      <c r="BC68" s="440" t="str">
        <f>IF(BB68="","",+SUMIF('Argus Drop'!$D$7:$D$64,$A68,'Argus Drop'!AX$12:AX$64))</f>
        <v/>
      </c>
      <c r="BD68" s="440" t="str">
        <f>IF(BC68="","",+SUMIF('Argus Drop'!$D$7:$D$64,$A68,'Argus Drop'!AY$12:AY$64))</f>
        <v/>
      </c>
      <c r="BE68" s="440" t="str">
        <f>IF(BD68="","",+SUMIF('Argus Drop'!$D$7:$D$64,$A68,'Argus Drop'!AZ$12:AZ$64))</f>
        <v/>
      </c>
      <c r="BF68" s="440" t="str">
        <f>IF(BE68="","",+SUMIF('Argus Drop'!$D$7:$D$64,$A68,'Argus Drop'!BA$12:BA$64))</f>
        <v/>
      </c>
      <c r="BG68" s="440" t="str">
        <f>IF(BF68="","",+SUMIF('Argus Drop'!$D$7:$D$64,$A68,'Argus Drop'!BB$12:BB$64))</f>
        <v/>
      </c>
      <c r="BH68" s="440" t="str">
        <f>IF(BG68="","",+SUMIF('Argus Drop'!$D$7:$D$64,$A68,'Argus Drop'!BC$12:BC$64))</f>
        <v/>
      </c>
      <c r="BI68" s="440" t="str">
        <f>IF(BH68="","",+SUMIF('Argus Drop'!$D$7:$D$64,$A68,'Argus Drop'!BD$12:BD$64))</f>
        <v/>
      </c>
      <c r="BJ68" s="440" t="str">
        <f>IF(BI68="","",+SUMIF('Argus Drop'!$D$7:$D$64,$A68,'Argus Drop'!BE$12:BE$64))</f>
        <v/>
      </c>
      <c r="BK68" s="440" t="str">
        <f>IF(BJ68="","",+SUMIF('Argus Drop'!$D$7:$D$64,$A68,'Argus Drop'!BF$12:BF$64))</f>
        <v/>
      </c>
      <c r="BL68" s="440" t="str">
        <f>IF(BK68="","",+SUMIF('Argus Drop'!$D$7:$D$64,$A68,'Argus Drop'!BG$12:BG$64))</f>
        <v/>
      </c>
      <c r="BM68" s="440" t="str">
        <f>IF(BL68="","",+SUMIF('Argus Drop'!$D$7:$D$64,$A68,'Argus Drop'!BH$12:BH$64))</f>
        <v/>
      </c>
      <c r="BN68" s="440" t="str">
        <f>IF(BM68="","",+SUMIF('Argus Drop'!$D$7:$D$64,$A68,'Argus Drop'!#REF!))</f>
        <v/>
      </c>
      <c r="BO68" s="440" t="str">
        <f>IF(BN68="","",+SUMIF('Argus Drop'!$D$7:$D$64,$A68,'Argus Drop'!BI$12:BI$64))</f>
        <v/>
      </c>
      <c r="BP68" s="440" t="str">
        <f>IF(BO68="","",+SUMIF('Argus Drop'!$D$7:$D$64,$A68,'Argus Drop'!BJ$12:BJ$64))</f>
        <v/>
      </c>
      <c r="BQ68" s="440" t="str">
        <f>IF(BP68="","",+SUMIF('Argus Drop'!$D$7:$D$64,$A68,'Argus Drop'!BK$12:BK$64))</f>
        <v/>
      </c>
      <c r="BR68" s="440" t="str">
        <f>IF(BQ68="","",+SUMIF('Argus Drop'!$D$7:$D$64,$A68,'Argus Drop'!BL$12:BL$64))</f>
        <v/>
      </c>
      <c r="BS68" s="440" t="str">
        <f>IF(BR68="","",+SUMIF('Argus Drop'!$D$7:$D$64,$A68,'Argus Drop'!BM$12:BM$64))</f>
        <v/>
      </c>
      <c r="BT68" s="440" t="str">
        <f>IF(BS68="","",+SUMIF('Argus Drop'!$D$7:$D$64,$A68,'Argus Drop'!BN$12:BN$64))</f>
        <v/>
      </c>
      <c r="BU68" s="440" t="str">
        <f>IF(BT68="","",+SUMIF('Argus Drop'!$D$7:$D$64,$A68,'Argus Drop'!BO$12:BO$64))</f>
        <v/>
      </c>
      <c r="BV68" s="440" t="str">
        <f>IF(BU68="","",+SUMIF('Argus Drop'!$D$7:$D$64,$A68,'Argus Drop'!BP$12:BP$64))</f>
        <v/>
      </c>
      <c r="BW68" s="440" t="str">
        <f>IF(BV68="","",+SUMIF('Argus Drop'!$D$7:$D$64,$A68,'Argus Drop'!BQ$12:BQ$64))</f>
        <v/>
      </c>
      <c r="BX68" s="440" t="str">
        <f>IF(BW68="","",+SUMIF('Argus Drop'!$D$7:$D$64,$A68,'Argus Drop'!BR$12:BR$64))</f>
        <v/>
      </c>
      <c r="BY68" s="440" t="str">
        <f>IF(BX68="","",+SUMIF('Argus Drop'!$D$7:$D$64,$A68,'Argus Drop'!BS$12:BS$64))</f>
        <v/>
      </c>
      <c r="BZ68" s="440" t="str">
        <f>IF(BY68="","",+SUMIF('Argus Drop'!$D$7:$D$64,$A68,'Argus Drop'!BT$12:BT$64))</f>
        <v/>
      </c>
      <c r="CA68" s="440" t="str">
        <f>IF(BZ68="","",+SUMIF('Argus Drop'!$D$7:$D$64,$A68,'Argus Drop'!#REF!))</f>
        <v/>
      </c>
      <c r="CB68" s="440" t="str">
        <f>IF(CA68="","",+SUMIF('Argus Drop'!$D$7:$D$64,$A68,'Argus Drop'!BU$12:BU$64))</f>
        <v/>
      </c>
      <c r="CC68" s="440" t="str">
        <f>IF(CB68="","",+SUMIF('Argus Drop'!$D$7:$D$64,$A68,'Argus Drop'!BV$12:BV$64))</f>
        <v/>
      </c>
      <c r="CD68" s="440" t="str">
        <f>IF(CC68="","",+SUMIF('Argus Drop'!$D$7:$D$64,$A68,'Argus Drop'!BW$12:BW$64))</f>
        <v/>
      </c>
      <c r="CE68" s="440" t="str">
        <f>IF(CD68="","",+SUMIF('Argus Drop'!$D$7:$D$64,$A68,'Argus Drop'!BX$12:BX$64))</f>
        <v/>
      </c>
      <c r="CF68" s="440" t="str">
        <f>IF(CE68="","",+SUMIF('Argus Drop'!$D$7:$D$64,$A68,'Argus Drop'!BY$12:BY$64))</f>
        <v/>
      </c>
      <c r="CG68" s="440" t="str">
        <f>IF(CF68="","",+SUMIF('Argus Drop'!$D$7:$D$64,$A68,'Argus Drop'!BZ$12:BZ$64))</f>
        <v/>
      </c>
      <c r="CH68" s="440" t="str">
        <f>IF(CG68="","",+SUMIF('Argus Drop'!$D$7:$D$64,$A68,'Argus Drop'!CA$12:CA$64))</f>
        <v/>
      </c>
      <c r="CI68" s="440" t="str">
        <f>IF(CH68="","",+SUMIF('Argus Drop'!$D$7:$D$64,$A68,'Argus Drop'!CB$12:CB$64))</f>
        <v/>
      </c>
      <c r="CJ68" s="440" t="str">
        <f>IF(CI68="","",+SUMIF('Argus Drop'!$D$7:$D$64,$A68,'Argus Drop'!CC$12:CC$64))</f>
        <v/>
      </c>
      <c r="CK68" s="440" t="str">
        <f>IF(CJ68="","",+SUMIF('Argus Drop'!$D$7:$D$64,$A68,'Argus Drop'!CD$12:CD$64))</f>
        <v/>
      </c>
      <c r="CL68" s="440" t="str">
        <f>IF(CK68="","",+SUMIF('Argus Drop'!$D$7:$D$64,$A68,'Argus Drop'!CE$12:CE$64))</f>
        <v/>
      </c>
      <c r="CM68" s="440" t="str">
        <f>IF(CL68="","",+SUMIF('Argus Drop'!$D$7:$D$64,$A68,'Argus Drop'!CF$12:CF$64))</f>
        <v/>
      </c>
      <c r="CN68" s="440" t="str">
        <f>IF(CM68="","",+SUMIF('Argus Drop'!$D$7:$D$64,$A68,'Argus Drop'!#REF!))</f>
        <v/>
      </c>
      <c r="CO68" s="440" t="str">
        <f>IF(CN68="","",+SUMIF('Argus Drop'!$D$7:$D$64,$A68,'Argus Drop'!CG$12:CG$64))</f>
        <v/>
      </c>
      <c r="CP68" s="440" t="str">
        <f>IF(CO68="","",+SUMIF('Argus Drop'!$D$7:$D$64,$A68,'Argus Drop'!CH$12:CH$64))</f>
        <v/>
      </c>
      <c r="CQ68" s="440" t="str">
        <f>IF(CP68="","",+SUMIF('Argus Drop'!$D$7:$D$64,$A68,'Argus Drop'!CI$12:CI$64))</f>
        <v/>
      </c>
      <c r="CR68" s="440" t="str">
        <f>IF(CQ68="","",+SUMIF('Argus Drop'!$D$7:$D$64,$A68,'Argus Drop'!CJ$12:CJ$64))</f>
        <v/>
      </c>
      <c r="CS68" s="440" t="str">
        <f>IF(CR68="","",+SUMIF('Argus Drop'!$D$7:$D$64,$A68,'Argus Drop'!CK$12:CK$64))</f>
        <v/>
      </c>
      <c r="CT68" s="440" t="str">
        <f>IF(CS68="","",+SUMIF('Argus Drop'!$D$7:$D$64,$A68,'Argus Drop'!CL$12:CL$64))</f>
        <v/>
      </c>
      <c r="CU68" s="440" t="str">
        <f>IF(CT68="","",+SUMIF('Argus Drop'!$D$7:$D$64,$A68,'Argus Drop'!CM$12:CM$64))</f>
        <v/>
      </c>
      <c r="CV68" s="440" t="str">
        <f>IF(CU68="","",+SUMIF('Argus Drop'!$D$7:$D$64,$A68,'Argus Drop'!CN$12:CN$64))</f>
        <v/>
      </c>
      <c r="CW68" s="440" t="str">
        <f>IF(CV68="","",+SUMIF('Argus Drop'!$D$7:$D$64,$A68,'Argus Drop'!CO$12:CO$64))</f>
        <v/>
      </c>
      <c r="CX68" s="440" t="str">
        <f>IF(CW68="","",+SUMIF('Argus Drop'!$D$7:$D$64,$A68,'Argus Drop'!CP$12:CP$64))</f>
        <v/>
      </c>
      <c r="CY68" s="440" t="str">
        <f>IF(CX68="","",+SUMIF('Argus Drop'!$D$7:$D$64,$A68,'Argus Drop'!CQ$12:CQ$64))</f>
        <v/>
      </c>
      <c r="CZ68" s="440" t="str">
        <f>IF(CY68="","",+SUMIF('Argus Drop'!$D$7:$D$64,$A68,'Argus Drop'!CR$12:CR$64))</f>
        <v/>
      </c>
      <c r="DA68" s="440" t="str">
        <f>IF(CZ68="","",+SUMIF('Argus Drop'!$D$7:$D$64,$A68,'Argus Drop'!#REF!))</f>
        <v/>
      </c>
      <c r="DB68" s="440" t="str">
        <f>IF(DA68="","",+SUMIF('Argus Drop'!$D$7:$D$64,$A68,'Argus Drop'!CS$12:CS$64))</f>
        <v/>
      </c>
      <c r="DC68" s="440" t="str">
        <f>IF(DB68="","",+SUMIF('Argus Drop'!$D$7:$D$64,$A68,'Argus Drop'!CT$12:CT$64))</f>
        <v/>
      </c>
      <c r="DD68" s="440" t="str">
        <f>IF(DC68="","",+SUMIF('Argus Drop'!$D$7:$D$64,$A68,'Argus Drop'!CU$12:CU$64))</f>
        <v/>
      </c>
      <c r="DE68" s="440" t="str">
        <f>IF(DD68="","",+SUMIF('Argus Drop'!$D$7:$D$64,$A68,'Argus Drop'!CV$12:CV$64))</f>
        <v/>
      </c>
      <c r="DF68" s="440" t="str">
        <f>IF(DE68="","",+SUMIF('Argus Drop'!$D$7:$D$64,$A68,'Argus Drop'!CW$12:CW$64))</f>
        <v/>
      </c>
      <c r="DG68" s="440" t="str">
        <f>IF(DF68="","",+SUMIF('Argus Drop'!$D$7:$D$64,$A68,'Argus Drop'!CX$12:CX$64))</f>
        <v/>
      </c>
      <c r="DH68" s="440" t="str">
        <f>IF(DG68="","",+SUMIF('Argus Drop'!$D$7:$D$64,$A68,'Argus Drop'!CY$12:CY$64))</f>
        <v/>
      </c>
      <c r="DI68" s="440" t="str">
        <f>IF(DH68="","",+SUMIF('Argus Drop'!$D$7:$D$64,$A68,'Argus Drop'!CZ$12:CZ$64))</f>
        <v/>
      </c>
      <c r="DJ68" s="440" t="str">
        <f>IF(DI68="","",+SUMIF('Argus Drop'!$D$7:$D$64,$A68,'Argus Drop'!DA$12:DA$64))</f>
        <v/>
      </c>
      <c r="DK68" s="440" t="str">
        <f>IF(DJ68="","",+SUMIF('Argus Drop'!$D$7:$D$64,$A68,'Argus Drop'!DB$12:DB$64))</f>
        <v/>
      </c>
      <c r="DL68" s="440" t="str">
        <f>IF(DK68="","",+SUMIF('Argus Drop'!$D$7:$D$64,$A68,'Argus Drop'!DC$12:DC$64))</f>
        <v/>
      </c>
      <c r="DM68" s="440" t="str">
        <f>IF(DL68="","",+SUMIF('Argus Drop'!$D$7:$D$64,$A68,'Argus Drop'!DD$12:DD$64))</f>
        <v/>
      </c>
      <c r="DN68" s="440" t="str">
        <f>IF(DM68="","",+SUMIF('Argus Drop'!$D$7:$D$64,$A68,'Argus Drop'!#REF!))</f>
        <v/>
      </c>
      <c r="DO68" s="440" t="str">
        <f>IF(DN68="","",+SUMIF('Argus Drop'!$D$7:$D$64,$A68,'Argus Drop'!DE$12:DE$64))</f>
        <v/>
      </c>
      <c r="DP68" s="440" t="str">
        <f>IF(DO68="","",+SUMIF('Argus Drop'!$D$7:$D$64,$A68,'Argus Drop'!DF$12:DF$64))</f>
        <v/>
      </c>
      <c r="DQ68" s="440" t="str">
        <f>IF(DP68="","",+SUMIF('Argus Drop'!$D$7:$D$64,$A68,'Argus Drop'!DG$12:DG$64))</f>
        <v/>
      </c>
      <c r="DR68" s="440" t="str">
        <f>IF(DQ68="","",+SUMIF('Argus Drop'!$D$7:$D$64,$A68,'Argus Drop'!DH$12:DH$64))</f>
        <v/>
      </c>
      <c r="DS68" s="440"/>
      <c r="DT68" s="440"/>
      <c r="DU68" s="440"/>
      <c r="DV68" s="440"/>
      <c r="DW68" s="440"/>
      <c r="DX68" s="440"/>
      <c r="DY68" s="440"/>
      <c r="DZ68" s="440"/>
      <c r="EA68" s="440"/>
      <c r="EB68" s="440"/>
      <c r="EC68" s="440"/>
      <c r="ED68" s="1419"/>
      <c r="EE68" s="1419"/>
      <c r="EF68" s="1419"/>
      <c r="EG68" s="1419"/>
      <c r="EH68" s="1419"/>
      <c r="EI68" s="1419"/>
      <c r="EJ68" s="1419"/>
      <c r="EK68" s="1419"/>
      <c r="EL68" s="1419"/>
      <c r="EM68" s="1419"/>
      <c r="EN68" s="1419"/>
      <c r="EO68" s="1419"/>
      <c r="EP68" s="1419"/>
      <c r="EQ68" s="1419"/>
      <c r="ER68" s="1419"/>
      <c r="ES68" s="1419"/>
      <c r="ET68" s="1419"/>
      <c r="EU68" s="1419"/>
      <c r="EV68" s="1419"/>
      <c r="EW68" s="1419"/>
      <c r="EX68" s="1419"/>
      <c r="EY68" s="1419"/>
      <c r="EZ68" s="1419"/>
      <c r="FA68" s="1419"/>
      <c r="FB68" s="1419"/>
      <c r="FC68" s="1419"/>
      <c r="FD68" s="1419"/>
      <c r="FE68" s="1419"/>
      <c r="FF68" s="1419"/>
      <c r="FG68" s="1419"/>
      <c r="FH68" s="1419"/>
      <c r="FI68" s="1419"/>
    </row>
    <row r="69" spans="1:165">
      <c r="A69" s="448" t="str">
        <f>IF(+'Argus Drop'!B73="","",'Argus Drop'!B73)</f>
        <v/>
      </c>
      <c r="B69" s="440" t="str">
        <f>IF(A69="","",+SUMIF('Argus Drop'!$D$7:$D$64,$A69,'Argus Drop'!#REF!))</f>
        <v/>
      </c>
      <c r="C69" s="440" t="str">
        <f>IF(B69="","",+SUMIF('Argus Drop'!$D$7:$D$64,$A69,'Argus Drop'!#REF!))</f>
        <v/>
      </c>
      <c r="D69" s="440" t="str">
        <f>IF(C69="","",+SUMIF('Argus Drop'!$D$7:$D$64,$A69,'Argus Drop'!#REF!))</f>
        <v/>
      </c>
      <c r="E69" s="440" t="str">
        <f>IF(D69="","",+SUMIF('Argus Drop'!$D$7:$D$64,$A69,'Argus Drop'!#REF!))</f>
        <v/>
      </c>
      <c r="F69" s="440" t="str">
        <f>IF(E69="","",+SUMIF('Argus Drop'!$D$7:$D$64,$A69,'Argus Drop'!#REF!))</f>
        <v/>
      </c>
      <c r="G69" s="440" t="str">
        <f>IF(F69="","",+SUMIF('Argus Drop'!$D$7:$D$64,$A69,'Argus Drop'!F$7:F$64))</f>
        <v/>
      </c>
      <c r="H69" s="440" t="str">
        <f>IF(G69="","",+SUMIF('Argus Drop'!$D$7:$D$64,$A69,'Argus Drop'!G$12:G$64))</f>
        <v/>
      </c>
      <c r="I69" s="440" t="str">
        <f>IF(H69="","",+SUMIF('Argus Drop'!$D$7:$D$64,$A69,'Argus Drop'!H$12:H$64))</f>
        <v/>
      </c>
      <c r="J69" s="440" t="str">
        <f>IF(I69="","",+SUMIF('Argus Drop'!$D$7:$D$64,$A69,'Argus Drop'!I$12:I$64))</f>
        <v/>
      </c>
      <c r="K69" s="440" t="str">
        <f>IF(J69="","",+SUMIF('Argus Drop'!$D$7:$D$64,$A69,'Argus Drop'!J$12:J$64))</f>
        <v/>
      </c>
      <c r="L69" s="440" t="str">
        <f>IF(K69="","",+SUMIF('Argus Drop'!$D$7:$D$64,$A69,'Argus Drop'!K$12:K$64))</f>
        <v/>
      </c>
      <c r="M69" s="440" t="str">
        <f>IF(L69="","",+SUMIF('Argus Drop'!$D$7:$D$64,$A69,'Argus Drop'!L$12:L$64))</f>
        <v/>
      </c>
      <c r="N69" s="440" t="str">
        <f>IF(M69="","",+SUMIF('Argus Drop'!$D$7:$D$64,$A69,'Argus Drop'!#REF!))</f>
        <v/>
      </c>
      <c r="O69" s="440" t="str">
        <f>IF(N69="","",+SUMIF('Argus Drop'!$D$7:$D$64,$A69,'Argus Drop'!M$12:M$64))</f>
        <v/>
      </c>
      <c r="P69" s="440" t="str">
        <f>IF(O69="","",+SUMIF('Argus Drop'!$D$7:$D$64,$A69,'Argus Drop'!N$12:N$64))</f>
        <v/>
      </c>
      <c r="Q69" s="440" t="str">
        <f>IF(P69="","",+SUMIF('Argus Drop'!$D$7:$D$64,$A69,'Argus Drop'!O$12:O$64))</f>
        <v/>
      </c>
      <c r="R69" s="440" t="str">
        <f>IF(Q69="","",+SUMIF('Argus Drop'!$D$7:$D$64,$A69,'Argus Drop'!P$12:P$64))</f>
        <v/>
      </c>
      <c r="S69" s="440" t="str">
        <f>IF(R69="","",+SUMIF('Argus Drop'!$D$7:$D$64,$A69,'Argus Drop'!Q$12:Q$64))</f>
        <v/>
      </c>
      <c r="T69" s="440" t="str">
        <f>IF(S69="","",+SUMIF('Argus Drop'!$D$7:$D$64,$A69,'Argus Drop'!R$12:R$64))</f>
        <v/>
      </c>
      <c r="U69" s="440" t="str">
        <f>IF(T69="","",+SUMIF('Argus Drop'!$D$7:$D$64,$A69,'Argus Drop'!S$12:S$64))</f>
        <v/>
      </c>
      <c r="V69" s="440" t="str">
        <f>IF(U69="","",+SUMIF('Argus Drop'!$D$7:$D$64,$A69,'Argus Drop'!T$12:T$64))</f>
        <v/>
      </c>
      <c r="W69" s="440" t="str">
        <f>IF(V69="","",+SUMIF('Argus Drop'!$D$7:$D$64,$A69,'Argus Drop'!U$12:U$64))</f>
        <v/>
      </c>
      <c r="X69" s="440" t="str">
        <f>IF(W69="","",+SUMIF('Argus Drop'!$D$7:$D$64,$A69,'Argus Drop'!V$12:V$64))</f>
        <v/>
      </c>
      <c r="Y69" s="440" t="str">
        <f>IF(X69="","",+SUMIF('Argus Drop'!$D$7:$D$64,$A69,'Argus Drop'!W$12:W$64))</f>
        <v/>
      </c>
      <c r="Z69" s="440" t="str">
        <f>IF(Y69="","",+SUMIF('Argus Drop'!$D$7:$D$64,$A69,'Argus Drop'!X$12:X$64))</f>
        <v/>
      </c>
      <c r="AA69" s="440" t="str">
        <f>IF(Z69="","",+SUMIF('Argus Drop'!$D$7:$D$64,$A69,'Argus Drop'!#REF!))</f>
        <v/>
      </c>
      <c r="AB69" s="440" t="str">
        <f>IF(AA69="","",+SUMIF('Argus Drop'!$D$7:$D$64,$A69,'Argus Drop'!Y$12:Y$64))</f>
        <v/>
      </c>
      <c r="AC69" s="440" t="str">
        <f>IF(AB69="","",+SUMIF('Argus Drop'!$D$7:$D$64,$A69,'Argus Drop'!Z$12:Z$64))</f>
        <v/>
      </c>
      <c r="AD69" s="440" t="str">
        <f>IF(AC69="","",+SUMIF('Argus Drop'!$D$7:$D$64,$A69,'Argus Drop'!AA$12:AA$64))</f>
        <v/>
      </c>
      <c r="AE69" s="440" t="str">
        <f>IF(AD69="","",+SUMIF('Argus Drop'!$D$7:$D$64,$A69,'Argus Drop'!AB$12:AB$64))</f>
        <v/>
      </c>
      <c r="AF69" s="440" t="str">
        <f>IF(AE69="","",+SUMIF('Argus Drop'!$D$7:$D$64,$A69,'Argus Drop'!AC$12:AC$64))</f>
        <v/>
      </c>
      <c r="AG69" s="440" t="str">
        <f>IF(AF69="","",+SUMIF('Argus Drop'!$D$7:$D$64,$A69,'Argus Drop'!AD$12:AD$64))</f>
        <v/>
      </c>
      <c r="AH69" s="440" t="str">
        <f>IF(AG69="","",+SUMIF('Argus Drop'!$D$7:$D$64,$A69,'Argus Drop'!AE$12:AE$64))</f>
        <v/>
      </c>
      <c r="AI69" s="440" t="str">
        <f>IF(AH69="","",+SUMIF('Argus Drop'!$D$7:$D$64,$A69,'Argus Drop'!AF$12:AF$64))</f>
        <v/>
      </c>
      <c r="AJ69" s="440" t="str">
        <f>IF(AI69="","",+SUMIF('Argus Drop'!$D$7:$D$64,$A69,'Argus Drop'!AG$12:AG$64))</f>
        <v/>
      </c>
      <c r="AK69" s="440" t="str">
        <f>IF(AJ69="","",+SUMIF('Argus Drop'!$D$7:$D$64,$A69,'Argus Drop'!AH$12:AH$64))</f>
        <v/>
      </c>
      <c r="AL69" s="440" t="str">
        <f>IF(AK69="","",+SUMIF('Argus Drop'!$D$7:$D$64,$A69,'Argus Drop'!AI$12:AI$64))</f>
        <v/>
      </c>
      <c r="AM69" s="440" t="str">
        <f>IF(AL69="","",+SUMIF('Argus Drop'!$D$7:$D$64,$A69,'Argus Drop'!AJ$12:AJ$64))</f>
        <v/>
      </c>
      <c r="AN69" s="440" t="str">
        <f>IF(AM69="","",+SUMIF('Argus Drop'!$D$7:$D$64,$A69,'Argus Drop'!#REF!))</f>
        <v/>
      </c>
      <c r="AO69" s="440" t="str">
        <f>IF(AN69="","",+SUMIF('Argus Drop'!$D$7:$D$64,$A69,'Argus Drop'!AK$12:AK$64))</f>
        <v/>
      </c>
      <c r="AP69" s="440" t="str">
        <f>IF(AO69="","",+SUMIF('Argus Drop'!$D$7:$D$64,$A69,'Argus Drop'!AL$12:AL$64))</f>
        <v/>
      </c>
      <c r="AQ69" s="440" t="str">
        <f>IF(AP69="","",+SUMIF('Argus Drop'!$D$7:$D$64,$A69,'Argus Drop'!AM$12:AM$64))</f>
        <v/>
      </c>
      <c r="AR69" s="440" t="str">
        <f>IF(AQ69="","",+SUMIF('Argus Drop'!$D$7:$D$64,$A69,'Argus Drop'!AN$12:AN$64))</f>
        <v/>
      </c>
      <c r="AS69" s="440" t="str">
        <f>IF(AR69="","",+SUMIF('Argus Drop'!$D$7:$D$64,$A69,'Argus Drop'!AO$12:AO$64))</f>
        <v/>
      </c>
      <c r="AT69" s="440" t="str">
        <f>IF(AS69="","",+SUMIF('Argus Drop'!$D$7:$D$64,$A69,'Argus Drop'!AP$12:AP$64))</f>
        <v/>
      </c>
      <c r="AU69" s="440" t="str">
        <f>IF(AT69="","",+SUMIF('Argus Drop'!$D$7:$D$64,$A69,'Argus Drop'!AQ$12:AQ$64))</f>
        <v/>
      </c>
      <c r="AV69" s="440" t="str">
        <f>IF(AU69="","",+SUMIF('Argus Drop'!$D$7:$D$64,$A69,'Argus Drop'!AR$12:AR$64))</f>
        <v/>
      </c>
      <c r="AW69" s="440" t="str">
        <f>IF(AV69="","",+SUMIF('Argus Drop'!$D$7:$D$64,$A69,'Argus Drop'!AS$12:AS$64))</f>
        <v/>
      </c>
      <c r="AX69" s="440" t="str">
        <f>IF(AW69="","",+SUMIF('Argus Drop'!$D$7:$D$64,$A69,'Argus Drop'!AT$12:AT$64))</f>
        <v/>
      </c>
      <c r="AY69" s="440" t="str">
        <f>IF(AX69="","",+SUMIF('Argus Drop'!$D$7:$D$64,$A69,'Argus Drop'!AU$12:AU$64))</f>
        <v/>
      </c>
      <c r="AZ69" s="440" t="str">
        <f>IF(AY69="","",+SUMIF('Argus Drop'!$D$7:$D$64,$A69,'Argus Drop'!AV$12:AV$64))</f>
        <v/>
      </c>
      <c r="BA69" s="440" t="str">
        <f>IF(AZ69="","",+SUMIF('Argus Drop'!$D$7:$D$64,$A69,'Argus Drop'!#REF!))</f>
        <v/>
      </c>
      <c r="BB69" s="440" t="str">
        <f>IF(BA69="","",+SUMIF('Argus Drop'!$D$7:$D$64,$A69,'Argus Drop'!AW$12:AW$64))</f>
        <v/>
      </c>
      <c r="BC69" s="440" t="str">
        <f>IF(BB69="","",+SUMIF('Argus Drop'!$D$7:$D$64,$A69,'Argus Drop'!AX$12:AX$64))</f>
        <v/>
      </c>
      <c r="BD69" s="440" t="str">
        <f>IF(BC69="","",+SUMIF('Argus Drop'!$D$7:$D$64,$A69,'Argus Drop'!AY$12:AY$64))</f>
        <v/>
      </c>
      <c r="BE69" s="440" t="str">
        <f>IF(BD69="","",+SUMIF('Argus Drop'!$D$7:$D$64,$A69,'Argus Drop'!AZ$12:AZ$64))</f>
        <v/>
      </c>
      <c r="BF69" s="440" t="str">
        <f>IF(BE69="","",+SUMIF('Argus Drop'!$D$7:$D$64,$A69,'Argus Drop'!BA$12:BA$64))</f>
        <v/>
      </c>
      <c r="BG69" s="440" t="str">
        <f>IF(BF69="","",+SUMIF('Argus Drop'!$D$7:$D$64,$A69,'Argus Drop'!BB$12:BB$64))</f>
        <v/>
      </c>
      <c r="BH69" s="440" t="str">
        <f>IF(BG69="","",+SUMIF('Argus Drop'!$D$7:$D$64,$A69,'Argus Drop'!BC$12:BC$64))</f>
        <v/>
      </c>
      <c r="BI69" s="440" t="str">
        <f>IF(BH69="","",+SUMIF('Argus Drop'!$D$7:$D$64,$A69,'Argus Drop'!BD$12:BD$64))</f>
        <v/>
      </c>
      <c r="BJ69" s="440" t="str">
        <f>IF(BI69="","",+SUMIF('Argus Drop'!$D$7:$D$64,$A69,'Argus Drop'!BE$12:BE$64))</f>
        <v/>
      </c>
      <c r="BK69" s="440" t="str">
        <f>IF(BJ69="","",+SUMIF('Argus Drop'!$D$7:$D$64,$A69,'Argus Drop'!BF$12:BF$64))</f>
        <v/>
      </c>
      <c r="BL69" s="440" t="str">
        <f>IF(BK69="","",+SUMIF('Argus Drop'!$D$7:$D$64,$A69,'Argus Drop'!BG$12:BG$64))</f>
        <v/>
      </c>
      <c r="BM69" s="440" t="str">
        <f>IF(BL69="","",+SUMIF('Argus Drop'!$D$7:$D$64,$A69,'Argus Drop'!BH$12:BH$64))</f>
        <v/>
      </c>
      <c r="BN69" s="440" t="str">
        <f>IF(BM69="","",+SUMIF('Argus Drop'!$D$7:$D$64,$A69,'Argus Drop'!#REF!))</f>
        <v/>
      </c>
      <c r="BO69" s="440" t="str">
        <f>IF(BN69="","",+SUMIF('Argus Drop'!$D$7:$D$64,$A69,'Argus Drop'!BI$12:BI$64))</f>
        <v/>
      </c>
      <c r="BP69" s="440" t="str">
        <f>IF(BO69="","",+SUMIF('Argus Drop'!$D$7:$D$64,$A69,'Argus Drop'!BJ$12:BJ$64))</f>
        <v/>
      </c>
      <c r="BQ69" s="440" t="str">
        <f>IF(BP69="","",+SUMIF('Argus Drop'!$D$7:$D$64,$A69,'Argus Drop'!BK$12:BK$64))</f>
        <v/>
      </c>
      <c r="BR69" s="440" t="str">
        <f>IF(BQ69="","",+SUMIF('Argus Drop'!$D$7:$D$64,$A69,'Argus Drop'!BL$12:BL$64))</f>
        <v/>
      </c>
      <c r="BS69" s="440" t="str">
        <f>IF(BR69="","",+SUMIF('Argus Drop'!$D$7:$D$64,$A69,'Argus Drop'!BM$12:BM$64))</f>
        <v/>
      </c>
      <c r="BT69" s="440" t="str">
        <f>IF(BS69="","",+SUMIF('Argus Drop'!$D$7:$D$64,$A69,'Argus Drop'!BN$12:BN$64))</f>
        <v/>
      </c>
      <c r="BU69" s="440" t="str">
        <f>IF(BT69="","",+SUMIF('Argus Drop'!$D$7:$D$64,$A69,'Argus Drop'!BO$12:BO$64))</f>
        <v/>
      </c>
      <c r="BV69" s="440" t="str">
        <f>IF(BU69="","",+SUMIF('Argus Drop'!$D$7:$D$64,$A69,'Argus Drop'!BP$12:BP$64))</f>
        <v/>
      </c>
      <c r="BW69" s="440" t="str">
        <f>IF(BV69="","",+SUMIF('Argus Drop'!$D$7:$D$64,$A69,'Argus Drop'!BQ$12:BQ$64))</f>
        <v/>
      </c>
      <c r="BX69" s="440" t="str">
        <f>IF(BW69="","",+SUMIF('Argus Drop'!$D$7:$D$64,$A69,'Argus Drop'!BR$12:BR$64))</f>
        <v/>
      </c>
      <c r="BY69" s="440" t="str">
        <f>IF(BX69="","",+SUMIF('Argus Drop'!$D$7:$D$64,$A69,'Argus Drop'!BS$12:BS$64))</f>
        <v/>
      </c>
      <c r="BZ69" s="440" t="str">
        <f>IF(BY69="","",+SUMIF('Argus Drop'!$D$7:$D$64,$A69,'Argus Drop'!BT$12:BT$64))</f>
        <v/>
      </c>
      <c r="CA69" s="440" t="str">
        <f>IF(BZ69="","",+SUMIF('Argus Drop'!$D$7:$D$64,$A69,'Argus Drop'!#REF!))</f>
        <v/>
      </c>
      <c r="CB69" s="440" t="str">
        <f>IF(CA69="","",+SUMIF('Argus Drop'!$D$7:$D$64,$A69,'Argus Drop'!BU$12:BU$64))</f>
        <v/>
      </c>
      <c r="CC69" s="440" t="str">
        <f>IF(CB69="","",+SUMIF('Argus Drop'!$D$7:$D$64,$A69,'Argus Drop'!BV$12:BV$64))</f>
        <v/>
      </c>
      <c r="CD69" s="440" t="str">
        <f>IF(CC69="","",+SUMIF('Argus Drop'!$D$7:$D$64,$A69,'Argus Drop'!BW$12:BW$64))</f>
        <v/>
      </c>
      <c r="CE69" s="440" t="str">
        <f>IF(CD69="","",+SUMIF('Argus Drop'!$D$7:$D$64,$A69,'Argus Drop'!BX$12:BX$64))</f>
        <v/>
      </c>
      <c r="CF69" s="440" t="str">
        <f>IF(CE69="","",+SUMIF('Argus Drop'!$D$7:$D$64,$A69,'Argus Drop'!BY$12:BY$64))</f>
        <v/>
      </c>
      <c r="CG69" s="440" t="str">
        <f>IF(CF69="","",+SUMIF('Argus Drop'!$D$7:$D$64,$A69,'Argus Drop'!BZ$12:BZ$64))</f>
        <v/>
      </c>
      <c r="CH69" s="440" t="str">
        <f>IF(CG69="","",+SUMIF('Argus Drop'!$D$7:$D$64,$A69,'Argus Drop'!CA$12:CA$64))</f>
        <v/>
      </c>
      <c r="CI69" s="440" t="str">
        <f>IF(CH69="","",+SUMIF('Argus Drop'!$D$7:$D$64,$A69,'Argus Drop'!CB$12:CB$64))</f>
        <v/>
      </c>
      <c r="CJ69" s="440" t="str">
        <f>IF(CI69="","",+SUMIF('Argus Drop'!$D$7:$D$64,$A69,'Argus Drop'!CC$12:CC$64))</f>
        <v/>
      </c>
      <c r="CK69" s="440" t="str">
        <f>IF(CJ69="","",+SUMIF('Argus Drop'!$D$7:$D$64,$A69,'Argus Drop'!CD$12:CD$64))</f>
        <v/>
      </c>
      <c r="CL69" s="440" t="str">
        <f>IF(CK69="","",+SUMIF('Argus Drop'!$D$7:$D$64,$A69,'Argus Drop'!CE$12:CE$64))</f>
        <v/>
      </c>
      <c r="CM69" s="440" t="str">
        <f>IF(CL69="","",+SUMIF('Argus Drop'!$D$7:$D$64,$A69,'Argus Drop'!CF$12:CF$64))</f>
        <v/>
      </c>
      <c r="CN69" s="440" t="str">
        <f>IF(CM69="","",+SUMIF('Argus Drop'!$D$7:$D$64,$A69,'Argus Drop'!#REF!))</f>
        <v/>
      </c>
      <c r="CO69" s="440" t="str">
        <f>IF(CN69="","",+SUMIF('Argus Drop'!$D$7:$D$64,$A69,'Argus Drop'!CG$12:CG$64))</f>
        <v/>
      </c>
      <c r="CP69" s="440" t="str">
        <f>IF(CO69="","",+SUMIF('Argus Drop'!$D$7:$D$64,$A69,'Argus Drop'!CH$12:CH$64))</f>
        <v/>
      </c>
      <c r="CQ69" s="440" t="str">
        <f>IF(CP69="","",+SUMIF('Argus Drop'!$D$7:$D$64,$A69,'Argus Drop'!CI$12:CI$64))</f>
        <v/>
      </c>
      <c r="CR69" s="440" t="str">
        <f>IF(CQ69="","",+SUMIF('Argus Drop'!$D$7:$D$64,$A69,'Argus Drop'!CJ$12:CJ$64))</f>
        <v/>
      </c>
      <c r="CS69" s="440" t="str">
        <f>IF(CR69="","",+SUMIF('Argus Drop'!$D$7:$D$64,$A69,'Argus Drop'!CK$12:CK$64))</f>
        <v/>
      </c>
      <c r="CT69" s="440" t="str">
        <f>IF(CS69="","",+SUMIF('Argus Drop'!$D$7:$D$64,$A69,'Argus Drop'!CL$12:CL$64))</f>
        <v/>
      </c>
      <c r="CU69" s="440" t="str">
        <f>IF(CT69="","",+SUMIF('Argus Drop'!$D$7:$D$64,$A69,'Argus Drop'!CM$12:CM$64))</f>
        <v/>
      </c>
      <c r="CV69" s="440" t="str">
        <f>IF(CU69="","",+SUMIF('Argus Drop'!$D$7:$D$64,$A69,'Argus Drop'!CN$12:CN$64))</f>
        <v/>
      </c>
      <c r="CW69" s="440" t="str">
        <f>IF(CV69="","",+SUMIF('Argus Drop'!$D$7:$D$64,$A69,'Argus Drop'!CO$12:CO$64))</f>
        <v/>
      </c>
      <c r="CX69" s="440" t="str">
        <f>IF(CW69="","",+SUMIF('Argus Drop'!$D$7:$D$64,$A69,'Argus Drop'!CP$12:CP$64))</f>
        <v/>
      </c>
      <c r="CY69" s="440" t="str">
        <f>IF(CX69="","",+SUMIF('Argus Drop'!$D$7:$D$64,$A69,'Argus Drop'!CQ$12:CQ$64))</f>
        <v/>
      </c>
      <c r="CZ69" s="440" t="str">
        <f>IF(CY69="","",+SUMIF('Argus Drop'!$D$7:$D$64,$A69,'Argus Drop'!CR$12:CR$64))</f>
        <v/>
      </c>
      <c r="DA69" s="440" t="str">
        <f>IF(CZ69="","",+SUMIF('Argus Drop'!$D$7:$D$64,$A69,'Argus Drop'!#REF!))</f>
        <v/>
      </c>
      <c r="DB69" s="440" t="str">
        <f>IF(DA69="","",+SUMIF('Argus Drop'!$D$7:$D$64,$A69,'Argus Drop'!CS$12:CS$64))</f>
        <v/>
      </c>
      <c r="DC69" s="440" t="str">
        <f>IF(DB69="","",+SUMIF('Argus Drop'!$D$7:$D$64,$A69,'Argus Drop'!CT$12:CT$64))</f>
        <v/>
      </c>
      <c r="DD69" s="440" t="str">
        <f>IF(DC69="","",+SUMIF('Argus Drop'!$D$7:$D$64,$A69,'Argus Drop'!CU$12:CU$64))</f>
        <v/>
      </c>
      <c r="DE69" s="440" t="str">
        <f>IF(DD69="","",+SUMIF('Argus Drop'!$D$7:$D$64,$A69,'Argus Drop'!CV$12:CV$64))</f>
        <v/>
      </c>
      <c r="DF69" s="440" t="str">
        <f>IF(DE69="","",+SUMIF('Argus Drop'!$D$7:$D$64,$A69,'Argus Drop'!CW$12:CW$64))</f>
        <v/>
      </c>
      <c r="DG69" s="440" t="str">
        <f>IF(DF69="","",+SUMIF('Argus Drop'!$D$7:$D$64,$A69,'Argus Drop'!CX$12:CX$64))</f>
        <v/>
      </c>
      <c r="DH69" s="440" t="str">
        <f>IF(DG69="","",+SUMIF('Argus Drop'!$D$7:$D$64,$A69,'Argus Drop'!CY$12:CY$64))</f>
        <v/>
      </c>
      <c r="DI69" s="440" t="str">
        <f>IF(DH69="","",+SUMIF('Argus Drop'!$D$7:$D$64,$A69,'Argus Drop'!CZ$12:CZ$64))</f>
        <v/>
      </c>
      <c r="DJ69" s="440" t="str">
        <f>IF(DI69="","",+SUMIF('Argus Drop'!$D$7:$D$64,$A69,'Argus Drop'!DA$12:DA$64))</f>
        <v/>
      </c>
      <c r="DK69" s="440" t="str">
        <f>IF(DJ69="","",+SUMIF('Argus Drop'!$D$7:$D$64,$A69,'Argus Drop'!DB$12:DB$64))</f>
        <v/>
      </c>
      <c r="DL69" s="440" t="str">
        <f>IF(DK69="","",+SUMIF('Argus Drop'!$D$7:$D$64,$A69,'Argus Drop'!DC$12:DC$64))</f>
        <v/>
      </c>
      <c r="DM69" s="440" t="str">
        <f>IF(DL69="","",+SUMIF('Argus Drop'!$D$7:$D$64,$A69,'Argus Drop'!DD$12:DD$64))</f>
        <v/>
      </c>
      <c r="DN69" s="440" t="str">
        <f>IF(DM69="","",+SUMIF('Argus Drop'!$D$7:$D$64,$A69,'Argus Drop'!#REF!))</f>
        <v/>
      </c>
      <c r="DO69" s="440" t="str">
        <f>IF(DN69="","",+SUMIF('Argus Drop'!$D$7:$D$64,$A69,'Argus Drop'!DE$12:DE$64))</f>
        <v/>
      </c>
      <c r="DP69" s="440" t="str">
        <f>IF(DO69="","",+SUMIF('Argus Drop'!$D$7:$D$64,$A69,'Argus Drop'!DF$12:DF$64))</f>
        <v/>
      </c>
      <c r="DQ69" s="440" t="str">
        <f>IF(DP69="","",+SUMIF('Argus Drop'!$D$7:$D$64,$A69,'Argus Drop'!DG$12:DG$64))</f>
        <v/>
      </c>
      <c r="DR69" s="440" t="str">
        <f>IF(DQ69="","",+SUMIF('Argus Drop'!$D$7:$D$64,$A69,'Argus Drop'!DH$12:DH$64))</f>
        <v/>
      </c>
      <c r="DS69" s="440"/>
      <c r="DT69" s="440"/>
      <c r="DU69" s="440"/>
      <c r="DV69" s="440"/>
      <c r="DW69" s="440"/>
      <c r="DX69" s="440"/>
      <c r="DY69" s="440"/>
      <c r="DZ69" s="440"/>
      <c r="EA69" s="440"/>
      <c r="EB69" s="440"/>
      <c r="EC69" s="440"/>
      <c r="ED69" s="1419"/>
      <c r="EE69" s="1419"/>
      <c r="EF69" s="1419"/>
      <c r="EG69" s="1419"/>
      <c r="EH69" s="1419"/>
      <c r="EI69" s="1419"/>
      <c r="EJ69" s="1419"/>
      <c r="EK69" s="1419"/>
      <c r="EL69" s="1419"/>
      <c r="EM69" s="1419"/>
      <c r="EN69" s="1419"/>
      <c r="EO69" s="1419"/>
      <c r="EP69" s="1419"/>
      <c r="EQ69" s="1419"/>
      <c r="ER69" s="1419"/>
      <c r="ES69" s="1419"/>
      <c r="ET69" s="1419"/>
      <c r="EU69" s="1419"/>
      <c r="EV69" s="1419"/>
      <c r="EW69" s="1419"/>
      <c r="EX69" s="1419"/>
      <c r="EY69" s="1419"/>
      <c r="EZ69" s="1419"/>
      <c r="FA69" s="1419"/>
      <c r="FB69" s="1419"/>
      <c r="FC69" s="1419"/>
      <c r="FD69" s="1419"/>
      <c r="FE69" s="1419"/>
      <c r="FF69" s="1419"/>
      <c r="FG69" s="1419"/>
      <c r="FH69" s="1419"/>
      <c r="FI69" s="1419"/>
    </row>
    <row r="70" spans="1:165">
      <c r="A70" s="448" t="str">
        <f>IF(+'Argus Drop'!B74="","",'Argus Drop'!B74)</f>
        <v/>
      </c>
      <c r="B70" s="440" t="str">
        <f>IF(A70="","",+SUMIF('Argus Drop'!$D$7:$D$64,$A70,'Argus Drop'!#REF!))</f>
        <v/>
      </c>
      <c r="C70" s="440" t="str">
        <f>IF(B70="","",+SUMIF('Argus Drop'!$D$7:$D$64,$A70,'Argus Drop'!#REF!))</f>
        <v/>
      </c>
      <c r="D70" s="440" t="str">
        <f>IF(C70="","",+SUMIF('Argus Drop'!$D$7:$D$64,$A70,'Argus Drop'!#REF!))</f>
        <v/>
      </c>
      <c r="E70" s="440" t="str">
        <f>IF(D70="","",+SUMIF('Argus Drop'!$D$7:$D$64,$A70,'Argus Drop'!#REF!))</f>
        <v/>
      </c>
      <c r="F70" s="440" t="str">
        <f>IF(E70="","",+SUMIF('Argus Drop'!$D$7:$D$64,$A70,'Argus Drop'!#REF!))</f>
        <v/>
      </c>
      <c r="G70" s="440" t="str">
        <f>IF(F70="","",+SUMIF('Argus Drop'!$D$7:$D$64,$A70,'Argus Drop'!F$7:F$64))</f>
        <v/>
      </c>
      <c r="H70" s="440" t="str">
        <f>IF(G70="","",+SUMIF('Argus Drop'!$D$7:$D$64,$A70,'Argus Drop'!G$12:G$64))</f>
        <v/>
      </c>
      <c r="I70" s="440" t="str">
        <f>IF(H70="","",+SUMIF('Argus Drop'!$D$7:$D$64,$A70,'Argus Drop'!H$12:H$64))</f>
        <v/>
      </c>
      <c r="J70" s="440" t="str">
        <f>IF(I70="","",+SUMIF('Argus Drop'!$D$7:$D$64,$A70,'Argus Drop'!I$12:I$64))</f>
        <v/>
      </c>
      <c r="K70" s="440" t="str">
        <f>IF(J70="","",+SUMIF('Argus Drop'!$D$7:$D$64,$A70,'Argus Drop'!J$12:J$64))</f>
        <v/>
      </c>
      <c r="L70" s="440" t="str">
        <f>IF(K70="","",+SUMIF('Argus Drop'!$D$7:$D$64,$A70,'Argus Drop'!K$12:K$64))</f>
        <v/>
      </c>
      <c r="M70" s="440" t="str">
        <f>IF(L70="","",+SUMIF('Argus Drop'!$D$7:$D$64,$A70,'Argus Drop'!L$12:L$64))</f>
        <v/>
      </c>
      <c r="N70" s="440" t="str">
        <f>IF(M70="","",+SUMIF('Argus Drop'!$D$7:$D$64,$A70,'Argus Drop'!#REF!))</f>
        <v/>
      </c>
      <c r="O70" s="440" t="str">
        <f>IF(N70="","",+SUMIF('Argus Drop'!$D$7:$D$64,$A70,'Argus Drop'!M$12:M$64))</f>
        <v/>
      </c>
      <c r="P70" s="440" t="str">
        <f>IF(O70="","",+SUMIF('Argus Drop'!$D$7:$D$64,$A70,'Argus Drop'!N$12:N$64))</f>
        <v/>
      </c>
      <c r="Q70" s="440" t="str">
        <f>IF(P70="","",+SUMIF('Argus Drop'!$D$7:$D$64,$A70,'Argus Drop'!O$12:O$64))</f>
        <v/>
      </c>
      <c r="R70" s="440" t="str">
        <f>IF(Q70="","",+SUMIF('Argus Drop'!$D$7:$D$64,$A70,'Argus Drop'!P$12:P$64))</f>
        <v/>
      </c>
      <c r="S70" s="440" t="str">
        <f>IF(R70="","",+SUMIF('Argus Drop'!$D$7:$D$64,$A70,'Argus Drop'!Q$12:Q$64))</f>
        <v/>
      </c>
      <c r="T70" s="440" t="str">
        <f>IF(S70="","",+SUMIF('Argus Drop'!$D$7:$D$64,$A70,'Argus Drop'!R$12:R$64))</f>
        <v/>
      </c>
      <c r="U70" s="440" t="str">
        <f>IF(T70="","",+SUMIF('Argus Drop'!$D$7:$D$64,$A70,'Argus Drop'!S$12:S$64))</f>
        <v/>
      </c>
      <c r="V70" s="440" t="str">
        <f>IF(U70="","",+SUMIF('Argus Drop'!$D$7:$D$64,$A70,'Argus Drop'!T$12:T$64))</f>
        <v/>
      </c>
      <c r="W70" s="440" t="str">
        <f>IF(V70="","",+SUMIF('Argus Drop'!$D$7:$D$64,$A70,'Argus Drop'!U$12:U$64))</f>
        <v/>
      </c>
      <c r="X70" s="440" t="str">
        <f>IF(W70="","",+SUMIF('Argus Drop'!$D$7:$D$64,$A70,'Argus Drop'!V$12:V$64))</f>
        <v/>
      </c>
      <c r="Y70" s="440" t="str">
        <f>IF(X70="","",+SUMIF('Argus Drop'!$D$7:$D$64,$A70,'Argus Drop'!W$12:W$64))</f>
        <v/>
      </c>
      <c r="Z70" s="440" t="str">
        <f>IF(Y70="","",+SUMIF('Argus Drop'!$D$7:$D$64,$A70,'Argus Drop'!X$12:X$64))</f>
        <v/>
      </c>
      <c r="AA70" s="440" t="str">
        <f>IF(Z70="","",+SUMIF('Argus Drop'!$D$7:$D$64,$A70,'Argus Drop'!#REF!))</f>
        <v/>
      </c>
      <c r="AB70" s="440" t="str">
        <f>IF(AA70="","",+SUMIF('Argus Drop'!$D$7:$D$64,$A70,'Argus Drop'!Y$12:Y$64))</f>
        <v/>
      </c>
      <c r="AC70" s="440" t="str">
        <f>IF(AB70="","",+SUMIF('Argus Drop'!$D$7:$D$64,$A70,'Argus Drop'!Z$12:Z$64))</f>
        <v/>
      </c>
      <c r="AD70" s="440" t="str">
        <f>IF(AC70="","",+SUMIF('Argus Drop'!$D$7:$D$64,$A70,'Argus Drop'!AA$12:AA$64))</f>
        <v/>
      </c>
      <c r="AE70" s="440" t="str">
        <f>IF(AD70="","",+SUMIF('Argus Drop'!$D$7:$D$64,$A70,'Argus Drop'!AB$12:AB$64))</f>
        <v/>
      </c>
      <c r="AF70" s="440" t="str">
        <f>IF(AE70="","",+SUMIF('Argus Drop'!$D$7:$D$64,$A70,'Argus Drop'!AC$12:AC$64))</f>
        <v/>
      </c>
      <c r="AG70" s="440" t="str">
        <f>IF(AF70="","",+SUMIF('Argus Drop'!$D$7:$D$64,$A70,'Argus Drop'!AD$12:AD$64))</f>
        <v/>
      </c>
      <c r="AH70" s="440" t="str">
        <f>IF(AG70="","",+SUMIF('Argus Drop'!$D$7:$D$64,$A70,'Argus Drop'!AE$12:AE$64))</f>
        <v/>
      </c>
      <c r="AI70" s="440" t="str">
        <f>IF(AH70="","",+SUMIF('Argus Drop'!$D$7:$D$64,$A70,'Argus Drop'!AF$12:AF$64))</f>
        <v/>
      </c>
      <c r="AJ70" s="440" t="str">
        <f>IF(AI70="","",+SUMIF('Argus Drop'!$D$7:$D$64,$A70,'Argus Drop'!AG$12:AG$64))</f>
        <v/>
      </c>
      <c r="AK70" s="440" t="str">
        <f>IF(AJ70="","",+SUMIF('Argus Drop'!$D$7:$D$64,$A70,'Argus Drop'!AH$12:AH$64))</f>
        <v/>
      </c>
      <c r="AL70" s="440" t="str">
        <f>IF(AK70="","",+SUMIF('Argus Drop'!$D$7:$D$64,$A70,'Argus Drop'!AI$12:AI$64))</f>
        <v/>
      </c>
      <c r="AM70" s="440" t="str">
        <f>IF(AL70="","",+SUMIF('Argus Drop'!$D$7:$D$64,$A70,'Argus Drop'!AJ$12:AJ$64))</f>
        <v/>
      </c>
      <c r="AN70" s="440" t="str">
        <f>IF(AM70="","",+SUMIF('Argus Drop'!$D$7:$D$64,$A70,'Argus Drop'!#REF!))</f>
        <v/>
      </c>
      <c r="AO70" s="440" t="str">
        <f>IF(AN70="","",+SUMIF('Argus Drop'!$D$7:$D$64,$A70,'Argus Drop'!AK$12:AK$64))</f>
        <v/>
      </c>
      <c r="AP70" s="440" t="str">
        <f>IF(AO70="","",+SUMIF('Argus Drop'!$D$7:$D$64,$A70,'Argus Drop'!AL$12:AL$64))</f>
        <v/>
      </c>
      <c r="AQ70" s="440" t="str">
        <f>IF(AP70="","",+SUMIF('Argus Drop'!$D$7:$D$64,$A70,'Argus Drop'!AM$12:AM$64))</f>
        <v/>
      </c>
      <c r="AR70" s="440" t="str">
        <f>IF(AQ70="","",+SUMIF('Argus Drop'!$D$7:$D$64,$A70,'Argus Drop'!AN$12:AN$64))</f>
        <v/>
      </c>
      <c r="AS70" s="440" t="str">
        <f>IF(AR70="","",+SUMIF('Argus Drop'!$D$7:$D$64,$A70,'Argus Drop'!AO$12:AO$64))</f>
        <v/>
      </c>
      <c r="AT70" s="440" t="str">
        <f>IF(AS70="","",+SUMIF('Argus Drop'!$D$7:$D$64,$A70,'Argus Drop'!AP$12:AP$64))</f>
        <v/>
      </c>
      <c r="AU70" s="440" t="str">
        <f>IF(AT70="","",+SUMIF('Argus Drop'!$D$7:$D$64,$A70,'Argus Drop'!AQ$12:AQ$64))</f>
        <v/>
      </c>
      <c r="AV70" s="440" t="str">
        <f>IF(AU70="","",+SUMIF('Argus Drop'!$D$7:$D$64,$A70,'Argus Drop'!AR$12:AR$64))</f>
        <v/>
      </c>
      <c r="AW70" s="440" t="str">
        <f>IF(AV70="","",+SUMIF('Argus Drop'!$D$7:$D$64,$A70,'Argus Drop'!AS$12:AS$64))</f>
        <v/>
      </c>
      <c r="AX70" s="440" t="str">
        <f>IF(AW70="","",+SUMIF('Argus Drop'!$D$7:$D$64,$A70,'Argus Drop'!AT$12:AT$64))</f>
        <v/>
      </c>
      <c r="AY70" s="440" t="str">
        <f>IF(AX70="","",+SUMIF('Argus Drop'!$D$7:$D$64,$A70,'Argus Drop'!AU$12:AU$64))</f>
        <v/>
      </c>
      <c r="AZ70" s="440" t="str">
        <f>IF(AY70="","",+SUMIF('Argus Drop'!$D$7:$D$64,$A70,'Argus Drop'!AV$12:AV$64))</f>
        <v/>
      </c>
      <c r="BA70" s="440" t="str">
        <f>IF(AZ70="","",+SUMIF('Argus Drop'!$D$7:$D$64,$A70,'Argus Drop'!#REF!))</f>
        <v/>
      </c>
      <c r="BB70" s="440" t="str">
        <f>IF(BA70="","",+SUMIF('Argus Drop'!$D$7:$D$64,$A70,'Argus Drop'!AW$12:AW$64))</f>
        <v/>
      </c>
      <c r="BC70" s="440" t="str">
        <f>IF(BB70="","",+SUMIF('Argus Drop'!$D$7:$D$64,$A70,'Argus Drop'!AX$12:AX$64))</f>
        <v/>
      </c>
      <c r="BD70" s="440" t="str">
        <f>IF(BC70="","",+SUMIF('Argus Drop'!$D$7:$D$64,$A70,'Argus Drop'!AY$12:AY$64))</f>
        <v/>
      </c>
      <c r="BE70" s="440" t="str">
        <f>IF(BD70="","",+SUMIF('Argus Drop'!$D$7:$D$64,$A70,'Argus Drop'!AZ$12:AZ$64))</f>
        <v/>
      </c>
      <c r="BF70" s="440" t="str">
        <f>IF(BE70="","",+SUMIF('Argus Drop'!$D$7:$D$64,$A70,'Argus Drop'!BA$12:BA$64))</f>
        <v/>
      </c>
      <c r="BG70" s="440" t="str">
        <f>IF(BF70="","",+SUMIF('Argus Drop'!$D$7:$D$64,$A70,'Argus Drop'!BB$12:BB$64))</f>
        <v/>
      </c>
      <c r="BH70" s="440" t="str">
        <f>IF(BG70="","",+SUMIF('Argus Drop'!$D$7:$D$64,$A70,'Argus Drop'!BC$12:BC$64))</f>
        <v/>
      </c>
      <c r="BI70" s="440" t="str">
        <f>IF(BH70="","",+SUMIF('Argus Drop'!$D$7:$D$64,$A70,'Argus Drop'!BD$12:BD$64))</f>
        <v/>
      </c>
      <c r="BJ70" s="440" t="str">
        <f>IF(BI70="","",+SUMIF('Argus Drop'!$D$7:$D$64,$A70,'Argus Drop'!BE$12:BE$64))</f>
        <v/>
      </c>
      <c r="BK70" s="440" t="str">
        <f>IF(BJ70="","",+SUMIF('Argus Drop'!$D$7:$D$64,$A70,'Argus Drop'!BF$12:BF$64))</f>
        <v/>
      </c>
      <c r="BL70" s="440" t="str">
        <f>IF(BK70="","",+SUMIF('Argus Drop'!$D$7:$D$64,$A70,'Argus Drop'!BG$12:BG$64))</f>
        <v/>
      </c>
      <c r="BM70" s="440" t="str">
        <f>IF(BL70="","",+SUMIF('Argus Drop'!$D$7:$D$64,$A70,'Argus Drop'!BH$12:BH$64))</f>
        <v/>
      </c>
      <c r="BN70" s="440" t="str">
        <f>IF(BM70="","",+SUMIF('Argus Drop'!$D$7:$D$64,$A70,'Argus Drop'!#REF!))</f>
        <v/>
      </c>
      <c r="BO70" s="440" t="str">
        <f>IF(BN70="","",+SUMIF('Argus Drop'!$D$7:$D$64,$A70,'Argus Drop'!BI$12:BI$64))</f>
        <v/>
      </c>
      <c r="BP70" s="440" t="str">
        <f>IF(BO70="","",+SUMIF('Argus Drop'!$D$7:$D$64,$A70,'Argus Drop'!BJ$12:BJ$64))</f>
        <v/>
      </c>
      <c r="BQ70" s="440" t="str">
        <f>IF(BP70="","",+SUMIF('Argus Drop'!$D$7:$D$64,$A70,'Argus Drop'!BK$12:BK$64))</f>
        <v/>
      </c>
      <c r="BR70" s="440" t="str">
        <f>IF(BQ70="","",+SUMIF('Argus Drop'!$D$7:$D$64,$A70,'Argus Drop'!BL$12:BL$64))</f>
        <v/>
      </c>
      <c r="BS70" s="440" t="str">
        <f>IF(BR70="","",+SUMIF('Argus Drop'!$D$7:$D$64,$A70,'Argus Drop'!BM$12:BM$64))</f>
        <v/>
      </c>
      <c r="BT70" s="440" t="str">
        <f>IF(BS70="","",+SUMIF('Argus Drop'!$D$7:$D$64,$A70,'Argus Drop'!BN$12:BN$64))</f>
        <v/>
      </c>
      <c r="BU70" s="440" t="str">
        <f>IF(BT70="","",+SUMIF('Argus Drop'!$D$7:$D$64,$A70,'Argus Drop'!BO$12:BO$64))</f>
        <v/>
      </c>
      <c r="BV70" s="440" t="str">
        <f>IF(BU70="","",+SUMIF('Argus Drop'!$D$7:$D$64,$A70,'Argus Drop'!BP$12:BP$64))</f>
        <v/>
      </c>
      <c r="BW70" s="440" t="str">
        <f>IF(BV70="","",+SUMIF('Argus Drop'!$D$7:$D$64,$A70,'Argus Drop'!BQ$12:BQ$64))</f>
        <v/>
      </c>
      <c r="BX70" s="440" t="str">
        <f>IF(BW70="","",+SUMIF('Argus Drop'!$D$7:$D$64,$A70,'Argus Drop'!BR$12:BR$64))</f>
        <v/>
      </c>
      <c r="BY70" s="440" t="str">
        <f>IF(BX70="","",+SUMIF('Argus Drop'!$D$7:$D$64,$A70,'Argus Drop'!BS$12:BS$64))</f>
        <v/>
      </c>
      <c r="BZ70" s="440" t="str">
        <f>IF(BY70="","",+SUMIF('Argus Drop'!$D$7:$D$64,$A70,'Argus Drop'!BT$12:BT$64))</f>
        <v/>
      </c>
      <c r="CA70" s="440" t="str">
        <f>IF(BZ70="","",+SUMIF('Argus Drop'!$D$7:$D$64,$A70,'Argus Drop'!#REF!))</f>
        <v/>
      </c>
      <c r="CB70" s="440" t="str">
        <f>IF(CA70="","",+SUMIF('Argus Drop'!$D$7:$D$64,$A70,'Argus Drop'!BU$12:BU$64))</f>
        <v/>
      </c>
      <c r="CC70" s="440" t="str">
        <f>IF(CB70="","",+SUMIF('Argus Drop'!$D$7:$D$64,$A70,'Argus Drop'!BV$12:BV$64))</f>
        <v/>
      </c>
      <c r="CD70" s="440" t="str">
        <f>IF(CC70="","",+SUMIF('Argus Drop'!$D$7:$D$64,$A70,'Argus Drop'!BW$12:BW$64))</f>
        <v/>
      </c>
      <c r="CE70" s="440" t="str">
        <f>IF(CD70="","",+SUMIF('Argus Drop'!$D$7:$D$64,$A70,'Argus Drop'!BX$12:BX$64))</f>
        <v/>
      </c>
      <c r="CF70" s="440" t="str">
        <f>IF(CE70="","",+SUMIF('Argus Drop'!$D$7:$D$64,$A70,'Argus Drop'!BY$12:BY$64))</f>
        <v/>
      </c>
      <c r="CG70" s="440" t="str">
        <f>IF(CF70="","",+SUMIF('Argus Drop'!$D$7:$D$64,$A70,'Argus Drop'!BZ$12:BZ$64))</f>
        <v/>
      </c>
      <c r="CH70" s="440" t="str">
        <f>IF(CG70="","",+SUMIF('Argus Drop'!$D$7:$D$64,$A70,'Argus Drop'!CA$12:CA$64))</f>
        <v/>
      </c>
      <c r="CI70" s="440" t="str">
        <f>IF(CH70="","",+SUMIF('Argus Drop'!$D$7:$D$64,$A70,'Argus Drop'!CB$12:CB$64))</f>
        <v/>
      </c>
      <c r="CJ70" s="440" t="str">
        <f>IF(CI70="","",+SUMIF('Argus Drop'!$D$7:$D$64,$A70,'Argus Drop'!CC$12:CC$64))</f>
        <v/>
      </c>
      <c r="CK70" s="440" t="str">
        <f>IF(CJ70="","",+SUMIF('Argus Drop'!$D$7:$D$64,$A70,'Argus Drop'!CD$12:CD$64))</f>
        <v/>
      </c>
      <c r="CL70" s="440" t="str">
        <f>IF(CK70="","",+SUMIF('Argus Drop'!$D$7:$D$64,$A70,'Argus Drop'!CE$12:CE$64))</f>
        <v/>
      </c>
      <c r="CM70" s="440" t="str">
        <f>IF(CL70="","",+SUMIF('Argus Drop'!$D$7:$D$64,$A70,'Argus Drop'!CF$12:CF$64))</f>
        <v/>
      </c>
      <c r="CN70" s="440" t="str">
        <f>IF(CM70="","",+SUMIF('Argus Drop'!$D$7:$D$64,$A70,'Argus Drop'!#REF!))</f>
        <v/>
      </c>
      <c r="CO70" s="440" t="str">
        <f>IF(CN70="","",+SUMIF('Argus Drop'!$D$7:$D$64,$A70,'Argus Drop'!CG$12:CG$64))</f>
        <v/>
      </c>
      <c r="CP70" s="440" t="str">
        <f>IF(CO70="","",+SUMIF('Argus Drop'!$D$7:$D$64,$A70,'Argus Drop'!CH$12:CH$64))</f>
        <v/>
      </c>
      <c r="CQ70" s="440" t="str">
        <f>IF(CP70="","",+SUMIF('Argus Drop'!$D$7:$D$64,$A70,'Argus Drop'!CI$12:CI$64))</f>
        <v/>
      </c>
      <c r="CR70" s="440" t="str">
        <f>IF(CQ70="","",+SUMIF('Argus Drop'!$D$7:$D$64,$A70,'Argus Drop'!CJ$12:CJ$64))</f>
        <v/>
      </c>
      <c r="CS70" s="440" t="str">
        <f>IF(CR70="","",+SUMIF('Argus Drop'!$D$7:$D$64,$A70,'Argus Drop'!CK$12:CK$64))</f>
        <v/>
      </c>
      <c r="CT70" s="440" t="str">
        <f>IF(CS70="","",+SUMIF('Argus Drop'!$D$7:$D$64,$A70,'Argus Drop'!CL$12:CL$64))</f>
        <v/>
      </c>
      <c r="CU70" s="440" t="str">
        <f>IF(CT70="","",+SUMIF('Argus Drop'!$D$7:$D$64,$A70,'Argus Drop'!CM$12:CM$64))</f>
        <v/>
      </c>
      <c r="CV70" s="440" t="str">
        <f>IF(CU70="","",+SUMIF('Argus Drop'!$D$7:$D$64,$A70,'Argus Drop'!CN$12:CN$64))</f>
        <v/>
      </c>
      <c r="CW70" s="440" t="str">
        <f>IF(CV70="","",+SUMIF('Argus Drop'!$D$7:$D$64,$A70,'Argus Drop'!CO$12:CO$64))</f>
        <v/>
      </c>
      <c r="CX70" s="440" t="str">
        <f>IF(CW70="","",+SUMIF('Argus Drop'!$D$7:$D$64,$A70,'Argus Drop'!CP$12:CP$64))</f>
        <v/>
      </c>
      <c r="CY70" s="440" t="str">
        <f>IF(CX70="","",+SUMIF('Argus Drop'!$D$7:$D$64,$A70,'Argus Drop'!CQ$12:CQ$64))</f>
        <v/>
      </c>
      <c r="CZ70" s="440" t="str">
        <f>IF(CY70="","",+SUMIF('Argus Drop'!$D$7:$D$64,$A70,'Argus Drop'!CR$12:CR$64))</f>
        <v/>
      </c>
      <c r="DA70" s="440" t="str">
        <f>IF(CZ70="","",+SUMIF('Argus Drop'!$D$7:$D$64,$A70,'Argus Drop'!#REF!))</f>
        <v/>
      </c>
      <c r="DB70" s="440" t="str">
        <f>IF(DA70="","",+SUMIF('Argus Drop'!$D$7:$D$64,$A70,'Argus Drop'!CS$12:CS$64))</f>
        <v/>
      </c>
      <c r="DC70" s="440" t="str">
        <f>IF(DB70="","",+SUMIF('Argus Drop'!$D$7:$D$64,$A70,'Argus Drop'!CT$12:CT$64))</f>
        <v/>
      </c>
      <c r="DD70" s="440" t="str">
        <f>IF(DC70="","",+SUMIF('Argus Drop'!$D$7:$D$64,$A70,'Argus Drop'!CU$12:CU$64))</f>
        <v/>
      </c>
      <c r="DE70" s="440" t="str">
        <f>IF(DD70="","",+SUMIF('Argus Drop'!$D$7:$D$64,$A70,'Argus Drop'!CV$12:CV$64))</f>
        <v/>
      </c>
      <c r="DF70" s="440" t="str">
        <f>IF(DE70="","",+SUMIF('Argus Drop'!$D$7:$D$64,$A70,'Argus Drop'!CW$12:CW$64))</f>
        <v/>
      </c>
      <c r="DG70" s="440" t="str">
        <f>IF(DF70="","",+SUMIF('Argus Drop'!$D$7:$D$64,$A70,'Argus Drop'!CX$12:CX$64))</f>
        <v/>
      </c>
      <c r="DH70" s="440" t="str">
        <f>IF(DG70="","",+SUMIF('Argus Drop'!$D$7:$D$64,$A70,'Argus Drop'!CY$12:CY$64))</f>
        <v/>
      </c>
      <c r="DI70" s="440" t="str">
        <f>IF(DH70="","",+SUMIF('Argus Drop'!$D$7:$D$64,$A70,'Argus Drop'!CZ$12:CZ$64))</f>
        <v/>
      </c>
      <c r="DJ70" s="440" t="str">
        <f>IF(DI70="","",+SUMIF('Argus Drop'!$D$7:$D$64,$A70,'Argus Drop'!DA$12:DA$64))</f>
        <v/>
      </c>
      <c r="DK70" s="440" t="str">
        <f>IF(DJ70="","",+SUMIF('Argus Drop'!$D$7:$D$64,$A70,'Argus Drop'!DB$12:DB$64))</f>
        <v/>
      </c>
      <c r="DL70" s="440" t="str">
        <f>IF(DK70="","",+SUMIF('Argus Drop'!$D$7:$D$64,$A70,'Argus Drop'!DC$12:DC$64))</f>
        <v/>
      </c>
      <c r="DM70" s="440" t="str">
        <f>IF(DL70="","",+SUMIF('Argus Drop'!$D$7:$D$64,$A70,'Argus Drop'!DD$12:DD$64))</f>
        <v/>
      </c>
      <c r="DN70" s="440" t="str">
        <f>IF(DM70="","",+SUMIF('Argus Drop'!$D$7:$D$64,$A70,'Argus Drop'!#REF!))</f>
        <v/>
      </c>
      <c r="DO70" s="440" t="str">
        <f>IF(DN70="","",+SUMIF('Argus Drop'!$D$7:$D$64,$A70,'Argus Drop'!DE$12:DE$64))</f>
        <v/>
      </c>
      <c r="DP70" s="440" t="str">
        <f>IF(DO70="","",+SUMIF('Argus Drop'!$D$7:$D$64,$A70,'Argus Drop'!DF$12:DF$64))</f>
        <v/>
      </c>
      <c r="DQ70" s="440" t="str">
        <f>IF(DP70="","",+SUMIF('Argus Drop'!$D$7:$D$64,$A70,'Argus Drop'!DG$12:DG$64))</f>
        <v/>
      </c>
      <c r="DR70" s="440" t="str">
        <f>IF(DQ70="","",+SUMIF('Argus Drop'!$D$7:$D$64,$A70,'Argus Drop'!DH$12:DH$64))</f>
        <v/>
      </c>
      <c r="DS70" s="440"/>
      <c r="DT70" s="440"/>
      <c r="DU70" s="440"/>
      <c r="DV70" s="440"/>
      <c r="DW70" s="440"/>
      <c r="DX70" s="440"/>
      <c r="DY70" s="440"/>
      <c r="DZ70" s="440"/>
      <c r="EA70" s="440"/>
      <c r="EB70" s="440"/>
      <c r="EC70" s="440"/>
      <c r="ED70" s="1419"/>
      <c r="EE70" s="1419"/>
      <c r="EF70" s="1419"/>
      <c r="EG70" s="1419"/>
      <c r="EH70" s="1419"/>
      <c r="EI70" s="1419"/>
      <c r="EJ70" s="1419"/>
      <c r="EK70" s="1419"/>
      <c r="EL70" s="1419"/>
      <c r="EM70" s="1419"/>
      <c r="EN70" s="1419"/>
      <c r="EO70" s="1419"/>
      <c r="EP70" s="1419"/>
      <c r="EQ70" s="1419"/>
      <c r="ER70" s="1419"/>
      <c r="ES70" s="1419"/>
      <c r="ET70" s="1419"/>
      <c r="EU70" s="1419"/>
      <c r="EV70" s="1419"/>
      <c r="EW70" s="1419"/>
      <c r="EX70" s="1419"/>
      <c r="EY70" s="1419"/>
      <c r="EZ70" s="1419"/>
      <c r="FA70" s="1419"/>
      <c r="FB70" s="1419"/>
      <c r="FC70" s="1419"/>
      <c r="FD70" s="1419"/>
      <c r="FE70" s="1419"/>
      <c r="FF70" s="1419"/>
      <c r="FG70" s="1419"/>
      <c r="FH70" s="1419"/>
      <c r="FI70" s="1419"/>
    </row>
    <row r="71" spans="1:165">
      <c r="A71" s="448" t="str">
        <f>IF(+'Argus Drop'!B75="","",'Argus Drop'!B75)</f>
        <v/>
      </c>
      <c r="B71" s="440" t="str">
        <f>IF(A71="","",+SUMIF('Argus Drop'!$D$7:$D$64,$A71,'Argus Drop'!#REF!))</f>
        <v/>
      </c>
      <c r="C71" s="440" t="str">
        <f>IF(B71="","",+SUMIF('Argus Drop'!$D$7:$D$64,$A71,'Argus Drop'!#REF!))</f>
        <v/>
      </c>
      <c r="D71" s="440" t="str">
        <f>IF(C71="","",+SUMIF('Argus Drop'!$D$7:$D$64,$A71,'Argus Drop'!#REF!))</f>
        <v/>
      </c>
      <c r="E71" s="440" t="str">
        <f>IF(D71="","",+SUMIF('Argus Drop'!$D$7:$D$64,$A71,'Argus Drop'!#REF!))</f>
        <v/>
      </c>
      <c r="F71" s="440" t="str">
        <f>IF(E71="","",+SUMIF('Argus Drop'!$D$7:$D$64,$A71,'Argus Drop'!#REF!))</f>
        <v/>
      </c>
      <c r="G71" s="440" t="str">
        <f>IF(F71="","",+SUMIF('Argus Drop'!$D$7:$D$64,$A71,'Argus Drop'!F$7:F$64))</f>
        <v/>
      </c>
      <c r="H71" s="440" t="str">
        <f>IF(G71="","",+SUMIF('Argus Drop'!$D$7:$D$64,$A71,'Argus Drop'!G$12:G$64))</f>
        <v/>
      </c>
      <c r="I71" s="440" t="str">
        <f>IF(H71="","",+SUMIF('Argus Drop'!$D$7:$D$64,$A71,'Argus Drop'!H$12:H$64))</f>
        <v/>
      </c>
      <c r="J71" s="440" t="str">
        <f>IF(I71="","",+SUMIF('Argus Drop'!$D$7:$D$64,$A71,'Argus Drop'!I$12:I$64))</f>
        <v/>
      </c>
      <c r="K71" s="440" t="str">
        <f>IF(J71="","",+SUMIF('Argus Drop'!$D$7:$D$64,$A71,'Argus Drop'!J$12:J$64))</f>
        <v/>
      </c>
      <c r="L71" s="440" t="str">
        <f>IF(K71="","",+SUMIF('Argus Drop'!$D$7:$D$64,$A71,'Argus Drop'!K$12:K$64))</f>
        <v/>
      </c>
      <c r="M71" s="440" t="str">
        <f>IF(L71="","",+SUMIF('Argus Drop'!$D$7:$D$64,$A71,'Argus Drop'!L$12:L$64))</f>
        <v/>
      </c>
      <c r="N71" s="440" t="str">
        <f>IF(M71="","",+SUMIF('Argus Drop'!$D$7:$D$64,$A71,'Argus Drop'!#REF!))</f>
        <v/>
      </c>
      <c r="O71" s="440" t="str">
        <f>IF(N71="","",+SUMIF('Argus Drop'!$D$7:$D$64,$A71,'Argus Drop'!M$12:M$64))</f>
        <v/>
      </c>
      <c r="P71" s="440" t="str">
        <f>IF(O71="","",+SUMIF('Argus Drop'!$D$7:$D$64,$A71,'Argus Drop'!N$12:N$64))</f>
        <v/>
      </c>
      <c r="Q71" s="440" t="str">
        <f>IF(P71="","",+SUMIF('Argus Drop'!$D$7:$D$64,$A71,'Argus Drop'!O$12:O$64))</f>
        <v/>
      </c>
      <c r="R71" s="440" t="str">
        <f>IF(Q71="","",+SUMIF('Argus Drop'!$D$7:$D$64,$A71,'Argus Drop'!P$12:P$64))</f>
        <v/>
      </c>
      <c r="S71" s="440" t="str">
        <f>IF(R71="","",+SUMIF('Argus Drop'!$D$7:$D$64,$A71,'Argus Drop'!Q$12:Q$64))</f>
        <v/>
      </c>
      <c r="T71" s="440" t="str">
        <f>IF(S71="","",+SUMIF('Argus Drop'!$D$7:$D$64,$A71,'Argus Drop'!R$12:R$64))</f>
        <v/>
      </c>
      <c r="U71" s="440" t="str">
        <f>IF(T71="","",+SUMIF('Argus Drop'!$D$7:$D$64,$A71,'Argus Drop'!S$12:S$64))</f>
        <v/>
      </c>
      <c r="V71" s="440" t="str">
        <f>IF(U71="","",+SUMIF('Argus Drop'!$D$7:$D$64,$A71,'Argus Drop'!T$12:T$64))</f>
        <v/>
      </c>
      <c r="W71" s="440" t="str">
        <f>IF(V71="","",+SUMIF('Argus Drop'!$D$7:$D$64,$A71,'Argus Drop'!U$12:U$64))</f>
        <v/>
      </c>
      <c r="X71" s="440" t="str">
        <f>IF(W71="","",+SUMIF('Argus Drop'!$D$7:$D$64,$A71,'Argus Drop'!V$12:V$64))</f>
        <v/>
      </c>
      <c r="Y71" s="440" t="str">
        <f>IF(X71="","",+SUMIF('Argus Drop'!$D$7:$D$64,$A71,'Argus Drop'!W$12:W$64))</f>
        <v/>
      </c>
      <c r="Z71" s="440" t="str">
        <f>IF(Y71="","",+SUMIF('Argus Drop'!$D$7:$D$64,$A71,'Argus Drop'!X$12:X$64))</f>
        <v/>
      </c>
      <c r="AA71" s="440" t="str">
        <f>IF(Z71="","",+SUMIF('Argus Drop'!$D$7:$D$64,$A71,'Argus Drop'!#REF!))</f>
        <v/>
      </c>
      <c r="AB71" s="440" t="str">
        <f>IF(AA71="","",+SUMIF('Argus Drop'!$D$7:$D$64,$A71,'Argus Drop'!Y$12:Y$64))</f>
        <v/>
      </c>
      <c r="AC71" s="440" t="str">
        <f>IF(AB71="","",+SUMIF('Argus Drop'!$D$7:$D$64,$A71,'Argus Drop'!Z$12:Z$64))</f>
        <v/>
      </c>
      <c r="AD71" s="440" t="str">
        <f>IF(AC71="","",+SUMIF('Argus Drop'!$D$7:$D$64,$A71,'Argus Drop'!AA$12:AA$64))</f>
        <v/>
      </c>
      <c r="AE71" s="440" t="str">
        <f>IF(AD71="","",+SUMIF('Argus Drop'!$D$7:$D$64,$A71,'Argus Drop'!AB$12:AB$64))</f>
        <v/>
      </c>
      <c r="AF71" s="440" t="str">
        <f>IF(AE71="","",+SUMIF('Argus Drop'!$D$7:$D$64,$A71,'Argus Drop'!AC$12:AC$64))</f>
        <v/>
      </c>
      <c r="AG71" s="440" t="str">
        <f>IF(AF71="","",+SUMIF('Argus Drop'!$D$7:$D$64,$A71,'Argus Drop'!AD$12:AD$64))</f>
        <v/>
      </c>
      <c r="AH71" s="440" t="str">
        <f>IF(AG71="","",+SUMIF('Argus Drop'!$D$7:$D$64,$A71,'Argus Drop'!AE$12:AE$64))</f>
        <v/>
      </c>
      <c r="AI71" s="440" t="str">
        <f>IF(AH71="","",+SUMIF('Argus Drop'!$D$7:$D$64,$A71,'Argus Drop'!AF$12:AF$64))</f>
        <v/>
      </c>
      <c r="AJ71" s="440" t="str">
        <f>IF(AI71="","",+SUMIF('Argus Drop'!$D$7:$D$64,$A71,'Argus Drop'!AG$12:AG$64))</f>
        <v/>
      </c>
      <c r="AK71" s="440" t="str">
        <f>IF(AJ71="","",+SUMIF('Argus Drop'!$D$7:$D$64,$A71,'Argus Drop'!AH$12:AH$64))</f>
        <v/>
      </c>
      <c r="AL71" s="440" t="str">
        <f>IF(AK71="","",+SUMIF('Argus Drop'!$D$7:$D$64,$A71,'Argus Drop'!AI$12:AI$64))</f>
        <v/>
      </c>
      <c r="AM71" s="440" t="str">
        <f>IF(AL71="","",+SUMIF('Argus Drop'!$D$7:$D$64,$A71,'Argus Drop'!AJ$12:AJ$64))</f>
        <v/>
      </c>
      <c r="AN71" s="440" t="str">
        <f>IF(AM71="","",+SUMIF('Argus Drop'!$D$7:$D$64,$A71,'Argus Drop'!#REF!))</f>
        <v/>
      </c>
      <c r="AO71" s="440" t="str">
        <f>IF(AN71="","",+SUMIF('Argus Drop'!$D$7:$D$64,$A71,'Argus Drop'!AK$12:AK$64))</f>
        <v/>
      </c>
      <c r="AP71" s="440" t="str">
        <f>IF(AO71="","",+SUMIF('Argus Drop'!$D$7:$D$64,$A71,'Argus Drop'!AL$12:AL$64))</f>
        <v/>
      </c>
      <c r="AQ71" s="440" t="str">
        <f>IF(AP71="","",+SUMIF('Argus Drop'!$D$7:$D$64,$A71,'Argus Drop'!AM$12:AM$64))</f>
        <v/>
      </c>
      <c r="AR71" s="440" t="str">
        <f>IF(AQ71="","",+SUMIF('Argus Drop'!$D$7:$D$64,$A71,'Argus Drop'!AN$12:AN$64))</f>
        <v/>
      </c>
      <c r="AS71" s="440" t="str">
        <f>IF(AR71="","",+SUMIF('Argus Drop'!$D$7:$D$64,$A71,'Argus Drop'!AO$12:AO$64))</f>
        <v/>
      </c>
      <c r="AT71" s="440" t="str">
        <f>IF(AS71="","",+SUMIF('Argus Drop'!$D$7:$D$64,$A71,'Argus Drop'!AP$12:AP$64))</f>
        <v/>
      </c>
      <c r="AU71" s="440" t="str">
        <f>IF(AT71="","",+SUMIF('Argus Drop'!$D$7:$D$64,$A71,'Argus Drop'!AQ$12:AQ$64))</f>
        <v/>
      </c>
      <c r="AV71" s="440" t="str">
        <f>IF(AU71="","",+SUMIF('Argus Drop'!$D$7:$D$64,$A71,'Argus Drop'!AR$12:AR$64))</f>
        <v/>
      </c>
      <c r="AW71" s="440" t="str">
        <f>IF(AV71="","",+SUMIF('Argus Drop'!$D$7:$D$64,$A71,'Argus Drop'!AS$12:AS$64))</f>
        <v/>
      </c>
      <c r="AX71" s="440" t="str">
        <f>IF(AW71="","",+SUMIF('Argus Drop'!$D$7:$D$64,$A71,'Argus Drop'!AT$12:AT$64))</f>
        <v/>
      </c>
      <c r="AY71" s="440" t="str">
        <f>IF(AX71="","",+SUMIF('Argus Drop'!$D$7:$D$64,$A71,'Argus Drop'!AU$12:AU$64))</f>
        <v/>
      </c>
      <c r="AZ71" s="440" t="str">
        <f>IF(AY71="","",+SUMIF('Argus Drop'!$D$7:$D$64,$A71,'Argus Drop'!AV$12:AV$64))</f>
        <v/>
      </c>
      <c r="BA71" s="440" t="str">
        <f>IF(AZ71="","",+SUMIF('Argus Drop'!$D$7:$D$64,$A71,'Argus Drop'!#REF!))</f>
        <v/>
      </c>
      <c r="BB71" s="440" t="str">
        <f>IF(BA71="","",+SUMIF('Argus Drop'!$D$7:$D$64,$A71,'Argus Drop'!AW$12:AW$64))</f>
        <v/>
      </c>
      <c r="BC71" s="440" t="str">
        <f>IF(BB71="","",+SUMIF('Argus Drop'!$D$7:$D$64,$A71,'Argus Drop'!AX$12:AX$64))</f>
        <v/>
      </c>
      <c r="BD71" s="440" t="str">
        <f>IF(BC71="","",+SUMIF('Argus Drop'!$D$7:$D$64,$A71,'Argus Drop'!AY$12:AY$64))</f>
        <v/>
      </c>
      <c r="BE71" s="440" t="str">
        <f>IF(BD71="","",+SUMIF('Argus Drop'!$D$7:$D$64,$A71,'Argus Drop'!AZ$12:AZ$64))</f>
        <v/>
      </c>
      <c r="BF71" s="440" t="str">
        <f>IF(BE71="","",+SUMIF('Argus Drop'!$D$7:$D$64,$A71,'Argus Drop'!BA$12:BA$64))</f>
        <v/>
      </c>
      <c r="BG71" s="440" t="str">
        <f>IF(BF71="","",+SUMIF('Argus Drop'!$D$7:$D$64,$A71,'Argus Drop'!BB$12:BB$64))</f>
        <v/>
      </c>
      <c r="BH71" s="440" t="str">
        <f>IF(BG71="","",+SUMIF('Argus Drop'!$D$7:$D$64,$A71,'Argus Drop'!BC$12:BC$64))</f>
        <v/>
      </c>
      <c r="BI71" s="440" t="str">
        <f>IF(BH71="","",+SUMIF('Argus Drop'!$D$7:$D$64,$A71,'Argus Drop'!BD$12:BD$64))</f>
        <v/>
      </c>
      <c r="BJ71" s="440" t="str">
        <f>IF(BI71="","",+SUMIF('Argus Drop'!$D$7:$D$64,$A71,'Argus Drop'!BE$12:BE$64))</f>
        <v/>
      </c>
      <c r="BK71" s="440" t="str">
        <f>IF(BJ71="","",+SUMIF('Argus Drop'!$D$7:$D$64,$A71,'Argus Drop'!BF$12:BF$64))</f>
        <v/>
      </c>
      <c r="BL71" s="440" t="str">
        <f>IF(BK71="","",+SUMIF('Argus Drop'!$D$7:$D$64,$A71,'Argus Drop'!BG$12:BG$64))</f>
        <v/>
      </c>
      <c r="BM71" s="440" t="str">
        <f>IF(BL71="","",+SUMIF('Argus Drop'!$D$7:$D$64,$A71,'Argus Drop'!BH$12:BH$64))</f>
        <v/>
      </c>
      <c r="BN71" s="440" t="str">
        <f>IF(BM71="","",+SUMIF('Argus Drop'!$D$7:$D$64,$A71,'Argus Drop'!#REF!))</f>
        <v/>
      </c>
      <c r="BO71" s="440" t="str">
        <f>IF(BN71="","",+SUMIF('Argus Drop'!$D$7:$D$64,$A71,'Argus Drop'!BI$12:BI$64))</f>
        <v/>
      </c>
      <c r="BP71" s="440" t="str">
        <f>IF(BO71="","",+SUMIF('Argus Drop'!$D$7:$D$64,$A71,'Argus Drop'!BJ$12:BJ$64))</f>
        <v/>
      </c>
      <c r="BQ71" s="440" t="str">
        <f>IF(BP71="","",+SUMIF('Argus Drop'!$D$7:$D$64,$A71,'Argus Drop'!BK$12:BK$64))</f>
        <v/>
      </c>
      <c r="BR71" s="440" t="str">
        <f>IF(BQ71="","",+SUMIF('Argus Drop'!$D$7:$D$64,$A71,'Argus Drop'!BL$12:BL$64))</f>
        <v/>
      </c>
      <c r="BS71" s="440" t="str">
        <f>IF(BR71="","",+SUMIF('Argus Drop'!$D$7:$D$64,$A71,'Argus Drop'!BM$12:BM$64))</f>
        <v/>
      </c>
      <c r="BT71" s="440" t="str">
        <f>IF(BS71="","",+SUMIF('Argus Drop'!$D$7:$D$64,$A71,'Argus Drop'!BN$12:BN$64))</f>
        <v/>
      </c>
      <c r="BU71" s="440" t="str">
        <f>IF(BT71="","",+SUMIF('Argus Drop'!$D$7:$D$64,$A71,'Argus Drop'!BO$12:BO$64))</f>
        <v/>
      </c>
      <c r="BV71" s="440" t="str">
        <f>IF(BU71="","",+SUMIF('Argus Drop'!$D$7:$D$64,$A71,'Argus Drop'!BP$12:BP$64))</f>
        <v/>
      </c>
      <c r="BW71" s="440" t="str">
        <f>IF(BV71="","",+SUMIF('Argus Drop'!$D$7:$D$64,$A71,'Argus Drop'!BQ$12:BQ$64))</f>
        <v/>
      </c>
      <c r="BX71" s="440" t="str">
        <f>IF(BW71="","",+SUMIF('Argus Drop'!$D$7:$D$64,$A71,'Argus Drop'!BR$12:BR$64))</f>
        <v/>
      </c>
      <c r="BY71" s="440" t="str">
        <f>IF(BX71="","",+SUMIF('Argus Drop'!$D$7:$D$64,$A71,'Argus Drop'!BS$12:BS$64))</f>
        <v/>
      </c>
      <c r="BZ71" s="440" t="str">
        <f>IF(BY71="","",+SUMIF('Argus Drop'!$D$7:$D$64,$A71,'Argus Drop'!BT$12:BT$64))</f>
        <v/>
      </c>
      <c r="CA71" s="440" t="str">
        <f>IF(BZ71="","",+SUMIF('Argus Drop'!$D$7:$D$64,$A71,'Argus Drop'!#REF!))</f>
        <v/>
      </c>
      <c r="CB71" s="440" t="str">
        <f>IF(CA71="","",+SUMIF('Argus Drop'!$D$7:$D$64,$A71,'Argus Drop'!BU$12:BU$64))</f>
        <v/>
      </c>
      <c r="CC71" s="440" t="str">
        <f>IF(CB71="","",+SUMIF('Argus Drop'!$D$7:$D$64,$A71,'Argus Drop'!BV$12:BV$64))</f>
        <v/>
      </c>
      <c r="CD71" s="440" t="str">
        <f>IF(CC71="","",+SUMIF('Argus Drop'!$D$7:$D$64,$A71,'Argus Drop'!BW$12:BW$64))</f>
        <v/>
      </c>
      <c r="CE71" s="440" t="str">
        <f>IF(CD71="","",+SUMIF('Argus Drop'!$D$7:$D$64,$A71,'Argus Drop'!BX$12:BX$64))</f>
        <v/>
      </c>
      <c r="CF71" s="440" t="str">
        <f>IF(CE71="","",+SUMIF('Argus Drop'!$D$7:$D$64,$A71,'Argus Drop'!BY$12:BY$64))</f>
        <v/>
      </c>
      <c r="CG71" s="440" t="str">
        <f>IF(CF71="","",+SUMIF('Argus Drop'!$D$7:$D$64,$A71,'Argus Drop'!BZ$12:BZ$64))</f>
        <v/>
      </c>
      <c r="CH71" s="440" t="str">
        <f>IF(CG71="","",+SUMIF('Argus Drop'!$D$7:$D$64,$A71,'Argus Drop'!CA$12:CA$64))</f>
        <v/>
      </c>
      <c r="CI71" s="440" t="str">
        <f>IF(CH71="","",+SUMIF('Argus Drop'!$D$7:$D$64,$A71,'Argus Drop'!CB$12:CB$64))</f>
        <v/>
      </c>
      <c r="CJ71" s="440" t="str">
        <f>IF(CI71="","",+SUMIF('Argus Drop'!$D$7:$D$64,$A71,'Argus Drop'!CC$12:CC$64))</f>
        <v/>
      </c>
      <c r="CK71" s="440" t="str">
        <f>IF(CJ71="","",+SUMIF('Argus Drop'!$D$7:$D$64,$A71,'Argus Drop'!CD$12:CD$64))</f>
        <v/>
      </c>
      <c r="CL71" s="440" t="str">
        <f>IF(CK71="","",+SUMIF('Argus Drop'!$D$7:$D$64,$A71,'Argus Drop'!CE$12:CE$64))</f>
        <v/>
      </c>
      <c r="CM71" s="440" t="str">
        <f>IF(CL71="","",+SUMIF('Argus Drop'!$D$7:$D$64,$A71,'Argus Drop'!CF$12:CF$64))</f>
        <v/>
      </c>
      <c r="CN71" s="440" t="str">
        <f>IF(CM71="","",+SUMIF('Argus Drop'!$D$7:$D$64,$A71,'Argus Drop'!#REF!))</f>
        <v/>
      </c>
      <c r="CO71" s="440" t="str">
        <f>IF(CN71="","",+SUMIF('Argus Drop'!$D$7:$D$64,$A71,'Argus Drop'!CG$12:CG$64))</f>
        <v/>
      </c>
      <c r="CP71" s="440" t="str">
        <f>IF(CO71="","",+SUMIF('Argus Drop'!$D$7:$D$64,$A71,'Argus Drop'!CH$12:CH$64))</f>
        <v/>
      </c>
      <c r="CQ71" s="440" t="str">
        <f>IF(CP71="","",+SUMIF('Argus Drop'!$D$7:$D$64,$A71,'Argus Drop'!CI$12:CI$64))</f>
        <v/>
      </c>
      <c r="CR71" s="440" t="str">
        <f>IF(CQ71="","",+SUMIF('Argus Drop'!$D$7:$D$64,$A71,'Argus Drop'!CJ$12:CJ$64))</f>
        <v/>
      </c>
      <c r="CS71" s="440" t="str">
        <f>IF(CR71="","",+SUMIF('Argus Drop'!$D$7:$D$64,$A71,'Argus Drop'!CK$12:CK$64))</f>
        <v/>
      </c>
      <c r="CT71" s="440" t="str">
        <f>IF(CS71="","",+SUMIF('Argus Drop'!$D$7:$D$64,$A71,'Argus Drop'!CL$12:CL$64))</f>
        <v/>
      </c>
      <c r="CU71" s="440" t="str">
        <f>IF(CT71="","",+SUMIF('Argus Drop'!$D$7:$D$64,$A71,'Argus Drop'!CM$12:CM$64))</f>
        <v/>
      </c>
      <c r="CV71" s="440" t="str">
        <f>IF(CU71="","",+SUMIF('Argus Drop'!$D$7:$D$64,$A71,'Argus Drop'!CN$12:CN$64))</f>
        <v/>
      </c>
      <c r="CW71" s="440" t="str">
        <f>IF(CV71="","",+SUMIF('Argus Drop'!$D$7:$D$64,$A71,'Argus Drop'!CO$12:CO$64))</f>
        <v/>
      </c>
      <c r="CX71" s="440" t="str">
        <f>IF(CW71="","",+SUMIF('Argus Drop'!$D$7:$D$64,$A71,'Argus Drop'!CP$12:CP$64))</f>
        <v/>
      </c>
      <c r="CY71" s="440" t="str">
        <f>IF(CX71="","",+SUMIF('Argus Drop'!$D$7:$D$64,$A71,'Argus Drop'!CQ$12:CQ$64))</f>
        <v/>
      </c>
      <c r="CZ71" s="440" t="str">
        <f>IF(CY71="","",+SUMIF('Argus Drop'!$D$7:$D$64,$A71,'Argus Drop'!CR$12:CR$64))</f>
        <v/>
      </c>
      <c r="DA71" s="440" t="str">
        <f>IF(CZ71="","",+SUMIF('Argus Drop'!$D$7:$D$64,$A71,'Argus Drop'!#REF!))</f>
        <v/>
      </c>
      <c r="DB71" s="440" t="str">
        <f>IF(DA71="","",+SUMIF('Argus Drop'!$D$7:$D$64,$A71,'Argus Drop'!CS$12:CS$64))</f>
        <v/>
      </c>
      <c r="DC71" s="440" t="str">
        <f>IF(DB71="","",+SUMIF('Argus Drop'!$D$7:$D$64,$A71,'Argus Drop'!CT$12:CT$64))</f>
        <v/>
      </c>
      <c r="DD71" s="440" t="str">
        <f>IF(DC71="","",+SUMIF('Argus Drop'!$D$7:$D$64,$A71,'Argus Drop'!CU$12:CU$64))</f>
        <v/>
      </c>
      <c r="DE71" s="440" t="str">
        <f>IF(DD71="","",+SUMIF('Argus Drop'!$D$7:$D$64,$A71,'Argus Drop'!CV$12:CV$64))</f>
        <v/>
      </c>
      <c r="DF71" s="440" t="str">
        <f>IF(DE71="","",+SUMIF('Argus Drop'!$D$7:$D$64,$A71,'Argus Drop'!CW$12:CW$64))</f>
        <v/>
      </c>
      <c r="DG71" s="440" t="str">
        <f>IF(DF71="","",+SUMIF('Argus Drop'!$D$7:$D$64,$A71,'Argus Drop'!CX$12:CX$64))</f>
        <v/>
      </c>
      <c r="DH71" s="440" t="str">
        <f>IF(DG71="","",+SUMIF('Argus Drop'!$D$7:$D$64,$A71,'Argus Drop'!CY$12:CY$64))</f>
        <v/>
      </c>
      <c r="DI71" s="440" t="str">
        <f>IF(DH71="","",+SUMIF('Argus Drop'!$D$7:$D$64,$A71,'Argus Drop'!CZ$12:CZ$64))</f>
        <v/>
      </c>
      <c r="DJ71" s="440" t="str">
        <f>IF(DI71="","",+SUMIF('Argus Drop'!$D$7:$D$64,$A71,'Argus Drop'!DA$12:DA$64))</f>
        <v/>
      </c>
      <c r="DK71" s="440" t="str">
        <f>IF(DJ71="","",+SUMIF('Argus Drop'!$D$7:$D$64,$A71,'Argus Drop'!DB$12:DB$64))</f>
        <v/>
      </c>
      <c r="DL71" s="440" t="str">
        <f>IF(DK71="","",+SUMIF('Argus Drop'!$D$7:$D$64,$A71,'Argus Drop'!DC$12:DC$64))</f>
        <v/>
      </c>
      <c r="DM71" s="440" t="str">
        <f>IF(DL71="","",+SUMIF('Argus Drop'!$D$7:$D$64,$A71,'Argus Drop'!DD$12:DD$64))</f>
        <v/>
      </c>
      <c r="DN71" s="440" t="str">
        <f>IF(DM71="","",+SUMIF('Argus Drop'!$D$7:$D$64,$A71,'Argus Drop'!#REF!))</f>
        <v/>
      </c>
      <c r="DO71" s="440" t="str">
        <f>IF(DN71="","",+SUMIF('Argus Drop'!$D$7:$D$64,$A71,'Argus Drop'!DE$12:DE$64))</f>
        <v/>
      </c>
      <c r="DP71" s="440" t="str">
        <f>IF(DO71="","",+SUMIF('Argus Drop'!$D$7:$D$64,$A71,'Argus Drop'!DF$12:DF$64))</f>
        <v/>
      </c>
      <c r="DQ71" s="440" t="str">
        <f>IF(DP71="","",+SUMIF('Argus Drop'!$D$7:$D$64,$A71,'Argus Drop'!DG$12:DG$64))</f>
        <v/>
      </c>
      <c r="DR71" s="440" t="str">
        <f>IF(DQ71="","",+SUMIF('Argus Drop'!$D$7:$D$64,$A71,'Argus Drop'!DH$12:DH$64))</f>
        <v/>
      </c>
      <c r="DS71" s="440"/>
      <c r="DT71" s="440"/>
      <c r="DU71" s="440"/>
      <c r="DV71" s="440"/>
      <c r="DW71" s="440"/>
      <c r="DX71" s="440"/>
      <c r="DY71" s="440"/>
      <c r="DZ71" s="440"/>
      <c r="EA71" s="440"/>
      <c r="EB71" s="440"/>
      <c r="EC71" s="440"/>
      <c r="ED71" s="1419"/>
      <c r="EE71" s="1419"/>
      <c r="EF71" s="1419"/>
      <c r="EG71" s="1419"/>
      <c r="EH71" s="1419"/>
      <c r="EI71" s="1419"/>
      <c r="EJ71" s="1419"/>
      <c r="EK71" s="1419"/>
      <c r="EL71" s="1419"/>
      <c r="EM71" s="1419"/>
      <c r="EN71" s="1419"/>
      <c r="EO71" s="1419"/>
      <c r="EP71" s="1419"/>
      <c r="EQ71" s="1419"/>
      <c r="ER71" s="1419"/>
      <c r="ES71" s="1419"/>
      <c r="ET71" s="1419"/>
      <c r="EU71" s="1419"/>
      <c r="EV71" s="1419"/>
      <c r="EW71" s="1419"/>
      <c r="EX71" s="1419"/>
      <c r="EY71" s="1419"/>
      <c r="EZ71" s="1419"/>
      <c r="FA71" s="1419"/>
      <c r="FB71" s="1419"/>
      <c r="FC71" s="1419"/>
      <c r="FD71" s="1419"/>
      <c r="FE71" s="1419"/>
      <c r="FF71" s="1419"/>
      <c r="FG71" s="1419"/>
      <c r="FH71" s="1419"/>
      <c r="FI71" s="1419"/>
    </row>
    <row r="72" spans="1:165">
      <c r="A72" s="448" t="str">
        <f>IF(+'Argus Drop'!B76="","",'Argus Drop'!B76)</f>
        <v/>
      </c>
      <c r="B72" s="440" t="str">
        <f>IF(A72="","",+SUMIF('Argus Drop'!$D$7:$D$64,$A72,'Argus Drop'!#REF!))</f>
        <v/>
      </c>
      <c r="C72" s="440" t="str">
        <f>IF(B72="","",+SUMIF('Argus Drop'!$D$7:$D$64,$A72,'Argus Drop'!#REF!))</f>
        <v/>
      </c>
      <c r="D72" s="440" t="str">
        <f>IF(C72="","",+SUMIF('Argus Drop'!$D$7:$D$64,$A72,'Argus Drop'!#REF!))</f>
        <v/>
      </c>
      <c r="E72" s="440" t="str">
        <f>IF(D72="","",+SUMIF('Argus Drop'!$D$7:$D$64,$A72,'Argus Drop'!#REF!))</f>
        <v/>
      </c>
      <c r="F72" s="440" t="str">
        <f>IF(E72="","",+SUMIF('Argus Drop'!$D$7:$D$64,$A72,'Argus Drop'!#REF!))</f>
        <v/>
      </c>
      <c r="G72" s="440" t="str">
        <f>IF(F72="","",+SUMIF('Argus Drop'!$D$7:$D$64,$A72,'Argus Drop'!F$7:F$64))</f>
        <v/>
      </c>
      <c r="H72" s="440" t="str">
        <f>IF(G72="","",+SUMIF('Argus Drop'!$D$7:$D$64,$A72,'Argus Drop'!G$12:G$64))</f>
        <v/>
      </c>
      <c r="I72" s="440" t="str">
        <f>IF(H72="","",+SUMIF('Argus Drop'!$D$7:$D$64,$A72,'Argus Drop'!H$12:H$64))</f>
        <v/>
      </c>
      <c r="J72" s="440" t="str">
        <f>IF(I72="","",+SUMIF('Argus Drop'!$D$7:$D$64,$A72,'Argus Drop'!I$12:I$64))</f>
        <v/>
      </c>
      <c r="K72" s="440" t="str">
        <f>IF(J72="","",+SUMIF('Argus Drop'!$D$7:$D$64,$A72,'Argus Drop'!J$12:J$64))</f>
        <v/>
      </c>
      <c r="L72" s="440" t="str">
        <f>IF(K72="","",+SUMIF('Argus Drop'!$D$7:$D$64,$A72,'Argus Drop'!K$12:K$64))</f>
        <v/>
      </c>
      <c r="M72" s="440" t="str">
        <f>IF(L72="","",+SUMIF('Argus Drop'!$D$7:$D$64,$A72,'Argus Drop'!L$12:L$64))</f>
        <v/>
      </c>
      <c r="N72" s="440" t="str">
        <f>IF(M72="","",+SUMIF('Argus Drop'!$D$7:$D$64,$A72,'Argus Drop'!#REF!))</f>
        <v/>
      </c>
      <c r="O72" s="440" t="str">
        <f>IF(N72="","",+SUMIF('Argus Drop'!$D$7:$D$64,$A72,'Argus Drop'!M$12:M$64))</f>
        <v/>
      </c>
      <c r="P72" s="440" t="str">
        <f>IF(O72="","",+SUMIF('Argus Drop'!$D$7:$D$64,$A72,'Argus Drop'!N$12:N$64))</f>
        <v/>
      </c>
      <c r="Q72" s="440" t="str">
        <f>IF(P72="","",+SUMIF('Argus Drop'!$D$7:$D$64,$A72,'Argus Drop'!O$12:O$64))</f>
        <v/>
      </c>
      <c r="R72" s="440" t="str">
        <f>IF(Q72="","",+SUMIF('Argus Drop'!$D$7:$D$64,$A72,'Argus Drop'!P$12:P$64))</f>
        <v/>
      </c>
      <c r="S72" s="440" t="str">
        <f>IF(R72="","",+SUMIF('Argus Drop'!$D$7:$D$64,$A72,'Argus Drop'!Q$12:Q$64))</f>
        <v/>
      </c>
      <c r="T72" s="440" t="str">
        <f>IF(S72="","",+SUMIF('Argus Drop'!$D$7:$D$64,$A72,'Argus Drop'!R$12:R$64))</f>
        <v/>
      </c>
      <c r="U72" s="440" t="str">
        <f>IF(T72="","",+SUMIF('Argus Drop'!$D$7:$D$64,$A72,'Argus Drop'!S$12:S$64))</f>
        <v/>
      </c>
      <c r="V72" s="440" t="str">
        <f>IF(U72="","",+SUMIF('Argus Drop'!$D$7:$D$64,$A72,'Argus Drop'!T$12:T$64))</f>
        <v/>
      </c>
      <c r="W72" s="440" t="str">
        <f>IF(V72="","",+SUMIF('Argus Drop'!$D$7:$D$64,$A72,'Argus Drop'!U$12:U$64))</f>
        <v/>
      </c>
      <c r="X72" s="440" t="str">
        <f>IF(W72="","",+SUMIF('Argus Drop'!$D$7:$D$64,$A72,'Argus Drop'!V$12:V$64))</f>
        <v/>
      </c>
      <c r="Y72" s="440" t="str">
        <f>IF(X72="","",+SUMIF('Argus Drop'!$D$7:$D$64,$A72,'Argus Drop'!W$12:W$64))</f>
        <v/>
      </c>
      <c r="Z72" s="440" t="str">
        <f>IF(Y72="","",+SUMIF('Argus Drop'!$D$7:$D$64,$A72,'Argus Drop'!X$12:X$64))</f>
        <v/>
      </c>
      <c r="AA72" s="440" t="str">
        <f>IF(Z72="","",+SUMIF('Argus Drop'!$D$7:$D$64,$A72,'Argus Drop'!#REF!))</f>
        <v/>
      </c>
      <c r="AB72" s="440" t="str">
        <f>IF(AA72="","",+SUMIF('Argus Drop'!$D$7:$D$64,$A72,'Argus Drop'!Y$12:Y$64))</f>
        <v/>
      </c>
      <c r="AC72" s="440" t="str">
        <f>IF(AB72="","",+SUMIF('Argus Drop'!$D$7:$D$64,$A72,'Argus Drop'!Z$12:Z$64))</f>
        <v/>
      </c>
      <c r="AD72" s="440" t="str">
        <f>IF(AC72="","",+SUMIF('Argus Drop'!$D$7:$D$64,$A72,'Argus Drop'!AA$12:AA$64))</f>
        <v/>
      </c>
      <c r="AE72" s="440" t="str">
        <f>IF(AD72="","",+SUMIF('Argus Drop'!$D$7:$D$64,$A72,'Argus Drop'!AB$12:AB$64))</f>
        <v/>
      </c>
      <c r="AF72" s="440" t="str">
        <f>IF(AE72="","",+SUMIF('Argus Drop'!$D$7:$D$64,$A72,'Argus Drop'!AC$12:AC$64))</f>
        <v/>
      </c>
      <c r="AG72" s="440" t="str">
        <f>IF(AF72="","",+SUMIF('Argus Drop'!$D$7:$D$64,$A72,'Argus Drop'!AD$12:AD$64))</f>
        <v/>
      </c>
      <c r="AH72" s="440" t="str">
        <f>IF(AG72="","",+SUMIF('Argus Drop'!$D$7:$D$64,$A72,'Argus Drop'!AE$12:AE$64))</f>
        <v/>
      </c>
      <c r="AI72" s="440" t="str">
        <f>IF(AH72="","",+SUMIF('Argus Drop'!$D$7:$D$64,$A72,'Argus Drop'!AF$12:AF$64))</f>
        <v/>
      </c>
      <c r="AJ72" s="440" t="str">
        <f>IF(AI72="","",+SUMIF('Argus Drop'!$D$7:$D$64,$A72,'Argus Drop'!AG$12:AG$64))</f>
        <v/>
      </c>
      <c r="AK72" s="440" t="str">
        <f>IF(AJ72="","",+SUMIF('Argus Drop'!$D$7:$D$64,$A72,'Argus Drop'!AH$12:AH$64))</f>
        <v/>
      </c>
      <c r="AL72" s="440" t="str">
        <f>IF(AK72="","",+SUMIF('Argus Drop'!$D$7:$D$64,$A72,'Argus Drop'!AI$12:AI$64))</f>
        <v/>
      </c>
      <c r="AM72" s="440" t="str">
        <f>IF(AL72="","",+SUMIF('Argus Drop'!$D$7:$D$64,$A72,'Argus Drop'!AJ$12:AJ$64))</f>
        <v/>
      </c>
      <c r="AN72" s="440" t="str">
        <f>IF(AM72="","",+SUMIF('Argus Drop'!$D$7:$D$64,$A72,'Argus Drop'!#REF!))</f>
        <v/>
      </c>
      <c r="AO72" s="440" t="str">
        <f>IF(AN72="","",+SUMIF('Argus Drop'!$D$7:$D$64,$A72,'Argus Drop'!AK$12:AK$64))</f>
        <v/>
      </c>
      <c r="AP72" s="440" t="str">
        <f>IF(AO72="","",+SUMIF('Argus Drop'!$D$7:$D$64,$A72,'Argus Drop'!AL$12:AL$64))</f>
        <v/>
      </c>
      <c r="AQ72" s="440" t="str">
        <f>IF(AP72="","",+SUMIF('Argus Drop'!$D$7:$D$64,$A72,'Argus Drop'!AM$12:AM$64))</f>
        <v/>
      </c>
      <c r="AR72" s="440" t="str">
        <f>IF(AQ72="","",+SUMIF('Argus Drop'!$D$7:$D$64,$A72,'Argus Drop'!AN$12:AN$64))</f>
        <v/>
      </c>
      <c r="AS72" s="440" t="str">
        <f>IF(AR72="","",+SUMIF('Argus Drop'!$D$7:$D$64,$A72,'Argus Drop'!AO$12:AO$64))</f>
        <v/>
      </c>
      <c r="AT72" s="440" t="str">
        <f>IF(AS72="","",+SUMIF('Argus Drop'!$D$7:$D$64,$A72,'Argus Drop'!AP$12:AP$64))</f>
        <v/>
      </c>
      <c r="AU72" s="440" t="str">
        <f>IF(AT72="","",+SUMIF('Argus Drop'!$D$7:$D$64,$A72,'Argus Drop'!AQ$12:AQ$64))</f>
        <v/>
      </c>
      <c r="AV72" s="440" t="str">
        <f>IF(AU72="","",+SUMIF('Argus Drop'!$D$7:$D$64,$A72,'Argus Drop'!AR$12:AR$64))</f>
        <v/>
      </c>
      <c r="AW72" s="440" t="str">
        <f>IF(AV72="","",+SUMIF('Argus Drop'!$D$7:$D$64,$A72,'Argus Drop'!AS$12:AS$64))</f>
        <v/>
      </c>
      <c r="AX72" s="440" t="str">
        <f>IF(AW72="","",+SUMIF('Argus Drop'!$D$7:$D$64,$A72,'Argus Drop'!AT$12:AT$64))</f>
        <v/>
      </c>
      <c r="AY72" s="440" t="str">
        <f>IF(AX72="","",+SUMIF('Argus Drop'!$D$7:$D$64,$A72,'Argus Drop'!AU$12:AU$64))</f>
        <v/>
      </c>
      <c r="AZ72" s="440" t="str">
        <f>IF(AY72="","",+SUMIF('Argus Drop'!$D$7:$D$64,$A72,'Argus Drop'!AV$12:AV$64))</f>
        <v/>
      </c>
      <c r="BA72" s="440" t="str">
        <f>IF(AZ72="","",+SUMIF('Argus Drop'!$D$7:$D$64,$A72,'Argus Drop'!#REF!))</f>
        <v/>
      </c>
      <c r="BB72" s="440" t="str">
        <f>IF(BA72="","",+SUMIF('Argus Drop'!$D$7:$D$64,$A72,'Argus Drop'!AW$12:AW$64))</f>
        <v/>
      </c>
      <c r="BC72" s="440" t="str">
        <f>IF(BB72="","",+SUMIF('Argus Drop'!$D$7:$D$64,$A72,'Argus Drop'!AX$12:AX$64))</f>
        <v/>
      </c>
      <c r="BD72" s="440" t="str">
        <f>IF(BC72="","",+SUMIF('Argus Drop'!$D$7:$D$64,$A72,'Argus Drop'!AY$12:AY$64))</f>
        <v/>
      </c>
      <c r="BE72" s="440" t="str">
        <f>IF(BD72="","",+SUMIF('Argus Drop'!$D$7:$D$64,$A72,'Argus Drop'!AZ$12:AZ$64))</f>
        <v/>
      </c>
      <c r="BF72" s="440" t="str">
        <f>IF(BE72="","",+SUMIF('Argus Drop'!$D$7:$D$64,$A72,'Argus Drop'!BA$12:BA$64))</f>
        <v/>
      </c>
      <c r="BG72" s="440" t="str">
        <f>IF(BF72="","",+SUMIF('Argus Drop'!$D$7:$D$64,$A72,'Argus Drop'!BB$12:BB$64))</f>
        <v/>
      </c>
      <c r="BH72" s="440" t="str">
        <f>IF(BG72="","",+SUMIF('Argus Drop'!$D$7:$D$64,$A72,'Argus Drop'!BC$12:BC$64))</f>
        <v/>
      </c>
      <c r="BI72" s="440" t="str">
        <f>IF(BH72="","",+SUMIF('Argus Drop'!$D$7:$D$64,$A72,'Argus Drop'!BD$12:BD$64))</f>
        <v/>
      </c>
      <c r="BJ72" s="440" t="str">
        <f>IF(BI72="","",+SUMIF('Argus Drop'!$D$7:$D$64,$A72,'Argus Drop'!BE$12:BE$64))</f>
        <v/>
      </c>
      <c r="BK72" s="440" t="str">
        <f>IF(BJ72="","",+SUMIF('Argus Drop'!$D$7:$D$64,$A72,'Argus Drop'!BF$12:BF$64))</f>
        <v/>
      </c>
      <c r="BL72" s="440" t="str">
        <f>IF(BK72="","",+SUMIF('Argus Drop'!$D$7:$D$64,$A72,'Argus Drop'!BG$12:BG$64))</f>
        <v/>
      </c>
      <c r="BM72" s="440" t="str">
        <f>IF(BL72="","",+SUMIF('Argus Drop'!$D$7:$D$64,$A72,'Argus Drop'!BH$12:BH$64))</f>
        <v/>
      </c>
      <c r="BN72" s="440" t="str">
        <f>IF(BM72="","",+SUMIF('Argus Drop'!$D$7:$D$64,$A72,'Argus Drop'!#REF!))</f>
        <v/>
      </c>
      <c r="BO72" s="440" t="str">
        <f>IF(BN72="","",+SUMIF('Argus Drop'!$D$7:$D$64,$A72,'Argus Drop'!BI$12:BI$64))</f>
        <v/>
      </c>
      <c r="BP72" s="440" t="str">
        <f>IF(BO72="","",+SUMIF('Argus Drop'!$D$7:$D$64,$A72,'Argus Drop'!BJ$12:BJ$64))</f>
        <v/>
      </c>
      <c r="BQ72" s="440" t="str">
        <f>IF(BP72="","",+SUMIF('Argus Drop'!$D$7:$D$64,$A72,'Argus Drop'!BK$12:BK$64))</f>
        <v/>
      </c>
      <c r="BR72" s="440" t="str">
        <f>IF(BQ72="","",+SUMIF('Argus Drop'!$D$7:$D$64,$A72,'Argus Drop'!BL$12:BL$64))</f>
        <v/>
      </c>
      <c r="BS72" s="440" t="str">
        <f>IF(BR72="","",+SUMIF('Argus Drop'!$D$7:$D$64,$A72,'Argus Drop'!BM$12:BM$64))</f>
        <v/>
      </c>
      <c r="BT72" s="440" t="str">
        <f>IF(BS72="","",+SUMIF('Argus Drop'!$D$7:$D$64,$A72,'Argus Drop'!BN$12:BN$64))</f>
        <v/>
      </c>
      <c r="BU72" s="440" t="str">
        <f>IF(BT72="","",+SUMIF('Argus Drop'!$D$7:$D$64,$A72,'Argus Drop'!BO$12:BO$64))</f>
        <v/>
      </c>
      <c r="BV72" s="440" t="str">
        <f>IF(BU72="","",+SUMIF('Argus Drop'!$D$7:$D$64,$A72,'Argus Drop'!BP$12:BP$64))</f>
        <v/>
      </c>
      <c r="BW72" s="440" t="str">
        <f>IF(BV72="","",+SUMIF('Argus Drop'!$D$7:$D$64,$A72,'Argus Drop'!BQ$12:BQ$64))</f>
        <v/>
      </c>
      <c r="BX72" s="440" t="str">
        <f>IF(BW72="","",+SUMIF('Argus Drop'!$D$7:$D$64,$A72,'Argus Drop'!BR$12:BR$64))</f>
        <v/>
      </c>
      <c r="BY72" s="440" t="str">
        <f>IF(BX72="","",+SUMIF('Argus Drop'!$D$7:$D$64,$A72,'Argus Drop'!BS$12:BS$64))</f>
        <v/>
      </c>
      <c r="BZ72" s="440" t="str">
        <f>IF(BY72="","",+SUMIF('Argus Drop'!$D$7:$D$64,$A72,'Argus Drop'!BT$12:BT$64))</f>
        <v/>
      </c>
      <c r="CA72" s="440" t="str">
        <f>IF(BZ72="","",+SUMIF('Argus Drop'!$D$7:$D$64,$A72,'Argus Drop'!#REF!))</f>
        <v/>
      </c>
      <c r="CB72" s="440" t="str">
        <f>IF(CA72="","",+SUMIF('Argus Drop'!$D$7:$D$64,$A72,'Argus Drop'!BU$12:BU$64))</f>
        <v/>
      </c>
      <c r="CC72" s="440" t="str">
        <f>IF(CB72="","",+SUMIF('Argus Drop'!$D$7:$D$64,$A72,'Argus Drop'!BV$12:BV$64))</f>
        <v/>
      </c>
      <c r="CD72" s="440" t="str">
        <f>IF(CC72="","",+SUMIF('Argus Drop'!$D$7:$D$64,$A72,'Argus Drop'!BW$12:BW$64))</f>
        <v/>
      </c>
      <c r="CE72" s="440" t="str">
        <f>IF(CD72="","",+SUMIF('Argus Drop'!$D$7:$D$64,$A72,'Argus Drop'!BX$12:BX$64))</f>
        <v/>
      </c>
      <c r="CF72" s="440" t="str">
        <f>IF(CE72="","",+SUMIF('Argus Drop'!$D$7:$D$64,$A72,'Argus Drop'!BY$12:BY$64))</f>
        <v/>
      </c>
      <c r="CG72" s="440" t="str">
        <f>IF(CF72="","",+SUMIF('Argus Drop'!$D$7:$D$64,$A72,'Argus Drop'!BZ$12:BZ$64))</f>
        <v/>
      </c>
      <c r="CH72" s="440" t="str">
        <f>IF(CG72="","",+SUMIF('Argus Drop'!$D$7:$D$64,$A72,'Argus Drop'!CA$12:CA$64))</f>
        <v/>
      </c>
      <c r="CI72" s="440" t="str">
        <f>IF(CH72="","",+SUMIF('Argus Drop'!$D$7:$D$64,$A72,'Argus Drop'!CB$12:CB$64))</f>
        <v/>
      </c>
      <c r="CJ72" s="440" t="str">
        <f>IF(CI72="","",+SUMIF('Argus Drop'!$D$7:$D$64,$A72,'Argus Drop'!CC$12:CC$64))</f>
        <v/>
      </c>
      <c r="CK72" s="440" t="str">
        <f>IF(CJ72="","",+SUMIF('Argus Drop'!$D$7:$D$64,$A72,'Argus Drop'!CD$12:CD$64))</f>
        <v/>
      </c>
      <c r="CL72" s="440" t="str">
        <f>IF(CK72="","",+SUMIF('Argus Drop'!$D$7:$D$64,$A72,'Argus Drop'!CE$12:CE$64))</f>
        <v/>
      </c>
      <c r="CM72" s="440" t="str">
        <f>IF(CL72="","",+SUMIF('Argus Drop'!$D$7:$D$64,$A72,'Argus Drop'!CF$12:CF$64))</f>
        <v/>
      </c>
      <c r="CN72" s="440" t="str">
        <f>IF(CM72="","",+SUMIF('Argus Drop'!$D$7:$D$64,$A72,'Argus Drop'!#REF!))</f>
        <v/>
      </c>
      <c r="CO72" s="440" t="str">
        <f>IF(CN72="","",+SUMIF('Argus Drop'!$D$7:$D$64,$A72,'Argus Drop'!CG$12:CG$64))</f>
        <v/>
      </c>
      <c r="CP72" s="440" t="str">
        <f>IF(CO72="","",+SUMIF('Argus Drop'!$D$7:$D$64,$A72,'Argus Drop'!CH$12:CH$64))</f>
        <v/>
      </c>
      <c r="CQ72" s="440" t="str">
        <f>IF(CP72="","",+SUMIF('Argus Drop'!$D$7:$D$64,$A72,'Argus Drop'!CI$12:CI$64))</f>
        <v/>
      </c>
      <c r="CR72" s="440" t="str">
        <f>IF(CQ72="","",+SUMIF('Argus Drop'!$D$7:$D$64,$A72,'Argus Drop'!CJ$12:CJ$64))</f>
        <v/>
      </c>
      <c r="CS72" s="440" t="str">
        <f>IF(CR72="","",+SUMIF('Argus Drop'!$D$7:$D$64,$A72,'Argus Drop'!CK$12:CK$64))</f>
        <v/>
      </c>
      <c r="CT72" s="440" t="str">
        <f>IF(CS72="","",+SUMIF('Argus Drop'!$D$7:$D$64,$A72,'Argus Drop'!CL$12:CL$64))</f>
        <v/>
      </c>
      <c r="CU72" s="440" t="str">
        <f>IF(CT72="","",+SUMIF('Argus Drop'!$D$7:$D$64,$A72,'Argus Drop'!CM$12:CM$64))</f>
        <v/>
      </c>
      <c r="CV72" s="440" t="str">
        <f>IF(CU72="","",+SUMIF('Argus Drop'!$D$7:$D$64,$A72,'Argus Drop'!CN$12:CN$64))</f>
        <v/>
      </c>
      <c r="CW72" s="440" t="str">
        <f>IF(CV72="","",+SUMIF('Argus Drop'!$D$7:$D$64,$A72,'Argus Drop'!CO$12:CO$64))</f>
        <v/>
      </c>
      <c r="CX72" s="440" t="str">
        <f>IF(CW72="","",+SUMIF('Argus Drop'!$D$7:$D$64,$A72,'Argus Drop'!CP$12:CP$64))</f>
        <v/>
      </c>
      <c r="CY72" s="440" t="str">
        <f>IF(CX72="","",+SUMIF('Argus Drop'!$D$7:$D$64,$A72,'Argus Drop'!CQ$12:CQ$64))</f>
        <v/>
      </c>
      <c r="CZ72" s="440" t="str">
        <f>IF(CY72="","",+SUMIF('Argus Drop'!$D$7:$D$64,$A72,'Argus Drop'!CR$12:CR$64))</f>
        <v/>
      </c>
      <c r="DA72" s="440" t="str">
        <f>IF(CZ72="","",+SUMIF('Argus Drop'!$D$7:$D$64,$A72,'Argus Drop'!#REF!))</f>
        <v/>
      </c>
      <c r="DB72" s="440" t="str">
        <f>IF(DA72="","",+SUMIF('Argus Drop'!$D$7:$D$64,$A72,'Argus Drop'!CS$12:CS$64))</f>
        <v/>
      </c>
      <c r="DC72" s="440" t="str">
        <f>IF(DB72="","",+SUMIF('Argus Drop'!$D$7:$D$64,$A72,'Argus Drop'!CT$12:CT$64))</f>
        <v/>
      </c>
      <c r="DD72" s="440" t="str">
        <f>IF(DC72="","",+SUMIF('Argus Drop'!$D$7:$D$64,$A72,'Argus Drop'!CU$12:CU$64))</f>
        <v/>
      </c>
      <c r="DE72" s="440" t="str">
        <f>IF(DD72="","",+SUMIF('Argus Drop'!$D$7:$D$64,$A72,'Argus Drop'!CV$12:CV$64))</f>
        <v/>
      </c>
      <c r="DF72" s="440" t="str">
        <f>IF(DE72="","",+SUMIF('Argus Drop'!$D$7:$D$64,$A72,'Argus Drop'!CW$12:CW$64))</f>
        <v/>
      </c>
      <c r="DG72" s="440" t="str">
        <f>IF(DF72="","",+SUMIF('Argus Drop'!$D$7:$D$64,$A72,'Argus Drop'!CX$12:CX$64))</f>
        <v/>
      </c>
      <c r="DH72" s="440" t="str">
        <f>IF(DG72="","",+SUMIF('Argus Drop'!$D$7:$D$64,$A72,'Argus Drop'!CY$12:CY$64))</f>
        <v/>
      </c>
      <c r="DI72" s="440" t="str">
        <f>IF(DH72="","",+SUMIF('Argus Drop'!$D$7:$D$64,$A72,'Argus Drop'!CZ$12:CZ$64))</f>
        <v/>
      </c>
      <c r="DJ72" s="440" t="str">
        <f>IF(DI72="","",+SUMIF('Argus Drop'!$D$7:$D$64,$A72,'Argus Drop'!DA$12:DA$64))</f>
        <v/>
      </c>
      <c r="DK72" s="440" t="str">
        <f>IF(DJ72="","",+SUMIF('Argus Drop'!$D$7:$D$64,$A72,'Argus Drop'!DB$12:DB$64))</f>
        <v/>
      </c>
      <c r="DL72" s="440" t="str">
        <f>IF(DK72="","",+SUMIF('Argus Drop'!$D$7:$D$64,$A72,'Argus Drop'!DC$12:DC$64))</f>
        <v/>
      </c>
      <c r="DM72" s="440" t="str">
        <f>IF(DL72="","",+SUMIF('Argus Drop'!$D$7:$D$64,$A72,'Argus Drop'!DD$12:DD$64))</f>
        <v/>
      </c>
      <c r="DN72" s="440" t="str">
        <f>IF(DM72="","",+SUMIF('Argus Drop'!$D$7:$D$64,$A72,'Argus Drop'!#REF!))</f>
        <v/>
      </c>
      <c r="DO72" s="440" t="str">
        <f>IF(DN72="","",+SUMIF('Argus Drop'!$D$7:$D$64,$A72,'Argus Drop'!DE$12:DE$64))</f>
        <v/>
      </c>
      <c r="DP72" s="440" t="str">
        <f>IF(DO72="","",+SUMIF('Argus Drop'!$D$7:$D$64,$A72,'Argus Drop'!DF$12:DF$64))</f>
        <v/>
      </c>
      <c r="DQ72" s="440" t="str">
        <f>IF(DP72="","",+SUMIF('Argus Drop'!$D$7:$D$64,$A72,'Argus Drop'!DG$12:DG$64))</f>
        <v/>
      </c>
      <c r="DR72" s="440" t="str">
        <f>IF(DQ72="","",+SUMIF('Argus Drop'!$D$7:$D$64,$A72,'Argus Drop'!DH$12:DH$64))</f>
        <v/>
      </c>
      <c r="DS72" s="440"/>
      <c r="DT72" s="440"/>
      <c r="DU72" s="440"/>
      <c r="DV72" s="440"/>
      <c r="DW72" s="440"/>
      <c r="DX72" s="440"/>
      <c r="DY72" s="440"/>
      <c r="DZ72" s="440"/>
      <c r="EA72" s="440"/>
      <c r="EB72" s="440"/>
      <c r="EC72" s="440"/>
      <c r="ED72" s="1419"/>
      <c r="EE72" s="1419"/>
      <c r="EF72" s="1419"/>
      <c r="EG72" s="1419"/>
      <c r="EH72" s="1419"/>
      <c r="EI72" s="1419"/>
      <c r="EJ72" s="1419"/>
      <c r="EK72" s="1419"/>
      <c r="EL72" s="1419"/>
      <c r="EM72" s="1419"/>
      <c r="EN72" s="1419"/>
      <c r="EO72" s="1419"/>
      <c r="EP72" s="1419"/>
      <c r="EQ72" s="1419"/>
      <c r="ER72" s="1419"/>
      <c r="ES72" s="1419"/>
      <c r="ET72" s="1419"/>
      <c r="EU72" s="1419"/>
      <c r="EV72" s="1419"/>
      <c r="EW72" s="1419"/>
      <c r="EX72" s="1419"/>
      <c r="EY72" s="1419"/>
      <c r="EZ72" s="1419"/>
      <c r="FA72" s="1419"/>
      <c r="FB72" s="1419"/>
      <c r="FC72" s="1419"/>
      <c r="FD72" s="1419"/>
      <c r="FE72" s="1419"/>
      <c r="FF72" s="1419"/>
      <c r="FG72" s="1419"/>
      <c r="FH72" s="1419"/>
      <c r="FI72" s="1419"/>
    </row>
    <row r="73" spans="1:165">
      <c r="A73" s="448" t="str">
        <f>IF(+'Argus Drop'!B77="","",'Argus Drop'!B77)</f>
        <v/>
      </c>
      <c r="B73" s="440" t="str">
        <f>IF(A73="","",+SUMIF('Argus Drop'!$D$7:$D$64,$A73,'Argus Drop'!#REF!))</f>
        <v/>
      </c>
      <c r="C73" s="440" t="str">
        <f>IF(B73="","",+SUMIF('Argus Drop'!$D$7:$D$64,$A73,'Argus Drop'!#REF!))</f>
        <v/>
      </c>
      <c r="D73" s="440" t="str">
        <f>IF(C73="","",+SUMIF('Argus Drop'!$D$7:$D$64,$A73,'Argus Drop'!#REF!))</f>
        <v/>
      </c>
      <c r="E73" s="440" t="str">
        <f>IF(D73="","",+SUMIF('Argus Drop'!$D$7:$D$64,$A73,'Argus Drop'!#REF!))</f>
        <v/>
      </c>
      <c r="F73" s="440" t="str">
        <f>IF(E73="","",+SUMIF('Argus Drop'!$D$7:$D$64,$A73,'Argus Drop'!#REF!))</f>
        <v/>
      </c>
      <c r="G73" s="440" t="str">
        <f>IF(F73="","",+SUMIF('Argus Drop'!$D$7:$D$64,$A73,'Argus Drop'!F$7:F$64))</f>
        <v/>
      </c>
      <c r="H73" s="440" t="str">
        <f>IF(G73="","",+SUMIF('Argus Drop'!$D$7:$D$64,$A73,'Argus Drop'!G$12:G$64))</f>
        <v/>
      </c>
      <c r="I73" s="440" t="str">
        <f>IF(H73="","",+SUMIF('Argus Drop'!$D$7:$D$64,$A73,'Argus Drop'!H$12:H$64))</f>
        <v/>
      </c>
      <c r="J73" s="440" t="str">
        <f>IF(I73="","",+SUMIF('Argus Drop'!$D$7:$D$64,$A73,'Argus Drop'!I$12:I$64))</f>
        <v/>
      </c>
      <c r="K73" s="440" t="str">
        <f>IF(J73="","",+SUMIF('Argus Drop'!$D$7:$D$64,$A73,'Argus Drop'!J$12:J$64))</f>
        <v/>
      </c>
      <c r="L73" s="440" t="str">
        <f>IF(K73="","",+SUMIF('Argus Drop'!$D$7:$D$64,$A73,'Argus Drop'!K$12:K$64))</f>
        <v/>
      </c>
      <c r="M73" s="440" t="str">
        <f>IF(L73="","",+SUMIF('Argus Drop'!$D$7:$D$64,$A73,'Argus Drop'!L$12:L$64))</f>
        <v/>
      </c>
      <c r="N73" s="440" t="str">
        <f>IF(M73="","",+SUMIF('Argus Drop'!$D$7:$D$64,$A73,'Argus Drop'!#REF!))</f>
        <v/>
      </c>
      <c r="O73" s="440" t="str">
        <f>IF(N73="","",+SUMIF('Argus Drop'!$D$7:$D$64,$A73,'Argus Drop'!M$12:M$64))</f>
        <v/>
      </c>
      <c r="P73" s="440" t="str">
        <f>IF(O73="","",+SUMIF('Argus Drop'!$D$7:$D$64,$A73,'Argus Drop'!N$12:N$64))</f>
        <v/>
      </c>
      <c r="Q73" s="440" t="str">
        <f>IF(P73="","",+SUMIF('Argus Drop'!$D$7:$D$64,$A73,'Argus Drop'!O$12:O$64))</f>
        <v/>
      </c>
      <c r="R73" s="440" t="str">
        <f>IF(Q73="","",+SUMIF('Argus Drop'!$D$7:$D$64,$A73,'Argus Drop'!P$12:P$64))</f>
        <v/>
      </c>
      <c r="S73" s="440" t="str">
        <f>IF(R73="","",+SUMIF('Argus Drop'!$D$7:$D$64,$A73,'Argus Drop'!Q$12:Q$64))</f>
        <v/>
      </c>
      <c r="T73" s="440" t="str">
        <f>IF(S73="","",+SUMIF('Argus Drop'!$D$7:$D$64,$A73,'Argus Drop'!R$12:R$64))</f>
        <v/>
      </c>
      <c r="U73" s="440" t="str">
        <f>IF(T73="","",+SUMIF('Argus Drop'!$D$7:$D$64,$A73,'Argus Drop'!S$12:S$64))</f>
        <v/>
      </c>
      <c r="V73" s="440" t="str">
        <f>IF(U73="","",+SUMIF('Argus Drop'!$D$7:$D$64,$A73,'Argus Drop'!T$12:T$64))</f>
        <v/>
      </c>
      <c r="W73" s="440" t="str">
        <f>IF(V73="","",+SUMIF('Argus Drop'!$D$7:$D$64,$A73,'Argus Drop'!U$12:U$64))</f>
        <v/>
      </c>
      <c r="X73" s="440" t="str">
        <f>IF(W73="","",+SUMIF('Argus Drop'!$D$7:$D$64,$A73,'Argus Drop'!V$12:V$64))</f>
        <v/>
      </c>
      <c r="Y73" s="440" t="str">
        <f>IF(X73="","",+SUMIF('Argus Drop'!$D$7:$D$64,$A73,'Argus Drop'!W$12:W$64))</f>
        <v/>
      </c>
      <c r="Z73" s="440" t="str">
        <f>IF(Y73="","",+SUMIF('Argus Drop'!$D$7:$D$64,$A73,'Argus Drop'!X$12:X$64))</f>
        <v/>
      </c>
      <c r="AA73" s="440" t="str">
        <f>IF(Z73="","",+SUMIF('Argus Drop'!$D$7:$D$64,$A73,'Argus Drop'!#REF!))</f>
        <v/>
      </c>
      <c r="AB73" s="440" t="str">
        <f>IF(AA73="","",+SUMIF('Argus Drop'!$D$7:$D$64,$A73,'Argus Drop'!Y$12:Y$64))</f>
        <v/>
      </c>
      <c r="AC73" s="440" t="str">
        <f>IF(AB73="","",+SUMIF('Argus Drop'!$D$7:$D$64,$A73,'Argus Drop'!Z$12:Z$64))</f>
        <v/>
      </c>
      <c r="AD73" s="440" t="str">
        <f>IF(AC73="","",+SUMIF('Argus Drop'!$D$7:$D$64,$A73,'Argus Drop'!AA$12:AA$64))</f>
        <v/>
      </c>
      <c r="AE73" s="440" t="str">
        <f>IF(AD73="","",+SUMIF('Argus Drop'!$D$7:$D$64,$A73,'Argus Drop'!AB$12:AB$64))</f>
        <v/>
      </c>
      <c r="AF73" s="440" t="str">
        <f>IF(AE73="","",+SUMIF('Argus Drop'!$D$7:$D$64,$A73,'Argus Drop'!AC$12:AC$64))</f>
        <v/>
      </c>
      <c r="AG73" s="440" t="str">
        <f>IF(AF73="","",+SUMIF('Argus Drop'!$D$7:$D$64,$A73,'Argus Drop'!AD$12:AD$64))</f>
        <v/>
      </c>
      <c r="AH73" s="440" t="str">
        <f>IF(AG73="","",+SUMIF('Argus Drop'!$D$7:$D$64,$A73,'Argus Drop'!AE$12:AE$64))</f>
        <v/>
      </c>
      <c r="AI73" s="440" t="str">
        <f>IF(AH73="","",+SUMIF('Argus Drop'!$D$7:$D$64,$A73,'Argus Drop'!AF$12:AF$64))</f>
        <v/>
      </c>
      <c r="AJ73" s="440" t="str">
        <f>IF(AI73="","",+SUMIF('Argus Drop'!$D$7:$D$64,$A73,'Argus Drop'!AG$12:AG$64))</f>
        <v/>
      </c>
      <c r="AK73" s="440" t="str">
        <f>IF(AJ73="","",+SUMIF('Argus Drop'!$D$7:$D$64,$A73,'Argus Drop'!AH$12:AH$64))</f>
        <v/>
      </c>
      <c r="AL73" s="440" t="str">
        <f>IF(AK73="","",+SUMIF('Argus Drop'!$D$7:$D$64,$A73,'Argus Drop'!AI$12:AI$64))</f>
        <v/>
      </c>
      <c r="AM73" s="440" t="str">
        <f>IF(AL73="","",+SUMIF('Argus Drop'!$D$7:$D$64,$A73,'Argus Drop'!AJ$12:AJ$64))</f>
        <v/>
      </c>
      <c r="AN73" s="440" t="str">
        <f>IF(AM73="","",+SUMIF('Argus Drop'!$D$7:$D$64,$A73,'Argus Drop'!#REF!))</f>
        <v/>
      </c>
      <c r="AO73" s="440" t="str">
        <f>IF(AN73="","",+SUMIF('Argus Drop'!$D$7:$D$64,$A73,'Argus Drop'!AK$12:AK$64))</f>
        <v/>
      </c>
      <c r="AP73" s="440" t="str">
        <f>IF(AO73="","",+SUMIF('Argus Drop'!$D$7:$D$64,$A73,'Argus Drop'!AL$12:AL$64))</f>
        <v/>
      </c>
      <c r="AQ73" s="440" t="str">
        <f>IF(AP73="","",+SUMIF('Argus Drop'!$D$7:$D$64,$A73,'Argus Drop'!AM$12:AM$64))</f>
        <v/>
      </c>
      <c r="AR73" s="440" t="str">
        <f>IF(AQ73="","",+SUMIF('Argus Drop'!$D$7:$D$64,$A73,'Argus Drop'!AN$12:AN$64))</f>
        <v/>
      </c>
      <c r="AS73" s="440" t="str">
        <f>IF(AR73="","",+SUMIF('Argus Drop'!$D$7:$D$64,$A73,'Argus Drop'!AO$12:AO$64))</f>
        <v/>
      </c>
      <c r="AT73" s="440" t="str">
        <f>IF(AS73="","",+SUMIF('Argus Drop'!$D$7:$D$64,$A73,'Argus Drop'!AP$12:AP$64))</f>
        <v/>
      </c>
      <c r="AU73" s="440" t="str">
        <f>IF(AT73="","",+SUMIF('Argus Drop'!$D$7:$D$64,$A73,'Argus Drop'!AQ$12:AQ$64))</f>
        <v/>
      </c>
      <c r="AV73" s="440" t="str">
        <f>IF(AU73="","",+SUMIF('Argus Drop'!$D$7:$D$64,$A73,'Argus Drop'!AR$12:AR$64))</f>
        <v/>
      </c>
      <c r="AW73" s="440" t="str">
        <f>IF(AV73="","",+SUMIF('Argus Drop'!$D$7:$D$64,$A73,'Argus Drop'!AS$12:AS$64))</f>
        <v/>
      </c>
      <c r="AX73" s="440" t="str">
        <f>IF(AW73="","",+SUMIF('Argus Drop'!$D$7:$D$64,$A73,'Argus Drop'!AT$12:AT$64))</f>
        <v/>
      </c>
      <c r="AY73" s="440" t="str">
        <f>IF(AX73="","",+SUMIF('Argus Drop'!$D$7:$D$64,$A73,'Argus Drop'!AU$12:AU$64))</f>
        <v/>
      </c>
      <c r="AZ73" s="440" t="str">
        <f>IF(AY73="","",+SUMIF('Argus Drop'!$D$7:$D$64,$A73,'Argus Drop'!AV$12:AV$64))</f>
        <v/>
      </c>
      <c r="BA73" s="440" t="str">
        <f>IF(AZ73="","",+SUMIF('Argus Drop'!$D$7:$D$64,$A73,'Argus Drop'!#REF!))</f>
        <v/>
      </c>
      <c r="BB73" s="440" t="str">
        <f>IF(BA73="","",+SUMIF('Argus Drop'!$D$7:$D$64,$A73,'Argus Drop'!AW$12:AW$64))</f>
        <v/>
      </c>
      <c r="BC73" s="440" t="str">
        <f>IF(BB73="","",+SUMIF('Argus Drop'!$D$7:$D$64,$A73,'Argus Drop'!AX$12:AX$64))</f>
        <v/>
      </c>
      <c r="BD73" s="440" t="str">
        <f>IF(BC73="","",+SUMIF('Argus Drop'!$D$7:$D$64,$A73,'Argus Drop'!AY$12:AY$64))</f>
        <v/>
      </c>
      <c r="BE73" s="440" t="str">
        <f>IF(BD73="","",+SUMIF('Argus Drop'!$D$7:$D$64,$A73,'Argus Drop'!AZ$12:AZ$64))</f>
        <v/>
      </c>
      <c r="BF73" s="440" t="str">
        <f>IF(BE73="","",+SUMIF('Argus Drop'!$D$7:$D$64,$A73,'Argus Drop'!BA$12:BA$64))</f>
        <v/>
      </c>
      <c r="BG73" s="440" t="str">
        <f>IF(BF73="","",+SUMIF('Argus Drop'!$D$7:$D$64,$A73,'Argus Drop'!BB$12:BB$64))</f>
        <v/>
      </c>
      <c r="BH73" s="440" t="str">
        <f>IF(BG73="","",+SUMIF('Argus Drop'!$D$7:$D$64,$A73,'Argus Drop'!BC$12:BC$64))</f>
        <v/>
      </c>
      <c r="BI73" s="440" t="str">
        <f>IF(BH73="","",+SUMIF('Argus Drop'!$D$7:$D$64,$A73,'Argus Drop'!BD$12:BD$64))</f>
        <v/>
      </c>
      <c r="BJ73" s="440" t="str">
        <f>IF(BI73="","",+SUMIF('Argus Drop'!$D$7:$D$64,$A73,'Argus Drop'!BE$12:BE$64))</f>
        <v/>
      </c>
      <c r="BK73" s="440" t="str">
        <f>IF(BJ73="","",+SUMIF('Argus Drop'!$D$7:$D$64,$A73,'Argus Drop'!BF$12:BF$64))</f>
        <v/>
      </c>
      <c r="BL73" s="440" t="str">
        <f>IF(BK73="","",+SUMIF('Argus Drop'!$D$7:$D$64,$A73,'Argus Drop'!BG$12:BG$64))</f>
        <v/>
      </c>
      <c r="BM73" s="440" t="str">
        <f>IF(BL73="","",+SUMIF('Argus Drop'!$D$7:$D$64,$A73,'Argus Drop'!BH$12:BH$64))</f>
        <v/>
      </c>
      <c r="BN73" s="440" t="str">
        <f>IF(BM73="","",+SUMIF('Argus Drop'!$D$7:$D$64,$A73,'Argus Drop'!#REF!))</f>
        <v/>
      </c>
      <c r="BO73" s="440" t="str">
        <f>IF(BN73="","",+SUMIF('Argus Drop'!$D$7:$D$64,$A73,'Argus Drop'!BI$12:BI$64))</f>
        <v/>
      </c>
      <c r="BP73" s="440" t="str">
        <f>IF(BO73="","",+SUMIF('Argus Drop'!$D$7:$D$64,$A73,'Argus Drop'!BJ$12:BJ$64))</f>
        <v/>
      </c>
      <c r="BQ73" s="440" t="str">
        <f>IF(BP73="","",+SUMIF('Argus Drop'!$D$7:$D$64,$A73,'Argus Drop'!BK$12:BK$64))</f>
        <v/>
      </c>
      <c r="BR73" s="440" t="str">
        <f>IF(BQ73="","",+SUMIF('Argus Drop'!$D$7:$D$64,$A73,'Argus Drop'!BL$12:BL$64))</f>
        <v/>
      </c>
      <c r="BS73" s="440" t="str">
        <f>IF(BR73="","",+SUMIF('Argus Drop'!$D$7:$D$64,$A73,'Argus Drop'!BM$12:BM$64))</f>
        <v/>
      </c>
      <c r="BT73" s="440" t="str">
        <f>IF(BS73="","",+SUMIF('Argus Drop'!$D$7:$D$64,$A73,'Argus Drop'!BN$12:BN$64))</f>
        <v/>
      </c>
      <c r="BU73" s="440" t="str">
        <f>IF(BT73="","",+SUMIF('Argus Drop'!$D$7:$D$64,$A73,'Argus Drop'!BO$12:BO$64))</f>
        <v/>
      </c>
      <c r="BV73" s="440" t="str">
        <f>IF(BU73="","",+SUMIF('Argus Drop'!$D$7:$D$64,$A73,'Argus Drop'!BP$12:BP$64))</f>
        <v/>
      </c>
      <c r="BW73" s="440" t="str">
        <f>IF(BV73="","",+SUMIF('Argus Drop'!$D$7:$D$64,$A73,'Argus Drop'!BQ$12:BQ$64))</f>
        <v/>
      </c>
      <c r="BX73" s="440" t="str">
        <f>IF(BW73="","",+SUMIF('Argus Drop'!$D$7:$D$64,$A73,'Argus Drop'!BR$12:BR$64))</f>
        <v/>
      </c>
      <c r="BY73" s="440" t="str">
        <f>IF(BX73="","",+SUMIF('Argus Drop'!$D$7:$D$64,$A73,'Argus Drop'!BS$12:BS$64))</f>
        <v/>
      </c>
      <c r="BZ73" s="440" t="str">
        <f>IF(BY73="","",+SUMIF('Argus Drop'!$D$7:$D$64,$A73,'Argus Drop'!BT$12:BT$64))</f>
        <v/>
      </c>
      <c r="CA73" s="440" t="str">
        <f>IF(BZ73="","",+SUMIF('Argus Drop'!$D$7:$D$64,$A73,'Argus Drop'!#REF!))</f>
        <v/>
      </c>
      <c r="CB73" s="440" t="str">
        <f>IF(CA73="","",+SUMIF('Argus Drop'!$D$7:$D$64,$A73,'Argus Drop'!BU$12:BU$64))</f>
        <v/>
      </c>
      <c r="CC73" s="440" t="str">
        <f>IF(CB73="","",+SUMIF('Argus Drop'!$D$7:$D$64,$A73,'Argus Drop'!BV$12:BV$64))</f>
        <v/>
      </c>
      <c r="CD73" s="440" t="str">
        <f>IF(CC73="","",+SUMIF('Argus Drop'!$D$7:$D$64,$A73,'Argus Drop'!BW$12:BW$64))</f>
        <v/>
      </c>
      <c r="CE73" s="440" t="str">
        <f>IF(CD73="","",+SUMIF('Argus Drop'!$D$7:$D$64,$A73,'Argus Drop'!BX$12:BX$64))</f>
        <v/>
      </c>
      <c r="CF73" s="440" t="str">
        <f>IF(CE73="","",+SUMIF('Argus Drop'!$D$7:$D$64,$A73,'Argus Drop'!BY$12:BY$64))</f>
        <v/>
      </c>
      <c r="CG73" s="440" t="str">
        <f>IF(CF73="","",+SUMIF('Argus Drop'!$D$7:$D$64,$A73,'Argus Drop'!BZ$12:BZ$64))</f>
        <v/>
      </c>
      <c r="CH73" s="440" t="str">
        <f>IF(CG73="","",+SUMIF('Argus Drop'!$D$7:$D$64,$A73,'Argus Drop'!CA$12:CA$64))</f>
        <v/>
      </c>
      <c r="CI73" s="440" t="str">
        <f>IF(CH73="","",+SUMIF('Argus Drop'!$D$7:$D$64,$A73,'Argus Drop'!CB$12:CB$64))</f>
        <v/>
      </c>
      <c r="CJ73" s="440" t="str">
        <f>IF(CI73="","",+SUMIF('Argus Drop'!$D$7:$D$64,$A73,'Argus Drop'!CC$12:CC$64))</f>
        <v/>
      </c>
      <c r="CK73" s="440" t="str">
        <f>IF(CJ73="","",+SUMIF('Argus Drop'!$D$7:$D$64,$A73,'Argus Drop'!CD$12:CD$64))</f>
        <v/>
      </c>
      <c r="CL73" s="440" t="str">
        <f>IF(CK73="","",+SUMIF('Argus Drop'!$D$7:$D$64,$A73,'Argus Drop'!CE$12:CE$64))</f>
        <v/>
      </c>
      <c r="CM73" s="440" t="str">
        <f>IF(CL73="","",+SUMIF('Argus Drop'!$D$7:$D$64,$A73,'Argus Drop'!CF$12:CF$64))</f>
        <v/>
      </c>
      <c r="CN73" s="440" t="str">
        <f>IF(CM73="","",+SUMIF('Argus Drop'!$D$7:$D$64,$A73,'Argus Drop'!#REF!))</f>
        <v/>
      </c>
      <c r="CO73" s="440" t="str">
        <f>IF(CN73="","",+SUMIF('Argus Drop'!$D$7:$D$64,$A73,'Argus Drop'!CG$12:CG$64))</f>
        <v/>
      </c>
      <c r="CP73" s="440" t="str">
        <f>IF(CO73="","",+SUMIF('Argus Drop'!$D$7:$D$64,$A73,'Argus Drop'!CH$12:CH$64))</f>
        <v/>
      </c>
      <c r="CQ73" s="440" t="str">
        <f>IF(CP73="","",+SUMIF('Argus Drop'!$D$7:$D$64,$A73,'Argus Drop'!CI$12:CI$64))</f>
        <v/>
      </c>
      <c r="CR73" s="440" t="str">
        <f>IF(CQ73="","",+SUMIF('Argus Drop'!$D$7:$D$64,$A73,'Argus Drop'!CJ$12:CJ$64))</f>
        <v/>
      </c>
      <c r="CS73" s="440" t="str">
        <f>IF(CR73="","",+SUMIF('Argus Drop'!$D$7:$D$64,$A73,'Argus Drop'!CK$12:CK$64))</f>
        <v/>
      </c>
      <c r="CT73" s="440" t="str">
        <f>IF(CS73="","",+SUMIF('Argus Drop'!$D$7:$D$64,$A73,'Argus Drop'!CL$12:CL$64))</f>
        <v/>
      </c>
      <c r="CU73" s="440" t="str">
        <f>IF(CT73="","",+SUMIF('Argus Drop'!$D$7:$D$64,$A73,'Argus Drop'!CM$12:CM$64))</f>
        <v/>
      </c>
      <c r="CV73" s="440" t="str">
        <f>IF(CU73="","",+SUMIF('Argus Drop'!$D$7:$D$64,$A73,'Argus Drop'!CN$12:CN$64))</f>
        <v/>
      </c>
      <c r="CW73" s="440" t="str">
        <f>IF(CV73="","",+SUMIF('Argus Drop'!$D$7:$D$64,$A73,'Argus Drop'!CO$12:CO$64))</f>
        <v/>
      </c>
      <c r="CX73" s="440" t="str">
        <f>IF(CW73="","",+SUMIF('Argus Drop'!$D$7:$D$64,$A73,'Argus Drop'!CP$12:CP$64))</f>
        <v/>
      </c>
      <c r="CY73" s="440" t="str">
        <f>IF(CX73="","",+SUMIF('Argus Drop'!$D$7:$D$64,$A73,'Argus Drop'!CQ$12:CQ$64))</f>
        <v/>
      </c>
      <c r="CZ73" s="440" t="str">
        <f>IF(CY73="","",+SUMIF('Argus Drop'!$D$7:$D$64,$A73,'Argus Drop'!CR$12:CR$64))</f>
        <v/>
      </c>
      <c r="DA73" s="440" t="str">
        <f>IF(CZ73="","",+SUMIF('Argus Drop'!$D$7:$D$64,$A73,'Argus Drop'!#REF!))</f>
        <v/>
      </c>
      <c r="DB73" s="440" t="str">
        <f>IF(DA73="","",+SUMIF('Argus Drop'!$D$7:$D$64,$A73,'Argus Drop'!CS$12:CS$64))</f>
        <v/>
      </c>
      <c r="DC73" s="440" t="str">
        <f>IF(DB73="","",+SUMIF('Argus Drop'!$D$7:$D$64,$A73,'Argus Drop'!CT$12:CT$64))</f>
        <v/>
      </c>
      <c r="DD73" s="440" t="str">
        <f>IF(DC73="","",+SUMIF('Argus Drop'!$D$7:$D$64,$A73,'Argus Drop'!CU$12:CU$64))</f>
        <v/>
      </c>
      <c r="DE73" s="440" t="str">
        <f>IF(DD73="","",+SUMIF('Argus Drop'!$D$7:$D$64,$A73,'Argus Drop'!CV$12:CV$64))</f>
        <v/>
      </c>
      <c r="DF73" s="440" t="str">
        <f>IF(DE73="","",+SUMIF('Argus Drop'!$D$7:$D$64,$A73,'Argus Drop'!CW$12:CW$64))</f>
        <v/>
      </c>
      <c r="DG73" s="440" t="str">
        <f>IF(DF73="","",+SUMIF('Argus Drop'!$D$7:$D$64,$A73,'Argus Drop'!CX$12:CX$64))</f>
        <v/>
      </c>
      <c r="DH73" s="440" t="str">
        <f>IF(DG73="","",+SUMIF('Argus Drop'!$D$7:$D$64,$A73,'Argus Drop'!CY$12:CY$64))</f>
        <v/>
      </c>
      <c r="DI73" s="440" t="str">
        <f>IF(DH73="","",+SUMIF('Argus Drop'!$D$7:$D$64,$A73,'Argus Drop'!CZ$12:CZ$64))</f>
        <v/>
      </c>
      <c r="DJ73" s="440" t="str">
        <f>IF(DI73="","",+SUMIF('Argus Drop'!$D$7:$D$64,$A73,'Argus Drop'!DA$12:DA$64))</f>
        <v/>
      </c>
      <c r="DK73" s="440" t="str">
        <f>IF(DJ73="","",+SUMIF('Argus Drop'!$D$7:$D$64,$A73,'Argus Drop'!DB$12:DB$64))</f>
        <v/>
      </c>
      <c r="DL73" s="440" t="str">
        <f>IF(DK73="","",+SUMIF('Argus Drop'!$D$7:$D$64,$A73,'Argus Drop'!DC$12:DC$64))</f>
        <v/>
      </c>
      <c r="DM73" s="440" t="str">
        <f>IF(DL73="","",+SUMIF('Argus Drop'!$D$7:$D$64,$A73,'Argus Drop'!DD$12:DD$64))</f>
        <v/>
      </c>
      <c r="DN73" s="440" t="str">
        <f>IF(DM73="","",+SUMIF('Argus Drop'!$D$7:$D$64,$A73,'Argus Drop'!#REF!))</f>
        <v/>
      </c>
      <c r="DO73" s="440" t="str">
        <f>IF(DN73="","",+SUMIF('Argus Drop'!$D$7:$D$64,$A73,'Argus Drop'!DE$12:DE$64))</f>
        <v/>
      </c>
      <c r="DP73" s="440" t="str">
        <f>IF(DO73="","",+SUMIF('Argus Drop'!$D$7:$D$64,$A73,'Argus Drop'!DF$12:DF$64))</f>
        <v/>
      </c>
      <c r="DQ73" s="440" t="str">
        <f>IF(DP73="","",+SUMIF('Argus Drop'!$D$7:$D$64,$A73,'Argus Drop'!DG$12:DG$64))</f>
        <v/>
      </c>
      <c r="DR73" s="440" t="str">
        <f>IF(DQ73="","",+SUMIF('Argus Drop'!$D$7:$D$64,$A73,'Argus Drop'!DH$12:DH$64))</f>
        <v/>
      </c>
      <c r="DS73" s="440"/>
      <c r="DT73" s="440"/>
      <c r="DU73" s="440"/>
      <c r="DV73" s="440"/>
      <c r="DW73" s="440"/>
      <c r="DX73" s="440"/>
      <c r="DY73" s="440"/>
      <c r="DZ73" s="440"/>
      <c r="EA73" s="440"/>
      <c r="EB73" s="440"/>
      <c r="EC73" s="440"/>
      <c r="ED73" s="1419"/>
      <c r="EE73" s="1419"/>
      <c r="EF73" s="1419"/>
      <c r="EG73" s="1419"/>
      <c r="EH73" s="1419"/>
      <c r="EI73" s="1419"/>
      <c r="EJ73" s="1419"/>
      <c r="EK73" s="1419"/>
      <c r="EL73" s="1419"/>
      <c r="EM73" s="1419"/>
      <c r="EN73" s="1419"/>
      <c r="EO73" s="1419"/>
      <c r="EP73" s="1419"/>
      <c r="EQ73" s="1419"/>
      <c r="ER73" s="1419"/>
      <c r="ES73" s="1419"/>
      <c r="ET73" s="1419"/>
      <c r="EU73" s="1419"/>
      <c r="EV73" s="1419"/>
      <c r="EW73" s="1419"/>
      <c r="EX73" s="1419"/>
      <c r="EY73" s="1419"/>
      <c r="EZ73" s="1419"/>
      <c r="FA73" s="1419"/>
      <c r="FB73" s="1419"/>
      <c r="FC73" s="1419"/>
      <c r="FD73" s="1419"/>
      <c r="FE73" s="1419"/>
      <c r="FF73" s="1419"/>
      <c r="FG73" s="1419"/>
      <c r="FH73" s="1419"/>
      <c r="FI73" s="1419"/>
    </row>
    <row r="74" spans="1:165">
      <c r="A74" s="448" t="str">
        <f>IF(+'Argus Drop'!B78="","",'Argus Drop'!B78)</f>
        <v/>
      </c>
      <c r="B74" s="440" t="str">
        <f>IF(A74="","",+SUMIF('Argus Drop'!$D$7:$D$64,$A74,'Argus Drop'!#REF!))</f>
        <v/>
      </c>
      <c r="C74" s="440" t="str">
        <f>IF(B74="","",+SUMIF('Argus Drop'!$D$7:$D$64,$A74,'Argus Drop'!#REF!))</f>
        <v/>
      </c>
      <c r="D74" s="440" t="str">
        <f>IF(C74="","",+SUMIF('Argus Drop'!$D$7:$D$64,$A74,'Argus Drop'!#REF!))</f>
        <v/>
      </c>
      <c r="E74" s="440" t="str">
        <f>IF(D74="","",+SUMIF('Argus Drop'!$D$7:$D$64,$A74,'Argus Drop'!#REF!))</f>
        <v/>
      </c>
      <c r="F74" s="440" t="str">
        <f>IF(E74="","",+SUMIF('Argus Drop'!$D$7:$D$64,$A74,'Argus Drop'!#REF!))</f>
        <v/>
      </c>
      <c r="G74" s="440" t="str">
        <f>IF(F74="","",+SUMIF('Argus Drop'!$D$7:$D$64,$A74,'Argus Drop'!F$7:F$64))</f>
        <v/>
      </c>
      <c r="H74" s="440" t="str">
        <f>IF(G74="","",+SUMIF('Argus Drop'!$D$7:$D$64,$A74,'Argus Drop'!G$12:G$64))</f>
        <v/>
      </c>
      <c r="I74" s="440" t="str">
        <f>IF(H74="","",+SUMIF('Argus Drop'!$D$7:$D$64,$A74,'Argus Drop'!H$12:H$64))</f>
        <v/>
      </c>
      <c r="J74" s="440" t="str">
        <f>IF(I74="","",+SUMIF('Argus Drop'!$D$7:$D$64,$A74,'Argus Drop'!I$12:I$64))</f>
        <v/>
      </c>
      <c r="K74" s="440" t="str">
        <f>IF(J74="","",+SUMIF('Argus Drop'!$D$7:$D$64,$A74,'Argus Drop'!J$12:J$64))</f>
        <v/>
      </c>
      <c r="L74" s="440" t="str">
        <f>IF(K74="","",+SUMIF('Argus Drop'!$D$7:$D$64,$A74,'Argus Drop'!K$12:K$64))</f>
        <v/>
      </c>
      <c r="M74" s="440" t="str">
        <f>IF(L74="","",+SUMIF('Argus Drop'!$D$7:$D$64,$A74,'Argus Drop'!L$12:L$64))</f>
        <v/>
      </c>
      <c r="N74" s="440" t="str">
        <f>IF(M74="","",+SUMIF('Argus Drop'!$D$7:$D$64,$A74,'Argus Drop'!#REF!))</f>
        <v/>
      </c>
      <c r="O74" s="440" t="str">
        <f>IF(N74="","",+SUMIF('Argus Drop'!$D$7:$D$64,$A74,'Argus Drop'!M$12:M$64))</f>
        <v/>
      </c>
      <c r="P74" s="440" t="str">
        <f>IF(O74="","",+SUMIF('Argus Drop'!$D$7:$D$64,$A74,'Argus Drop'!N$12:N$64))</f>
        <v/>
      </c>
      <c r="Q74" s="440" t="str">
        <f>IF(P74="","",+SUMIF('Argus Drop'!$D$7:$D$64,$A74,'Argus Drop'!O$12:O$64))</f>
        <v/>
      </c>
      <c r="R74" s="440" t="str">
        <f>IF(Q74="","",+SUMIF('Argus Drop'!$D$7:$D$64,$A74,'Argus Drop'!P$12:P$64))</f>
        <v/>
      </c>
      <c r="S74" s="440" t="str">
        <f>IF(R74="","",+SUMIF('Argus Drop'!$D$7:$D$64,$A74,'Argus Drop'!Q$12:Q$64))</f>
        <v/>
      </c>
      <c r="T74" s="440" t="str">
        <f>IF(S74="","",+SUMIF('Argus Drop'!$D$7:$D$64,$A74,'Argus Drop'!R$12:R$64))</f>
        <v/>
      </c>
      <c r="U74" s="440" t="str">
        <f>IF(T74="","",+SUMIF('Argus Drop'!$D$7:$D$64,$A74,'Argus Drop'!S$12:S$64))</f>
        <v/>
      </c>
      <c r="V74" s="440" t="str">
        <f>IF(U74="","",+SUMIF('Argus Drop'!$D$7:$D$64,$A74,'Argus Drop'!T$12:T$64))</f>
        <v/>
      </c>
      <c r="W74" s="440" t="str">
        <f>IF(V74="","",+SUMIF('Argus Drop'!$D$7:$D$64,$A74,'Argus Drop'!U$12:U$64))</f>
        <v/>
      </c>
      <c r="X74" s="440" t="str">
        <f>IF(W74="","",+SUMIF('Argus Drop'!$D$7:$D$64,$A74,'Argus Drop'!V$12:V$64))</f>
        <v/>
      </c>
      <c r="Y74" s="440" t="str">
        <f>IF(X74="","",+SUMIF('Argus Drop'!$D$7:$D$64,$A74,'Argus Drop'!W$12:W$64))</f>
        <v/>
      </c>
      <c r="Z74" s="440" t="str">
        <f>IF(Y74="","",+SUMIF('Argus Drop'!$D$7:$D$64,$A74,'Argus Drop'!X$12:X$64))</f>
        <v/>
      </c>
      <c r="AA74" s="440" t="str">
        <f>IF(Z74="","",+SUMIF('Argus Drop'!$D$7:$D$64,$A74,'Argus Drop'!#REF!))</f>
        <v/>
      </c>
      <c r="AB74" s="440" t="str">
        <f>IF(AA74="","",+SUMIF('Argus Drop'!$D$7:$D$64,$A74,'Argus Drop'!Y$12:Y$64))</f>
        <v/>
      </c>
      <c r="AC74" s="440" t="str">
        <f>IF(AB74="","",+SUMIF('Argus Drop'!$D$7:$D$64,$A74,'Argus Drop'!Z$12:Z$64))</f>
        <v/>
      </c>
      <c r="AD74" s="440" t="str">
        <f>IF(AC74="","",+SUMIF('Argus Drop'!$D$7:$D$64,$A74,'Argus Drop'!AA$12:AA$64))</f>
        <v/>
      </c>
      <c r="AE74" s="440" t="str">
        <f>IF(AD74="","",+SUMIF('Argus Drop'!$D$7:$D$64,$A74,'Argus Drop'!AB$12:AB$64))</f>
        <v/>
      </c>
      <c r="AF74" s="440" t="str">
        <f>IF(AE74="","",+SUMIF('Argus Drop'!$D$7:$D$64,$A74,'Argus Drop'!AC$12:AC$64))</f>
        <v/>
      </c>
      <c r="AG74" s="440" t="str">
        <f>IF(AF74="","",+SUMIF('Argus Drop'!$D$7:$D$64,$A74,'Argus Drop'!AD$12:AD$64))</f>
        <v/>
      </c>
      <c r="AH74" s="440" t="str">
        <f>IF(AG74="","",+SUMIF('Argus Drop'!$D$7:$D$64,$A74,'Argus Drop'!AE$12:AE$64))</f>
        <v/>
      </c>
      <c r="AI74" s="440" t="str">
        <f>IF(AH74="","",+SUMIF('Argus Drop'!$D$7:$D$64,$A74,'Argus Drop'!AF$12:AF$64))</f>
        <v/>
      </c>
      <c r="AJ74" s="440" t="str">
        <f>IF(AI74="","",+SUMIF('Argus Drop'!$D$7:$D$64,$A74,'Argus Drop'!AG$12:AG$64))</f>
        <v/>
      </c>
      <c r="AK74" s="440" t="str">
        <f>IF(AJ74="","",+SUMIF('Argus Drop'!$D$7:$D$64,$A74,'Argus Drop'!AH$12:AH$64))</f>
        <v/>
      </c>
      <c r="AL74" s="440" t="str">
        <f>IF(AK74="","",+SUMIF('Argus Drop'!$D$7:$D$64,$A74,'Argus Drop'!AI$12:AI$64))</f>
        <v/>
      </c>
      <c r="AM74" s="440" t="str">
        <f>IF(AL74="","",+SUMIF('Argus Drop'!$D$7:$D$64,$A74,'Argus Drop'!AJ$12:AJ$64))</f>
        <v/>
      </c>
      <c r="AN74" s="440" t="str">
        <f>IF(AM74="","",+SUMIF('Argus Drop'!$D$7:$D$64,$A74,'Argus Drop'!#REF!))</f>
        <v/>
      </c>
      <c r="AO74" s="440" t="str">
        <f>IF(AN74="","",+SUMIF('Argus Drop'!$D$7:$D$64,$A74,'Argus Drop'!AK$12:AK$64))</f>
        <v/>
      </c>
      <c r="AP74" s="440" t="str">
        <f>IF(AO74="","",+SUMIF('Argus Drop'!$D$7:$D$64,$A74,'Argus Drop'!AL$12:AL$64))</f>
        <v/>
      </c>
      <c r="AQ74" s="440" t="str">
        <f>IF(AP74="","",+SUMIF('Argus Drop'!$D$7:$D$64,$A74,'Argus Drop'!AM$12:AM$64))</f>
        <v/>
      </c>
      <c r="AR74" s="440" t="str">
        <f>IF(AQ74="","",+SUMIF('Argus Drop'!$D$7:$D$64,$A74,'Argus Drop'!AN$12:AN$64))</f>
        <v/>
      </c>
      <c r="AS74" s="440" t="str">
        <f>IF(AR74="","",+SUMIF('Argus Drop'!$D$7:$D$64,$A74,'Argus Drop'!AO$12:AO$64))</f>
        <v/>
      </c>
      <c r="AT74" s="440" t="str">
        <f>IF(AS74="","",+SUMIF('Argus Drop'!$D$7:$D$64,$A74,'Argus Drop'!AP$12:AP$64))</f>
        <v/>
      </c>
      <c r="AU74" s="440" t="str">
        <f>IF(AT74="","",+SUMIF('Argus Drop'!$D$7:$D$64,$A74,'Argus Drop'!AQ$12:AQ$64))</f>
        <v/>
      </c>
      <c r="AV74" s="440" t="str">
        <f>IF(AU74="","",+SUMIF('Argus Drop'!$D$7:$D$64,$A74,'Argus Drop'!AR$12:AR$64))</f>
        <v/>
      </c>
      <c r="AW74" s="440" t="str">
        <f>IF(AV74="","",+SUMIF('Argus Drop'!$D$7:$D$64,$A74,'Argus Drop'!AS$12:AS$64))</f>
        <v/>
      </c>
      <c r="AX74" s="440" t="str">
        <f>IF(AW74="","",+SUMIF('Argus Drop'!$D$7:$D$64,$A74,'Argus Drop'!AT$12:AT$64))</f>
        <v/>
      </c>
      <c r="AY74" s="440" t="str">
        <f>IF(AX74="","",+SUMIF('Argus Drop'!$D$7:$D$64,$A74,'Argus Drop'!AU$12:AU$64))</f>
        <v/>
      </c>
      <c r="AZ74" s="440" t="str">
        <f>IF(AY74="","",+SUMIF('Argus Drop'!$D$7:$D$64,$A74,'Argus Drop'!AV$12:AV$64))</f>
        <v/>
      </c>
      <c r="BA74" s="440" t="str">
        <f>IF(AZ74="","",+SUMIF('Argus Drop'!$D$7:$D$64,$A74,'Argus Drop'!#REF!))</f>
        <v/>
      </c>
      <c r="BB74" s="440" t="str">
        <f>IF(BA74="","",+SUMIF('Argus Drop'!$D$7:$D$64,$A74,'Argus Drop'!AW$12:AW$64))</f>
        <v/>
      </c>
      <c r="BC74" s="440" t="str">
        <f>IF(BB74="","",+SUMIF('Argus Drop'!$D$7:$D$64,$A74,'Argus Drop'!AX$12:AX$64))</f>
        <v/>
      </c>
      <c r="BD74" s="440" t="str">
        <f>IF(BC74="","",+SUMIF('Argus Drop'!$D$7:$D$64,$A74,'Argus Drop'!AY$12:AY$64))</f>
        <v/>
      </c>
      <c r="BE74" s="440" t="str">
        <f>IF(BD74="","",+SUMIF('Argus Drop'!$D$7:$D$64,$A74,'Argus Drop'!AZ$12:AZ$64))</f>
        <v/>
      </c>
      <c r="BF74" s="440" t="str">
        <f>IF(BE74="","",+SUMIF('Argus Drop'!$D$7:$D$64,$A74,'Argus Drop'!BA$12:BA$64))</f>
        <v/>
      </c>
      <c r="BG74" s="440" t="str">
        <f>IF(BF74="","",+SUMIF('Argus Drop'!$D$7:$D$64,$A74,'Argus Drop'!BB$12:BB$64))</f>
        <v/>
      </c>
      <c r="BH74" s="440" t="str">
        <f>IF(BG74="","",+SUMIF('Argus Drop'!$D$7:$D$64,$A74,'Argus Drop'!BC$12:BC$64))</f>
        <v/>
      </c>
      <c r="BI74" s="440" t="str">
        <f>IF(BH74="","",+SUMIF('Argus Drop'!$D$7:$D$64,$A74,'Argus Drop'!BD$12:BD$64))</f>
        <v/>
      </c>
      <c r="BJ74" s="440" t="str">
        <f>IF(BI74="","",+SUMIF('Argus Drop'!$D$7:$D$64,$A74,'Argus Drop'!BE$12:BE$64))</f>
        <v/>
      </c>
      <c r="BK74" s="440" t="str">
        <f>IF(BJ74="","",+SUMIF('Argus Drop'!$D$7:$D$64,$A74,'Argus Drop'!BF$12:BF$64))</f>
        <v/>
      </c>
      <c r="BL74" s="440" t="str">
        <f>IF(BK74="","",+SUMIF('Argus Drop'!$D$7:$D$64,$A74,'Argus Drop'!BG$12:BG$64))</f>
        <v/>
      </c>
      <c r="BM74" s="440" t="str">
        <f>IF(BL74="","",+SUMIF('Argus Drop'!$D$7:$D$64,$A74,'Argus Drop'!BH$12:BH$64))</f>
        <v/>
      </c>
      <c r="BN74" s="440" t="str">
        <f>IF(BM74="","",+SUMIF('Argus Drop'!$D$7:$D$64,$A74,'Argus Drop'!#REF!))</f>
        <v/>
      </c>
      <c r="BO74" s="440" t="str">
        <f>IF(BN74="","",+SUMIF('Argus Drop'!$D$7:$D$64,$A74,'Argus Drop'!BI$12:BI$64))</f>
        <v/>
      </c>
      <c r="BP74" s="440" t="str">
        <f>IF(BO74="","",+SUMIF('Argus Drop'!$D$7:$D$64,$A74,'Argus Drop'!BJ$12:BJ$64))</f>
        <v/>
      </c>
      <c r="BQ74" s="440" t="str">
        <f>IF(BP74="","",+SUMIF('Argus Drop'!$D$7:$D$64,$A74,'Argus Drop'!BK$12:BK$64))</f>
        <v/>
      </c>
      <c r="BR74" s="440" t="str">
        <f>IF(BQ74="","",+SUMIF('Argus Drop'!$D$7:$D$64,$A74,'Argus Drop'!BL$12:BL$64))</f>
        <v/>
      </c>
      <c r="BS74" s="440" t="str">
        <f>IF(BR74="","",+SUMIF('Argus Drop'!$D$7:$D$64,$A74,'Argus Drop'!BM$12:BM$64))</f>
        <v/>
      </c>
      <c r="BT74" s="440" t="str">
        <f>IF(BS74="","",+SUMIF('Argus Drop'!$D$7:$D$64,$A74,'Argus Drop'!BN$12:BN$64))</f>
        <v/>
      </c>
      <c r="BU74" s="440" t="str">
        <f>IF(BT74="","",+SUMIF('Argus Drop'!$D$7:$D$64,$A74,'Argus Drop'!BO$12:BO$64))</f>
        <v/>
      </c>
      <c r="BV74" s="440" t="str">
        <f>IF(BU74="","",+SUMIF('Argus Drop'!$D$7:$D$64,$A74,'Argus Drop'!BP$12:BP$64))</f>
        <v/>
      </c>
      <c r="BW74" s="440" t="str">
        <f>IF(BV74="","",+SUMIF('Argus Drop'!$D$7:$D$64,$A74,'Argus Drop'!BQ$12:BQ$64))</f>
        <v/>
      </c>
      <c r="BX74" s="440" t="str">
        <f>IF(BW74="","",+SUMIF('Argus Drop'!$D$7:$D$64,$A74,'Argus Drop'!BR$12:BR$64))</f>
        <v/>
      </c>
      <c r="BY74" s="440" t="str">
        <f>IF(BX74="","",+SUMIF('Argus Drop'!$D$7:$D$64,$A74,'Argus Drop'!BS$12:BS$64))</f>
        <v/>
      </c>
      <c r="BZ74" s="440" t="str">
        <f>IF(BY74="","",+SUMIF('Argus Drop'!$D$7:$D$64,$A74,'Argus Drop'!BT$12:BT$64))</f>
        <v/>
      </c>
      <c r="CA74" s="440" t="str">
        <f>IF(BZ74="","",+SUMIF('Argus Drop'!$D$7:$D$64,$A74,'Argus Drop'!#REF!))</f>
        <v/>
      </c>
      <c r="CB74" s="440" t="str">
        <f>IF(CA74="","",+SUMIF('Argus Drop'!$D$7:$D$64,$A74,'Argus Drop'!BU$12:BU$64))</f>
        <v/>
      </c>
      <c r="CC74" s="440" t="str">
        <f>IF(CB74="","",+SUMIF('Argus Drop'!$D$7:$D$64,$A74,'Argus Drop'!BV$12:BV$64))</f>
        <v/>
      </c>
      <c r="CD74" s="440" t="str">
        <f>IF(CC74="","",+SUMIF('Argus Drop'!$D$7:$D$64,$A74,'Argus Drop'!BW$12:BW$64))</f>
        <v/>
      </c>
      <c r="CE74" s="440" t="str">
        <f>IF(CD74="","",+SUMIF('Argus Drop'!$D$7:$D$64,$A74,'Argus Drop'!BX$12:BX$64))</f>
        <v/>
      </c>
      <c r="CF74" s="440" t="str">
        <f>IF(CE74="","",+SUMIF('Argus Drop'!$D$7:$D$64,$A74,'Argus Drop'!BY$12:BY$64))</f>
        <v/>
      </c>
      <c r="CG74" s="440" t="str">
        <f>IF(CF74="","",+SUMIF('Argus Drop'!$D$7:$D$64,$A74,'Argus Drop'!BZ$12:BZ$64))</f>
        <v/>
      </c>
      <c r="CH74" s="440" t="str">
        <f>IF(CG74="","",+SUMIF('Argus Drop'!$D$7:$D$64,$A74,'Argus Drop'!CA$12:CA$64))</f>
        <v/>
      </c>
      <c r="CI74" s="440" t="str">
        <f>IF(CH74="","",+SUMIF('Argus Drop'!$D$7:$D$64,$A74,'Argus Drop'!CB$12:CB$64))</f>
        <v/>
      </c>
      <c r="CJ74" s="440" t="str">
        <f>IF(CI74="","",+SUMIF('Argus Drop'!$D$7:$D$64,$A74,'Argus Drop'!CC$12:CC$64))</f>
        <v/>
      </c>
      <c r="CK74" s="440" t="str">
        <f>IF(CJ74="","",+SUMIF('Argus Drop'!$D$7:$D$64,$A74,'Argus Drop'!CD$12:CD$64))</f>
        <v/>
      </c>
      <c r="CL74" s="440" t="str">
        <f>IF(CK74="","",+SUMIF('Argus Drop'!$D$7:$D$64,$A74,'Argus Drop'!CE$12:CE$64))</f>
        <v/>
      </c>
      <c r="CM74" s="440" t="str">
        <f>IF(CL74="","",+SUMIF('Argus Drop'!$D$7:$D$64,$A74,'Argus Drop'!CF$12:CF$64))</f>
        <v/>
      </c>
      <c r="CN74" s="440" t="str">
        <f>IF(CM74="","",+SUMIF('Argus Drop'!$D$7:$D$64,$A74,'Argus Drop'!#REF!))</f>
        <v/>
      </c>
      <c r="CO74" s="440" t="str">
        <f>IF(CN74="","",+SUMIF('Argus Drop'!$D$7:$D$64,$A74,'Argus Drop'!CG$12:CG$64))</f>
        <v/>
      </c>
      <c r="CP74" s="440" t="str">
        <f>IF(CO74="","",+SUMIF('Argus Drop'!$D$7:$D$64,$A74,'Argus Drop'!CH$12:CH$64))</f>
        <v/>
      </c>
      <c r="CQ74" s="440" t="str">
        <f>IF(CP74="","",+SUMIF('Argus Drop'!$D$7:$D$64,$A74,'Argus Drop'!CI$12:CI$64))</f>
        <v/>
      </c>
      <c r="CR74" s="440" t="str">
        <f>IF(CQ74="","",+SUMIF('Argus Drop'!$D$7:$D$64,$A74,'Argus Drop'!CJ$12:CJ$64))</f>
        <v/>
      </c>
      <c r="CS74" s="440" t="str">
        <f>IF(CR74="","",+SUMIF('Argus Drop'!$D$7:$D$64,$A74,'Argus Drop'!CK$12:CK$64))</f>
        <v/>
      </c>
      <c r="CT74" s="440" t="str">
        <f>IF(CS74="","",+SUMIF('Argus Drop'!$D$7:$D$64,$A74,'Argus Drop'!CL$12:CL$64))</f>
        <v/>
      </c>
      <c r="CU74" s="440" t="str">
        <f>IF(CT74="","",+SUMIF('Argus Drop'!$D$7:$D$64,$A74,'Argus Drop'!CM$12:CM$64))</f>
        <v/>
      </c>
      <c r="CV74" s="440" t="str">
        <f>IF(CU74="","",+SUMIF('Argus Drop'!$D$7:$D$64,$A74,'Argus Drop'!CN$12:CN$64))</f>
        <v/>
      </c>
      <c r="CW74" s="440" t="str">
        <f>IF(CV74="","",+SUMIF('Argus Drop'!$D$7:$D$64,$A74,'Argus Drop'!CO$12:CO$64))</f>
        <v/>
      </c>
      <c r="CX74" s="440" t="str">
        <f>IF(CW74="","",+SUMIF('Argus Drop'!$D$7:$D$64,$A74,'Argus Drop'!CP$12:CP$64))</f>
        <v/>
      </c>
      <c r="CY74" s="440" t="str">
        <f>IF(CX74="","",+SUMIF('Argus Drop'!$D$7:$D$64,$A74,'Argus Drop'!CQ$12:CQ$64))</f>
        <v/>
      </c>
      <c r="CZ74" s="440" t="str">
        <f>IF(CY74="","",+SUMIF('Argus Drop'!$D$7:$D$64,$A74,'Argus Drop'!CR$12:CR$64))</f>
        <v/>
      </c>
      <c r="DA74" s="440" t="str">
        <f>IF(CZ74="","",+SUMIF('Argus Drop'!$D$7:$D$64,$A74,'Argus Drop'!#REF!))</f>
        <v/>
      </c>
      <c r="DB74" s="440" t="str">
        <f>IF(DA74="","",+SUMIF('Argus Drop'!$D$7:$D$64,$A74,'Argus Drop'!CS$12:CS$64))</f>
        <v/>
      </c>
      <c r="DC74" s="440" t="str">
        <f>IF(DB74="","",+SUMIF('Argus Drop'!$D$7:$D$64,$A74,'Argus Drop'!CT$12:CT$64))</f>
        <v/>
      </c>
      <c r="DD74" s="440" t="str">
        <f>IF(DC74="","",+SUMIF('Argus Drop'!$D$7:$D$64,$A74,'Argus Drop'!CU$12:CU$64))</f>
        <v/>
      </c>
      <c r="DE74" s="440" t="str">
        <f>IF(DD74="","",+SUMIF('Argus Drop'!$D$7:$D$64,$A74,'Argus Drop'!CV$12:CV$64))</f>
        <v/>
      </c>
      <c r="DF74" s="440" t="str">
        <f>IF(DE74="","",+SUMIF('Argus Drop'!$D$7:$D$64,$A74,'Argus Drop'!CW$12:CW$64))</f>
        <v/>
      </c>
      <c r="DG74" s="440" t="str">
        <f>IF(DF74="","",+SUMIF('Argus Drop'!$D$7:$D$64,$A74,'Argus Drop'!CX$12:CX$64))</f>
        <v/>
      </c>
      <c r="DH74" s="440" t="str">
        <f>IF(DG74="","",+SUMIF('Argus Drop'!$D$7:$D$64,$A74,'Argus Drop'!CY$12:CY$64))</f>
        <v/>
      </c>
      <c r="DI74" s="440" t="str">
        <f>IF(DH74="","",+SUMIF('Argus Drop'!$D$7:$D$64,$A74,'Argus Drop'!CZ$12:CZ$64))</f>
        <v/>
      </c>
      <c r="DJ74" s="440" t="str">
        <f>IF(DI74="","",+SUMIF('Argus Drop'!$D$7:$D$64,$A74,'Argus Drop'!DA$12:DA$64))</f>
        <v/>
      </c>
      <c r="DK74" s="440" t="str">
        <f>IF(DJ74="","",+SUMIF('Argus Drop'!$D$7:$D$64,$A74,'Argus Drop'!DB$12:DB$64))</f>
        <v/>
      </c>
      <c r="DL74" s="440" t="str">
        <f>IF(DK74="","",+SUMIF('Argus Drop'!$D$7:$D$64,$A74,'Argus Drop'!DC$12:DC$64))</f>
        <v/>
      </c>
      <c r="DM74" s="440" t="str">
        <f>IF(DL74="","",+SUMIF('Argus Drop'!$D$7:$D$64,$A74,'Argus Drop'!DD$12:DD$64))</f>
        <v/>
      </c>
      <c r="DN74" s="440" t="str">
        <f>IF(DM74="","",+SUMIF('Argus Drop'!$D$7:$D$64,$A74,'Argus Drop'!#REF!))</f>
        <v/>
      </c>
      <c r="DO74" s="440" t="str">
        <f>IF(DN74="","",+SUMIF('Argus Drop'!$D$7:$D$64,$A74,'Argus Drop'!DE$12:DE$64))</f>
        <v/>
      </c>
      <c r="DP74" s="440" t="str">
        <f>IF(DO74="","",+SUMIF('Argus Drop'!$D$7:$D$64,$A74,'Argus Drop'!DF$12:DF$64))</f>
        <v/>
      </c>
      <c r="DQ74" s="440" t="str">
        <f>IF(DP74="","",+SUMIF('Argus Drop'!$D$7:$D$64,$A74,'Argus Drop'!DG$12:DG$64))</f>
        <v/>
      </c>
      <c r="DR74" s="440" t="str">
        <f>IF(DQ74="","",+SUMIF('Argus Drop'!$D$7:$D$64,$A74,'Argus Drop'!DH$12:DH$64))</f>
        <v/>
      </c>
      <c r="DS74" s="440"/>
      <c r="DT74" s="440"/>
      <c r="DU74" s="440"/>
      <c r="DV74" s="440"/>
      <c r="DW74" s="440"/>
      <c r="DX74" s="440"/>
      <c r="DY74" s="440"/>
      <c r="DZ74" s="440"/>
      <c r="EA74" s="440"/>
      <c r="EB74" s="440"/>
      <c r="EC74" s="440"/>
      <c r="ED74" s="1419"/>
      <c r="EE74" s="1419"/>
      <c r="EF74" s="1419"/>
      <c r="EG74" s="1419"/>
      <c r="EH74" s="1419"/>
      <c r="EI74" s="1419"/>
      <c r="EJ74" s="1419"/>
      <c r="EK74" s="1419"/>
      <c r="EL74" s="1419"/>
      <c r="EM74" s="1419"/>
      <c r="EN74" s="1419"/>
      <c r="EO74" s="1419"/>
      <c r="EP74" s="1419"/>
      <c r="EQ74" s="1419"/>
      <c r="ER74" s="1419"/>
      <c r="ES74" s="1419"/>
      <c r="ET74" s="1419"/>
      <c r="EU74" s="1419"/>
      <c r="EV74" s="1419"/>
      <c r="EW74" s="1419"/>
      <c r="EX74" s="1419"/>
      <c r="EY74" s="1419"/>
      <c r="EZ74" s="1419"/>
      <c r="FA74" s="1419"/>
      <c r="FB74" s="1419"/>
      <c r="FC74" s="1419"/>
      <c r="FD74" s="1419"/>
      <c r="FE74" s="1419"/>
      <c r="FF74" s="1419"/>
      <c r="FG74" s="1419"/>
      <c r="FH74" s="1419"/>
      <c r="FI74" s="1419"/>
    </row>
    <row r="75" spans="1:165">
      <c r="A75" s="448" t="str">
        <f>IF(+'Argus Drop'!B79="","",'Argus Drop'!B79)</f>
        <v/>
      </c>
      <c r="B75" s="440" t="str">
        <f>IF(A75="","",+SUMIF('Argus Drop'!$D$7:$D$64,$A75,'Argus Drop'!#REF!))</f>
        <v/>
      </c>
      <c r="C75" s="440" t="str">
        <f>IF(B75="","",+SUMIF('Argus Drop'!$D$7:$D$64,$A75,'Argus Drop'!#REF!))</f>
        <v/>
      </c>
      <c r="D75" s="440" t="str">
        <f>IF(C75="","",+SUMIF('Argus Drop'!$D$7:$D$64,$A75,'Argus Drop'!#REF!))</f>
        <v/>
      </c>
      <c r="E75" s="440" t="str">
        <f>IF(D75="","",+SUMIF('Argus Drop'!$D$7:$D$64,$A75,'Argus Drop'!#REF!))</f>
        <v/>
      </c>
      <c r="F75" s="440" t="str">
        <f>IF(E75="","",+SUMIF('Argus Drop'!$D$7:$D$64,$A75,'Argus Drop'!#REF!))</f>
        <v/>
      </c>
      <c r="G75" s="440" t="str">
        <f>IF(F75="","",+SUMIF('Argus Drop'!$D$7:$D$64,$A75,'Argus Drop'!F$7:F$64))</f>
        <v/>
      </c>
      <c r="H75" s="440" t="str">
        <f>IF(G75="","",+SUMIF('Argus Drop'!$D$7:$D$64,$A75,'Argus Drop'!G$12:G$64))</f>
        <v/>
      </c>
      <c r="I75" s="440" t="str">
        <f>IF(H75="","",+SUMIF('Argus Drop'!$D$7:$D$64,$A75,'Argus Drop'!H$12:H$64))</f>
        <v/>
      </c>
      <c r="J75" s="440" t="str">
        <f>IF(I75="","",+SUMIF('Argus Drop'!$D$7:$D$64,$A75,'Argus Drop'!I$12:I$64))</f>
        <v/>
      </c>
      <c r="K75" s="440" t="str">
        <f>IF(J75="","",+SUMIF('Argus Drop'!$D$7:$D$64,$A75,'Argus Drop'!J$12:J$64))</f>
        <v/>
      </c>
      <c r="L75" s="440" t="str">
        <f>IF(K75="","",+SUMIF('Argus Drop'!$D$7:$D$64,$A75,'Argus Drop'!K$12:K$64))</f>
        <v/>
      </c>
      <c r="M75" s="440" t="str">
        <f>IF(L75="","",+SUMIF('Argus Drop'!$D$7:$D$64,$A75,'Argus Drop'!L$12:L$64))</f>
        <v/>
      </c>
      <c r="N75" s="440" t="str">
        <f>IF(M75="","",+SUMIF('Argus Drop'!$D$7:$D$64,$A75,'Argus Drop'!#REF!))</f>
        <v/>
      </c>
      <c r="O75" s="440" t="str">
        <f>IF(N75="","",+SUMIF('Argus Drop'!$D$7:$D$64,$A75,'Argus Drop'!M$12:M$64))</f>
        <v/>
      </c>
      <c r="P75" s="440" t="str">
        <f>IF(O75="","",+SUMIF('Argus Drop'!$D$7:$D$64,$A75,'Argus Drop'!N$12:N$64))</f>
        <v/>
      </c>
      <c r="Q75" s="440" t="str">
        <f>IF(P75="","",+SUMIF('Argus Drop'!$D$7:$D$64,$A75,'Argus Drop'!O$12:O$64))</f>
        <v/>
      </c>
      <c r="R75" s="440" t="str">
        <f>IF(Q75="","",+SUMIF('Argus Drop'!$D$7:$D$64,$A75,'Argus Drop'!P$12:P$64))</f>
        <v/>
      </c>
      <c r="S75" s="440" t="str">
        <f>IF(R75="","",+SUMIF('Argus Drop'!$D$7:$D$64,$A75,'Argus Drop'!Q$12:Q$64))</f>
        <v/>
      </c>
      <c r="T75" s="440" t="str">
        <f>IF(S75="","",+SUMIF('Argus Drop'!$D$7:$D$64,$A75,'Argus Drop'!R$12:R$64))</f>
        <v/>
      </c>
      <c r="U75" s="440" t="str">
        <f>IF(T75="","",+SUMIF('Argus Drop'!$D$7:$D$64,$A75,'Argus Drop'!S$12:S$64))</f>
        <v/>
      </c>
      <c r="V75" s="440" t="str">
        <f>IF(U75="","",+SUMIF('Argus Drop'!$D$7:$D$64,$A75,'Argus Drop'!T$12:T$64))</f>
        <v/>
      </c>
      <c r="W75" s="440" t="str">
        <f>IF(V75="","",+SUMIF('Argus Drop'!$D$7:$D$64,$A75,'Argus Drop'!U$12:U$64))</f>
        <v/>
      </c>
      <c r="X75" s="440" t="str">
        <f>IF(W75="","",+SUMIF('Argus Drop'!$D$7:$D$64,$A75,'Argus Drop'!V$12:V$64))</f>
        <v/>
      </c>
      <c r="Y75" s="440" t="str">
        <f>IF(X75="","",+SUMIF('Argus Drop'!$D$7:$D$64,$A75,'Argus Drop'!W$12:W$64))</f>
        <v/>
      </c>
      <c r="Z75" s="440" t="str">
        <f>IF(Y75="","",+SUMIF('Argus Drop'!$D$7:$D$64,$A75,'Argus Drop'!X$12:X$64))</f>
        <v/>
      </c>
      <c r="AA75" s="440" t="str">
        <f>IF(Z75="","",+SUMIF('Argus Drop'!$D$7:$D$64,$A75,'Argus Drop'!#REF!))</f>
        <v/>
      </c>
      <c r="AB75" s="440" t="str">
        <f>IF(AA75="","",+SUMIF('Argus Drop'!$D$7:$D$64,$A75,'Argus Drop'!Y$12:Y$64))</f>
        <v/>
      </c>
      <c r="AC75" s="440" t="str">
        <f>IF(AB75="","",+SUMIF('Argus Drop'!$D$7:$D$64,$A75,'Argus Drop'!Z$12:Z$64))</f>
        <v/>
      </c>
      <c r="AD75" s="440" t="str">
        <f>IF(AC75="","",+SUMIF('Argus Drop'!$D$7:$D$64,$A75,'Argus Drop'!AA$12:AA$64))</f>
        <v/>
      </c>
      <c r="AE75" s="440" t="str">
        <f>IF(AD75="","",+SUMIF('Argus Drop'!$D$7:$D$64,$A75,'Argus Drop'!AB$12:AB$64))</f>
        <v/>
      </c>
      <c r="AF75" s="440" t="str">
        <f>IF(AE75="","",+SUMIF('Argus Drop'!$D$7:$D$64,$A75,'Argus Drop'!AC$12:AC$64))</f>
        <v/>
      </c>
      <c r="AG75" s="440" t="str">
        <f>IF(AF75="","",+SUMIF('Argus Drop'!$D$7:$D$64,$A75,'Argus Drop'!AD$12:AD$64))</f>
        <v/>
      </c>
      <c r="AH75" s="440" t="str">
        <f>IF(AG75="","",+SUMIF('Argus Drop'!$D$7:$D$64,$A75,'Argus Drop'!AE$12:AE$64))</f>
        <v/>
      </c>
      <c r="AI75" s="440" t="str">
        <f>IF(AH75="","",+SUMIF('Argus Drop'!$D$7:$D$64,$A75,'Argus Drop'!AF$12:AF$64))</f>
        <v/>
      </c>
      <c r="AJ75" s="440" t="str">
        <f>IF(AI75="","",+SUMIF('Argus Drop'!$D$7:$D$64,$A75,'Argus Drop'!AG$12:AG$64))</f>
        <v/>
      </c>
      <c r="AK75" s="440" t="str">
        <f>IF(AJ75="","",+SUMIF('Argus Drop'!$D$7:$D$64,$A75,'Argus Drop'!AH$12:AH$64))</f>
        <v/>
      </c>
      <c r="AL75" s="440" t="str">
        <f>IF(AK75="","",+SUMIF('Argus Drop'!$D$7:$D$64,$A75,'Argus Drop'!AI$12:AI$64))</f>
        <v/>
      </c>
      <c r="AM75" s="440" t="str">
        <f>IF(AL75="","",+SUMIF('Argus Drop'!$D$7:$D$64,$A75,'Argus Drop'!AJ$12:AJ$64))</f>
        <v/>
      </c>
      <c r="AN75" s="440" t="str">
        <f>IF(AM75="","",+SUMIF('Argus Drop'!$D$7:$D$64,$A75,'Argus Drop'!#REF!))</f>
        <v/>
      </c>
      <c r="AO75" s="440" t="str">
        <f>IF(AN75="","",+SUMIF('Argus Drop'!$D$7:$D$64,$A75,'Argus Drop'!AK$12:AK$64))</f>
        <v/>
      </c>
      <c r="AP75" s="440" t="str">
        <f>IF(AO75="","",+SUMIF('Argus Drop'!$D$7:$D$64,$A75,'Argus Drop'!AL$12:AL$64))</f>
        <v/>
      </c>
      <c r="AQ75" s="440" t="str">
        <f>IF(AP75="","",+SUMIF('Argus Drop'!$D$7:$D$64,$A75,'Argus Drop'!AM$12:AM$64))</f>
        <v/>
      </c>
      <c r="AR75" s="440" t="str">
        <f>IF(AQ75="","",+SUMIF('Argus Drop'!$D$7:$D$64,$A75,'Argus Drop'!AN$12:AN$64))</f>
        <v/>
      </c>
      <c r="AS75" s="440" t="str">
        <f>IF(AR75="","",+SUMIF('Argus Drop'!$D$7:$D$64,$A75,'Argus Drop'!AO$12:AO$64))</f>
        <v/>
      </c>
      <c r="AT75" s="440" t="str">
        <f>IF(AS75="","",+SUMIF('Argus Drop'!$D$7:$D$64,$A75,'Argus Drop'!AP$12:AP$64))</f>
        <v/>
      </c>
      <c r="AU75" s="440" t="str">
        <f>IF(AT75="","",+SUMIF('Argus Drop'!$D$7:$D$64,$A75,'Argus Drop'!AQ$12:AQ$64))</f>
        <v/>
      </c>
      <c r="AV75" s="440" t="str">
        <f>IF(AU75="","",+SUMIF('Argus Drop'!$D$7:$D$64,$A75,'Argus Drop'!AR$12:AR$64))</f>
        <v/>
      </c>
      <c r="AW75" s="440" t="str">
        <f>IF(AV75="","",+SUMIF('Argus Drop'!$D$7:$D$64,$A75,'Argus Drop'!AS$12:AS$64))</f>
        <v/>
      </c>
      <c r="AX75" s="440" t="str">
        <f>IF(AW75="","",+SUMIF('Argus Drop'!$D$7:$D$64,$A75,'Argus Drop'!AT$12:AT$64))</f>
        <v/>
      </c>
      <c r="AY75" s="440" t="str">
        <f>IF(AX75="","",+SUMIF('Argus Drop'!$D$7:$D$64,$A75,'Argus Drop'!AU$12:AU$64))</f>
        <v/>
      </c>
      <c r="AZ75" s="440" t="str">
        <f>IF(AY75="","",+SUMIF('Argus Drop'!$D$7:$D$64,$A75,'Argus Drop'!AV$12:AV$64))</f>
        <v/>
      </c>
      <c r="BA75" s="440" t="str">
        <f>IF(AZ75="","",+SUMIF('Argus Drop'!$D$7:$D$64,$A75,'Argus Drop'!#REF!))</f>
        <v/>
      </c>
      <c r="BB75" s="440" t="str">
        <f>IF(BA75="","",+SUMIF('Argus Drop'!$D$7:$D$64,$A75,'Argus Drop'!AW$12:AW$64))</f>
        <v/>
      </c>
      <c r="BC75" s="440" t="str">
        <f>IF(BB75="","",+SUMIF('Argus Drop'!$D$7:$D$64,$A75,'Argus Drop'!AX$12:AX$64))</f>
        <v/>
      </c>
      <c r="BD75" s="440" t="str">
        <f>IF(BC75="","",+SUMIF('Argus Drop'!$D$7:$D$64,$A75,'Argus Drop'!AY$12:AY$64))</f>
        <v/>
      </c>
      <c r="BE75" s="440" t="str">
        <f>IF(BD75="","",+SUMIF('Argus Drop'!$D$7:$D$64,$A75,'Argus Drop'!AZ$12:AZ$64))</f>
        <v/>
      </c>
      <c r="BF75" s="440" t="str">
        <f>IF(BE75="","",+SUMIF('Argus Drop'!$D$7:$D$64,$A75,'Argus Drop'!BA$12:BA$64))</f>
        <v/>
      </c>
      <c r="BG75" s="440" t="str">
        <f>IF(BF75="","",+SUMIF('Argus Drop'!$D$7:$D$64,$A75,'Argus Drop'!BB$12:BB$64))</f>
        <v/>
      </c>
      <c r="BH75" s="440" t="str">
        <f>IF(BG75="","",+SUMIF('Argus Drop'!$D$7:$D$64,$A75,'Argus Drop'!BC$12:BC$64))</f>
        <v/>
      </c>
      <c r="BI75" s="440" t="str">
        <f>IF(BH75="","",+SUMIF('Argus Drop'!$D$7:$D$64,$A75,'Argus Drop'!BD$12:BD$64))</f>
        <v/>
      </c>
      <c r="BJ75" s="440" t="str">
        <f>IF(BI75="","",+SUMIF('Argus Drop'!$D$7:$D$64,$A75,'Argus Drop'!BE$12:BE$64))</f>
        <v/>
      </c>
      <c r="BK75" s="440" t="str">
        <f>IF(BJ75="","",+SUMIF('Argus Drop'!$D$7:$D$64,$A75,'Argus Drop'!BF$12:BF$64))</f>
        <v/>
      </c>
      <c r="BL75" s="440" t="str">
        <f>IF(BK75="","",+SUMIF('Argus Drop'!$D$7:$D$64,$A75,'Argus Drop'!BG$12:BG$64))</f>
        <v/>
      </c>
      <c r="BM75" s="440" t="str">
        <f>IF(BL75="","",+SUMIF('Argus Drop'!$D$7:$D$64,$A75,'Argus Drop'!BH$12:BH$64))</f>
        <v/>
      </c>
      <c r="BN75" s="440" t="str">
        <f>IF(BM75="","",+SUMIF('Argus Drop'!$D$7:$D$64,$A75,'Argus Drop'!#REF!))</f>
        <v/>
      </c>
      <c r="BO75" s="440" t="str">
        <f>IF(BN75="","",+SUMIF('Argus Drop'!$D$7:$D$64,$A75,'Argus Drop'!BI$12:BI$64))</f>
        <v/>
      </c>
      <c r="BP75" s="440" t="str">
        <f>IF(BO75="","",+SUMIF('Argus Drop'!$D$7:$D$64,$A75,'Argus Drop'!BJ$12:BJ$64))</f>
        <v/>
      </c>
      <c r="BQ75" s="440" t="str">
        <f>IF(BP75="","",+SUMIF('Argus Drop'!$D$7:$D$64,$A75,'Argus Drop'!BK$12:BK$64))</f>
        <v/>
      </c>
      <c r="BR75" s="440" t="str">
        <f>IF(BQ75="","",+SUMIF('Argus Drop'!$D$7:$D$64,$A75,'Argus Drop'!BL$12:BL$64))</f>
        <v/>
      </c>
      <c r="BS75" s="440" t="str">
        <f>IF(BR75="","",+SUMIF('Argus Drop'!$D$7:$D$64,$A75,'Argus Drop'!BM$12:BM$64))</f>
        <v/>
      </c>
      <c r="BT75" s="440" t="str">
        <f>IF(BS75="","",+SUMIF('Argus Drop'!$D$7:$D$64,$A75,'Argus Drop'!BN$12:BN$64))</f>
        <v/>
      </c>
      <c r="BU75" s="440" t="str">
        <f>IF(BT75="","",+SUMIF('Argus Drop'!$D$7:$D$64,$A75,'Argus Drop'!BO$12:BO$64))</f>
        <v/>
      </c>
      <c r="BV75" s="440" t="str">
        <f>IF(BU75="","",+SUMIF('Argus Drop'!$D$7:$D$64,$A75,'Argus Drop'!BP$12:BP$64))</f>
        <v/>
      </c>
      <c r="BW75" s="440" t="str">
        <f>IF(BV75="","",+SUMIF('Argus Drop'!$D$7:$D$64,$A75,'Argus Drop'!BQ$12:BQ$64))</f>
        <v/>
      </c>
      <c r="BX75" s="440" t="str">
        <f>IF(BW75="","",+SUMIF('Argus Drop'!$D$7:$D$64,$A75,'Argus Drop'!BR$12:BR$64))</f>
        <v/>
      </c>
      <c r="BY75" s="440" t="str">
        <f>IF(BX75="","",+SUMIF('Argus Drop'!$D$7:$D$64,$A75,'Argus Drop'!BS$12:BS$64))</f>
        <v/>
      </c>
      <c r="BZ75" s="440" t="str">
        <f>IF(BY75="","",+SUMIF('Argus Drop'!$D$7:$D$64,$A75,'Argus Drop'!BT$12:BT$64))</f>
        <v/>
      </c>
      <c r="CA75" s="440" t="str">
        <f>IF(BZ75="","",+SUMIF('Argus Drop'!$D$7:$D$64,$A75,'Argus Drop'!#REF!))</f>
        <v/>
      </c>
      <c r="CB75" s="440" t="str">
        <f>IF(CA75="","",+SUMIF('Argus Drop'!$D$7:$D$64,$A75,'Argus Drop'!BU$12:BU$64))</f>
        <v/>
      </c>
      <c r="CC75" s="440" t="str">
        <f>IF(CB75="","",+SUMIF('Argus Drop'!$D$7:$D$64,$A75,'Argus Drop'!BV$12:BV$64))</f>
        <v/>
      </c>
      <c r="CD75" s="440" t="str">
        <f>IF(CC75="","",+SUMIF('Argus Drop'!$D$7:$D$64,$A75,'Argus Drop'!BW$12:BW$64))</f>
        <v/>
      </c>
      <c r="CE75" s="440" t="str">
        <f>IF(CD75="","",+SUMIF('Argus Drop'!$D$7:$D$64,$A75,'Argus Drop'!BX$12:BX$64))</f>
        <v/>
      </c>
      <c r="CF75" s="440" t="str">
        <f>IF(CE75="","",+SUMIF('Argus Drop'!$D$7:$D$64,$A75,'Argus Drop'!BY$12:BY$64))</f>
        <v/>
      </c>
      <c r="CG75" s="440" t="str">
        <f>IF(CF75="","",+SUMIF('Argus Drop'!$D$7:$D$64,$A75,'Argus Drop'!BZ$12:BZ$64))</f>
        <v/>
      </c>
      <c r="CH75" s="440" t="str">
        <f>IF(CG75="","",+SUMIF('Argus Drop'!$D$7:$D$64,$A75,'Argus Drop'!CA$12:CA$64))</f>
        <v/>
      </c>
      <c r="CI75" s="440" t="str">
        <f>IF(CH75="","",+SUMIF('Argus Drop'!$D$7:$D$64,$A75,'Argus Drop'!CB$12:CB$64))</f>
        <v/>
      </c>
      <c r="CJ75" s="440" t="str">
        <f>IF(CI75="","",+SUMIF('Argus Drop'!$D$7:$D$64,$A75,'Argus Drop'!CC$12:CC$64))</f>
        <v/>
      </c>
      <c r="CK75" s="440" t="str">
        <f>IF(CJ75="","",+SUMIF('Argus Drop'!$D$7:$D$64,$A75,'Argus Drop'!CD$12:CD$64))</f>
        <v/>
      </c>
      <c r="CL75" s="440" t="str">
        <f>IF(CK75="","",+SUMIF('Argus Drop'!$D$7:$D$64,$A75,'Argus Drop'!CE$12:CE$64))</f>
        <v/>
      </c>
      <c r="CM75" s="440" t="str">
        <f>IF(CL75="","",+SUMIF('Argus Drop'!$D$7:$D$64,$A75,'Argus Drop'!CF$12:CF$64))</f>
        <v/>
      </c>
      <c r="CN75" s="440" t="str">
        <f>IF(CM75="","",+SUMIF('Argus Drop'!$D$7:$D$64,$A75,'Argus Drop'!#REF!))</f>
        <v/>
      </c>
      <c r="CO75" s="440" t="str">
        <f>IF(CN75="","",+SUMIF('Argus Drop'!$D$7:$D$64,$A75,'Argus Drop'!CG$12:CG$64))</f>
        <v/>
      </c>
      <c r="CP75" s="440" t="str">
        <f>IF(CO75="","",+SUMIF('Argus Drop'!$D$7:$D$64,$A75,'Argus Drop'!CH$12:CH$64))</f>
        <v/>
      </c>
      <c r="CQ75" s="440" t="str">
        <f>IF(CP75="","",+SUMIF('Argus Drop'!$D$7:$D$64,$A75,'Argus Drop'!CI$12:CI$64))</f>
        <v/>
      </c>
      <c r="CR75" s="440" t="str">
        <f>IF(CQ75="","",+SUMIF('Argus Drop'!$D$7:$D$64,$A75,'Argus Drop'!CJ$12:CJ$64))</f>
        <v/>
      </c>
      <c r="CS75" s="440" t="str">
        <f>IF(CR75="","",+SUMIF('Argus Drop'!$D$7:$D$64,$A75,'Argus Drop'!CK$12:CK$64))</f>
        <v/>
      </c>
      <c r="CT75" s="440" t="str">
        <f>IF(CS75="","",+SUMIF('Argus Drop'!$D$7:$D$64,$A75,'Argus Drop'!CL$12:CL$64))</f>
        <v/>
      </c>
      <c r="CU75" s="440" t="str">
        <f>IF(CT75="","",+SUMIF('Argus Drop'!$D$7:$D$64,$A75,'Argus Drop'!CM$12:CM$64))</f>
        <v/>
      </c>
      <c r="CV75" s="440" t="str">
        <f>IF(CU75="","",+SUMIF('Argus Drop'!$D$7:$D$64,$A75,'Argus Drop'!CN$12:CN$64))</f>
        <v/>
      </c>
      <c r="CW75" s="440" t="str">
        <f>IF(CV75="","",+SUMIF('Argus Drop'!$D$7:$D$64,$A75,'Argus Drop'!CO$12:CO$64))</f>
        <v/>
      </c>
      <c r="CX75" s="440" t="str">
        <f>IF(CW75="","",+SUMIF('Argus Drop'!$D$7:$D$64,$A75,'Argus Drop'!CP$12:CP$64))</f>
        <v/>
      </c>
      <c r="CY75" s="440" t="str">
        <f>IF(CX75="","",+SUMIF('Argus Drop'!$D$7:$D$64,$A75,'Argus Drop'!CQ$12:CQ$64))</f>
        <v/>
      </c>
      <c r="CZ75" s="440" t="str">
        <f>IF(CY75="","",+SUMIF('Argus Drop'!$D$7:$D$64,$A75,'Argus Drop'!CR$12:CR$64))</f>
        <v/>
      </c>
      <c r="DA75" s="440" t="str">
        <f>IF(CZ75="","",+SUMIF('Argus Drop'!$D$7:$D$64,$A75,'Argus Drop'!#REF!))</f>
        <v/>
      </c>
      <c r="DB75" s="440" t="str">
        <f>IF(DA75="","",+SUMIF('Argus Drop'!$D$7:$D$64,$A75,'Argus Drop'!CS$12:CS$64))</f>
        <v/>
      </c>
      <c r="DC75" s="440" t="str">
        <f>IF(DB75="","",+SUMIF('Argus Drop'!$D$7:$D$64,$A75,'Argus Drop'!CT$12:CT$64))</f>
        <v/>
      </c>
      <c r="DD75" s="440" t="str">
        <f>IF(DC75="","",+SUMIF('Argus Drop'!$D$7:$D$64,$A75,'Argus Drop'!CU$12:CU$64))</f>
        <v/>
      </c>
      <c r="DE75" s="440" t="str">
        <f>IF(DD75="","",+SUMIF('Argus Drop'!$D$7:$D$64,$A75,'Argus Drop'!CV$12:CV$64))</f>
        <v/>
      </c>
      <c r="DF75" s="440" t="str">
        <f>IF(DE75="","",+SUMIF('Argus Drop'!$D$7:$D$64,$A75,'Argus Drop'!CW$12:CW$64))</f>
        <v/>
      </c>
      <c r="DG75" s="440" t="str">
        <f>IF(DF75="","",+SUMIF('Argus Drop'!$D$7:$D$64,$A75,'Argus Drop'!CX$12:CX$64))</f>
        <v/>
      </c>
      <c r="DH75" s="440" t="str">
        <f>IF(DG75="","",+SUMIF('Argus Drop'!$D$7:$D$64,$A75,'Argus Drop'!CY$12:CY$64))</f>
        <v/>
      </c>
      <c r="DI75" s="440" t="str">
        <f>IF(DH75="","",+SUMIF('Argus Drop'!$D$7:$D$64,$A75,'Argus Drop'!CZ$12:CZ$64))</f>
        <v/>
      </c>
      <c r="DJ75" s="440" t="str">
        <f>IF(DI75="","",+SUMIF('Argus Drop'!$D$7:$D$64,$A75,'Argus Drop'!DA$12:DA$64))</f>
        <v/>
      </c>
      <c r="DK75" s="440" t="str">
        <f>IF(DJ75="","",+SUMIF('Argus Drop'!$D$7:$D$64,$A75,'Argus Drop'!DB$12:DB$64))</f>
        <v/>
      </c>
      <c r="DL75" s="440" t="str">
        <f>IF(DK75="","",+SUMIF('Argus Drop'!$D$7:$D$64,$A75,'Argus Drop'!DC$12:DC$64))</f>
        <v/>
      </c>
      <c r="DM75" s="440" t="str">
        <f>IF(DL75="","",+SUMIF('Argus Drop'!$D$7:$D$64,$A75,'Argus Drop'!DD$12:DD$64))</f>
        <v/>
      </c>
      <c r="DN75" s="440" t="str">
        <f>IF(DM75="","",+SUMIF('Argus Drop'!$D$7:$D$64,$A75,'Argus Drop'!#REF!))</f>
        <v/>
      </c>
      <c r="DO75" s="440" t="str">
        <f>IF(DN75="","",+SUMIF('Argus Drop'!$D$7:$D$64,$A75,'Argus Drop'!DE$12:DE$64))</f>
        <v/>
      </c>
      <c r="DP75" s="440" t="str">
        <f>IF(DO75="","",+SUMIF('Argus Drop'!$D$7:$D$64,$A75,'Argus Drop'!DF$12:DF$64))</f>
        <v/>
      </c>
      <c r="DQ75" s="440" t="str">
        <f>IF(DP75="","",+SUMIF('Argus Drop'!$D$7:$D$64,$A75,'Argus Drop'!DG$12:DG$64))</f>
        <v/>
      </c>
      <c r="DR75" s="440" t="str">
        <f>IF(DQ75="","",+SUMIF('Argus Drop'!$D$7:$D$64,$A75,'Argus Drop'!DH$12:DH$64))</f>
        <v/>
      </c>
      <c r="DS75" s="440"/>
      <c r="DT75" s="440"/>
      <c r="DU75" s="440"/>
      <c r="DV75" s="440"/>
      <c r="DW75" s="440"/>
      <c r="DX75" s="440"/>
      <c r="DY75" s="440"/>
      <c r="DZ75" s="440"/>
      <c r="EA75" s="440"/>
      <c r="EB75" s="440"/>
      <c r="EC75" s="440"/>
      <c r="ED75" s="1419"/>
      <c r="EE75" s="1419"/>
      <c r="EF75" s="1419"/>
      <c r="EG75" s="1419"/>
      <c r="EH75" s="1419"/>
      <c r="EI75" s="1419"/>
      <c r="EJ75" s="1419"/>
      <c r="EK75" s="1419"/>
      <c r="EL75" s="1419"/>
      <c r="EM75" s="1419"/>
      <c r="EN75" s="1419"/>
      <c r="EO75" s="1419"/>
      <c r="EP75" s="1419"/>
      <c r="EQ75" s="1419"/>
      <c r="ER75" s="1419"/>
      <c r="ES75" s="1419"/>
      <c r="ET75" s="1419"/>
      <c r="EU75" s="1419"/>
      <c r="EV75" s="1419"/>
      <c r="EW75" s="1419"/>
      <c r="EX75" s="1419"/>
      <c r="EY75" s="1419"/>
      <c r="EZ75" s="1419"/>
      <c r="FA75" s="1419"/>
      <c r="FB75" s="1419"/>
      <c r="FC75" s="1419"/>
      <c r="FD75" s="1419"/>
      <c r="FE75" s="1419"/>
      <c r="FF75" s="1419"/>
      <c r="FG75" s="1419"/>
      <c r="FH75" s="1419"/>
      <c r="FI75" s="1419"/>
    </row>
    <row r="76" spans="1:165">
      <c r="A76" s="448" t="str">
        <f>IF(+'Argus Drop'!B80="","",'Argus Drop'!B80)</f>
        <v/>
      </c>
      <c r="B76" s="440" t="str">
        <f>IF(A76="","",+SUMIF('Argus Drop'!$D$7:$D$64,$A76,'Argus Drop'!#REF!))</f>
        <v/>
      </c>
      <c r="C76" s="440" t="str">
        <f>IF(B76="","",+SUMIF('Argus Drop'!$D$7:$D$64,$A76,'Argus Drop'!#REF!))</f>
        <v/>
      </c>
      <c r="D76" s="440" t="str">
        <f>IF(C76="","",+SUMIF('Argus Drop'!$D$7:$D$64,$A76,'Argus Drop'!#REF!))</f>
        <v/>
      </c>
      <c r="E76" s="440" t="str">
        <f>IF(D76="","",+SUMIF('Argus Drop'!$D$7:$D$64,$A76,'Argus Drop'!#REF!))</f>
        <v/>
      </c>
      <c r="F76" s="440" t="str">
        <f>IF(E76="","",+SUMIF('Argus Drop'!$D$7:$D$64,$A76,'Argus Drop'!#REF!))</f>
        <v/>
      </c>
      <c r="G76" s="440" t="str">
        <f>IF(F76="","",+SUMIF('Argus Drop'!$D$7:$D$64,$A76,'Argus Drop'!F$7:F$64))</f>
        <v/>
      </c>
      <c r="H76" s="440" t="str">
        <f>IF(G76="","",+SUMIF('Argus Drop'!$D$7:$D$64,$A76,'Argus Drop'!G$12:G$64))</f>
        <v/>
      </c>
      <c r="I76" s="440" t="str">
        <f>IF(H76="","",+SUMIF('Argus Drop'!$D$7:$D$64,$A76,'Argus Drop'!H$12:H$64))</f>
        <v/>
      </c>
      <c r="J76" s="440" t="str">
        <f>IF(I76="","",+SUMIF('Argus Drop'!$D$7:$D$64,$A76,'Argus Drop'!I$12:I$64))</f>
        <v/>
      </c>
      <c r="K76" s="440" t="str">
        <f>IF(J76="","",+SUMIF('Argus Drop'!$D$7:$D$64,$A76,'Argus Drop'!J$12:J$64))</f>
        <v/>
      </c>
      <c r="L76" s="440" t="str">
        <f>IF(K76="","",+SUMIF('Argus Drop'!$D$7:$D$64,$A76,'Argus Drop'!K$12:K$64))</f>
        <v/>
      </c>
      <c r="M76" s="440" t="str">
        <f>IF(L76="","",+SUMIF('Argus Drop'!$D$7:$D$64,$A76,'Argus Drop'!L$12:L$64))</f>
        <v/>
      </c>
      <c r="N76" s="440" t="str">
        <f>IF(M76="","",+SUMIF('Argus Drop'!$D$7:$D$64,$A76,'Argus Drop'!#REF!))</f>
        <v/>
      </c>
      <c r="O76" s="440" t="str">
        <f>IF(N76="","",+SUMIF('Argus Drop'!$D$7:$D$64,$A76,'Argus Drop'!M$12:M$64))</f>
        <v/>
      </c>
      <c r="P76" s="440" t="str">
        <f>IF(O76="","",+SUMIF('Argus Drop'!$D$7:$D$64,$A76,'Argus Drop'!N$12:N$64))</f>
        <v/>
      </c>
      <c r="Q76" s="440" t="str">
        <f>IF(P76="","",+SUMIF('Argus Drop'!$D$7:$D$64,$A76,'Argus Drop'!O$12:O$64))</f>
        <v/>
      </c>
      <c r="R76" s="440" t="str">
        <f>IF(Q76="","",+SUMIF('Argus Drop'!$D$7:$D$64,$A76,'Argus Drop'!P$12:P$64))</f>
        <v/>
      </c>
      <c r="S76" s="440" t="str">
        <f>IF(R76="","",+SUMIF('Argus Drop'!$D$7:$D$64,$A76,'Argus Drop'!Q$12:Q$64))</f>
        <v/>
      </c>
      <c r="T76" s="440" t="str">
        <f>IF(S76="","",+SUMIF('Argus Drop'!$D$7:$D$64,$A76,'Argus Drop'!R$12:R$64))</f>
        <v/>
      </c>
      <c r="U76" s="440" t="str">
        <f>IF(T76="","",+SUMIF('Argus Drop'!$D$7:$D$64,$A76,'Argus Drop'!S$12:S$64))</f>
        <v/>
      </c>
      <c r="V76" s="440" t="str">
        <f>IF(U76="","",+SUMIF('Argus Drop'!$D$7:$D$64,$A76,'Argus Drop'!T$12:T$64))</f>
        <v/>
      </c>
      <c r="W76" s="440" t="str">
        <f>IF(V76="","",+SUMIF('Argus Drop'!$D$7:$D$64,$A76,'Argus Drop'!U$12:U$64))</f>
        <v/>
      </c>
      <c r="X76" s="440" t="str">
        <f>IF(W76="","",+SUMIF('Argus Drop'!$D$7:$D$64,$A76,'Argus Drop'!V$12:V$64))</f>
        <v/>
      </c>
      <c r="Y76" s="440" t="str">
        <f>IF(X76="","",+SUMIF('Argus Drop'!$D$7:$D$64,$A76,'Argus Drop'!W$12:W$64))</f>
        <v/>
      </c>
      <c r="Z76" s="440" t="str">
        <f>IF(Y76="","",+SUMIF('Argus Drop'!$D$7:$D$64,$A76,'Argus Drop'!X$12:X$64))</f>
        <v/>
      </c>
      <c r="AA76" s="440" t="str">
        <f>IF(Z76="","",+SUMIF('Argus Drop'!$D$7:$D$64,$A76,'Argus Drop'!#REF!))</f>
        <v/>
      </c>
      <c r="AB76" s="440" t="str">
        <f>IF(AA76="","",+SUMIF('Argus Drop'!$D$7:$D$64,$A76,'Argus Drop'!Y$12:Y$64))</f>
        <v/>
      </c>
      <c r="AC76" s="440" t="str">
        <f>IF(AB76="","",+SUMIF('Argus Drop'!$D$7:$D$64,$A76,'Argus Drop'!Z$12:Z$64))</f>
        <v/>
      </c>
      <c r="AD76" s="440" t="str">
        <f>IF(AC76="","",+SUMIF('Argus Drop'!$D$7:$D$64,$A76,'Argus Drop'!AA$12:AA$64))</f>
        <v/>
      </c>
      <c r="AE76" s="440" t="str">
        <f>IF(AD76="","",+SUMIF('Argus Drop'!$D$7:$D$64,$A76,'Argus Drop'!AB$12:AB$64))</f>
        <v/>
      </c>
      <c r="AF76" s="440" t="str">
        <f>IF(AE76="","",+SUMIF('Argus Drop'!$D$7:$D$64,$A76,'Argus Drop'!AC$12:AC$64))</f>
        <v/>
      </c>
      <c r="AG76" s="440" t="str">
        <f>IF(AF76="","",+SUMIF('Argus Drop'!$D$7:$D$64,$A76,'Argus Drop'!AD$12:AD$64))</f>
        <v/>
      </c>
      <c r="AH76" s="440" t="str">
        <f>IF(AG76="","",+SUMIF('Argus Drop'!$D$7:$D$64,$A76,'Argus Drop'!AE$12:AE$64))</f>
        <v/>
      </c>
      <c r="AI76" s="440" t="str">
        <f>IF(AH76="","",+SUMIF('Argus Drop'!$D$7:$D$64,$A76,'Argus Drop'!AF$12:AF$64))</f>
        <v/>
      </c>
      <c r="AJ76" s="440" t="str">
        <f>IF(AI76="","",+SUMIF('Argus Drop'!$D$7:$D$64,$A76,'Argus Drop'!AG$12:AG$64))</f>
        <v/>
      </c>
      <c r="AK76" s="440" t="str">
        <f>IF(AJ76="","",+SUMIF('Argus Drop'!$D$7:$D$64,$A76,'Argus Drop'!AH$12:AH$64))</f>
        <v/>
      </c>
      <c r="AL76" s="440" t="str">
        <f>IF(AK76="","",+SUMIF('Argus Drop'!$D$7:$D$64,$A76,'Argus Drop'!AI$12:AI$64))</f>
        <v/>
      </c>
      <c r="AM76" s="440" t="str">
        <f>IF(AL76="","",+SUMIF('Argus Drop'!$D$7:$D$64,$A76,'Argus Drop'!AJ$12:AJ$64))</f>
        <v/>
      </c>
      <c r="AN76" s="440" t="str">
        <f>IF(AM76="","",+SUMIF('Argus Drop'!$D$7:$D$64,$A76,'Argus Drop'!#REF!))</f>
        <v/>
      </c>
      <c r="AO76" s="440" t="str">
        <f>IF(AN76="","",+SUMIF('Argus Drop'!$D$7:$D$64,$A76,'Argus Drop'!AK$12:AK$64))</f>
        <v/>
      </c>
      <c r="AP76" s="440" t="str">
        <f>IF(AO76="","",+SUMIF('Argus Drop'!$D$7:$D$64,$A76,'Argus Drop'!AL$12:AL$64))</f>
        <v/>
      </c>
      <c r="AQ76" s="440" t="str">
        <f>IF(AP76="","",+SUMIF('Argus Drop'!$D$7:$D$64,$A76,'Argus Drop'!AM$12:AM$64))</f>
        <v/>
      </c>
      <c r="AR76" s="440" t="str">
        <f>IF(AQ76="","",+SUMIF('Argus Drop'!$D$7:$D$64,$A76,'Argus Drop'!AN$12:AN$64))</f>
        <v/>
      </c>
      <c r="AS76" s="440" t="str">
        <f>IF(AR76="","",+SUMIF('Argus Drop'!$D$7:$D$64,$A76,'Argus Drop'!AO$12:AO$64))</f>
        <v/>
      </c>
      <c r="AT76" s="440" t="str">
        <f>IF(AS76="","",+SUMIF('Argus Drop'!$D$7:$D$64,$A76,'Argus Drop'!AP$12:AP$64))</f>
        <v/>
      </c>
      <c r="AU76" s="440" t="str">
        <f>IF(AT76="","",+SUMIF('Argus Drop'!$D$7:$D$64,$A76,'Argus Drop'!AQ$12:AQ$64))</f>
        <v/>
      </c>
      <c r="AV76" s="440" t="str">
        <f>IF(AU76="","",+SUMIF('Argus Drop'!$D$7:$D$64,$A76,'Argus Drop'!AR$12:AR$64))</f>
        <v/>
      </c>
      <c r="AW76" s="440" t="str">
        <f>IF(AV76="","",+SUMIF('Argus Drop'!$D$7:$D$64,$A76,'Argus Drop'!AS$12:AS$64))</f>
        <v/>
      </c>
      <c r="AX76" s="440" t="str">
        <f>IF(AW76="","",+SUMIF('Argus Drop'!$D$7:$D$64,$A76,'Argus Drop'!AT$12:AT$64))</f>
        <v/>
      </c>
      <c r="AY76" s="440" t="str">
        <f>IF(AX76="","",+SUMIF('Argus Drop'!$D$7:$D$64,$A76,'Argus Drop'!AU$12:AU$64))</f>
        <v/>
      </c>
      <c r="AZ76" s="440" t="str">
        <f>IF(AY76="","",+SUMIF('Argus Drop'!$D$7:$D$64,$A76,'Argus Drop'!AV$12:AV$64))</f>
        <v/>
      </c>
      <c r="BA76" s="440" t="str">
        <f>IF(AZ76="","",+SUMIF('Argus Drop'!$D$7:$D$64,$A76,'Argus Drop'!#REF!))</f>
        <v/>
      </c>
      <c r="BB76" s="440" t="str">
        <f>IF(BA76="","",+SUMIF('Argus Drop'!$D$7:$D$64,$A76,'Argus Drop'!AW$12:AW$64))</f>
        <v/>
      </c>
      <c r="BC76" s="440" t="str">
        <f>IF(BB76="","",+SUMIF('Argus Drop'!$D$7:$D$64,$A76,'Argus Drop'!AX$12:AX$64))</f>
        <v/>
      </c>
      <c r="BD76" s="440" t="str">
        <f>IF(BC76="","",+SUMIF('Argus Drop'!$D$7:$D$64,$A76,'Argus Drop'!AY$12:AY$64))</f>
        <v/>
      </c>
      <c r="BE76" s="440" t="str">
        <f>IF(BD76="","",+SUMIF('Argus Drop'!$D$7:$D$64,$A76,'Argus Drop'!AZ$12:AZ$64))</f>
        <v/>
      </c>
      <c r="BF76" s="440" t="str">
        <f>IF(BE76="","",+SUMIF('Argus Drop'!$D$7:$D$64,$A76,'Argus Drop'!BA$12:BA$64))</f>
        <v/>
      </c>
      <c r="BG76" s="440" t="str">
        <f>IF(BF76="","",+SUMIF('Argus Drop'!$D$7:$D$64,$A76,'Argus Drop'!BB$12:BB$64))</f>
        <v/>
      </c>
      <c r="BH76" s="440" t="str">
        <f>IF(BG76="","",+SUMIF('Argus Drop'!$D$7:$D$64,$A76,'Argus Drop'!BC$12:BC$64))</f>
        <v/>
      </c>
      <c r="BI76" s="440" t="str">
        <f>IF(BH76="","",+SUMIF('Argus Drop'!$D$7:$D$64,$A76,'Argus Drop'!BD$12:BD$64))</f>
        <v/>
      </c>
      <c r="BJ76" s="440" t="str">
        <f>IF(BI76="","",+SUMIF('Argus Drop'!$D$7:$D$64,$A76,'Argus Drop'!BE$12:BE$64))</f>
        <v/>
      </c>
      <c r="BK76" s="440" t="str">
        <f>IF(BJ76="","",+SUMIF('Argus Drop'!$D$7:$D$64,$A76,'Argus Drop'!BF$12:BF$64))</f>
        <v/>
      </c>
      <c r="BL76" s="440" t="str">
        <f>IF(BK76="","",+SUMIF('Argus Drop'!$D$7:$D$64,$A76,'Argus Drop'!BG$12:BG$64))</f>
        <v/>
      </c>
      <c r="BM76" s="440" t="str">
        <f>IF(BL76="","",+SUMIF('Argus Drop'!$D$7:$D$64,$A76,'Argus Drop'!BH$12:BH$64))</f>
        <v/>
      </c>
      <c r="BN76" s="440" t="str">
        <f>IF(BM76="","",+SUMIF('Argus Drop'!$D$7:$D$64,$A76,'Argus Drop'!#REF!))</f>
        <v/>
      </c>
      <c r="BO76" s="440" t="str">
        <f>IF(BN76="","",+SUMIF('Argus Drop'!$D$7:$D$64,$A76,'Argus Drop'!BI$12:BI$64))</f>
        <v/>
      </c>
      <c r="BP76" s="440" t="str">
        <f>IF(BO76="","",+SUMIF('Argus Drop'!$D$7:$D$64,$A76,'Argus Drop'!BJ$12:BJ$64))</f>
        <v/>
      </c>
      <c r="BQ76" s="440" t="str">
        <f>IF(BP76="","",+SUMIF('Argus Drop'!$D$7:$D$64,$A76,'Argus Drop'!BK$12:BK$64))</f>
        <v/>
      </c>
      <c r="BR76" s="440" t="str">
        <f>IF(BQ76="","",+SUMIF('Argus Drop'!$D$7:$D$64,$A76,'Argus Drop'!BL$12:BL$64))</f>
        <v/>
      </c>
      <c r="BS76" s="440" t="str">
        <f>IF(BR76="","",+SUMIF('Argus Drop'!$D$7:$D$64,$A76,'Argus Drop'!BM$12:BM$64))</f>
        <v/>
      </c>
      <c r="BT76" s="440" t="str">
        <f>IF(BS76="","",+SUMIF('Argus Drop'!$D$7:$D$64,$A76,'Argus Drop'!BN$12:BN$64))</f>
        <v/>
      </c>
      <c r="BU76" s="440" t="str">
        <f>IF(BT76="","",+SUMIF('Argus Drop'!$D$7:$D$64,$A76,'Argus Drop'!BO$12:BO$64))</f>
        <v/>
      </c>
      <c r="BV76" s="440" t="str">
        <f>IF(BU76="","",+SUMIF('Argus Drop'!$D$7:$D$64,$A76,'Argus Drop'!BP$12:BP$64))</f>
        <v/>
      </c>
      <c r="BW76" s="440" t="str">
        <f>IF(BV76="","",+SUMIF('Argus Drop'!$D$7:$D$64,$A76,'Argus Drop'!BQ$12:BQ$64))</f>
        <v/>
      </c>
      <c r="BX76" s="440" t="str">
        <f>IF(BW76="","",+SUMIF('Argus Drop'!$D$7:$D$64,$A76,'Argus Drop'!BR$12:BR$64))</f>
        <v/>
      </c>
      <c r="BY76" s="440" t="str">
        <f>IF(BX76="","",+SUMIF('Argus Drop'!$D$7:$D$64,$A76,'Argus Drop'!BS$12:BS$64))</f>
        <v/>
      </c>
      <c r="BZ76" s="440" t="str">
        <f>IF(BY76="","",+SUMIF('Argus Drop'!$D$7:$D$64,$A76,'Argus Drop'!BT$12:BT$64))</f>
        <v/>
      </c>
      <c r="CA76" s="440" t="str">
        <f>IF(BZ76="","",+SUMIF('Argus Drop'!$D$7:$D$64,$A76,'Argus Drop'!#REF!))</f>
        <v/>
      </c>
      <c r="CB76" s="440" t="str">
        <f>IF(CA76="","",+SUMIF('Argus Drop'!$D$7:$D$64,$A76,'Argus Drop'!BU$12:BU$64))</f>
        <v/>
      </c>
      <c r="CC76" s="440" t="str">
        <f>IF(CB76="","",+SUMIF('Argus Drop'!$D$7:$D$64,$A76,'Argus Drop'!BV$12:BV$64))</f>
        <v/>
      </c>
      <c r="CD76" s="440" t="str">
        <f>IF(CC76="","",+SUMIF('Argus Drop'!$D$7:$D$64,$A76,'Argus Drop'!BW$12:BW$64))</f>
        <v/>
      </c>
      <c r="CE76" s="440" t="str">
        <f>IF(CD76="","",+SUMIF('Argus Drop'!$D$7:$D$64,$A76,'Argus Drop'!BX$12:BX$64))</f>
        <v/>
      </c>
      <c r="CF76" s="440" t="str">
        <f>IF(CE76="","",+SUMIF('Argus Drop'!$D$7:$D$64,$A76,'Argus Drop'!BY$12:BY$64))</f>
        <v/>
      </c>
      <c r="CG76" s="440" t="str">
        <f>IF(CF76="","",+SUMIF('Argus Drop'!$D$7:$D$64,$A76,'Argus Drop'!BZ$12:BZ$64))</f>
        <v/>
      </c>
      <c r="CH76" s="440" t="str">
        <f>IF(CG76="","",+SUMIF('Argus Drop'!$D$7:$D$64,$A76,'Argus Drop'!CA$12:CA$64))</f>
        <v/>
      </c>
      <c r="CI76" s="440" t="str">
        <f>IF(CH76="","",+SUMIF('Argus Drop'!$D$7:$D$64,$A76,'Argus Drop'!CB$12:CB$64))</f>
        <v/>
      </c>
      <c r="CJ76" s="440" t="str">
        <f>IF(CI76="","",+SUMIF('Argus Drop'!$D$7:$D$64,$A76,'Argus Drop'!CC$12:CC$64))</f>
        <v/>
      </c>
      <c r="CK76" s="440" t="str">
        <f>IF(CJ76="","",+SUMIF('Argus Drop'!$D$7:$D$64,$A76,'Argus Drop'!CD$12:CD$64))</f>
        <v/>
      </c>
      <c r="CL76" s="440" t="str">
        <f>IF(CK76="","",+SUMIF('Argus Drop'!$D$7:$D$64,$A76,'Argus Drop'!CE$12:CE$64))</f>
        <v/>
      </c>
      <c r="CM76" s="440" t="str">
        <f>IF(CL76="","",+SUMIF('Argus Drop'!$D$7:$D$64,$A76,'Argus Drop'!CF$12:CF$64))</f>
        <v/>
      </c>
      <c r="CN76" s="440" t="str">
        <f>IF(CM76="","",+SUMIF('Argus Drop'!$D$7:$D$64,$A76,'Argus Drop'!#REF!))</f>
        <v/>
      </c>
      <c r="CO76" s="440" t="str">
        <f>IF(CN76="","",+SUMIF('Argus Drop'!$D$7:$D$64,$A76,'Argus Drop'!CG$12:CG$64))</f>
        <v/>
      </c>
      <c r="CP76" s="440" t="str">
        <f>IF(CO76="","",+SUMIF('Argus Drop'!$D$7:$D$64,$A76,'Argus Drop'!CH$12:CH$64))</f>
        <v/>
      </c>
      <c r="CQ76" s="440" t="str">
        <f>IF(CP76="","",+SUMIF('Argus Drop'!$D$7:$D$64,$A76,'Argus Drop'!CI$12:CI$64))</f>
        <v/>
      </c>
      <c r="CR76" s="440" t="str">
        <f>IF(CQ76="","",+SUMIF('Argus Drop'!$D$7:$D$64,$A76,'Argus Drop'!CJ$12:CJ$64))</f>
        <v/>
      </c>
      <c r="CS76" s="440" t="str">
        <f>IF(CR76="","",+SUMIF('Argus Drop'!$D$7:$D$64,$A76,'Argus Drop'!CK$12:CK$64))</f>
        <v/>
      </c>
      <c r="CT76" s="440" t="str">
        <f>IF(CS76="","",+SUMIF('Argus Drop'!$D$7:$D$64,$A76,'Argus Drop'!CL$12:CL$64))</f>
        <v/>
      </c>
      <c r="CU76" s="440" t="str">
        <f>IF(CT76="","",+SUMIF('Argus Drop'!$D$7:$D$64,$A76,'Argus Drop'!CM$12:CM$64))</f>
        <v/>
      </c>
      <c r="CV76" s="440" t="str">
        <f>IF(CU76="","",+SUMIF('Argus Drop'!$D$7:$D$64,$A76,'Argus Drop'!CN$12:CN$64))</f>
        <v/>
      </c>
      <c r="CW76" s="440" t="str">
        <f>IF(CV76="","",+SUMIF('Argus Drop'!$D$7:$D$64,$A76,'Argus Drop'!CO$12:CO$64))</f>
        <v/>
      </c>
      <c r="CX76" s="440" t="str">
        <f>IF(CW76="","",+SUMIF('Argus Drop'!$D$7:$D$64,$A76,'Argus Drop'!CP$12:CP$64))</f>
        <v/>
      </c>
      <c r="CY76" s="440" t="str">
        <f>IF(CX76="","",+SUMIF('Argus Drop'!$D$7:$D$64,$A76,'Argus Drop'!CQ$12:CQ$64))</f>
        <v/>
      </c>
      <c r="CZ76" s="440" t="str">
        <f>IF(CY76="","",+SUMIF('Argus Drop'!$D$7:$D$64,$A76,'Argus Drop'!CR$12:CR$64))</f>
        <v/>
      </c>
      <c r="DA76" s="440" t="str">
        <f>IF(CZ76="","",+SUMIF('Argus Drop'!$D$7:$D$64,$A76,'Argus Drop'!#REF!))</f>
        <v/>
      </c>
      <c r="DB76" s="440" t="str">
        <f>IF(DA76="","",+SUMIF('Argus Drop'!$D$7:$D$64,$A76,'Argus Drop'!CS$12:CS$64))</f>
        <v/>
      </c>
      <c r="DC76" s="440" t="str">
        <f>IF(DB76="","",+SUMIF('Argus Drop'!$D$7:$D$64,$A76,'Argus Drop'!CT$12:CT$64))</f>
        <v/>
      </c>
      <c r="DD76" s="440" t="str">
        <f>IF(DC76="","",+SUMIF('Argus Drop'!$D$7:$D$64,$A76,'Argus Drop'!CU$12:CU$64))</f>
        <v/>
      </c>
      <c r="DE76" s="440" t="str">
        <f>IF(DD76="","",+SUMIF('Argus Drop'!$D$7:$D$64,$A76,'Argus Drop'!CV$12:CV$64))</f>
        <v/>
      </c>
      <c r="DF76" s="440" t="str">
        <f>IF(DE76="","",+SUMIF('Argus Drop'!$D$7:$D$64,$A76,'Argus Drop'!CW$12:CW$64))</f>
        <v/>
      </c>
      <c r="DG76" s="440" t="str">
        <f>IF(DF76="","",+SUMIF('Argus Drop'!$D$7:$D$64,$A76,'Argus Drop'!CX$12:CX$64))</f>
        <v/>
      </c>
      <c r="DH76" s="440" t="str">
        <f>IF(DG76="","",+SUMIF('Argus Drop'!$D$7:$D$64,$A76,'Argus Drop'!CY$12:CY$64))</f>
        <v/>
      </c>
      <c r="DI76" s="440" t="str">
        <f>IF(DH76="","",+SUMIF('Argus Drop'!$D$7:$D$64,$A76,'Argus Drop'!CZ$12:CZ$64))</f>
        <v/>
      </c>
      <c r="DJ76" s="440" t="str">
        <f>IF(DI76="","",+SUMIF('Argus Drop'!$D$7:$D$64,$A76,'Argus Drop'!DA$12:DA$64))</f>
        <v/>
      </c>
      <c r="DK76" s="440" t="str">
        <f>IF(DJ76="","",+SUMIF('Argus Drop'!$D$7:$D$64,$A76,'Argus Drop'!DB$12:DB$64))</f>
        <v/>
      </c>
      <c r="DL76" s="440" t="str">
        <f>IF(DK76="","",+SUMIF('Argus Drop'!$D$7:$D$64,$A76,'Argus Drop'!DC$12:DC$64))</f>
        <v/>
      </c>
      <c r="DM76" s="440" t="str">
        <f>IF(DL76="","",+SUMIF('Argus Drop'!$D$7:$D$64,$A76,'Argus Drop'!DD$12:DD$64))</f>
        <v/>
      </c>
      <c r="DN76" s="440" t="str">
        <f>IF(DM76="","",+SUMIF('Argus Drop'!$D$7:$D$64,$A76,'Argus Drop'!#REF!))</f>
        <v/>
      </c>
      <c r="DO76" s="440" t="str">
        <f>IF(DN76="","",+SUMIF('Argus Drop'!$D$7:$D$64,$A76,'Argus Drop'!DE$12:DE$64))</f>
        <v/>
      </c>
      <c r="DP76" s="440" t="str">
        <f>IF(DO76="","",+SUMIF('Argus Drop'!$D$7:$D$64,$A76,'Argus Drop'!DF$12:DF$64))</f>
        <v/>
      </c>
      <c r="DQ76" s="440" t="str">
        <f>IF(DP76="","",+SUMIF('Argus Drop'!$D$7:$D$64,$A76,'Argus Drop'!DG$12:DG$64))</f>
        <v/>
      </c>
      <c r="DR76" s="440" t="str">
        <f>IF(DQ76="","",+SUMIF('Argus Drop'!$D$7:$D$64,$A76,'Argus Drop'!DH$12:DH$64))</f>
        <v/>
      </c>
      <c r="DS76" s="440"/>
      <c r="DT76" s="440"/>
      <c r="DU76" s="440"/>
      <c r="DV76" s="440"/>
      <c r="DW76" s="440"/>
      <c r="DX76" s="440"/>
      <c r="DY76" s="440"/>
      <c r="DZ76" s="440"/>
      <c r="EA76" s="440"/>
      <c r="EB76" s="440"/>
      <c r="EC76" s="440"/>
      <c r="ED76" s="1419"/>
      <c r="EE76" s="1419"/>
      <c r="EF76" s="1419"/>
      <c r="EG76" s="1419"/>
      <c r="EH76" s="1419"/>
      <c r="EI76" s="1419"/>
      <c r="EJ76" s="1419"/>
      <c r="EK76" s="1419"/>
      <c r="EL76" s="1419"/>
      <c r="EM76" s="1419"/>
      <c r="EN76" s="1419"/>
      <c r="EO76" s="1419"/>
      <c r="EP76" s="1419"/>
      <c r="EQ76" s="1419"/>
      <c r="ER76" s="1419"/>
      <c r="ES76" s="1419"/>
      <c r="ET76" s="1419"/>
      <c r="EU76" s="1419"/>
      <c r="EV76" s="1419"/>
      <c r="EW76" s="1419"/>
      <c r="EX76" s="1419"/>
      <c r="EY76" s="1419"/>
      <c r="EZ76" s="1419"/>
      <c r="FA76" s="1419"/>
      <c r="FB76" s="1419"/>
      <c r="FC76" s="1419"/>
      <c r="FD76" s="1419"/>
      <c r="FE76" s="1419"/>
      <c r="FF76" s="1419"/>
      <c r="FG76" s="1419"/>
      <c r="FH76" s="1419"/>
      <c r="FI76" s="1419"/>
    </row>
    <row r="77" spans="1:165">
      <c r="A77" s="448" t="str">
        <f>IF(+'Argus Drop'!B81="","",'Argus Drop'!B81)</f>
        <v/>
      </c>
      <c r="B77" s="440" t="str">
        <f>IF(A77="","",+SUMIF('Argus Drop'!$D$7:$D$64,$A77,'Argus Drop'!#REF!))</f>
        <v/>
      </c>
      <c r="C77" s="440" t="str">
        <f>IF(B77="","",+SUMIF('Argus Drop'!$D$7:$D$64,$A77,'Argus Drop'!#REF!))</f>
        <v/>
      </c>
      <c r="D77" s="440" t="str">
        <f>IF(C77="","",+SUMIF('Argus Drop'!$D$7:$D$64,$A77,'Argus Drop'!#REF!))</f>
        <v/>
      </c>
      <c r="E77" s="440" t="str">
        <f>IF(D77="","",+SUMIF('Argus Drop'!$D$7:$D$64,$A77,'Argus Drop'!#REF!))</f>
        <v/>
      </c>
      <c r="F77" s="440" t="str">
        <f>IF(E77="","",+SUMIF('Argus Drop'!$D$7:$D$64,$A77,'Argus Drop'!#REF!))</f>
        <v/>
      </c>
      <c r="G77" s="440" t="str">
        <f>IF(F77="","",+SUMIF('Argus Drop'!$D$7:$D$64,$A77,'Argus Drop'!F$7:F$64))</f>
        <v/>
      </c>
      <c r="H77" s="440" t="str">
        <f>IF(G77="","",+SUMIF('Argus Drop'!$D$7:$D$64,$A77,'Argus Drop'!G$12:G$64))</f>
        <v/>
      </c>
      <c r="I77" s="440" t="str">
        <f>IF(H77="","",+SUMIF('Argus Drop'!$D$7:$D$64,$A77,'Argus Drop'!H$12:H$64))</f>
        <v/>
      </c>
      <c r="J77" s="440" t="str">
        <f>IF(I77="","",+SUMIF('Argus Drop'!$D$7:$D$64,$A77,'Argus Drop'!I$12:I$64))</f>
        <v/>
      </c>
      <c r="K77" s="440" t="str">
        <f>IF(J77="","",+SUMIF('Argus Drop'!$D$7:$D$64,$A77,'Argus Drop'!J$12:J$64))</f>
        <v/>
      </c>
      <c r="L77" s="440" t="str">
        <f>IF(K77="","",+SUMIF('Argus Drop'!$D$7:$D$64,$A77,'Argus Drop'!K$12:K$64))</f>
        <v/>
      </c>
      <c r="M77" s="440" t="str">
        <f>IF(L77="","",+SUMIF('Argus Drop'!$D$7:$D$64,$A77,'Argus Drop'!L$12:L$64))</f>
        <v/>
      </c>
      <c r="N77" s="440" t="str">
        <f>IF(M77="","",+SUMIF('Argus Drop'!$D$7:$D$64,$A77,'Argus Drop'!#REF!))</f>
        <v/>
      </c>
      <c r="O77" s="440" t="str">
        <f>IF(N77="","",+SUMIF('Argus Drop'!$D$7:$D$64,$A77,'Argus Drop'!M$12:M$64))</f>
        <v/>
      </c>
      <c r="P77" s="440" t="str">
        <f>IF(O77="","",+SUMIF('Argus Drop'!$D$7:$D$64,$A77,'Argus Drop'!N$12:N$64))</f>
        <v/>
      </c>
      <c r="Q77" s="440" t="str">
        <f>IF(P77="","",+SUMIF('Argus Drop'!$D$7:$D$64,$A77,'Argus Drop'!O$12:O$64))</f>
        <v/>
      </c>
      <c r="R77" s="440" t="str">
        <f>IF(Q77="","",+SUMIF('Argus Drop'!$D$7:$D$64,$A77,'Argus Drop'!P$12:P$64))</f>
        <v/>
      </c>
      <c r="S77" s="440" t="str">
        <f>IF(R77="","",+SUMIF('Argus Drop'!$D$7:$D$64,$A77,'Argus Drop'!Q$12:Q$64))</f>
        <v/>
      </c>
      <c r="T77" s="440" t="str">
        <f>IF(S77="","",+SUMIF('Argus Drop'!$D$7:$D$64,$A77,'Argus Drop'!R$12:R$64))</f>
        <v/>
      </c>
      <c r="U77" s="440" t="str">
        <f>IF(T77="","",+SUMIF('Argus Drop'!$D$7:$D$64,$A77,'Argus Drop'!S$12:S$64))</f>
        <v/>
      </c>
      <c r="V77" s="440" t="str">
        <f>IF(U77="","",+SUMIF('Argus Drop'!$D$7:$D$64,$A77,'Argus Drop'!T$12:T$64))</f>
        <v/>
      </c>
      <c r="W77" s="440" t="str">
        <f>IF(V77="","",+SUMIF('Argus Drop'!$D$7:$D$64,$A77,'Argus Drop'!U$12:U$64))</f>
        <v/>
      </c>
      <c r="X77" s="440" t="str">
        <f>IF(W77="","",+SUMIF('Argus Drop'!$D$7:$D$64,$A77,'Argus Drop'!V$12:V$64))</f>
        <v/>
      </c>
      <c r="Y77" s="440" t="str">
        <f>IF(X77="","",+SUMIF('Argus Drop'!$D$7:$D$64,$A77,'Argus Drop'!W$12:W$64))</f>
        <v/>
      </c>
      <c r="Z77" s="440" t="str">
        <f>IF(Y77="","",+SUMIF('Argus Drop'!$D$7:$D$64,$A77,'Argus Drop'!X$12:X$64))</f>
        <v/>
      </c>
      <c r="AA77" s="440" t="str">
        <f>IF(Z77="","",+SUMIF('Argus Drop'!$D$7:$D$64,$A77,'Argus Drop'!#REF!))</f>
        <v/>
      </c>
      <c r="AB77" s="440" t="str">
        <f>IF(AA77="","",+SUMIF('Argus Drop'!$D$7:$D$64,$A77,'Argus Drop'!Y$12:Y$64))</f>
        <v/>
      </c>
      <c r="AC77" s="440" t="str">
        <f>IF(AB77="","",+SUMIF('Argus Drop'!$D$7:$D$64,$A77,'Argus Drop'!Z$12:Z$64))</f>
        <v/>
      </c>
      <c r="AD77" s="440" t="str">
        <f>IF(AC77="","",+SUMIF('Argus Drop'!$D$7:$D$64,$A77,'Argus Drop'!AA$12:AA$64))</f>
        <v/>
      </c>
      <c r="AE77" s="440" t="str">
        <f>IF(AD77="","",+SUMIF('Argus Drop'!$D$7:$D$64,$A77,'Argus Drop'!AB$12:AB$64))</f>
        <v/>
      </c>
      <c r="AF77" s="440" t="str">
        <f>IF(AE77="","",+SUMIF('Argus Drop'!$D$7:$D$64,$A77,'Argus Drop'!AC$12:AC$64))</f>
        <v/>
      </c>
      <c r="AG77" s="440" t="str">
        <f>IF(AF77="","",+SUMIF('Argus Drop'!$D$7:$D$64,$A77,'Argus Drop'!AD$12:AD$64))</f>
        <v/>
      </c>
      <c r="AH77" s="440" t="str">
        <f>IF(AG77="","",+SUMIF('Argus Drop'!$D$7:$D$64,$A77,'Argus Drop'!AE$12:AE$64))</f>
        <v/>
      </c>
      <c r="AI77" s="440" t="str">
        <f>IF(AH77="","",+SUMIF('Argus Drop'!$D$7:$D$64,$A77,'Argus Drop'!AF$12:AF$64))</f>
        <v/>
      </c>
      <c r="AJ77" s="440" t="str">
        <f>IF(AI77="","",+SUMIF('Argus Drop'!$D$7:$D$64,$A77,'Argus Drop'!AG$12:AG$64))</f>
        <v/>
      </c>
      <c r="AK77" s="440" t="str">
        <f>IF(AJ77="","",+SUMIF('Argus Drop'!$D$7:$D$64,$A77,'Argus Drop'!AH$12:AH$64))</f>
        <v/>
      </c>
      <c r="AL77" s="440" t="str">
        <f>IF(AK77="","",+SUMIF('Argus Drop'!$D$7:$D$64,$A77,'Argus Drop'!AI$12:AI$64))</f>
        <v/>
      </c>
      <c r="AM77" s="440" t="str">
        <f>IF(AL77="","",+SUMIF('Argus Drop'!$D$7:$D$64,$A77,'Argus Drop'!AJ$12:AJ$64))</f>
        <v/>
      </c>
      <c r="AN77" s="440" t="str">
        <f>IF(AM77="","",+SUMIF('Argus Drop'!$D$7:$D$64,$A77,'Argus Drop'!#REF!))</f>
        <v/>
      </c>
      <c r="AO77" s="440" t="str">
        <f>IF(AN77="","",+SUMIF('Argus Drop'!$D$7:$D$64,$A77,'Argus Drop'!AK$12:AK$64))</f>
        <v/>
      </c>
      <c r="AP77" s="440" t="str">
        <f>IF(AO77="","",+SUMIF('Argus Drop'!$D$7:$D$64,$A77,'Argus Drop'!AL$12:AL$64))</f>
        <v/>
      </c>
      <c r="AQ77" s="440" t="str">
        <f>IF(AP77="","",+SUMIF('Argus Drop'!$D$7:$D$64,$A77,'Argus Drop'!AM$12:AM$64))</f>
        <v/>
      </c>
      <c r="AR77" s="440" t="str">
        <f>IF(AQ77="","",+SUMIF('Argus Drop'!$D$7:$D$64,$A77,'Argus Drop'!AN$12:AN$64))</f>
        <v/>
      </c>
      <c r="AS77" s="440" t="str">
        <f>IF(AR77="","",+SUMIF('Argus Drop'!$D$7:$D$64,$A77,'Argus Drop'!AO$12:AO$64))</f>
        <v/>
      </c>
      <c r="AT77" s="440" t="str">
        <f>IF(AS77="","",+SUMIF('Argus Drop'!$D$7:$D$64,$A77,'Argus Drop'!AP$12:AP$64))</f>
        <v/>
      </c>
      <c r="AU77" s="440" t="str">
        <f>IF(AT77="","",+SUMIF('Argus Drop'!$D$7:$D$64,$A77,'Argus Drop'!AQ$12:AQ$64))</f>
        <v/>
      </c>
      <c r="AV77" s="440" t="str">
        <f>IF(AU77="","",+SUMIF('Argus Drop'!$D$7:$D$64,$A77,'Argus Drop'!AR$12:AR$64))</f>
        <v/>
      </c>
      <c r="AW77" s="440" t="str">
        <f>IF(AV77="","",+SUMIF('Argus Drop'!$D$7:$D$64,$A77,'Argus Drop'!AS$12:AS$64))</f>
        <v/>
      </c>
      <c r="AX77" s="440" t="str">
        <f>IF(AW77="","",+SUMIF('Argus Drop'!$D$7:$D$64,$A77,'Argus Drop'!AT$12:AT$64))</f>
        <v/>
      </c>
      <c r="AY77" s="440" t="str">
        <f>IF(AX77="","",+SUMIF('Argus Drop'!$D$7:$D$64,$A77,'Argus Drop'!AU$12:AU$64))</f>
        <v/>
      </c>
      <c r="AZ77" s="440" t="str">
        <f>IF(AY77="","",+SUMIF('Argus Drop'!$D$7:$D$64,$A77,'Argus Drop'!AV$12:AV$64))</f>
        <v/>
      </c>
      <c r="BA77" s="440" t="str">
        <f>IF(AZ77="","",+SUMIF('Argus Drop'!$D$7:$D$64,$A77,'Argus Drop'!#REF!))</f>
        <v/>
      </c>
      <c r="BB77" s="440" t="str">
        <f>IF(BA77="","",+SUMIF('Argus Drop'!$D$7:$D$64,$A77,'Argus Drop'!AW$12:AW$64))</f>
        <v/>
      </c>
      <c r="BC77" s="440" t="str">
        <f>IF(BB77="","",+SUMIF('Argus Drop'!$D$7:$D$64,$A77,'Argus Drop'!AX$12:AX$64))</f>
        <v/>
      </c>
      <c r="BD77" s="440" t="str">
        <f>IF(BC77="","",+SUMIF('Argus Drop'!$D$7:$D$64,$A77,'Argus Drop'!AY$12:AY$64))</f>
        <v/>
      </c>
      <c r="BE77" s="440" t="str">
        <f>IF(BD77="","",+SUMIF('Argus Drop'!$D$7:$D$64,$A77,'Argus Drop'!AZ$12:AZ$64))</f>
        <v/>
      </c>
      <c r="BF77" s="440" t="str">
        <f>IF(BE77="","",+SUMIF('Argus Drop'!$D$7:$D$64,$A77,'Argus Drop'!BA$12:BA$64))</f>
        <v/>
      </c>
      <c r="BG77" s="440" t="str">
        <f>IF(BF77="","",+SUMIF('Argus Drop'!$D$7:$D$64,$A77,'Argus Drop'!BB$12:BB$64))</f>
        <v/>
      </c>
      <c r="BH77" s="440" t="str">
        <f>IF(BG77="","",+SUMIF('Argus Drop'!$D$7:$D$64,$A77,'Argus Drop'!BC$12:BC$64))</f>
        <v/>
      </c>
      <c r="BI77" s="440" t="str">
        <f>IF(BH77="","",+SUMIF('Argus Drop'!$D$7:$D$64,$A77,'Argus Drop'!BD$12:BD$64))</f>
        <v/>
      </c>
      <c r="BJ77" s="440" t="str">
        <f>IF(BI77="","",+SUMIF('Argus Drop'!$D$7:$D$64,$A77,'Argus Drop'!BE$12:BE$64))</f>
        <v/>
      </c>
      <c r="BK77" s="440" t="str">
        <f>IF(BJ77="","",+SUMIF('Argus Drop'!$D$7:$D$64,$A77,'Argus Drop'!BF$12:BF$64))</f>
        <v/>
      </c>
      <c r="BL77" s="440" t="str">
        <f>IF(BK77="","",+SUMIF('Argus Drop'!$D$7:$D$64,$A77,'Argus Drop'!BG$12:BG$64))</f>
        <v/>
      </c>
      <c r="BM77" s="440" t="str">
        <f>IF(BL77="","",+SUMIF('Argus Drop'!$D$7:$D$64,$A77,'Argus Drop'!BH$12:BH$64))</f>
        <v/>
      </c>
      <c r="BN77" s="440" t="str">
        <f>IF(BM77="","",+SUMIF('Argus Drop'!$D$7:$D$64,$A77,'Argus Drop'!#REF!))</f>
        <v/>
      </c>
      <c r="BO77" s="440" t="str">
        <f>IF(BN77="","",+SUMIF('Argus Drop'!$D$7:$D$64,$A77,'Argus Drop'!BI$12:BI$64))</f>
        <v/>
      </c>
      <c r="BP77" s="440" t="str">
        <f>IF(BO77="","",+SUMIF('Argus Drop'!$D$7:$D$64,$A77,'Argus Drop'!BJ$12:BJ$64))</f>
        <v/>
      </c>
      <c r="BQ77" s="440" t="str">
        <f>IF(BP77="","",+SUMIF('Argus Drop'!$D$7:$D$64,$A77,'Argus Drop'!BK$12:BK$64))</f>
        <v/>
      </c>
      <c r="BR77" s="440" t="str">
        <f>IF(BQ77="","",+SUMIF('Argus Drop'!$D$7:$D$64,$A77,'Argus Drop'!BL$12:BL$64))</f>
        <v/>
      </c>
      <c r="BS77" s="440" t="str">
        <f>IF(BR77="","",+SUMIF('Argus Drop'!$D$7:$D$64,$A77,'Argus Drop'!BM$12:BM$64))</f>
        <v/>
      </c>
      <c r="BT77" s="440" t="str">
        <f>IF(BS77="","",+SUMIF('Argus Drop'!$D$7:$D$64,$A77,'Argus Drop'!BN$12:BN$64))</f>
        <v/>
      </c>
      <c r="BU77" s="440" t="str">
        <f>IF(BT77="","",+SUMIF('Argus Drop'!$D$7:$D$64,$A77,'Argus Drop'!BO$12:BO$64))</f>
        <v/>
      </c>
      <c r="BV77" s="440" t="str">
        <f>IF(BU77="","",+SUMIF('Argus Drop'!$D$7:$D$64,$A77,'Argus Drop'!BP$12:BP$64))</f>
        <v/>
      </c>
      <c r="BW77" s="440" t="str">
        <f>IF(BV77="","",+SUMIF('Argus Drop'!$D$7:$D$64,$A77,'Argus Drop'!BQ$12:BQ$64))</f>
        <v/>
      </c>
      <c r="BX77" s="440" t="str">
        <f>IF(BW77="","",+SUMIF('Argus Drop'!$D$7:$D$64,$A77,'Argus Drop'!BR$12:BR$64))</f>
        <v/>
      </c>
      <c r="BY77" s="440" t="str">
        <f>IF(BX77="","",+SUMIF('Argus Drop'!$D$7:$D$64,$A77,'Argus Drop'!BS$12:BS$64))</f>
        <v/>
      </c>
      <c r="BZ77" s="440" t="str">
        <f>IF(BY77="","",+SUMIF('Argus Drop'!$D$7:$D$64,$A77,'Argus Drop'!BT$12:BT$64))</f>
        <v/>
      </c>
      <c r="CA77" s="440" t="str">
        <f>IF(BZ77="","",+SUMIF('Argus Drop'!$D$7:$D$64,$A77,'Argus Drop'!#REF!))</f>
        <v/>
      </c>
      <c r="CB77" s="440" t="str">
        <f>IF(CA77="","",+SUMIF('Argus Drop'!$D$7:$D$64,$A77,'Argus Drop'!BU$12:BU$64))</f>
        <v/>
      </c>
      <c r="CC77" s="440" t="str">
        <f>IF(CB77="","",+SUMIF('Argus Drop'!$D$7:$D$64,$A77,'Argus Drop'!BV$12:BV$64))</f>
        <v/>
      </c>
      <c r="CD77" s="440" t="str">
        <f>IF(CC77="","",+SUMIF('Argus Drop'!$D$7:$D$64,$A77,'Argus Drop'!BW$12:BW$64))</f>
        <v/>
      </c>
      <c r="CE77" s="440" t="str">
        <f>IF(CD77="","",+SUMIF('Argus Drop'!$D$7:$D$64,$A77,'Argus Drop'!BX$12:BX$64))</f>
        <v/>
      </c>
      <c r="CF77" s="440" t="str">
        <f>IF(CE77="","",+SUMIF('Argus Drop'!$D$7:$D$64,$A77,'Argus Drop'!BY$12:BY$64))</f>
        <v/>
      </c>
      <c r="CG77" s="440" t="str">
        <f>IF(CF77="","",+SUMIF('Argus Drop'!$D$7:$D$64,$A77,'Argus Drop'!BZ$12:BZ$64))</f>
        <v/>
      </c>
      <c r="CH77" s="440" t="str">
        <f>IF(CG77="","",+SUMIF('Argus Drop'!$D$7:$D$64,$A77,'Argus Drop'!CA$12:CA$64))</f>
        <v/>
      </c>
      <c r="CI77" s="440" t="str">
        <f>IF(CH77="","",+SUMIF('Argus Drop'!$D$7:$D$64,$A77,'Argus Drop'!CB$12:CB$64))</f>
        <v/>
      </c>
      <c r="CJ77" s="440" t="str">
        <f>IF(CI77="","",+SUMIF('Argus Drop'!$D$7:$D$64,$A77,'Argus Drop'!CC$12:CC$64))</f>
        <v/>
      </c>
      <c r="CK77" s="440" t="str">
        <f>IF(CJ77="","",+SUMIF('Argus Drop'!$D$7:$D$64,$A77,'Argus Drop'!CD$12:CD$64))</f>
        <v/>
      </c>
      <c r="CL77" s="440" t="str">
        <f>IF(CK77="","",+SUMIF('Argus Drop'!$D$7:$D$64,$A77,'Argus Drop'!CE$12:CE$64))</f>
        <v/>
      </c>
      <c r="CM77" s="440" t="str">
        <f>IF(CL77="","",+SUMIF('Argus Drop'!$D$7:$D$64,$A77,'Argus Drop'!CF$12:CF$64))</f>
        <v/>
      </c>
      <c r="CN77" s="440" t="str">
        <f>IF(CM77="","",+SUMIF('Argus Drop'!$D$7:$D$64,$A77,'Argus Drop'!#REF!))</f>
        <v/>
      </c>
      <c r="CO77" s="440" t="str">
        <f>IF(CN77="","",+SUMIF('Argus Drop'!$D$7:$D$64,$A77,'Argus Drop'!CG$12:CG$64))</f>
        <v/>
      </c>
      <c r="CP77" s="440" t="str">
        <f>IF(CO77="","",+SUMIF('Argus Drop'!$D$7:$D$64,$A77,'Argus Drop'!CH$12:CH$64))</f>
        <v/>
      </c>
      <c r="CQ77" s="440" t="str">
        <f>IF(CP77="","",+SUMIF('Argus Drop'!$D$7:$D$64,$A77,'Argus Drop'!CI$12:CI$64))</f>
        <v/>
      </c>
      <c r="CR77" s="440" t="str">
        <f>IF(CQ77="","",+SUMIF('Argus Drop'!$D$7:$D$64,$A77,'Argus Drop'!CJ$12:CJ$64))</f>
        <v/>
      </c>
      <c r="CS77" s="440" t="str">
        <f>IF(CR77="","",+SUMIF('Argus Drop'!$D$7:$D$64,$A77,'Argus Drop'!CK$12:CK$64))</f>
        <v/>
      </c>
      <c r="CT77" s="440" t="str">
        <f>IF(CS77="","",+SUMIF('Argus Drop'!$D$7:$D$64,$A77,'Argus Drop'!CL$12:CL$64))</f>
        <v/>
      </c>
      <c r="CU77" s="440" t="str">
        <f>IF(CT77="","",+SUMIF('Argus Drop'!$D$7:$D$64,$A77,'Argus Drop'!CM$12:CM$64))</f>
        <v/>
      </c>
      <c r="CV77" s="440" t="str">
        <f>IF(CU77="","",+SUMIF('Argus Drop'!$D$7:$D$64,$A77,'Argus Drop'!CN$12:CN$64))</f>
        <v/>
      </c>
      <c r="CW77" s="440" t="str">
        <f>IF(CV77="","",+SUMIF('Argus Drop'!$D$7:$D$64,$A77,'Argus Drop'!CO$12:CO$64))</f>
        <v/>
      </c>
      <c r="CX77" s="440" t="str">
        <f>IF(CW77="","",+SUMIF('Argus Drop'!$D$7:$D$64,$A77,'Argus Drop'!CP$12:CP$64))</f>
        <v/>
      </c>
      <c r="CY77" s="440" t="str">
        <f>IF(CX77="","",+SUMIF('Argus Drop'!$D$7:$D$64,$A77,'Argus Drop'!CQ$12:CQ$64))</f>
        <v/>
      </c>
      <c r="CZ77" s="440" t="str">
        <f>IF(CY77="","",+SUMIF('Argus Drop'!$D$7:$D$64,$A77,'Argus Drop'!CR$12:CR$64))</f>
        <v/>
      </c>
      <c r="DA77" s="440" t="str">
        <f>IF(CZ77="","",+SUMIF('Argus Drop'!$D$7:$D$64,$A77,'Argus Drop'!#REF!))</f>
        <v/>
      </c>
      <c r="DB77" s="440" t="str">
        <f>IF(DA77="","",+SUMIF('Argus Drop'!$D$7:$D$64,$A77,'Argus Drop'!CS$12:CS$64))</f>
        <v/>
      </c>
      <c r="DC77" s="440" t="str">
        <f>IF(DB77="","",+SUMIF('Argus Drop'!$D$7:$D$64,$A77,'Argus Drop'!CT$12:CT$64))</f>
        <v/>
      </c>
      <c r="DD77" s="440" t="str">
        <f>IF(DC77="","",+SUMIF('Argus Drop'!$D$7:$D$64,$A77,'Argus Drop'!CU$12:CU$64))</f>
        <v/>
      </c>
      <c r="DE77" s="440" t="str">
        <f>IF(DD77="","",+SUMIF('Argus Drop'!$D$7:$D$64,$A77,'Argus Drop'!CV$12:CV$64))</f>
        <v/>
      </c>
      <c r="DF77" s="440" t="str">
        <f>IF(DE77="","",+SUMIF('Argus Drop'!$D$7:$D$64,$A77,'Argus Drop'!CW$12:CW$64))</f>
        <v/>
      </c>
      <c r="DG77" s="440" t="str">
        <f>IF(DF77="","",+SUMIF('Argus Drop'!$D$7:$D$64,$A77,'Argus Drop'!CX$12:CX$64))</f>
        <v/>
      </c>
      <c r="DH77" s="440" t="str">
        <f>IF(DG77="","",+SUMIF('Argus Drop'!$D$7:$D$64,$A77,'Argus Drop'!CY$12:CY$64))</f>
        <v/>
      </c>
      <c r="DI77" s="440" t="str">
        <f>IF(DH77="","",+SUMIF('Argus Drop'!$D$7:$D$64,$A77,'Argus Drop'!CZ$12:CZ$64))</f>
        <v/>
      </c>
      <c r="DJ77" s="440" t="str">
        <f>IF(DI77="","",+SUMIF('Argus Drop'!$D$7:$D$64,$A77,'Argus Drop'!DA$12:DA$64))</f>
        <v/>
      </c>
      <c r="DK77" s="440" t="str">
        <f>IF(DJ77="","",+SUMIF('Argus Drop'!$D$7:$D$64,$A77,'Argus Drop'!DB$12:DB$64))</f>
        <v/>
      </c>
      <c r="DL77" s="440" t="str">
        <f>IF(DK77="","",+SUMIF('Argus Drop'!$D$7:$D$64,$A77,'Argus Drop'!DC$12:DC$64))</f>
        <v/>
      </c>
      <c r="DM77" s="440" t="str">
        <f>IF(DL77="","",+SUMIF('Argus Drop'!$D$7:$D$64,$A77,'Argus Drop'!DD$12:DD$64))</f>
        <v/>
      </c>
      <c r="DN77" s="440" t="str">
        <f>IF(DM77="","",+SUMIF('Argus Drop'!$D$7:$D$64,$A77,'Argus Drop'!#REF!))</f>
        <v/>
      </c>
      <c r="DO77" s="440" t="str">
        <f>IF(DN77="","",+SUMIF('Argus Drop'!$D$7:$D$64,$A77,'Argus Drop'!DE$12:DE$64))</f>
        <v/>
      </c>
      <c r="DP77" s="440" t="str">
        <f>IF(DO77="","",+SUMIF('Argus Drop'!$D$7:$D$64,$A77,'Argus Drop'!DF$12:DF$64))</f>
        <v/>
      </c>
      <c r="DQ77" s="440" t="str">
        <f>IF(DP77="","",+SUMIF('Argus Drop'!$D$7:$D$64,$A77,'Argus Drop'!DG$12:DG$64))</f>
        <v/>
      </c>
      <c r="DR77" s="440" t="str">
        <f>IF(DQ77="","",+SUMIF('Argus Drop'!$D$7:$D$64,$A77,'Argus Drop'!DH$12:DH$64))</f>
        <v/>
      </c>
      <c r="DS77" s="440"/>
      <c r="DT77" s="440"/>
      <c r="DU77" s="440"/>
      <c r="DV77" s="440"/>
      <c r="DW77" s="440"/>
      <c r="DX77" s="440"/>
      <c r="DY77" s="440"/>
      <c r="DZ77" s="440"/>
      <c r="EA77" s="440"/>
      <c r="EB77" s="440"/>
      <c r="EC77" s="440"/>
      <c r="ED77" s="1419"/>
      <c r="EE77" s="1419"/>
      <c r="EF77" s="1419"/>
      <c r="EG77" s="1419"/>
      <c r="EH77" s="1419"/>
      <c r="EI77" s="1419"/>
      <c r="EJ77" s="1419"/>
      <c r="EK77" s="1419"/>
      <c r="EL77" s="1419"/>
      <c r="EM77" s="1419"/>
      <c r="EN77" s="1419"/>
      <c r="EO77" s="1419"/>
      <c r="EP77" s="1419"/>
      <c r="EQ77" s="1419"/>
      <c r="ER77" s="1419"/>
      <c r="ES77" s="1419"/>
      <c r="ET77" s="1419"/>
      <c r="EU77" s="1419"/>
      <c r="EV77" s="1419"/>
      <c r="EW77" s="1419"/>
      <c r="EX77" s="1419"/>
      <c r="EY77" s="1419"/>
      <c r="EZ77" s="1419"/>
      <c r="FA77" s="1419"/>
      <c r="FB77" s="1419"/>
      <c r="FC77" s="1419"/>
      <c r="FD77" s="1419"/>
      <c r="FE77" s="1419"/>
      <c r="FF77" s="1419"/>
      <c r="FG77" s="1419"/>
      <c r="FH77" s="1419"/>
      <c r="FI77" s="1419"/>
    </row>
    <row r="78" spans="1:165">
      <c r="A78" s="448" t="str">
        <f>IF(+'Argus Drop'!B82="","",'Argus Drop'!B82)</f>
        <v/>
      </c>
      <c r="B78" s="440" t="str">
        <f>IF(A78="","",+SUMIF('Argus Drop'!$D$7:$D$64,$A78,'Argus Drop'!#REF!))</f>
        <v/>
      </c>
      <c r="C78" s="440" t="str">
        <f>IF(B78="","",+SUMIF('Argus Drop'!$D$7:$D$64,$A78,'Argus Drop'!#REF!))</f>
        <v/>
      </c>
      <c r="D78" s="440" t="str">
        <f>IF(C78="","",+SUMIF('Argus Drop'!$D$7:$D$64,$A78,'Argus Drop'!#REF!))</f>
        <v/>
      </c>
      <c r="E78" s="440" t="str">
        <f>IF(D78="","",+SUMIF('Argus Drop'!$D$7:$D$64,$A78,'Argus Drop'!#REF!))</f>
        <v/>
      </c>
      <c r="F78" s="440" t="str">
        <f>IF(E78="","",+SUMIF('Argus Drop'!$D$7:$D$64,$A78,'Argus Drop'!#REF!))</f>
        <v/>
      </c>
      <c r="G78" s="440" t="str">
        <f>IF(F78="","",+SUMIF('Argus Drop'!$D$7:$D$64,$A78,'Argus Drop'!F$7:F$64))</f>
        <v/>
      </c>
      <c r="H78" s="440" t="str">
        <f>IF(G78="","",+SUMIF('Argus Drop'!$D$7:$D$64,$A78,'Argus Drop'!G$12:G$64))</f>
        <v/>
      </c>
      <c r="I78" s="440" t="str">
        <f>IF(H78="","",+SUMIF('Argus Drop'!$D$7:$D$64,$A78,'Argus Drop'!H$12:H$64))</f>
        <v/>
      </c>
      <c r="J78" s="440" t="str">
        <f>IF(I78="","",+SUMIF('Argus Drop'!$D$7:$D$64,$A78,'Argus Drop'!I$12:I$64))</f>
        <v/>
      </c>
      <c r="K78" s="440" t="str">
        <f>IF(J78="","",+SUMIF('Argus Drop'!$D$7:$D$64,$A78,'Argus Drop'!J$12:J$64))</f>
        <v/>
      </c>
      <c r="L78" s="440" t="str">
        <f>IF(K78="","",+SUMIF('Argus Drop'!$D$7:$D$64,$A78,'Argus Drop'!K$12:K$64))</f>
        <v/>
      </c>
      <c r="M78" s="440" t="str">
        <f>IF(L78="","",+SUMIF('Argus Drop'!$D$7:$D$64,$A78,'Argus Drop'!L$12:L$64))</f>
        <v/>
      </c>
      <c r="N78" s="440" t="str">
        <f>IF(M78="","",+SUMIF('Argus Drop'!$D$7:$D$64,$A78,'Argus Drop'!#REF!))</f>
        <v/>
      </c>
      <c r="O78" s="440" t="str">
        <f>IF(N78="","",+SUMIF('Argus Drop'!$D$7:$D$64,$A78,'Argus Drop'!M$12:M$64))</f>
        <v/>
      </c>
      <c r="P78" s="440" t="str">
        <f>IF(O78="","",+SUMIF('Argus Drop'!$D$7:$D$64,$A78,'Argus Drop'!N$12:N$64))</f>
        <v/>
      </c>
      <c r="Q78" s="440" t="str">
        <f>IF(P78="","",+SUMIF('Argus Drop'!$D$7:$D$64,$A78,'Argus Drop'!O$12:O$64))</f>
        <v/>
      </c>
      <c r="R78" s="440" t="str">
        <f>IF(Q78="","",+SUMIF('Argus Drop'!$D$7:$D$64,$A78,'Argus Drop'!P$12:P$64))</f>
        <v/>
      </c>
      <c r="S78" s="440" t="str">
        <f>IF(R78="","",+SUMIF('Argus Drop'!$D$7:$D$64,$A78,'Argus Drop'!Q$12:Q$64))</f>
        <v/>
      </c>
      <c r="T78" s="440" t="str">
        <f>IF(S78="","",+SUMIF('Argus Drop'!$D$7:$D$64,$A78,'Argus Drop'!R$12:R$64))</f>
        <v/>
      </c>
      <c r="U78" s="440" t="str">
        <f>IF(T78="","",+SUMIF('Argus Drop'!$D$7:$D$64,$A78,'Argus Drop'!S$12:S$64))</f>
        <v/>
      </c>
      <c r="V78" s="440" t="str">
        <f>IF(U78="","",+SUMIF('Argus Drop'!$D$7:$D$64,$A78,'Argus Drop'!T$12:T$64))</f>
        <v/>
      </c>
      <c r="W78" s="440" t="str">
        <f>IF(V78="","",+SUMIF('Argus Drop'!$D$7:$D$64,$A78,'Argus Drop'!U$12:U$64))</f>
        <v/>
      </c>
      <c r="X78" s="440" t="str">
        <f>IF(W78="","",+SUMIF('Argus Drop'!$D$7:$D$64,$A78,'Argus Drop'!V$12:V$64))</f>
        <v/>
      </c>
      <c r="Y78" s="440" t="str">
        <f>IF(X78="","",+SUMIF('Argus Drop'!$D$7:$D$64,$A78,'Argus Drop'!W$12:W$64))</f>
        <v/>
      </c>
      <c r="Z78" s="440" t="str">
        <f>IF(Y78="","",+SUMIF('Argus Drop'!$D$7:$D$64,$A78,'Argus Drop'!X$12:X$64))</f>
        <v/>
      </c>
      <c r="AA78" s="440" t="str">
        <f>IF(Z78="","",+SUMIF('Argus Drop'!$D$7:$D$64,$A78,'Argus Drop'!#REF!))</f>
        <v/>
      </c>
      <c r="AB78" s="440" t="str">
        <f>IF(AA78="","",+SUMIF('Argus Drop'!$D$7:$D$64,$A78,'Argus Drop'!Y$12:Y$64))</f>
        <v/>
      </c>
      <c r="AC78" s="440" t="str">
        <f>IF(AB78="","",+SUMIF('Argus Drop'!$D$7:$D$64,$A78,'Argus Drop'!Z$12:Z$64))</f>
        <v/>
      </c>
      <c r="AD78" s="440" t="str">
        <f>IF(AC78="","",+SUMIF('Argus Drop'!$D$7:$D$64,$A78,'Argus Drop'!AA$12:AA$64))</f>
        <v/>
      </c>
      <c r="AE78" s="440" t="str">
        <f>IF(AD78="","",+SUMIF('Argus Drop'!$D$7:$D$64,$A78,'Argus Drop'!AB$12:AB$64))</f>
        <v/>
      </c>
      <c r="AF78" s="440" t="str">
        <f>IF(AE78="","",+SUMIF('Argus Drop'!$D$7:$D$64,$A78,'Argus Drop'!AC$12:AC$64))</f>
        <v/>
      </c>
      <c r="AG78" s="440" t="str">
        <f>IF(AF78="","",+SUMIF('Argus Drop'!$D$7:$D$64,$A78,'Argus Drop'!AD$12:AD$64))</f>
        <v/>
      </c>
      <c r="AH78" s="440" t="str">
        <f>IF(AG78="","",+SUMIF('Argus Drop'!$D$7:$D$64,$A78,'Argus Drop'!AE$12:AE$64))</f>
        <v/>
      </c>
      <c r="AI78" s="440" t="str">
        <f>IF(AH78="","",+SUMIF('Argus Drop'!$D$7:$D$64,$A78,'Argus Drop'!AF$12:AF$64))</f>
        <v/>
      </c>
      <c r="AJ78" s="440" t="str">
        <f>IF(AI78="","",+SUMIF('Argus Drop'!$D$7:$D$64,$A78,'Argus Drop'!AG$12:AG$64))</f>
        <v/>
      </c>
      <c r="AK78" s="440" t="str">
        <f>IF(AJ78="","",+SUMIF('Argus Drop'!$D$7:$D$64,$A78,'Argus Drop'!AH$12:AH$64))</f>
        <v/>
      </c>
      <c r="AL78" s="440" t="str">
        <f>IF(AK78="","",+SUMIF('Argus Drop'!$D$7:$D$64,$A78,'Argus Drop'!AI$12:AI$64))</f>
        <v/>
      </c>
      <c r="AM78" s="440" t="str">
        <f>IF(AL78="","",+SUMIF('Argus Drop'!$D$7:$D$64,$A78,'Argus Drop'!AJ$12:AJ$64))</f>
        <v/>
      </c>
      <c r="AN78" s="440" t="str">
        <f>IF(AM78="","",+SUMIF('Argus Drop'!$D$7:$D$64,$A78,'Argus Drop'!#REF!))</f>
        <v/>
      </c>
      <c r="AO78" s="440" t="str">
        <f>IF(AN78="","",+SUMIF('Argus Drop'!$D$7:$D$64,$A78,'Argus Drop'!AK$12:AK$64))</f>
        <v/>
      </c>
      <c r="AP78" s="440" t="str">
        <f>IF(AO78="","",+SUMIF('Argus Drop'!$D$7:$D$64,$A78,'Argus Drop'!AL$12:AL$64))</f>
        <v/>
      </c>
      <c r="AQ78" s="440" t="str">
        <f>IF(AP78="","",+SUMIF('Argus Drop'!$D$7:$D$64,$A78,'Argus Drop'!AM$12:AM$64))</f>
        <v/>
      </c>
      <c r="AR78" s="440" t="str">
        <f>IF(AQ78="","",+SUMIF('Argus Drop'!$D$7:$D$64,$A78,'Argus Drop'!AN$12:AN$64))</f>
        <v/>
      </c>
      <c r="AS78" s="440" t="str">
        <f>IF(AR78="","",+SUMIF('Argus Drop'!$D$7:$D$64,$A78,'Argus Drop'!AO$12:AO$64))</f>
        <v/>
      </c>
      <c r="AT78" s="440" t="str">
        <f>IF(AS78="","",+SUMIF('Argus Drop'!$D$7:$D$64,$A78,'Argus Drop'!AP$12:AP$64))</f>
        <v/>
      </c>
      <c r="AU78" s="440" t="str">
        <f>IF(AT78="","",+SUMIF('Argus Drop'!$D$7:$D$64,$A78,'Argus Drop'!AQ$12:AQ$64))</f>
        <v/>
      </c>
      <c r="AV78" s="440" t="str">
        <f>IF(AU78="","",+SUMIF('Argus Drop'!$D$7:$D$64,$A78,'Argus Drop'!AR$12:AR$64))</f>
        <v/>
      </c>
      <c r="AW78" s="440" t="str">
        <f>IF(AV78="","",+SUMIF('Argus Drop'!$D$7:$D$64,$A78,'Argus Drop'!AS$12:AS$64))</f>
        <v/>
      </c>
      <c r="AX78" s="440" t="str">
        <f>IF(AW78="","",+SUMIF('Argus Drop'!$D$7:$D$64,$A78,'Argus Drop'!AT$12:AT$64))</f>
        <v/>
      </c>
      <c r="AY78" s="440" t="str">
        <f>IF(AX78="","",+SUMIF('Argus Drop'!$D$7:$D$64,$A78,'Argus Drop'!AU$12:AU$64))</f>
        <v/>
      </c>
      <c r="AZ78" s="440" t="str">
        <f>IF(AY78="","",+SUMIF('Argus Drop'!$D$7:$D$64,$A78,'Argus Drop'!AV$12:AV$64))</f>
        <v/>
      </c>
      <c r="BA78" s="440" t="str">
        <f>IF(AZ78="","",+SUMIF('Argus Drop'!$D$7:$D$64,$A78,'Argus Drop'!#REF!))</f>
        <v/>
      </c>
      <c r="BB78" s="440" t="str">
        <f>IF(BA78="","",+SUMIF('Argus Drop'!$D$7:$D$64,$A78,'Argus Drop'!AW$12:AW$64))</f>
        <v/>
      </c>
      <c r="BC78" s="440" t="str">
        <f>IF(BB78="","",+SUMIF('Argus Drop'!$D$7:$D$64,$A78,'Argus Drop'!AX$12:AX$64))</f>
        <v/>
      </c>
      <c r="BD78" s="440" t="str">
        <f>IF(BC78="","",+SUMIF('Argus Drop'!$D$7:$D$64,$A78,'Argus Drop'!AY$12:AY$64))</f>
        <v/>
      </c>
      <c r="BE78" s="440" t="str">
        <f>IF(BD78="","",+SUMIF('Argus Drop'!$D$7:$D$64,$A78,'Argus Drop'!AZ$12:AZ$64))</f>
        <v/>
      </c>
      <c r="BF78" s="440" t="str">
        <f>IF(BE78="","",+SUMIF('Argus Drop'!$D$7:$D$64,$A78,'Argus Drop'!BA$12:BA$64))</f>
        <v/>
      </c>
      <c r="BG78" s="440" t="str">
        <f>IF(BF78="","",+SUMIF('Argus Drop'!$D$7:$D$64,$A78,'Argus Drop'!BB$12:BB$64))</f>
        <v/>
      </c>
      <c r="BH78" s="440" t="str">
        <f>IF(BG78="","",+SUMIF('Argus Drop'!$D$7:$D$64,$A78,'Argus Drop'!BC$12:BC$64))</f>
        <v/>
      </c>
      <c r="BI78" s="440" t="str">
        <f>IF(BH78="","",+SUMIF('Argus Drop'!$D$7:$D$64,$A78,'Argus Drop'!BD$12:BD$64))</f>
        <v/>
      </c>
      <c r="BJ78" s="440" t="str">
        <f>IF(BI78="","",+SUMIF('Argus Drop'!$D$7:$D$64,$A78,'Argus Drop'!BE$12:BE$64))</f>
        <v/>
      </c>
      <c r="BK78" s="440" t="str">
        <f>IF(BJ78="","",+SUMIF('Argus Drop'!$D$7:$D$64,$A78,'Argus Drop'!BF$12:BF$64))</f>
        <v/>
      </c>
      <c r="BL78" s="440" t="str">
        <f>IF(BK78="","",+SUMIF('Argus Drop'!$D$7:$D$64,$A78,'Argus Drop'!BG$12:BG$64))</f>
        <v/>
      </c>
      <c r="BM78" s="440" t="str">
        <f>IF(BL78="","",+SUMIF('Argus Drop'!$D$7:$D$64,$A78,'Argus Drop'!BH$12:BH$64))</f>
        <v/>
      </c>
      <c r="BN78" s="440" t="str">
        <f>IF(BM78="","",+SUMIF('Argus Drop'!$D$7:$D$64,$A78,'Argus Drop'!#REF!))</f>
        <v/>
      </c>
      <c r="BO78" s="440" t="str">
        <f>IF(BN78="","",+SUMIF('Argus Drop'!$D$7:$D$64,$A78,'Argus Drop'!BI$12:BI$64))</f>
        <v/>
      </c>
      <c r="BP78" s="440" t="str">
        <f>IF(BO78="","",+SUMIF('Argus Drop'!$D$7:$D$64,$A78,'Argus Drop'!BJ$12:BJ$64))</f>
        <v/>
      </c>
      <c r="BQ78" s="440" t="str">
        <f>IF(BP78="","",+SUMIF('Argus Drop'!$D$7:$D$64,$A78,'Argus Drop'!BK$12:BK$64))</f>
        <v/>
      </c>
      <c r="BR78" s="440" t="str">
        <f>IF(BQ78="","",+SUMIF('Argus Drop'!$D$7:$D$64,$A78,'Argus Drop'!BL$12:BL$64))</f>
        <v/>
      </c>
      <c r="BS78" s="440" t="str">
        <f>IF(BR78="","",+SUMIF('Argus Drop'!$D$7:$D$64,$A78,'Argus Drop'!BM$12:BM$64))</f>
        <v/>
      </c>
      <c r="BT78" s="440" t="str">
        <f>IF(BS78="","",+SUMIF('Argus Drop'!$D$7:$D$64,$A78,'Argus Drop'!BN$12:BN$64))</f>
        <v/>
      </c>
      <c r="BU78" s="440" t="str">
        <f>IF(BT78="","",+SUMIF('Argus Drop'!$D$7:$D$64,$A78,'Argus Drop'!BO$12:BO$64))</f>
        <v/>
      </c>
      <c r="BV78" s="440" t="str">
        <f>IF(BU78="","",+SUMIF('Argus Drop'!$D$7:$D$64,$A78,'Argus Drop'!BP$12:BP$64))</f>
        <v/>
      </c>
      <c r="BW78" s="440" t="str">
        <f>IF(BV78="","",+SUMIF('Argus Drop'!$D$7:$D$64,$A78,'Argus Drop'!BQ$12:BQ$64))</f>
        <v/>
      </c>
      <c r="BX78" s="440" t="str">
        <f>IF(BW78="","",+SUMIF('Argus Drop'!$D$7:$D$64,$A78,'Argus Drop'!BR$12:BR$64))</f>
        <v/>
      </c>
      <c r="BY78" s="440" t="str">
        <f>IF(BX78="","",+SUMIF('Argus Drop'!$D$7:$D$64,$A78,'Argus Drop'!BS$12:BS$64))</f>
        <v/>
      </c>
      <c r="BZ78" s="440" t="str">
        <f>IF(BY78="","",+SUMIF('Argus Drop'!$D$7:$D$64,$A78,'Argus Drop'!BT$12:BT$64))</f>
        <v/>
      </c>
      <c r="CA78" s="440" t="str">
        <f>IF(BZ78="","",+SUMIF('Argus Drop'!$D$7:$D$64,$A78,'Argus Drop'!#REF!))</f>
        <v/>
      </c>
      <c r="CB78" s="440" t="str">
        <f>IF(CA78="","",+SUMIF('Argus Drop'!$D$7:$D$64,$A78,'Argus Drop'!BU$12:BU$64))</f>
        <v/>
      </c>
      <c r="CC78" s="440" t="str">
        <f>IF(CB78="","",+SUMIF('Argus Drop'!$D$7:$D$64,$A78,'Argus Drop'!BV$12:BV$64))</f>
        <v/>
      </c>
      <c r="CD78" s="440" t="str">
        <f>IF(CC78="","",+SUMIF('Argus Drop'!$D$7:$D$64,$A78,'Argus Drop'!BW$12:BW$64))</f>
        <v/>
      </c>
      <c r="CE78" s="440" t="str">
        <f>IF(CD78="","",+SUMIF('Argus Drop'!$D$7:$D$64,$A78,'Argus Drop'!BX$12:BX$64))</f>
        <v/>
      </c>
      <c r="CF78" s="440" t="str">
        <f>IF(CE78="","",+SUMIF('Argus Drop'!$D$7:$D$64,$A78,'Argus Drop'!BY$12:BY$64))</f>
        <v/>
      </c>
      <c r="CG78" s="440" t="str">
        <f>IF(CF78="","",+SUMIF('Argus Drop'!$D$7:$D$64,$A78,'Argus Drop'!BZ$12:BZ$64))</f>
        <v/>
      </c>
      <c r="CH78" s="440" t="str">
        <f>IF(CG78="","",+SUMIF('Argus Drop'!$D$7:$D$64,$A78,'Argus Drop'!CA$12:CA$64))</f>
        <v/>
      </c>
      <c r="CI78" s="440" t="str">
        <f>IF(CH78="","",+SUMIF('Argus Drop'!$D$7:$D$64,$A78,'Argus Drop'!CB$12:CB$64))</f>
        <v/>
      </c>
      <c r="CJ78" s="440" t="str">
        <f>IF(CI78="","",+SUMIF('Argus Drop'!$D$7:$D$64,$A78,'Argus Drop'!CC$12:CC$64))</f>
        <v/>
      </c>
      <c r="CK78" s="440" t="str">
        <f>IF(CJ78="","",+SUMIF('Argus Drop'!$D$7:$D$64,$A78,'Argus Drop'!CD$12:CD$64))</f>
        <v/>
      </c>
      <c r="CL78" s="440" t="str">
        <f>IF(CK78="","",+SUMIF('Argus Drop'!$D$7:$D$64,$A78,'Argus Drop'!CE$12:CE$64))</f>
        <v/>
      </c>
      <c r="CM78" s="440" t="str">
        <f>IF(CL78="","",+SUMIF('Argus Drop'!$D$7:$D$64,$A78,'Argus Drop'!CF$12:CF$64))</f>
        <v/>
      </c>
      <c r="CN78" s="440" t="str">
        <f>IF(CM78="","",+SUMIF('Argus Drop'!$D$7:$D$64,$A78,'Argus Drop'!#REF!))</f>
        <v/>
      </c>
      <c r="CO78" s="440" t="str">
        <f>IF(CN78="","",+SUMIF('Argus Drop'!$D$7:$D$64,$A78,'Argus Drop'!CG$12:CG$64))</f>
        <v/>
      </c>
      <c r="CP78" s="440" t="str">
        <f>IF(CO78="","",+SUMIF('Argus Drop'!$D$7:$D$64,$A78,'Argus Drop'!CH$12:CH$64))</f>
        <v/>
      </c>
      <c r="CQ78" s="440" t="str">
        <f>IF(CP78="","",+SUMIF('Argus Drop'!$D$7:$D$64,$A78,'Argus Drop'!CI$12:CI$64))</f>
        <v/>
      </c>
      <c r="CR78" s="440" t="str">
        <f>IF(CQ78="","",+SUMIF('Argus Drop'!$D$7:$D$64,$A78,'Argus Drop'!CJ$12:CJ$64))</f>
        <v/>
      </c>
      <c r="CS78" s="440" t="str">
        <f>IF(CR78="","",+SUMIF('Argus Drop'!$D$7:$D$64,$A78,'Argus Drop'!CK$12:CK$64))</f>
        <v/>
      </c>
      <c r="CT78" s="440" t="str">
        <f>IF(CS78="","",+SUMIF('Argus Drop'!$D$7:$D$64,$A78,'Argus Drop'!CL$12:CL$64))</f>
        <v/>
      </c>
      <c r="CU78" s="440" t="str">
        <f>IF(CT78="","",+SUMIF('Argus Drop'!$D$7:$D$64,$A78,'Argus Drop'!CM$12:CM$64))</f>
        <v/>
      </c>
      <c r="CV78" s="440" t="str">
        <f>IF(CU78="","",+SUMIF('Argus Drop'!$D$7:$D$64,$A78,'Argus Drop'!CN$12:CN$64))</f>
        <v/>
      </c>
      <c r="CW78" s="440" t="str">
        <f>IF(CV78="","",+SUMIF('Argus Drop'!$D$7:$D$64,$A78,'Argus Drop'!CO$12:CO$64))</f>
        <v/>
      </c>
      <c r="CX78" s="440" t="str">
        <f>IF(CW78="","",+SUMIF('Argus Drop'!$D$7:$D$64,$A78,'Argus Drop'!CP$12:CP$64))</f>
        <v/>
      </c>
      <c r="CY78" s="440" t="str">
        <f>IF(CX78="","",+SUMIF('Argus Drop'!$D$7:$D$64,$A78,'Argus Drop'!CQ$12:CQ$64))</f>
        <v/>
      </c>
      <c r="CZ78" s="440" t="str">
        <f>IF(CY78="","",+SUMIF('Argus Drop'!$D$7:$D$64,$A78,'Argus Drop'!CR$12:CR$64))</f>
        <v/>
      </c>
      <c r="DA78" s="440" t="str">
        <f>IF(CZ78="","",+SUMIF('Argus Drop'!$D$7:$D$64,$A78,'Argus Drop'!#REF!))</f>
        <v/>
      </c>
      <c r="DB78" s="440" t="str">
        <f>IF(DA78="","",+SUMIF('Argus Drop'!$D$7:$D$64,$A78,'Argus Drop'!CS$12:CS$64))</f>
        <v/>
      </c>
      <c r="DC78" s="440" t="str">
        <f>IF(DB78="","",+SUMIF('Argus Drop'!$D$7:$D$64,$A78,'Argus Drop'!CT$12:CT$64))</f>
        <v/>
      </c>
      <c r="DD78" s="440" t="str">
        <f>IF(DC78="","",+SUMIF('Argus Drop'!$D$7:$D$64,$A78,'Argus Drop'!CU$12:CU$64))</f>
        <v/>
      </c>
      <c r="DE78" s="440" t="str">
        <f>IF(DD78="","",+SUMIF('Argus Drop'!$D$7:$D$64,$A78,'Argus Drop'!CV$12:CV$64))</f>
        <v/>
      </c>
      <c r="DF78" s="440" t="str">
        <f>IF(DE78="","",+SUMIF('Argus Drop'!$D$7:$D$64,$A78,'Argus Drop'!CW$12:CW$64))</f>
        <v/>
      </c>
      <c r="DG78" s="440" t="str">
        <f>IF(DF78="","",+SUMIF('Argus Drop'!$D$7:$D$64,$A78,'Argus Drop'!CX$12:CX$64))</f>
        <v/>
      </c>
      <c r="DH78" s="440" t="str">
        <f>IF(DG78="","",+SUMIF('Argus Drop'!$D$7:$D$64,$A78,'Argus Drop'!CY$12:CY$64))</f>
        <v/>
      </c>
      <c r="DI78" s="440" t="str">
        <f>IF(DH78="","",+SUMIF('Argus Drop'!$D$7:$D$64,$A78,'Argus Drop'!CZ$12:CZ$64))</f>
        <v/>
      </c>
      <c r="DJ78" s="440" t="str">
        <f>IF(DI78="","",+SUMIF('Argus Drop'!$D$7:$D$64,$A78,'Argus Drop'!DA$12:DA$64))</f>
        <v/>
      </c>
      <c r="DK78" s="440" t="str">
        <f>IF(DJ78="","",+SUMIF('Argus Drop'!$D$7:$D$64,$A78,'Argus Drop'!DB$12:DB$64))</f>
        <v/>
      </c>
      <c r="DL78" s="440" t="str">
        <f>IF(DK78="","",+SUMIF('Argus Drop'!$D$7:$D$64,$A78,'Argus Drop'!DC$12:DC$64))</f>
        <v/>
      </c>
      <c r="DM78" s="440" t="str">
        <f>IF(DL78="","",+SUMIF('Argus Drop'!$D$7:$D$64,$A78,'Argus Drop'!DD$12:DD$64))</f>
        <v/>
      </c>
      <c r="DN78" s="440" t="str">
        <f>IF(DM78="","",+SUMIF('Argus Drop'!$D$7:$D$64,$A78,'Argus Drop'!#REF!))</f>
        <v/>
      </c>
      <c r="DO78" s="440" t="str">
        <f>IF(DN78="","",+SUMIF('Argus Drop'!$D$7:$D$64,$A78,'Argus Drop'!DE$12:DE$64))</f>
        <v/>
      </c>
      <c r="DP78" s="440" t="str">
        <f>IF(DO78="","",+SUMIF('Argus Drop'!$D$7:$D$64,$A78,'Argus Drop'!DF$12:DF$64))</f>
        <v/>
      </c>
      <c r="DQ78" s="440" t="str">
        <f>IF(DP78="","",+SUMIF('Argus Drop'!$D$7:$D$64,$A78,'Argus Drop'!DG$12:DG$64))</f>
        <v/>
      </c>
      <c r="DR78" s="440" t="str">
        <f>IF(DQ78="","",+SUMIF('Argus Drop'!$D$7:$D$64,$A78,'Argus Drop'!DH$12:DH$64))</f>
        <v/>
      </c>
      <c r="DS78" s="440"/>
      <c r="DT78" s="440"/>
      <c r="DU78" s="440"/>
      <c r="DV78" s="440"/>
      <c r="DW78" s="440"/>
      <c r="DX78" s="440"/>
      <c r="DY78" s="440"/>
      <c r="DZ78" s="440"/>
      <c r="EA78" s="440"/>
      <c r="EB78" s="440"/>
      <c r="EC78" s="440"/>
      <c r="ED78" s="1419"/>
      <c r="EE78" s="1419"/>
      <c r="EF78" s="1419"/>
      <c r="EG78" s="1419"/>
      <c r="EH78" s="1419"/>
      <c r="EI78" s="1419"/>
      <c r="EJ78" s="1419"/>
      <c r="EK78" s="1419"/>
      <c r="EL78" s="1419"/>
      <c r="EM78" s="1419"/>
      <c r="EN78" s="1419"/>
      <c r="EO78" s="1419"/>
      <c r="EP78" s="1419"/>
      <c r="EQ78" s="1419"/>
      <c r="ER78" s="1419"/>
      <c r="ES78" s="1419"/>
      <c r="ET78" s="1419"/>
      <c r="EU78" s="1419"/>
      <c r="EV78" s="1419"/>
      <c r="EW78" s="1419"/>
      <c r="EX78" s="1419"/>
      <c r="EY78" s="1419"/>
      <c r="EZ78" s="1419"/>
      <c r="FA78" s="1419"/>
      <c r="FB78" s="1419"/>
      <c r="FC78" s="1419"/>
      <c r="FD78" s="1419"/>
      <c r="FE78" s="1419"/>
      <c r="FF78" s="1419"/>
      <c r="FG78" s="1419"/>
      <c r="FH78" s="1419"/>
      <c r="FI78" s="1419"/>
    </row>
    <row r="79" spans="1:165">
      <c r="A79" s="448" t="str">
        <f>IF(+'Argus Drop'!B83="","",'Argus Drop'!B83)</f>
        <v/>
      </c>
      <c r="B79" s="440" t="str">
        <f>IF(A79="","",+SUMIF('Argus Drop'!$D$7:$D$64,$A79,'Argus Drop'!#REF!))</f>
        <v/>
      </c>
      <c r="C79" s="440" t="str">
        <f>IF(B79="","",+SUMIF('Argus Drop'!$D$7:$D$64,$A79,'Argus Drop'!#REF!))</f>
        <v/>
      </c>
      <c r="D79" s="440" t="str">
        <f>IF(C79="","",+SUMIF('Argus Drop'!$D$7:$D$64,$A79,'Argus Drop'!#REF!))</f>
        <v/>
      </c>
      <c r="E79" s="440" t="str">
        <f>IF(D79="","",+SUMIF('Argus Drop'!$D$7:$D$64,$A79,'Argus Drop'!#REF!))</f>
        <v/>
      </c>
      <c r="F79" s="440" t="str">
        <f>IF(E79="","",+SUMIF('Argus Drop'!$D$7:$D$64,$A79,'Argus Drop'!#REF!))</f>
        <v/>
      </c>
      <c r="G79" s="440" t="str">
        <f>IF(F79="","",+SUMIF('Argus Drop'!$D$7:$D$64,$A79,'Argus Drop'!F$7:F$64))</f>
        <v/>
      </c>
      <c r="H79" s="440" t="str">
        <f>IF(G79="","",+SUMIF('Argus Drop'!$D$7:$D$64,$A79,'Argus Drop'!G$12:G$64))</f>
        <v/>
      </c>
      <c r="I79" s="440" t="str">
        <f>IF(H79="","",+SUMIF('Argus Drop'!$D$7:$D$64,$A79,'Argus Drop'!H$12:H$64))</f>
        <v/>
      </c>
      <c r="J79" s="440" t="str">
        <f>IF(I79="","",+SUMIF('Argus Drop'!$D$7:$D$64,$A79,'Argus Drop'!I$12:I$64))</f>
        <v/>
      </c>
      <c r="K79" s="440" t="str">
        <f>IF(J79="","",+SUMIF('Argus Drop'!$D$7:$D$64,$A79,'Argus Drop'!J$12:J$64))</f>
        <v/>
      </c>
      <c r="L79" s="440" t="str">
        <f>IF(K79="","",+SUMIF('Argus Drop'!$D$7:$D$64,$A79,'Argus Drop'!K$12:K$64))</f>
        <v/>
      </c>
      <c r="M79" s="440" t="str">
        <f>IF(L79="","",+SUMIF('Argus Drop'!$D$7:$D$64,$A79,'Argus Drop'!L$12:L$64))</f>
        <v/>
      </c>
      <c r="N79" s="440" t="str">
        <f>IF(M79="","",+SUMIF('Argus Drop'!$D$7:$D$64,$A79,'Argus Drop'!#REF!))</f>
        <v/>
      </c>
      <c r="O79" s="440" t="str">
        <f>IF(N79="","",+SUMIF('Argus Drop'!$D$7:$D$64,$A79,'Argus Drop'!M$12:M$64))</f>
        <v/>
      </c>
      <c r="P79" s="440" t="str">
        <f>IF(O79="","",+SUMIF('Argus Drop'!$D$7:$D$64,$A79,'Argus Drop'!N$12:N$64))</f>
        <v/>
      </c>
      <c r="Q79" s="440" t="str">
        <f>IF(P79="","",+SUMIF('Argus Drop'!$D$7:$D$64,$A79,'Argus Drop'!O$12:O$64))</f>
        <v/>
      </c>
      <c r="R79" s="440" t="str">
        <f>IF(Q79="","",+SUMIF('Argus Drop'!$D$7:$D$64,$A79,'Argus Drop'!P$12:P$64))</f>
        <v/>
      </c>
      <c r="S79" s="440" t="str">
        <f>IF(R79="","",+SUMIF('Argus Drop'!$D$7:$D$64,$A79,'Argus Drop'!Q$12:Q$64))</f>
        <v/>
      </c>
      <c r="T79" s="440" t="str">
        <f>IF(S79="","",+SUMIF('Argus Drop'!$D$7:$D$64,$A79,'Argus Drop'!R$12:R$64))</f>
        <v/>
      </c>
      <c r="U79" s="440" t="str">
        <f>IF(T79="","",+SUMIF('Argus Drop'!$D$7:$D$64,$A79,'Argus Drop'!S$12:S$64))</f>
        <v/>
      </c>
      <c r="V79" s="440" t="str">
        <f>IF(U79="","",+SUMIF('Argus Drop'!$D$7:$D$64,$A79,'Argus Drop'!T$12:T$64))</f>
        <v/>
      </c>
      <c r="W79" s="440" t="str">
        <f>IF(V79="","",+SUMIF('Argus Drop'!$D$7:$D$64,$A79,'Argus Drop'!U$12:U$64))</f>
        <v/>
      </c>
      <c r="X79" s="440" t="str">
        <f>IF(W79="","",+SUMIF('Argus Drop'!$D$7:$D$64,$A79,'Argus Drop'!V$12:V$64))</f>
        <v/>
      </c>
      <c r="Y79" s="440" t="str">
        <f>IF(X79="","",+SUMIF('Argus Drop'!$D$7:$D$64,$A79,'Argus Drop'!W$12:W$64))</f>
        <v/>
      </c>
      <c r="Z79" s="440" t="str">
        <f>IF(Y79="","",+SUMIF('Argus Drop'!$D$7:$D$64,$A79,'Argus Drop'!X$12:X$64))</f>
        <v/>
      </c>
      <c r="AA79" s="440" t="str">
        <f>IF(Z79="","",+SUMIF('Argus Drop'!$D$7:$D$64,$A79,'Argus Drop'!#REF!))</f>
        <v/>
      </c>
      <c r="AB79" s="440" t="str">
        <f>IF(AA79="","",+SUMIF('Argus Drop'!$D$7:$D$64,$A79,'Argus Drop'!Y$12:Y$64))</f>
        <v/>
      </c>
      <c r="AC79" s="440" t="str">
        <f>IF(AB79="","",+SUMIF('Argus Drop'!$D$7:$D$64,$A79,'Argus Drop'!Z$12:Z$64))</f>
        <v/>
      </c>
      <c r="AD79" s="440" t="str">
        <f>IF(AC79="","",+SUMIF('Argus Drop'!$D$7:$D$64,$A79,'Argus Drop'!AA$12:AA$64))</f>
        <v/>
      </c>
      <c r="AE79" s="440" t="str">
        <f>IF(AD79="","",+SUMIF('Argus Drop'!$D$7:$D$64,$A79,'Argus Drop'!AB$12:AB$64))</f>
        <v/>
      </c>
      <c r="AF79" s="440" t="str">
        <f>IF(AE79="","",+SUMIF('Argus Drop'!$D$7:$D$64,$A79,'Argus Drop'!AC$12:AC$64))</f>
        <v/>
      </c>
      <c r="AG79" s="440" t="str">
        <f>IF(AF79="","",+SUMIF('Argus Drop'!$D$7:$D$64,$A79,'Argus Drop'!AD$12:AD$64))</f>
        <v/>
      </c>
      <c r="AH79" s="440" t="str">
        <f>IF(AG79="","",+SUMIF('Argus Drop'!$D$7:$D$64,$A79,'Argus Drop'!AE$12:AE$64))</f>
        <v/>
      </c>
      <c r="AI79" s="440" t="str">
        <f>IF(AH79="","",+SUMIF('Argus Drop'!$D$7:$D$64,$A79,'Argus Drop'!AF$12:AF$64))</f>
        <v/>
      </c>
      <c r="AJ79" s="440" t="str">
        <f>IF(AI79="","",+SUMIF('Argus Drop'!$D$7:$D$64,$A79,'Argus Drop'!AG$12:AG$64))</f>
        <v/>
      </c>
      <c r="AK79" s="440" t="str">
        <f>IF(AJ79="","",+SUMIF('Argus Drop'!$D$7:$D$64,$A79,'Argus Drop'!AH$12:AH$64))</f>
        <v/>
      </c>
      <c r="AL79" s="440" t="str">
        <f>IF(AK79="","",+SUMIF('Argus Drop'!$D$7:$D$64,$A79,'Argus Drop'!AI$12:AI$64))</f>
        <v/>
      </c>
      <c r="AM79" s="440" t="str">
        <f>IF(AL79="","",+SUMIF('Argus Drop'!$D$7:$D$64,$A79,'Argus Drop'!AJ$12:AJ$64))</f>
        <v/>
      </c>
      <c r="AN79" s="440" t="str">
        <f>IF(AM79="","",+SUMIF('Argus Drop'!$D$7:$D$64,$A79,'Argus Drop'!#REF!))</f>
        <v/>
      </c>
      <c r="AO79" s="440" t="str">
        <f>IF(AN79="","",+SUMIF('Argus Drop'!$D$7:$D$64,$A79,'Argus Drop'!AK$12:AK$64))</f>
        <v/>
      </c>
      <c r="AP79" s="440" t="str">
        <f>IF(AO79="","",+SUMIF('Argus Drop'!$D$7:$D$64,$A79,'Argus Drop'!AL$12:AL$64))</f>
        <v/>
      </c>
      <c r="AQ79" s="440" t="str">
        <f>IF(AP79="","",+SUMIF('Argus Drop'!$D$7:$D$64,$A79,'Argus Drop'!AM$12:AM$64))</f>
        <v/>
      </c>
      <c r="AR79" s="440" t="str">
        <f>IF(AQ79="","",+SUMIF('Argus Drop'!$D$7:$D$64,$A79,'Argus Drop'!AN$12:AN$64))</f>
        <v/>
      </c>
      <c r="AS79" s="440" t="str">
        <f>IF(AR79="","",+SUMIF('Argus Drop'!$D$7:$D$64,$A79,'Argus Drop'!AO$12:AO$64))</f>
        <v/>
      </c>
      <c r="AT79" s="440" t="str">
        <f>IF(AS79="","",+SUMIF('Argus Drop'!$D$7:$D$64,$A79,'Argus Drop'!AP$12:AP$64))</f>
        <v/>
      </c>
      <c r="AU79" s="440" t="str">
        <f>IF(AT79="","",+SUMIF('Argus Drop'!$D$7:$D$64,$A79,'Argus Drop'!AQ$12:AQ$64))</f>
        <v/>
      </c>
      <c r="AV79" s="440" t="str">
        <f>IF(AU79="","",+SUMIF('Argus Drop'!$D$7:$D$64,$A79,'Argus Drop'!AR$12:AR$64))</f>
        <v/>
      </c>
      <c r="AW79" s="440" t="str">
        <f>IF(AV79="","",+SUMIF('Argus Drop'!$D$7:$D$64,$A79,'Argus Drop'!AS$12:AS$64))</f>
        <v/>
      </c>
      <c r="AX79" s="440" t="str">
        <f>IF(AW79="","",+SUMIF('Argus Drop'!$D$7:$D$64,$A79,'Argus Drop'!AT$12:AT$64))</f>
        <v/>
      </c>
      <c r="AY79" s="440" t="str">
        <f>IF(AX79="","",+SUMIF('Argus Drop'!$D$7:$D$64,$A79,'Argus Drop'!AU$12:AU$64))</f>
        <v/>
      </c>
      <c r="AZ79" s="440" t="str">
        <f>IF(AY79="","",+SUMIF('Argus Drop'!$D$7:$D$64,$A79,'Argus Drop'!AV$12:AV$64))</f>
        <v/>
      </c>
      <c r="BA79" s="440" t="str">
        <f>IF(AZ79="","",+SUMIF('Argus Drop'!$D$7:$D$64,$A79,'Argus Drop'!#REF!))</f>
        <v/>
      </c>
      <c r="BB79" s="440" t="str">
        <f>IF(BA79="","",+SUMIF('Argus Drop'!$D$7:$D$64,$A79,'Argus Drop'!AW$12:AW$64))</f>
        <v/>
      </c>
      <c r="BC79" s="440" t="str">
        <f>IF(BB79="","",+SUMIF('Argus Drop'!$D$7:$D$64,$A79,'Argus Drop'!AX$12:AX$64))</f>
        <v/>
      </c>
      <c r="BD79" s="440" t="str">
        <f>IF(BC79="","",+SUMIF('Argus Drop'!$D$7:$D$64,$A79,'Argus Drop'!AY$12:AY$64))</f>
        <v/>
      </c>
      <c r="BE79" s="440" t="str">
        <f>IF(BD79="","",+SUMIF('Argus Drop'!$D$7:$D$64,$A79,'Argus Drop'!AZ$12:AZ$64))</f>
        <v/>
      </c>
      <c r="BF79" s="440" t="str">
        <f>IF(BE79="","",+SUMIF('Argus Drop'!$D$7:$D$64,$A79,'Argus Drop'!BA$12:BA$64))</f>
        <v/>
      </c>
      <c r="BG79" s="440" t="str">
        <f>IF(BF79="","",+SUMIF('Argus Drop'!$D$7:$D$64,$A79,'Argus Drop'!BB$12:BB$64))</f>
        <v/>
      </c>
      <c r="BH79" s="440" t="str">
        <f>IF(BG79="","",+SUMIF('Argus Drop'!$D$7:$D$64,$A79,'Argus Drop'!BC$12:BC$64))</f>
        <v/>
      </c>
      <c r="BI79" s="440" t="str">
        <f>IF(BH79="","",+SUMIF('Argus Drop'!$D$7:$D$64,$A79,'Argus Drop'!BD$12:BD$64))</f>
        <v/>
      </c>
      <c r="BJ79" s="440" t="str">
        <f>IF(BI79="","",+SUMIF('Argus Drop'!$D$7:$D$64,$A79,'Argus Drop'!BE$12:BE$64))</f>
        <v/>
      </c>
      <c r="BK79" s="440" t="str">
        <f>IF(BJ79="","",+SUMIF('Argus Drop'!$D$7:$D$64,$A79,'Argus Drop'!BF$12:BF$64))</f>
        <v/>
      </c>
      <c r="BL79" s="440" t="str">
        <f>IF(BK79="","",+SUMIF('Argus Drop'!$D$7:$D$64,$A79,'Argus Drop'!BG$12:BG$64))</f>
        <v/>
      </c>
      <c r="BM79" s="440" t="str">
        <f>IF(BL79="","",+SUMIF('Argus Drop'!$D$7:$D$64,$A79,'Argus Drop'!BH$12:BH$64))</f>
        <v/>
      </c>
      <c r="BN79" s="440" t="str">
        <f>IF(BM79="","",+SUMIF('Argus Drop'!$D$7:$D$64,$A79,'Argus Drop'!#REF!))</f>
        <v/>
      </c>
      <c r="BO79" s="440" t="str">
        <f>IF(BN79="","",+SUMIF('Argus Drop'!$D$7:$D$64,$A79,'Argus Drop'!BI$12:BI$64))</f>
        <v/>
      </c>
      <c r="BP79" s="440" t="str">
        <f>IF(BO79="","",+SUMIF('Argus Drop'!$D$7:$D$64,$A79,'Argus Drop'!BJ$12:BJ$64))</f>
        <v/>
      </c>
      <c r="BQ79" s="440" t="str">
        <f>IF(BP79="","",+SUMIF('Argus Drop'!$D$7:$D$64,$A79,'Argus Drop'!BK$12:BK$64))</f>
        <v/>
      </c>
      <c r="BR79" s="440" t="str">
        <f>IF(BQ79="","",+SUMIF('Argus Drop'!$D$7:$D$64,$A79,'Argus Drop'!BL$12:BL$64))</f>
        <v/>
      </c>
      <c r="BS79" s="440" t="str">
        <f>IF(BR79="","",+SUMIF('Argus Drop'!$D$7:$D$64,$A79,'Argus Drop'!BM$12:BM$64))</f>
        <v/>
      </c>
      <c r="BT79" s="440" t="str">
        <f>IF(BS79="","",+SUMIF('Argus Drop'!$D$7:$D$64,$A79,'Argus Drop'!BN$12:BN$64))</f>
        <v/>
      </c>
      <c r="BU79" s="440" t="str">
        <f>IF(BT79="","",+SUMIF('Argus Drop'!$D$7:$D$64,$A79,'Argus Drop'!BO$12:BO$64))</f>
        <v/>
      </c>
      <c r="BV79" s="440" t="str">
        <f>IF(BU79="","",+SUMIF('Argus Drop'!$D$7:$D$64,$A79,'Argus Drop'!BP$12:BP$64))</f>
        <v/>
      </c>
      <c r="BW79" s="440" t="str">
        <f>IF(BV79="","",+SUMIF('Argus Drop'!$D$7:$D$64,$A79,'Argus Drop'!BQ$12:BQ$64))</f>
        <v/>
      </c>
      <c r="BX79" s="440" t="str">
        <f>IF(BW79="","",+SUMIF('Argus Drop'!$D$7:$D$64,$A79,'Argus Drop'!BR$12:BR$64))</f>
        <v/>
      </c>
      <c r="BY79" s="440" t="str">
        <f>IF(BX79="","",+SUMIF('Argus Drop'!$D$7:$D$64,$A79,'Argus Drop'!BS$12:BS$64))</f>
        <v/>
      </c>
      <c r="BZ79" s="440" t="str">
        <f>IF(BY79="","",+SUMIF('Argus Drop'!$D$7:$D$64,$A79,'Argus Drop'!BT$12:BT$64))</f>
        <v/>
      </c>
      <c r="CA79" s="440" t="str">
        <f>IF(BZ79="","",+SUMIF('Argus Drop'!$D$7:$D$64,$A79,'Argus Drop'!#REF!))</f>
        <v/>
      </c>
      <c r="CB79" s="440" t="str">
        <f>IF(CA79="","",+SUMIF('Argus Drop'!$D$7:$D$64,$A79,'Argus Drop'!BU$12:BU$64))</f>
        <v/>
      </c>
      <c r="CC79" s="440" t="str">
        <f>IF(CB79="","",+SUMIF('Argus Drop'!$D$7:$D$64,$A79,'Argus Drop'!BV$12:BV$64))</f>
        <v/>
      </c>
      <c r="CD79" s="440" t="str">
        <f>IF(CC79="","",+SUMIF('Argus Drop'!$D$7:$D$64,$A79,'Argus Drop'!BW$12:BW$64))</f>
        <v/>
      </c>
      <c r="CE79" s="440" t="str">
        <f>IF(CD79="","",+SUMIF('Argus Drop'!$D$7:$D$64,$A79,'Argus Drop'!BX$12:BX$64))</f>
        <v/>
      </c>
      <c r="CF79" s="440" t="str">
        <f>IF(CE79="","",+SUMIF('Argus Drop'!$D$7:$D$64,$A79,'Argus Drop'!BY$12:BY$64))</f>
        <v/>
      </c>
      <c r="CG79" s="440" t="str">
        <f>IF(CF79="","",+SUMIF('Argus Drop'!$D$7:$D$64,$A79,'Argus Drop'!BZ$12:BZ$64))</f>
        <v/>
      </c>
      <c r="CH79" s="440" t="str">
        <f>IF(CG79="","",+SUMIF('Argus Drop'!$D$7:$D$64,$A79,'Argus Drop'!CA$12:CA$64))</f>
        <v/>
      </c>
      <c r="CI79" s="440" t="str">
        <f>IF(CH79="","",+SUMIF('Argus Drop'!$D$7:$D$64,$A79,'Argus Drop'!CB$12:CB$64))</f>
        <v/>
      </c>
      <c r="CJ79" s="440" t="str">
        <f>IF(CI79="","",+SUMIF('Argus Drop'!$D$7:$D$64,$A79,'Argus Drop'!CC$12:CC$64))</f>
        <v/>
      </c>
      <c r="CK79" s="440" t="str">
        <f>IF(CJ79="","",+SUMIF('Argus Drop'!$D$7:$D$64,$A79,'Argus Drop'!CD$12:CD$64))</f>
        <v/>
      </c>
      <c r="CL79" s="440" t="str">
        <f>IF(CK79="","",+SUMIF('Argus Drop'!$D$7:$D$64,$A79,'Argus Drop'!CE$12:CE$64))</f>
        <v/>
      </c>
      <c r="CM79" s="440" t="str">
        <f>IF(CL79="","",+SUMIF('Argus Drop'!$D$7:$D$64,$A79,'Argus Drop'!CF$12:CF$64))</f>
        <v/>
      </c>
      <c r="CN79" s="440" t="str">
        <f>IF(CM79="","",+SUMIF('Argus Drop'!$D$7:$D$64,$A79,'Argus Drop'!#REF!))</f>
        <v/>
      </c>
      <c r="CO79" s="440" t="str">
        <f>IF(CN79="","",+SUMIF('Argus Drop'!$D$7:$D$64,$A79,'Argus Drop'!CG$12:CG$64))</f>
        <v/>
      </c>
      <c r="CP79" s="440" t="str">
        <f>IF(CO79="","",+SUMIF('Argus Drop'!$D$7:$D$64,$A79,'Argus Drop'!CH$12:CH$64))</f>
        <v/>
      </c>
      <c r="CQ79" s="440" t="str">
        <f>IF(CP79="","",+SUMIF('Argus Drop'!$D$7:$D$64,$A79,'Argus Drop'!CI$12:CI$64))</f>
        <v/>
      </c>
      <c r="CR79" s="440" t="str">
        <f>IF(CQ79="","",+SUMIF('Argus Drop'!$D$7:$D$64,$A79,'Argus Drop'!CJ$12:CJ$64))</f>
        <v/>
      </c>
      <c r="CS79" s="440" t="str">
        <f>IF(CR79="","",+SUMIF('Argus Drop'!$D$7:$D$64,$A79,'Argus Drop'!CK$12:CK$64))</f>
        <v/>
      </c>
      <c r="CT79" s="440" t="str">
        <f>IF(CS79="","",+SUMIF('Argus Drop'!$D$7:$D$64,$A79,'Argus Drop'!CL$12:CL$64))</f>
        <v/>
      </c>
      <c r="CU79" s="440" t="str">
        <f>IF(CT79="","",+SUMIF('Argus Drop'!$D$7:$D$64,$A79,'Argus Drop'!CM$12:CM$64))</f>
        <v/>
      </c>
      <c r="CV79" s="440" t="str">
        <f>IF(CU79="","",+SUMIF('Argus Drop'!$D$7:$D$64,$A79,'Argus Drop'!CN$12:CN$64))</f>
        <v/>
      </c>
      <c r="CW79" s="440" t="str">
        <f>IF(CV79="","",+SUMIF('Argus Drop'!$D$7:$D$64,$A79,'Argus Drop'!CO$12:CO$64))</f>
        <v/>
      </c>
      <c r="CX79" s="440" t="str">
        <f>IF(CW79="","",+SUMIF('Argus Drop'!$D$7:$D$64,$A79,'Argus Drop'!CP$12:CP$64))</f>
        <v/>
      </c>
      <c r="CY79" s="440" t="str">
        <f>IF(CX79="","",+SUMIF('Argus Drop'!$D$7:$D$64,$A79,'Argus Drop'!CQ$12:CQ$64))</f>
        <v/>
      </c>
      <c r="CZ79" s="440" t="str">
        <f>IF(CY79="","",+SUMIF('Argus Drop'!$D$7:$D$64,$A79,'Argus Drop'!CR$12:CR$64))</f>
        <v/>
      </c>
      <c r="DA79" s="440" t="str">
        <f>IF(CZ79="","",+SUMIF('Argus Drop'!$D$7:$D$64,$A79,'Argus Drop'!#REF!))</f>
        <v/>
      </c>
      <c r="DB79" s="440" t="str">
        <f>IF(DA79="","",+SUMIF('Argus Drop'!$D$7:$D$64,$A79,'Argus Drop'!CS$12:CS$64))</f>
        <v/>
      </c>
      <c r="DC79" s="440" t="str">
        <f>IF(DB79="","",+SUMIF('Argus Drop'!$D$7:$D$64,$A79,'Argus Drop'!CT$12:CT$64))</f>
        <v/>
      </c>
      <c r="DD79" s="440" t="str">
        <f>IF(DC79="","",+SUMIF('Argus Drop'!$D$7:$D$64,$A79,'Argus Drop'!CU$12:CU$64))</f>
        <v/>
      </c>
      <c r="DE79" s="440" t="str">
        <f>IF(DD79="","",+SUMIF('Argus Drop'!$D$7:$D$64,$A79,'Argus Drop'!CV$12:CV$64))</f>
        <v/>
      </c>
      <c r="DF79" s="440" t="str">
        <f>IF(DE79="","",+SUMIF('Argus Drop'!$D$7:$D$64,$A79,'Argus Drop'!CW$12:CW$64))</f>
        <v/>
      </c>
      <c r="DG79" s="440" t="str">
        <f>IF(DF79="","",+SUMIF('Argus Drop'!$D$7:$D$64,$A79,'Argus Drop'!CX$12:CX$64))</f>
        <v/>
      </c>
      <c r="DH79" s="440" t="str">
        <f>IF(DG79="","",+SUMIF('Argus Drop'!$D$7:$D$64,$A79,'Argus Drop'!CY$12:CY$64))</f>
        <v/>
      </c>
      <c r="DI79" s="440" t="str">
        <f>IF(DH79="","",+SUMIF('Argus Drop'!$D$7:$D$64,$A79,'Argus Drop'!CZ$12:CZ$64))</f>
        <v/>
      </c>
      <c r="DJ79" s="440" t="str">
        <f>IF(DI79="","",+SUMIF('Argus Drop'!$D$7:$D$64,$A79,'Argus Drop'!DA$12:DA$64))</f>
        <v/>
      </c>
      <c r="DK79" s="440" t="str">
        <f>IF(DJ79="","",+SUMIF('Argus Drop'!$D$7:$D$64,$A79,'Argus Drop'!DB$12:DB$64))</f>
        <v/>
      </c>
      <c r="DL79" s="440" t="str">
        <f>IF(DK79="","",+SUMIF('Argus Drop'!$D$7:$D$64,$A79,'Argus Drop'!DC$12:DC$64))</f>
        <v/>
      </c>
      <c r="DM79" s="440" t="str">
        <f>IF(DL79="","",+SUMIF('Argus Drop'!$D$7:$D$64,$A79,'Argus Drop'!DD$12:DD$64))</f>
        <v/>
      </c>
      <c r="DN79" s="440" t="str">
        <f>IF(DM79="","",+SUMIF('Argus Drop'!$D$7:$D$64,$A79,'Argus Drop'!#REF!))</f>
        <v/>
      </c>
      <c r="DO79" s="440" t="str">
        <f>IF(DN79="","",+SUMIF('Argus Drop'!$D$7:$D$64,$A79,'Argus Drop'!DE$12:DE$64))</f>
        <v/>
      </c>
      <c r="DP79" s="440" t="str">
        <f>IF(DO79="","",+SUMIF('Argus Drop'!$D$7:$D$64,$A79,'Argus Drop'!DF$12:DF$64))</f>
        <v/>
      </c>
      <c r="DQ79" s="440" t="str">
        <f>IF(DP79="","",+SUMIF('Argus Drop'!$D$7:$D$64,$A79,'Argus Drop'!DG$12:DG$64))</f>
        <v/>
      </c>
      <c r="DR79" s="440" t="str">
        <f>IF(DQ79="","",+SUMIF('Argus Drop'!$D$7:$D$64,$A79,'Argus Drop'!DH$12:DH$64))</f>
        <v/>
      </c>
      <c r="DS79" s="440"/>
      <c r="DT79" s="440"/>
      <c r="DU79" s="440"/>
      <c r="DV79" s="440"/>
      <c r="DW79" s="440"/>
      <c r="DX79" s="440"/>
      <c r="DY79" s="440"/>
      <c r="DZ79" s="440"/>
      <c r="EA79" s="440"/>
      <c r="EB79" s="440"/>
      <c r="EC79" s="440"/>
      <c r="ED79" s="1419"/>
      <c r="EE79" s="1419"/>
      <c r="EF79" s="1419"/>
      <c r="EG79" s="1419"/>
      <c r="EH79" s="1419"/>
      <c r="EI79" s="1419"/>
      <c r="EJ79" s="1419"/>
      <c r="EK79" s="1419"/>
      <c r="EL79" s="1419"/>
      <c r="EM79" s="1419"/>
      <c r="EN79" s="1419"/>
      <c r="EO79" s="1419"/>
      <c r="EP79" s="1419"/>
      <c r="EQ79" s="1419"/>
      <c r="ER79" s="1419"/>
      <c r="ES79" s="1419"/>
      <c r="ET79" s="1419"/>
      <c r="EU79" s="1419"/>
      <c r="EV79" s="1419"/>
      <c r="EW79" s="1419"/>
      <c r="EX79" s="1419"/>
      <c r="EY79" s="1419"/>
      <c r="EZ79" s="1419"/>
      <c r="FA79" s="1419"/>
      <c r="FB79" s="1419"/>
      <c r="FC79" s="1419"/>
      <c r="FD79" s="1419"/>
      <c r="FE79" s="1419"/>
      <c r="FF79" s="1419"/>
      <c r="FG79" s="1419"/>
      <c r="FH79" s="1419"/>
      <c r="FI79" s="1419"/>
    </row>
    <row r="80" spans="1:165">
      <c r="A80" s="448" t="str">
        <f>IF(+'Argus Drop'!B84="","",'Argus Drop'!B84)</f>
        <v/>
      </c>
      <c r="B80" s="440" t="str">
        <f>IF(A80="","",+SUMIF('Argus Drop'!$D$7:$D$64,$A80,'Argus Drop'!#REF!))</f>
        <v/>
      </c>
      <c r="C80" s="440" t="str">
        <f>IF(B80="","",+SUMIF('Argus Drop'!$D$7:$D$64,$A80,'Argus Drop'!#REF!))</f>
        <v/>
      </c>
      <c r="D80" s="440" t="str">
        <f>IF(C80="","",+SUMIF('Argus Drop'!$D$7:$D$64,$A80,'Argus Drop'!#REF!))</f>
        <v/>
      </c>
      <c r="E80" s="440" t="str">
        <f>IF(D80="","",+SUMIF('Argus Drop'!$D$7:$D$64,$A80,'Argus Drop'!#REF!))</f>
        <v/>
      </c>
      <c r="F80" s="440" t="str">
        <f>IF(E80="","",+SUMIF('Argus Drop'!$D$7:$D$64,$A80,'Argus Drop'!#REF!))</f>
        <v/>
      </c>
      <c r="G80" s="440" t="str">
        <f>IF(F80="","",+SUMIF('Argus Drop'!$D$7:$D$64,$A80,'Argus Drop'!F$7:F$64))</f>
        <v/>
      </c>
      <c r="H80" s="440" t="str">
        <f>IF(G80="","",+SUMIF('Argus Drop'!$D$7:$D$64,$A80,'Argus Drop'!G$12:G$64))</f>
        <v/>
      </c>
      <c r="I80" s="440" t="str">
        <f>IF(H80="","",+SUMIF('Argus Drop'!$D$7:$D$64,$A80,'Argus Drop'!H$12:H$64))</f>
        <v/>
      </c>
      <c r="J80" s="440" t="str">
        <f>IF(I80="","",+SUMIF('Argus Drop'!$D$7:$D$64,$A80,'Argus Drop'!I$12:I$64))</f>
        <v/>
      </c>
      <c r="K80" s="440" t="str">
        <f>IF(J80="","",+SUMIF('Argus Drop'!$D$7:$D$64,$A80,'Argus Drop'!J$12:J$64))</f>
        <v/>
      </c>
      <c r="L80" s="440" t="str">
        <f>IF(K80="","",+SUMIF('Argus Drop'!$D$7:$D$64,$A80,'Argus Drop'!K$12:K$64))</f>
        <v/>
      </c>
      <c r="M80" s="440" t="str">
        <f>IF(L80="","",+SUMIF('Argus Drop'!$D$7:$D$64,$A80,'Argus Drop'!L$12:L$64))</f>
        <v/>
      </c>
      <c r="N80" s="440" t="str">
        <f>IF(M80="","",+SUMIF('Argus Drop'!$D$7:$D$64,$A80,'Argus Drop'!#REF!))</f>
        <v/>
      </c>
      <c r="O80" s="440" t="str">
        <f>IF(N80="","",+SUMIF('Argus Drop'!$D$7:$D$64,$A80,'Argus Drop'!M$12:M$64))</f>
        <v/>
      </c>
      <c r="P80" s="440" t="str">
        <f>IF(O80="","",+SUMIF('Argus Drop'!$D$7:$D$64,$A80,'Argus Drop'!N$12:N$64))</f>
        <v/>
      </c>
      <c r="Q80" s="440" t="str">
        <f>IF(P80="","",+SUMIF('Argus Drop'!$D$7:$D$64,$A80,'Argus Drop'!O$12:O$64))</f>
        <v/>
      </c>
      <c r="R80" s="440" t="str">
        <f>IF(Q80="","",+SUMIF('Argus Drop'!$D$7:$D$64,$A80,'Argus Drop'!P$12:P$64))</f>
        <v/>
      </c>
      <c r="S80" s="440" t="str">
        <f>IF(R80="","",+SUMIF('Argus Drop'!$D$7:$D$64,$A80,'Argus Drop'!Q$12:Q$64))</f>
        <v/>
      </c>
      <c r="T80" s="440" t="str">
        <f>IF(S80="","",+SUMIF('Argus Drop'!$D$7:$D$64,$A80,'Argus Drop'!R$12:R$64))</f>
        <v/>
      </c>
      <c r="U80" s="440" t="str">
        <f>IF(T80="","",+SUMIF('Argus Drop'!$D$7:$D$64,$A80,'Argus Drop'!S$12:S$64))</f>
        <v/>
      </c>
      <c r="V80" s="440" t="str">
        <f>IF(U80="","",+SUMIF('Argus Drop'!$D$7:$D$64,$A80,'Argus Drop'!T$12:T$64))</f>
        <v/>
      </c>
      <c r="W80" s="440" t="str">
        <f>IF(V80="","",+SUMIF('Argus Drop'!$D$7:$D$64,$A80,'Argus Drop'!U$12:U$64))</f>
        <v/>
      </c>
      <c r="X80" s="440" t="str">
        <f>IF(W80="","",+SUMIF('Argus Drop'!$D$7:$D$64,$A80,'Argus Drop'!V$12:V$64))</f>
        <v/>
      </c>
      <c r="Y80" s="440" t="str">
        <f>IF(X80="","",+SUMIF('Argus Drop'!$D$7:$D$64,$A80,'Argus Drop'!W$12:W$64))</f>
        <v/>
      </c>
      <c r="Z80" s="440" t="str">
        <f>IF(Y80="","",+SUMIF('Argus Drop'!$D$7:$D$64,$A80,'Argus Drop'!X$12:X$64))</f>
        <v/>
      </c>
      <c r="AA80" s="440" t="str">
        <f>IF(Z80="","",+SUMIF('Argus Drop'!$D$7:$D$64,$A80,'Argus Drop'!#REF!))</f>
        <v/>
      </c>
      <c r="AB80" s="440" t="str">
        <f>IF(AA80="","",+SUMIF('Argus Drop'!$D$7:$D$64,$A80,'Argus Drop'!Y$12:Y$64))</f>
        <v/>
      </c>
      <c r="AC80" s="440" t="str">
        <f>IF(AB80="","",+SUMIF('Argus Drop'!$D$7:$D$64,$A80,'Argus Drop'!Z$12:Z$64))</f>
        <v/>
      </c>
      <c r="AD80" s="440" t="str">
        <f>IF(AC80="","",+SUMIF('Argus Drop'!$D$7:$D$64,$A80,'Argus Drop'!AA$12:AA$64))</f>
        <v/>
      </c>
      <c r="AE80" s="440" t="str">
        <f>IF(AD80="","",+SUMIF('Argus Drop'!$D$7:$D$64,$A80,'Argus Drop'!AB$12:AB$64))</f>
        <v/>
      </c>
      <c r="AF80" s="440" t="str">
        <f>IF(AE80="","",+SUMIF('Argus Drop'!$D$7:$D$64,$A80,'Argus Drop'!AC$12:AC$64))</f>
        <v/>
      </c>
      <c r="AG80" s="440" t="str">
        <f>IF(AF80="","",+SUMIF('Argus Drop'!$D$7:$D$64,$A80,'Argus Drop'!AD$12:AD$64))</f>
        <v/>
      </c>
      <c r="AH80" s="440" t="str">
        <f>IF(AG80="","",+SUMIF('Argus Drop'!$D$7:$D$64,$A80,'Argus Drop'!AE$12:AE$64))</f>
        <v/>
      </c>
      <c r="AI80" s="440" t="str">
        <f>IF(AH80="","",+SUMIF('Argus Drop'!$D$7:$D$64,$A80,'Argus Drop'!AF$12:AF$64))</f>
        <v/>
      </c>
      <c r="AJ80" s="440" t="str">
        <f>IF(AI80="","",+SUMIF('Argus Drop'!$D$7:$D$64,$A80,'Argus Drop'!AG$12:AG$64))</f>
        <v/>
      </c>
      <c r="AK80" s="440" t="str">
        <f>IF(AJ80="","",+SUMIF('Argus Drop'!$D$7:$D$64,$A80,'Argus Drop'!AH$12:AH$64))</f>
        <v/>
      </c>
      <c r="AL80" s="440" t="str">
        <f>IF(AK80="","",+SUMIF('Argus Drop'!$D$7:$D$64,$A80,'Argus Drop'!AI$12:AI$64))</f>
        <v/>
      </c>
      <c r="AM80" s="440" t="str">
        <f>IF(AL80="","",+SUMIF('Argus Drop'!$D$7:$D$64,$A80,'Argus Drop'!AJ$12:AJ$64))</f>
        <v/>
      </c>
      <c r="AN80" s="440" t="str">
        <f>IF(AM80="","",+SUMIF('Argus Drop'!$D$7:$D$64,$A80,'Argus Drop'!#REF!))</f>
        <v/>
      </c>
      <c r="AO80" s="440" t="str">
        <f>IF(AN80="","",+SUMIF('Argus Drop'!$D$7:$D$64,$A80,'Argus Drop'!AK$12:AK$64))</f>
        <v/>
      </c>
      <c r="AP80" s="440" t="str">
        <f>IF(AO80="","",+SUMIF('Argus Drop'!$D$7:$D$64,$A80,'Argus Drop'!AL$12:AL$64))</f>
        <v/>
      </c>
      <c r="AQ80" s="440" t="str">
        <f>IF(AP80="","",+SUMIF('Argus Drop'!$D$7:$D$64,$A80,'Argus Drop'!AM$12:AM$64))</f>
        <v/>
      </c>
      <c r="AR80" s="440" t="str">
        <f>IF(AQ80="","",+SUMIF('Argus Drop'!$D$7:$D$64,$A80,'Argus Drop'!AN$12:AN$64))</f>
        <v/>
      </c>
      <c r="AS80" s="440" t="str">
        <f>IF(AR80="","",+SUMIF('Argus Drop'!$D$7:$D$64,$A80,'Argus Drop'!AO$12:AO$64))</f>
        <v/>
      </c>
      <c r="AT80" s="440" t="str">
        <f>IF(AS80="","",+SUMIF('Argus Drop'!$D$7:$D$64,$A80,'Argus Drop'!AP$12:AP$64))</f>
        <v/>
      </c>
      <c r="AU80" s="440" t="str">
        <f>IF(AT80="","",+SUMIF('Argus Drop'!$D$7:$D$64,$A80,'Argus Drop'!AQ$12:AQ$64))</f>
        <v/>
      </c>
      <c r="AV80" s="440" t="str">
        <f>IF(AU80="","",+SUMIF('Argus Drop'!$D$7:$D$64,$A80,'Argus Drop'!AR$12:AR$64))</f>
        <v/>
      </c>
      <c r="AW80" s="440" t="str">
        <f>IF(AV80="","",+SUMIF('Argus Drop'!$D$7:$D$64,$A80,'Argus Drop'!AS$12:AS$64))</f>
        <v/>
      </c>
      <c r="AX80" s="440" t="str">
        <f>IF(AW80="","",+SUMIF('Argus Drop'!$D$7:$D$64,$A80,'Argus Drop'!AT$12:AT$64))</f>
        <v/>
      </c>
      <c r="AY80" s="440" t="str">
        <f>IF(AX80="","",+SUMIF('Argus Drop'!$D$7:$D$64,$A80,'Argus Drop'!AU$12:AU$64))</f>
        <v/>
      </c>
      <c r="AZ80" s="440" t="str">
        <f>IF(AY80="","",+SUMIF('Argus Drop'!$D$7:$D$64,$A80,'Argus Drop'!AV$12:AV$64))</f>
        <v/>
      </c>
      <c r="BA80" s="440" t="str">
        <f>IF(AZ80="","",+SUMIF('Argus Drop'!$D$7:$D$64,$A80,'Argus Drop'!#REF!))</f>
        <v/>
      </c>
      <c r="BB80" s="440" t="str">
        <f>IF(BA80="","",+SUMIF('Argus Drop'!$D$7:$D$64,$A80,'Argus Drop'!AW$12:AW$64))</f>
        <v/>
      </c>
      <c r="BC80" s="440" t="str">
        <f>IF(BB80="","",+SUMIF('Argus Drop'!$D$7:$D$64,$A80,'Argus Drop'!AX$12:AX$64))</f>
        <v/>
      </c>
      <c r="BD80" s="440" t="str">
        <f>IF(BC80="","",+SUMIF('Argus Drop'!$D$7:$D$64,$A80,'Argus Drop'!AY$12:AY$64))</f>
        <v/>
      </c>
      <c r="BE80" s="440" t="str">
        <f>IF(BD80="","",+SUMIF('Argus Drop'!$D$7:$D$64,$A80,'Argus Drop'!AZ$12:AZ$64))</f>
        <v/>
      </c>
      <c r="BF80" s="440" t="str">
        <f>IF(BE80="","",+SUMIF('Argus Drop'!$D$7:$D$64,$A80,'Argus Drop'!BA$12:BA$64))</f>
        <v/>
      </c>
      <c r="BG80" s="440" t="str">
        <f>IF(BF80="","",+SUMIF('Argus Drop'!$D$7:$D$64,$A80,'Argus Drop'!BB$12:BB$64))</f>
        <v/>
      </c>
      <c r="BH80" s="440" t="str">
        <f>IF(BG80="","",+SUMIF('Argus Drop'!$D$7:$D$64,$A80,'Argus Drop'!BC$12:BC$64))</f>
        <v/>
      </c>
      <c r="BI80" s="440" t="str">
        <f>IF(BH80="","",+SUMIF('Argus Drop'!$D$7:$D$64,$A80,'Argus Drop'!BD$12:BD$64))</f>
        <v/>
      </c>
      <c r="BJ80" s="440" t="str">
        <f>IF(BI80="","",+SUMIF('Argus Drop'!$D$7:$D$64,$A80,'Argus Drop'!BE$12:BE$64))</f>
        <v/>
      </c>
      <c r="BK80" s="440" t="str">
        <f>IF(BJ80="","",+SUMIF('Argus Drop'!$D$7:$D$64,$A80,'Argus Drop'!BF$12:BF$64))</f>
        <v/>
      </c>
      <c r="BL80" s="440" t="str">
        <f>IF(BK80="","",+SUMIF('Argus Drop'!$D$7:$D$64,$A80,'Argus Drop'!BG$12:BG$64))</f>
        <v/>
      </c>
      <c r="BM80" s="440" t="str">
        <f>IF(BL80="","",+SUMIF('Argus Drop'!$D$7:$D$64,$A80,'Argus Drop'!BH$12:BH$64))</f>
        <v/>
      </c>
      <c r="BN80" s="440" t="str">
        <f>IF(BM80="","",+SUMIF('Argus Drop'!$D$7:$D$64,$A80,'Argus Drop'!#REF!))</f>
        <v/>
      </c>
      <c r="BO80" s="440" t="str">
        <f>IF(BN80="","",+SUMIF('Argus Drop'!$D$7:$D$64,$A80,'Argus Drop'!BI$12:BI$64))</f>
        <v/>
      </c>
      <c r="BP80" s="440" t="str">
        <f>IF(BO80="","",+SUMIF('Argus Drop'!$D$7:$D$64,$A80,'Argus Drop'!BJ$12:BJ$64))</f>
        <v/>
      </c>
      <c r="BQ80" s="440" t="str">
        <f>IF(BP80="","",+SUMIF('Argus Drop'!$D$7:$D$64,$A80,'Argus Drop'!BK$12:BK$64))</f>
        <v/>
      </c>
      <c r="BR80" s="440" t="str">
        <f>IF(BQ80="","",+SUMIF('Argus Drop'!$D$7:$D$64,$A80,'Argus Drop'!BL$12:BL$64))</f>
        <v/>
      </c>
      <c r="BS80" s="440" t="str">
        <f>IF(BR80="","",+SUMIF('Argus Drop'!$D$7:$D$64,$A80,'Argus Drop'!BM$12:BM$64))</f>
        <v/>
      </c>
      <c r="BT80" s="440" t="str">
        <f>IF(BS80="","",+SUMIF('Argus Drop'!$D$7:$D$64,$A80,'Argus Drop'!BN$12:BN$64))</f>
        <v/>
      </c>
      <c r="BU80" s="440" t="str">
        <f>IF(BT80="","",+SUMIF('Argus Drop'!$D$7:$D$64,$A80,'Argus Drop'!BO$12:BO$64))</f>
        <v/>
      </c>
      <c r="BV80" s="440" t="str">
        <f>IF(BU80="","",+SUMIF('Argus Drop'!$D$7:$D$64,$A80,'Argus Drop'!BP$12:BP$64))</f>
        <v/>
      </c>
      <c r="BW80" s="440" t="str">
        <f>IF(BV80="","",+SUMIF('Argus Drop'!$D$7:$D$64,$A80,'Argus Drop'!BQ$12:BQ$64))</f>
        <v/>
      </c>
      <c r="BX80" s="440" t="str">
        <f>IF(BW80="","",+SUMIF('Argus Drop'!$D$7:$D$64,$A80,'Argus Drop'!BR$12:BR$64))</f>
        <v/>
      </c>
      <c r="BY80" s="440" t="str">
        <f>IF(BX80="","",+SUMIF('Argus Drop'!$D$7:$D$64,$A80,'Argus Drop'!BS$12:BS$64))</f>
        <v/>
      </c>
      <c r="BZ80" s="440" t="str">
        <f>IF(BY80="","",+SUMIF('Argus Drop'!$D$7:$D$64,$A80,'Argus Drop'!BT$12:BT$64))</f>
        <v/>
      </c>
      <c r="CA80" s="440" t="str">
        <f>IF(BZ80="","",+SUMIF('Argus Drop'!$D$7:$D$64,$A80,'Argus Drop'!#REF!))</f>
        <v/>
      </c>
      <c r="CB80" s="440" t="str">
        <f>IF(CA80="","",+SUMIF('Argus Drop'!$D$7:$D$64,$A80,'Argus Drop'!BU$12:BU$64))</f>
        <v/>
      </c>
      <c r="CC80" s="440" t="str">
        <f>IF(CB80="","",+SUMIF('Argus Drop'!$D$7:$D$64,$A80,'Argus Drop'!BV$12:BV$64))</f>
        <v/>
      </c>
      <c r="CD80" s="440" t="str">
        <f>IF(CC80="","",+SUMIF('Argus Drop'!$D$7:$D$64,$A80,'Argus Drop'!BW$12:BW$64))</f>
        <v/>
      </c>
      <c r="CE80" s="440" t="str">
        <f>IF(CD80="","",+SUMIF('Argus Drop'!$D$7:$D$64,$A80,'Argus Drop'!BX$12:BX$64))</f>
        <v/>
      </c>
      <c r="CF80" s="440" t="str">
        <f>IF(CE80="","",+SUMIF('Argus Drop'!$D$7:$D$64,$A80,'Argus Drop'!BY$12:BY$64))</f>
        <v/>
      </c>
      <c r="CG80" s="440" t="str">
        <f>IF(CF80="","",+SUMIF('Argus Drop'!$D$7:$D$64,$A80,'Argus Drop'!BZ$12:BZ$64))</f>
        <v/>
      </c>
      <c r="CH80" s="440" t="str">
        <f>IF(CG80="","",+SUMIF('Argus Drop'!$D$7:$D$64,$A80,'Argus Drop'!CA$12:CA$64))</f>
        <v/>
      </c>
      <c r="CI80" s="440" t="str">
        <f>IF(CH80="","",+SUMIF('Argus Drop'!$D$7:$D$64,$A80,'Argus Drop'!CB$12:CB$64))</f>
        <v/>
      </c>
      <c r="CJ80" s="440" t="str">
        <f>IF(CI80="","",+SUMIF('Argus Drop'!$D$7:$D$64,$A80,'Argus Drop'!CC$12:CC$64))</f>
        <v/>
      </c>
      <c r="CK80" s="440" t="str">
        <f>IF(CJ80="","",+SUMIF('Argus Drop'!$D$7:$D$64,$A80,'Argus Drop'!CD$12:CD$64))</f>
        <v/>
      </c>
      <c r="CL80" s="440" t="str">
        <f>IF(CK80="","",+SUMIF('Argus Drop'!$D$7:$D$64,$A80,'Argus Drop'!CE$12:CE$64))</f>
        <v/>
      </c>
      <c r="CM80" s="440" t="str">
        <f>IF(CL80="","",+SUMIF('Argus Drop'!$D$7:$D$64,$A80,'Argus Drop'!CF$12:CF$64))</f>
        <v/>
      </c>
      <c r="CN80" s="440" t="str">
        <f>IF(CM80="","",+SUMIF('Argus Drop'!$D$7:$D$64,$A80,'Argus Drop'!#REF!))</f>
        <v/>
      </c>
      <c r="CO80" s="440" t="str">
        <f>IF(CN80="","",+SUMIF('Argus Drop'!$D$7:$D$64,$A80,'Argus Drop'!CG$12:CG$64))</f>
        <v/>
      </c>
      <c r="CP80" s="440" t="str">
        <f>IF(CO80="","",+SUMIF('Argus Drop'!$D$7:$D$64,$A80,'Argus Drop'!CH$12:CH$64))</f>
        <v/>
      </c>
      <c r="CQ80" s="440" t="str">
        <f>IF(CP80="","",+SUMIF('Argus Drop'!$D$7:$D$64,$A80,'Argus Drop'!CI$12:CI$64))</f>
        <v/>
      </c>
      <c r="CR80" s="440" t="str">
        <f>IF(CQ80="","",+SUMIF('Argus Drop'!$D$7:$D$64,$A80,'Argus Drop'!CJ$12:CJ$64))</f>
        <v/>
      </c>
      <c r="CS80" s="440" t="str">
        <f>IF(CR80="","",+SUMIF('Argus Drop'!$D$7:$D$64,$A80,'Argus Drop'!CK$12:CK$64))</f>
        <v/>
      </c>
      <c r="CT80" s="440" t="str">
        <f>IF(CS80="","",+SUMIF('Argus Drop'!$D$7:$D$64,$A80,'Argus Drop'!CL$12:CL$64))</f>
        <v/>
      </c>
      <c r="CU80" s="440" t="str">
        <f>IF(CT80="","",+SUMIF('Argus Drop'!$D$7:$D$64,$A80,'Argus Drop'!CM$12:CM$64))</f>
        <v/>
      </c>
      <c r="CV80" s="440" t="str">
        <f>IF(CU80="","",+SUMIF('Argus Drop'!$D$7:$D$64,$A80,'Argus Drop'!CN$12:CN$64))</f>
        <v/>
      </c>
      <c r="CW80" s="440" t="str">
        <f>IF(CV80="","",+SUMIF('Argus Drop'!$D$7:$D$64,$A80,'Argus Drop'!CO$12:CO$64))</f>
        <v/>
      </c>
      <c r="CX80" s="440" t="str">
        <f>IF(CW80="","",+SUMIF('Argus Drop'!$D$7:$D$64,$A80,'Argus Drop'!CP$12:CP$64))</f>
        <v/>
      </c>
      <c r="CY80" s="440" t="str">
        <f>IF(CX80="","",+SUMIF('Argus Drop'!$D$7:$D$64,$A80,'Argus Drop'!CQ$12:CQ$64))</f>
        <v/>
      </c>
      <c r="CZ80" s="440" t="str">
        <f>IF(CY80="","",+SUMIF('Argus Drop'!$D$7:$D$64,$A80,'Argus Drop'!CR$12:CR$64))</f>
        <v/>
      </c>
      <c r="DA80" s="440" t="str">
        <f>IF(CZ80="","",+SUMIF('Argus Drop'!$D$7:$D$64,$A80,'Argus Drop'!#REF!))</f>
        <v/>
      </c>
      <c r="DB80" s="440" t="str">
        <f>IF(DA80="","",+SUMIF('Argus Drop'!$D$7:$D$64,$A80,'Argus Drop'!CS$12:CS$64))</f>
        <v/>
      </c>
      <c r="DC80" s="440" t="str">
        <f>IF(DB80="","",+SUMIF('Argus Drop'!$D$7:$D$64,$A80,'Argus Drop'!CT$12:CT$64))</f>
        <v/>
      </c>
      <c r="DD80" s="440" t="str">
        <f>IF(DC80="","",+SUMIF('Argus Drop'!$D$7:$D$64,$A80,'Argus Drop'!CU$12:CU$64))</f>
        <v/>
      </c>
      <c r="DE80" s="440" t="str">
        <f>IF(DD80="","",+SUMIF('Argus Drop'!$D$7:$D$64,$A80,'Argus Drop'!CV$12:CV$64))</f>
        <v/>
      </c>
      <c r="DF80" s="440" t="str">
        <f>IF(DE80="","",+SUMIF('Argus Drop'!$D$7:$D$64,$A80,'Argus Drop'!CW$12:CW$64))</f>
        <v/>
      </c>
      <c r="DG80" s="440" t="str">
        <f>IF(DF80="","",+SUMIF('Argus Drop'!$D$7:$D$64,$A80,'Argus Drop'!CX$12:CX$64))</f>
        <v/>
      </c>
      <c r="DH80" s="440" t="str">
        <f>IF(DG80="","",+SUMIF('Argus Drop'!$D$7:$D$64,$A80,'Argus Drop'!CY$12:CY$64))</f>
        <v/>
      </c>
      <c r="DI80" s="440" t="str">
        <f>IF(DH80="","",+SUMIF('Argus Drop'!$D$7:$D$64,$A80,'Argus Drop'!CZ$12:CZ$64))</f>
        <v/>
      </c>
      <c r="DJ80" s="440" t="str">
        <f>IF(DI80="","",+SUMIF('Argus Drop'!$D$7:$D$64,$A80,'Argus Drop'!DA$12:DA$64))</f>
        <v/>
      </c>
      <c r="DK80" s="440" t="str">
        <f>IF(DJ80="","",+SUMIF('Argus Drop'!$D$7:$D$64,$A80,'Argus Drop'!DB$12:DB$64))</f>
        <v/>
      </c>
      <c r="DL80" s="440" t="str">
        <f>IF(DK80="","",+SUMIF('Argus Drop'!$D$7:$D$64,$A80,'Argus Drop'!DC$12:DC$64))</f>
        <v/>
      </c>
      <c r="DM80" s="440" t="str">
        <f>IF(DL80="","",+SUMIF('Argus Drop'!$D$7:$D$64,$A80,'Argus Drop'!DD$12:DD$64))</f>
        <v/>
      </c>
      <c r="DN80" s="440" t="str">
        <f>IF(DM80="","",+SUMIF('Argus Drop'!$D$7:$D$64,$A80,'Argus Drop'!#REF!))</f>
        <v/>
      </c>
      <c r="DO80" s="440" t="str">
        <f>IF(DN80="","",+SUMIF('Argus Drop'!$D$7:$D$64,$A80,'Argus Drop'!DE$12:DE$64))</f>
        <v/>
      </c>
      <c r="DP80" s="440" t="str">
        <f>IF(DO80="","",+SUMIF('Argus Drop'!$D$7:$D$64,$A80,'Argus Drop'!DF$12:DF$64))</f>
        <v/>
      </c>
      <c r="DQ80" s="440" t="str">
        <f>IF(DP80="","",+SUMIF('Argus Drop'!$D$7:$D$64,$A80,'Argus Drop'!DG$12:DG$64))</f>
        <v/>
      </c>
      <c r="DR80" s="440" t="str">
        <f>IF(DQ80="","",+SUMIF('Argus Drop'!$D$7:$D$64,$A80,'Argus Drop'!DH$12:DH$64))</f>
        <v/>
      </c>
      <c r="DS80" s="440"/>
      <c r="DT80" s="440"/>
      <c r="DU80" s="440"/>
      <c r="DV80" s="440"/>
      <c r="DW80" s="440"/>
      <c r="DX80" s="440"/>
      <c r="DY80" s="440"/>
      <c r="DZ80" s="440"/>
      <c r="EA80" s="440"/>
      <c r="EB80" s="440"/>
      <c r="EC80" s="440"/>
      <c r="ED80" s="1419"/>
      <c r="EE80" s="1419"/>
      <c r="EF80" s="1419"/>
      <c r="EG80" s="1419"/>
      <c r="EH80" s="1419"/>
      <c r="EI80" s="1419"/>
      <c r="EJ80" s="1419"/>
      <c r="EK80" s="1419"/>
      <c r="EL80" s="1419"/>
      <c r="EM80" s="1419"/>
      <c r="EN80" s="1419"/>
      <c r="EO80" s="1419"/>
      <c r="EP80" s="1419"/>
      <c r="EQ80" s="1419"/>
      <c r="ER80" s="1419"/>
      <c r="ES80" s="1419"/>
      <c r="ET80" s="1419"/>
      <c r="EU80" s="1419"/>
      <c r="EV80" s="1419"/>
      <c r="EW80" s="1419"/>
      <c r="EX80" s="1419"/>
      <c r="EY80" s="1419"/>
      <c r="EZ80" s="1419"/>
      <c r="FA80" s="1419"/>
      <c r="FB80" s="1419"/>
      <c r="FC80" s="1419"/>
      <c r="FD80" s="1419"/>
      <c r="FE80" s="1419"/>
      <c r="FF80" s="1419"/>
      <c r="FG80" s="1419"/>
      <c r="FH80" s="1419"/>
      <c r="FI80" s="1419"/>
    </row>
    <row r="81" spans="1:165">
      <c r="A81" s="448" t="str">
        <f>IF(+'Argus Drop'!B85="","",'Argus Drop'!B85)</f>
        <v/>
      </c>
      <c r="B81" s="440" t="str">
        <f>IF(A81="","",+SUMIF('Argus Drop'!$D$7:$D$64,$A81,'Argus Drop'!#REF!))</f>
        <v/>
      </c>
      <c r="C81" s="440" t="str">
        <f>IF(B81="","",+SUMIF('Argus Drop'!$D$7:$D$64,$A81,'Argus Drop'!#REF!))</f>
        <v/>
      </c>
      <c r="D81" s="440" t="str">
        <f>IF(C81="","",+SUMIF('Argus Drop'!$D$7:$D$64,$A81,'Argus Drop'!#REF!))</f>
        <v/>
      </c>
      <c r="E81" s="440" t="str">
        <f>IF(D81="","",+SUMIF('Argus Drop'!$D$7:$D$64,$A81,'Argus Drop'!#REF!))</f>
        <v/>
      </c>
      <c r="F81" s="440" t="str">
        <f>IF(E81="","",+SUMIF('Argus Drop'!$D$7:$D$64,$A81,'Argus Drop'!#REF!))</f>
        <v/>
      </c>
      <c r="G81" s="440" t="str">
        <f>IF(F81="","",+SUMIF('Argus Drop'!$D$7:$D$64,$A81,'Argus Drop'!F$7:F$64))</f>
        <v/>
      </c>
      <c r="H81" s="440" t="str">
        <f>IF(G81="","",+SUMIF('Argus Drop'!$D$7:$D$64,$A81,'Argus Drop'!G$12:G$64))</f>
        <v/>
      </c>
      <c r="I81" s="440" t="str">
        <f>IF(H81="","",+SUMIF('Argus Drop'!$D$7:$D$64,$A81,'Argus Drop'!H$12:H$64))</f>
        <v/>
      </c>
      <c r="J81" s="440" t="str">
        <f>IF(I81="","",+SUMIF('Argus Drop'!$D$7:$D$64,$A81,'Argus Drop'!I$12:I$64))</f>
        <v/>
      </c>
      <c r="K81" s="440" t="str">
        <f>IF(J81="","",+SUMIF('Argus Drop'!$D$7:$D$64,$A81,'Argus Drop'!J$12:J$64))</f>
        <v/>
      </c>
      <c r="L81" s="440" t="str">
        <f>IF(K81="","",+SUMIF('Argus Drop'!$D$7:$D$64,$A81,'Argus Drop'!K$12:K$64))</f>
        <v/>
      </c>
      <c r="M81" s="440" t="str">
        <f>IF(L81="","",+SUMIF('Argus Drop'!$D$7:$D$64,$A81,'Argus Drop'!L$12:L$64))</f>
        <v/>
      </c>
      <c r="N81" s="440" t="str">
        <f>IF(M81="","",+SUMIF('Argus Drop'!$D$7:$D$64,$A81,'Argus Drop'!#REF!))</f>
        <v/>
      </c>
      <c r="O81" s="440" t="str">
        <f>IF(N81="","",+SUMIF('Argus Drop'!$D$7:$D$64,$A81,'Argus Drop'!M$12:M$64))</f>
        <v/>
      </c>
      <c r="P81" s="440" t="str">
        <f>IF(O81="","",+SUMIF('Argus Drop'!$D$7:$D$64,$A81,'Argus Drop'!N$12:N$64))</f>
        <v/>
      </c>
      <c r="Q81" s="440" t="str">
        <f>IF(P81="","",+SUMIF('Argus Drop'!$D$7:$D$64,$A81,'Argus Drop'!O$12:O$64))</f>
        <v/>
      </c>
      <c r="R81" s="440" t="str">
        <f>IF(Q81="","",+SUMIF('Argus Drop'!$D$7:$D$64,$A81,'Argus Drop'!P$12:P$64))</f>
        <v/>
      </c>
      <c r="S81" s="440" t="str">
        <f>IF(R81="","",+SUMIF('Argus Drop'!$D$7:$D$64,$A81,'Argus Drop'!Q$12:Q$64))</f>
        <v/>
      </c>
      <c r="T81" s="440" t="str">
        <f>IF(S81="","",+SUMIF('Argus Drop'!$D$7:$D$64,$A81,'Argus Drop'!R$12:R$64))</f>
        <v/>
      </c>
      <c r="U81" s="440" t="str">
        <f>IF(T81="","",+SUMIF('Argus Drop'!$D$7:$D$64,$A81,'Argus Drop'!S$12:S$64))</f>
        <v/>
      </c>
      <c r="V81" s="440" t="str">
        <f>IF(U81="","",+SUMIF('Argus Drop'!$D$7:$D$64,$A81,'Argus Drop'!T$12:T$64))</f>
        <v/>
      </c>
      <c r="W81" s="440" t="str">
        <f>IF(V81="","",+SUMIF('Argus Drop'!$D$7:$D$64,$A81,'Argus Drop'!U$12:U$64))</f>
        <v/>
      </c>
      <c r="X81" s="440" t="str">
        <f>IF(W81="","",+SUMIF('Argus Drop'!$D$7:$D$64,$A81,'Argus Drop'!V$12:V$64))</f>
        <v/>
      </c>
      <c r="Y81" s="440" t="str">
        <f>IF(X81="","",+SUMIF('Argus Drop'!$D$7:$D$64,$A81,'Argus Drop'!W$12:W$64))</f>
        <v/>
      </c>
      <c r="Z81" s="440" t="str">
        <f>IF(Y81="","",+SUMIF('Argus Drop'!$D$7:$D$64,$A81,'Argus Drop'!X$12:X$64))</f>
        <v/>
      </c>
      <c r="AA81" s="440" t="str">
        <f>IF(Z81="","",+SUMIF('Argus Drop'!$D$7:$D$64,$A81,'Argus Drop'!#REF!))</f>
        <v/>
      </c>
      <c r="AB81" s="440" t="str">
        <f>IF(AA81="","",+SUMIF('Argus Drop'!$D$7:$D$64,$A81,'Argus Drop'!Y$12:Y$64))</f>
        <v/>
      </c>
      <c r="AC81" s="440" t="str">
        <f>IF(AB81="","",+SUMIF('Argus Drop'!$D$7:$D$64,$A81,'Argus Drop'!Z$12:Z$64))</f>
        <v/>
      </c>
      <c r="AD81" s="440" t="str">
        <f>IF(AC81="","",+SUMIF('Argus Drop'!$D$7:$D$64,$A81,'Argus Drop'!AA$12:AA$64))</f>
        <v/>
      </c>
      <c r="AE81" s="440" t="str">
        <f>IF(AD81="","",+SUMIF('Argus Drop'!$D$7:$D$64,$A81,'Argus Drop'!AB$12:AB$64))</f>
        <v/>
      </c>
      <c r="AF81" s="440" t="str">
        <f>IF(AE81="","",+SUMIF('Argus Drop'!$D$7:$D$64,$A81,'Argus Drop'!AC$12:AC$64))</f>
        <v/>
      </c>
      <c r="AG81" s="440" t="str">
        <f>IF(AF81="","",+SUMIF('Argus Drop'!$D$7:$D$64,$A81,'Argus Drop'!AD$12:AD$64))</f>
        <v/>
      </c>
      <c r="AH81" s="440" t="str">
        <f>IF(AG81="","",+SUMIF('Argus Drop'!$D$7:$D$64,$A81,'Argus Drop'!AE$12:AE$64))</f>
        <v/>
      </c>
      <c r="AI81" s="440" t="str">
        <f>IF(AH81="","",+SUMIF('Argus Drop'!$D$7:$D$64,$A81,'Argus Drop'!AF$12:AF$64))</f>
        <v/>
      </c>
      <c r="AJ81" s="440" t="str">
        <f>IF(AI81="","",+SUMIF('Argus Drop'!$D$7:$D$64,$A81,'Argus Drop'!AG$12:AG$64))</f>
        <v/>
      </c>
      <c r="AK81" s="440" t="str">
        <f>IF(AJ81="","",+SUMIF('Argus Drop'!$D$7:$D$64,$A81,'Argus Drop'!AH$12:AH$64))</f>
        <v/>
      </c>
      <c r="AL81" s="440" t="str">
        <f>IF(AK81="","",+SUMIF('Argus Drop'!$D$7:$D$64,$A81,'Argus Drop'!AI$12:AI$64))</f>
        <v/>
      </c>
      <c r="AM81" s="440" t="str">
        <f>IF(AL81="","",+SUMIF('Argus Drop'!$D$7:$D$64,$A81,'Argus Drop'!AJ$12:AJ$64))</f>
        <v/>
      </c>
      <c r="AN81" s="440" t="str">
        <f>IF(AM81="","",+SUMIF('Argus Drop'!$D$7:$D$64,$A81,'Argus Drop'!#REF!))</f>
        <v/>
      </c>
      <c r="AO81" s="440" t="str">
        <f>IF(AN81="","",+SUMIF('Argus Drop'!$D$7:$D$64,$A81,'Argus Drop'!AK$12:AK$64))</f>
        <v/>
      </c>
      <c r="AP81" s="440" t="str">
        <f>IF(AO81="","",+SUMIF('Argus Drop'!$D$7:$D$64,$A81,'Argus Drop'!AL$12:AL$64))</f>
        <v/>
      </c>
      <c r="AQ81" s="440" t="str">
        <f>IF(AP81="","",+SUMIF('Argus Drop'!$D$7:$D$64,$A81,'Argus Drop'!AM$12:AM$64))</f>
        <v/>
      </c>
      <c r="AR81" s="440" t="str">
        <f>IF(AQ81="","",+SUMIF('Argus Drop'!$D$7:$D$64,$A81,'Argus Drop'!AN$12:AN$64))</f>
        <v/>
      </c>
      <c r="AS81" s="440" t="str">
        <f>IF(AR81="","",+SUMIF('Argus Drop'!$D$7:$D$64,$A81,'Argus Drop'!AO$12:AO$64))</f>
        <v/>
      </c>
      <c r="AT81" s="440" t="str">
        <f>IF(AS81="","",+SUMIF('Argus Drop'!$D$7:$D$64,$A81,'Argus Drop'!AP$12:AP$64))</f>
        <v/>
      </c>
      <c r="AU81" s="440" t="str">
        <f>IF(AT81="","",+SUMIF('Argus Drop'!$D$7:$D$64,$A81,'Argus Drop'!AQ$12:AQ$64))</f>
        <v/>
      </c>
      <c r="AV81" s="440" t="str">
        <f>IF(AU81="","",+SUMIF('Argus Drop'!$D$7:$D$64,$A81,'Argus Drop'!AR$12:AR$64))</f>
        <v/>
      </c>
      <c r="AW81" s="440" t="str">
        <f>IF(AV81="","",+SUMIF('Argus Drop'!$D$7:$D$64,$A81,'Argus Drop'!AS$12:AS$64))</f>
        <v/>
      </c>
      <c r="AX81" s="440" t="str">
        <f>IF(AW81="","",+SUMIF('Argus Drop'!$D$7:$D$64,$A81,'Argus Drop'!AT$12:AT$64))</f>
        <v/>
      </c>
      <c r="AY81" s="440" t="str">
        <f>IF(AX81="","",+SUMIF('Argus Drop'!$D$7:$D$64,$A81,'Argus Drop'!AU$12:AU$64))</f>
        <v/>
      </c>
      <c r="AZ81" s="440" t="str">
        <f>IF(AY81="","",+SUMIF('Argus Drop'!$D$7:$D$64,$A81,'Argus Drop'!AV$12:AV$64))</f>
        <v/>
      </c>
      <c r="BA81" s="440" t="str">
        <f>IF(AZ81="","",+SUMIF('Argus Drop'!$D$7:$D$64,$A81,'Argus Drop'!#REF!))</f>
        <v/>
      </c>
      <c r="BB81" s="440" t="str">
        <f>IF(BA81="","",+SUMIF('Argus Drop'!$D$7:$D$64,$A81,'Argus Drop'!AW$12:AW$64))</f>
        <v/>
      </c>
      <c r="BC81" s="440" t="str">
        <f>IF(BB81="","",+SUMIF('Argus Drop'!$D$7:$D$64,$A81,'Argus Drop'!AX$12:AX$64))</f>
        <v/>
      </c>
      <c r="BD81" s="440" t="str">
        <f>IF(BC81="","",+SUMIF('Argus Drop'!$D$7:$D$64,$A81,'Argus Drop'!AY$12:AY$64))</f>
        <v/>
      </c>
      <c r="BE81" s="440" t="str">
        <f>IF(BD81="","",+SUMIF('Argus Drop'!$D$7:$D$64,$A81,'Argus Drop'!AZ$12:AZ$64))</f>
        <v/>
      </c>
      <c r="BF81" s="440" t="str">
        <f>IF(BE81="","",+SUMIF('Argus Drop'!$D$7:$D$64,$A81,'Argus Drop'!BA$12:BA$64))</f>
        <v/>
      </c>
      <c r="BG81" s="440" t="str">
        <f>IF(BF81="","",+SUMIF('Argus Drop'!$D$7:$D$64,$A81,'Argus Drop'!BB$12:BB$64))</f>
        <v/>
      </c>
      <c r="BH81" s="440" t="str">
        <f>IF(BG81="","",+SUMIF('Argus Drop'!$D$7:$D$64,$A81,'Argus Drop'!BC$12:BC$64))</f>
        <v/>
      </c>
      <c r="BI81" s="440" t="str">
        <f>IF(BH81="","",+SUMIF('Argus Drop'!$D$7:$D$64,$A81,'Argus Drop'!BD$12:BD$64))</f>
        <v/>
      </c>
      <c r="BJ81" s="440" t="str">
        <f>IF(BI81="","",+SUMIF('Argus Drop'!$D$7:$D$64,$A81,'Argus Drop'!BE$12:BE$64))</f>
        <v/>
      </c>
      <c r="BK81" s="440" t="str">
        <f>IF(BJ81="","",+SUMIF('Argus Drop'!$D$7:$D$64,$A81,'Argus Drop'!BF$12:BF$64))</f>
        <v/>
      </c>
      <c r="BL81" s="440" t="str">
        <f>IF(BK81="","",+SUMIF('Argus Drop'!$D$7:$D$64,$A81,'Argus Drop'!BG$12:BG$64))</f>
        <v/>
      </c>
      <c r="BM81" s="440" t="str">
        <f>IF(BL81="","",+SUMIF('Argus Drop'!$D$7:$D$64,$A81,'Argus Drop'!BH$12:BH$64))</f>
        <v/>
      </c>
      <c r="BN81" s="440" t="str">
        <f>IF(BM81="","",+SUMIF('Argus Drop'!$D$7:$D$64,$A81,'Argus Drop'!#REF!))</f>
        <v/>
      </c>
      <c r="BO81" s="440" t="str">
        <f>IF(BN81="","",+SUMIF('Argus Drop'!$D$7:$D$64,$A81,'Argus Drop'!BI$12:BI$64))</f>
        <v/>
      </c>
      <c r="BP81" s="440" t="str">
        <f>IF(BO81="","",+SUMIF('Argus Drop'!$D$7:$D$64,$A81,'Argus Drop'!BJ$12:BJ$64))</f>
        <v/>
      </c>
      <c r="BQ81" s="440" t="str">
        <f>IF(BP81="","",+SUMIF('Argus Drop'!$D$7:$D$64,$A81,'Argus Drop'!BK$12:BK$64))</f>
        <v/>
      </c>
      <c r="BR81" s="440" t="str">
        <f>IF(BQ81="","",+SUMIF('Argus Drop'!$D$7:$D$64,$A81,'Argus Drop'!BL$12:BL$64))</f>
        <v/>
      </c>
      <c r="BS81" s="440" t="str">
        <f>IF(BR81="","",+SUMIF('Argus Drop'!$D$7:$D$64,$A81,'Argus Drop'!BM$12:BM$64))</f>
        <v/>
      </c>
      <c r="BT81" s="440" t="str">
        <f>IF(BS81="","",+SUMIF('Argus Drop'!$D$7:$D$64,$A81,'Argus Drop'!BN$12:BN$64))</f>
        <v/>
      </c>
      <c r="BU81" s="440" t="str">
        <f>IF(BT81="","",+SUMIF('Argus Drop'!$D$7:$D$64,$A81,'Argus Drop'!BO$12:BO$64))</f>
        <v/>
      </c>
      <c r="BV81" s="440" t="str">
        <f>IF(BU81="","",+SUMIF('Argus Drop'!$D$7:$D$64,$A81,'Argus Drop'!BP$12:BP$64))</f>
        <v/>
      </c>
      <c r="BW81" s="440" t="str">
        <f>IF(BV81="","",+SUMIF('Argus Drop'!$D$7:$D$64,$A81,'Argus Drop'!BQ$12:BQ$64))</f>
        <v/>
      </c>
      <c r="BX81" s="440" t="str">
        <f>IF(BW81="","",+SUMIF('Argus Drop'!$D$7:$D$64,$A81,'Argus Drop'!BR$12:BR$64))</f>
        <v/>
      </c>
      <c r="BY81" s="440" t="str">
        <f>IF(BX81="","",+SUMIF('Argus Drop'!$D$7:$D$64,$A81,'Argus Drop'!BS$12:BS$64))</f>
        <v/>
      </c>
      <c r="BZ81" s="440" t="str">
        <f>IF(BY81="","",+SUMIF('Argus Drop'!$D$7:$D$64,$A81,'Argus Drop'!BT$12:BT$64))</f>
        <v/>
      </c>
      <c r="CA81" s="440" t="str">
        <f>IF(BZ81="","",+SUMIF('Argus Drop'!$D$7:$D$64,$A81,'Argus Drop'!#REF!))</f>
        <v/>
      </c>
      <c r="CB81" s="440" t="str">
        <f>IF(CA81="","",+SUMIF('Argus Drop'!$D$7:$D$64,$A81,'Argus Drop'!BU$12:BU$64))</f>
        <v/>
      </c>
      <c r="CC81" s="440" t="str">
        <f>IF(CB81="","",+SUMIF('Argus Drop'!$D$7:$D$64,$A81,'Argus Drop'!BV$12:BV$64))</f>
        <v/>
      </c>
      <c r="CD81" s="440" t="str">
        <f>IF(CC81="","",+SUMIF('Argus Drop'!$D$7:$D$64,$A81,'Argus Drop'!BW$12:BW$64))</f>
        <v/>
      </c>
      <c r="CE81" s="440" t="str">
        <f>IF(CD81="","",+SUMIF('Argus Drop'!$D$7:$D$64,$A81,'Argus Drop'!BX$12:BX$64))</f>
        <v/>
      </c>
      <c r="CF81" s="440" t="str">
        <f>IF(CE81="","",+SUMIF('Argus Drop'!$D$7:$D$64,$A81,'Argus Drop'!BY$12:BY$64))</f>
        <v/>
      </c>
      <c r="CG81" s="440" t="str">
        <f>IF(CF81="","",+SUMIF('Argus Drop'!$D$7:$D$64,$A81,'Argus Drop'!BZ$12:BZ$64))</f>
        <v/>
      </c>
      <c r="CH81" s="440" t="str">
        <f>IF(CG81="","",+SUMIF('Argus Drop'!$D$7:$D$64,$A81,'Argus Drop'!CA$12:CA$64))</f>
        <v/>
      </c>
      <c r="CI81" s="440" t="str">
        <f>IF(CH81="","",+SUMIF('Argus Drop'!$D$7:$D$64,$A81,'Argus Drop'!CB$12:CB$64))</f>
        <v/>
      </c>
      <c r="CJ81" s="440" t="str">
        <f>IF(CI81="","",+SUMIF('Argus Drop'!$D$7:$D$64,$A81,'Argus Drop'!CC$12:CC$64))</f>
        <v/>
      </c>
      <c r="CK81" s="440" t="str">
        <f>IF(CJ81="","",+SUMIF('Argus Drop'!$D$7:$D$64,$A81,'Argus Drop'!CD$12:CD$64))</f>
        <v/>
      </c>
      <c r="CL81" s="440" t="str">
        <f>IF(CK81="","",+SUMIF('Argus Drop'!$D$7:$D$64,$A81,'Argus Drop'!CE$12:CE$64))</f>
        <v/>
      </c>
      <c r="CM81" s="440" t="str">
        <f>IF(CL81="","",+SUMIF('Argus Drop'!$D$7:$D$64,$A81,'Argus Drop'!CF$12:CF$64))</f>
        <v/>
      </c>
      <c r="CN81" s="440" t="str">
        <f>IF(CM81="","",+SUMIF('Argus Drop'!$D$7:$D$64,$A81,'Argus Drop'!#REF!))</f>
        <v/>
      </c>
      <c r="CO81" s="440" t="str">
        <f>IF(CN81="","",+SUMIF('Argus Drop'!$D$7:$D$64,$A81,'Argus Drop'!CG$12:CG$64))</f>
        <v/>
      </c>
      <c r="CP81" s="440" t="str">
        <f>IF(CO81="","",+SUMIF('Argus Drop'!$D$7:$D$64,$A81,'Argus Drop'!CH$12:CH$64))</f>
        <v/>
      </c>
      <c r="CQ81" s="440" t="str">
        <f>IF(CP81="","",+SUMIF('Argus Drop'!$D$7:$D$64,$A81,'Argus Drop'!CI$12:CI$64))</f>
        <v/>
      </c>
      <c r="CR81" s="440" t="str">
        <f>IF(CQ81="","",+SUMIF('Argus Drop'!$D$7:$D$64,$A81,'Argus Drop'!CJ$12:CJ$64))</f>
        <v/>
      </c>
      <c r="CS81" s="440" t="str">
        <f>IF(CR81="","",+SUMIF('Argus Drop'!$D$7:$D$64,$A81,'Argus Drop'!CK$12:CK$64))</f>
        <v/>
      </c>
      <c r="CT81" s="440" t="str">
        <f>IF(CS81="","",+SUMIF('Argus Drop'!$D$7:$D$64,$A81,'Argus Drop'!CL$12:CL$64))</f>
        <v/>
      </c>
      <c r="CU81" s="440" t="str">
        <f>IF(CT81="","",+SUMIF('Argus Drop'!$D$7:$D$64,$A81,'Argus Drop'!CM$12:CM$64))</f>
        <v/>
      </c>
      <c r="CV81" s="440" t="str">
        <f>IF(CU81="","",+SUMIF('Argus Drop'!$D$7:$D$64,$A81,'Argus Drop'!CN$12:CN$64))</f>
        <v/>
      </c>
      <c r="CW81" s="440" t="str">
        <f>IF(CV81="","",+SUMIF('Argus Drop'!$D$7:$D$64,$A81,'Argus Drop'!CO$12:CO$64))</f>
        <v/>
      </c>
      <c r="CX81" s="440" t="str">
        <f>IF(CW81="","",+SUMIF('Argus Drop'!$D$7:$D$64,$A81,'Argus Drop'!CP$12:CP$64))</f>
        <v/>
      </c>
      <c r="CY81" s="440" t="str">
        <f>IF(CX81="","",+SUMIF('Argus Drop'!$D$7:$D$64,$A81,'Argus Drop'!CQ$12:CQ$64))</f>
        <v/>
      </c>
      <c r="CZ81" s="440" t="str">
        <f>IF(CY81="","",+SUMIF('Argus Drop'!$D$7:$D$64,$A81,'Argus Drop'!CR$12:CR$64))</f>
        <v/>
      </c>
      <c r="DA81" s="440" t="str">
        <f>IF(CZ81="","",+SUMIF('Argus Drop'!$D$7:$D$64,$A81,'Argus Drop'!#REF!))</f>
        <v/>
      </c>
      <c r="DB81" s="440" t="str">
        <f>IF(DA81="","",+SUMIF('Argus Drop'!$D$7:$D$64,$A81,'Argus Drop'!CS$12:CS$64))</f>
        <v/>
      </c>
      <c r="DC81" s="440" t="str">
        <f>IF(DB81="","",+SUMIF('Argus Drop'!$D$7:$D$64,$A81,'Argus Drop'!CT$12:CT$64))</f>
        <v/>
      </c>
      <c r="DD81" s="440" t="str">
        <f>IF(DC81="","",+SUMIF('Argus Drop'!$D$7:$D$64,$A81,'Argus Drop'!CU$12:CU$64))</f>
        <v/>
      </c>
      <c r="DE81" s="440" t="str">
        <f>IF(DD81="","",+SUMIF('Argus Drop'!$D$7:$D$64,$A81,'Argus Drop'!CV$12:CV$64))</f>
        <v/>
      </c>
      <c r="DF81" s="440" t="str">
        <f>IF(DE81="","",+SUMIF('Argus Drop'!$D$7:$D$64,$A81,'Argus Drop'!CW$12:CW$64))</f>
        <v/>
      </c>
      <c r="DG81" s="440" t="str">
        <f>IF(DF81="","",+SUMIF('Argus Drop'!$D$7:$D$64,$A81,'Argus Drop'!CX$12:CX$64))</f>
        <v/>
      </c>
      <c r="DH81" s="440" t="str">
        <f>IF(DG81="","",+SUMIF('Argus Drop'!$D$7:$D$64,$A81,'Argus Drop'!CY$12:CY$64))</f>
        <v/>
      </c>
      <c r="DI81" s="440" t="str">
        <f>IF(DH81="","",+SUMIF('Argus Drop'!$D$7:$D$64,$A81,'Argus Drop'!CZ$12:CZ$64))</f>
        <v/>
      </c>
      <c r="DJ81" s="440" t="str">
        <f>IF(DI81="","",+SUMIF('Argus Drop'!$D$7:$D$64,$A81,'Argus Drop'!DA$12:DA$64))</f>
        <v/>
      </c>
      <c r="DK81" s="440" t="str">
        <f>IF(DJ81="","",+SUMIF('Argus Drop'!$D$7:$D$64,$A81,'Argus Drop'!DB$12:DB$64))</f>
        <v/>
      </c>
      <c r="DL81" s="440" t="str">
        <f>IF(DK81="","",+SUMIF('Argus Drop'!$D$7:$D$64,$A81,'Argus Drop'!DC$12:DC$64))</f>
        <v/>
      </c>
      <c r="DM81" s="440" t="str">
        <f>IF(DL81="","",+SUMIF('Argus Drop'!$D$7:$D$64,$A81,'Argus Drop'!DD$12:DD$64))</f>
        <v/>
      </c>
      <c r="DN81" s="440" t="str">
        <f>IF(DM81="","",+SUMIF('Argus Drop'!$D$7:$D$64,$A81,'Argus Drop'!#REF!))</f>
        <v/>
      </c>
      <c r="DO81" s="440" t="str">
        <f>IF(DN81="","",+SUMIF('Argus Drop'!$D$7:$D$64,$A81,'Argus Drop'!DE$12:DE$64))</f>
        <v/>
      </c>
      <c r="DP81" s="440" t="str">
        <f>IF(DO81="","",+SUMIF('Argus Drop'!$D$7:$D$64,$A81,'Argus Drop'!DF$12:DF$64))</f>
        <v/>
      </c>
      <c r="DQ81" s="440" t="str">
        <f>IF(DP81="","",+SUMIF('Argus Drop'!$D$7:$D$64,$A81,'Argus Drop'!DG$12:DG$64))</f>
        <v/>
      </c>
      <c r="DR81" s="440" t="str">
        <f>IF(DQ81="","",+SUMIF('Argus Drop'!$D$7:$D$64,$A81,'Argus Drop'!DH$12:DH$64))</f>
        <v/>
      </c>
      <c r="DS81" s="440"/>
      <c r="DT81" s="440"/>
      <c r="DU81" s="440"/>
      <c r="DV81" s="440"/>
      <c r="DW81" s="440"/>
      <c r="DX81" s="440"/>
      <c r="DY81" s="440"/>
      <c r="DZ81" s="440"/>
      <c r="EA81" s="440"/>
      <c r="EB81" s="440"/>
      <c r="EC81" s="440"/>
      <c r="ED81" s="1419"/>
      <c r="EE81" s="1419"/>
      <c r="EF81" s="1419"/>
      <c r="EG81" s="1419"/>
      <c r="EH81" s="1419"/>
      <c r="EI81" s="1419"/>
      <c r="EJ81" s="1419"/>
      <c r="EK81" s="1419"/>
      <c r="EL81" s="1419"/>
      <c r="EM81" s="1419"/>
      <c r="EN81" s="1419"/>
      <c r="EO81" s="1419"/>
      <c r="EP81" s="1419"/>
      <c r="EQ81" s="1419"/>
      <c r="ER81" s="1419"/>
      <c r="ES81" s="1419"/>
      <c r="ET81" s="1419"/>
      <c r="EU81" s="1419"/>
      <c r="EV81" s="1419"/>
      <c r="EW81" s="1419"/>
      <c r="EX81" s="1419"/>
      <c r="EY81" s="1419"/>
      <c r="EZ81" s="1419"/>
      <c r="FA81" s="1419"/>
      <c r="FB81" s="1419"/>
      <c r="FC81" s="1419"/>
      <c r="FD81" s="1419"/>
      <c r="FE81" s="1419"/>
      <c r="FF81" s="1419"/>
      <c r="FG81" s="1419"/>
      <c r="FH81" s="1419"/>
      <c r="FI81" s="1419"/>
    </row>
    <row r="82" spans="1:165">
      <c r="A82" s="448" t="str">
        <f>IF(+'Argus Drop'!B86="","",'Argus Drop'!B86)</f>
        <v/>
      </c>
      <c r="B82" s="440" t="str">
        <f>IF(A82="","",+SUMIF('Argus Drop'!$D$7:$D$64,$A82,'Argus Drop'!#REF!))</f>
        <v/>
      </c>
      <c r="C82" s="440" t="str">
        <f>IF(B82="","",+SUMIF('Argus Drop'!$D$7:$D$64,$A82,'Argus Drop'!#REF!))</f>
        <v/>
      </c>
      <c r="D82" s="440" t="str">
        <f>IF(C82="","",+SUMIF('Argus Drop'!$D$7:$D$64,$A82,'Argus Drop'!#REF!))</f>
        <v/>
      </c>
      <c r="E82" s="440" t="str">
        <f>IF(D82="","",+SUMIF('Argus Drop'!$D$7:$D$64,$A82,'Argus Drop'!#REF!))</f>
        <v/>
      </c>
      <c r="F82" s="440" t="str">
        <f>IF(E82="","",+SUMIF('Argus Drop'!$D$7:$D$64,$A82,'Argus Drop'!#REF!))</f>
        <v/>
      </c>
      <c r="G82" s="440" t="str">
        <f>IF(F82="","",+SUMIF('Argus Drop'!$D$7:$D$64,$A82,'Argus Drop'!F$7:F$64))</f>
        <v/>
      </c>
      <c r="H82" s="440" t="str">
        <f>IF(G82="","",+SUMIF('Argus Drop'!$D$7:$D$64,$A82,'Argus Drop'!G$12:G$64))</f>
        <v/>
      </c>
      <c r="I82" s="440" t="str">
        <f>IF(H82="","",+SUMIF('Argus Drop'!$D$7:$D$64,$A82,'Argus Drop'!H$12:H$64))</f>
        <v/>
      </c>
      <c r="J82" s="440" t="str">
        <f>IF(I82="","",+SUMIF('Argus Drop'!$D$7:$D$64,$A82,'Argus Drop'!I$12:I$64))</f>
        <v/>
      </c>
      <c r="K82" s="440" t="str">
        <f>IF(J82="","",+SUMIF('Argus Drop'!$D$7:$D$64,$A82,'Argus Drop'!J$12:J$64))</f>
        <v/>
      </c>
      <c r="L82" s="440" t="str">
        <f>IF(K82="","",+SUMIF('Argus Drop'!$D$7:$D$64,$A82,'Argus Drop'!K$12:K$64))</f>
        <v/>
      </c>
      <c r="M82" s="440" t="str">
        <f>IF(L82="","",+SUMIF('Argus Drop'!$D$7:$D$64,$A82,'Argus Drop'!L$12:L$64))</f>
        <v/>
      </c>
      <c r="N82" s="440" t="str">
        <f>IF(M82="","",+SUMIF('Argus Drop'!$D$7:$D$64,$A82,'Argus Drop'!#REF!))</f>
        <v/>
      </c>
      <c r="O82" s="440" t="str">
        <f>IF(N82="","",+SUMIF('Argus Drop'!$D$7:$D$64,$A82,'Argus Drop'!M$12:M$64))</f>
        <v/>
      </c>
      <c r="P82" s="440" t="str">
        <f>IF(O82="","",+SUMIF('Argus Drop'!$D$7:$D$64,$A82,'Argus Drop'!N$12:N$64))</f>
        <v/>
      </c>
      <c r="Q82" s="440" t="str">
        <f>IF(P82="","",+SUMIF('Argus Drop'!$D$7:$D$64,$A82,'Argus Drop'!O$12:O$64))</f>
        <v/>
      </c>
      <c r="R82" s="440" t="str">
        <f>IF(Q82="","",+SUMIF('Argus Drop'!$D$7:$D$64,$A82,'Argus Drop'!P$12:P$64))</f>
        <v/>
      </c>
      <c r="S82" s="440" t="str">
        <f>IF(R82="","",+SUMIF('Argus Drop'!$D$7:$D$64,$A82,'Argus Drop'!Q$12:Q$64))</f>
        <v/>
      </c>
      <c r="T82" s="440" t="str">
        <f>IF(S82="","",+SUMIF('Argus Drop'!$D$7:$D$64,$A82,'Argus Drop'!R$12:R$64))</f>
        <v/>
      </c>
      <c r="U82" s="440" t="str">
        <f>IF(T82="","",+SUMIF('Argus Drop'!$D$7:$D$64,$A82,'Argus Drop'!S$12:S$64))</f>
        <v/>
      </c>
      <c r="V82" s="440" t="str">
        <f>IF(U82="","",+SUMIF('Argus Drop'!$D$7:$D$64,$A82,'Argus Drop'!T$12:T$64))</f>
        <v/>
      </c>
      <c r="W82" s="440" t="str">
        <f>IF(V82="","",+SUMIF('Argus Drop'!$D$7:$D$64,$A82,'Argus Drop'!U$12:U$64))</f>
        <v/>
      </c>
      <c r="X82" s="440" t="str">
        <f>IF(W82="","",+SUMIF('Argus Drop'!$D$7:$D$64,$A82,'Argus Drop'!V$12:V$64))</f>
        <v/>
      </c>
      <c r="Y82" s="440" t="str">
        <f>IF(X82="","",+SUMIF('Argus Drop'!$D$7:$D$64,$A82,'Argus Drop'!W$12:W$64))</f>
        <v/>
      </c>
      <c r="Z82" s="440" t="str">
        <f>IF(Y82="","",+SUMIF('Argus Drop'!$D$7:$D$64,$A82,'Argus Drop'!X$12:X$64))</f>
        <v/>
      </c>
      <c r="AA82" s="440" t="str">
        <f>IF(Z82="","",+SUMIF('Argus Drop'!$D$7:$D$64,$A82,'Argus Drop'!#REF!))</f>
        <v/>
      </c>
      <c r="AB82" s="440" t="str">
        <f>IF(AA82="","",+SUMIF('Argus Drop'!$D$7:$D$64,$A82,'Argus Drop'!Y$12:Y$64))</f>
        <v/>
      </c>
      <c r="AC82" s="440" t="str">
        <f>IF(AB82="","",+SUMIF('Argus Drop'!$D$7:$D$64,$A82,'Argus Drop'!Z$12:Z$64))</f>
        <v/>
      </c>
      <c r="AD82" s="440" t="str">
        <f>IF(AC82="","",+SUMIF('Argus Drop'!$D$7:$D$64,$A82,'Argus Drop'!AA$12:AA$64))</f>
        <v/>
      </c>
      <c r="AE82" s="440" t="str">
        <f>IF(AD82="","",+SUMIF('Argus Drop'!$D$7:$D$64,$A82,'Argus Drop'!AB$12:AB$64))</f>
        <v/>
      </c>
      <c r="AF82" s="440" t="str">
        <f>IF(AE82="","",+SUMIF('Argus Drop'!$D$7:$D$64,$A82,'Argus Drop'!AC$12:AC$64))</f>
        <v/>
      </c>
      <c r="AG82" s="440" t="str">
        <f>IF(AF82="","",+SUMIF('Argus Drop'!$D$7:$D$64,$A82,'Argus Drop'!AD$12:AD$64))</f>
        <v/>
      </c>
      <c r="AH82" s="440" t="str">
        <f>IF(AG82="","",+SUMIF('Argus Drop'!$D$7:$D$64,$A82,'Argus Drop'!AE$12:AE$64))</f>
        <v/>
      </c>
      <c r="AI82" s="440" t="str">
        <f>IF(AH82="","",+SUMIF('Argus Drop'!$D$7:$D$64,$A82,'Argus Drop'!AF$12:AF$64))</f>
        <v/>
      </c>
      <c r="AJ82" s="440" t="str">
        <f>IF(AI82="","",+SUMIF('Argus Drop'!$D$7:$D$64,$A82,'Argus Drop'!AG$12:AG$64))</f>
        <v/>
      </c>
      <c r="AK82" s="440" t="str">
        <f>IF(AJ82="","",+SUMIF('Argus Drop'!$D$7:$D$64,$A82,'Argus Drop'!AH$12:AH$64))</f>
        <v/>
      </c>
      <c r="AL82" s="440" t="str">
        <f>IF(AK82="","",+SUMIF('Argus Drop'!$D$7:$D$64,$A82,'Argus Drop'!AI$12:AI$64))</f>
        <v/>
      </c>
      <c r="AM82" s="440" t="str">
        <f>IF(AL82="","",+SUMIF('Argus Drop'!$D$7:$D$64,$A82,'Argus Drop'!AJ$12:AJ$64))</f>
        <v/>
      </c>
      <c r="AN82" s="440" t="str">
        <f>IF(AM82="","",+SUMIF('Argus Drop'!$D$7:$D$64,$A82,'Argus Drop'!#REF!))</f>
        <v/>
      </c>
      <c r="AO82" s="440" t="str">
        <f>IF(AN82="","",+SUMIF('Argus Drop'!$D$7:$D$64,$A82,'Argus Drop'!AK$12:AK$64))</f>
        <v/>
      </c>
      <c r="AP82" s="440" t="str">
        <f>IF(AO82="","",+SUMIF('Argus Drop'!$D$7:$D$64,$A82,'Argus Drop'!AL$12:AL$64))</f>
        <v/>
      </c>
      <c r="AQ82" s="440" t="str">
        <f>IF(AP82="","",+SUMIF('Argus Drop'!$D$7:$D$64,$A82,'Argus Drop'!AM$12:AM$64))</f>
        <v/>
      </c>
      <c r="AR82" s="440" t="str">
        <f>IF(AQ82="","",+SUMIF('Argus Drop'!$D$7:$D$64,$A82,'Argus Drop'!AN$12:AN$64))</f>
        <v/>
      </c>
      <c r="AS82" s="440" t="str">
        <f>IF(AR82="","",+SUMIF('Argus Drop'!$D$7:$D$64,$A82,'Argus Drop'!AO$12:AO$64))</f>
        <v/>
      </c>
      <c r="AT82" s="440" t="str">
        <f>IF(AS82="","",+SUMIF('Argus Drop'!$D$7:$D$64,$A82,'Argus Drop'!AP$12:AP$64))</f>
        <v/>
      </c>
      <c r="AU82" s="440" t="str">
        <f>IF(AT82="","",+SUMIF('Argus Drop'!$D$7:$D$64,$A82,'Argus Drop'!AQ$12:AQ$64))</f>
        <v/>
      </c>
      <c r="AV82" s="440" t="str">
        <f>IF(AU82="","",+SUMIF('Argus Drop'!$D$7:$D$64,$A82,'Argus Drop'!AR$12:AR$64))</f>
        <v/>
      </c>
      <c r="AW82" s="440" t="str">
        <f>IF(AV82="","",+SUMIF('Argus Drop'!$D$7:$D$64,$A82,'Argus Drop'!AS$12:AS$64))</f>
        <v/>
      </c>
      <c r="AX82" s="440" t="str">
        <f>IF(AW82="","",+SUMIF('Argus Drop'!$D$7:$D$64,$A82,'Argus Drop'!AT$12:AT$64))</f>
        <v/>
      </c>
      <c r="AY82" s="440" t="str">
        <f>IF(AX82="","",+SUMIF('Argus Drop'!$D$7:$D$64,$A82,'Argus Drop'!AU$12:AU$64))</f>
        <v/>
      </c>
      <c r="AZ82" s="440" t="str">
        <f>IF(AY82="","",+SUMIF('Argus Drop'!$D$7:$D$64,$A82,'Argus Drop'!AV$12:AV$64))</f>
        <v/>
      </c>
      <c r="BA82" s="440" t="str">
        <f>IF(AZ82="","",+SUMIF('Argus Drop'!$D$7:$D$64,$A82,'Argus Drop'!#REF!))</f>
        <v/>
      </c>
      <c r="BB82" s="440" t="str">
        <f>IF(BA82="","",+SUMIF('Argus Drop'!$D$7:$D$64,$A82,'Argus Drop'!AW$12:AW$64))</f>
        <v/>
      </c>
      <c r="BC82" s="440" t="str">
        <f>IF(BB82="","",+SUMIF('Argus Drop'!$D$7:$D$64,$A82,'Argus Drop'!AX$12:AX$64))</f>
        <v/>
      </c>
      <c r="BD82" s="440" t="str">
        <f>IF(BC82="","",+SUMIF('Argus Drop'!$D$7:$D$64,$A82,'Argus Drop'!AY$12:AY$64))</f>
        <v/>
      </c>
      <c r="BE82" s="440" t="str">
        <f>IF(BD82="","",+SUMIF('Argus Drop'!$D$7:$D$64,$A82,'Argus Drop'!AZ$12:AZ$64))</f>
        <v/>
      </c>
      <c r="BF82" s="440" t="str">
        <f>IF(BE82="","",+SUMIF('Argus Drop'!$D$7:$D$64,$A82,'Argus Drop'!BA$12:BA$64))</f>
        <v/>
      </c>
      <c r="BG82" s="440" t="str">
        <f>IF(BF82="","",+SUMIF('Argus Drop'!$D$7:$D$64,$A82,'Argus Drop'!BB$12:BB$64))</f>
        <v/>
      </c>
      <c r="BH82" s="440" t="str">
        <f>IF(BG82="","",+SUMIF('Argus Drop'!$D$7:$D$64,$A82,'Argus Drop'!BC$12:BC$64))</f>
        <v/>
      </c>
      <c r="BI82" s="440" t="str">
        <f>IF(BH82="","",+SUMIF('Argus Drop'!$D$7:$D$64,$A82,'Argus Drop'!BD$12:BD$64))</f>
        <v/>
      </c>
      <c r="BJ82" s="440" t="str">
        <f>IF(BI82="","",+SUMIF('Argus Drop'!$D$7:$D$64,$A82,'Argus Drop'!BE$12:BE$64))</f>
        <v/>
      </c>
      <c r="BK82" s="440" t="str">
        <f>IF(BJ82="","",+SUMIF('Argus Drop'!$D$7:$D$64,$A82,'Argus Drop'!BF$12:BF$64))</f>
        <v/>
      </c>
      <c r="BL82" s="440" t="str">
        <f>IF(BK82="","",+SUMIF('Argus Drop'!$D$7:$D$64,$A82,'Argus Drop'!BG$12:BG$64))</f>
        <v/>
      </c>
      <c r="BM82" s="440" t="str">
        <f>IF(BL82="","",+SUMIF('Argus Drop'!$D$7:$D$64,$A82,'Argus Drop'!BH$12:BH$64))</f>
        <v/>
      </c>
      <c r="BN82" s="440" t="str">
        <f>IF(BM82="","",+SUMIF('Argus Drop'!$D$7:$D$64,$A82,'Argus Drop'!#REF!))</f>
        <v/>
      </c>
      <c r="BO82" s="440" t="str">
        <f>IF(BN82="","",+SUMIF('Argus Drop'!$D$7:$D$64,$A82,'Argus Drop'!BI$12:BI$64))</f>
        <v/>
      </c>
      <c r="BP82" s="440" t="str">
        <f>IF(BO82="","",+SUMIF('Argus Drop'!$D$7:$D$64,$A82,'Argus Drop'!BJ$12:BJ$64))</f>
        <v/>
      </c>
      <c r="BQ82" s="440" t="str">
        <f>IF(BP82="","",+SUMIF('Argus Drop'!$D$7:$D$64,$A82,'Argus Drop'!BK$12:BK$64))</f>
        <v/>
      </c>
      <c r="BR82" s="440" t="str">
        <f>IF(BQ82="","",+SUMIF('Argus Drop'!$D$7:$D$64,$A82,'Argus Drop'!BL$12:BL$64))</f>
        <v/>
      </c>
      <c r="BS82" s="440" t="str">
        <f>IF(BR82="","",+SUMIF('Argus Drop'!$D$7:$D$64,$A82,'Argus Drop'!BM$12:BM$64))</f>
        <v/>
      </c>
      <c r="BT82" s="440" t="str">
        <f>IF(BS82="","",+SUMIF('Argus Drop'!$D$7:$D$64,$A82,'Argus Drop'!BN$12:BN$64))</f>
        <v/>
      </c>
      <c r="BU82" s="440" t="str">
        <f>IF(BT82="","",+SUMIF('Argus Drop'!$D$7:$D$64,$A82,'Argus Drop'!BO$12:BO$64))</f>
        <v/>
      </c>
      <c r="BV82" s="440" t="str">
        <f>IF(BU82="","",+SUMIF('Argus Drop'!$D$7:$D$64,$A82,'Argus Drop'!BP$12:BP$64))</f>
        <v/>
      </c>
      <c r="BW82" s="440" t="str">
        <f>IF(BV82="","",+SUMIF('Argus Drop'!$D$7:$D$64,$A82,'Argus Drop'!BQ$12:BQ$64))</f>
        <v/>
      </c>
      <c r="BX82" s="440" t="str">
        <f>IF(BW82="","",+SUMIF('Argus Drop'!$D$7:$D$64,$A82,'Argus Drop'!BR$12:BR$64))</f>
        <v/>
      </c>
      <c r="BY82" s="440" t="str">
        <f>IF(BX82="","",+SUMIF('Argus Drop'!$D$7:$D$64,$A82,'Argus Drop'!BS$12:BS$64))</f>
        <v/>
      </c>
      <c r="BZ82" s="440" t="str">
        <f>IF(BY82="","",+SUMIF('Argus Drop'!$D$7:$D$64,$A82,'Argus Drop'!BT$12:BT$64))</f>
        <v/>
      </c>
      <c r="CA82" s="440" t="str">
        <f>IF(BZ82="","",+SUMIF('Argus Drop'!$D$7:$D$64,$A82,'Argus Drop'!#REF!))</f>
        <v/>
      </c>
      <c r="CB82" s="440" t="str">
        <f>IF(CA82="","",+SUMIF('Argus Drop'!$D$7:$D$64,$A82,'Argus Drop'!BU$12:BU$64))</f>
        <v/>
      </c>
      <c r="CC82" s="440" t="str">
        <f>IF(CB82="","",+SUMIF('Argus Drop'!$D$7:$D$64,$A82,'Argus Drop'!BV$12:BV$64))</f>
        <v/>
      </c>
      <c r="CD82" s="440" t="str">
        <f>IF(CC82="","",+SUMIF('Argus Drop'!$D$7:$D$64,$A82,'Argus Drop'!BW$12:BW$64))</f>
        <v/>
      </c>
      <c r="CE82" s="440" t="str">
        <f>IF(CD82="","",+SUMIF('Argus Drop'!$D$7:$D$64,$A82,'Argus Drop'!BX$12:BX$64))</f>
        <v/>
      </c>
      <c r="CF82" s="440" t="str">
        <f>IF(CE82="","",+SUMIF('Argus Drop'!$D$7:$D$64,$A82,'Argus Drop'!BY$12:BY$64))</f>
        <v/>
      </c>
      <c r="CG82" s="440" t="str">
        <f>IF(CF82="","",+SUMIF('Argus Drop'!$D$7:$D$64,$A82,'Argus Drop'!BZ$12:BZ$64))</f>
        <v/>
      </c>
      <c r="CH82" s="440" t="str">
        <f>IF(CG82="","",+SUMIF('Argus Drop'!$D$7:$D$64,$A82,'Argus Drop'!CA$12:CA$64))</f>
        <v/>
      </c>
      <c r="CI82" s="440" t="str">
        <f>IF(CH82="","",+SUMIF('Argus Drop'!$D$7:$D$64,$A82,'Argus Drop'!CB$12:CB$64))</f>
        <v/>
      </c>
      <c r="CJ82" s="440" t="str">
        <f>IF(CI82="","",+SUMIF('Argus Drop'!$D$7:$D$64,$A82,'Argus Drop'!CC$12:CC$64))</f>
        <v/>
      </c>
      <c r="CK82" s="440" t="str">
        <f>IF(CJ82="","",+SUMIF('Argus Drop'!$D$7:$D$64,$A82,'Argus Drop'!CD$12:CD$64))</f>
        <v/>
      </c>
      <c r="CL82" s="440" t="str">
        <f>IF(CK82="","",+SUMIF('Argus Drop'!$D$7:$D$64,$A82,'Argus Drop'!CE$12:CE$64))</f>
        <v/>
      </c>
      <c r="CM82" s="440" t="str">
        <f>IF(CL82="","",+SUMIF('Argus Drop'!$D$7:$D$64,$A82,'Argus Drop'!CF$12:CF$64))</f>
        <v/>
      </c>
      <c r="CN82" s="440" t="str">
        <f>IF(CM82="","",+SUMIF('Argus Drop'!$D$7:$D$64,$A82,'Argus Drop'!#REF!))</f>
        <v/>
      </c>
      <c r="CO82" s="440" t="str">
        <f>IF(CN82="","",+SUMIF('Argus Drop'!$D$7:$D$64,$A82,'Argus Drop'!CG$12:CG$64))</f>
        <v/>
      </c>
      <c r="CP82" s="440" t="str">
        <f>IF(CO82="","",+SUMIF('Argus Drop'!$D$7:$D$64,$A82,'Argus Drop'!CH$12:CH$64))</f>
        <v/>
      </c>
      <c r="CQ82" s="440" t="str">
        <f>IF(CP82="","",+SUMIF('Argus Drop'!$D$7:$D$64,$A82,'Argus Drop'!CI$12:CI$64))</f>
        <v/>
      </c>
      <c r="CR82" s="440" t="str">
        <f>IF(CQ82="","",+SUMIF('Argus Drop'!$D$7:$D$64,$A82,'Argus Drop'!CJ$12:CJ$64))</f>
        <v/>
      </c>
      <c r="CS82" s="440" t="str">
        <f>IF(CR82="","",+SUMIF('Argus Drop'!$D$7:$D$64,$A82,'Argus Drop'!CK$12:CK$64))</f>
        <v/>
      </c>
      <c r="CT82" s="440" t="str">
        <f>IF(CS82="","",+SUMIF('Argus Drop'!$D$7:$D$64,$A82,'Argus Drop'!CL$12:CL$64))</f>
        <v/>
      </c>
      <c r="CU82" s="440" t="str">
        <f>IF(CT82="","",+SUMIF('Argus Drop'!$D$7:$D$64,$A82,'Argus Drop'!CM$12:CM$64))</f>
        <v/>
      </c>
      <c r="CV82" s="440" t="str">
        <f>IF(CU82="","",+SUMIF('Argus Drop'!$D$7:$D$64,$A82,'Argus Drop'!CN$12:CN$64))</f>
        <v/>
      </c>
      <c r="CW82" s="440" t="str">
        <f>IF(CV82="","",+SUMIF('Argus Drop'!$D$7:$D$64,$A82,'Argus Drop'!CO$12:CO$64))</f>
        <v/>
      </c>
      <c r="CX82" s="440" t="str">
        <f>IF(CW82="","",+SUMIF('Argus Drop'!$D$7:$D$64,$A82,'Argus Drop'!CP$12:CP$64))</f>
        <v/>
      </c>
      <c r="CY82" s="440" t="str">
        <f>IF(CX82="","",+SUMIF('Argus Drop'!$D$7:$D$64,$A82,'Argus Drop'!CQ$12:CQ$64))</f>
        <v/>
      </c>
      <c r="CZ82" s="440" t="str">
        <f>IF(CY82="","",+SUMIF('Argus Drop'!$D$7:$D$64,$A82,'Argus Drop'!CR$12:CR$64))</f>
        <v/>
      </c>
      <c r="DA82" s="440" t="str">
        <f>IF(CZ82="","",+SUMIF('Argus Drop'!$D$7:$D$64,$A82,'Argus Drop'!#REF!))</f>
        <v/>
      </c>
      <c r="DB82" s="440" t="str">
        <f>IF(DA82="","",+SUMIF('Argus Drop'!$D$7:$D$64,$A82,'Argus Drop'!CS$12:CS$64))</f>
        <v/>
      </c>
      <c r="DC82" s="440" t="str">
        <f>IF(DB82="","",+SUMIF('Argus Drop'!$D$7:$D$64,$A82,'Argus Drop'!CT$12:CT$64))</f>
        <v/>
      </c>
      <c r="DD82" s="440" t="str">
        <f>IF(DC82="","",+SUMIF('Argus Drop'!$D$7:$D$64,$A82,'Argus Drop'!CU$12:CU$64))</f>
        <v/>
      </c>
      <c r="DE82" s="440" t="str">
        <f>IF(DD82="","",+SUMIF('Argus Drop'!$D$7:$D$64,$A82,'Argus Drop'!CV$12:CV$64))</f>
        <v/>
      </c>
      <c r="DF82" s="440" t="str">
        <f>IF(DE82="","",+SUMIF('Argus Drop'!$D$7:$D$64,$A82,'Argus Drop'!CW$12:CW$64))</f>
        <v/>
      </c>
      <c r="DG82" s="440" t="str">
        <f>IF(DF82="","",+SUMIF('Argus Drop'!$D$7:$D$64,$A82,'Argus Drop'!CX$12:CX$64))</f>
        <v/>
      </c>
      <c r="DH82" s="440" t="str">
        <f>IF(DG82="","",+SUMIF('Argus Drop'!$D$7:$D$64,$A82,'Argus Drop'!CY$12:CY$64))</f>
        <v/>
      </c>
      <c r="DI82" s="440" t="str">
        <f>IF(DH82="","",+SUMIF('Argus Drop'!$D$7:$D$64,$A82,'Argus Drop'!CZ$12:CZ$64))</f>
        <v/>
      </c>
      <c r="DJ82" s="440" t="str">
        <f>IF(DI82="","",+SUMIF('Argus Drop'!$D$7:$D$64,$A82,'Argus Drop'!DA$12:DA$64))</f>
        <v/>
      </c>
      <c r="DK82" s="440" t="str">
        <f>IF(DJ82="","",+SUMIF('Argus Drop'!$D$7:$D$64,$A82,'Argus Drop'!DB$12:DB$64))</f>
        <v/>
      </c>
      <c r="DL82" s="440" t="str">
        <f>IF(DK82="","",+SUMIF('Argus Drop'!$D$7:$D$64,$A82,'Argus Drop'!DC$12:DC$64))</f>
        <v/>
      </c>
      <c r="DM82" s="440" t="str">
        <f>IF(DL82="","",+SUMIF('Argus Drop'!$D$7:$D$64,$A82,'Argus Drop'!DD$12:DD$64))</f>
        <v/>
      </c>
      <c r="DN82" s="440" t="str">
        <f>IF(DM82="","",+SUMIF('Argus Drop'!$D$7:$D$64,$A82,'Argus Drop'!#REF!))</f>
        <v/>
      </c>
      <c r="DO82" s="440" t="str">
        <f>IF(DN82="","",+SUMIF('Argus Drop'!$D$7:$D$64,$A82,'Argus Drop'!DE$12:DE$64))</f>
        <v/>
      </c>
      <c r="DP82" s="440" t="str">
        <f>IF(DO82="","",+SUMIF('Argus Drop'!$D$7:$D$64,$A82,'Argus Drop'!DF$12:DF$64))</f>
        <v/>
      </c>
      <c r="DQ82" s="440" t="str">
        <f>IF(DP82="","",+SUMIF('Argus Drop'!$D$7:$D$64,$A82,'Argus Drop'!DG$12:DG$64))</f>
        <v/>
      </c>
      <c r="DR82" s="440" t="str">
        <f>IF(DQ82="","",+SUMIF('Argus Drop'!$D$7:$D$64,$A82,'Argus Drop'!DH$12:DH$64))</f>
        <v/>
      </c>
      <c r="DS82" s="440"/>
      <c r="DT82" s="440"/>
      <c r="DU82" s="440"/>
      <c r="DV82" s="440"/>
      <c r="DW82" s="440"/>
      <c r="DX82" s="440"/>
      <c r="DY82" s="440"/>
      <c r="DZ82" s="440"/>
      <c r="EA82" s="440"/>
      <c r="EB82" s="440"/>
      <c r="EC82" s="440"/>
      <c r="ED82" s="1419"/>
      <c r="EE82" s="1419"/>
      <c r="EF82" s="1419"/>
      <c r="EG82" s="1419"/>
      <c r="EH82" s="1419"/>
      <c r="EI82" s="1419"/>
      <c r="EJ82" s="1419"/>
      <c r="EK82" s="1419"/>
      <c r="EL82" s="1419"/>
      <c r="EM82" s="1419"/>
      <c r="EN82" s="1419"/>
      <c r="EO82" s="1419"/>
      <c r="EP82" s="1419"/>
      <c r="EQ82" s="1419"/>
      <c r="ER82" s="1419"/>
      <c r="ES82" s="1419"/>
      <c r="ET82" s="1419"/>
      <c r="EU82" s="1419"/>
      <c r="EV82" s="1419"/>
      <c r="EW82" s="1419"/>
      <c r="EX82" s="1419"/>
      <c r="EY82" s="1419"/>
      <c r="EZ82" s="1419"/>
      <c r="FA82" s="1419"/>
      <c r="FB82" s="1419"/>
      <c r="FC82" s="1419"/>
      <c r="FD82" s="1419"/>
      <c r="FE82" s="1419"/>
      <c r="FF82" s="1419"/>
      <c r="FG82" s="1419"/>
      <c r="FH82" s="1419"/>
      <c r="FI82" s="1419"/>
    </row>
    <row r="83" spans="1:165">
      <c r="A83" s="448" t="str">
        <f>IF(+'Argus Drop'!B87="","",'Argus Drop'!B87)</f>
        <v/>
      </c>
      <c r="B83" s="440" t="str">
        <f>IF(A83="","",+SUMIF('Argus Drop'!$D$7:$D$64,$A83,'Argus Drop'!#REF!))</f>
        <v/>
      </c>
      <c r="C83" s="440" t="str">
        <f>IF(B83="","",+SUMIF('Argus Drop'!$D$7:$D$64,$A83,'Argus Drop'!#REF!))</f>
        <v/>
      </c>
      <c r="D83" s="440" t="str">
        <f>IF(C83="","",+SUMIF('Argus Drop'!$D$7:$D$64,$A83,'Argus Drop'!#REF!))</f>
        <v/>
      </c>
      <c r="E83" s="440" t="str">
        <f>IF(D83="","",+SUMIF('Argus Drop'!$D$7:$D$64,$A83,'Argus Drop'!#REF!))</f>
        <v/>
      </c>
      <c r="F83" s="440" t="str">
        <f>IF(E83="","",+SUMIF('Argus Drop'!$D$7:$D$64,$A83,'Argus Drop'!#REF!))</f>
        <v/>
      </c>
      <c r="G83" s="440" t="str">
        <f>IF(F83="","",+SUMIF('Argus Drop'!$D$7:$D$64,$A83,'Argus Drop'!F$7:F$64))</f>
        <v/>
      </c>
      <c r="H83" s="440" t="str">
        <f>IF(G83="","",+SUMIF('Argus Drop'!$D$7:$D$64,$A83,'Argus Drop'!G$12:G$64))</f>
        <v/>
      </c>
      <c r="I83" s="440" t="str">
        <f>IF(H83="","",+SUMIF('Argus Drop'!$D$7:$D$64,$A83,'Argus Drop'!H$12:H$64))</f>
        <v/>
      </c>
      <c r="J83" s="440" t="str">
        <f>IF(I83="","",+SUMIF('Argus Drop'!$D$7:$D$64,$A83,'Argus Drop'!I$12:I$64))</f>
        <v/>
      </c>
      <c r="K83" s="440" t="str">
        <f>IF(J83="","",+SUMIF('Argus Drop'!$D$7:$D$64,$A83,'Argus Drop'!J$12:J$64))</f>
        <v/>
      </c>
      <c r="L83" s="440" t="str">
        <f>IF(K83="","",+SUMIF('Argus Drop'!$D$7:$D$64,$A83,'Argus Drop'!K$12:K$64))</f>
        <v/>
      </c>
      <c r="M83" s="440" t="str">
        <f>IF(L83="","",+SUMIF('Argus Drop'!$D$7:$D$64,$A83,'Argus Drop'!L$12:L$64))</f>
        <v/>
      </c>
      <c r="N83" s="440" t="str">
        <f>IF(M83="","",+SUMIF('Argus Drop'!$D$7:$D$64,$A83,'Argus Drop'!#REF!))</f>
        <v/>
      </c>
      <c r="O83" s="440" t="str">
        <f>IF(N83="","",+SUMIF('Argus Drop'!$D$7:$D$64,$A83,'Argus Drop'!M$12:M$64))</f>
        <v/>
      </c>
      <c r="P83" s="440" t="str">
        <f>IF(O83="","",+SUMIF('Argus Drop'!$D$7:$D$64,$A83,'Argus Drop'!N$12:N$64))</f>
        <v/>
      </c>
      <c r="Q83" s="440" t="str">
        <f>IF(P83="","",+SUMIF('Argus Drop'!$D$7:$D$64,$A83,'Argus Drop'!O$12:O$64))</f>
        <v/>
      </c>
      <c r="R83" s="440" t="str">
        <f>IF(Q83="","",+SUMIF('Argus Drop'!$D$7:$D$64,$A83,'Argus Drop'!P$12:P$64))</f>
        <v/>
      </c>
      <c r="S83" s="440" t="str">
        <f>IF(R83="","",+SUMIF('Argus Drop'!$D$7:$D$64,$A83,'Argus Drop'!Q$12:Q$64))</f>
        <v/>
      </c>
      <c r="T83" s="440" t="str">
        <f>IF(S83="","",+SUMIF('Argus Drop'!$D$7:$D$64,$A83,'Argus Drop'!R$12:R$64))</f>
        <v/>
      </c>
      <c r="U83" s="440" t="str">
        <f>IF(T83="","",+SUMIF('Argus Drop'!$D$7:$D$64,$A83,'Argus Drop'!S$12:S$64))</f>
        <v/>
      </c>
      <c r="V83" s="440" t="str">
        <f>IF(U83="","",+SUMIF('Argus Drop'!$D$7:$D$64,$A83,'Argus Drop'!T$12:T$64))</f>
        <v/>
      </c>
      <c r="W83" s="440" t="str">
        <f>IF(V83="","",+SUMIF('Argus Drop'!$D$7:$D$64,$A83,'Argus Drop'!U$12:U$64))</f>
        <v/>
      </c>
      <c r="X83" s="440" t="str">
        <f>IF(W83="","",+SUMIF('Argus Drop'!$D$7:$D$64,$A83,'Argus Drop'!V$12:V$64))</f>
        <v/>
      </c>
      <c r="Y83" s="440" t="str">
        <f>IF(X83="","",+SUMIF('Argus Drop'!$D$7:$D$64,$A83,'Argus Drop'!W$12:W$64))</f>
        <v/>
      </c>
      <c r="Z83" s="440" t="str">
        <f>IF(Y83="","",+SUMIF('Argus Drop'!$D$7:$D$64,$A83,'Argus Drop'!X$12:X$64))</f>
        <v/>
      </c>
      <c r="AA83" s="440" t="str">
        <f>IF(Z83="","",+SUMIF('Argus Drop'!$D$7:$D$64,$A83,'Argus Drop'!#REF!))</f>
        <v/>
      </c>
      <c r="AB83" s="440" t="str">
        <f>IF(AA83="","",+SUMIF('Argus Drop'!$D$7:$D$64,$A83,'Argus Drop'!Y$12:Y$64))</f>
        <v/>
      </c>
      <c r="AC83" s="440" t="str">
        <f>IF(AB83="","",+SUMIF('Argus Drop'!$D$7:$D$64,$A83,'Argus Drop'!Z$12:Z$64))</f>
        <v/>
      </c>
      <c r="AD83" s="440" t="str">
        <f>IF(AC83="","",+SUMIF('Argus Drop'!$D$7:$D$64,$A83,'Argus Drop'!AA$12:AA$64))</f>
        <v/>
      </c>
      <c r="AE83" s="440" t="str">
        <f>IF(AD83="","",+SUMIF('Argus Drop'!$D$7:$D$64,$A83,'Argus Drop'!AB$12:AB$64))</f>
        <v/>
      </c>
      <c r="AF83" s="440" t="str">
        <f>IF(AE83="","",+SUMIF('Argus Drop'!$D$7:$D$64,$A83,'Argus Drop'!AC$12:AC$64))</f>
        <v/>
      </c>
      <c r="AG83" s="440" t="str">
        <f>IF(AF83="","",+SUMIF('Argus Drop'!$D$7:$D$64,$A83,'Argus Drop'!AD$12:AD$64))</f>
        <v/>
      </c>
      <c r="AH83" s="440" t="str">
        <f>IF(AG83="","",+SUMIF('Argus Drop'!$D$7:$D$64,$A83,'Argus Drop'!AE$12:AE$64))</f>
        <v/>
      </c>
      <c r="AI83" s="440" t="str">
        <f>IF(AH83="","",+SUMIF('Argus Drop'!$D$7:$D$64,$A83,'Argus Drop'!AF$12:AF$64))</f>
        <v/>
      </c>
      <c r="AJ83" s="440" t="str">
        <f>IF(AI83="","",+SUMIF('Argus Drop'!$D$7:$D$64,$A83,'Argus Drop'!AG$12:AG$64))</f>
        <v/>
      </c>
      <c r="AK83" s="440" t="str">
        <f>IF(AJ83="","",+SUMIF('Argus Drop'!$D$7:$D$64,$A83,'Argus Drop'!AH$12:AH$64))</f>
        <v/>
      </c>
      <c r="AL83" s="440" t="str">
        <f>IF(AK83="","",+SUMIF('Argus Drop'!$D$7:$D$64,$A83,'Argus Drop'!AI$12:AI$64))</f>
        <v/>
      </c>
      <c r="AM83" s="440" t="str">
        <f>IF(AL83="","",+SUMIF('Argus Drop'!$D$7:$D$64,$A83,'Argus Drop'!AJ$12:AJ$64))</f>
        <v/>
      </c>
      <c r="AN83" s="440" t="str">
        <f>IF(AM83="","",+SUMIF('Argus Drop'!$D$7:$D$64,$A83,'Argus Drop'!#REF!))</f>
        <v/>
      </c>
      <c r="AO83" s="440" t="str">
        <f>IF(AN83="","",+SUMIF('Argus Drop'!$D$7:$D$64,$A83,'Argus Drop'!AK$12:AK$64))</f>
        <v/>
      </c>
      <c r="AP83" s="440" t="str">
        <f>IF(AO83="","",+SUMIF('Argus Drop'!$D$7:$D$64,$A83,'Argus Drop'!AL$12:AL$64))</f>
        <v/>
      </c>
      <c r="AQ83" s="440" t="str">
        <f>IF(AP83="","",+SUMIF('Argus Drop'!$D$7:$D$64,$A83,'Argus Drop'!AM$12:AM$64))</f>
        <v/>
      </c>
      <c r="AR83" s="440" t="str">
        <f>IF(AQ83="","",+SUMIF('Argus Drop'!$D$7:$D$64,$A83,'Argus Drop'!AN$12:AN$64))</f>
        <v/>
      </c>
      <c r="AS83" s="440" t="str">
        <f>IF(AR83="","",+SUMIF('Argus Drop'!$D$7:$D$64,$A83,'Argus Drop'!AO$12:AO$64))</f>
        <v/>
      </c>
      <c r="AT83" s="440" t="str">
        <f>IF(AS83="","",+SUMIF('Argus Drop'!$D$7:$D$64,$A83,'Argus Drop'!AP$12:AP$64))</f>
        <v/>
      </c>
      <c r="AU83" s="440" t="str">
        <f>IF(AT83="","",+SUMIF('Argus Drop'!$D$7:$D$64,$A83,'Argus Drop'!AQ$12:AQ$64))</f>
        <v/>
      </c>
      <c r="AV83" s="440" t="str">
        <f>IF(AU83="","",+SUMIF('Argus Drop'!$D$7:$D$64,$A83,'Argus Drop'!AR$12:AR$64))</f>
        <v/>
      </c>
      <c r="AW83" s="440" t="str">
        <f>IF(AV83="","",+SUMIF('Argus Drop'!$D$7:$D$64,$A83,'Argus Drop'!AS$12:AS$64))</f>
        <v/>
      </c>
      <c r="AX83" s="440" t="str">
        <f>IF(AW83="","",+SUMIF('Argus Drop'!$D$7:$D$64,$A83,'Argus Drop'!AT$12:AT$64))</f>
        <v/>
      </c>
      <c r="AY83" s="440" t="str">
        <f>IF(AX83="","",+SUMIF('Argus Drop'!$D$7:$D$64,$A83,'Argus Drop'!AU$12:AU$64))</f>
        <v/>
      </c>
      <c r="AZ83" s="440" t="str">
        <f>IF(AY83="","",+SUMIF('Argus Drop'!$D$7:$D$64,$A83,'Argus Drop'!AV$12:AV$64))</f>
        <v/>
      </c>
      <c r="BA83" s="440" t="str">
        <f>IF(AZ83="","",+SUMIF('Argus Drop'!$D$7:$D$64,$A83,'Argus Drop'!#REF!))</f>
        <v/>
      </c>
      <c r="BB83" s="440" t="str">
        <f>IF(BA83="","",+SUMIF('Argus Drop'!$D$7:$D$64,$A83,'Argus Drop'!AW$12:AW$64))</f>
        <v/>
      </c>
      <c r="BC83" s="440" t="str">
        <f>IF(BB83="","",+SUMIF('Argus Drop'!$D$7:$D$64,$A83,'Argus Drop'!AX$12:AX$64))</f>
        <v/>
      </c>
      <c r="BD83" s="440" t="str">
        <f>IF(BC83="","",+SUMIF('Argus Drop'!$D$7:$D$64,$A83,'Argus Drop'!AY$12:AY$64))</f>
        <v/>
      </c>
      <c r="BE83" s="440" t="str">
        <f>IF(BD83="","",+SUMIF('Argus Drop'!$D$7:$D$64,$A83,'Argus Drop'!AZ$12:AZ$64))</f>
        <v/>
      </c>
      <c r="BF83" s="440" t="str">
        <f>IF(BE83="","",+SUMIF('Argus Drop'!$D$7:$D$64,$A83,'Argus Drop'!BA$12:BA$64))</f>
        <v/>
      </c>
      <c r="BG83" s="440" t="str">
        <f>IF(BF83="","",+SUMIF('Argus Drop'!$D$7:$D$64,$A83,'Argus Drop'!BB$12:BB$64))</f>
        <v/>
      </c>
      <c r="BH83" s="440" t="str">
        <f>IF(BG83="","",+SUMIF('Argus Drop'!$D$7:$D$64,$A83,'Argus Drop'!BC$12:BC$64))</f>
        <v/>
      </c>
      <c r="BI83" s="440" t="str">
        <f>IF(BH83="","",+SUMIF('Argus Drop'!$D$7:$D$64,$A83,'Argus Drop'!BD$12:BD$64))</f>
        <v/>
      </c>
      <c r="BJ83" s="440" t="str">
        <f>IF(BI83="","",+SUMIF('Argus Drop'!$D$7:$D$64,$A83,'Argus Drop'!BE$12:BE$64))</f>
        <v/>
      </c>
      <c r="BK83" s="440" t="str">
        <f>IF(BJ83="","",+SUMIF('Argus Drop'!$D$7:$D$64,$A83,'Argus Drop'!BF$12:BF$64))</f>
        <v/>
      </c>
      <c r="BL83" s="440" t="str">
        <f>IF(BK83="","",+SUMIF('Argus Drop'!$D$7:$D$64,$A83,'Argus Drop'!BG$12:BG$64))</f>
        <v/>
      </c>
      <c r="BM83" s="440" t="str">
        <f>IF(BL83="","",+SUMIF('Argus Drop'!$D$7:$D$64,$A83,'Argus Drop'!BH$12:BH$64))</f>
        <v/>
      </c>
      <c r="BN83" s="440" t="str">
        <f>IF(BM83="","",+SUMIF('Argus Drop'!$D$7:$D$64,$A83,'Argus Drop'!#REF!))</f>
        <v/>
      </c>
      <c r="BO83" s="440" t="str">
        <f>IF(BN83="","",+SUMIF('Argus Drop'!$D$7:$D$64,$A83,'Argus Drop'!BI$12:BI$64))</f>
        <v/>
      </c>
      <c r="BP83" s="440" t="str">
        <f>IF(BO83="","",+SUMIF('Argus Drop'!$D$7:$D$64,$A83,'Argus Drop'!BJ$12:BJ$64))</f>
        <v/>
      </c>
      <c r="BQ83" s="440" t="str">
        <f>IF(BP83="","",+SUMIF('Argus Drop'!$D$7:$D$64,$A83,'Argus Drop'!BK$12:BK$64))</f>
        <v/>
      </c>
      <c r="BR83" s="440" t="str">
        <f>IF(BQ83="","",+SUMIF('Argus Drop'!$D$7:$D$64,$A83,'Argus Drop'!BL$12:BL$64))</f>
        <v/>
      </c>
      <c r="BS83" s="440" t="str">
        <f>IF(BR83="","",+SUMIF('Argus Drop'!$D$7:$D$64,$A83,'Argus Drop'!BM$12:BM$64))</f>
        <v/>
      </c>
      <c r="BT83" s="440" t="str">
        <f>IF(BS83="","",+SUMIF('Argus Drop'!$D$7:$D$64,$A83,'Argus Drop'!BN$12:BN$64))</f>
        <v/>
      </c>
      <c r="BU83" s="440" t="str">
        <f>IF(BT83="","",+SUMIF('Argus Drop'!$D$7:$D$64,$A83,'Argus Drop'!BO$12:BO$64))</f>
        <v/>
      </c>
      <c r="BV83" s="440" t="str">
        <f>IF(BU83="","",+SUMIF('Argus Drop'!$D$7:$D$64,$A83,'Argus Drop'!BP$12:BP$64))</f>
        <v/>
      </c>
      <c r="BW83" s="440" t="str">
        <f>IF(BV83="","",+SUMIF('Argus Drop'!$D$7:$D$64,$A83,'Argus Drop'!BQ$12:BQ$64))</f>
        <v/>
      </c>
      <c r="BX83" s="440" t="str">
        <f>IF(BW83="","",+SUMIF('Argus Drop'!$D$7:$D$64,$A83,'Argus Drop'!BR$12:BR$64))</f>
        <v/>
      </c>
      <c r="BY83" s="440" t="str">
        <f>IF(BX83="","",+SUMIF('Argus Drop'!$D$7:$D$64,$A83,'Argus Drop'!BS$12:BS$64))</f>
        <v/>
      </c>
      <c r="BZ83" s="440" t="str">
        <f>IF(BY83="","",+SUMIF('Argus Drop'!$D$7:$D$64,$A83,'Argus Drop'!BT$12:BT$64))</f>
        <v/>
      </c>
      <c r="CA83" s="440" t="str">
        <f>IF(BZ83="","",+SUMIF('Argus Drop'!$D$7:$D$64,$A83,'Argus Drop'!#REF!))</f>
        <v/>
      </c>
      <c r="CB83" s="440" t="str">
        <f>IF(CA83="","",+SUMIF('Argus Drop'!$D$7:$D$64,$A83,'Argus Drop'!BU$12:BU$64))</f>
        <v/>
      </c>
      <c r="CC83" s="440" t="str">
        <f>IF(CB83="","",+SUMIF('Argus Drop'!$D$7:$D$64,$A83,'Argus Drop'!BV$12:BV$64))</f>
        <v/>
      </c>
      <c r="CD83" s="440" t="str">
        <f>IF(CC83="","",+SUMIF('Argus Drop'!$D$7:$D$64,$A83,'Argus Drop'!BW$12:BW$64))</f>
        <v/>
      </c>
      <c r="CE83" s="440" t="str">
        <f>IF(CD83="","",+SUMIF('Argus Drop'!$D$7:$D$64,$A83,'Argus Drop'!BX$12:BX$64))</f>
        <v/>
      </c>
      <c r="CF83" s="440" t="str">
        <f>IF(CE83="","",+SUMIF('Argus Drop'!$D$7:$D$64,$A83,'Argus Drop'!BY$12:BY$64))</f>
        <v/>
      </c>
      <c r="CG83" s="440" t="str">
        <f>IF(CF83="","",+SUMIF('Argus Drop'!$D$7:$D$64,$A83,'Argus Drop'!BZ$12:BZ$64))</f>
        <v/>
      </c>
      <c r="CH83" s="440" t="str">
        <f>IF(CG83="","",+SUMIF('Argus Drop'!$D$7:$D$64,$A83,'Argus Drop'!CA$12:CA$64))</f>
        <v/>
      </c>
      <c r="CI83" s="440" t="str">
        <f>IF(CH83="","",+SUMIF('Argus Drop'!$D$7:$D$64,$A83,'Argus Drop'!CB$12:CB$64))</f>
        <v/>
      </c>
      <c r="CJ83" s="440" t="str">
        <f>IF(CI83="","",+SUMIF('Argus Drop'!$D$7:$D$64,$A83,'Argus Drop'!CC$12:CC$64))</f>
        <v/>
      </c>
      <c r="CK83" s="440" t="str">
        <f>IF(CJ83="","",+SUMIF('Argus Drop'!$D$7:$D$64,$A83,'Argus Drop'!CD$12:CD$64))</f>
        <v/>
      </c>
      <c r="CL83" s="440" t="str">
        <f>IF(CK83="","",+SUMIF('Argus Drop'!$D$7:$D$64,$A83,'Argus Drop'!CE$12:CE$64))</f>
        <v/>
      </c>
      <c r="CM83" s="440" t="str">
        <f>IF(CL83="","",+SUMIF('Argus Drop'!$D$7:$D$64,$A83,'Argus Drop'!CF$12:CF$64))</f>
        <v/>
      </c>
      <c r="CN83" s="440" t="str">
        <f>IF(CM83="","",+SUMIF('Argus Drop'!$D$7:$D$64,$A83,'Argus Drop'!#REF!))</f>
        <v/>
      </c>
      <c r="CO83" s="440" t="str">
        <f>IF(CN83="","",+SUMIF('Argus Drop'!$D$7:$D$64,$A83,'Argus Drop'!CG$12:CG$64))</f>
        <v/>
      </c>
      <c r="CP83" s="440" t="str">
        <f>IF(CO83="","",+SUMIF('Argus Drop'!$D$7:$D$64,$A83,'Argus Drop'!CH$12:CH$64))</f>
        <v/>
      </c>
      <c r="CQ83" s="440" t="str">
        <f>IF(CP83="","",+SUMIF('Argus Drop'!$D$7:$D$64,$A83,'Argus Drop'!CI$12:CI$64))</f>
        <v/>
      </c>
      <c r="CR83" s="440" t="str">
        <f>IF(CQ83="","",+SUMIF('Argus Drop'!$D$7:$D$64,$A83,'Argus Drop'!CJ$12:CJ$64))</f>
        <v/>
      </c>
      <c r="CS83" s="440" t="str">
        <f>IF(CR83="","",+SUMIF('Argus Drop'!$D$7:$D$64,$A83,'Argus Drop'!CK$12:CK$64))</f>
        <v/>
      </c>
      <c r="CT83" s="440" t="str">
        <f>IF(CS83="","",+SUMIF('Argus Drop'!$D$7:$D$64,$A83,'Argus Drop'!CL$12:CL$64))</f>
        <v/>
      </c>
      <c r="CU83" s="440" t="str">
        <f>IF(CT83="","",+SUMIF('Argus Drop'!$D$7:$D$64,$A83,'Argus Drop'!CM$12:CM$64))</f>
        <v/>
      </c>
      <c r="CV83" s="440" t="str">
        <f>IF(CU83="","",+SUMIF('Argus Drop'!$D$7:$D$64,$A83,'Argus Drop'!CN$12:CN$64))</f>
        <v/>
      </c>
      <c r="CW83" s="440" t="str">
        <f>IF(CV83="","",+SUMIF('Argus Drop'!$D$7:$D$64,$A83,'Argus Drop'!CO$12:CO$64))</f>
        <v/>
      </c>
      <c r="CX83" s="440" t="str">
        <f>IF(CW83="","",+SUMIF('Argus Drop'!$D$7:$D$64,$A83,'Argus Drop'!CP$12:CP$64))</f>
        <v/>
      </c>
      <c r="CY83" s="440" t="str">
        <f>IF(CX83="","",+SUMIF('Argus Drop'!$D$7:$D$64,$A83,'Argus Drop'!CQ$12:CQ$64))</f>
        <v/>
      </c>
      <c r="CZ83" s="440" t="str">
        <f>IF(CY83="","",+SUMIF('Argus Drop'!$D$7:$D$64,$A83,'Argus Drop'!CR$12:CR$64))</f>
        <v/>
      </c>
      <c r="DA83" s="440" t="str">
        <f>IF(CZ83="","",+SUMIF('Argus Drop'!$D$7:$D$64,$A83,'Argus Drop'!#REF!))</f>
        <v/>
      </c>
      <c r="DB83" s="440" t="str">
        <f>IF(DA83="","",+SUMIF('Argus Drop'!$D$7:$D$64,$A83,'Argus Drop'!CS$12:CS$64))</f>
        <v/>
      </c>
      <c r="DC83" s="440" t="str">
        <f>IF(DB83="","",+SUMIF('Argus Drop'!$D$7:$D$64,$A83,'Argus Drop'!CT$12:CT$64))</f>
        <v/>
      </c>
      <c r="DD83" s="440" t="str">
        <f>IF(DC83="","",+SUMIF('Argus Drop'!$D$7:$D$64,$A83,'Argus Drop'!CU$12:CU$64))</f>
        <v/>
      </c>
      <c r="DE83" s="440" t="str">
        <f>IF(DD83="","",+SUMIF('Argus Drop'!$D$7:$D$64,$A83,'Argus Drop'!CV$12:CV$64))</f>
        <v/>
      </c>
      <c r="DF83" s="440" t="str">
        <f>IF(DE83="","",+SUMIF('Argus Drop'!$D$7:$D$64,$A83,'Argus Drop'!CW$12:CW$64))</f>
        <v/>
      </c>
      <c r="DG83" s="440" t="str">
        <f>IF(DF83="","",+SUMIF('Argus Drop'!$D$7:$D$64,$A83,'Argus Drop'!CX$12:CX$64))</f>
        <v/>
      </c>
      <c r="DH83" s="440" t="str">
        <f>IF(DG83="","",+SUMIF('Argus Drop'!$D$7:$D$64,$A83,'Argus Drop'!CY$12:CY$64))</f>
        <v/>
      </c>
      <c r="DI83" s="440" t="str">
        <f>IF(DH83="","",+SUMIF('Argus Drop'!$D$7:$D$64,$A83,'Argus Drop'!CZ$12:CZ$64))</f>
        <v/>
      </c>
      <c r="DJ83" s="440" t="str">
        <f>IF(DI83="","",+SUMIF('Argus Drop'!$D$7:$D$64,$A83,'Argus Drop'!DA$12:DA$64))</f>
        <v/>
      </c>
      <c r="DK83" s="440" t="str">
        <f>IF(DJ83="","",+SUMIF('Argus Drop'!$D$7:$D$64,$A83,'Argus Drop'!DB$12:DB$64))</f>
        <v/>
      </c>
      <c r="DL83" s="440" t="str">
        <f>IF(DK83="","",+SUMIF('Argus Drop'!$D$7:$D$64,$A83,'Argus Drop'!DC$12:DC$64))</f>
        <v/>
      </c>
      <c r="DM83" s="440" t="str">
        <f>IF(DL83="","",+SUMIF('Argus Drop'!$D$7:$D$64,$A83,'Argus Drop'!DD$12:DD$64))</f>
        <v/>
      </c>
      <c r="DN83" s="440" t="str">
        <f>IF(DM83="","",+SUMIF('Argus Drop'!$D$7:$D$64,$A83,'Argus Drop'!#REF!))</f>
        <v/>
      </c>
      <c r="DO83" s="440" t="str">
        <f>IF(DN83="","",+SUMIF('Argus Drop'!$D$7:$D$64,$A83,'Argus Drop'!DE$12:DE$64))</f>
        <v/>
      </c>
      <c r="DP83" s="440" t="str">
        <f>IF(DO83="","",+SUMIF('Argus Drop'!$D$7:$D$64,$A83,'Argus Drop'!DF$12:DF$64))</f>
        <v/>
      </c>
      <c r="DQ83" s="440" t="str">
        <f>IF(DP83="","",+SUMIF('Argus Drop'!$D$7:$D$64,$A83,'Argus Drop'!DG$12:DG$64))</f>
        <v/>
      </c>
      <c r="DR83" s="440" t="str">
        <f>IF(DQ83="","",+SUMIF('Argus Drop'!$D$7:$D$64,$A83,'Argus Drop'!DH$12:DH$64))</f>
        <v/>
      </c>
      <c r="DS83" s="440"/>
      <c r="DT83" s="440"/>
      <c r="DU83" s="440"/>
      <c r="DV83" s="440"/>
      <c r="DW83" s="440"/>
      <c r="DX83" s="440"/>
      <c r="DY83" s="440"/>
      <c r="DZ83" s="440"/>
      <c r="EA83" s="440"/>
      <c r="EB83" s="440"/>
      <c r="EC83" s="440"/>
      <c r="ED83" s="1419"/>
      <c r="EE83" s="1419"/>
      <c r="EF83" s="1419"/>
      <c r="EG83" s="1419"/>
      <c r="EH83" s="1419"/>
      <c r="EI83" s="1419"/>
      <c r="EJ83" s="1419"/>
      <c r="EK83" s="1419"/>
      <c r="EL83" s="1419"/>
      <c r="EM83" s="1419"/>
      <c r="EN83" s="1419"/>
      <c r="EO83" s="1419"/>
      <c r="EP83" s="1419"/>
      <c r="EQ83" s="1419"/>
      <c r="ER83" s="1419"/>
      <c r="ES83" s="1419"/>
      <c r="ET83" s="1419"/>
      <c r="EU83" s="1419"/>
      <c r="EV83" s="1419"/>
      <c r="EW83" s="1419"/>
      <c r="EX83" s="1419"/>
      <c r="EY83" s="1419"/>
      <c r="EZ83" s="1419"/>
      <c r="FA83" s="1419"/>
      <c r="FB83" s="1419"/>
      <c r="FC83" s="1419"/>
      <c r="FD83" s="1419"/>
      <c r="FE83" s="1419"/>
      <c r="FF83" s="1419"/>
      <c r="FG83" s="1419"/>
      <c r="FH83" s="1419"/>
      <c r="FI83" s="1419"/>
    </row>
    <row r="84" spans="1:165">
      <c r="A84" s="448" t="str">
        <f>IF(+'Argus Drop'!B88="","",'Argus Drop'!B88)</f>
        <v/>
      </c>
      <c r="B84" s="440" t="str">
        <f>IF(A84="","",+SUMIF('Argus Drop'!$D$7:$D$64,$A84,'Argus Drop'!#REF!))</f>
        <v/>
      </c>
      <c r="C84" s="440" t="str">
        <f>IF(B84="","",+SUMIF('Argus Drop'!$D$7:$D$64,$A84,'Argus Drop'!#REF!))</f>
        <v/>
      </c>
      <c r="D84" s="440" t="str">
        <f>IF(C84="","",+SUMIF('Argus Drop'!$D$7:$D$64,$A84,'Argus Drop'!#REF!))</f>
        <v/>
      </c>
      <c r="E84" s="440" t="str">
        <f>IF(D84="","",+SUMIF('Argus Drop'!$D$7:$D$64,$A84,'Argus Drop'!#REF!))</f>
        <v/>
      </c>
      <c r="F84" s="440" t="str">
        <f>IF(E84="","",+SUMIF('Argus Drop'!$D$7:$D$64,$A84,'Argus Drop'!#REF!))</f>
        <v/>
      </c>
      <c r="G84" s="440" t="str">
        <f>IF(F84="","",+SUMIF('Argus Drop'!$D$7:$D$64,$A84,'Argus Drop'!F$7:F$64))</f>
        <v/>
      </c>
      <c r="H84" s="440" t="str">
        <f>IF(G84="","",+SUMIF('Argus Drop'!$D$7:$D$64,$A84,'Argus Drop'!G$12:G$64))</f>
        <v/>
      </c>
      <c r="I84" s="440" t="str">
        <f>IF(H84="","",+SUMIF('Argus Drop'!$D$7:$D$64,$A84,'Argus Drop'!H$12:H$64))</f>
        <v/>
      </c>
      <c r="J84" s="440" t="str">
        <f>IF(I84="","",+SUMIF('Argus Drop'!$D$7:$D$64,$A84,'Argus Drop'!I$12:I$64))</f>
        <v/>
      </c>
      <c r="K84" s="440" t="str">
        <f>IF(J84="","",+SUMIF('Argus Drop'!$D$7:$D$64,$A84,'Argus Drop'!J$12:J$64))</f>
        <v/>
      </c>
      <c r="L84" s="440" t="str">
        <f>IF(K84="","",+SUMIF('Argus Drop'!$D$7:$D$64,$A84,'Argus Drop'!K$12:K$64))</f>
        <v/>
      </c>
      <c r="M84" s="440" t="str">
        <f>IF(L84="","",+SUMIF('Argus Drop'!$D$7:$D$64,$A84,'Argus Drop'!L$12:L$64))</f>
        <v/>
      </c>
      <c r="N84" s="440" t="str">
        <f>IF(M84="","",+SUMIF('Argus Drop'!$D$7:$D$64,$A84,'Argus Drop'!#REF!))</f>
        <v/>
      </c>
      <c r="O84" s="440" t="str">
        <f>IF(N84="","",+SUMIF('Argus Drop'!$D$7:$D$64,$A84,'Argus Drop'!M$12:M$64))</f>
        <v/>
      </c>
      <c r="P84" s="440" t="str">
        <f>IF(O84="","",+SUMIF('Argus Drop'!$D$7:$D$64,$A84,'Argus Drop'!N$12:N$64))</f>
        <v/>
      </c>
      <c r="Q84" s="440" t="str">
        <f>IF(P84="","",+SUMIF('Argus Drop'!$D$7:$D$64,$A84,'Argus Drop'!O$12:O$64))</f>
        <v/>
      </c>
      <c r="R84" s="440" t="str">
        <f>IF(Q84="","",+SUMIF('Argus Drop'!$D$7:$D$64,$A84,'Argus Drop'!P$12:P$64))</f>
        <v/>
      </c>
      <c r="S84" s="440" t="str">
        <f>IF(R84="","",+SUMIF('Argus Drop'!$D$7:$D$64,$A84,'Argus Drop'!Q$12:Q$64))</f>
        <v/>
      </c>
      <c r="T84" s="440" t="str">
        <f>IF(S84="","",+SUMIF('Argus Drop'!$D$7:$D$64,$A84,'Argus Drop'!R$12:R$64))</f>
        <v/>
      </c>
      <c r="U84" s="440" t="str">
        <f>IF(T84="","",+SUMIF('Argus Drop'!$D$7:$D$64,$A84,'Argus Drop'!S$12:S$64))</f>
        <v/>
      </c>
      <c r="V84" s="440" t="str">
        <f>IF(U84="","",+SUMIF('Argus Drop'!$D$7:$D$64,$A84,'Argus Drop'!T$12:T$64))</f>
        <v/>
      </c>
      <c r="W84" s="440" t="str">
        <f>IF(V84="","",+SUMIF('Argus Drop'!$D$7:$D$64,$A84,'Argus Drop'!U$12:U$64))</f>
        <v/>
      </c>
      <c r="X84" s="440" t="str">
        <f>IF(W84="","",+SUMIF('Argus Drop'!$D$7:$D$64,$A84,'Argus Drop'!V$12:V$64))</f>
        <v/>
      </c>
      <c r="Y84" s="440" t="str">
        <f>IF(X84="","",+SUMIF('Argus Drop'!$D$7:$D$64,$A84,'Argus Drop'!W$12:W$64))</f>
        <v/>
      </c>
      <c r="Z84" s="440" t="str">
        <f>IF(Y84="","",+SUMIF('Argus Drop'!$D$7:$D$64,$A84,'Argus Drop'!X$12:X$64))</f>
        <v/>
      </c>
      <c r="AA84" s="440" t="str">
        <f>IF(Z84="","",+SUMIF('Argus Drop'!$D$7:$D$64,$A84,'Argus Drop'!#REF!))</f>
        <v/>
      </c>
      <c r="AB84" s="440" t="str">
        <f>IF(AA84="","",+SUMIF('Argus Drop'!$D$7:$D$64,$A84,'Argus Drop'!Y$12:Y$64))</f>
        <v/>
      </c>
      <c r="AC84" s="440" t="str">
        <f>IF(AB84="","",+SUMIF('Argus Drop'!$D$7:$D$64,$A84,'Argus Drop'!Z$12:Z$64))</f>
        <v/>
      </c>
      <c r="AD84" s="440" t="str">
        <f>IF(AC84="","",+SUMIF('Argus Drop'!$D$7:$D$64,$A84,'Argus Drop'!AA$12:AA$64))</f>
        <v/>
      </c>
      <c r="AE84" s="440" t="str">
        <f>IF(AD84="","",+SUMIF('Argus Drop'!$D$7:$D$64,$A84,'Argus Drop'!AB$12:AB$64))</f>
        <v/>
      </c>
      <c r="AF84" s="440" t="str">
        <f>IF(AE84="","",+SUMIF('Argus Drop'!$D$7:$D$64,$A84,'Argus Drop'!AC$12:AC$64))</f>
        <v/>
      </c>
      <c r="AG84" s="440" t="str">
        <f>IF(AF84="","",+SUMIF('Argus Drop'!$D$7:$D$64,$A84,'Argus Drop'!AD$12:AD$64))</f>
        <v/>
      </c>
      <c r="AH84" s="440" t="str">
        <f>IF(AG84="","",+SUMIF('Argus Drop'!$D$7:$D$64,$A84,'Argus Drop'!AE$12:AE$64))</f>
        <v/>
      </c>
      <c r="AI84" s="440" t="str">
        <f>IF(AH84="","",+SUMIF('Argus Drop'!$D$7:$D$64,$A84,'Argus Drop'!AF$12:AF$64))</f>
        <v/>
      </c>
      <c r="AJ84" s="440" t="str">
        <f>IF(AI84="","",+SUMIF('Argus Drop'!$D$7:$D$64,$A84,'Argus Drop'!AG$12:AG$64))</f>
        <v/>
      </c>
      <c r="AK84" s="440" t="str">
        <f>IF(AJ84="","",+SUMIF('Argus Drop'!$D$7:$D$64,$A84,'Argus Drop'!AH$12:AH$64))</f>
        <v/>
      </c>
      <c r="AL84" s="440" t="str">
        <f>IF(AK84="","",+SUMIF('Argus Drop'!$D$7:$D$64,$A84,'Argus Drop'!AI$12:AI$64))</f>
        <v/>
      </c>
      <c r="AM84" s="440" t="str">
        <f>IF(AL84="","",+SUMIF('Argus Drop'!$D$7:$D$64,$A84,'Argus Drop'!AJ$12:AJ$64))</f>
        <v/>
      </c>
      <c r="AN84" s="440" t="str">
        <f>IF(AM84="","",+SUMIF('Argus Drop'!$D$7:$D$64,$A84,'Argus Drop'!#REF!))</f>
        <v/>
      </c>
      <c r="AO84" s="440" t="str">
        <f>IF(AN84="","",+SUMIF('Argus Drop'!$D$7:$D$64,$A84,'Argus Drop'!AK$12:AK$64))</f>
        <v/>
      </c>
      <c r="AP84" s="440" t="str">
        <f>IF(AO84="","",+SUMIF('Argus Drop'!$D$7:$D$64,$A84,'Argus Drop'!AL$12:AL$64))</f>
        <v/>
      </c>
      <c r="AQ84" s="440" t="str">
        <f>IF(AP84="","",+SUMIF('Argus Drop'!$D$7:$D$64,$A84,'Argus Drop'!AM$12:AM$64))</f>
        <v/>
      </c>
      <c r="AR84" s="440" t="str">
        <f>IF(AQ84="","",+SUMIF('Argus Drop'!$D$7:$D$64,$A84,'Argus Drop'!AN$12:AN$64))</f>
        <v/>
      </c>
      <c r="AS84" s="440" t="str">
        <f>IF(AR84="","",+SUMIF('Argus Drop'!$D$7:$D$64,$A84,'Argus Drop'!AO$12:AO$64))</f>
        <v/>
      </c>
      <c r="AT84" s="440" t="str">
        <f>IF(AS84="","",+SUMIF('Argus Drop'!$D$7:$D$64,$A84,'Argus Drop'!AP$12:AP$64))</f>
        <v/>
      </c>
      <c r="AU84" s="440" t="str">
        <f>IF(AT84="","",+SUMIF('Argus Drop'!$D$7:$D$64,$A84,'Argus Drop'!AQ$12:AQ$64))</f>
        <v/>
      </c>
      <c r="AV84" s="440" t="str">
        <f>IF(AU84="","",+SUMIF('Argus Drop'!$D$7:$D$64,$A84,'Argus Drop'!AR$12:AR$64))</f>
        <v/>
      </c>
      <c r="AW84" s="440" t="str">
        <f>IF(AV84="","",+SUMIF('Argus Drop'!$D$7:$D$64,$A84,'Argus Drop'!AS$12:AS$64))</f>
        <v/>
      </c>
      <c r="AX84" s="440" t="str">
        <f>IF(AW84="","",+SUMIF('Argus Drop'!$D$7:$D$64,$A84,'Argus Drop'!AT$12:AT$64))</f>
        <v/>
      </c>
      <c r="AY84" s="440" t="str">
        <f>IF(AX84="","",+SUMIF('Argus Drop'!$D$7:$D$64,$A84,'Argus Drop'!AU$12:AU$64))</f>
        <v/>
      </c>
      <c r="AZ84" s="440" t="str">
        <f>IF(AY84="","",+SUMIF('Argus Drop'!$D$7:$D$64,$A84,'Argus Drop'!AV$12:AV$64))</f>
        <v/>
      </c>
      <c r="BA84" s="440" t="str">
        <f>IF(AZ84="","",+SUMIF('Argus Drop'!$D$7:$D$64,$A84,'Argus Drop'!#REF!))</f>
        <v/>
      </c>
      <c r="BB84" s="440" t="str">
        <f>IF(BA84="","",+SUMIF('Argus Drop'!$D$7:$D$64,$A84,'Argus Drop'!AW$12:AW$64))</f>
        <v/>
      </c>
      <c r="BC84" s="440" t="str">
        <f>IF(BB84="","",+SUMIF('Argus Drop'!$D$7:$D$64,$A84,'Argus Drop'!AX$12:AX$64))</f>
        <v/>
      </c>
      <c r="BD84" s="440" t="str">
        <f>IF(BC84="","",+SUMIF('Argus Drop'!$D$7:$D$64,$A84,'Argus Drop'!AY$12:AY$64))</f>
        <v/>
      </c>
      <c r="BE84" s="440" t="str">
        <f>IF(BD84="","",+SUMIF('Argus Drop'!$D$7:$D$64,$A84,'Argus Drop'!AZ$12:AZ$64))</f>
        <v/>
      </c>
      <c r="BF84" s="440" t="str">
        <f>IF(BE84="","",+SUMIF('Argus Drop'!$D$7:$D$64,$A84,'Argus Drop'!BA$12:BA$64))</f>
        <v/>
      </c>
      <c r="BG84" s="440" t="str">
        <f>IF(BF84="","",+SUMIF('Argus Drop'!$D$7:$D$64,$A84,'Argus Drop'!BB$12:BB$64))</f>
        <v/>
      </c>
      <c r="BH84" s="440" t="str">
        <f>IF(BG84="","",+SUMIF('Argus Drop'!$D$7:$D$64,$A84,'Argus Drop'!BC$12:BC$64))</f>
        <v/>
      </c>
      <c r="BI84" s="440" t="str">
        <f>IF(BH84="","",+SUMIF('Argus Drop'!$D$7:$D$64,$A84,'Argus Drop'!BD$12:BD$64))</f>
        <v/>
      </c>
      <c r="BJ84" s="440" t="str">
        <f>IF(BI84="","",+SUMIF('Argus Drop'!$D$7:$D$64,$A84,'Argus Drop'!BE$12:BE$64))</f>
        <v/>
      </c>
      <c r="BK84" s="440" t="str">
        <f>IF(BJ84="","",+SUMIF('Argus Drop'!$D$7:$D$64,$A84,'Argus Drop'!BF$12:BF$64))</f>
        <v/>
      </c>
      <c r="BL84" s="440" t="str">
        <f>IF(BK84="","",+SUMIF('Argus Drop'!$D$7:$D$64,$A84,'Argus Drop'!BG$12:BG$64))</f>
        <v/>
      </c>
      <c r="BM84" s="440" t="str">
        <f>IF(BL84="","",+SUMIF('Argus Drop'!$D$7:$D$64,$A84,'Argus Drop'!BH$12:BH$64))</f>
        <v/>
      </c>
      <c r="BN84" s="440" t="str">
        <f>IF(BM84="","",+SUMIF('Argus Drop'!$D$7:$D$64,$A84,'Argus Drop'!#REF!))</f>
        <v/>
      </c>
      <c r="BO84" s="440" t="str">
        <f>IF(BN84="","",+SUMIF('Argus Drop'!$D$7:$D$64,$A84,'Argus Drop'!BI$12:BI$64))</f>
        <v/>
      </c>
      <c r="BP84" s="440" t="str">
        <f>IF(BO84="","",+SUMIF('Argus Drop'!$D$7:$D$64,$A84,'Argus Drop'!BJ$12:BJ$64))</f>
        <v/>
      </c>
      <c r="BQ84" s="440" t="str">
        <f>IF(BP84="","",+SUMIF('Argus Drop'!$D$7:$D$64,$A84,'Argus Drop'!BK$12:BK$64))</f>
        <v/>
      </c>
      <c r="BR84" s="440" t="str">
        <f>IF(BQ84="","",+SUMIF('Argus Drop'!$D$7:$D$64,$A84,'Argus Drop'!BL$12:BL$64))</f>
        <v/>
      </c>
      <c r="BS84" s="440" t="str">
        <f>IF(BR84="","",+SUMIF('Argus Drop'!$D$7:$D$64,$A84,'Argus Drop'!BM$12:BM$64))</f>
        <v/>
      </c>
      <c r="BT84" s="440" t="str">
        <f>IF(BS84="","",+SUMIF('Argus Drop'!$D$7:$D$64,$A84,'Argus Drop'!BN$12:BN$64))</f>
        <v/>
      </c>
      <c r="BU84" s="440" t="str">
        <f>IF(BT84="","",+SUMIF('Argus Drop'!$D$7:$D$64,$A84,'Argus Drop'!BO$12:BO$64))</f>
        <v/>
      </c>
      <c r="BV84" s="440" t="str">
        <f>IF(BU84="","",+SUMIF('Argus Drop'!$D$7:$D$64,$A84,'Argus Drop'!BP$12:BP$64))</f>
        <v/>
      </c>
      <c r="BW84" s="440" t="str">
        <f>IF(BV84="","",+SUMIF('Argus Drop'!$D$7:$D$64,$A84,'Argus Drop'!BQ$12:BQ$64))</f>
        <v/>
      </c>
      <c r="BX84" s="440" t="str">
        <f>IF(BW84="","",+SUMIF('Argus Drop'!$D$7:$D$64,$A84,'Argus Drop'!BR$12:BR$64))</f>
        <v/>
      </c>
      <c r="BY84" s="440" t="str">
        <f>IF(BX84="","",+SUMIF('Argus Drop'!$D$7:$D$64,$A84,'Argus Drop'!BS$12:BS$64))</f>
        <v/>
      </c>
      <c r="BZ84" s="440" t="str">
        <f>IF(BY84="","",+SUMIF('Argus Drop'!$D$7:$D$64,$A84,'Argus Drop'!BT$12:BT$64))</f>
        <v/>
      </c>
      <c r="CA84" s="440" t="str">
        <f>IF(BZ84="","",+SUMIF('Argus Drop'!$D$7:$D$64,$A84,'Argus Drop'!#REF!))</f>
        <v/>
      </c>
      <c r="CB84" s="440" t="str">
        <f>IF(CA84="","",+SUMIF('Argus Drop'!$D$7:$D$64,$A84,'Argus Drop'!BU$12:BU$64))</f>
        <v/>
      </c>
      <c r="CC84" s="440" t="str">
        <f>IF(CB84="","",+SUMIF('Argus Drop'!$D$7:$D$64,$A84,'Argus Drop'!BV$12:BV$64))</f>
        <v/>
      </c>
      <c r="CD84" s="440" t="str">
        <f>IF(CC84="","",+SUMIF('Argus Drop'!$D$7:$D$64,$A84,'Argus Drop'!BW$12:BW$64))</f>
        <v/>
      </c>
      <c r="CE84" s="440" t="str">
        <f>IF(CD84="","",+SUMIF('Argus Drop'!$D$7:$D$64,$A84,'Argus Drop'!BX$12:BX$64))</f>
        <v/>
      </c>
      <c r="CF84" s="440" t="str">
        <f>IF(CE84="","",+SUMIF('Argus Drop'!$D$7:$D$64,$A84,'Argus Drop'!BY$12:BY$64))</f>
        <v/>
      </c>
      <c r="CG84" s="440" t="str">
        <f>IF(CF84="","",+SUMIF('Argus Drop'!$D$7:$D$64,$A84,'Argus Drop'!BZ$12:BZ$64))</f>
        <v/>
      </c>
      <c r="CH84" s="440" t="str">
        <f>IF(CG84="","",+SUMIF('Argus Drop'!$D$7:$D$64,$A84,'Argus Drop'!CA$12:CA$64))</f>
        <v/>
      </c>
      <c r="CI84" s="440" t="str">
        <f>IF(CH84="","",+SUMIF('Argus Drop'!$D$7:$D$64,$A84,'Argus Drop'!CB$12:CB$64))</f>
        <v/>
      </c>
      <c r="CJ84" s="440" t="str">
        <f>IF(CI84="","",+SUMIF('Argus Drop'!$D$7:$D$64,$A84,'Argus Drop'!CC$12:CC$64))</f>
        <v/>
      </c>
      <c r="CK84" s="440" t="str">
        <f>IF(CJ84="","",+SUMIF('Argus Drop'!$D$7:$D$64,$A84,'Argus Drop'!CD$12:CD$64))</f>
        <v/>
      </c>
      <c r="CL84" s="440" t="str">
        <f>IF(CK84="","",+SUMIF('Argus Drop'!$D$7:$D$64,$A84,'Argus Drop'!CE$12:CE$64))</f>
        <v/>
      </c>
      <c r="CM84" s="440" t="str">
        <f>IF(CL84="","",+SUMIF('Argus Drop'!$D$7:$D$64,$A84,'Argus Drop'!CF$12:CF$64))</f>
        <v/>
      </c>
      <c r="CN84" s="440" t="str">
        <f>IF(CM84="","",+SUMIF('Argus Drop'!$D$7:$D$64,$A84,'Argus Drop'!#REF!))</f>
        <v/>
      </c>
      <c r="CO84" s="440" t="str">
        <f>IF(CN84="","",+SUMIF('Argus Drop'!$D$7:$D$64,$A84,'Argus Drop'!CG$12:CG$64))</f>
        <v/>
      </c>
      <c r="CP84" s="440" t="str">
        <f>IF(CO84="","",+SUMIF('Argus Drop'!$D$7:$D$64,$A84,'Argus Drop'!CH$12:CH$64))</f>
        <v/>
      </c>
      <c r="CQ84" s="440" t="str">
        <f>IF(CP84="","",+SUMIF('Argus Drop'!$D$7:$D$64,$A84,'Argus Drop'!CI$12:CI$64))</f>
        <v/>
      </c>
      <c r="CR84" s="440" t="str">
        <f>IF(CQ84="","",+SUMIF('Argus Drop'!$D$7:$D$64,$A84,'Argus Drop'!CJ$12:CJ$64))</f>
        <v/>
      </c>
      <c r="CS84" s="440" t="str">
        <f>IF(CR84="","",+SUMIF('Argus Drop'!$D$7:$D$64,$A84,'Argus Drop'!CK$12:CK$64))</f>
        <v/>
      </c>
      <c r="CT84" s="440" t="str">
        <f>IF(CS84="","",+SUMIF('Argus Drop'!$D$7:$D$64,$A84,'Argus Drop'!CL$12:CL$64))</f>
        <v/>
      </c>
      <c r="CU84" s="440" t="str">
        <f>IF(CT84="","",+SUMIF('Argus Drop'!$D$7:$D$64,$A84,'Argus Drop'!CM$12:CM$64))</f>
        <v/>
      </c>
      <c r="CV84" s="440" t="str">
        <f>IF(CU84="","",+SUMIF('Argus Drop'!$D$7:$D$64,$A84,'Argus Drop'!CN$12:CN$64))</f>
        <v/>
      </c>
      <c r="CW84" s="440" t="str">
        <f>IF(CV84="","",+SUMIF('Argus Drop'!$D$7:$D$64,$A84,'Argus Drop'!CO$12:CO$64))</f>
        <v/>
      </c>
      <c r="CX84" s="440" t="str">
        <f>IF(CW84="","",+SUMIF('Argus Drop'!$D$7:$D$64,$A84,'Argus Drop'!CP$12:CP$64))</f>
        <v/>
      </c>
      <c r="CY84" s="440" t="str">
        <f>IF(CX84="","",+SUMIF('Argus Drop'!$D$7:$D$64,$A84,'Argus Drop'!CQ$12:CQ$64))</f>
        <v/>
      </c>
      <c r="CZ84" s="440" t="str">
        <f>IF(CY84="","",+SUMIF('Argus Drop'!$D$7:$D$64,$A84,'Argus Drop'!CR$12:CR$64))</f>
        <v/>
      </c>
      <c r="DA84" s="440" t="str">
        <f>IF(CZ84="","",+SUMIF('Argus Drop'!$D$7:$D$64,$A84,'Argus Drop'!#REF!))</f>
        <v/>
      </c>
      <c r="DB84" s="440" t="str">
        <f>IF(DA84="","",+SUMIF('Argus Drop'!$D$7:$D$64,$A84,'Argus Drop'!CS$12:CS$64))</f>
        <v/>
      </c>
      <c r="DC84" s="440" t="str">
        <f>IF(DB84="","",+SUMIF('Argus Drop'!$D$7:$D$64,$A84,'Argus Drop'!CT$12:CT$64))</f>
        <v/>
      </c>
      <c r="DD84" s="440" t="str">
        <f>IF(DC84="","",+SUMIF('Argus Drop'!$D$7:$D$64,$A84,'Argus Drop'!CU$12:CU$64))</f>
        <v/>
      </c>
      <c r="DE84" s="440" t="str">
        <f>IF(DD84="","",+SUMIF('Argus Drop'!$D$7:$D$64,$A84,'Argus Drop'!CV$12:CV$64))</f>
        <v/>
      </c>
      <c r="DF84" s="440" t="str">
        <f>IF(DE84="","",+SUMIF('Argus Drop'!$D$7:$D$64,$A84,'Argus Drop'!CW$12:CW$64))</f>
        <v/>
      </c>
      <c r="DG84" s="440" t="str">
        <f>IF(DF84="","",+SUMIF('Argus Drop'!$D$7:$D$64,$A84,'Argus Drop'!CX$12:CX$64))</f>
        <v/>
      </c>
      <c r="DH84" s="440" t="str">
        <f>IF(DG84="","",+SUMIF('Argus Drop'!$D$7:$D$64,$A84,'Argus Drop'!CY$12:CY$64))</f>
        <v/>
      </c>
      <c r="DI84" s="440" t="str">
        <f>IF(DH84="","",+SUMIF('Argus Drop'!$D$7:$D$64,$A84,'Argus Drop'!CZ$12:CZ$64))</f>
        <v/>
      </c>
      <c r="DJ84" s="440" t="str">
        <f>IF(DI84="","",+SUMIF('Argus Drop'!$D$7:$D$64,$A84,'Argus Drop'!DA$12:DA$64))</f>
        <v/>
      </c>
      <c r="DK84" s="440" t="str">
        <f>IF(DJ84="","",+SUMIF('Argus Drop'!$D$7:$D$64,$A84,'Argus Drop'!DB$12:DB$64))</f>
        <v/>
      </c>
      <c r="DL84" s="440" t="str">
        <f>IF(DK84="","",+SUMIF('Argus Drop'!$D$7:$D$64,$A84,'Argus Drop'!DC$12:DC$64))</f>
        <v/>
      </c>
      <c r="DM84" s="440" t="str">
        <f>IF(DL84="","",+SUMIF('Argus Drop'!$D$7:$D$64,$A84,'Argus Drop'!DD$12:DD$64))</f>
        <v/>
      </c>
      <c r="DN84" s="440" t="str">
        <f>IF(DM84="","",+SUMIF('Argus Drop'!$D$7:$D$64,$A84,'Argus Drop'!#REF!))</f>
        <v/>
      </c>
      <c r="DO84" s="440" t="str">
        <f>IF(DN84="","",+SUMIF('Argus Drop'!$D$7:$D$64,$A84,'Argus Drop'!DE$12:DE$64))</f>
        <v/>
      </c>
      <c r="DP84" s="440" t="str">
        <f>IF(DO84="","",+SUMIF('Argus Drop'!$D$7:$D$64,$A84,'Argus Drop'!DF$12:DF$64))</f>
        <v/>
      </c>
      <c r="DQ84" s="440" t="str">
        <f>IF(DP84="","",+SUMIF('Argus Drop'!$D$7:$D$64,$A84,'Argus Drop'!DG$12:DG$64))</f>
        <v/>
      </c>
      <c r="DR84" s="440" t="str">
        <f>IF(DQ84="","",+SUMIF('Argus Drop'!$D$7:$D$64,$A84,'Argus Drop'!DH$12:DH$64))</f>
        <v/>
      </c>
      <c r="DS84" s="440"/>
      <c r="DT84" s="440"/>
      <c r="DU84" s="440"/>
      <c r="DV84" s="440"/>
      <c r="DW84" s="440"/>
      <c r="DX84" s="440"/>
      <c r="DY84" s="440"/>
      <c r="DZ84" s="440"/>
      <c r="EA84" s="440"/>
      <c r="EB84" s="440"/>
      <c r="EC84" s="440"/>
      <c r="ED84" s="1419"/>
      <c r="EE84" s="1419"/>
      <c r="EF84" s="1419"/>
      <c r="EG84" s="1419"/>
      <c r="EH84" s="1419"/>
      <c r="EI84" s="1419"/>
      <c r="EJ84" s="1419"/>
      <c r="EK84" s="1419"/>
      <c r="EL84" s="1419"/>
      <c r="EM84" s="1419"/>
      <c r="EN84" s="1419"/>
      <c r="EO84" s="1419"/>
      <c r="EP84" s="1419"/>
      <c r="EQ84" s="1419"/>
      <c r="ER84" s="1419"/>
      <c r="ES84" s="1419"/>
      <c r="ET84" s="1419"/>
      <c r="EU84" s="1419"/>
      <c r="EV84" s="1419"/>
      <c r="EW84" s="1419"/>
      <c r="EX84" s="1419"/>
      <c r="EY84" s="1419"/>
      <c r="EZ84" s="1419"/>
      <c r="FA84" s="1419"/>
      <c r="FB84" s="1419"/>
      <c r="FC84" s="1419"/>
      <c r="FD84" s="1419"/>
      <c r="FE84" s="1419"/>
      <c r="FF84" s="1419"/>
      <c r="FG84" s="1419"/>
      <c r="FH84" s="1419"/>
      <c r="FI84" s="1419"/>
    </row>
    <row r="85" spans="1:165">
      <c r="A85" s="448" t="str">
        <f>IF(+'Argus Drop'!B89="","",'Argus Drop'!B89)</f>
        <v/>
      </c>
      <c r="B85" s="440" t="str">
        <f>IF(A85="","",+SUMIF('Argus Drop'!$D$7:$D$64,$A85,'Argus Drop'!#REF!))</f>
        <v/>
      </c>
      <c r="C85" s="440" t="str">
        <f>IF(B85="","",+SUMIF('Argus Drop'!$D$7:$D$64,$A85,'Argus Drop'!#REF!))</f>
        <v/>
      </c>
      <c r="D85" s="440" t="str">
        <f>IF(C85="","",+SUMIF('Argus Drop'!$D$7:$D$64,$A85,'Argus Drop'!#REF!))</f>
        <v/>
      </c>
      <c r="E85" s="440" t="str">
        <f>IF(D85="","",+SUMIF('Argus Drop'!$D$7:$D$64,$A85,'Argus Drop'!#REF!))</f>
        <v/>
      </c>
      <c r="F85" s="440" t="str">
        <f>IF(E85="","",+SUMIF('Argus Drop'!$D$7:$D$64,$A85,'Argus Drop'!#REF!))</f>
        <v/>
      </c>
      <c r="G85" s="440" t="str">
        <f>IF(F85="","",+SUMIF('Argus Drop'!$D$7:$D$64,$A85,'Argus Drop'!F$7:F$64))</f>
        <v/>
      </c>
      <c r="H85" s="440" t="str">
        <f>IF(G85="","",+SUMIF('Argus Drop'!$D$7:$D$64,$A85,'Argus Drop'!G$12:G$64))</f>
        <v/>
      </c>
      <c r="I85" s="440" t="str">
        <f>IF(H85="","",+SUMIF('Argus Drop'!$D$7:$D$64,$A85,'Argus Drop'!H$12:H$64))</f>
        <v/>
      </c>
      <c r="J85" s="440" t="str">
        <f>IF(I85="","",+SUMIF('Argus Drop'!$D$7:$D$64,$A85,'Argus Drop'!I$12:I$64))</f>
        <v/>
      </c>
      <c r="K85" s="440" t="str">
        <f>IF(J85="","",+SUMIF('Argus Drop'!$D$7:$D$64,$A85,'Argus Drop'!J$12:J$64))</f>
        <v/>
      </c>
      <c r="L85" s="440" t="str">
        <f>IF(K85="","",+SUMIF('Argus Drop'!$D$7:$D$64,$A85,'Argus Drop'!K$12:K$64))</f>
        <v/>
      </c>
      <c r="M85" s="440" t="str">
        <f>IF(L85="","",+SUMIF('Argus Drop'!$D$7:$D$64,$A85,'Argus Drop'!L$12:L$64))</f>
        <v/>
      </c>
      <c r="N85" s="440" t="str">
        <f>IF(M85="","",+SUMIF('Argus Drop'!$D$7:$D$64,$A85,'Argus Drop'!#REF!))</f>
        <v/>
      </c>
      <c r="O85" s="440" t="str">
        <f>IF(N85="","",+SUMIF('Argus Drop'!$D$7:$D$64,$A85,'Argus Drop'!M$12:M$64))</f>
        <v/>
      </c>
      <c r="P85" s="440" t="str">
        <f>IF(O85="","",+SUMIF('Argus Drop'!$D$7:$D$64,$A85,'Argus Drop'!N$12:N$64))</f>
        <v/>
      </c>
      <c r="Q85" s="440" t="str">
        <f>IF(P85="","",+SUMIF('Argus Drop'!$D$7:$D$64,$A85,'Argus Drop'!O$12:O$64))</f>
        <v/>
      </c>
      <c r="R85" s="440" t="str">
        <f>IF(Q85="","",+SUMIF('Argus Drop'!$D$7:$D$64,$A85,'Argus Drop'!P$12:P$64))</f>
        <v/>
      </c>
      <c r="S85" s="440" t="str">
        <f>IF(R85="","",+SUMIF('Argus Drop'!$D$7:$D$64,$A85,'Argus Drop'!Q$12:Q$64))</f>
        <v/>
      </c>
      <c r="T85" s="440" t="str">
        <f>IF(S85="","",+SUMIF('Argus Drop'!$D$7:$D$64,$A85,'Argus Drop'!R$12:R$64))</f>
        <v/>
      </c>
      <c r="U85" s="440" t="str">
        <f>IF(T85="","",+SUMIF('Argus Drop'!$D$7:$D$64,$A85,'Argus Drop'!S$12:S$64))</f>
        <v/>
      </c>
      <c r="V85" s="440" t="str">
        <f>IF(U85="","",+SUMIF('Argus Drop'!$D$7:$D$64,$A85,'Argus Drop'!T$12:T$64))</f>
        <v/>
      </c>
      <c r="W85" s="440" t="str">
        <f>IF(V85="","",+SUMIF('Argus Drop'!$D$7:$D$64,$A85,'Argus Drop'!U$12:U$64))</f>
        <v/>
      </c>
      <c r="X85" s="440" t="str">
        <f>IF(W85="","",+SUMIF('Argus Drop'!$D$7:$D$64,$A85,'Argus Drop'!V$12:V$64))</f>
        <v/>
      </c>
      <c r="Y85" s="440" t="str">
        <f>IF(X85="","",+SUMIF('Argus Drop'!$D$7:$D$64,$A85,'Argus Drop'!W$12:W$64))</f>
        <v/>
      </c>
      <c r="Z85" s="440" t="str">
        <f>IF(Y85="","",+SUMIF('Argus Drop'!$D$7:$D$64,$A85,'Argus Drop'!X$12:X$64))</f>
        <v/>
      </c>
      <c r="AA85" s="440" t="str">
        <f>IF(Z85="","",+SUMIF('Argus Drop'!$D$7:$D$64,$A85,'Argus Drop'!#REF!))</f>
        <v/>
      </c>
      <c r="AB85" s="440" t="str">
        <f>IF(AA85="","",+SUMIF('Argus Drop'!$D$7:$D$64,$A85,'Argus Drop'!Y$12:Y$64))</f>
        <v/>
      </c>
      <c r="AC85" s="440" t="str">
        <f>IF(AB85="","",+SUMIF('Argus Drop'!$D$7:$D$64,$A85,'Argus Drop'!Z$12:Z$64))</f>
        <v/>
      </c>
      <c r="AD85" s="440" t="str">
        <f>IF(AC85="","",+SUMIF('Argus Drop'!$D$7:$D$64,$A85,'Argus Drop'!AA$12:AA$64))</f>
        <v/>
      </c>
      <c r="AE85" s="440" t="str">
        <f>IF(AD85="","",+SUMIF('Argus Drop'!$D$7:$D$64,$A85,'Argus Drop'!AB$12:AB$64))</f>
        <v/>
      </c>
      <c r="AF85" s="440" t="str">
        <f>IF(AE85="","",+SUMIF('Argus Drop'!$D$7:$D$64,$A85,'Argus Drop'!AC$12:AC$64))</f>
        <v/>
      </c>
      <c r="AG85" s="440" t="str">
        <f>IF(AF85="","",+SUMIF('Argus Drop'!$D$7:$D$64,$A85,'Argus Drop'!AD$12:AD$64))</f>
        <v/>
      </c>
      <c r="AH85" s="440" t="str">
        <f>IF(AG85="","",+SUMIF('Argus Drop'!$D$7:$D$64,$A85,'Argus Drop'!AE$12:AE$64))</f>
        <v/>
      </c>
      <c r="AI85" s="440" t="str">
        <f>IF(AH85="","",+SUMIF('Argus Drop'!$D$7:$D$64,$A85,'Argus Drop'!AF$12:AF$64))</f>
        <v/>
      </c>
      <c r="AJ85" s="440" t="str">
        <f>IF(AI85="","",+SUMIF('Argus Drop'!$D$7:$D$64,$A85,'Argus Drop'!AG$12:AG$64))</f>
        <v/>
      </c>
      <c r="AK85" s="440" t="str">
        <f>IF(AJ85="","",+SUMIF('Argus Drop'!$D$7:$D$64,$A85,'Argus Drop'!AH$12:AH$64))</f>
        <v/>
      </c>
      <c r="AL85" s="440" t="str">
        <f>IF(AK85="","",+SUMIF('Argus Drop'!$D$7:$D$64,$A85,'Argus Drop'!AI$12:AI$64))</f>
        <v/>
      </c>
      <c r="AM85" s="440" t="str">
        <f>IF(AL85="","",+SUMIF('Argus Drop'!$D$7:$D$64,$A85,'Argus Drop'!AJ$12:AJ$64))</f>
        <v/>
      </c>
      <c r="AN85" s="440" t="str">
        <f>IF(AM85="","",+SUMIF('Argus Drop'!$D$7:$D$64,$A85,'Argus Drop'!#REF!))</f>
        <v/>
      </c>
      <c r="AO85" s="440" t="str">
        <f>IF(AN85="","",+SUMIF('Argus Drop'!$D$7:$D$64,$A85,'Argus Drop'!AK$12:AK$64))</f>
        <v/>
      </c>
      <c r="AP85" s="440" t="str">
        <f>IF(AO85="","",+SUMIF('Argus Drop'!$D$7:$D$64,$A85,'Argus Drop'!AL$12:AL$64))</f>
        <v/>
      </c>
      <c r="AQ85" s="440" t="str">
        <f>IF(AP85="","",+SUMIF('Argus Drop'!$D$7:$D$64,$A85,'Argus Drop'!AM$12:AM$64))</f>
        <v/>
      </c>
      <c r="AR85" s="440" t="str">
        <f>IF(AQ85="","",+SUMIF('Argus Drop'!$D$7:$D$64,$A85,'Argus Drop'!AN$12:AN$64))</f>
        <v/>
      </c>
      <c r="AS85" s="440" t="str">
        <f>IF(AR85="","",+SUMIF('Argus Drop'!$D$7:$D$64,$A85,'Argus Drop'!AO$12:AO$64))</f>
        <v/>
      </c>
      <c r="AT85" s="440" t="str">
        <f>IF(AS85="","",+SUMIF('Argus Drop'!$D$7:$D$64,$A85,'Argus Drop'!AP$12:AP$64))</f>
        <v/>
      </c>
      <c r="AU85" s="440" t="str">
        <f>IF(AT85="","",+SUMIF('Argus Drop'!$D$7:$D$64,$A85,'Argus Drop'!AQ$12:AQ$64))</f>
        <v/>
      </c>
      <c r="AV85" s="440" t="str">
        <f>IF(AU85="","",+SUMIF('Argus Drop'!$D$7:$D$64,$A85,'Argus Drop'!AR$12:AR$64))</f>
        <v/>
      </c>
      <c r="AW85" s="440" t="str">
        <f>IF(AV85="","",+SUMIF('Argus Drop'!$D$7:$D$64,$A85,'Argus Drop'!AS$12:AS$64))</f>
        <v/>
      </c>
      <c r="AX85" s="440" t="str">
        <f>IF(AW85="","",+SUMIF('Argus Drop'!$D$7:$D$64,$A85,'Argus Drop'!AT$12:AT$64))</f>
        <v/>
      </c>
      <c r="AY85" s="440" t="str">
        <f>IF(AX85="","",+SUMIF('Argus Drop'!$D$7:$D$64,$A85,'Argus Drop'!AU$12:AU$64))</f>
        <v/>
      </c>
      <c r="AZ85" s="440" t="str">
        <f>IF(AY85="","",+SUMIF('Argus Drop'!$D$7:$D$64,$A85,'Argus Drop'!AV$12:AV$64))</f>
        <v/>
      </c>
      <c r="BA85" s="440" t="str">
        <f>IF(AZ85="","",+SUMIF('Argus Drop'!$D$7:$D$64,$A85,'Argus Drop'!#REF!))</f>
        <v/>
      </c>
      <c r="BB85" s="440" t="str">
        <f>IF(BA85="","",+SUMIF('Argus Drop'!$D$7:$D$64,$A85,'Argus Drop'!AW$12:AW$64))</f>
        <v/>
      </c>
      <c r="BC85" s="440" t="str">
        <f>IF(BB85="","",+SUMIF('Argus Drop'!$D$7:$D$64,$A85,'Argus Drop'!AX$12:AX$64))</f>
        <v/>
      </c>
      <c r="BD85" s="440" t="str">
        <f>IF(BC85="","",+SUMIF('Argus Drop'!$D$7:$D$64,$A85,'Argus Drop'!AY$12:AY$64))</f>
        <v/>
      </c>
      <c r="BE85" s="440" t="str">
        <f>IF(BD85="","",+SUMIF('Argus Drop'!$D$7:$D$64,$A85,'Argus Drop'!AZ$12:AZ$64))</f>
        <v/>
      </c>
      <c r="BF85" s="440" t="str">
        <f>IF(BE85="","",+SUMIF('Argus Drop'!$D$7:$D$64,$A85,'Argus Drop'!BA$12:BA$64))</f>
        <v/>
      </c>
      <c r="BG85" s="440" t="str">
        <f>IF(BF85="","",+SUMIF('Argus Drop'!$D$7:$D$64,$A85,'Argus Drop'!BB$12:BB$64))</f>
        <v/>
      </c>
      <c r="BH85" s="440" t="str">
        <f>IF(BG85="","",+SUMIF('Argus Drop'!$D$7:$D$64,$A85,'Argus Drop'!BC$12:BC$64))</f>
        <v/>
      </c>
      <c r="BI85" s="440" t="str">
        <f>IF(BH85="","",+SUMIF('Argus Drop'!$D$7:$D$64,$A85,'Argus Drop'!BD$12:BD$64))</f>
        <v/>
      </c>
      <c r="BJ85" s="440" t="str">
        <f>IF(BI85="","",+SUMIF('Argus Drop'!$D$7:$D$64,$A85,'Argus Drop'!BE$12:BE$64))</f>
        <v/>
      </c>
      <c r="BK85" s="440" t="str">
        <f>IF(BJ85="","",+SUMIF('Argus Drop'!$D$7:$D$64,$A85,'Argus Drop'!BF$12:BF$64))</f>
        <v/>
      </c>
      <c r="BL85" s="440" t="str">
        <f>IF(BK85="","",+SUMIF('Argus Drop'!$D$7:$D$64,$A85,'Argus Drop'!BG$12:BG$64))</f>
        <v/>
      </c>
      <c r="BM85" s="440" t="str">
        <f>IF(BL85="","",+SUMIF('Argus Drop'!$D$7:$D$64,$A85,'Argus Drop'!BH$12:BH$64))</f>
        <v/>
      </c>
      <c r="BN85" s="440" t="str">
        <f>IF(BM85="","",+SUMIF('Argus Drop'!$D$7:$D$64,$A85,'Argus Drop'!#REF!))</f>
        <v/>
      </c>
      <c r="BO85" s="440" t="str">
        <f>IF(BN85="","",+SUMIF('Argus Drop'!$D$7:$D$64,$A85,'Argus Drop'!BI$12:BI$64))</f>
        <v/>
      </c>
      <c r="BP85" s="440" t="str">
        <f>IF(BO85="","",+SUMIF('Argus Drop'!$D$7:$D$64,$A85,'Argus Drop'!BJ$12:BJ$64))</f>
        <v/>
      </c>
      <c r="BQ85" s="440" t="str">
        <f>IF(BP85="","",+SUMIF('Argus Drop'!$D$7:$D$64,$A85,'Argus Drop'!BK$12:BK$64))</f>
        <v/>
      </c>
      <c r="BR85" s="440" t="str">
        <f>IF(BQ85="","",+SUMIF('Argus Drop'!$D$7:$D$64,$A85,'Argus Drop'!BL$12:BL$64))</f>
        <v/>
      </c>
      <c r="BS85" s="440" t="str">
        <f>IF(BR85="","",+SUMIF('Argus Drop'!$D$7:$D$64,$A85,'Argus Drop'!BM$12:BM$64))</f>
        <v/>
      </c>
      <c r="BT85" s="440" t="str">
        <f>IF(BS85="","",+SUMIF('Argus Drop'!$D$7:$D$64,$A85,'Argus Drop'!BN$12:BN$64))</f>
        <v/>
      </c>
      <c r="BU85" s="440" t="str">
        <f>IF(BT85="","",+SUMIF('Argus Drop'!$D$7:$D$64,$A85,'Argus Drop'!BO$12:BO$64))</f>
        <v/>
      </c>
      <c r="BV85" s="440" t="str">
        <f>IF(BU85="","",+SUMIF('Argus Drop'!$D$7:$D$64,$A85,'Argus Drop'!BP$12:BP$64))</f>
        <v/>
      </c>
      <c r="BW85" s="440" t="str">
        <f>IF(BV85="","",+SUMIF('Argus Drop'!$D$7:$D$64,$A85,'Argus Drop'!BQ$12:BQ$64))</f>
        <v/>
      </c>
      <c r="BX85" s="440" t="str">
        <f>IF(BW85="","",+SUMIF('Argus Drop'!$D$7:$D$64,$A85,'Argus Drop'!BR$12:BR$64))</f>
        <v/>
      </c>
      <c r="BY85" s="440" t="str">
        <f>IF(BX85="","",+SUMIF('Argus Drop'!$D$7:$D$64,$A85,'Argus Drop'!BS$12:BS$64))</f>
        <v/>
      </c>
      <c r="BZ85" s="440" t="str">
        <f>IF(BY85="","",+SUMIF('Argus Drop'!$D$7:$D$64,$A85,'Argus Drop'!BT$12:BT$64))</f>
        <v/>
      </c>
      <c r="CA85" s="440" t="str">
        <f>IF(BZ85="","",+SUMIF('Argus Drop'!$D$7:$D$64,$A85,'Argus Drop'!#REF!))</f>
        <v/>
      </c>
      <c r="CB85" s="440" t="str">
        <f>IF(CA85="","",+SUMIF('Argus Drop'!$D$7:$D$64,$A85,'Argus Drop'!BU$12:BU$64))</f>
        <v/>
      </c>
      <c r="CC85" s="440" t="str">
        <f>IF(CB85="","",+SUMIF('Argus Drop'!$D$7:$D$64,$A85,'Argus Drop'!BV$12:BV$64))</f>
        <v/>
      </c>
      <c r="CD85" s="440" t="str">
        <f>IF(CC85="","",+SUMIF('Argus Drop'!$D$7:$D$64,$A85,'Argus Drop'!BW$12:BW$64))</f>
        <v/>
      </c>
      <c r="CE85" s="440" t="str">
        <f>IF(CD85="","",+SUMIF('Argus Drop'!$D$7:$D$64,$A85,'Argus Drop'!BX$12:BX$64))</f>
        <v/>
      </c>
      <c r="CF85" s="440" t="str">
        <f>IF(CE85="","",+SUMIF('Argus Drop'!$D$7:$D$64,$A85,'Argus Drop'!BY$12:BY$64))</f>
        <v/>
      </c>
      <c r="CG85" s="440" t="str">
        <f>IF(CF85="","",+SUMIF('Argus Drop'!$D$7:$D$64,$A85,'Argus Drop'!BZ$12:BZ$64))</f>
        <v/>
      </c>
      <c r="CH85" s="440" t="str">
        <f>IF(CG85="","",+SUMIF('Argus Drop'!$D$7:$D$64,$A85,'Argus Drop'!CA$12:CA$64))</f>
        <v/>
      </c>
      <c r="CI85" s="440" t="str">
        <f>IF(CH85="","",+SUMIF('Argus Drop'!$D$7:$D$64,$A85,'Argus Drop'!CB$12:CB$64))</f>
        <v/>
      </c>
      <c r="CJ85" s="440" t="str">
        <f>IF(CI85="","",+SUMIF('Argus Drop'!$D$7:$D$64,$A85,'Argus Drop'!CC$12:CC$64))</f>
        <v/>
      </c>
      <c r="CK85" s="440" t="str">
        <f>IF(CJ85="","",+SUMIF('Argus Drop'!$D$7:$D$64,$A85,'Argus Drop'!CD$12:CD$64))</f>
        <v/>
      </c>
      <c r="CL85" s="440" t="str">
        <f>IF(CK85="","",+SUMIF('Argus Drop'!$D$7:$D$64,$A85,'Argus Drop'!CE$12:CE$64))</f>
        <v/>
      </c>
      <c r="CM85" s="440" t="str">
        <f>IF(CL85="","",+SUMIF('Argus Drop'!$D$7:$D$64,$A85,'Argus Drop'!CF$12:CF$64))</f>
        <v/>
      </c>
      <c r="CN85" s="440" t="str">
        <f>IF(CM85="","",+SUMIF('Argus Drop'!$D$7:$D$64,$A85,'Argus Drop'!#REF!))</f>
        <v/>
      </c>
      <c r="CO85" s="440" t="str">
        <f>IF(CN85="","",+SUMIF('Argus Drop'!$D$7:$D$64,$A85,'Argus Drop'!CG$12:CG$64))</f>
        <v/>
      </c>
      <c r="CP85" s="440" t="str">
        <f>IF(CO85="","",+SUMIF('Argus Drop'!$D$7:$D$64,$A85,'Argus Drop'!CH$12:CH$64))</f>
        <v/>
      </c>
      <c r="CQ85" s="440" t="str">
        <f>IF(CP85="","",+SUMIF('Argus Drop'!$D$7:$D$64,$A85,'Argus Drop'!CI$12:CI$64))</f>
        <v/>
      </c>
      <c r="CR85" s="440" t="str">
        <f>IF(CQ85="","",+SUMIF('Argus Drop'!$D$7:$D$64,$A85,'Argus Drop'!CJ$12:CJ$64))</f>
        <v/>
      </c>
      <c r="CS85" s="440" t="str">
        <f>IF(CR85="","",+SUMIF('Argus Drop'!$D$7:$D$64,$A85,'Argus Drop'!CK$12:CK$64))</f>
        <v/>
      </c>
      <c r="CT85" s="440" t="str">
        <f>IF(CS85="","",+SUMIF('Argus Drop'!$D$7:$D$64,$A85,'Argus Drop'!CL$12:CL$64))</f>
        <v/>
      </c>
      <c r="CU85" s="440" t="str">
        <f>IF(CT85="","",+SUMIF('Argus Drop'!$D$7:$D$64,$A85,'Argus Drop'!CM$12:CM$64))</f>
        <v/>
      </c>
      <c r="CV85" s="440" t="str">
        <f>IF(CU85="","",+SUMIF('Argus Drop'!$D$7:$D$64,$A85,'Argus Drop'!CN$12:CN$64))</f>
        <v/>
      </c>
      <c r="CW85" s="440" t="str">
        <f>IF(CV85="","",+SUMIF('Argus Drop'!$D$7:$D$64,$A85,'Argus Drop'!CO$12:CO$64))</f>
        <v/>
      </c>
      <c r="CX85" s="440" t="str">
        <f>IF(CW85="","",+SUMIF('Argus Drop'!$D$7:$D$64,$A85,'Argus Drop'!CP$12:CP$64))</f>
        <v/>
      </c>
      <c r="CY85" s="440" t="str">
        <f>IF(CX85="","",+SUMIF('Argus Drop'!$D$7:$D$64,$A85,'Argus Drop'!CQ$12:CQ$64))</f>
        <v/>
      </c>
      <c r="CZ85" s="440" t="str">
        <f>IF(CY85="","",+SUMIF('Argus Drop'!$D$7:$D$64,$A85,'Argus Drop'!CR$12:CR$64))</f>
        <v/>
      </c>
      <c r="DA85" s="440" t="str">
        <f>IF(CZ85="","",+SUMIF('Argus Drop'!$D$7:$D$64,$A85,'Argus Drop'!#REF!))</f>
        <v/>
      </c>
      <c r="DB85" s="440" t="str">
        <f>IF(DA85="","",+SUMIF('Argus Drop'!$D$7:$D$64,$A85,'Argus Drop'!CS$12:CS$64))</f>
        <v/>
      </c>
      <c r="DC85" s="440" t="str">
        <f>IF(DB85="","",+SUMIF('Argus Drop'!$D$7:$D$64,$A85,'Argus Drop'!CT$12:CT$64))</f>
        <v/>
      </c>
      <c r="DD85" s="440" t="str">
        <f>IF(DC85="","",+SUMIF('Argus Drop'!$D$7:$D$64,$A85,'Argus Drop'!CU$12:CU$64))</f>
        <v/>
      </c>
      <c r="DE85" s="440" t="str">
        <f>IF(DD85="","",+SUMIF('Argus Drop'!$D$7:$D$64,$A85,'Argus Drop'!CV$12:CV$64))</f>
        <v/>
      </c>
      <c r="DF85" s="440" t="str">
        <f>IF(DE85="","",+SUMIF('Argus Drop'!$D$7:$D$64,$A85,'Argus Drop'!CW$12:CW$64))</f>
        <v/>
      </c>
      <c r="DG85" s="440" t="str">
        <f>IF(DF85="","",+SUMIF('Argus Drop'!$D$7:$D$64,$A85,'Argus Drop'!CX$12:CX$64))</f>
        <v/>
      </c>
      <c r="DH85" s="440" t="str">
        <f>IF(DG85="","",+SUMIF('Argus Drop'!$D$7:$D$64,$A85,'Argus Drop'!CY$12:CY$64))</f>
        <v/>
      </c>
      <c r="DI85" s="440" t="str">
        <f>IF(DH85="","",+SUMIF('Argus Drop'!$D$7:$D$64,$A85,'Argus Drop'!CZ$12:CZ$64))</f>
        <v/>
      </c>
      <c r="DJ85" s="440" t="str">
        <f>IF(DI85="","",+SUMIF('Argus Drop'!$D$7:$D$64,$A85,'Argus Drop'!DA$12:DA$64))</f>
        <v/>
      </c>
      <c r="DK85" s="440" t="str">
        <f>IF(DJ85="","",+SUMIF('Argus Drop'!$D$7:$D$64,$A85,'Argus Drop'!DB$12:DB$64))</f>
        <v/>
      </c>
      <c r="DL85" s="440" t="str">
        <f>IF(DK85="","",+SUMIF('Argus Drop'!$D$7:$D$64,$A85,'Argus Drop'!DC$12:DC$64))</f>
        <v/>
      </c>
      <c r="DM85" s="440" t="str">
        <f>IF(DL85="","",+SUMIF('Argus Drop'!$D$7:$D$64,$A85,'Argus Drop'!DD$12:DD$64))</f>
        <v/>
      </c>
      <c r="DN85" s="440" t="str">
        <f>IF(DM85="","",+SUMIF('Argus Drop'!$D$7:$D$64,$A85,'Argus Drop'!#REF!))</f>
        <v/>
      </c>
      <c r="DO85" s="440" t="str">
        <f>IF(DN85="","",+SUMIF('Argus Drop'!$D$7:$D$64,$A85,'Argus Drop'!DE$12:DE$64))</f>
        <v/>
      </c>
      <c r="DP85" s="440" t="str">
        <f>IF(DO85="","",+SUMIF('Argus Drop'!$D$7:$D$64,$A85,'Argus Drop'!DF$12:DF$64))</f>
        <v/>
      </c>
      <c r="DQ85" s="440" t="str">
        <f>IF(DP85="","",+SUMIF('Argus Drop'!$D$7:$D$64,$A85,'Argus Drop'!DG$12:DG$64))</f>
        <v/>
      </c>
      <c r="DR85" s="440" t="str">
        <f>IF(DQ85="","",+SUMIF('Argus Drop'!$D$7:$D$64,$A85,'Argus Drop'!DH$12:DH$64))</f>
        <v/>
      </c>
      <c r="DS85" s="440"/>
      <c r="DT85" s="440"/>
      <c r="DU85" s="440"/>
      <c r="DV85" s="440"/>
      <c r="DW85" s="440"/>
      <c r="DX85" s="440"/>
      <c r="DY85" s="440"/>
      <c r="DZ85" s="440"/>
      <c r="EA85" s="440"/>
      <c r="EB85" s="440"/>
      <c r="EC85" s="440"/>
      <c r="ED85" s="1419"/>
      <c r="EE85" s="1419"/>
      <c r="EF85" s="1419"/>
      <c r="EG85" s="1419"/>
      <c r="EH85" s="1419"/>
      <c r="EI85" s="1419"/>
      <c r="EJ85" s="1419"/>
      <c r="EK85" s="1419"/>
      <c r="EL85" s="1419"/>
      <c r="EM85" s="1419"/>
      <c r="EN85" s="1419"/>
      <c r="EO85" s="1419"/>
      <c r="EP85" s="1419"/>
      <c r="EQ85" s="1419"/>
      <c r="ER85" s="1419"/>
      <c r="ES85" s="1419"/>
      <c r="ET85" s="1419"/>
      <c r="EU85" s="1419"/>
      <c r="EV85" s="1419"/>
      <c r="EW85" s="1419"/>
      <c r="EX85" s="1419"/>
      <c r="EY85" s="1419"/>
      <c r="EZ85" s="1419"/>
      <c r="FA85" s="1419"/>
      <c r="FB85" s="1419"/>
      <c r="FC85" s="1419"/>
      <c r="FD85" s="1419"/>
      <c r="FE85" s="1419"/>
      <c r="FF85" s="1419"/>
      <c r="FG85" s="1419"/>
      <c r="FH85" s="1419"/>
      <c r="FI85" s="1419"/>
    </row>
    <row r="86" spans="1:165">
      <c r="A86" s="448" t="str">
        <f>IF(+'Argus Drop'!B90="","",'Argus Drop'!B90)</f>
        <v/>
      </c>
      <c r="B86" s="440" t="str">
        <f>IF(A86="","",+SUMIF('Argus Drop'!$D$7:$D$64,$A86,'Argus Drop'!#REF!))</f>
        <v/>
      </c>
      <c r="C86" s="440" t="str">
        <f>IF(B86="","",+SUMIF('Argus Drop'!$D$7:$D$64,$A86,'Argus Drop'!#REF!))</f>
        <v/>
      </c>
      <c r="D86" s="440" t="str">
        <f>IF(C86="","",+SUMIF('Argus Drop'!$D$7:$D$64,$A86,'Argus Drop'!#REF!))</f>
        <v/>
      </c>
      <c r="E86" s="440" t="str">
        <f>IF(D86="","",+SUMIF('Argus Drop'!$D$7:$D$64,$A86,'Argus Drop'!#REF!))</f>
        <v/>
      </c>
      <c r="F86" s="440" t="str">
        <f>IF(E86="","",+SUMIF('Argus Drop'!$D$7:$D$64,$A86,'Argus Drop'!#REF!))</f>
        <v/>
      </c>
      <c r="G86" s="440" t="str">
        <f>IF(F86="","",+SUMIF('Argus Drop'!$D$7:$D$64,$A86,'Argus Drop'!F$7:F$64))</f>
        <v/>
      </c>
      <c r="H86" s="440" t="str">
        <f>IF(G86="","",+SUMIF('Argus Drop'!$D$7:$D$64,$A86,'Argus Drop'!G$12:G$64))</f>
        <v/>
      </c>
      <c r="I86" s="440" t="str">
        <f>IF(H86="","",+SUMIF('Argus Drop'!$D$7:$D$64,$A86,'Argus Drop'!H$12:H$64))</f>
        <v/>
      </c>
      <c r="J86" s="440" t="str">
        <f>IF(I86="","",+SUMIF('Argus Drop'!$D$7:$D$64,$A86,'Argus Drop'!I$12:I$64))</f>
        <v/>
      </c>
      <c r="K86" s="440" t="str">
        <f>IF(J86="","",+SUMIF('Argus Drop'!$D$7:$D$64,$A86,'Argus Drop'!J$12:J$64))</f>
        <v/>
      </c>
      <c r="L86" s="440" t="str">
        <f>IF(K86="","",+SUMIF('Argus Drop'!$D$7:$D$64,$A86,'Argus Drop'!K$12:K$64))</f>
        <v/>
      </c>
      <c r="M86" s="440" t="str">
        <f>IF(L86="","",+SUMIF('Argus Drop'!$D$7:$D$64,$A86,'Argus Drop'!L$12:L$64))</f>
        <v/>
      </c>
      <c r="N86" s="440" t="str">
        <f>IF(M86="","",+SUMIF('Argus Drop'!$D$7:$D$64,$A86,'Argus Drop'!#REF!))</f>
        <v/>
      </c>
      <c r="O86" s="440" t="str">
        <f>IF(N86="","",+SUMIF('Argus Drop'!$D$7:$D$64,$A86,'Argus Drop'!M$12:M$64))</f>
        <v/>
      </c>
      <c r="P86" s="440" t="str">
        <f>IF(O86="","",+SUMIF('Argus Drop'!$D$7:$D$64,$A86,'Argus Drop'!N$12:N$64))</f>
        <v/>
      </c>
      <c r="Q86" s="440" t="str">
        <f>IF(P86="","",+SUMIF('Argus Drop'!$D$7:$D$64,$A86,'Argus Drop'!O$12:O$64))</f>
        <v/>
      </c>
      <c r="R86" s="440" t="str">
        <f>IF(Q86="","",+SUMIF('Argus Drop'!$D$7:$D$64,$A86,'Argus Drop'!P$12:P$64))</f>
        <v/>
      </c>
      <c r="S86" s="440" t="str">
        <f>IF(R86="","",+SUMIF('Argus Drop'!$D$7:$D$64,$A86,'Argus Drop'!Q$12:Q$64))</f>
        <v/>
      </c>
      <c r="T86" s="440" t="str">
        <f>IF(S86="","",+SUMIF('Argus Drop'!$D$7:$D$64,$A86,'Argus Drop'!R$12:R$64))</f>
        <v/>
      </c>
      <c r="U86" s="440" t="str">
        <f>IF(T86="","",+SUMIF('Argus Drop'!$D$7:$D$64,$A86,'Argus Drop'!S$12:S$64))</f>
        <v/>
      </c>
      <c r="V86" s="440" t="str">
        <f>IF(U86="","",+SUMIF('Argus Drop'!$D$7:$D$64,$A86,'Argus Drop'!T$12:T$64))</f>
        <v/>
      </c>
      <c r="W86" s="440" t="str">
        <f>IF(V86="","",+SUMIF('Argus Drop'!$D$7:$D$64,$A86,'Argus Drop'!U$12:U$64))</f>
        <v/>
      </c>
      <c r="X86" s="440" t="str">
        <f>IF(W86="","",+SUMIF('Argus Drop'!$D$7:$D$64,$A86,'Argus Drop'!V$12:V$64))</f>
        <v/>
      </c>
      <c r="Y86" s="440" t="str">
        <f>IF(X86="","",+SUMIF('Argus Drop'!$D$7:$D$64,$A86,'Argus Drop'!W$12:W$64))</f>
        <v/>
      </c>
      <c r="Z86" s="440" t="str">
        <f>IF(Y86="","",+SUMIF('Argus Drop'!$D$7:$D$64,$A86,'Argus Drop'!X$12:X$64))</f>
        <v/>
      </c>
      <c r="AA86" s="440" t="str">
        <f>IF(Z86="","",+SUMIF('Argus Drop'!$D$7:$D$64,$A86,'Argus Drop'!#REF!))</f>
        <v/>
      </c>
      <c r="AB86" s="440" t="str">
        <f>IF(AA86="","",+SUMIF('Argus Drop'!$D$7:$D$64,$A86,'Argus Drop'!Y$12:Y$64))</f>
        <v/>
      </c>
      <c r="AC86" s="440" t="str">
        <f>IF(AB86="","",+SUMIF('Argus Drop'!$D$7:$D$64,$A86,'Argus Drop'!Z$12:Z$64))</f>
        <v/>
      </c>
      <c r="AD86" s="440" t="str">
        <f>IF(AC86="","",+SUMIF('Argus Drop'!$D$7:$D$64,$A86,'Argus Drop'!AA$12:AA$64))</f>
        <v/>
      </c>
      <c r="AE86" s="440" t="str">
        <f>IF(AD86="","",+SUMIF('Argus Drop'!$D$7:$D$64,$A86,'Argus Drop'!AB$12:AB$64))</f>
        <v/>
      </c>
      <c r="AF86" s="440" t="str">
        <f>IF(AE86="","",+SUMIF('Argus Drop'!$D$7:$D$64,$A86,'Argus Drop'!AC$12:AC$64))</f>
        <v/>
      </c>
      <c r="AG86" s="440" t="str">
        <f>IF(AF86="","",+SUMIF('Argus Drop'!$D$7:$D$64,$A86,'Argus Drop'!AD$12:AD$64))</f>
        <v/>
      </c>
      <c r="AH86" s="440" t="str">
        <f>IF(AG86="","",+SUMIF('Argus Drop'!$D$7:$D$64,$A86,'Argus Drop'!AE$12:AE$64))</f>
        <v/>
      </c>
      <c r="AI86" s="440" t="str">
        <f>IF(AH86="","",+SUMIF('Argus Drop'!$D$7:$D$64,$A86,'Argus Drop'!AF$12:AF$64))</f>
        <v/>
      </c>
      <c r="AJ86" s="440" t="str">
        <f>IF(AI86="","",+SUMIF('Argus Drop'!$D$7:$D$64,$A86,'Argus Drop'!AG$12:AG$64))</f>
        <v/>
      </c>
      <c r="AK86" s="440" t="str">
        <f>IF(AJ86="","",+SUMIF('Argus Drop'!$D$7:$D$64,$A86,'Argus Drop'!AH$12:AH$64))</f>
        <v/>
      </c>
      <c r="AL86" s="440" t="str">
        <f>IF(AK86="","",+SUMIF('Argus Drop'!$D$7:$D$64,$A86,'Argus Drop'!AI$12:AI$64))</f>
        <v/>
      </c>
      <c r="AM86" s="440" t="str">
        <f>IF(AL86="","",+SUMIF('Argus Drop'!$D$7:$D$64,$A86,'Argus Drop'!AJ$12:AJ$64))</f>
        <v/>
      </c>
      <c r="AN86" s="440" t="str">
        <f>IF(AM86="","",+SUMIF('Argus Drop'!$D$7:$D$64,$A86,'Argus Drop'!#REF!))</f>
        <v/>
      </c>
      <c r="AO86" s="440" t="str">
        <f>IF(AN86="","",+SUMIF('Argus Drop'!$D$7:$D$64,$A86,'Argus Drop'!AK$12:AK$64))</f>
        <v/>
      </c>
      <c r="AP86" s="440" t="str">
        <f>IF(AO86="","",+SUMIF('Argus Drop'!$D$7:$D$64,$A86,'Argus Drop'!AL$12:AL$64))</f>
        <v/>
      </c>
      <c r="AQ86" s="440" t="str">
        <f>IF(AP86="","",+SUMIF('Argus Drop'!$D$7:$D$64,$A86,'Argus Drop'!AM$12:AM$64))</f>
        <v/>
      </c>
      <c r="AR86" s="440" t="str">
        <f>IF(AQ86="","",+SUMIF('Argus Drop'!$D$7:$D$64,$A86,'Argus Drop'!AN$12:AN$64))</f>
        <v/>
      </c>
      <c r="AS86" s="440" t="str">
        <f>IF(AR86="","",+SUMIF('Argus Drop'!$D$7:$D$64,$A86,'Argus Drop'!AO$12:AO$64))</f>
        <v/>
      </c>
      <c r="AT86" s="440" t="str">
        <f>IF(AS86="","",+SUMIF('Argus Drop'!$D$7:$D$64,$A86,'Argus Drop'!AP$12:AP$64))</f>
        <v/>
      </c>
      <c r="AU86" s="440" t="str">
        <f>IF(AT86="","",+SUMIF('Argus Drop'!$D$7:$D$64,$A86,'Argus Drop'!AQ$12:AQ$64))</f>
        <v/>
      </c>
      <c r="AV86" s="440" t="str">
        <f>IF(AU86="","",+SUMIF('Argus Drop'!$D$7:$D$64,$A86,'Argus Drop'!AR$12:AR$64))</f>
        <v/>
      </c>
      <c r="AW86" s="440" t="str">
        <f>IF(AV86="","",+SUMIF('Argus Drop'!$D$7:$D$64,$A86,'Argus Drop'!AS$12:AS$64))</f>
        <v/>
      </c>
      <c r="AX86" s="440" t="str">
        <f>IF(AW86="","",+SUMIF('Argus Drop'!$D$7:$D$64,$A86,'Argus Drop'!AT$12:AT$64))</f>
        <v/>
      </c>
      <c r="AY86" s="440" t="str">
        <f>IF(AX86="","",+SUMIF('Argus Drop'!$D$7:$D$64,$A86,'Argus Drop'!AU$12:AU$64))</f>
        <v/>
      </c>
      <c r="AZ86" s="440" t="str">
        <f>IF(AY86="","",+SUMIF('Argus Drop'!$D$7:$D$64,$A86,'Argus Drop'!AV$12:AV$64))</f>
        <v/>
      </c>
      <c r="BA86" s="440" t="str">
        <f>IF(AZ86="","",+SUMIF('Argus Drop'!$D$7:$D$64,$A86,'Argus Drop'!#REF!))</f>
        <v/>
      </c>
      <c r="BB86" s="440" t="str">
        <f>IF(BA86="","",+SUMIF('Argus Drop'!$D$7:$D$64,$A86,'Argus Drop'!AW$12:AW$64))</f>
        <v/>
      </c>
      <c r="BC86" s="440" t="str">
        <f>IF(BB86="","",+SUMIF('Argus Drop'!$D$7:$D$64,$A86,'Argus Drop'!AX$12:AX$64))</f>
        <v/>
      </c>
      <c r="BD86" s="440" t="str">
        <f>IF(BC86="","",+SUMIF('Argus Drop'!$D$7:$D$64,$A86,'Argus Drop'!AY$12:AY$64))</f>
        <v/>
      </c>
      <c r="BE86" s="440" t="str">
        <f>IF(BD86="","",+SUMIF('Argus Drop'!$D$7:$D$64,$A86,'Argus Drop'!AZ$12:AZ$64))</f>
        <v/>
      </c>
      <c r="BF86" s="440" t="str">
        <f>IF(BE86="","",+SUMIF('Argus Drop'!$D$7:$D$64,$A86,'Argus Drop'!BA$12:BA$64))</f>
        <v/>
      </c>
      <c r="BG86" s="440" t="str">
        <f>IF(BF86="","",+SUMIF('Argus Drop'!$D$7:$D$64,$A86,'Argus Drop'!BB$12:BB$64))</f>
        <v/>
      </c>
      <c r="BH86" s="440" t="str">
        <f>IF(BG86="","",+SUMIF('Argus Drop'!$D$7:$D$64,$A86,'Argus Drop'!BC$12:BC$64))</f>
        <v/>
      </c>
      <c r="BI86" s="440" t="str">
        <f>IF(BH86="","",+SUMIF('Argus Drop'!$D$7:$D$64,$A86,'Argus Drop'!BD$12:BD$64))</f>
        <v/>
      </c>
      <c r="BJ86" s="440" t="str">
        <f>IF(BI86="","",+SUMIF('Argus Drop'!$D$7:$D$64,$A86,'Argus Drop'!BE$12:BE$64))</f>
        <v/>
      </c>
      <c r="BK86" s="440" t="str">
        <f>IF(BJ86="","",+SUMIF('Argus Drop'!$D$7:$D$64,$A86,'Argus Drop'!BF$12:BF$64))</f>
        <v/>
      </c>
      <c r="BL86" s="440" t="str">
        <f>IF(BK86="","",+SUMIF('Argus Drop'!$D$7:$D$64,$A86,'Argus Drop'!BG$12:BG$64))</f>
        <v/>
      </c>
      <c r="BM86" s="440" t="str">
        <f>IF(BL86="","",+SUMIF('Argus Drop'!$D$7:$D$64,$A86,'Argus Drop'!BH$12:BH$64))</f>
        <v/>
      </c>
      <c r="BN86" s="440" t="str">
        <f>IF(BM86="","",+SUMIF('Argus Drop'!$D$7:$D$64,$A86,'Argus Drop'!#REF!))</f>
        <v/>
      </c>
      <c r="BO86" s="440" t="str">
        <f>IF(BN86="","",+SUMIF('Argus Drop'!$D$7:$D$64,$A86,'Argus Drop'!BI$12:BI$64))</f>
        <v/>
      </c>
      <c r="BP86" s="440" t="str">
        <f>IF(BO86="","",+SUMIF('Argus Drop'!$D$7:$D$64,$A86,'Argus Drop'!BJ$12:BJ$64))</f>
        <v/>
      </c>
      <c r="BQ86" s="440" t="str">
        <f>IF(BP86="","",+SUMIF('Argus Drop'!$D$7:$D$64,$A86,'Argus Drop'!BK$12:BK$64))</f>
        <v/>
      </c>
      <c r="BR86" s="440" t="str">
        <f>IF(BQ86="","",+SUMIF('Argus Drop'!$D$7:$D$64,$A86,'Argus Drop'!BL$12:BL$64))</f>
        <v/>
      </c>
      <c r="BS86" s="440" t="str">
        <f>IF(BR86="","",+SUMIF('Argus Drop'!$D$7:$D$64,$A86,'Argus Drop'!BM$12:BM$64))</f>
        <v/>
      </c>
      <c r="BT86" s="440" t="str">
        <f>IF(BS86="","",+SUMIF('Argus Drop'!$D$7:$D$64,$A86,'Argus Drop'!BN$12:BN$64))</f>
        <v/>
      </c>
      <c r="BU86" s="440" t="str">
        <f>IF(BT86="","",+SUMIF('Argus Drop'!$D$7:$D$64,$A86,'Argus Drop'!BO$12:BO$64))</f>
        <v/>
      </c>
      <c r="BV86" s="440" t="str">
        <f>IF(BU86="","",+SUMIF('Argus Drop'!$D$7:$D$64,$A86,'Argus Drop'!BP$12:BP$64))</f>
        <v/>
      </c>
      <c r="BW86" s="440" t="str">
        <f>IF(BV86="","",+SUMIF('Argus Drop'!$D$7:$D$64,$A86,'Argus Drop'!BQ$12:BQ$64))</f>
        <v/>
      </c>
      <c r="BX86" s="440" t="str">
        <f>IF(BW86="","",+SUMIF('Argus Drop'!$D$7:$D$64,$A86,'Argus Drop'!BR$12:BR$64))</f>
        <v/>
      </c>
      <c r="BY86" s="440" t="str">
        <f>IF(BX86="","",+SUMIF('Argus Drop'!$D$7:$D$64,$A86,'Argus Drop'!BS$12:BS$64))</f>
        <v/>
      </c>
      <c r="BZ86" s="440" t="str">
        <f>IF(BY86="","",+SUMIF('Argus Drop'!$D$7:$D$64,$A86,'Argus Drop'!BT$12:BT$64))</f>
        <v/>
      </c>
      <c r="CA86" s="440" t="str">
        <f>IF(BZ86="","",+SUMIF('Argus Drop'!$D$7:$D$64,$A86,'Argus Drop'!#REF!))</f>
        <v/>
      </c>
      <c r="CB86" s="440" t="str">
        <f>IF(CA86="","",+SUMIF('Argus Drop'!$D$7:$D$64,$A86,'Argus Drop'!BU$12:BU$64))</f>
        <v/>
      </c>
      <c r="CC86" s="440" t="str">
        <f>IF(CB86="","",+SUMIF('Argus Drop'!$D$7:$D$64,$A86,'Argus Drop'!BV$12:BV$64))</f>
        <v/>
      </c>
      <c r="CD86" s="440" t="str">
        <f>IF(CC86="","",+SUMIF('Argus Drop'!$D$7:$D$64,$A86,'Argus Drop'!BW$12:BW$64))</f>
        <v/>
      </c>
      <c r="CE86" s="440" t="str">
        <f>IF(CD86="","",+SUMIF('Argus Drop'!$D$7:$D$64,$A86,'Argus Drop'!BX$12:BX$64))</f>
        <v/>
      </c>
      <c r="CF86" s="440" t="str">
        <f>IF(CE86="","",+SUMIF('Argus Drop'!$D$7:$D$64,$A86,'Argus Drop'!BY$12:BY$64))</f>
        <v/>
      </c>
      <c r="CG86" s="440" t="str">
        <f>IF(CF86="","",+SUMIF('Argus Drop'!$D$7:$D$64,$A86,'Argus Drop'!BZ$12:BZ$64))</f>
        <v/>
      </c>
      <c r="CH86" s="440" t="str">
        <f>IF(CG86="","",+SUMIF('Argus Drop'!$D$7:$D$64,$A86,'Argus Drop'!CA$12:CA$64))</f>
        <v/>
      </c>
      <c r="CI86" s="440" t="str">
        <f>IF(CH86="","",+SUMIF('Argus Drop'!$D$7:$D$64,$A86,'Argus Drop'!CB$12:CB$64))</f>
        <v/>
      </c>
      <c r="CJ86" s="440" t="str">
        <f>IF(CI86="","",+SUMIF('Argus Drop'!$D$7:$D$64,$A86,'Argus Drop'!CC$12:CC$64))</f>
        <v/>
      </c>
      <c r="CK86" s="440" t="str">
        <f>IF(CJ86="","",+SUMIF('Argus Drop'!$D$7:$D$64,$A86,'Argus Drop'!CD$12:CD$64))</f>
        <v/>
      </c>
      <c r="CL86" s="440" t="str">
        <f>IF(CK86="","",+SUMIF('Argus Drop'!$D$7:$D$64,$A86,'Argus Drop'!CE$12:CE$64))</f>
        <v/>
      </c>
      <c r="CM86" s="440" t="str">
        <f>IF(CL86="","",+SUMIF('Argus Drop'!$D$7:$D$64,$A86,'Argus Drop'!CF$12:CF$64))</f>
        <v/>
      </c>
      <c r="CN86" s="440" t="str">
        <f>IF(CM86="","",+SUMIF('Argus Drop'!$D$7:$D$64,$A86,'Argus Drop'!#REF!))</f>
        <v/>
      </c>
      <c r="CO86" s="440" t="str">
        <f>IF(CN86="","",+SUMIF('Argus Drop'!$D$7:$D$64,$A86,'Argus Drop'!CG$12:CG$64))</f>
        <v/>
      </c>
      <c r="CP86" s="440" t="str">
        <f>IF(CO86="","",+SUMIF('Argus Drop'!$D$7:$D$64,$A86,'Argus Drop'!CH$12:CH$64))</f>
        <v/>
      </c>
      <c r="CQ86" s="440" t="str">
        <f>IF(CP86="","",+SUMIF('Argus Drop'!$D$7:$D$64,$A86,'Argus Drop'!CI$12:CI$64))</f>
        <v/>
      </c>
      <c r="CR86" s="440" t="str">
        <f>IF(CQ86="","",+SUMIF('Argus Drop'!$D$7:$D$64,$A86,'Argus Drop'!CJ$12:CJ$64))</f>
        <v/>
      </c>
      <c r="CS86" s="440" t="str">
        <f>IF(CR86="","",+SUMIF('Argus Drop'!$D$7:$D$64,$A86,'Argus Drop'!CK$12:CK$64))</f>
        <v/>
      </c>
      <c r="CT86" s="440" t="str">
        <f>IF(CS86="","",+SUMIF('Argus Drop'!$D$7:$D$64,$A86,'Argus Drop'!CL$12:CL$64))</f>
        <v/>
      </c>
      <c r="CU86" s="440" t="str">
        <f>IF(CT86="","",+SUMIF('Argus Drop'!$D$7:$D$64,$A86,'Argus Drop'!CM$12:CM$64))</f>
        <v/>
      </c>
      <c r="CV86" s="440" t="str">
        <f>IF(CU86="","",+SUMIF('Argus Drop'!$D$7:$D$64,$A86,'Argus Drop'!CN$12:CN$64))</f>
        <v/>
      </c>
      <c r="CW86" s="440" t="str">
        <f>IF(CV86="","",+SUMIF('Argus Drop'!$D$7:$D$64,$A86,'Argus Drop'!CO$12:CO$64))</f>
        <v/>
      </c>
      <c r="CX86" s="440" t="str">
        <f>IF(CW86="","",+SUMIF('Argus Drop'!$D$7:$D$64,$A86,'Argus Drop'!CP$12:CP$64))</f>
        <v/>
      </c>
      <c r="CY86" s="440" t="str">
        <f>IF(CX86="","",+SUMIF('Argus Drop'!$D$7:$D$64,$A86,'Argus Drop'!CQ$12:CQ$64))</f>
        <v/>
      </c>
      <c r="CZ86" s="440" t="str">
        <f>IF(CY86="","",+SUMIF('Argus Drop'!$D$7:$D$64,$A86,'Argus Drop'!CR$12:CR$64))</f>
        <v/>
      </c>
      <c r="DA86" s="440" t="str">
        <f>IF(CZ86="","",+SUMIF('Argus Drop'!$D$7:$D$64,$A86,'Argus Drop'!#REF!))</f>
        <v/>
      </c>
      <c r="DB86" s="440" t="str">
        <f>IF(DA86="","",+SUMIF('Argus Drop'!$D$7:$D$64,$A86,'Argus Drop'!CS$12:CS$64))</f>
        <v/>
      </c>
      <c r="DC86" s="440" t="str">
        <f>IF(DB86="","",+SUMIF('Argus Drop'!$D$7:$D$64,$A86,'Argus Drop'!CT$12:CT$64))</f>
        <v/>
      </c>
      <c r="DD86" s="440" t="str">
        <f>IF(DC86="","",+SUMIF('Argus Drop'!$D$7:$D$64,$A86,'Argus Drop'!CU$12:CU$64))</f>
        <v/>
      </c>
      <c r="DE86" s="440" t="str">
        <f>IF(DD86="","",+SUMIF('Argus Drop'!$D$7:$D$64,$A86,'Argus Drop'!CV$12:CV$64))</f>
        <v/>
      </c>
      <c r="DF86" s="440" t="str">
        <f>IF(DE86="","",+SUMIF('Argus Drop'!$D$7:$D$64,$A86,'Argus Drop'!CW$12:CW$64))</f>
        <v/>
      </c>
      <c r="DG86" s="440" t="str">
        <f>IF(DF86="","",+SUMIF('Argus Drop'!$D$7:$D$64,$A86,'Argus Drop'!CX$12:CX$64))</f>
        <v/>
      </c>
      <c r="DH86" s="440" t="str">
        <f>IF(DG86="","",+SUMIF('Argus Drop'!$D$7:$D$64,$A86,'Argus Drop'!CY$12:CY$64))</f>
        <v/>
      </c>
      <c r="DI86" s="440" t="str">
        <f>IF(DH86="","",+SUMIF('Argus Drop'!$D$7:$D$64,$A86,'Argus Drop'!CZ$12:CZ$64))</f>
        <v/>
      </c>
      <c r="DJ86" s="440" t="str">
        <f>IF(DI86="","",+SUMIF('Argus Drop'!$D$7:$D$64,$A86,'Argus Drop'!DA$12:DA$64))</f>
        <v/>
      </c>
      <c r="DK86" s="440" t="str">
        <f>IF(DJ86="","",+SUMIF('Argus Drop'!$D$7:$D$64,$A86,'Argus Drop'!DB$12:DB$64))</f>
        <v/>
      </c>
      <c r="DL86" s="440" t="str">
        <f>IF(DK86="","",+SUMIF('Argus Drop'!$D$7:$D$64,$A86,'Argus Drop'!DC$12:DC$64))</f>
        <v/>
      </c>
      <c r="DM86" s="440" t="str">
        <f>IF(DL86="","",+SUMIF('Argus Drop'!$D$7:$D$64,$A86,'Argus Drop'!DD$12:DD$64))</f>
        <v/>
      </c>
      <c r="DN86" s="440" t="str">
        <f>IF(DM86="","",+SUMIF('Argus Drop'!$D$7:$D$64,$A86,'Argus Drop'!#REF!))</f>
        <v/>
      </c>
      <c r="DO86" s="440" t="str">
        <f>IF(DN86="","",+SUMIF('Argus Drop'!$D$7:$D$64,$A86,'Argus Drop'!DE$12:DE$64))</f>
        <v/>
      </c>
      <c r="DP86" s="440" t="str">
        <f>IF(DO86="","",+SUMIF('Argus Drop'!$D$7:$D$64,$A86,'Argus Drop'!DF$12:DF$64))</f>
        <v/>
      </c>
      <c r="DQ86" s="440" t="str">
        <f>IF(DP86="","",+SUMIF('Argus Drop'!$D$7:$D$64,$A86,'Argus Drop'!DG$12:DG$64))</f>
        <v/>
      </c>
      <c r="DR86" s="440" t="str">
        <f>IF(DQ86="","",+SUMIF('Argus Drop'!$D$7:$D$64,$A86,'Argus Drop'!DH$12:DH$64))</f>
        <v/>
      </c>
      <c r="DS86" s="440"/>
      <c r="DT86" s="440"/>
      <c r="DU86" s="440"/>
      <c r="DV86" s="440"/>
      <c r="DW86" s="440"/>
      <c r="DX86" s="440"/>
      <c r="DY86" s="440"/>
      <c r="DZ86" s="440"/>
      <c r="EA86" s="440"/>
      <c r="EB86" s="440"/>
      <c r="EC86" s="440"/>
      <c r="ED86" s="1419"/>
      <c r="EE86" s="1419"/>
      <c r="EF86" s="1419"/>
      <c r="EG86" s="1419"/>
      <c r="EH86" s="1419"/>
      <c r="EI86" s="1419"/>
      <c r="EJ86" s="1419"/>
      <c r="EK86" s="1419"/>
      <c r="EL86" s="1419"/>
      <c r="EM86" s="1419"/>
      <c r="EN86" s="1419"/>
      <c r="EO86" s="1419"/>
      <c r="EP86" s="1419"/>
      <c r="EQ86" s="1419"/>
      <c r="ER86" s="1419"/>
      <c r="ES86" s="1419"/>
      <c r="ET86" s="1419"/>
      <c r="EU86" s="1419"/>
      <c r="EV86" s="1419"/>
      <c r="EW86" s="1419"/>
      <c r="EX86" s="1419"/>
      <c r="EY86" s="1419"/>
      <c r="EZ86" s="1419"/>
      <c r="FA86" s="1419"/>
      <c r="FB86" s="1419"/>
      <c r="FC86" s="1419"/>
      <c r="FD86" s="1419"/>
      <c r="FE86" s="1419"/>
      <c r="FF86" s="1419"/>
      <c r="FG86" s="1419"/>
      <c r="FH86" s="1419"/>
      <c r="FI86" s="1419"/>
    </row>
    <row r="87" spans="1:165">
      <c r="A87" s="448" t="str">
        <f>IF(+'Argus Drop'!B91="","",'Argus Drop'!B91)</f>
        <v/>
      </c>
      <c r="B87" s="440" t="str">
        <f>IF(A87="","",+SUMIF('Argus Drop'!$D$7:$D$64,$A87,'Argus Drop'!#REF!))</f>
        <v/>
      </c>
      <c r="C87" s="440" t="str">
        <f>IF(B87="","",+SUMIF('Argus Drop'!$D$7:$D$64,$A87,'Argus Drop'!#REF!))</f>
        <v/>
      </c>
      <c r="D87" s="440" t="str">
        <f>IF(C87="","",+SUMIF('Argus Drop'!$D$7:$D$64,$A87,'Argus Drop'!#REF!))</f>
        <v/>
      </c>
      <c r="E87" s="440" t="str">
        <f>IF(D87="","",+SUMIF('Argus Drop'!$D$7:$D$64,$A87,'Argus Drop'!#REF!))</f>
        <v/>
      </c>
      <c r="F87" s="440" t="str">
        <f>IF(E87="","",+SUMIF('Argus Drop'!$D$7:$D$64,$A87,'Argus Drop'!#REF!))</f>
        <v/>
      </c>
      <c r="G87" s="440" t="str">
        <f>IF(F87="","",+SUMIF('Argus Drop'!$D$7:$D$64,$A87,'Argus Drop'!F$7:F$64))</f>
        <v/>
      </c>
      <c r="H87" s="440" t="str">
        <f>IF(G87="","",+SUMIF('Argus Drop'!$D$7:$D$64,$A87,'Argus Drop'!G$12:G$64))</f>
        <v/>
      </c>
      <c r="I87" s="440" t="str">
        <f>IF(H87="","",+SUMIF('Argus Drop'!$D$7:$D$64,$A87,'Argus Drop'!H$12:H$64))</f>
        <v/>
      </c>
      <c r="J87" s="440" t="str">
        <f>IF(I87="","",+SUMIF('Argus Drop'!$D$7:$D$64,$A87,'Argus Drop'!I$12:I$64))</f>
        <v/>
      </c>
      <c r="K87" s="440" t="str">
        <f>IF(J87="","",+SUMIF('Argus Drop'!$D$7:$D$64,$A87,'Argus Drop'!J$12:J$64))</f>
        <v/>
      </c>
      <c r="L87" s="440" t="str">
        <f>IF(K87="","",+SUMIF('Argus Drop'!$D$7:$D$64,$A87,'Argus Drop'!K$12:K$64))</f>
        <v/>
      </c>
      <c r="M87" s="440" t="str">
        <f>IF(L87="","",+SUMIF('Argus Drop'!$D$7:$D$64,$A87,'Argus Drop'!L$12:L$64))</f>
        <v/>
      </c>
      <c r="N87" s="440" t="str">
        <f>IF(M87="","",+SUMIF('Argus Drop'!$D$7:$D$64,$A87,'Argus Drop'!#REF!))</f>
        <v/>
      </c>
      <c r="O87" s="440" t="str">
        <f>IF(N87="","",+SUMIF('Argus Drop'!$D$7:$D$64,$A87,'Argus Drop'!M$12:M$64))</f>
        <v/>
      </c>
      <c r="P87" s="440" t="str">
        <f>IF(O87="","",+SUMIF('Argus Drop'!$D$7:$D$64,$A87,'Argus Drop'!N$12:N$64))</f>
        <v/>
      </c>
      <c r="Q87" s="440" t="str">
        <f>IF(P87="","",+SUMIF('Argus Drop'!$D$7:$D$64,$A87,'Argus Drop'!O$12:O$64))</f>
        <v/>
      </c>
      <c r="R87" s="440" t="str">
        <f>IF(Q87="","",+SUMIF('Argus Drop'!$D$7:$D$64,$A87,'Argus Drop'!P$12:P$64))</f>
        <v/>
      </c>
      <c r="S87" s="440" t="str">
        <f>IF(R87="","",+SUMIF('Argus Drop'!$D$7:$D$64,$A87,'Argus Drop'!Q$12:Q$64))</f>
        <v/>
      </c>
      <c r="T87" s="440" t="str">
        <f>IF(S87="","",+SUMIF('Argus Drop'!$D$7:$D$64,$A87,'Argus Drop'!R$12:R$64))</f>
        <v/>
      </c>
      <c r="U87" s="440" t="str">
        <f>IF(T87="","",+SUMIF('Argus Drop'!$D$7:$D$64,$A87,'Argus Drop'!S$12:S$64))</f>
        <v/>
      </c>
      <c r="V87" s="440" t="str">
        <f>IF(U87="","",+SUMIF('Argus Drop'!$D$7:$D$64,$A87,'Argus Drop'!T$12:T$64))</f>
        <v/>
      </c>
      <c r="W87" s="440" t="str">
        <f>IF(V87="","",+SUMIF('Argus Drop'!$D$7:$D$64,$A87,'Argus Drop'!U$12:U$64))</f>
        <v/>
      </c>
      <c r="X87" s="440" t="str">
        <f>IF(W87="","",+SUMIF('Argus Drop'!$D$7:$D$64,$A87,'Argus Drop'!V$12:V$64))</f>
        <v/>
      </c>
      <c r="Y87" s="440" t="str">
        <f>IF(X87="","",+SUMIF('Argus Drop'!$D$7:$D$64,$A87,'Argus Drop'!W$12:W$64))</f>
        <v/>
      </c>
      <c r="Z87" s="440" t="str">
        <f>IF(Y87="","",+SUMIF('Argus Drop'!$D$7:$D$64,$A87,'Argus Drop'!X$12:X$64))</f>
        <v/>
      </c>
      <c r="AA87" s="440" t="str">
        <f>IF(Z87="","",+SUMIF('Argus Drop'!$D$7:$D$64,$A87,'Argus Drop'!#REF!))</f>
        <v/>
      </c>
      <c r="AB87" s="440" t="str">
        <f>IF(AA87="","",+SUMIF('Argus Drop'!$D$7:$D$64,$A87,'Argus Drop'!Y$12:Y$64))</f>
        <v/>
      </c>
      <c r="AC87" s="440" t="str">
        <f>IF(AB87="","",+SUMIF('Argus Drop'!$D$7:$D$64,$A87,'Argus Drop'!Z$12:Z$64))</f>
        <v/>
      </c>
      <c r="AD87" s="440" t="str">
        <f>IF(AC87="","",+SUMIF('Argus Drop'!$D$7:$D$64,$A87,'Argus Drop'!AA$12:AA$64))</f>
        <v/>
      </c>
      <c r="AE87" s="440" t="str">
        <f>IF(AD87="","",+SUMIF('Argus Drop'!$D$7:$D$64,$A87,'Argus Drop'!AB$12:AB$64))</f>
        <v/>
      </c>
      <c r="AF87" s="440" t="str">
        <f>IF(AE87="","",+SUMIF('Argus Drop'!$D$7:$D$64,$A87,'Argus Drop'!AC$12:AC$64))</f>
        <v/>
      </c>
      <c r="AG87" s="440" t="str">
        <f>IF(AF87="","",+SUMIF('Argus Drop'!$D$7:$D$64,$A87,'Argus Drop'!AD$12:AD$64))</f>
        <v/>
      </c>
      <c r="AH87" s="440" t="str">
        <f>IF(AG87="","",+SUMIF('Argus Drop'!$D$7:$D$64,$A87,'Argus Drop'!AE$12:AE$64))</f>
        <v/>
      </c>
      <c r="AI87" s="440" t="str">
        <f>IF(AH87="","",+SUMIF('Argus Drop'!$D$7:$D$64,$A87,'Argus Drop'!AF$12:AF$64))</f>
        <v/>
      </c>
      <c r="AJ87" s="440" t="str">
        <f>IF(AI87="","",+SUMIF('Argus Drop'!$D$7:$D$64,$A87,'Argus Drop'!AG$12:AG$64))</f>
        <v/>
      </c>
      <c r="AK87" s="440" t="str">
        <f>IF(AJ87="","",+SUMIF('Argus Drop'!$D$7:$D$64,$A87,'Argus Drop'!AH$12:AH$64))</f>
        <v/>
      </c>
      <c r="AL87" s="440" t="str">
        <f>IF(AK87="","",+SUMIF('Argus Drop'!$D$7:$D$64,$A87,'Argus Drop'!AI$12:AI$64))</f>
        <v/>
      </c>
      <c r="AM87" s="440" t="str">
        <f>IF(AL87="","",+SUMIF('Argus Drop'!$D$7:$D$64,$A87,'Argus Drop'!AJ$12:AJ$64))</f>
        <v/>
      </c>
      <c r="AN87" s="440" t="str">
        <f>IF(AM87="","",+SUMIF('Argus Drop'!$D$7:$D$64,$A87,'Argus Drop'!#REF!))</f>
        <v/>
      </c>
      <c r="AO87" s="440" t="str">
        <f>IF(AN87="","",+SUMIF('Argus Drop'!$D$7:$D$64,$A87,'Argus Drop'!AK$12:AK$64))</f>
        <v/>
      </c>
      <c r="AP87" s="440" t="str">
        <f>IF(AO87="","",+SUMIF('Argus Drop'!$D$7:$D$64,$A87,'Argus Drop'!AL$12:AL$64))</f>
        <v/>
      </c>
      <c r="AQ87" s="440" t="str">
        <f>IF(AP87="","",+SUMIF('Argus Drop'!$D$7:$D$64,$A87,'Argus Drop'!AM$12:AM$64))</f>
        <v/>
      </c>
      <c r="AR87" s="440" t="str">
        <f>IF(AQ87="","",+SUMIF('Argus Drop'!$D$7:$D$64,$A87,'Argus Drop'!AN$12:AN$64))</f>
        <v/>
      </c>
      <c r="AS87" s="440" t="str">
        <f>IF(AR87="","",+SUMIF('Argus Drop'!$D$7:$D$64,$A87,'Argus Drop'!AO$12:AO$64))</f>
        <v/>
      </c>
      <c r="AT87" s="440" t="str">
        <f>IF(AS87="","",+SUMIF('Argus Drop'!$D$7:$D$64,$A87,'Argus Drop'!AP$12:AP$64))</f>
        <v/>
      </c>
      <c r="AU87" s="440" t="str">
        <f>IF(AT87="","",+SUMIF('Argus Drop'!$D$7:$D$64,$A87,'Argus Drop'!AQ$12:AQ$64))</f>
        <v/>
      </c>
      <c r="AV87" s="440" t="str">
        <f>IF(AU87="","",+SUMIF('Argus Drop'!$D$7:$D$64,$A87,'Argus Drop'!AR$12:AR$64))</f>
        <v/>
      </c>
      <c r="AW87" s="440" t="str">
        <f>IF(AV87="","",+SUMIF('Argus Drop'!$D$7:$D$64,$A87,'Argus Drop'!AS$12:AS$64))</f>
        <v/>
      </c>
      <c r="AX87" s="440" t="str">
        <f>IF(AW87="","",+SUMIF('Argus Drop'!$D$7:$D$64,$A87,'Argus Drop'!AT$12:AT$64))</f>
        <v/>
      </c>
      <c r="AY87" s="440" t="str">
        <f>IF(AX87="","",+SUMIF('Argus Drop'!$D$7:$D$64,$A87,'Argus Drop'!AU$12:AU$64))</f>
        <v/>
      </c>
      <c r="AZ87" s="440" t="str">
        <f>IF(AY87="","",+SUMIF('Argus Drop'!$D$7:$D$64,$A87,'Argus Drop'!AV$12:AV$64))</f>
        <v/>
      </c>
      <c r="BA87" s="440" t="str">
        <f>IF(AZ87="","",+SUMIF('Argus Drop'!$D$7:$D$64,$A87,'Argus Drop'!#REF!))</f>
        <v/>
      </c>
      <c r="BB87" s="440" t="str">
        <f>IF(BA87="","",+SUMIF('Argus Drop'!$D$7:$D$64,$A87,'Argus Drop'!AW$12:AW$64))</f>
        <v/>
      </c>
      <c r="BC87" s="440" t="str">
        <f>IF(BB87="","",+SUMIF('Argus Drop'!$D$7:$D$64,$A87,'Argus Drop'!AX$12:AX$64))</f>
        <v/>
      </c>
      <c r="BD87" s="440" t="str">
        <f>IF(BC87="","",+SUMIF('Argus Drop'!$D$7:$D$64,$A87,'Argus Drop'!AY$12:AY$64))</f>
        <v/>
      </c>
      <c r="BE87" s="440" t="str">
        <f>IF(BD87="","",+SUMIF('Argus Drop'!$D$7:$D$64,$A87,'Argus Drop'!AZ$12:AZ$64))</f>
        <v/>
      </c>
      <c r="BF87" s="440" t="str">
        <f>IF(BE87="","",+SUMIF('Argus Drop'!$D$7:$D$64,$A87,'Argus Drop'!BA$12:BA$64))</f>
        <v/>
      </c>
      <c r="BG87" s="440" t="str">
        <f>IF(BF87="","",+SUMIF('Argus Drop'!$D$7:$D$64,$A87,'Argus Drop'!BB$12:BB$64))</f>
        <v/>
      </c>
      <c r="BH87" s="440" t="str">
        <f>IF(BG87="","",+SUMIF('Argus Drop'!$D$7:$D$64,$A87,'Argus Drop'!BC$12:BC$64))</f>
        <v/>
      </c>
      <c r="BI87" s="440" t="str">
        <f>IF(BH87="","",+SUMIF('Argus Drop'!$D$7:$D$64,$A87,'Argus Drop'!BD$12:BD$64))</f>
        <v/>
      </c>
      <c r="BJ87" s="440" t="str">
        <f>IF(BI87="","",+SUMIF('Argus Drop'!$D$7:$D$64,$A87,'Argus Drop'!BE$12:BE$64))</f>
        <v/>
      </c>
      <c r="BK87" s="440" t="str">
        <f>IF(BJ87="","",+SUMIF('Argus Drop'!$D$7:$D$64,$A87,'Argus Drop'!BF$12:BF$64))</f>
        <v/>
      </c>
      <c r="BL87" s="440" t="str">
        <f>IF(BK87="","",+SUMIF('Argus Drop'!$D$7:$D$64,$A87,'Argus Drop'!BG$12:BG$64))</f>
        <v/>
      </c>
      <c r="BM87" s="440" t="str">
        <f>IF(BL87="","",+SUMIF('Argus Drop'!$D$7:$D$64,$A87,'Argus Drop'!BH$12:BH$64))</f>
        <v/>
      </c>
      <c r="BN87" s="440" t="str">
        <f>IF(BM87="","",+SUMIF('Argus Drop'!$D$7:$D$64,$A87,'Argus Drop'!#REF!))</f>
        <v/>
      </c>
      <c r="BO87" s="440" t="str">
        <f>IF(BN87="","",+SUMIF('Argus Drop'!$D$7:$D$64,$A87,'Argus Drop'!BI$12:BI$64))</f>
        <v/>
      </c>
      <c r="BP87" s="440" t="str">
        <f>IF(BO87="","",+SUMIF('Argus Drop'!$D$7:$D$64,$A87,'Argus Drop'!BJ$12:BJ$64))</f>
        <v/>
      </c>
      <c r="BQ87" s="440" t="str">
        <f>IF(BP87="","",+SUMIF('Argus Drop'!$D$7:$D$64,$A87,'Argus Drop'!BK$12:BK$64))</f>
        <v/>
      </c>
      <c r="BR87" s="440" t="str">
        <f>IF(BQ87="","",+SUMIF('Argus Drop'!$D$7:$D$64,$A87,'Argus Drop'!BL$12:BL$64))</f>
        <v/>
      </c>
      <c r="BS87" s="440" t="str">
        <f>IF(BR87="","",+SUMIF('Argus Drop'!$D$7:$D$64,$A87,'Argus Drop'!BM$12:BM$64))</f>
        <v/>
      </c>
      <c r="BT87" s="440" t="str">
        <f>IF(BS87="","",+SUMIF('Argus Drop'!$D$7:$D$64,$A87,'Argus Drop'!BN$12:BN$64))</f>
        <v/>
      </c>
      <c r="BU87" s="440" t="str">
        <f>IF(BT87="","",+SUMIF('Argus Drop'!$D$7:$D$64,$A87,'Argus Drop'!BO$12:BO$64))</f>
        <v/>
      </c>
      <c r="BV87" s="440" t="str">
        <f>IF(BU87="","",+SUMIF('Argus Drop'!$D$7:$D$64,$A87,'Argus Drop'!BP$12:BP$64))</f>
        <v/>
      </c>
      <c r="BW87" s="440" t="str">
        <f>IF(BV87="","",+SUMIF('Argus Drop'!$D$7:$D$64,$A87,'Argus Drop'!BQ$12:BQ$64))</f>
        <v/>
      </c>
      <c r="BX87" s="440" t="str">
        <f>IF(BW87="","",+SUMIF('Argus Drop'!$D$7:$D$64,$A87,'Argus Drop'!BR$12:BR$64))</f>
        <v/>
      </c>
      <c r="BY87" s="440" t="str">
        <f>IF(BX87="","",+SUMIF('Argus Drop'!$D$7:$D$64,$A87,'Argus Drop'!BS$12:BS$64))</f>
        <v/>
      </c>
      <c r="BZ87" s="440" t="str">
        <f>IF(BY87="","",+SUMIF('Argus Drop'!$D$7:$D$64,$A87,'Argus Drop'!BT$12:BT$64))</f>
        <v/>
      </c>
      <c r="CA87" s="440" t="str">
        <f>IF(BZ87="","",+SUMIF('Argus Drop'!$D$7:$D$64,$A87,'Argus Drop'!#REF!))</f>
        <v/>
      </c>
      <c r="CB87" s="440" t="str">
        <f>IF(CA87="","",+SUMIF('Argus Drop'!$D$7:$D$64,$A87,'Argus Drop'!BU$12:BU$64))</f>
        <v/>
      </c>
      <c r="CC87" s="440" t="str">
        <f>IF(CB87="","",+SUMIF('Argus Drop'!$D$7:$D$64,$A87,'Argus Drop'!BV$12:BV$64))</f>
        <v/>
      </c>
      <c r="CD87" s="440" t="str">
        <f>IF(CC87="","",+SUMIF('Argus Drop'!$D$7:$D$64,$A87,'Argus Drop'!BW$12:BW$64))</f>
        <v/>
      </c>
      <c r="CE87" s="440" t="str">
        <f>IF(CD87="","",+SUMIF('Argus Drop'!$D$7:$D$64,$A87,'Argus Drop'!BX$12:BX$64))</f>
        <v/>
      </c>
      <c r="CF87" s="440" t="str">
        <f>IF(CE87="","",+SUMIF('Argus Drop'!$D$7:$D$64,$A87,'Argus Drop'!BY$12:BY$64))</f>
        <v/>
      </c>
      <c r="CG87" s="440" t="str">
        <f>IF(CF87="","",+SUMIF('Argus Drop'!$D$7:$D$64,$A87,'Argus Drop'!BZ$12:BZ$64))</f>
        <v/>
      </c>
      <c r="CH87" s="440" t="str">
        <f>IF(CG87="","",+SUMIF('Argus Drop'!$D$7:$D$64,$A87,'Argus Drop'!CA$12:CA$64))</f>
        <v/>
      </c>
      <c r="CI87" s="440" t="str">
        <f>IF(CH87="","",+SUMIF('Argus Drop'!$D$7:$D$64,$A87,'Argus Drop'!CB$12:CB$64))</f>
        <v/>
      </c>
      <c r="CJ87" s="440" t="str">
        <f>IF(CI87="","",+SUMIF('Argus Drop'!$D$7:$D$64,$A87,'Argus Drop'!CC$12:CC$64))</f>
        <v/>
      </c>
      <c r="CK87" s="440" t="str">
        <f>IF(CJ87="","",+SUMIF('Argus Drop'!$D$7:$D$64,$A87,'Argus Drop'!CD$12:CD$64))</f>
        <v/>
      </c>
      <c r="CL87" s="440" t="str">
        <f>IF(CK87="","",+SUMIF('Argus Drop'!$D$7:$D$64,$A87,'Argus Drop'!CE$12:CE$64))</f>
        <v/>
      </c>
      <c r="CM87" s="440" t="str">
        <f>IF(CL87="","",+SUMIF('Argus Drop'!$D$7:$D$64,$A87,'Argus Drop'!CF$12:CF$64))</f>
        <v/>
      </c>
      <c r="CN87" s="440" t="str">
        <f>IF(CM87="","",+SUMIF('Argus Drop'!$D$7:$D$64,$A87,'Argus Drop'!#REF!))</f>
        <v/>
      </c>
      <c r="CO87" s="440" t="str">
        <f>IF(CN87="","",+SUMIF('Argus Drop'!$D$7:$D$64,$A87,'Argus Drop'!CG$12:CG$64))</f>
        <v/>
      </c>
      <c r="CP87" s="440" t="str">
        <f>IF(CO87="","",+SUMIF('Argus Drop'!$D$7:$D$64,$A87,'Argus Drop'!CH$12:CH$64))</f>
        <v/>
      </c>
      <c r="CQ87" s="440" t="str">
        <f>IF(CP87="","",+SUMIF('Argus Drop'!$D$7:$D$64,$A87,'Argus Drop'!CI$12:CI$64))</f>
        <v/>
      </c>
      <c r="CR87" s="440" t="str">
        <f>IF(CQ87="","",+SUMIF('Argus Drop'!$D$7:$D$64,$A87,'Argus Drop'!CJ$12:CJ$64))</f>
        <v/>
      </c>
      <c r="CS87" s="440" t="str">
        <f>IF(CR87="","",+SUMIF('Argus Drop'!$D$7:$D$64,$A87,'Argus Drop'!CK$12:CK$64))</f>
        <v/>
      </c>
      <c r="CT87" s="440" t="str">
        <f>IF(CS87="","",+SUMIF('Argus Drop'!$D$7:$D$64,$A87,'Argus Drop'!CL$12:CL$64))</f>
        <v/>
      </c>
      <c r="CU87" s="440" t="str">
        <f>IF(CT87="","",+SUMIF('Argus Drop'!$D$7:$D$64,$A87,'Argus Drop'!CM$12:CM$64))</f>
        <v/>
      </c>
      <c r="CV87" s="440" t="str">
        <f>IF(CU87="","",+SUMIF('Argus Drop'!$D$7:$D$64,$A87,'Argus Drop'!CN$12:CN$64))</f>
        <v/>
      </c>
      <c r="CW87" s="440" t="str">
        <f>IF(CV87="","",+SUMIF('Argus Drop'!$D$7:$D$64,$A87,'Argus Drop'!CO$12:CO$64))</f>
        <v/>
      </c>
      <c r="CX87" s="440" t="str">
        <f>IF(CW87="","",+SUMIF('Argus Drop'!$D$7:$D$64,$A87,'Argus Drop'!CP$12:CP$64))</f>
        <v/>
      </c>
      <c r="CY87" s="440" t="str">
        <f>IF(CX87="","",+SUMIF('Argus Drop'!$D$7:$D$64,$A87,'Argus Drop'!CQ$12:CQ$64))</f>
        <v/>
      </c>
      <c r="CZ87" s="440" t="str">
        <f>IF(CY87="","",+SUMIF('Argus Drop'!$D$7:$D$64,$A87,'Argus Drop'!CR$12:CR$64))</f>
        <v/>
      </c>
      <c r="DA87" s="440" t="str">
        <f>IF(CZ87="","",+SUMIF('Argus Drop'!$D$7:$D$64,$A87,'Argus Drop'!#REF!))</f>
        <v/>
      </c>
      <c r="DB87" s="440" t="str">
        <f>IF(DA87="","",+SUMIF('Argus Drop'!$D$7:$D$64,$A87,'Argus Drop'!CS$12:CS$64))</f>
        <v/>
      </c>
      <c r="DC87" s="440" t="str">
        <f>IF(DB87="","",+SUMIF('Argus Drop'!$D$7:$D$64,$A87,'Argus Drop'!CT$12:CT$64))</f>
        <v/>
      </c>
      <c r="DD87" s="440" t="str">
        <f>IF(DC87="","",+SUMIF('Argus Drop'!$D$7:$D$64,$A87,'Argus Drop'!CU$12:CU$64))</f>
        <v/>
      </c>
      <c r="DE87" s="440" t="str">
        <f>IF(DD87="","",+SUMIF('Argus Drop'!$D$7:$D$64,$A87,'Argus Drop'!CV$12:CV$64))</f>
        <v/>
      </c>
      <c r="DF87" s="440" t="str">
        <f>IF(DE87="","",+SUMIF('Argus Drop'!$D$7:$D$64,$A87,'Argus Drop'!CW$12:CW$64))</f>
        <v/>
      </c>
      <c r="DG87" s="440" t="str">
        <f>IF(DF87="","",+SUMIF('Argus Drop'!$D$7:$D$64,$A87,'Argus Drop'!CX$12:CX$64))</f>
        <v/>
      </c>
      <c r="DH87" s="440" t="str">
        <f>IF(DG87="","",+SUMIF('Argus Drop'!$D$7:$D$64,$A87,'Argus Drop'!CY$12:CY$64))</f>
        <v/>
      </c>
      <c r="DI87" s="440" t="str">
        <f>IF(DH87="","",+SUMIF('Argus Drop'!$D$7:$D$64,$A87,'Argus Drop'!CZ$12:CZ$64))</f>
        <v/>
      </c>
      <c r="DJ87" s="440" t="str">
        <f>IF(DI87="","",+SUMIF('Argus Drop'!$D$7:$D$64,$A87,'Argus Drop'!DA$12:DA$64))</f>
        <v/>
      </c>
      <c r="DK87" s="440" t="str">
        <f>IF(DJ87="","",+SUMIF('Argus Drop'!$D$7:$D$64,$A87,'Argus Drop'!DB$12:DB$64))</f>
        <v/>
      </c>
      <c r="DL87" s="440" t="str">
        <f>IF(DK87="","",+SUMIF('Argus Drop'!$D$7:$D$64,$A87,'Argus Drop'!DC$12:DC$64))</f>
        <v/>
      </c>
      <c r="DM87" s="440" t="str">
        <f>IF(DL87="","",+SUMIF('Argus Drop'!$D$7:$D$64,$A87,'Argus Drop'!DD$12:DD$64))</f>
        <v/>
      </c>
      <c r="DN87" s="440" t="str">
        <f>IF(DM87="","",+SUMIF('Argus Drop'!$D$7:$D$64,$A87,'Argus Drop'!#REF!))</f>
        <v/>
      </c>
      <c r="DO87" s="440" t="str">
        <f>IF(DN87="","",+SUMIF('Argus Drop'!$D$7:$D$64,$A87,'Argus Drop'!DE$12:DE$64))</f>
        <v/>
      </c>
      <c r="DP87" s="440" t="str">
        <f>IF(DO87="","",+SUMIF('Argus Drop'!$D$7:$D$64,$A87,'Argus Drop'!DF$12:DF$64))</f>
        <v/>
      </c>
      <c r="DQ87" s="440" t="str">
        <f>IF(DP87="","",+SUMIF('Argus Drop'!$D$7:$D$64,$A87,'Argus Drop'!DG$12:DG$64))</f>
        <v/>
      </c>
      <c r="DR87" s="440" t="str">
        <f>IF(DQ87="","",+SUMIF('Argus Drop'!$D$7:$D$64,$A87,'Argus Drop'!DH$12:DH$64))</f>
        <v/>
      </c>
      <c r="DS87" s="440"/>
      <c r="DT87" s="440"/>
      <c r="DU87" s="440"/>
      <c r="DV87" s="440"/>
      <c r="DW87" s="440"/>
      <c r="DX87" s="440"/>
      <c r="DY87" s="440"/>
      <c r="DZ87" s="440"/>
      <c r="EA87" s="440"/>
      <c r="EB87" s="440"/>
      <c r="EC87" s="440"/>
      <c r="ED87" s="1419"/>
      <c r="EE87" s="1419"/>
      <c r="EF87" s="1419"/>
      <c r="EG87" s="1419"/>
      <c r="EH87" s="1419"/>
      <c r="EI87" s="1419"/>
      <c r="EJ87" s="1419"/>
      <c r="EK87" s="1419"/>
      <c r="EL87" s="1419"/>
      <c r="EM87" s="1419"/>
      <c r="EN87" s="1419"/>
      <c r="EO87" s="1419"/>
      <c r="EP87" s="1419"/>
      <c r="EQ87" s="1419"/>
      <c r="ER87" s="1419"/>
      <c r="ES87" s="1419"/>
      <c r="ET87" s="1419"/>
      <c r="EU87" s="1419"/>
      <c r="EV87" s="1419"/>
      <c r="EW87" s="1419"/>
      <c r="EX87" s="1419"/>
      <c r="EY87" s="1419"/>
      <c r="EZ87" s="1419"/>
      <c r="FA87" s="1419"/>
      <c r="FB87" s="1419"/>
      <c r="FC87" s="1419"/>
      <c r="FD87" s="1419"/>
      <c r="FE87" s="1419"/>
      <c r="FF87" s="1419"/>
      <c r="FG87" s="1419"/>
      <c r="FH87" s="1419"/>
      <c r="FI87" s="1419"/>
    </row>
    <row r="88" spans="1:165">
      <c r="A88" s="448" t="str">
        <f>IF(+'Argus Drop'!B92="","",'Argus Drop'!B92)</f>
        <v/>
      </c>
      <c r="B88" s="440" t="str">
        <f>IF(A88="","",+SUMIF('Argus Drop'!$D$7:$D$64,$A88,'Argus Drop'!#REF!))</f>
        <v/>
      </c>
      <c r="C88" s="440" t="str">
        <f>IF(B88="","",+SUMIF('Argus Drop'!$D$7:$D$64,$A88,'Argus Drop'!#REF!))</f>
        <v/>
      </c>
      <c r="D88" s="440" t="str">
        <f>IF(C88="","",+SUMIF('Argus Drop'!$D$7:$D$64,$A88,'Argus Drop'!#REF!))</f>
        <v/>
      </c>
      <c r="E88" s="440" t="str">
        <f>IF(D88="","",+SUMIF('Argus Drop'!$D$7:$D$64,$A88,'Argus Drop'!#REF!))</f>
        <v/>
      </c>
      <c r="F88" s="440" t="str">
        <f>IF(E88="","",+SUMIF('Argus Drop'!$D$7:$D$64,$A88,'Argus Drop'!#REF!))</f>
        <v/>
      </c>
      <c r="G88" s="440" t="str">
        <f>IF(F88="","",+SUMIF('Argus Drop'!$D$7:$D$64,$A88,'Argus Drop'!F$7:F$64))</f>
        <v/>
      </c>
      <c r="H88" s="440" t="str">
        <f>IF(G88="","",+SUMIF('Argus Drop'!$D$7:$D$64,$A88,'Argus Drop'!G$12:G$64))</f>
        <v/>
      </c>
      <c r="I88" s="440" t="str">
        <f>IF(H88="","",+SUMIF('Argus Drop'!$D$7:$D$64,$A88,'Argus Drop'!H$12:H$64))</f>
        <v/>
      </c>
      <c r="J88" s="440" t="str">
        <f>IF(I88="","",+SUMIF('Argus Drop'!$D$7:$D$64,$A88,'Argus Drop'!I$12:I$64))</f>
        <v/>
      </c>
      <c r="K88" s="440" t="str">
        <f>IF(J88="","",+SUMIF('Argus Drop'!$D$7:$D$64,$A88,'Argus Drop'!J$12:J$64))</f>
        <v/>
      </c>
      <c r="L88" s="440" t="str">
        <f>IF(K88="","",+SUMIF('Argus Drop'!$D$7:$D$64,$A88,'Argus Drop'!K$12:K$64))</f>
        <v/>
      </c>
      <c r="M88" s="440" t="str">
        <f>IF(L88="","",+SUMIF('Argus Drop'!$D$7:$D$64,$A88,'Argus Drop'!L$12:L$64))</f>
        <v/>
      </c>
      <c r="N88" s="440" t="str">
        <f>IF(M88="","",+SUMIF('Argus Drop'!$D$7:$D$64,$A88,'Argus Drop'!#REF!))</f>
        <v/>
      </c>
      <c r="O88" s="440" t="str">
        <f>IF(N88="","",+SUMIF('Argus Drop'!$D$7:$D$64,$A88,'Argus Drop'!M$12:M$64))</f>
        <v/>
      </c>
      <c r="P88" s="440" t="str">
        <f>IF(O88="","",+SUMIF('Argus Drop'!$D$7:$D$64,$A88,'Argus Drop'!N$12:N$64))</f>
        <v/>
      </c>
      <c r="Q88" s="440" t="str">
        <f>IF(P88="","",+SUMIF('Argus Drop'!$D$7:$D$64,$A88,'Argus Drop'!O$12:O$64))</f>
        <v/>
      </c>
      <c r="R88" s="440" t="str">
        <f>IF(Q88="","",+SUMIF('Argus Drop'!$D$7:$D$64,$A88,'Argus Drop'!P$12:P$64))</f>
        <v/>
      </c>
      <c r="S88" s="440" t="str">
        <f>IF(R88="","",+SUMIF('Argus Drop'!$D$7:$D$64,$A88,'Argus Drop'!Q$12:Q$64))</f>
        <v/>
      </c>
      <c r="T88" s="440" t="str">
        <f>IF(S88="","",+SUMIF('Argus Drop'!$D$7:$D$64,$A88,'Argus Drop'!R$12:R$64))</f>
        <v/>
      </c>
      <c r="U88" s="440" t="str">
        <f>IF(T88="","",+SUMIF('Argus Drop'!$D$7:$D$64,$A88,'Argus Drop'!S$12:S$64))</f>
        <v/>
      </c>
      <c r="V88" s="440" t="str">
        <f>IF(U88="","",+SUMIF('Argus Drop'!$D$7:$D$64,$A88,'Argus Drop'!T$12:T$64))</f>
        <v/>
      </c>
      <c r="W88" s="440" t="str">
        <f>IF(V88="","",+SUMIF('Argus Drop'!$D$7:$D$64,$A88,'Argus Drop'!U$12:U$64))</f>
        <v/>
      </c>
      <c r="X88" s="440" t="str">
        <f>IF(W88="","",+SUMIF('Argus Drop'!$D$7:$D$64,$A88,'Argus Drop'!V$12:V$64))</f>
        <v/>
      </c>
      <c r="Y88" s="440" t="str">
        <f>IF(X88="","",+SUMIF('Argus Drop'!$D$7:$D$64,$A88,'Argus Drop'!W$12:W$64))</f>
        <v/>
      </c>
      <c r="Z88" s="440" t="str">
        <f>IF(Y88="","",+SUMIF('Argus Drop'!$D$7:$D$64,$A88,'Argus Drop'!X$12:X$64))</f>
        <v/>
      </c>
      <c r="AA88" s="440" t="str">
        <f>IF(Z88="","",+SUMIF('Argus Drop'!$D$7:$D$64,$A88,'Argus Drop'!#REF!))</f>
        <v/>
      </c>
      <c r="AB88" s="440" t="str">
        <f>IF(AA88="","",+SUMIF('Argus Drop'!$D$7:$D$64,$A88,'Argus Drop'!Y$12:Y$64))</f>
        <v/>
      </c>
      <c r="AC88" s="440" t="str">
        <f>IF(AB88="","",+SUMIF('Argus Drop'!$D$7:$D$64,$A88,'Argus Drop'!Z$12:Z$64))</f>
        <v/>
      </c>
      <c r="AD88" s="440" t="str">
        <f>IF(AC88="","",+SUMIF('Argus Drop'!$D$7:$D$64,$A88,'Argus Drop'!AA$12:AA$64))</f>
        <v/>
      </c>
      <c r="AE88" s="440" t="str">
        <f>IF(AD88="","",+SUMIF('Argus Drop'!$D$7:$D$64,$A88,'Argus Drop'!AB$12:AB$64))</f>
        <v/>
      </c>
      <c r="AF88" s="440" t="str">
        <f>IF(AE88="","",+SUMIF('Argus Drop'!$D$7:$D$64,$A88,'Argus Drop'!AC$12:AC$64))</f>
        <v/>
      </c>
      <c r="AG88" s="440" t="str">
        <f>IF(AF88="","",+SUMIF('Argus Drop'!$D$7:$D$64,$A88,'Argus Drop'!AD$12:AD$64))</f>
        <v/>
      </c>
      <c r="AH88" s="440" t="str">
        <f>IF(AG88="","",+SUMIF('Argus Drop'!$D$7:$D$64,$A88,'Argus Drop'!AE$12:AE$64))</f>
        <v/>
      </c>
      <c r="AI88" s="440" t="str">
        <f>IF(AH88="","",+SUMIF('Argus Drop'!$D$7:$D$64,$A88,'Argus Drop'!AF$12:AF$64))</f>
        <v/>
      </c>
      <c r="AJ88" s="440" t="str">
        <f>IF(AI88="","",+SUMIF('Argus Drop'!$D$7:$D$64,$A88,'Argus Drop'!AG$12:AG$64))</f>
        <v/>
      </c>
      <c r="AK88" s="440" t="str">
        <f>IF(AJ88="","",+SUMIF('Argus Drop'!$D$7:$D$64,$A88,'Argus Drop'!AH$12:AH$64))</f>
        <v/>
      </c>
      <c r="AL88" s="440" t="str">
        <f>IF(AK88="","",+SUMIF('Argus Drop'!$D$7:$D$64,$A88,'Argus Drop'!AI$12:AI$64))</f>
        <v/>
      </c>
      <c r="AM88" s="440" t="str">
        <f>IF(AL88="","",+SUMIF('Argus Drop'!$D$7:$D$64,$A88,'Argus Drop'!AJ$12:AJ$64))</f>
        <v/>
      </c>
      <c r="AN88" s="440" t="str">
        <f>IF(AM88="","",+SUMIF('Argus Drop'!$D$7:$D$64,$A88,'Argus Drop'!#REF!))</f>
        <v/>
      </c>
      <c r="AO88" s="440" t="str">
        <f>IF(AN88="","",+SUMIF('Argus Drop'!$D$7:$D$64,$A88,'Argus Drop'!AK$12:AK$64))</f>
        <v/>
      </c>
      <c r="AP88" s="440" t="str">
        <f>IF(AO88="","",+SUMIF('Argus Drop'!$D$7:$D$64,$A88,'Argus Drop'!AL$12:AL$64))</f>
        <v/>
      </c>
      <c r="AQ88" s="440" t="str">
        <f>IF(AP88="","",+SUMIF('Argus Drop'!$D$7:$D$64,$A88,'Argus Drop'!AM$12:AM$64))</f>
        <v/>
      </c>
      <c r="AR88" s="440" t="str">
        <f>IF(AQ88="","",+SUMIF('Argus Drop'!$D$7:$D$64,$A88,'Argus Drop'!AN$12:AN$64))</f>
        <v/>
      </c>
      <c r="AS88" s="440" t="str">
        <f>IF(AR88="","",+SUMIF('Argus Drop'!$D$7:$D$64,$A88,'Argus Drop'!AO$12:AO$64))</f>
        <v/>
      </c>
      <c r="AT88" s="440" t="str">
        <f>IF(AS88="","",+SUMIF('Argus Drop'!$D$7:$D$64,$A88,'Argus Drop'!AP$12:AP$64))</f>
        <v/>
      </c>
      <c r="AU88" s="440" t="str">
        <f>IF(AT88="","",+SUMIF('Argus Drop'!$D$7:$D$64,$A88,'Argus Drop'!AQ$12:AQ$64))</f>
        <v/>
      </c>
      <c r="AV88" s="440" t="str">
        <f>IF(AU88="","",+SUMIF('Argus Drop'!$D$7:$D$64,$A88,'Argus Drop'!AR$12:AR$64))</f>
        <v/>
      </c>
      <c r="AW88" s="440" t="str">
        <f>IF(AV88="","",+SUMIF('Argus Drop'!$D$7:$D$64,$A88,'Argus Drop'!AS$12:AS$64))</f>
        <v/>
      </c>
      <c r="AX88" s="440" t="str">
        <f>IF(AW88="","",+SUMIF('Argus Drop'!$D$7:$D$64,$A88,'Argus Drop'!AT$12:AT$64))</f>
        <v/>
      </c>
      <c r="AY88" s="440" t="str">
        <f>IF(AX88="","",+SUMIF('Argus Drop'!$D$7:$D$64,$A88,'Argus Drop'!AU$12:AU$64))</f>
        <v/>
      </c>
      <c r="AZ88" s="440" t="str">
        <f>IF(AY88="","",+SUMIF('Argus Drop'!$D$7:$D$64,$A88,'Argus Drop'!AV$12:AV$64))</f>
        <v/>
      </c>
      <c r="BA88" s="440" t="str">
        <f>IF(AZ88="","",+SUMIF('Argus Drop'!$D$7:$D$64,$A88,'Argus Drop'!#REF!))</f>
        <v/>
      </c>
      <c r="BB88" s="440" t="str">
        <f>IF(BA88="","",+SUMIF('Argus Drop'!$D$7:$D$64,$A88,'Argus Drop'!AW$12:AW$64))</f>
        <v/>
      </c>
      <c r="BC88" s="440" t="str">
        <f>IF(BB88="","",+SUMIF('Argus Drop'!$D$7:$D$64,$A88,'Argus Drop'!AX$12:AX$64))</f>
        <v/>
      </c>
      <c r="BD88" s="440" t="str">
        <f>IF(BC88="","",+SUMIF('Argus Drop'!$D$7:$D$64,$A88,'Argus Drop'!AY$12:AY$64))</f>
        <v/>
      </c>
      <c r="BE88" s="440" t="str">
        <f>IF(BD88="","",+SUMIF('Argus Drop'!$D$7:$D$64,$A88,'Argus Drop'!AZ$12:AZ$64))</f>
        <v/>
      </c>
      <c r="BF88" s="440" t="str">
        <f>IF(BE88="","",+SUMIF('Argus Drop'!$D$7:$D$64,$A88,'Argus Drop'!BA$12:BA$64))</f>
        <v/>
      </c>
      <c r="BG88" s="440" t="str">
        <f>IF(BF88="","",+SUMIF('Argus Drop'!$D$7:$D$64,$A88,'Argus Drop'!BB$12:BB$64))</f>
        <v/>
      </c>
      <c r="BH88" s="440" t="str">
        <f>IF(BG88="","",+SUMIF('Argus Drop'!$D$7:$D$64,$A88,'Argus Drop'!BC$12:BC$64))</f>
        <v/>
      </c>
      <c r="BI88" s="440" t="str">
        <f>IF(BH88="","",+SUMIF('Argus Drop'!$D$7:$D$64,$A88,'Argus Drop'!BD$12:BD$64))</f>
        <v/>
      </c>
      <c r="BJ88" s="440" t="str">
        <f>IF(BI88="","",+SUMIF('Argus Drop'!$D$7:$D$64,$A88,'Argus Drop'!BE$12:BE$64))</f>
        <v/>
      </c>
      <c r="BK88" s="440" t="str">
        <f>IF(BJ88="","",+SUMIF('Argus Drop'!$D$7:$D$64,$A88,'Argus Drop'!BF$12:BF$64))</f>
        <v/>
      </c>
      <c r="BL88" s="440" t="str">
        <f>IF(BK88="","",+SUMIF('Argus Drop'!$D$7:$D$64,$A88,'Argus Drop'!BG$12:BG$64))</f>
        <v/>
      </c>
      <c r="BM88" s="440" t="str">
        <f>IF(BL88="","",+SUMIF('Argus Drop'!$D$7:$D$64,$A88,'Argus Drop'!BH$12:BH$64))</f>
        <v/>
      </c>
      <c r="BN88" s="440" t="str">
        <f>IF(BM88="","",+SUMIF('Argus Drop'!$D$7:$D$64,$A88,'Argus Drop'!#REF!))</f>
        <v/>
      </c>
      <c r="BO88" s="440" t="str">
        <f>IF(BN88="","",+SUMIF('Argus Drop'!$D$7:$D$64,$A88,'Argus Drop'!BI$12:BI$64))</f>
        <v/>
      </c>
      <c r="BP88" s="440" t="str">
        <f>IF(BO88="","",+SUMIF('Argus Drop'!$D$7:$D$64,$A88,'Argus Drop'!BJ$12:BJ$64))</f>
        <v/>
      </c>
      <c r="BQ88" s="440" t="str">
        <f>IF(BP88="","",+SUMIF('Argus Drop'!$D$7:$D$64,$A88,'Argus Drop'!BK$12:BK$64))</f>
        <v/>
      </c>
      <c r="BR88" s="440" t="str">
        <f>IF(BQ88="","",+SUMIF('Argus Drop'!$D$7:$D$64,$A88,'Argus Drop'!BL$12:BL$64))</f>
        <v/>
      </c>
      <c r="BS88" s="440" t="str">
        <f>IF(BR88="","",+SUMIF('Argus Drop'!$D$7:$D$64,$A88,'Argus Drop'!BM$12:BM$64))</f>
        <v/>
      </c>
      <c r="BT88" s="440" t="str">
        <f>IF(BS88="","",+SUMIF('Argus Drop'!$D$7:$D$64,$A88,'Argus Drop'!BN$12:BN$64))</f>
        <v/>
      </c>
      <c r="BU88" s="440" t="str">
        <f>IF(BT88="","",+SUMIF('Argus Drop'!$D$7:$D$64,$A88,'Argus Drop'!BO$12:BO$64))</f>
        <v/>
      </c>
      <c r="BV88" s="440" t="str">
        <f>IF(BU88="","",+SUMIF('Argus Drop'!$D$7:$D$64,$A88,'Argus Drop'!BP$12:BP$64))</f>
        <v/>
      </c>
      <c r="BW88" s="440" t="str">
        <f>IF(BV88="","",+SUMIF('Argus Drop'!$D$7:$D$64,$A88,'Argus Drop'!BQ$12:BQ$64))</f>
        <v/>
      </c>
      <c r="BX88" s="440" t="str">
        <f>IF(BW88="","",+SUMIF('Argus Drop'!$D$7:$D$64,$A88,'Argus Drop'!BR$12:BR$64))</f>
        <v/>
      </c>
      <c r="BY88" s="440" t="str">
        <f>IF(BX88="","",+SUMIF('Argus Drop'!$D$7:$D$64,$A88,'Argus Drop'!BS$12:BS$64))</f>
        <v/>
      </c>
      <c r="BZ88" s="440" t="str">
        <f>IF(BY88="","",+SUMIF('Argus Drop'!$D$7:$D$64,$A88,'Argus Drop'!BT$12:BT$64))</f>
        <v/>
      </c>
      <c r="CA88" s="440" t="str">
        <f>IF(BZ88="","",+SUMIF('Argus Drop'!$D$7:$D$64,$A88,'Argus Drop'!#REF!))</f>
        <v/>
      </c>
      <c r="CB88" s="440" t="str">
        <f>IF(CA88="","",+SUMIF('Argus Drop'!$D$7:$D$64,$A88,'Argus Drop'!BU$12:BU$64))</f>
        <v/>
      </c>
      <c r="CC88" s="440" t="str">
        <f>IF(CB88="","",+SUMIF('Argus Drop'!$D$7:$D$64,$A88,'Argus Drop'!BV$12:BV$64))</f>
        <v/>
      </c>
      <c r="CD88" s="440" t="str">
        <f>IF(CC88="","",+SUMIF('Argus Drop'!$D$7:$D$64,$A88,'Argus Drop'!BW$12:BW$64))</f>
        <v/>
      </c>
      <c r="CE88" s="440" t="str">
        <f>IF(CD88="","",+SUMIF('Argus Drop'!$D$7:$D$64,$A88,'Argus Drop'!BX$12:BX$64))</f>
        <v/>
      </c>
      <c r="CF88" s="440" t="str">
        <f>IF(CE88="","",+SUMIF('Argus Drop'!$D$7:$D$64,$A88,'Argus Drop'!BY$12:BY$64))</f>
        <v/>
      </c>
      <c r="CG88" s="440" t="str">
        <f>IF(CF88="","",+SUMIF('Argus Drop'!$D$7:$D$64,$A88,'Argus Drop'!BZ$12:BZ$64))</f>
        <v/>
      </c>
      <c r="CH88" s="440" t="str">
        <f>IF(CG88="","",+SUMIF('Argus Drop'!$D$7:$D$64,$A88,'Argus Drop'!CA$12:CA$64))</f>
        <v/>
      </c>
      <c r="CI88" s="440" t="str">
        <f>IF(CH88="","",+SUMIF('Argus Drop'!$D$7:$D$64,$A88,'Argus Drop'!CB$12:CB$64))</f>
        <v/>
      </c>
      <c r="CJ88" s="440" t="str">
        <f>IF(CI88="","",+SUMIF('Argus Drop'!$D$7:$D$64,$A88,'Argus Drop'!CC$12:CC$64))</f>
        <v/>
      </c>
      <c r="CK88" s="440" t="str">
        <f>IF(CJ88="","",+SUMIF('Argus Drop'!$D$7:$D$64,$A88,'Argus Drop'!CD$12:CD$64))</f>
        <v/>
      </c>
      <c r="CL88" s="440" t="str">
        <f>IF(CK88="","",+SUMIF('Argus Drop'!$D$7:$D$64,$A88,'Argus Drop'!CE$12:CE$64))</f>
        <v/>
      </c>
      <c r="CM88" s="440" t="str">
        <f>IF(CL88="","",+SUMIF('Argus Drop'!$D$7:$D$64,$A88,'Argus Drop'!CF$12:CF$64))</f>
        <v/>
      </c>
      <c r="CN88" s="440" t="str">
        <f>IF(CM88="","",+SUMIF('Argus Drop'!$D$7:$D$64,$A88,'Argus Drop'!#REF!))</f>
        <v/>
      </c>
      <c r="CO88" s="440" t="str">
        <f>IF(CN88="","",+SUMIF('Argus Drop'!$D$7:$D$64,$A88,'Argus Drop'!CG$12:CG$64))</f>
        <v/>
      </c>
      <c r="CP88" s="440" t="str">
        <f>IF(CO88="","",+SUMIF('Argus Drop'!$D$7:$D$64,$A88,'Argus Drop'!CH$12:CH$64))</f>
        <v/>
      </c>
      <c r="CQ88" s="440" t="str">
        <f>IF(CP88="","",+SUMIF('Argus Drop'!$D$7:$D$64,$A88,'Argus Drop'!CI$12:CI$64))</f>
        <v/>
      </c>
      <c r="CR88" s="440" t="str">
        <f>IF(CQ88="","",+SUMIF('Argus Drop'!$D$7:$D$64,$A88,'Argus Drop'!CJ$12:CJ$64))</f>
        <v/>
      </c>
      <c r="CS88" s="440" t="str">
        <f>IF(CR88="","",+SUMIF('Argus Drop'!$D$7:$D$64,$A88,'Argus Drop'!CK$12:CK$64))</f>
        <v/>
      </c>
      <c r="CT88" s="440" t="str">
        <f>IF(CS88="","",+SUMIF('Argus Drop'!$D$7:$D$64,$A88,'Argus Drop'!CL$12:CL$64))</f>
        <v/>
      </c>
      <c r="CU88" s="440" t="str">
        <f>IF(CT88="","",+SUMIF('Argus Drop'!$D$7:$D$64,$A88,'Argus Drop'!CM$12:CM$64))</f>
        <v/>
      </c>
      <c r="CV88" s="440" t="str">
        <f>IF(CU88="","",+SUMIF('Argus Drop'!$D$7:$D$64,$A88,'Argus Drop'!CN$12:CN$64))</f>
        <v/>
      </c>
      <c r="CW88" s="440" t="str">
        <f>IF(CV88="","",+SUMIF('Argus Drop'!$D$7:$D$64,$A88,'Argus Drop'!CO$12:CO$64))</f>
        <v/>
      </c>
      <c r="CX88" s="440" t="str">
        <f>IF(CW88="","",+SUMIF('Argus Drop'!$D$7:$D$64,$A88,'Argus Drop'!CP$12:CP$64))</f>
        <v/>
      </c>
      <c r="CY88" s="440" t="str">
        <f>IF(CX88="","",+SUMIF('Argus Drop'!$D$7:$D$64,$A88,'Argus Drop'!CQ$12:CQ$64))</f>
        <v/>
      </c>
      <c r="CZ88" s="440" t="str">
        <f>IF(CY88="","",+SUMIF('Argus Drop'!$D$7:$D$64,$A88,'Argus Drop'!CR$12:CR$64))</f>
        <v/>
      </c>
      <c r="DA88" s="440" t="str">
        <f>IF(CZ88="","",+SUMIF('Argus Drop'!$D$7:$D$64,$A88,'Argus Drop'!#REF!))</f>
        <v/>
      </c>
      <c r="DB88" s="440" t="str">
        <f>IF(DA88="","",+SUMIF('Argus Drop'!$D$7:$D$64,$A88,'Argus Drop'!CS$12:CS$64))</f>
        <v/>
      </c>
      <c r="DC88" s="440" t="str">
        <f>IF(DB88="","",+SUMIF('Argus Drop'!$D$7:$D$64,$A88,'Argus Drop'!CT$12:CT$64))</f>
        <v/>
      </c>
      <c r="DD88" s="440" t="str">
        <f>IF(DC88="","",+SUMIF('Argus Drop'!$D$7:$D$64,$A88,'Argus Drop'!CU$12:CU$64))</f>
        <v/>
      </c>
      <c r="DE88" s="440" t="str">
        <f>IF(DD88="","",+SUMIF('Argus Drop'!$D$7:$D$64,$A88,'Argus Drop'!CV$12:CV$64))</f>
        <v/>
      </c>
      <c r="DF88" s="440" t="str">
        <f>IF(DE88="","",+SUMIF('Argus Drop'!$D$7:$D$64,$A88,'Argus Drop'!CW$12:CW$64))</f>
        <v/>
      </c>
      <c r="DG88" s="440" t="str">
        <f>IF(DF88="","",+SUMIF('Argus Drop'!$D$7:$D$64,$A88,'Argus Drop'!CX$12:CX$64))</f>
        <v/>
      </c>
      <c r="DH88" s="440" t="str">
        <f>IF(DG88="","",+SUMIF('Argus Drop'!$D$7:$D$64,$A88,'Argus Drop'!CY$12:CY$64))</f>
        <v/>
      </c>
      <c r="DI88" s="440" t="str">
        <f>IF(DH88="","",+SUMIF('Argus Drop'!$D$7:$D$64,$A88,'Argus Drop'!CZ$12:CZ$64))</f>
        <v/>
      </c>
      <c r="DJ88" s="440" t="str">
        <f>IF(DI88="","",+SUMIF('Argus Drop'!$D$7:$D$64,$A88,'Argus Drop'!DA$12:DA$64))</f>
        <v/>
      </c>
      <c r="DK88" s="440" t="str">
        <f>IF(DJ88="","",+SUMIF('Argus Drop'!$D$7:$D$64,$A88,'Argus Drop'!DB$12:DB$64))</f>
        <v/>
      </c>
      <c r="DL88" s="440" t="str">
        <f>IF(DK88="","",+SUMIF('Argus Drop'!$D$7:$D$64,$A88,'Argus Drop'!DC$12:DC$64))</f>
        <v/>
      </c>
      <c r="DM88" s="440" t="str">
        <f>IF(DL88="","",+SUMIF('Argus Drop'!$D$7:$D$64,$A88,'Argus Drop'!DD$12:DD$64))</f>
        <v/>
      </c>
      <c r="DN88" s="440" t="str">
        <f>IF(DM88="","",+SUMIF('Argus Drop'!$D$7:$D$64,$A88,'Argus Drop'!#REF!))</f>
        <v/>
      </c>
      <c r="DO88" s="440" t="str">
        <f>IF(DN88="","",+SUMIF('Argus Drop'!$D$7:$D$64,$A88,'Argus Drop'!DE$12:DE$64))</f>
        <v/>
      </c>
      <c r="DP88" s="440" t="str">
        <f>IF(DO88="","",+SUMIF('Argus Drop'!$D$7:$D$64,$A88,'Argus Drop'!DF$12:DF$64))</f>
        <v/>
      </c>
      <c r="DQ88" s="440" t="str">
        <f>IF(DP88="","",+SUMIF('Argus Drop'!$D$7:$D$64,$A88,'Argus Drop'!DG$12:DG$64))</f>
        <v/>
      </c>
      <c r="DR88" s="440" t="str">
        <f>IF(DQ88="","",+SUMIF('Argus Drop'!$D$7:$D$64,$A88,'Argus Drop'!DH$12:DH$64))</f>
        <v/>
      </c>
      <c r="DS88" s="440"/>
      <c r="DT88" s="440"/>
      <c r="DU88" s="440"/>
      <c r="DV88" s="440"/>
      <c r="DW88" s="440"/>
      <c r="DX88" s="440"/>
      <c r="DY88" s="440"/>
      <c r="DZ88" s="440"/>
      <c r="EA88" s="440"/>
      <c r="EB88" s="440"/>
      <c r="EC88" s="440"/>
      <c r="ED88" s="1419"/>
      <c r="EE88" s="1419"/>
      <c r="EF88" s="1419"/>
      <c r="EG88" s="1419"/>
      <c r="EH88" s="1419"/>
      <c r="EI88" s="1419"/>
      <c r="EJ88" s="1419"/>
      <c r="EK88" s="1419"/>
      <c r="EL88" s="1419"/>
      <c r="EM88" s="1419"/>
      <c r="EN88" s="1419"/>
      <c r="EO88" s="1419"/>
      <c r="EP88" s="1419"/>
      <c r="EQ88" s="1419"/>
      <c r="ER88" s="1419"/>
      <c r="ES88" s="1419"/>
      <c r="ET88" s="1419"/>
      <c r="EU88" s="1419"/>
      <c r="EV88" s="1419"/>
      <c r="EW88" s="1419"/>
      <c r="EX88" s="1419"/>
      <c r="EY88" s="1419"/>
      <c r="EZ88" s="1419"/>
      <c r="FA88" s="1419"/>
      <c r="FB88" s="1419"/>
      <c r="FC88" s="1419"/>
      <c r="FD88" s="1419"/>
      <c r="FE88" s="1419"/>
      <c r="FF88" s="1419"/>
      <c r="FG88" s="1419"/>
      <c r="FH88" s="1419"/>
      <c r="FI88" s="1419"/>
    </row>
    <row r="89" spans="1:165">
      <c r="A89" s="448" t="str">
        <f>IF(+'Argus Drop'!B93="","",'Argus Drop'!B93)</f>
        <v/>
      </c>
      <c r="B89" s="440" t="str">
        <f>IF(A89="","",+SUMIF('Argus Drop'!$D$7:$D$64,$A89,'Argus Drop'!#REF!))</f>
        <v/>
      </c>
      <c r="C89" s="440" t="str">
        <f>IF(B89="","",+SUMIF('Argus Drop'!$D$7:$D$64,$A89,'Argus Drop'!#REF!))</f>
        <v/>
      </c>
      <c r="D89" s="440" t="str">
        <f>IF(C89="","",+SUMIF('Argus Drop'!$D$7:$D$64,$A89,'Argus Drop'!#REF!))</f>
        <v/>
      </c>
      <c r="E89" s="440" t="str">
        <f>IF(D89="","",+SUMIF('Argus Drop'!$D$7:$D$64,$A89,'Argus Drop'!#REF!))</f>
        <v/>
      </c>
      <c r="F89" s="440" t="str">
        <f>IF(E89="","",+SUMIF('Argus Drop'!$D$7:$D$64,$A89,'Argus Drop'!#REF!))</f>
        <v/>
      </c>
      <c r="G89" s="440" t="str">
        <f>IF(F89="","",+SUMIF('Argus Drop'!$D$7:$D$64,$A89,'Argus Drop'!F$7:F$64))</f>
        <v/>
      </c>
      <c r="H89" s="440" t="str">
        <f>IF(G89="","",+SUMIF('Argus Drop'!$D$7:$D$64,$A89,'Argus Drop'!G$12:G$64))</f>
        <v/>
      </c>
      <c r="I89" s="440" t="str">
        <f>IF(H89="","",+SUMIF('Argus Drop'!$D$7:$D$64,$A89,'Argus Drop'!H$12:H$64))</f>
        <v/>
      </c>
      <c r="J89" s="440" t="str">
        <f>IF(I89="","",+SUMIF('Argus Drop'!$D$7:$D$64,$A89,'Argus Drop'!I$12:I$64))</f>
        <v/>
      </c>
      <c r="K89" s="440" t="str">
        <f>IF(J89="","",+SUMIF('Argus Drop'!$D$7:$D$64,$A89,'Argus Drop'!J$12:J$64))</f>
        <v/>
      </c>
      <c r="L89" s="440" t="str">
        <f>IF(K89="","",+SUMIF('Argus Drop'!$D$7:$D$64,$A89,'Argus Drop'!K$12:K$64))</f>
        <v/>
      </c>
      <c r="M89" s="440" t="str">
        <f>IF(L89="","",+SUMIF('Argus Drop'!$D$7:$D$64,$A89,'Argus Drop'!L$12:L$64))</f>
        <v/>
      </c>
      <c r="N89" s="440" t="str">
        <f>IF(M89="","",+SUMIF('Argus Drop'!$D$7:$D$64,$A89,'Argus Drop'!#REF!))</f>
        <v/>
      </c>
      <c r="O89" s="440" t="str">
        <f>IF(N89="","",+SUMIF('Argus Drop'!$D$7:$D$64,$A89,'Argus Drop'!M$12:M$64))</f>
        <v/>
      </c>
      <c r="P89" s="440" t="str">
        <f>IF(O89="","",+SUMIF('Argus Drop'!$D$7:$D$64,$A89,'Argus Drop'!N$12:N$64))</f>
        <v/>
      </c>
      <c r="Q89" s="440" t="str">
        <f>IF(P89="","",+SUMIF('Argus Drop'!$D$7:$D$64,$A89,'Argus Drop'!O$12:O$64))</f>
        <v/>
      </c>
      <c r="R89" s="440" t="str">
        <f>IF(Q89="","",+SUMIF('Argus Drop'!$D$7:$D$64,$A89,'Argus Drop'!P$12:P$64))</f>
        <v/>
      </c>
      <c r="S89" s="440" t="str">
        <f>IF(R89="","",+SUMIF('Argus Drop'!$D$7:$D$64,$A89,'Argus Drop'!Q$12:Q$64))</f>
        <v/>
      </c>
      <c r="T89" s="440" t="str">
        <f>IF(S89="","",+SUMIF('Argus Drop'!$D$7:$D$64,$A89,'Argus Drop'!R$12:R$64))</f>
        <v/>
      </c>
      <c r="U89" s="440" t="str">
        <f>IF(T89="","",+SUMIF('Argus Drop'!$D$7:$D$64,$A89,'Argus Drop'!S$12:S$64))</f>
        <v/>
      </c>
      <c r="V89" s="440" t="str">
        <f>IF(U89="","",+SUMIF('Argus Drop'!$D$7:$D$64,$A89,'Argus Drop'!T$12:T$64))</f>
        <v/>
      </c>
      <c r="W89" s="440" t="str">
        <f>IF(V89="","",+SUMIF('Argus Drop'!$D$7:$D$64,$A89,'Argus Drop'!U$12:U$64))</f>
        <v/>
      </c>
      <c r="X89" s="440" t="str">
        <f>IF(W89="","",+SUMIF('Argus Drop'!$D$7:$D$64,$A89,'Argus Drop'!V$12:V$64))</f>
        <v/>
      </c>
      <c r="Y89" s="440" t="str">
        <f>IF(X89="","",+SUMIF('Argus Drop'!$D$7:$D$64,$A89,'Argus Drop'!W$12:W$64))</f>
        <v/>
      </c>
      <c r="Z89" s="440" t="str">
        <f>IF(Y89="","",+SUMIF('Argus Drop'!$D$7:$D$64,$A89,'Argus Drop'!X$12:X$64))</f>
        <v/>
      </c>
      <c r="AA89" s="440" t="str">
        <f>IF(Z89="","",+SUMIF('Argus Drop'!$D$7:$D$64,$A89,'Argus Drop'!#REF!))</f>
        <v/>
      </c>
      <c r="AB89" s="440" t="str">
        <f>IF(AA89="","",+SUMIF('Argus Drop'!$D$7:$D$64,$A89,'Argus Drop'!Y$12:Y$64))</f>
        <v/>
      </c>
      <c r="AC89" s="440" t="str">
        <f>IF(AB89="","",+SUMIF('Argus Drop'!$D$7:$D$64,$A89,'Argus Drop'!Z$12:Z$64))</f>
        <v/>
      </c>
      <c r="AD89" s="440" t="str">
        <f>IF(AC89="","",+SUMIF('Argus Drop'!$D$7:$D$64,$A89,'Argus Drop'!AA$12:AA$64))</f>
        <v/>
      </c>
      <c r="AE89" s="440" t="str">
        <f>IF(AD89="","",+SUMIF('Argus Drop'!$D$7:$D$64,$A89,'Argus Drop'!AB$12:AB$64))</f>
        <v/>
      </c>
      <c r="AF89" s="440" t="str">
        <f>IF(AE89="","",+SUMIF('Argus Drop'!$D$7:$D$64,$A89,'Argus Drop'!AC$12:AC$64))</f>
        <v/>
      </c>
      <c r="AG89" s="440" t="str">
        <f>IF(AF89="","",+SUMIF('Argus Drop'!$D$7:$D$64,$A89,'Argus Drop'!AD$12:AD$64))</f>
        <v/>
      </c>
      <c r="AH89" s="440" t="str">
        <f>IF(AG89="","",+SUMIF('Argus Drop'!$D$7:$D$64,$A89,'Argus Drop'!AE$12:AE$64))</f>
        <v/>
      </c>
      <c r="AI89" s="440" t="str">
        <f>IF(AH89="","",+SUMIF('Argus Drop'!$D$7:$D$64,$A89,'Argus Drop'!AF$12:AF$64))</f>
        <v/>
      </c>
      <c r="AJ89" s="440" t="str">
        <f>IF(AI89="","",+SUMIF('Argus Drop'!$D$7:$D$64,$A89,'Argus Drop'!AG$12:AG$64))</f>
        <v/>
      </c>
      <c r="AK89" s="440" t="str">
        <f>IF(AJ89="","",+SUMIF('Argus Drop'!$D$7:$D$64,$A89,'Argus Drop'!AH$12:AH$64))</f>
        <v/>
      </c>
      <c r="AL89" s="440" t="str">
        <f>IF(AK89="","",+SUMIF('Argus Drop'!$D$7:$D$64,$A89,'Argus Drop'!AI$12:AI$64))</f>
        <v/>
      </c>
      <c r="AM89" s="440" t="str">
        <f>IF(AL89="","",+SUMIF('Argus Drop'!$D$7:$D$64,$A89,'Argus Drop'!AJ$12:AJ$64))</f>
        <v/>
      </c>
      <c r="AN89" s="440" t="str">
        <f>IF(AM89="","",+SUMIF('Argus Drop'!$D$7:$D$64,$A89,'Argus Drop'!#REF!))</f>
        <v/>
      </c>
      <c r="AO89" s="440" t="str">
        <f>IF(AN89="","",+SUMIF('Argus Drop'!$D$7:$D$64,$A89,'Argus Drop'!AK$12:AK$64))</f>
        <v/>
      </c>
      <c r="AP89" s="440" t="str">
        <f>IF(AO89="","",+SUMIF('Argus Drop'!$D$7:$D$64,$A89,'Argus Drop'!AL$12:AL$64))</f>
        <v/>
      </c>
      <c r="AQ89" s="440" t="str">
        <f>IF(AP89="","",+SUMIF('Argus Drop'!$D$7:$D$64,$A89,'Argus Drop'!AM$12:AM$64))</f>
        <v/>
      </c>
      <c r="AR89" s="440" t="str">
        <f>IF(AQ89="","",+SUMIF('Argus Drop'!$D$7:$D$64,$A89,'Argus Drop'!AN$12:AN$64))</f>
        <v/>
      </c>
      <c r="AS89" s="440" t="str">
        <f>IF(AR89="","",+SUMIF('Argus Drop'!$D$7:$D$64,$A89,'Argus Drop'!AO$12:AO$64))</f>
        <v/>
      </c>
      <c r="AT89" s="440" t="str">
        <f>IF(AS89="","",+SUMIF('Argus Drop'!$D$7:$D$64,$A89,'Argus Drop'!AP$12:AP$64))</f>
        <v/>
      </c>
      <c r="AU89" s="440" t="str">
        <f>IF(AT89="","",+SUMIF('Argus Drop'!$D$7:$D$64,$A89,'Argus Drop'!AQ$12:AQ$64))</f>
        <v/>
      </c>
      <c r="AV89" s="440" t="str">
        <f>IF(AU89="","",+SUMIF('Argus Drop'!$D$7:$D$64,$A89,'Argus Drop'!AR$12:AR$64))</f>
        <v/>
      </c>
      <c r="AW89" s="440" t="str">
        <f>IF(AV89="","",+SUMIF('Argus Drop'!$D$7:$D$64,$A89,'Argus Drop'!AS$12:AS$64))</f>
        <v/>
      </c>
      <c r="AX89" s="440" t="str">
        <f>IF(AW89="","",+SUMIF('Argus Drop'!$D$7:$D$64,$A89,'Argus Drop'!AT$12:AT$64))</f>
        <v/>
      </c>
      <c r="AY89" s="440" t="str">
        <f>IF(AX89="","",+SUMIF('Argus Drop'!$D$7:$D$64,$A89,'Argus Drop'!AU$12:AU$64))</f>
        <v/>
      </c>
      <c r="AZ89" s="440" t="str">
        <f>IF(AY89="","",+SUMIF('Argus Drop'!$D$7:$D$64,$A89,'Argus Drop'!AV$12:AV$64))</f>
        <v/>
      </c>
      <c r="BA89" s="440" t="str">
        <f>IF(AZ89="","",+SUMIF('Argus Drop'!$D$7:$D$64,$A89,'Argus Drop'!#REF!))</f>
        <v/>
      </c>
      <c r="BB89" s="440" t="str">
        <f>IF(BA89="","",+SUMIF('Argus Drop'!$D$7:$D$64,$A89,'Argus Drop'!AW$12:AW$64))</f>
        <v/>
      </c>
      <c r="BC89" s="440" t="str">
        <f>IF(BB89="","",+SUMIF('Argus Drop'!$D$7:$D$64,$A89,'Argus Drop'!AX$12:AX$64))</f>
        <v/>
      </c>
      <c r="BD89" s="440" t="str">
        <f>IF(BC89="","",+SUMIF('Argus Drop'!$D$7:$D$64,$A89,'Argus Drop'!AY$12:AY$64))</f>
        <v/>
      </c>
      <c r="BE89" s="440" t="str">
        <f>IF(BD89="","",+SUMIF('Argus Drop'!$D$7:$D$64,$A89,'Argus Drop'!AZ$12:AZ$64))</f>
        <v/>
      </c>
      <c r="BF89" s="440" t="str">
        <f>IF(BE89="","",+SUMIF('Argus Drop'!$D$7:$D$64,$A89,'Argus Drop'!BA$12:BA$64))</f>
        <v/>
      </c>
      <c r="BG89" s="440" t="str">
        <f>IF(BF89="","",+SUMIF('Argus Drop'!$D$7:$D$64,$A89,'Argus Drop'!BB$12:BB$64))</f>
        <v/>
      </c>
      <c r="BH89" s="440" t="str">
        <f>IF(BG89="","",+SUMIF('Argus Drop'!$D$7:$D$64,$A89,'Argus Drop'!BC$12:BC$64))</f>
        <v/>
      </c>
      <c r="BI89" s="440" t="str">
        <f>IF(BH89="","",+SUMIF('Argus Drop'!$D$7:$D$64,$A89,'Argus Drop'!BD$12:BD$64))</f>
        <v/>
      </c>
      <c r="BJ89" s="440" t="str">
        <f>IF(BI89="","",+SUMIF('Argus Drop'!$D$7:$D$64,$A89,'Argus Drop'!BE$12:BE$64))</f>
        <v/>
      </c>
      <c r="BK89" s="440" t="str">
        <f>IF(BJ89="","",+SUMIF('Argus Drop'!$D$7:$D$64,$A89,'Argus Drop'!BF$12:BF$64))</f>
        <v/>
      </c>
      <c r="BL89" s="440" t="str">
        <f>IF(BK89="","",+SUMIF('Argus Drop'!$D$7:$D$64,$A89,'Argus Drop'!BG$12:BG$64))</f>
        <v/>
      </c>
      <c r="BM89" s="440" t="str">
        <f>IF(BL89="","",+SUMIF('Argus Drop'!$D$7:$D$64,$A89,'Argus Drop'!BH$12:BH$64))</f>
        <v/>
      </c>
      <c r="BN89" s="440" t="str">
        <f>IF(BM89="","",+SUMIF('Argus Drop'!$D$7:$D$64,$A89,'Argus Drop'!#REF!))</f>
        <v/>
      </c>
      <c r="BO89" s="440" t="str">
        <f>IF(BN89="","",+SUMIF('Argus Drop'!$D$7:$D$64,$A89,'Argus Drop'!BI$12:BI$64))</f>
        <v/>
      </c>
      <c r="BP89" s="440" t="str">
        <f>IF(BO89="","",+SUMIF('Argus Drop'!$D$7:$D$64,$A89,'Argus Drop'!BJ$12:BJ$64))</f>
        <v/>
      </c>
      <c r="BQ89" s="440" t="str">
        <f>IF(BP89="","",+SUMIF('Argus Drop'!$D$7:$D$64,$A89,'Argus Drop'!BK$12:BK$64))</f>
        <v/>
      </c>
      <c r="BR89" s="440" t="str">
        <f>IF(BQ89="","",+SUMIF('Argus Drop'!$D$7:$D$64,$A89,'Argus Drop'!BL$12:BL$64))</f>
        <v/>
      </c>
      <c r="BS89" s="440" t="str">
        <f>IF(BR89="","",+SUMIF('Argus Drop'!$D$7:$D$64,$A89,'Argus Drop'!BM$12:BM$64))</f>
        <v/>
      </c>
      <c r="BT89" s="440" t="str">
        <f>IF(BS89="","",+SUMIF('Argus Drop'!$D$7:$D$64,$A89,'Argus Drop'!BN$12:BN$64))</f>
        <v/>
      </c>
      <c r="BU89" s="440" t="str">
        <f>IF(BT89="","",+SUMIF('Argus Drop'!$D$7:$D$64,$A89,'Argus Drop'!BO$12:BO$64))</f>
        <v/>
      </c>
      <c r="BV89" s="440" t="str">
        <f>IF(BU89="","",+SUMIF('Argus Drop'!$D$7:$D$64,$A89,'Argus Drop'!BP$12:BP$64))</f>
        <v/>
      </c>
      <c r="BW89" s="440" t="str">
        <f>IF(BV89="","",+SUMIF('Argus Drop'!$D$7:$D$64,$A89,'Argus Drop'!BQ$12:BQ$64))</f>
        <v/>
      </c>
      <c r="BX89" s="440" t="str">
        <f>IF(BW89="","",+SUMIF('Argus Drop'!$D$7:$D$64,$A89,'Argus Drop'!BR$12:BR$64))</f>
        <v/>
      </c>
      <c r="BY89" s="440" t="str">
        <f>IF(BX89="","",+SUMIF('Argus Drop'!$D$7:$D$64,$A89,'Argus Drop'!BS$12:BS$64))</f>
        <v/>
      </c>
      <c r="BZ89" s="440" t="str">
        <f>IF(BY89="","",+SUMIF('Argus Drop'!$D$7:$D$64,$A89,'Argus Drop'!BT$12:BT$64))</f>
        <v/>
      </c>
      <c r="CA89" s="440" t="str">
        <f>IF(BZ89="","",+SUMIF('Argus Drop'!$D$7:$D$64,$A89,'Argus Drop'!#REF!))</f>
        <v/>
      </c>
      <c r="CB89" s="440" t="str">
        <f>IF(CA89="","",+SUMIF('Argus Drop'!$D$7:$D$64,$A89,'Argus Drop'!BU$12:BU$64))</f>
        <v/>
      </c>
      <c r="CC89" s="440" t="str">
        <f>IF(CB89="","",+SUMIF('Argus Drop'!$D$7:$D$64,$A89,'Argus Drop'!BV$12:BV$64))</f>
        <v/>
      </c>
      <c r="CD89" s="440" t="str">
        <f>IF(CC89="","",+SUMIF('Argus Drop'!$D$7:$D$64,$A89,'Argus Drop'!BW$12:BW$64))</f>
        <v/>
      </c>
      <c r="CE89" s="440" t="str">
        <f>IF(CD89="","",+SUMIF('Argus Drop'!$D$7:$D$64,$A89,'Argus Drop'!BX$12:BX$64))</f>
        <v/>
      </c>
      <c r="CF89" s="440" t="str">
        <f>IF(CE89="","",+SUMIF('Argus Drop'!$D$7:$D$64,$A89,'Argus Drop'!BY$12:BY$64))</f>
        <v/>
      </c>
      <c r="CG89" s="440" t="str">
        <f>IF(CF89="","",+SUMIF('Argus Drop'!$D$7:$D$64,$A89,'Argus Drop'!BZ$12:BZ$64))</f>
        <v/>
      </c>
      <c r="CH89" s="440" t="str">
        <f>IF(CG89="","",+SUMIF('Argus Drop'!$D$7:$D$64,$A89,'Argus Drop'!CA$12:CA$64))</f>
        <v/>
      </c>
      <c r="CI89" s="440" t="str">
        <f>IF(CH89="","",+SUMIF('Argus Drop'!$D$7:$D$64,$A89,'Argus Drop'!CB$12:CB$64))</f>
        <v/>
      </c>
      <c r="CJ89" s="440" t="str">
        <f>IF(CI89="","",+SUMIF('Argus Drop'!$D$7:$D$64,$A89,'Argus Drop'!CC$12:CC$64))</f>
        <v/>
      </c>
      <c r="CK89" s="440" t="str">
        <f>IF(CJ89="","",+SUMIF('Argus Drop'!$D$7:$D$64,$A89,'Argus Drop'!CD$12:CD$64))</f>
        <v/>
      </c>
      <c r="CL89" s="440" t="str">
        <f>IF(CK89="","",+SUMIF('Argus Drop'!$D$7:$D$64,$A89,'Argus Drop'!CE$12:CE$64))</f>
        <v/>
      </c>
      <c r="CM89" s="440" t="str">
        <f>IF(CL89="","",+SUMIF('Argus Drop'!$D$7:$D$64,$A89,'Argus Drop'!CF$12:CF$64))</f>
        <v/>
      </c>
      <c r="CN89" s="440" t="str">
        <f>IF(CM89="","",+SUMIF('Argus Drop'!$D$7:$D$64,$A89,'Argus Drop'!#REF!))</f>
        <v/>
      </c>
      <c r="CO89" s="440" t="str">
        <f>IF(CN89="","",+SUMIF('Argus Drop'!$D$7:$D$64,$A89,'Argus Drop'!CG$12:CG$64))</f>
        <v/>
      </c>
      <c r="CP89" s="440" t="str">
        <f>IF(CO89="","",+SUMIF('Argus Drop'!$D$7:$D$64,$A89,'Argus Drop'!CH$12:CH$64))</f>
        <v/>
      </c>
      <c r="CQ89" s="440" t="str">
        <f>IF(CP89="","",+SUMIF('Argus Drop'!$D$7:$D$64,$A89,'Argus Drop'!CI$12:CI$64))</f>
        <v/>
      </c>
      <c r="CR89" s="440" t="str">
        <f>IF(CQ89="","",+SUMIF('Argus Drop'!$D$7:$D$64,$A89,'Argus Drop'!CJ$12:CJ$64))</f>
        <v/>
      </c>
      <c r="CS89" s="440" t="str">
        <f>IF(CR89="","",+SUMIF('Argus Drop'!$D$7:$D$64,$A89,'Argus Drop'!CK$12:CK$64))</f>
        <v/>
      </c>
      <c r="CT89" s="440" t="str">
        <f>IF(CS89="","",+SUMIF('Argus Drop'!$D$7:$D$64,$A89,'Argus Drop'!CL$12:CL$64))</f>
        <v/>
      </c>
      <c r="CU89" s="440" t="str">
        <f>IF(CT89="","",+SUMIF('Argus Drop'!$D$7:$D$64,$A89,'Argus Drop'!CM$12:CM$64))</f>
        <v/>
      </c>
      <c r="CV89" s="440" t="str">
        <f>IF(CU89="","",+SUMIF('Argus Drop'!$D$7:$D$64,$A89,'Argus Drop'!CN$12:CN$64))</f>
        <v/>
      </c>
      <c r="CW89" s="440" t="str">
        <f>IF(CV89="","",+SUMIF('Argus Drop'!$D$7:$D$64,$A89,'Argus Drop'!CO$12:CO$64))</f>
        <v/>
      </c>
      <c r="CX89" s="440" t="str">
        <f>IF(CW89="","",+SUMIF('Argus Drop'!$D$7:$D$64,$A89,'Argus Drop'!CP$12:CP$64))</f>
        <v/>
      </c>
      <c r="CY89" s="440" t="str">
        <f>IF(CX89="","",+SUMIF('Argus Drop'!$D$7:$D$64,$A89,'Argus Drop'!CQ$12:CQ$64))</f>
        <v/>
      </c>
      <c r="CZ89" s="440" t="str">
        <f>IF(CY89="","",+SUMIF('Argus Drop'!$D$7:$D$64,$A89,'Argus Drop'!CR$12:CR$64))</f>
        <v/>
      </c>
      <c r="DA89" s="440" t="str">
        <f>IF(CZ89="","",+SUMIF('Argus Drop'!$D$7:$D$64,$A89,'Argus Drop'!#REF!))</f>
        <v/>
      </c>
      <c r="DB89" s="440" t="str">
        <f>IF(DA89="","",+SUMIF('Argus Drop'!$D$7:$D$64,$A89,'Argus Drop'!CS$12:CS$64))</f>
        <v/>
      </c>
      <c r="DC89" s="440" t="str">
        <f>IF(DB89="","",+SUMIF('Argus Drop'!$D$7:$D$64,$A89,'Argus Drop'!CT$12:CT$64))</f>
        <v/>
      </c>
      <c r="DD89" s="440" t="str">
        <f>IF(DC89="","",+SUMIF('Argus Drop'!$D$7:$D$64,$A89,'Argus Drop'!CU$12:CU$64))</f>
        <v/>
      </c>
      <c r="DE89" s="440" t="str">
        <f>IF(DD89="","",+SUMIF('Argus Drop'!$D$7:$D$64,$A89,'Argus Drop'!CV$12:CV$64))</f>
        <v/>
      </c>
      <c r="DF89" s="440" t="str">
        <f>IF(DE89="","",+SUMIF('Argus Drop'!$D$7:$D$64,$A89,'Argus Drop'!CW$12:CW$64))</f>
        <v/>
      </c>
      <c r="DG89" s="440" t="str">
        <f>IF(DF89="","",+SUMIF('Argus Drop'!$D$7:$D$64,$A89,'Argus Drop'!CX$12:CX$64))</f>
        <v/>
      </c>
      <c r="DH89" s="440" t="str">
        <f>IF(DG89="","",+SUMIF('Argus Drop'!$D$7:$D$64,$A89,'Argus Drop'!CY$12:CY$64))</f>
        <v/>
      </c>
      <c r="DI89" s="440" t="str">
        <f>IF(DH89="","",+SUMIF('Argus Drop'!$D$7:$D$64,$A89,'Argus Drop'!CZ$12:CZ$64))</f>
        <v/>
      </c>
      <c r="DJ89" s="440" t="str">
        <f>IF(DI89="","",+SUMIF('Argus Drop'!$D$7:$D$64,$A89,'Argus Drop'!DA$12:DA$64))</f>
        <v/>
      </c>
      <c r="DK89" s="440" t="str">
        <f>IF(DJ89="","",+SUMIF('Argus Drop'!$D$7:$D$64,$A89,'Argus Drop'!DB$12:DB$64))</f>
        <v/>
      </c>
      <c r="DL89" s="440" t="str">
        <f>IF(DK89="","",+SUMIF('Argus Drop'!$D$7:$D$64,$A89,'Argus Drop'!DC$12:DC$64))</f>
        <v/>
      </c>
      <c r="DM89" s="440" t="str">
        <f>IF(DL89="","",+SUMIF('Argus Drop'!$D$7:$D$64,$A89,'Argus Drop'!DD$12:DD$64))</f>
        <v/>
      </c>
      <c r="DN89" s="440" t="str">
        <f>IF(DM89="","",+SUMIF('Argus Drop'!$D$7:$D$64,$A89,'Argus Drop'!#REF!))</f>
        <v/>
      </c>
      <c r="DO89" s="440" t="str">
        <f>IF(DN89="","",+SUMIF('Argus Drop'!$D$7:$D$64,$A89,'Argus Drop'!DE$12:DE$64))</f>
        <v/>
      </c>
      <c r="DP89" s="440" t="str">
        <f>IF(DO89="","",+SUMIF('Argus Drop'!$D$7:$D$64,$A89,'Argus Drop'!DF$12:DF$64))</f>
        <v/>
      </c>
      <c r="DQ89" s="440" t="str">
        <f>IF(DP89="","",+SUMIF('Argus Drop'!$D$7:$D$64,$A89,'Argus Drop'!DG$12:DG$64))</f>
        <v/>
      </c>
      <c r="DR89" s="440" t="str">
        <f>IF(DQ89="","",+SUMIF('Argus Drop'!$D$7:$D$64,$A89,'Argus Drop'!DH$12:DH$64))</f>
        <v/>
      </c>
      <c r="DS89" s="440"/>
      <c r="DT89" s="440"/>
      <c r="DU89" s="440"/>
      <c r="DV89" s="440"/>
      <c r="DW89" s="440"/>
      <c r="DX89" s="440"/>
      <c r="DY89" s="440"/>
      <c r="DZ89" s="440"/>
      <c r="EA89" s="440"/>
      <c r="EB89" s="440"/>
      <c r="EC89" s="440"/>
      <c r="ED89" s="1419"/>
      <c r="EE89" s="1419"/>
      <c r="EF89" s="1419"/>
      <c r="EG89" s="1419"/>
      <c r="EH89" s="1419"/>
      <c r="EI89" s="1419"/>
      <c r="EJ89" s="1419"/>
      <c r="EK89" s="1419"/>
      <c r="EL89" s="1419"/>
      <c r="EM89" s="1419"/>
      <c r="EN89" s="1419"/>
      <c r="EO89" s="1419"/>
      <c r="EP89" s="1419"/>
      <c r="EQ89" s="1419"/>
      <c r="ER89" s="1419"/>
      <c r="ES89" s="1419"/>
      <c r="ET89" s="1419"/>
      <c r="EU89" s="1419"/>
      <c r="EV89" s="1419"/>
      <c r="EW89" s="1419"/>
      <c r="EX89" s="1419"/>
      <c r="EY89" s="1419"/>
      <c r="EZ89" s="1419"/>
      <c r="FA89" s="1419"/>
      <c r="FB89" s="1419"/>
      <c r="FC89" s="1419"/>
      <c r="FD89" s="1419"/>
      <c r="FE89" s="1419"/>
      <c r="FF89" s="1419"/>
      <c r="FG89" s="1419"/>
      <c r="FH89" s="1419"/>
      <c r="FI89" s="1419"/>
    </row>
    <row r="90" spans="1:165">
      <c r="A90" s="448" t="str">
        <f>IF(+'Argus Drop'!B94="","",'Argus Drop'!B94)</f>
        <v/>
      </c>
      <c r="B90" s="440" t="str">
        <f>IF(A90="","",+SUMIF('Argus Drop'!$D$7:$D$64,$A90,'Argus Drop'!#REF!))</f>
        <v/>
      </c>
      <c r="C90" s="440" t="str">
        <f>IF(B90="","",+SUMIF('Argus Drop'!$D$7:$D$64,$A90,'Argus Drop'!#REF!))</f>
        <v/>
      </c>
      <c r="D90" s="440" t="str">
        <f>IF(C90="","",+SUMIF('Argus Drop'!$D$7:$D$64,$A90,'Argus Drop'!#REF!))</f>
        <v/>
      </c>
      <c r="E90" s="440" t="str">
        <f>IF(D90="","",+SUMIF('Argus Drop'!$D$7:$D$64,$A90,'Argus Drop'!#REF!))</f>
        <v/>
      </c>
      <c r="F90" s="440" t="str">
        <f>IF(E90="","",+SUMIF('Argus Drop'!$D$7:$D$64,$A90,'Argus Drop'!#REF!))</f>
        <v/>
      </c>
      <c r="G90" s="440" t="str">
        <f>IF(F90="","",+SUMIF('Argus Drop'!$D$7:$D$64,$A90,'Argus Drop'!F$7:F$64))</f>
        <v/>
      </c>
      <c r="H90" s="440" t="str">
        <f>IF(G90="","",+SUMIF('Argus Drop'!$D$7:$D$64,$A90,'Argus Drop'!G$12:G$64))</f>
        <v/>
      </c>
      <c r="I90" s="440" t="str">
        <f>IF(H90="","",+SUMIF('Argus Drop'!$D$7:$D$64,$A90,'Argus Drop'!H$12:H$64))</f>
        <v/>
      </c>
      <c r="J90" s="440" t="str">
        <f>IF(I90="","",+SUMIF('Argus Drop'!$D$7:$D$64,$A90,'Argus Drop'!I$12:I$64))</f>
        <v/>
      </c>
      <c r="K90" s="440" t="str">
        <f>IF(J90="","",+SUMIF('Argus Drop'!$D$7:$D$64,$A90,'Argus Drop'!J$12:J$64))</f>
        <v/>
      </c>
      <c r="L90" s="440" t="str">
        <f>IF(K90="","",+SUMIF('Argus Drop'!$D$7:$D$64,$A90,'Argus Drop'!K$12:K$64))</f>
        <v/>
      </c>
      <c r="M90" s="440" t="str">
        <f>IF(L90="","",+SUMIF('Argus Drop'!$D$7:$D$64,$A90,'Argus Drop'!L$12:L$64))</f>
        <v/>
      </c>
      <c r="N90" s="440" t="str">
        <f>IF(M90="","",+SUMIF('Argus Drop'!$D$7:$D$64,$A90,'Argus Drop'!#REF!))</f>
        <v/>
      </c>
      <c r="O90" s="440" t="str">
        <f>IF(N90="","",+SUMIF('Argus Drop'!$D$7:$D$64,$A90,'Argus Drop'!M$12:M$64))</f>
        <v/>
      </c>
      <c r="P90" s="440" t="str">
        <f>IF(O90="","",+SUMIF('Argus Drop'!$D$7:$D$64,$A90,'Argus Drop'!N$12:N$64))</f>
        <v/>
      </c>
      <c r="Q90" s="440" t="str">
        <f>IF(P90="","",+SUMIF('Argus Drop'!$D$7:$D$64,$A90,'Argus Drop'!O$12:O$64))</f>
        <v/>
      </c>
      <c r="R90" s="440" t="str">
        <f>IF(Q90="","",+SUMIF('Argus Drop'!$D$7:$D$64,$A90,'Argus Drop'!P$12:P$64))</f>
        <v/>
      </c>
      <c r="S90" s="440" t="str">
        <f>IF(R90="","",+SUMIF('Argus Drop'!$D$7:$D$64,$A90,'Argus Drop'!Q$12:Q$64))</f>
        <v/>
      </c>
      <c r="T90" s="440" t="str">
        <f>IF(S90="","",+SUMIF('Argus Drop'!$D$7:$D$64,$A90,'Argus Drop'!R$12:R$64))</f>
        <v/>
      </c>
      <c r="U90" s="440" t="str">
        <f>IF(T90="","",+SUMIF('Argus Drop'!$D$7:$D$64,$A90,'Argus Drop'!S$12:S$64))</f>
        <v/>
      </c>
      <c r="V90" s="440" t="str">
        <f>IF(U90="","",+SUMIF('Argus Drop'!$D$7:$D$64,$A90,'Argus Drop'!T$12:T$64))</f>
        <v/>
      </c>
      <c r="W90" s="440" t="str">
        <f>IF(V90="","",+SUMIF('Argus Drop'!$D$7:$D$64,$A90,'Argus Drop'!U$12:U$64))</f>
        <v/>
      </c>
      <c r="X90" s="440" t="str">
        <f>IF(W90="","",+SUMIF('Argus Drop'!$D$7:$D$64,$A90,'Argus Drop'!V$12:V$64))</f>
        <v/>
      </c>
      <c r="Y90" s="440" t="str">
        <f>IF(X90="","",+SUMIF('Argus Drop'!$D$7:$D$64,$A90,'Argus Drop'!W$12:W$64))</f>
        <v/>
      </c>
      <c r="Z90" s="440" t="str">
        <f>IF(Y90="","",+SUMIF('Argus Drop'!$D$7:$D$64,$A90,'Argus Drop'!X$12:X$64))</f>
        <v/>
      </c>
      <c r="AA90" s="440" t="str">
        <f>IF(Z90="","",+SUMIF('Argus Drop'!$D$7:$D$64,$A90,'Argus Drop'!#REF!))</f>
        <v/>
      </c>
      <c r="AB90" s="440" t="str">
        <f>IF(AA90="","",+SUMIF('Argus Drop'!$D$7:$D$64,$A90,'Argus Drop'!Y$12:Y$64))</f>
        <v/>
      </c>
      <c r="AC90" s="440" t="str">
        <f>IF(AB90="","",+SUMIF('Argus Drop'!$D$7:$D$64,$A90,'Argus Drop'!Z$12:Z$64))</f>
        <v/>
      </c>
      <c r="AD90" s="440" t="str">
        <f>IF(AC90="","",+SUMIF('Argus Drop'!$D$7:$D$64,$A90,'Argus Drop'!AA$12:AA$64))</f>
        <v/>
      </c>
      <c r="AE90" s="440" t="str">
        <f>IF(AD90="","",+SUMIF('Argus Drop'!$D$7:$D$64,$A90,'Argus Drop'!AB$12:AB$64))</f>
        <v/>
      </c>
      <c r="AF90" s="440" t="str">
        <f>IF(AE90="","",+SUMIF('Argus Drop'!$D$7:$D$64,$A90,'Argus Drop'!AC$12:AC$64))</f>
        <v/>
      </c>
      <c r="AG90" s="440" t="str">
        <f>IF(AF90="","",+SUMIF('Argus Drop'!$D$7:$D$64,$A90,'Argus Drop'!AD$12:AD$64))</f>
        <v/>
      </c>
      <c r="AH90" s="440" t="str">
        <f>IF(AG90="","",+SUMIF('Argus Drop'!$D$7:$D$64,$A90,'Argus Drop'!AE$12:AE$64))</f>
        <v/>
      </c>
      <c r="AI90" s="440" t="str">
        <f>IF(AH90="","",+SUMIF('Argus Drop'!$D$7:$D$64,$A90,'Argus Drop'!AF$12:AF$64))</f>
        <v/>
      </c>
      <c r="AJ90" s="440" t="str">
        <f>IF(AI90="","",+SUMIF('Argus Drop'!$D$7:$D$64,$A90,'Argus Drop'!AG$12:AG$64))</f>
        <v/>
      </c>
      <c r="AK90" s="440" t="str">
        <f>IF(AJ90="","",+SUMIF('Argus Drop'!$D$7:$D$64,$A90,'Argus Drop'!AH$12:AH$64))</f>
        <v/>
      </c>
      <c r="AL90" s="440" t="str">
        <f>IF(AK90="","",+SUMIF('Argus Drop'!$D$7:$D$64,$A90,'Argus Drop'!AI$12:AI$64))</f>
        <v/>
      </c>
      <c r="AM90" s="440" t="str">
        <f>IF(AL90="","",+SUMIF('Argus Drop'!$D$7:$D$64,$A90,'Argus Drop'!AJ$12:AJ$64))</f>
        <v/>
      </c>
      <c r="AN90" s="440" t="str">
        <f>IF(AM90="","",+SUMIF('Argus Drop'!$D$7:$D$64,$A90,'Argus Drop'!#REF!))</f>
        <v/>
      </c>
      <c r="AO90" s="440" t="str">
        <f>IF(AN90="","",+SUMIF('Argus Drop'!$D$7:$D$64,$A90,'Argus Drop'!AK$12:AK$64))</f>
        <v/>
      </c>
      <c r="AP90" s="440" t="str">
        <f>IF(AO90="","",+SUMIF('Argus Drop'!$D$7:$D$64,$A90,'Argus Drop'!AL$12:AL$64))</f>
        <v/>
      </c>
      <c r="AQ90" s="440" t="str">
        <f>IF(AP90="","",+SUMIF('Argus Drop'!$D$7:$D$64,$A90,'Argus Drop'!AM$12:AM$64))</f>
        <v/>
      </c>
      <c r="AR90" s="440" t="str">
        <f>IF(AQ90="","",+SUMIF('Argus Drop'!$D$7:$D$64,$A90,'Argus Drop'!AN$12:AN$64))</f>
        <v/>
      </c>
      <c r="AS90" s="440" t="str">
        <f>IF(AR90="","",+SUMIF('Argus Drop'!$D$7:$D$64,$A90,'Argus Drop'!AO$12:AO$64))</f>
        <v/>
      </c>
      <c r="AT90" s="440" t="str">
        <f>IF(AS90="","",+SUMIF('Argus Drop'!$D$7:$D$64,$A90,'Argus Drop'!AP$12:AP$64))</f>
        <v/>
      </c>
      <c r="AU90" s="440" t="str">
        <f>IF(AT90="","",+SUMIF('Argus Drop'!$D$7:$D$64,$A90,'Argus Drop'!AQ$12:AQ$64))</f>
        <v/>
      </c>
      <c r="AV90" s="440" t="str">
        <f>IF(AU90="","",+SUMIF('Argus Drop'!$D$7:$D$64,$A90,'Argus Drop'!AR$12:AR$64))</f>
        <v/>
      </c>
      <c r="AW90" s="440" t="str">
        <f>IF(AV90="","",+SUMIF('Argus Drop'!$D$7:$D$64,$A90,'Argus Drop'!AS$12:AS$64))</f>
        <v/>
      </c>
      <c r="AX90" s="440" t="str">
        <f>IF(AW90="","",+SUMIF('Argus Drop'!$D$7:$D$64,$A90,'Argus Drop'!AT$12:AT$64))</f>
        <v/>
      </c>
      <c r="AY90" s="440" t="str">
        <f>IF(AX90="","",+SUMIF('Argus Drop'!$D$7:$D$64,$A90,'Argus Drop'!AU$12:AU$64))</f>
        <v/>
      </c>
      <c r="AZ90" s="440" t="str">
        <f>IF(AY90="","",+SUMIF('Argus Drop'!$D$7:$D$64,$A90,'Argus Drop'!AV$12:AV$64))</f>
        <v/>
      </c>
      <c r="BA90" s="440" t="str">
        <f>IF(AZ90="","",+SUMIF('Argus Drop'!$D$7:$D$64,$A90,'Argus Drop'!#REF!))</f>
        <v/>
      </c>
      <c r="BB90" s="440" t="str">
        <f>IF(BA90="","",+SUMIF('Argus Drop'!$D$7:$D$64,$A90,'Argus Drop'!AW$12:AW$64))</f>
        <v/>
      </c>
      <c r="BC90" s="440" t="str">
        <f>IF(BB90="","",+SUMIF('Argus Drop'!$D$7:$D$64,$A90,'Argus Drop'!AX$12:AX$64))</f>
        <v/>
      </c>
      <c r="BD90" s="440" t="str">
        <f>IF(BC90="","",+SUMIF('Argus Drop'!$D$7:$D$64,$A90,'Argus Drop'!AY$12:AY$64))</f>
        <v/>
      </c>
      <c r="BE90" s="440" t="str">
        <f>IF(BD90="","",+SUMIF('Argus Drop'!$D$7:$D$64,$A90,'Argus Drop'!AZ$12:AZ$64))</f>
        <v/>
      </c>
      <c r="BF90" s="440" t="str">
        <f>IF(BE90="","",+SUMIF('Argus Drop'!$D$7:$D$64,$A90,'Argus Drop'!BA$12:BA$64))</f>
        <v/>
      </c>
      <c r="BG90" s="440" t="str">
        <f>IF(BF90="","",+SUMIF('Argus Drop'!$D$7:$D$64,$A90,'Argus Drop'!BB$12:BB$64))</f>
        <v/>
      </c>
      <c r="BH90" s="440" t="str">
        <f>IF(BG90="","",+SUMIF('Argus Drop'!$D$7:$D$64,$A90,'Argus Drop'!BC$12:BC$64))</f>
        <v/>
      </c>
      <c r="BI90" s="440" t="str">
        <f>IF(BH90="","",+SUMIF('Argus Drop'!$D$7:$D$64,$A90,'Argus Drop'!BD$12:BD$64))</f>
        <v/>
      </c>
      <c r="BJ90" s="440" t="str">
        <f>IF(BI90="","",+SUMIF('Argus Drop'!$D$7:$D$64,$A90,'Argus Drop'!BE$12:BE$64))</f>
        <v/>
      </c>
      <c r="BK90" s="440" t="str">
        <f>IF(BJ90="","",+SUMIF('Argus Drop'!$D$7:$D$64,$A90,'Argus Drop'!BF$12:BF$64))</f>
        <v/>
      </c>
      <c r="BL90" s="440" t="str">
        <f>IF(BK90="","",+SUMIF('Argus Drop'!$D$7:$D$64,$A90,'Argus Drop'!BG$12:BG$64))</f>
        <v/>
      </c>
      <c r="BM90" s="440" t="str">
        <f>IF(BL90="","",+SUMIF('Argus Drop'!$D$7:$D$64,$A90,'Argus Drop'!BH$12:BH$64))</f>
        <v/>
      </c>
      <c r="BN90" s="440" t="str">
        <f>IF(BM90="","",+SUMIF('Argus Drop'!$D$7:$D$64,$A90,'Argus Drop'!#REF!))</f>
        <v/>
      </c>
      <c r="BO90" s="440" t="str">
        <f>IF(BN90="","",+SUMIF('Argus Drop'!$D$7:$D$64,$A90,'Argus Drop'!BI$12:BI$64))</f>
        <v/>
      </c>
      <c r="BP90" s="440" t="str">
        <f>IF(BO90="","",+SUMIF('Argus Drop'!$D$7:$D$64,$A90,'Argus Drop'!BJ$12:BJ$64))</f>
        <v/>
      </c>
      <c r="BQ90" s="440" t="str">
        <f>IF(BP90="","",+SUMIF('Argus Drop'!$D$7:$D$64,$A90,'Argus Drop'!BK$12:BK$64))</f>
        <v/>
      </c>
      <c r="BR90" s="440" t="str">
        <f>IF(BQ90="","",+SUMIF('Argus Drop'!$D$7:$D$64,$A90,'Argus Drop'!BL$12:BL$64))</f>
        <v/>
      </c>
      <c r="BS90" s="440" t="str">
        <f>IF(BR90="","",+SUMIF('Argus Drop'!$D$7:$D$64,$A90,'Argus Drop'!BM$12:BM$64))</f>
        <v/>
      </c>
      <c r="BT90" s="440" t="str">
        <f>IF(BS90="","",+SUMIF('Argus Drop'!$D$7:$D$64,$A90,'Argus Drop'!BN$12:BN$64))</f>
        <v/>
      </c>
      <c r="BU90" s="440" t="str">
        <f>IF(BT90="","",+SUMIF('Argus Drop'!$D$7:$D$64,$A90,'Argus Drop'!BO$12:BO$64))</f>
        <v/>
      </c>
      <c r="BV90" s="440" t="str">
        <f>IF(BU90="","",+SUMIF('Argus Drop'!$D$7:$D$64,$A90,'Argus Drop'!BP$12:BP$64))</f>
        <v/>
      </c>
      <c r="BW90" s="440" t="str">
        <f>IF(BV90="","",+SUMIF('Argus Drop'!$D$7:$D$64,$A90,'Argus Drop'!BQ$12:BQ$64))</f>
        <v/>
      </c>
      <c r="BX90" s="440" t="str">
        <f>IF(BW90="","",+SUMIF('Argus Drop'!$D$7:$D$64,$A90,'Argus Drop'!BR$12:BR$64))</f>
        <v/>
      </c>
      <c r="BY90" s="440" t="str">
        <f>IF(BX90="","",+SUMIF('Argus Drop'!$D$7:$D$64,$A90,'Argus Drop'!BS$12:BS$64))</f>
        <v/>
      </c>
      <c r="BZ90" s="440" t="str">
        <f>IF(BY90="","",+SUMIF('Argus Drop'!$D$7:$D$64,$A90,'Argus Drop'!BT$12:BT$64))</f>
        <v/>
      </c>
      <c r="CA90" s="440" t="str">
        <f>IF(BZ90="","",+SUMIF('Argus Drop'!$D$7:$D$64,$A90,'Argus Drop'!#REF!))</f>
        <v/>
      </c>
      <c r="CB90" s="440" t="str">
        <f>IF(CA90="","",+SUMIF('Argus Drop'!$D$7:$D$64,$A90,'Argus Drop'!BU$12:BU$64))</f>
        <v/>
      </c>
      <c r="CC90" s="440" t="str">
        <f>IF(CB90="","",+SUMIF('Argus Drop'!$D$7:$D$64,$A90,'Argus Drop'!BV$12:BV$64))</f>
        <v/>
      </c>
      <c r="CD90" s="440" t="str">
        <f>IF(CC90="","",+SUMIF('Argus Drop'!$D$7:$D$64,$A90,'Argus Drop'!BW$12:BW$64))</f>
        <v/>
      </c>
      <c r="CE90" s="440" t="str">
        <f>IF(CD90="","",+SUMIF('Argus Drop'!$D$7:$D$64,$A90,'Argus Drop'!BX$12:BX$64))</f>
        <v/>
      </c>
      <c r="CF90" s="440" t="str">
        <f>IF(CE90="","",+SUMIF('Argus Drop'!$D$7:$D$64,$A90,'Argus Drop'!BY$12:BY$64))</f>
        <v/>
      </c>
      <c r="CG90" s="440" t="str">
        <f>IF(CF90="","",+SUMIF('Argus Drop'!$D$7:$D$64,$A90,'Argus Drop'!BZ$12:BZ$64))</f>
        <v/>
      </c>
      <c r="CH90" s="440" t="str">
        <f>IF(CG90="","",+SUMIF('Argus Drop'!$D$7:$D$64,$A90,'Argus Drop'!CA$12:CA$64))</f>
        <v/>
      </c>
      <c r="CI90" s="440" t="str">
        <f>IF(CH90="","",+SUMIF('Argus Drop'!$D$7:$D$64,$A90,'Argus Drop'!CB$12:CB$64))</f>
        <v/>
      </c>
      <c r="CJ90" s="440" t="str">
        <f>IF(CI90="","",+SUMIF('Argus Drop'!$D$7:$D$64,$A90,'Argus Drop'!CC$12:CC$64))</f>
        <v/>
      </c>
      <c r="CK90" s="440" t="str">
        <f>IF(CJ90="","",+SUMIF('Argus Drop'!$D$7:$D$64,$A90,'Argus Drop'!CD$12:CD$64))</f>
        <v/>
      </c>
      <c r="CL90" s="440" t="str">
        <f>IF(CK90="","",+SUMIF('Argus Drop'!$D$7:$D$64,$A90,'Argus Drop'!CE$12:CE$64))</f>
        <v/>
      </c>
      <c r="CM90" s="440" t="str">
        <f>IF(CL90="","",+SUMIF('Argus Drop'!$D$7:$D$64,$A90,'Argus Drop'!CF$12:CF$64))</f>
        <v/>
      </c>
      <c r="CN90" s="440" t="str">
        <f>IF(CM90="","",+SUMIF('Argus Drop'!$D$7:$D$64,$A90,'Argus Drop'!#REF!))</f>
        <v/>
      </c>
      <c r="CO90" s="440" t="str">
        <f>IF(CN90="","",+SUMIF('Argus Drop'!$D$7:$D$64,$A90,'Argus Drop'!CG$12:CG$64))</f>
        <v/>
      </c>
      <c r="CP90" s="440" t="str">
        <f>IF(CO90="","",+SUMIF('Argus Drop'!$D$7:$D$64,$A90,'Argus Drop'!CH$12:CH$64))</f>
        <v/>
      </c>
      <c r="CQ90" s="440" t="str">
        <f>IF(CP90="","",+SUMIF('Argus Drop'!$D$7:$D$64,$A90,'Argus Drop'!CI$12:CI$64))</f>
        <v/>
      </c>
      <c r="CR90" s="440" t="str">
        <f>IF(CQ90="","",+SUMIF('Argus Drop'!$D$7:$D$64,$A90,'Argus Drop'!CJ$12:CJ$64))</f>
        <v/>
      </c>
      <c r="CS90" s="440" t="str">
        <f>IF(CR90="","",+SUMIF('Argus Drop'!$D$7:$D$64,$A90,'Argus Drop'!CK$12:CK$64))</f>
        <v/>
      </c>
      <c r="CT90" s="440" t="str">
        <f>IF(CS90="","",+SUMIF('Argus Drop'!$D$7:$D$64,$A90,'Argus Drop'!CL$12:CL$64))</f>
        <v/>
      </c>
      <c r="CU90" s="440" t="str">
        <f>IF(CT90="","",+SUMIF('Argus Drop'!$D$7:$D$64,$A90,'Argus Drop'!CM$12:CM$64))</f>
        <v/>
      </c>
      <c r="CV90" s="440" t="str">
        <f>IF(CU90="","",+SUMIF('Argus Drop'!$D$7:$D$64,$A90,'Argus Drop'!CN$12:CN$64))</f>
        <v/>
      </c>
      <c r="CW90" s="440" t="str">
        <f>IF(CV90="","",+SUMIF('Argus Drop'!$D$7:$D$64,$A90,'Argus Drop'!CO$12:CO$64))</f>
        <v/>
      </c>
      <c r="CX90" s="440" t="str">
        <f>IF(CW90="","",+SUMIF('Argus Drop'!$D$7:$D$64,$A90,'Argus Drop'!CP$12:CP$64))</f>
        <v/>
      </c>
      <c r="CY90" s="440" t="str">
        <f>IF(CX90="","",+SUMIF('Argus Drop'!$D$7:$D$64,$A90,'Argus Drop'!CQ$12:CQ$64))</f>
        <v/>
      </c>
      <c r="CZ90" s="440" t="str">
        <f>IF(CY90="","",+SUMIF('Argus Drop'!$D$7:$D$64,$A90,'Argus Drop'!CR$12:CR$64))</f>
        <v/>
      </c>
      <c r="DA90" s="440" t="str">
        <f>IF(CZ90="","",+SUMIF('Argus Drop'!$D$7:$D$64,$A90,'Argus Drop'!#REF!))</f>
        <v/>
      </c>
      <c r="DB90" s="440" t="str">
        <f>IF(DA90="","",+SUMIF('Argus Drop'!$D$7:$D$64,$A90,'Argus Drop'!CS$12:CS$64))</f>
        <v/>
      </c>
      <c r="DC90" s="440" t="str">
        <f>IF(DB90="","",+SUMIF('Argus Drop'!$D$7:$D$64,$A90,'Argus Drop'!CT$12:CT$64))</f>
        <v/>
      </c>
      <c r="DD90" s="440" t="str">
        <f>IF(DC90="","",+SUMIF('Argus Drop'!$D$7:$D$64,$A90,'Argus Drop'!CU$12:CU$64))</f>
        <v/>
      </c>
      <c r="DE90" s="440" t="str">
        <f>IF(DD90="","",+SUMIF('Argus Drop'!$D$7:$D$64,$A90,'Argus Drop'!CV$12:CV$64))</f>
        <v/>
      </c>
      <c r="DF90" s="440" t="str">
        <f>IF(DE90="","",+SUMIF('Argus Drop'!$D$7:$D$64,$A90,'Argus Drop'!CW$12:CW$64))</f>
        <v/>
      </c>
      <c r="DG90" s="440" t="str">
        <f>IF(DF90="","",+SUMIF('Argus Drop'!$D$7:$D$64,$A90,'Argus Drop'!CX$12:CX$64))</f>
        <v/>
      </c>
      <c r="DH90" s="440" t="str">
        <f>IF(DG90="","",+SUMIF('Argus Drop'!$D$7:$D$64,$A90,'Argus Drop'!CY$12:CY$64))</f>
        <v/>
      </c>
      <c r="DI90" s="440" t="str">
        <f>IF(DH90="","",+SUMIF('Argus Drop'!$D$7:$D$64,$A90,'Argus Drop'!CZ$12:CZ$64))</f>
        <v/>
      </c>
      <c r="DJ90" s="440" t="str">
        <f>IF(DI90="","",+SUMIF('Argus Drop'!$D$7:$D$64,$A90,'Argus Drop'!DA$12:DA$64))</f>
        <v/>
      </c>
      <c r="DK90" s="440" t="str">
        <f>IF(DJ90="","",+SUMIF('Argus Drop'!$D$7:$D$64,$A90,'Argus Drop'!DB$12:DB$64))</f>
        <v/>
      </c>
      <c r="DL90" s="440" t="str">
        <f>IF(DK90="","",+SUMIF('Argus Drop'!$D$7:$D$64,$A90,'Argus Drop'!DC$12:DC$64))</f>
        <v/>
      </c>
      <c r="DM90" s="440" t="str">
        <f>IF(DL90="","",+SUMIF('Argus Drop'!$D$7:$D$64,$A90,'Argus Drop'!DD$12:DD$64))</f>
        <v/>
      </c>
      <c r="DN90" s="440" t="str">
        <f>IF(DM90="","",+SUMIF('Argus Drop'!$D$7:$D$64,$A90,'Argus Drop'!#REF!))</f>
        <v/>
      </c>
      <c r="DO90" s="440" t="str">
        <f>IF(DN90="","",+SUMIF('Argus Drop'!$D$7:$D$64,$A90,'Argus Drop'!DE$12:DE$64))</f>
        <v/>
      </c>
      <c r="DP90" s="440" t="str">
        <f>IF(DO90="","",+SUMIF('Argus Drop'!$D$7:$D$64,$A90,'Argus Drop'!DF$12:DF$64))</f>
        <v/>
      </c>
      <c r="DQ90" s="440" t="str">
        <f>IF(DP90="","",+SUMIF('Argus Drop'!$D$7:$D$64,$A90,'Argus Drop'!DG$12:DG$64))</f>
        <v/>
      </c>
      <c r="DR90" s="440" t="str">
        <f>IF(DQ90="","",+SUMIF('Argus Drop'!$D$7:$D$64,$A90,'Argus Drop'!DH$12:DH$64))</f>
        <v/>
      </c>
      <c r="DS90" s="440"/>
      <c r="DT90" s="440"/>
      <c r="DU90" s="440"/>
      <c r="DV90" s="440"/>
      <c r="DW90" s="440"/>
      <c r="DX90" s="440"/>
      <c r="DY90" s="440"/>
      <c r="DZ90" s="440"/>
      <c r="EA90" s="440"/>
      <c r="EB90" s="440"/>
      <c r="EC90" s="440"/>
      <c r="ED90" s="1419"/>
      <c r="EE90" s="1419"/>
      <c r="EF90" s="1419"/>
      <c r="EG90" s="1419"/>
      <c r="EH90" s="1419"/>
      <c r="EI90" s="1419"/>
      <c r="EJ90" s="1419"/>
      <c r="EK90" s="1419"/>
      <c r="EL90" s="1419"/>
      <c r="EM90" s="1419"/>
      <c r="EN90" s="1419"/>
      <c r="EO90" s="1419"/>
      <c r="EP90" s="1419"/>
      <c r="EQ90" s="1419"/>
      <c r="ER90" s="1419"/>
      <c r="ES90" s="1419"/>
      <c r="ET90" s="1419"/>
      <c r="EU90" s="1419"/>
      <c r="EV90" s="1419"/>
      <c r="EW90" s="1419"/>
      <c r="EX90" s="1419"/>
      <c r="EY90" s="1419"/>
      <c r="EZ90" s="1419"/>
      <c r="FA90" s="1419"/>
      <c r="FB90" s="1419"/>
      <c r="FC90" s="1419"/>
      <c r="FD90" s="1419"/>
      <c r="FE90" s="1419"/>
      <c r="FF90" s="1419"/>
      <c r="FG90" s="1419"/>
      <c r="FH90" s="1419"/>
      <c r="FI90" s="1419"/>
    </row>
    <row r="91" spans="1:165">
      <c r="A91" s="448" t="str">
        <f>IF(+'Argus Drop'!B95="","",'Argus Drop'!B95)</f>
        <v/>
      </c>
      <c r="B91" s="440" t="str">
        <f>IF(A91="","",+SUMIF('Argus Drop'!$D$7:$D$64,$A91,'Argus Drop'!#REF!))</f>
        <v/>
      </c>
      <c r="C91" s="440" t="str">
        <f>IF(B91="","",+SUMIF('Argus Drop'!$D$7:$D$64,$A91,'Argus Drop'!#REF!))</f>
        <v/>
      </c>
      <c r="D91" s="440" t="str">
        <f>IF(C91="","",+SUMIF('Argus Drop'!$D$7:$D$64,$A91,'Argus Drop'!#REF!))</f>
        <v/>
      </c>
      <c r="E91" s="440" t="str">
        <f>IF(D91="","",+SUMIF('Argus Drop'!$D$7:$D$64,$A91,'Argus Drop'!#REF!))</f>
        <v/>
      </c>
      <c r="F91" s="440" t="str">
        <f>IF(E91="","",+SUMIF('Argus Drop'!$D$7:$D$64,$A91,'Argus Drop'!#REF!))</f>
        <v/>
      </c>
      <c r="G91" s="440" t="str">
        <f>IF(F91="","",+SUMIF('Argus Drop'!$D$7:$D$64,$A91,'Argus Drop'!F$7:F$64))</f>
        <v/>
      </c>
      <c r="H91" s="440" t="str">
        <f>IF(G91="","",+SUMIF('Argus Drop'!$D$7:$D$64,$A91,'Argus Drop'!G$12:G$64))</f>
        <v/>
      </c>
      <c r="I91" s="440" t="str">
        <f>IF(H91="","",+SUMIF('Argus Drop'!$D$7:$D$64,$A91,'Argus Drop'!H$12:H$64))</f>
        <v/>
      </c>
      <c r="J91" s="440" t="str">
        <f>IF(I91="","",+SUMIF('Argus Drop'!$D$7:$D$64,$A91,'Argus Drop'!I$12:I$64))</f>
        <v/>
      </c>
      <c r="K91" s="440" t="str">
        <f>IF(J91="","",+SUMIF('Argus Drop'!$D$7:$D$64,$A91,'Argus Drop'!J$12:J$64))</f>
        <v/>
      </c>
      <c r="L91" s="440" t="str">
        <f>IF(K91="","",+SUMIF('Argus Drop'!$D$7:$D$64,$A91,'Argus Drop'!K$12:K$64))</f>
        <v/>
      </c>
      <c r="M91" s="440" t="str">
        <f>IF(L91="","",+SUMIF('Argus Drop'!$D$7:$D$64,$A91,'Argus Drop'!L$12:L$64))</f>
        <v/>
      </c>
      <c r="N91" s="440" t="str">
        <f>IF(M91="","",+SUMIF('Argus Drop'!$D$7:$D$64,$A91,'Argus Drop'!#REF!))</f>
        <v/>
      </c>
      <c r="O91" s="440" t="str">
        <f>IF(N91="","",+SUMIF('Argus Drop'!$D$7:$D$64,$A91,'Argus Drop'!M$12:M$64))</f>
        <v/>
      </c>
      <c r="P91" s="440" t="str">
        <f>IF(O91="","",+SUMIF('Argus Drop'!$D$7:$D$64,$A91,'Argus Drop'!N$12:N$64))</f>
        <v/>
      </c>
      <c r="Q91" s="440" t="str">
        <f>IF(P91="","",+SUMIF('Argus Drop'!$D$7:$D$64,$A91,'Argus Drop'!O$12:O$64))</f>
        <v/>
      </c>
      <c r="R91" s="440" t="str">
        <f>IF(Q91="","",+SUMIF('Argus Drop'!$D$7:$D$64,$A91,'Argus Drop'!P$12:P$64))</f>
        <v/>
      </c>
      <c r="S91" s="440" t="str">
        <f>IF(R91="","",+SUMIF('Argus Drop'!$D$7:$D$64,$A91,'Argus Drop'!Q$12:Q$64))</f>
        <v/>
      </c>
      <c r="T91" s="440" t="str">
        <f>IF(S91="","",+SUMIF('Argus Drop'!$D$7:$D$64,$A91,'Argus Drop'!R$12:R$64))</f>
        <v/>
      </c>
      <c r="U91" s="440" t="str">
        <f>IF(T91="","",+SUMIF('Argus Drop'!$D$7:$D$64,$A91,'Argus Drop'!S$12:S$64))</f>
        <v/>
      </c>
      <c r="V91" s="440" t="str">
        <f>IF(U91="","",+SUMIF('Argus Drop'!$D$7:$D$64,$A91,'Argus Drop'!T$12:T$64))</f>
        <v/>
      </c>
      <c r="W91" s="440" t="str">
        <f>IF(V91="","",+SUMIF('Argus Drop'!$D$7:$D$64,$A91,'Argus Drop'!U$12:U$64))</f>
        <v/>
      </c>
      <c r="X91" s="440" t="str">
        <f>IF(W91="","",+SUMIF('Argus Drop'!$D$7:$D$64,$A91,'Argus Drop'!V$12:V$64))</f>
        <v/>
      </c>
      <c r="Y91" s="440" t="str">
        <f>IF(X91="","",+SUMIF('Argus Drop'!$D$7:$D$64,$A91,'Argus Drop'!W$12:W$64))</f>
        <v/>
      </c>
      <c r="Z91" s="440" t="str">
        <f>IF(Y91="","",+SUMIF('Argus Drop'!$D$7:$D$64,$A91,'Argus Drop'!X$12:X$64))</f>
        <v/>
      </c>
      <c r="AA91" s="440" t="str">
        <f>IF(Z91="","",+SUMIF('Argus Drop'!$D$7:$D$64,$A91,'Argus Drop'!#REF!))</f>
        <v/>
      </c>
      <c r="AB91" s="440" t="str">
        <f>IF(AA91="","",+SUMIF('Argus Drop'!$D$7:$D$64,$A91,'Argus Drop'!Y$12:Y$64))</f>
        <v/>
      </c>
      <c r="AC91" s="440" t="str">
        <f>IF(AB91="","",+SUMIF('Argus Drop'!$D$7:$D$64,$A91,'Argus Drop'!Z$12:Z$64))</f>
        <v/>
      </c>
      <c r="AD91" s="440" t="str">
        <f>IF(AC91="","",+SUMIF('Argus Drop'!$D$7:$D$64,$A91,'Argus Drop'!AA$12:AA$64))</f>
        <v/>
      </c>
      <c r="AE91" s="440" t="str">
        <f>IF(AD91="","",+SUMIF('Argus Drop'!$D$7:$D$64,$A91,'Argus Drop'!AB$12:AB$64))</f>
        <v/>
      </c>
      <c r="AF91" s="440" t="str">
        <f>IF(AE91="","",+SUMIF('Argus Drop'!$D$7:$D$64,$A91,'Argus Drop'!AC$12:AC$64))</f>
        <v/>
      </c>
      <c r="AG91" s="440" t="str">
        <f>IF(AF91="","",+SUMIF('Argus Drop'!$D$7:$D$64,$A91,'Argus Drop'!AD$12:AD$64))</f>
        <v/>
      </c>
      <c r="AH91" s="440" t="str">
        <f>IF(AG91="","",+SUMIF('Argus Drop'!$D$7:$D$64,$A91,'Argus Drop'!AE$12:AE$64))</f>
        <v/>
      </c>
      <c r="AI91" s="440" t="str">
        <f>IF(AH91="","",+SUMIF('Argus Drop'!$D$7:$D$64,$A91,'Argus Drop'!AF$12:AF$64))</f>
        <v/>
      </c>
      <c r="AJ91" s="440" t="str">
        <f>IF(AI91="","",+SUMIF('Argus Drop'!$D$7:$D$64,$A91,'Argus Drop'!AG$12:AG$64))</f>
        <v/>
      </c>
      <c r="AK91" s="440" t="str">
        <f>IF(AJ91="","",+SUMIF('Argus Drop'!$D$7:$D$64,$A91,'Argus Drop'!AH$12:AH$64))</f>
        <v/>
      </c>
      <c r="AL91" s="440" t="str">
        <f>IF(AK91="","",+SUMIF('Argus Drop'!$D$7:$D$64,$A91,'Argus Drop'!AI$12:AI$64))</f>
        <v/>
      </c>
      <c r="AM91" s="440" t="str">
        <f>IF(AL91="","",+SUMIF('Argus Drop'!$D$7:$D$64,$A91,'Argus Drop'!AJ$12:AJ$64))</f>
        <v/>
      </c>
      <c r="AN91" s="440" t="str">
        <f>IF(AM91="","",+SUMIF('Argus Drop'!$D$7:$D$64,$A91,'Argus Drop'!#REF!))</f>
        <v/>
      </c>
      <c r="AO91" s="440" t="str">
        <f>IF(AN91="","",+SUMIF('Argus Drop'!$D$7:$D$64,$A91,'Argus Drop'!AK$12:AK$64))</f>
        <v/>
      </c>
      <c r="AP91" s="440" t="str">
        <f>IF(AO91="","",+SUMIF('Argus Drop'!$D$7:$D$64,$A91,'Argus Drop'!AL$12:AL$64))</f>
        <v/>
      </c>
      <c r="AQ91" s="440" t="str">
        <f>IF(AP91="","",+SUMIF('Argus Drop'!$D$7:$D$64,$A91,'Argus Drop'!AM$12:AM$64))</f>
        <v/>
      </c>
      <c r="AR91" s="440" t="str">
        <f>IF(AQ91="","",+SUMIF('Argus Drop'!$D$7:$D$64,$A91,'Argus Drop'!AN$12:AN$64))</f>
        <v/>
      </c>
      <c r="AS91" s="440" t="str">
        <f>IF(AR91="","",+SUMIF('Argus Drop'!$D$7:$D$64,$A91,'Argus Drop'!AO$12:AO$64))</f>
        <v/>
      </c>
      <c r="AT91" s="440" t="str">
        <f>IF(AS91="","",+SUMIF('Argus Drop'!$D$7:$D$64,$A91,'Argus Drop'!AP$12:AP$64))</f>
        <v/>
      </c>
      <c r="AU91" s="440" t="str">
        <f>IF(AT91="","",+SUMIF('Argus Drop'!$D$7:$D$64,$A91,'Argus Drop'!AQ$12:AQ$64))</f>
        <v/>
      </c>
      <c r="AV91" s="440" t="str">
        <f>IF(AU91="","",+SUMIF('Argus Drop'!$D$7:$D$64,$A91,'Argus Drop'!AR$12:AR$64))</f>
        <v/>
      </c>
      <c r="AW91" s="440" t="str">
        <f>IF(AV91="","",+SUMIF('Argus Drop'!$D$7:$D$64,$A91,'Argus Drop'!AS$12:AS$64))</f>
        <v/>
      </c>
      <c r="AX91" s="440" t="str">
        <f>IF(AW91="","",+SUMIF('Argus Drop'!$D$7:$D$64,$A91,'Argus Drop'!AT$12:AT$64))</f>
        <v/>
      </c>
      <c r="AY91" s="440" t="str">
        <f>IF(AX91="","",+SUMIF('Argus Drop'!$D$7:$D$64,$A91,'Argus Drop'!AU$12:AU$64))</f>
        <v/>
      </c>
      <c r="AZ91" s="440" t="str">
        <f>IF(AY91="","",+SUMIF('Argus Drop'!$D$7:$D$64,$A91,'Argus Drop'!AV$12:AV$64))</f>
        <v/>
      </c>
      <c r="BA91" s="440" t="str">
        <f>IF(AZ91="","",+SUMIF('Argus Drop'!$D$7:$D$64,$A91,'Argus Drop'!#REF!))</f>
        <v/>
      </c>
      <c r="BB91" s="440" t="str">
        <f>IF(BA91="","",+SUMIF('Argus Drop'!$D$7:$D$64,$A91,'Argus Drop'!AW$12:AW$64))</f>
        <v/>
      </c>
      <c r="BC91" s="440" t="str">
        <f>IF(BB91="","",+SUMIF('Argus Drop'!$D$7:$D$64,$A91,'Argus Drop'!AX$12:AX$64))</f>
        <v/>
      </c>
      <c r="BD91" s="440" t="str">
        <f>IF(BC91="","",+SUMIF('Argus Drop'!$D$7:$D$64,$A91,'Argus Drop'!AY$12:AY$64))</f>
        <v/>
      </c>
      <c r="BE91" s="440" t="str">
        <f>IF(BD91="","",+SUMIF('Argus Drop'!$D$7:$D$64,$A91,'Argus Drop'!AZ$12:AZ$64))</f>
        <v/>
      </c>
      <c r="BF91" s="440" t="str">
        <f>IF(BE91="","",+SUMIF('Argus Drop'!$D$7:$D$64,$A91,'Argus Drop'!BA$12:BA$64))</f>
        <v/>
      </c>
      <c r="BG91" s="440" t="str">
        <f>IF(BF91="","",+SUMIF('Argus Drop'!$D$7:$D$64,$A91,'Argus Drop'!BB$12:BB$64))</f>
        <v/>
      </c>
      <c r="BH91" s="440" t="str">
        <f>IF(BG91="","",+SUMIF('Argus Drop'!$D$7:$D$64,$A91,'Argus Drop'!BC$12:BC$64))</f>
        <v/>
      </c>
      <c r="BI91" s="440" t="str">
        <f>IF(BH91="","",+SUMIF('Argus Drop'!$D$7:$D$64,$A91,'Argus Drop'!BD$12:BD$64))</f>
        <v/>
      </c>
      <c r="BJ91" s="440" t="str">
        <f>IF(BI91="","",+SUMIF('Argus Drop'!$D$7:$D$64,$A91,'Argus Drop'!BE$12:BE$64))</f>
        <v/>
      </c>
      <c r="BK91" s="440" t="str">
        <f>IF(BJ91="","",+SUMIF('Argus Drop'!$D$7:$D$64,$A91,'Argus Drop'!BF$12:BF$64))</f>
        <v/>
      </c>
      <c r="BL91" s="440" t="str">
        <f>IF(BK91="","",+SUMIF('Argus Drop'!$D$7:$D$64,$A91,'Argus Drop'!BG$12:BG$64))</f>
        <v/>
      </c>
      <c r="BM91" s="440" t="str">
        <f>IF(BL91="","",+SUMIF('Argus Drop'!$D$7:$D$64,$A91,'Argus Drop'!BH$12:BH$64))</f>
        <v/>
      </c>
      <c r="BN91" s="440" t="str">
        <f>IF(BM91="","",+SUMIF('Argus Drop'!$D$7:$D$64,$A91,'Argus Drop'!#REF!))</f>
        <v/>
      </c>
      <c r="BO91" s="440" t="str">
        <f>IF(BN91="","",+SUMIF('Argus Drop'!$D$7:$D$64,$A91,'Argus Drop'!BI$12:BI$64))</f>
        <v/>
      </c>
      <c r="BP91" s="440" t="str">
        <f>IF(BO91="","",+SUMIF('Argus Drop'!$D$7:$D$64,$A91,'Argus Drop'!BJ$12:BJ$64))</f>
        <v/>
      </c>
      <c r="BQ91" s="440" t="str">
        <f>IF(BP91="","",+SUMIF('Argus Drop'!$D$7:$D$64,$A91,'Argus Drop'!BK$12:BK$64))</f>
        <v/>
      </c>
      <c r="BR91" s="440" t="str">
        <f>IF(BQ91="","",+SUMIF('Argus Drop'!$D$7:$D$64,$A91,'Argus Drop'!BL$12:BL$64))</f>
        <v/>
      </c>
      <c r="BS91" s="440" t="str">
        <f>IF(BR91="","",+SUMIF('Argus Drop'!$D$7:$D$64,$A91,'Argus Drop'!BM$12:BM$64))</f>
        <v/>
      </c>
      <c r="BT91" s="440" t="str">
        <f>IF(BS91="","",+SUMIF('Argus Drop'!$D$7:$D$64,$A91,'Argus Drop'!BN$12:BN$64))</f>
        <v/>
      </c>
      <c r="BU91" s="440" t="str">
        <f>IF(BT91="","",+SUMIF('Argus Drop'!$D$7:$D$64,$A91,'Argus Drop'!BO$12:BO$64))</f>
        <v/>
      </c>
      <c r="BV91" s="440" t="str">
        <f>IF(BU91="","",+SUMIF('Argus Drop'!$D$7:$D$64,$A91,'Argus Drop'!BP$12:BP$64))</f>
        <v/>
      </c>
      <c r="BW91" s="440" t="str">
        <f>IF(BV91="","",+SUMIF('Argus Drop'!$D$7:$D$64,$A91,'Argus Drop'!BQ$12:BQ$64))</f>
        <v/>
      </c>
      <c r="BX91" s="440" t="str">
        <f>IF(BW91="","",+SUMIF('Argus Drop'!$D$7:$D$64,$A91,'Argus Drop'!BR$12:BR$64))</f>
        <v/>
      </c>
      <c r="BY91" s="440" t="str">
        <f>IF(BX91="","",+SUMIF('Argus Drop'!$D$7:$D$64,$A91,'Argus Drop'!BS$12:BS$64))</f>
        <v/>
      </c>
      <c r="BZ91" s="440" t="str">
        <f>IF(BY91="","",+SUMIF('Argus Drop'!$D$7:$D$64,$A91,'Argus Drop'!BT$12:BT$64))</f>
        <v/>
      </c>
      <c r="CA91" s="440" t="str">
        <f>IF(BZ91="","",+SUMIF('Argus Drop'!$D$7:$D$64,$A91,'Argus Drop'!#REF!))</f>
        <v/>
      </c>
      <c r="CB91" s="440" t="str">
        <f>IF(CA91="","",+SUMIF('Argus Drop'!$D$7:$D$64,$A91,'Argus Drop'!BU$12:BU$64))</f>
        <v/>
      </c>
      <c r="CC91" s="440" t="str">
        <f>IF(CB91="","",+SUMIF('Argus Drop'!$D$7:$D$64,$A91,'Argus Drop'!BV$12:BV$64))</f>
        <v/>
      </c>
      <c r="CD91" s="440" t="str">
        <f>IF(CC91="","",+SUMIF('Argus Drop'!$D$7:$D$64,$A91,'Argus Drop'!BW$12:BW$64))</f>
        <v/>
      </c>
      <c r="CE91" s="440" t="str">
        <f>IF(CD91="","",+SUMIF('Argus Drop'!$D$7:$D$64,$A91,'Argus Drop'!BX$12:BX$64))</f>
        <v/>
      </c>
      <c r="CF91" s="440" t="str">
        <f>IF(CE91="","",+SUMIF('Argus Drop'!$D$7:$D$64,$A91,'Argus Drop'!BY$12:BY$64))</f>
        <v/>
      </c>
      <c r="CG91" s="440" t="str">
        <f>IF(CF91="","",+SUMIF('Argus Drop'!$D$7:$D$64,$A91,'Argus Drop'!BZ$12:BZ$64))</f>
        <v/>
      </c>
      <c r="CH91" s="440" t="str">
        <f>IF(CG91="","",+SUMIF('Argus Drop'!$D$7:$D$64,$A91,'Argus Drop'!CA$12:CA$64))</f>
        <v/>
      </c>
      <c r="CI91" s="440" t="str">
        <f>IF(CH91="","",+SUMIF('Argus Drop'!$D$7:$D$64,$A91,'Argus Drop'!CB$12:CB$64))</f>
        <v/>
      </c>
      <c r="CJ91" s="440" t="str">
        <f>IF(CI91="","",+SUMIF('Argus Drop'!$D$7:$D$64,$A91,'Argus Drop'!CC$12:CC$64))</f>
        <v/>
      </c>
      <c r="CK91" s="440" t="str">
        <f>IF(CJ91="","",+SUMIF('Argus Drop'!$D$7:$D$64,$A91,'Argus Drop'!CD$12:CD$64))</f>
        <v/>
      </c>
      <c r="CL91" s="440" t="str">
        <f>IF(CK91="","",+SUMIF('Argus Drop'!$D$7:$D$64,$A91,'Argus Drop'!CE$12:CE$64))</f>
        <v/>
      </c>
      <c r="CM91" s="440" t="str">
        <f>IF(CL91="","",+SUMIF('Argus Drop'!$D$7:$D$64,$A91,'Argus Drop'!CF$12:CF$64))</f>
        <v/>
      </c>
      <c r="CN91" s="440" t="str">
        <f>IF(CM91="","",+SUMIF('Argus Drop'!$D$7:$D$64,$A91,'Argus Drop'!#REF!))</f>
        <v/>
      </c>
      <c r="CO91" s="440" t="str">
        <f>IF(CN91="","",+SUMIF('Argus Drop'!$D$7:$D$64,$A91,'Argus Drop'!CG$12:CG$64))</f>
        <v/>
      </c>
      <c r="CP91" s="440" t="str">
        <f>IF(CO91="","",+SUMIF('Argus Drop'!$D$7:$D$64,$A91,'Argus Drop'!CH$12:CH$64))</f>
        <v/>
      </c>
      <c r="CQ91" s="440" t="str">
        <f>IF(CP91="","",+SUMIF('Argus Drop'!$D$7:$D$64,$A91,'Argus Drop'!CI$12:CI$64))</f>
        <v/>
      </c>
      <c r="CR91" s="440" t="str">
        <f>IF(CQ91="","",+SUMIF('Argus Drop'!$D$7:$D$64,$A91,'Argus Drop'!CJ$12:CJ$64))</f>
        <v/>
      </c>
      <c r="CS91" s="440" t="str">
        <f>IF(CR91="","",+SUMIF('Argus Drop'!$D$7:$D$64,$A91,'Argus Drop'!CK$12:CK$64))</f>
        <v/>
      </c>
      <c r="CT91" s="440" t="str">
        <f>IF(CS91="","",+SUMIF('Argus Drop'!$D$7:$D$64,$A91,'Argus Drop'!CL$12:CL$64))</f>
        <v/>
      </c>
      <c r="CU91" s="440" t="str">
        <f>IF(CT91="","",+SUMIF('Argus Drop'!$D$7:$D$64,$A91,'Argus Drop'!CM$12:CM$64))</f>
        <v/>
      </c>
      <c r="CV91" s="440" t="str">
        <f>IF(CU91="","",+SUMIF('Argus Drop'!$D$7:$D$64,$A91,'Argus Drop'!CN$12:CN$64))</f>
        <v/>
      </c>
      <c r="CW91" s="440" t="str">
        <f>IF(CV91="","",+SUMIF('Argus Drop'!$D$7:$D$64,$A91,'Argus Drop'!CO$12:CO$64))</f>
        <v/>
      </c>
      <c r="CX91" s="440" t="str">
        <f>IF(CW91="","",+SUMIF('Argus Drop'!$D$7:$D$64,$A91,'Argus Drop'!CP$12:CP$64))</f>
        <v/>
      </c>
      <c r="CY91" s="440" t="str">
        <f>IF(CX91="","",+SUMIF('Argus Drop'!$D$7:$D$64,$A91,'Argus Drop'!CQ$12:CQ$64))</f>
        <v/>
      </c>
      <c r="CZ91" s="440" t="str">
        <f>IF(CY91="","",+SUMIF('Argus Drop'!$D$7:$D$64,$A91,'Argus Drop'!CR$12:CR$64))</f>
        <v/>
      </c>
      <c r="DA91" s="440" t="str">
        <f>IF(CZ91="","",+SUMIF('Argus Drop'!$D$7:$D$64,$A91,'Argus Drop'!#REF!))</f>
        <v/>
      </c>
      <c r="DB91" s="440" t="str">
        <f>IF(DA91="","",+SUMIF('Argus Drop'!$D$7:$D$64,$A91,'Argus Drop'!CS$12:CS$64))</f>
        <v/>
      </c>
      <c r="DC91" s="440" t="str">
        <f>IF(DB91="","",+SUMIF('Argus Drop'!$D$7:$D$64,$A91,'Argus Drop'!CT$12:CT$64))</f>
        <v/>
      </c>
      <c r="DD91" s="440" t="str">
        <f>IF(DC91="","",+SUMIF('Argus Drop'!$D$7:$D$64,$A91,'Argus Drop'!CU$12:CU$64))</f>
        <v/>
      </c>
      <c r="DE91" s="440" t="str">
        <f>IF(DD91="","",+SUMIF('Argus Drop'!$D$7:$D$64,$A91,'Argus Drop'!CV$12:CV$64))</f>
        <v/>
      </c>
      <c r="DF91" s="440" t="str">
        <f>IF(DE91="","",+SUMIF('Argus Drop'!$D$7:$D$64,$A91,'Argus Drop'!CW$12:CW$64))</f>
        <v/>
      </c>
      <c r="DG91" s="440" t="str">
        <f>IF(DF91="","",+SUMIF('Argus Drop'!$D$7:$D$64,$A91,'Argus Drop'!CX$12:CX$64))</f>
        <v/>
      </c>
      <c r="DH91" s="440" t="str">
        <f>IF(DG91="","",+SUMIF('Argus Drop'!$D$7:$D$64,$A91,'Argus Drop'!CY$12:CY$64))</f>
        <v/>
      </c>
      <c r="DI91" s="440" t="str">
        <f>IF(DH91="","",+SUMIF('Argus Drop'!$D$7:$D$64,$A91,'Argus Drop'!CZ$12:CZ$64))</f>
        <v/>
      </c>
      <c r="DJ91" s="440" t="str">
        <f>IF(DI91="","",+SUMIF('Argus Drop'!$D$7:$D$64,$A91,'Argus Drop'!DA$12:DA$64))</f>
        <v/>
      </c>
      <c r="DK91" s="440" t="str">
        <f>IF(DJ91="","",+SUMIF('Argus Drop'!$D$7:$D$64,$A91,'Argus Drop'!DB$12:DB$64))</f>
        <v/>
      </c>
      <c r="DL91" s="440" t="str">
        <f>IF(DK91="","",+SUMIF('Argus Drop'!$D$7:$D$64,$A91,'Argus Drop'!DC$12:DC$64))</f>
        <v/>
      </c>
      <c r="DM91" s="440" t="str">
        <f>IF(DL91="","",+SUMIF('Argus Drop'!$D$7:$D$64,$A91,'Argus Drop'!DD$12:DD$64))</f>
        <v/>
      </c>
      <c r="DN91" s="440" t="str">
        <f>IF(DM91="","",+SUMIF('Argus Drop'!$D$7:$D$64,$A91,'Argus Drop'!#REF!))</f>
        <v/>
      </c>
      <c r="DO91" s="440" t="str">
        <f>IF(DN91="","",+SUMIF('Argus Drop'!$D$7:$D$64,$A91,'Argus Drop'!DE$12:DE$64))</f>
        <v/>
      </c>
      <c r="DP91" s="440" t="str">
        <f>IF(DO91="","",+SUMIF('Argus Drop'!$D$7:$D$64,$A91,'Argus Drop'!DF$12:DF$64))</f>
        <v/>
      </c>
      <c r="DQ91" s="440" t="str">
        <f>IF(DP91="","",+SUMIF('Argus Drop'!$D$7:$D$64,$A91,'Argus Drop'!DG$12:DG$64))</f>
        <v/>
      </c>
      <c r="DR91" s="440" t="str">
        <f>IF(DQ91="","",+SUMIF('Argus Drop'!$D$7:$D$64,$A91,'Argus Drop'!DH$12:DH$64))</f>
        <v/>
      </c>
      <c r="DS91" s="440"/>
      <c r="DT91" s="440"/>
      <c r="DU91" s="440"/>
      <c r="DV91" s="440"/>
      <c r="DW91" s="440"/>
      <c r="DX91" s="440"/>
      <c r="DY91" s="440"/>
      <c r="DZ91" s="440"/>
      <c r="EA91" s="440"/>
      <c r="EB91" s="440"/>
      <c r="EC91" s="440"/>
      <c r="ED91" s="1419"/>
      <c r="EE91" s="1419"/>
      <c r="EF91" s="1419"/>
      <c r="EG91" s="1419"/>
      <c r="EH91" s="1419"/>
      <c r="EI91" s="1419"/>
      <c r="EJ91" s="1419"/>
      <c r="EK91" s="1419"/>
      <c r="EL91" s="1419"/>
      <c r="EM91" s="1419"/>
      <c r="EN91" s="1419"/>
      <c r="EO91" s="1419"/>
      <c r="EP91" s="1419"/>
      <c r="EQ91" s="1419"/>
      <c r="ER91" s="1419"/>
      <c r="ES91" s="1419"/>
      <c r="ET91" s="1419"/>
      <c r="EU91" s="1419"/>
      <c r="EV91" s="1419"/>
      <c r="EW91" s="1419"/>
      <c r="EX91" s="1419"/>
      <c r="EY91" s="1419"/>
      <c r="EZ91" s="1419"/>
      <c r="FA91" s="1419"/>
      <c r="FB91" s="1419"/>
      <c r="FC91" s="1419"/>
      <c r="FD91" s="1419"/>
      <c r="FE91" s="1419"/>
      <c r="FF91" s="1419"/>
      <c r="FG91" s="1419"/>
      <c r="FH91" s="1419"/>
      <c r="FI91" s="1419"/>
    </row>
    <row r="92" spans="1:165">
      <c r="A92" s="448" t="str">
        <f>IF(+'Argus Drop'!B96="","",'Argus Drop'!B96)</f>
        <v/>
      </c>
      <c r="B92" s="440" t="str">
        <f>IF(A92="","",+SUMIF('Argus Drop'!$D$7:$D$64,$A92,'Argus Drop'!#REF!))</f>
        <v/>
      </c>
      <c r="C92" s="440" t="str">
        <f>IF(B92="","",+SUMIF('Argus Drop'!$D$7:$D$64,$A92,'Argus Drop'!#REF!))</f>
        <v/>
      </c>
      <c r="D92" s="440" t="str">
        <f>IF(C92="","",+SUMIF('Argus Drop'!$D$7:$D$64,$A92,'Argus Drop'!#REF!))</f>
        <v/>
      </c>
      <c r="E92" s="440" t="str">
        <f>IF(D92="","",+SUMIF('Argus Drop'!$D$7:$D$64,$A92,'Argus Drop'!#REF!))</f>
        <v/>
      </c>
      <c r="F92" s="440" t="str">
        <f>IF(E92="","",+SUMIF('Argus Drop'!$D$7:$D$64,$A92,'Argus Drop'!#REF!))</f>
        <v/>
      </c>
      <c r="G92" s="440" t="str">
        <f>IF(F92="","",+SUMIF('Argus Drop'!$D$7:$D$64,$A92,'Argus Drop'!F$7:F$64))</f>
        <v/>
      </c>
      <c r="H92" s="440" t="str">
        <f>IF(G92="","",+SUMIF('Argus Drop'!$D$7:$D$64,$A92,'Argus Drop'!G$12:G$64))</f>
        <v/>
      </c>
      <c r="I92" s="440" t="str">
        <f>IF(H92="","",+SUMIF('Argus Drop'!$D$7:$D$64,$A92,'Argus Drop'!H$12:H$64))</f>
        <v/>
      </c>
      <c r="J92" s="440" t="str">
        <f>IF(I92="","",+SUMIF('Argus Drop'!$D$7:$D$64,$A92,'Argus Drop'!I$12:I$64))</f>
        <v/>
      </c>
      <c r="K92" s="440" t="str">
        <f>IF(J92="","",+SUMIF('Argus Drop'!$D$7:$D$64,$A92,'Argus Drop'!J$12:J$64))</f>
        <v/>
      </c>
      <c r="L92" s="440" t="str">
        <f>IF(K92="","",+SUMIF('Argus Drop'!$D$7:$D$64,$A92,'Argus Drop'!K$12:K$64))</f>
        <v/>
      </c>
      <c r="M92" s="440" t="str">
        <f>IF(L92="","",+SUMIF('Argus Drop'!$D$7:$D$64,$A92,'Argus Drop'!L$12:L$64))</f>
        <v/>
      </c>
      <c r="N92" s="440" t="str">
        <f>IF(M92="","",+SUMIF('Argus Drop'!$D$7:$D$64,$A92,'Argus Drop'!#REF!))</f>
        <v/>
      </c>
      <c r="O92" s="440" t="str">
        <f>IF(N92="","",+SUMIF('Argus Drop'!$D$7:$D$64,$A92,'Argus Drop'!M$12:M$64))</f>
        <v/>
      </c>
      <c r="P92" s="440" t="str">
        <f>IF(O92="","",+SUMIF('Argus Drop'!$D$7:$D$64,$A92,'Argus Drop'!N$12:N$64))</f>
        <v/>
      </c>
      <c r="Q92" s="440" t="str">
        <f>IF(P92="","",+SUMIF('Argus Drop'!$D$7:$D$64,$A92,'Argus Drop'!O$12:O$64))</f>
        <v/>
      </c>
      <c r="R92" s="440" t="str">
        <f>IF(Q92="","",+SUMIF('Argus Drop'!$D$7:$D$64,$A92,'Argus Drop'!P$12:P$64))</f>
        <v/>
      </c>
      <c r="S92" s="440" t="str">
        <f>IF(R92="","",+SUMIF('Argus Drop'!$D$7:$D$64,$A92,'Argus Drop'!Q$12:Q$64))</f>
        <v/>
      </c>
      <c r="T92" s="440" t="str">
        <f>IF(S92="","",+SUMIF('Argus Drop'!$D$7:$D$64,$A92,'Argus Drop'!R$12:R$64))</f>
        <v/>
      </c>
      <c r="U92" s="440" t="str">
        <f>IF(T92="","",+SUMIF('Argus Drop'!$D$7:$D$64,$A92,'Argus Drop'!S$12:S$64))</f>
        <v/>
      </c>
      <c r="V92" s="440" t="str">
        <f>IF(U92="","",+SUMIF('Argus Drop'!$D$7:$D$64,$A92,'Argus Drop'!T$12:T$64))</f>
        <v/>
      </c>
      <c r="W92" s="440" t="str">
        <f>IF(V92="","",+SUMIF('Argus Drop'!$D$7:$D$64,$A92,'Argus Drop'!U$12:U$64))</f>
        <v/>
      </c>
      <c r="X92" s="440" t="str">
        <f>IF(W92="","",+SUMIF('Argus Drop'!$D$7:$D$64,$A92,'Argus Drop'!V$12:V$64))</f>
        <v/>
      </c>
      <c r="Y92" s="440" t="str">
        <f>IF(X92="","",+SUMIF('Argus Drop'!$D$7:$D$64,$A92,'Argus Drop'!W$12:W$64))</f>
        <v/>
      </c>
      <c r="Z92" s="440" t="str">
        <f>IF(Y92="","",+SUMIF('Argus Drop'!$D$7:$D$64,$A92,'Argus Drop'!X$12:X$64))</f>
        <v/>
      </c>
      <c r="AA92" s="440" t="str">
        <f>IF(Z92="","",+SUMIF('Argus Drop'!$D$7:$D$64,$A92,'Argus Drop'!#REF!))</f>
        <v/>
      </c>
      <c r="AB92" s="440" t="str">
        <f>IF(AA92="","",+SUMIF('Argus Drop'!$D$7:$D$64,$A92,'Argus Drop'!Y$12:Y$64))</f>
        <v/>
      </c>
      <c r="AC92" s="440" t="str">
        <f>IF(AB92="","",+SUMIF('Argus Drop'!$D$7:$D$64,$A92,'Argus Drop'!Z$12:Z$64))</f>
        <v/>
      </c>
      <c r="AD92" s="440" t="str">
        <f>IF(AC92="","",+SUMIF('Argus Drop'!$D$7:$D$64,$A92,'Argus Drop'!AA$12:AA$64))</f>
        <v/>
      </c>
      <c r="AE92" s="440" t="str">
        <f>IF(AD92="","",+SUMIF('Argus Drop'!$D$7:$D$64,$A92,'Argus Drop'!AB$12:AB$64))</f>
        <v/>
      </c>
      <c r="AF92" s="440" t="str">
        <f>IF(AE92="","",+SUMIF('Argus Drop'!$D$7:$D$64,$A92,'Argus Drop'!AC$12:AC$64))</f>
        <v/>
      </c>
      <c r="AG92" s="440" t="str">
        <f>IF(AF92="","",+SUMIF('Argus Drop'!$D$7:$D$64,$A92,'Argus Drop'!AD$12:AD$64))</f>
        <v/>
      </c>
      <c r="AH92" s="440" t="str">
        <f>IF(AG92="","",+SUMIF('Argus Drop'!$D$7:$D$64,$A92,'Argus Drop'!AE$12:AE$64))</f>
        <v/>
      </c>
      <c r="AI92" s="440" t="str">
        <f>IF(AH92="","",+SUMIF('Argus Drop'!$D$7:$D$64,$A92,'Argus Drop'!AF$12:AF$64))</f>
        <v/>
      </c>
      <c r="AJ92" s="440" t="str">
        <f>IF(AI92="","",+SUMIF('Argus Drop'!$D$7:$D$64,$A92,'Argus Drop'!AG$12:AG$64))</f>
        <v/>
      </c>
      <c r="AK92" s="440" t="str">
        <f>IF(AJ92="","",+SUMIF('Argus Drop'!$D$7:$D$64,$A92,'Argus Drop'!AH$12:AH$64))</f>
        <v/>
      </c>
      <c r="AL92" s="440" t="str">
        <f>IF(AK92="","",+SUMIF('Argus Drop'!$D$7:$D$64,$A92,'Argus Drop'!AI$12:AI$64))</f>
        <v/>
      </c>
      <c r="AM92" s="440" t="str">
        <f>IF(AL92="","",+SUMIF('Argus Drop'!$D$7:$D$64,$A92,'Argus Drop'!AJ$12:AJ$64))</f>
        <v/>
      </c>
      <c r="AN92" s="440" t="str">
        <f>IF(AM92="","",+SUMIF('Argus Drop'!$D$7:$D$64,$A92,'Argus Drop'!#REF!))</f>
        <v/>
      </c>
      <c r="AO92" s="440" t="str">
        <f>IF(AN92="","",+SUMIF('Argus Drop'!$D$7:$D$64,$A92,'Argus Drop'!AK$12:AK$64))</f>
        <v/>
      </c>
      <c r="AP92" s="440" t="str">
        <f>IF(AO92="","",+SUMIF('Argus Drop'!$D$7:$D$64,$A92,'Argus Drop'!AL$12:AL$64))</f>
        <v/>
      </c>
      <c r="AQ92" s="440" t="str">
        <f>IF(AP92="","",+SUMIF('Argus Drop'!$D$7:$D$64,$A92,'Argus Drop'!AM$12:AM$64))</f>
        <v/>
      </c>
      <c r="AR92" s="440" t="str">
        <f>IF(AQ92="","",+SUMIF('Argus Drop'!$D$7:$D$64,$A92,'Argus Drop'!AN$12:AN$64))</f>
        <v/>
      </c>
      <c r="AS92" s="440" t="str">
        <f>IF(AR92="","",+SUMIF('Argus Drop'!$D$7:$D$64,$A92,'Argus Drop'!AO$12:AO$64))</f>
        <v/>
      </c>
      <c r="AT92" s="440" t="str">
        <f>IF(AS92="","",+SUMIF('Argus Drop'!$D$7:$D$64,$A92,'Argus Drop'!AP$12:AP$64))</f>
        <v/>
      </c>
      <c r="AU92" s="440" t="str">
        <f>IF(AT92="","",+SUMIF('Argus Drop'!$D$7:$D$64,$A92,'Argus Drop'!AQ$12:AQ$64))</f>
        <v/>
      </c>
      <c r="AV92" s="440" t="str">
        <f>IF(AU92="","",+SUMIF('Argus Drop'!$D$7:$D$64,$A92,'Argus Drop'!AR$12:AR$64))</f>
        <v/>
      </c>
      <c r="AW92" s="440" t="str">
        <f>IF(AV92="","",+SUMIF('Argus Drop'!$D$7:$D$64,$A92,'Argus Drop'!AS$12:AS$64))</f>
        <v/>
      </c>
      <c r="AX92" s="440" t="str">
        <f>IF(AW92="","",+SUMIF('Argus Drop'!$D$7:$D$64,$A92,'Argus Drop'!AT$12:AT$64))</f>
        <v/>
      </c>
      <c r="AY92" s="440" t="str">
        <f>IF(AX92="","",+SUMIF('Argus Drop'!$D$7:$D$64,$A92,'Argus Drop'!AU$12:AU$64))</f>
        <v/>
      </c>
      <c r="AZ92" s="440" t="str">
        <f>IF(AY92="","",+SUMIF('Argus Drop'!$D$7:$D$64,$A92,'Argus Drop'!AV$12:AV$64))</f>
        <v/>
      </c>
      <c r="BA92" s="440" t="str">
        <f>IF(AZ92="","",+SUMIF('Argus Drop'!$D$7:$D$64,$A92,'Argus Drop'!#REF!))</f>
        <v/>
      </c>
      <c r="BB92" s="440" t="str">
        <f>IF(BA92="","",+SUMIF('Argus Drop'!$D$7:$D$64,$A92,'Argus Drop'!AW$12:AW$64))</f>
        <v/>
      </c>
      <c r="BC92" s="440" t="str">
        <f>IF(BB92="","",+SUMIF('Argus Drop'!$D$7:$D$64,$A92,'Argus Drop'!AX$12:AX$64))</f>
        <v/>
      </c>
      <c r="BD92" s="440" t="str">
        <f>IF(BC92="","",+SUMIF('Argus Drop'!$D$7:$D$64,$A92,'Argus Drop'!AY$12:AY$64))</f>
        <v/>
      </c>
      <c r="BE92" s="440" t="str">
        <f>IF(BD92="","",+SUMIF('Argus Drop'!$D$7:$D$64,$A92,'Argus Drop'!AZ$12:AZ$64))</f>
        <v/>
      </c>
      <c r="BF92" s="440" t="str">
        <f>IF(BE92="","",+SUMIF('Argus Drop'!$D$7:$D$64,$A92,'Argus Drop'!BA$12:BA$64))</f>
        <v/>
      </c>
      <c r="BG92" s="440" t="str">
        <f>IF(BF92="","",+SUMIF('Argus Drop'!$D$7:$D$64,$A92,'Argus Drop'!BB$12:BB$64))</f>
        <v/>
      </c>
      <c r="BH92" s="440" t="str">
        <f>IF(BG92="","",+SUMIF('Argus Drop'!$D$7:$D$64,$A92,'Argus Drop'!BC$12:BC$64))</f>
        <v/>
      </c>
      <c r="BI92" s="440" t="str">
        <f>IF(BH92="","",+SUMIF('Argus Drop'!$D$7:$D$64,$A92,'Argus Drop'!BD$12:BD$64))</f>
        <v/>
      </c>
      <c r="BJ92" s="440" t="str">
        <f>IF(BI92="","",+SUMIF('Argus Drop'!$D$7:$D$64,$A92,'Argus Drop'!BE$12:BE$64))</f>
        <v/>
      </c>
      <c r="BK92" s="440" t="str">
        <f>IF(BJ92="","",+SUMIF('Argus Drop'!$D$7:$D$64,$A92,'Argus Drop'!BF$12:BF$64))</f>
        <v/>
      </c>
      <c r="BL92" s="440" t="str">
        <f>IF(BK92="","",+SUMIF('Argus Drop'!$D$7:$D$64,$A92,'Argus Drop'!BG$12:BG$64))</f>
        <v/>
      </c>
      <c r="BM92" s="440" t="str">
        <f>IF(BL92="","",+SUMIF('Argus Drop'!$D$7:$D$64,$A92,'Argus Drop'!BH$12:BH$64))</f>
        <v/>
      </c>
      <c r="BN92" s="440" t="str">
        <f>IF(BM92="","",+SUMIF('Argus Drop'!$D$7:$D$64,$A92,'Argus Drop'!#REF!))</f>
        <v/>
      </c>
      <c r="BO92" s="440" t="str">
        <f>IF(BN92="","",+SUMIF('Argus Drop'!$D$7:$D$64,$A92,'Argus Drop'!BI$12:BI$64))</f>
        <v/>
      </c>
      <c r="BP92" s="440" t="str">
        <f>IF(BO92="","",+SUMIF('Argus Drop'!$D$7:$D$64,$A92,'Argus Drop'!BJ$12:BJ$64))</f>
        <v/>
      </c>
      <c r="BQ92" s="440" t="str">
        <f>IF(BP92="","",+SUMIF('Argus Drop'!$D$7:$D$64,$A92,'Argus Drop'!BK$12:BK$64))</f>
        <v/>
      </c>
      <c r="BR92" s="440" t="str">
        <f>IF(BQ92="","",+SUMIF('Argus Drop'!$D$7:$D$64,$A92,'Argus Drop'!BL$12:BL$64))</f>
        <v/>
      </c>
      <c r="BS92" s="440" t="str">
        <f>IF(BR92="","",+SUMIF('Argus Drop'!$D$7:$D$64,$A92,'Argus Drop'!BM$12:BM$64))</f>
        <v/>
      </c>
      <c r="BT92" s="440" t="str">
        <f>IF(BS92="","",+SUMIF('Argus Drop'!$D$7:$D$64,$A92,'Argus Drop'!BN$12:BN$64))</f>
        <v/>
      </c>
      <c r="BU92" s="440" t="str">
        <f>IF(BT92="","",+SUMIF('Argus Drop'!$D$7:$D$64,$A92,'Argus Drop'!BO$12:BO$64))</f>
        <v/>
      </c>
      <c r="BV92" s="440" t="str">
        <f>IF(BU92="","",+SUMIF('Argus Drop'!$D$7:$D$64,$A92,'Argus Drop'!BP$12:BP$64))</f>
        <v/>
      </c>
      <c r="BW92" s="440" t="str">
        <f>IF(BV92="","",+SUMIF('Argus Drop'!$D$7:$D$64,$A92,'Argus Drop'!BQ$12:BQ$64))</f>
        <v/>
      </c>
      <c r="BX92" s="440" t="str">
        <f>IF(BW92="","",+SUMIF('Argus Drop'!$D$7:$D$64,$A92,'Argus Drop'!BR$12:BR$64))</f>
        <v/>
      </c>
      <c r="BY92" s="440" t="str">
        <f>IF(BX92="","",+SUMIF('Argus Drop'!$D$7:$D$64,$A92,'Argus Drop'!BS$12:BS$64))</f>
        <v/>
      </c>
      <c r="BZ92" s="440" t="str">
        <f>IF(BY92="","",+SUMIF('Argus Drop'!$D$7:$D$64,$A92,'Argus Drop'!BT$12:BT$64))</f>
        <v/>
      </c>
      <c r="CA92" s="440" t="str">
        <f>IF(BZ92="","",+SUMIF('Argus Drop'!$D$7:$D$64,$A92,'Argus Drop'!#REF!))</f>
        <v/>
      </c>
      <c r="CB92" s="440" t="str">
        <f>IF(CA92="","",+SUMIF('Argus Drop'!$D$7:$D$64,$A92,'Argus Drop'!BU$12:BU$64))</f>
        <v/>
      </c>
      <c r="CC92" s="440" t="str">
        <f>IF(CB92="","",+SUMIF('Argus Drop'!$D$7:$D$64,$A92,'Argus Drop'!BV$12:BV$64))</f>
        <v/>
      </c>
      <c r="CD92" s="440" t="str">
        <f>IF(CC92="","",+SUMIF('Argus Drop'!$D$7:$D$64,$A92,'Argus Drop'!BW$12:BW$64))</f>
        <v/>
      </c>
      <c r="CE92" s="440" t="str">
        <f>IF(CD92="","",+SUMIF('Argus Drop'!$D$7:$D$64,$A92,'Argus Drop'!BX$12:BX$64))</f>
        <v/>
      </c>
      <c r="CF92" s="440" t="str">
        <f>IF(CE92="","",+SUMIF('Argus Drop'!$D$7:$D$64,$A92,'Argus Drop'!BY$12:BY$64))</f>
        <v/>
      </c>
      <c r="CG92" s="440" t="str">
        <f>IF(CF92="","",+SUMIF('Argus Drop'!$D$7:$D$64,$A92,'Argus Drop'!BZ$12:BZ$64))</f>
        <v/>
      </c>
      <c r="CH92" s="440" t="str">
        <f>IF(CG92="","",+SUMIF('Argus Drop'!$D$7:$D$64,$A92,'Argus Drop'!CA$12:CA$64))</f>
        <v/>
      </c>
      <c r="CI92" s="440" t="str">
        <f>IF(CH92="","",+SUMIF('Argus Drop'!$D$7:$D$64,$A92,'Argus Drop'!CB$12:CB$64))</f>
        <v/>
      </c>
      <c r="CJ92" s="440" t="str">
        <f>IF(CI92="","",+SUMIF('Argus Drop'!$D$7:$D$64,$A92,'Argus Drop'!CC$12:CC$64))</f>
        <v/>
      </c>
      <c r="CK92" s="440" t="str">
        <f>IF(CJ92="","",+SUMIF('Argus Drop'!$D$7:$D$64,$A92,'Argus Drop'!CD$12:CD$64))</f>
        <v/>
      </c>
      <c r="CL92" s="440" t="str">
        <f>IF(CK92="","",+SUMIF('Argus Drop'!$D$7:$D$64,$A92,'Argus Drop'!CE$12:CE$64))</f>
        <v/>
      </c>
      <c r="CM92" s="440" t="str">
        <f>IF(CL92="","",+SUMIF('Argus Drop'!$D$7:$D$64,$A92,'Argus Drop'!CF$12:CF$64))</f>
        <v/>
      </c>
      <c r="CN92" s="440" t="str">
        <f>IF(CM92="","",+SUMIF('Argus Drop'!$D$7:$D$64,$A92,'Argus Drop'!#REF!))</f>
        <v/>
      </c>
      <c r="CO92" s="440" t="str">
        <f>IF(CN92="","",+SUMIF('Argus Drop'!$D$7:$D$64,$A92,'Argus Drop'!CG$12:CG$64))</f>
        <v/>
      </c>
      <c r="CP92" s="440" t="str">
        <f>IF(CO92="","",+SUMIF('Argus Drop'!$D$7:$D$64,$A92,'Argus Drop'!CH$12:CH$64))</f>
        <v/>
      </c>
      <c r="CQ92" s="440" t="str">
        <f>IF(CP92="","",+SUMIF('Argus Drop'!$D$7:$D$64,$A92,'Argus Drop'!CI$12:CI$64))</f>
        <v/>
      </c>
      <c r="CR92" s="440" t="str">
        <f>IF(CQ92="","",+SUMIF('Argus Drop'!$D$7:$D$64,$A92,'Argus Drop'!CJ$12:CJ$64))</f>
        <v/>
      </c>
      <c r="CS92" s="440" t="str">
        <f>IF(CR92="","",+SUMIF('Argus Drop'!$D$7:$D$64,$A92,'Argus Drop'!CK$12:CK$64))</f>
        <v/>
      </c>
      <c r="CT92" s="440" t="str">
        <f>IF(CS92="","",+SUMIF('Argus Drop'!$D$7:$D$64,$A92,'Argus Drop'!CL$12:CL$64))</f>
        <v/>
      </c>
      <c r="CU92" s="440" t="str">
        <f>IF(CT92="","",+SUMIF('Argus Drop'!$D$7:$D$64,$A92,'Argus Drop'!CM$12:CM$64))</f>
        <v/>
      </c>
      <c r="CV92" s="440" t="str">
        <f>IF(CU92="","",+SUMIF('Argus Drop'!$D$7:$D$64,$A92,'Argus Drop'!CN$12:CN$64))</f>
        <v/>
      </c>
      <c r="CW92" s="440" t="str">
        <f>IF(CV92="","",+SUMIF('Argus Drop'!$D$7:$D$64,$A92,'Argus Drop'!CO$12:CO$64))</f>
        <v/>
      </c>
      <c r="CX92" s="440" t="str">
        <f>IF(CW92="","",+SUMIF('Argus Drop'!$D$7:$D$64,$A92,'Argus Drop'!CP$12:CP$64))</f>
        <v/>
      </c>
      <c r="CY92" s="440" t="str">
        <f>IF(CX92="","",+SUMIF('Argus Drop'!$D$7:$D$64,$A92,'Argus Drop'!CQ$12:CQ$64))</f>
        <v/>
      </c>
      <c r="CZ92" s="440" t="str">
        <f>IF(CY92="","",+SUMIF('Argus Drop'!$D$7:$D$64,$A92,'Argus Drop'!CR$12:CR$64))</f>
        <v/>
      </c>
      <c r="DA92" s="440" t="str">
        <f>IF(CZ92="","",+SUMIF('Argus Drop'!$D$7:$D$64,$A92,'Argus Drop'!#REF!))</f>
        <v/>
      </c>
      <c r="DB92" s="440" t="str">
        <f>IF(DA92="","",+SUMIF('Argus Drop'!$D$7:$D$64,$A92,'Argus Drop'!CS$12:CS$64))</f>
        <v/>
      </c>
      <c r="DC92" s="440" t="str">
        <f>IF(DB92="","",+SUMIF('Argus Drop'!$D$7:$D$64,$A92,'Argus Drop'!CT$12:CT$64))</f>
        <v/>
      </c>
      <c r="DD92" s="440" t="str">
        <f>IF(DC92="","",+SUMIF('Argus Drop'!$D$7:$D$64,$A92,'Argus Drop'!CU$12:CU$64))</f>
        <v/>
      </c>
      <c r="DE92" s="440" t="str">
        <f>IF(DD92="","",+SUMIF('Argus Drop'!$D$7:$D$64,$A92,'Argus Drop'!CV$12:CV$64))</f>
        <v/>
      </c>
      <c r="DF92" s="440" t="str">
        <f>IF(DE92="","",+SUMIF('Argus Drop'!$D$7:$D$64,$A92,'Argus Drop'!CW$12:CW$64))</f>
        <v/>
      </c>
      <c r="DG92" s="440" t="str">
        <f>IF(DF92="","",+SUMIF('Argus Drop'!$D$7:$D$64,$A92,'Argus Drop'!CX$12:CX$64))</f>
        <v/>
      </c>
      <c r="DH92" s="440" t="str">
        <f>IF(DG92="","",+SUMIF('Argus Drop'!$D$7:$D$64,$A92,'Argus Drop'!CY$12:CY$64))</f>
        <v/>
      </c>
      <c r="DI92" s="440" t="str">
        <f>IF(DH92="","",+SUMIF('Argus Drop'!$D$7:$D$64,$A92,'Argus Drop'!CZ$12:CZ$64))</f>
        <v/>
      </c>
      <c r="DJ92" s="440" t="str">
        <f>IF(DI92="","",+SUMIF('Argus Drop'!$D$7:$D$64,$A92,'Argus Drop'!DA$12:DA$64))</f>
        <v/>
      </c>
      <c r="DK92" s="440" t="str">
        <f>IF(DJ92="","",+SUMIF('Argus Drop'!$D$7:$D$64,$A92,'Argus Drop'!DB$12:DB$64))</f>
        <v/>
      </c>
      <c r="DL92" s="440" t="str">
        <f>IF(DK92="","",+SUMIF('Argus Drop'!$D$7:$D$64,$A92,'Argus Drop'!DC$12:DC$64))</f>
        <v/>
      </c>
      <c r="DM92" s="440" t="str">
        <f>IF(DL92="","",+SUMIF('Argus Drop'!$D$7:$D$64,$A92,'Argus Drop'!DD$12:DD$64))</f>
        <v/>
      </c>
      <c r="DN92" s="440" t="str">
        <f>IF(DM92="","",+SUMIF('Argus Drop'!$D$7:$D$64,$A92,'Argus Drop'!#REF!))</f>
        <v/>
      </c>
      <c r="DO92" s="440" t="str">
        <f>IF(DN92="","",+SUMIF('Argus Drop'!$D$7:$D$64,$A92,'Argus Drop'!DE$12:DE$64))</f>
        <v/>
      </c>
      <c r="DP92" s="440" t="str">
        <f>IF(DO92="","",+SUMIF('Argus Drop'!$D$7:$D$64,$A92,'Argus Drop'!DF$12:DF$64))</f>
        <v/>
      </c>
      <c r="DQ92" s="440" t="str">
        <f>IF(DP92="","",+SUMIF('Argus Drop'!$D$7:$D$64,$A92,'Argus Drop'!DG$12:DG$64))</f>
        <v/>
      </c>
      <c r="DR92" s="440" t="str">
        <f>IF(DQ92="","",+SUMIF('Argus Drop'!$D$7:$D$64,$A92,'Argus Drop'!DH$12:DH$64))</f>
        <v/>
      </c>
      <c r="DS92" s="440"/>
      <c r="DT92" s="440"/>
      <c r="DU92" s="440"/>
      <c r="DV92" s="440"/>
      <c r="DW92" s="440"/>
      <c r="DX92" s="440"/>
      <c r="DY92" s="440"/>
      <c r="DZ92" s="440"/>
      <c r="EA92" s="440"/>
      <c r="EB92" s="440"/>
      <c r="EC92" s="440"/>
      <c r="ED92" s="1419"/>
      <c r="EE92" s="1419"/>
      <c r="EF92" s="1419"/>
      <c r="EG92" s="1419"/>
      <c r="EH92" s="1419"/>
      <c r="EI92" s="1419"/>
      <c r="EJ92" s="1419"/>
      <c r="EK92" s="1419"/>
      <c r="EL92" s="1419"/>
      <c r="EM92" s="1419"/>
      <c r="EN92" s="1419"/>
      <c r="EO92" s="1419"/>
      <c r="EP92" s="1419"/>
      <c r="EQ92" s="1419"/>
      <c r="ER92" s="1419"/>
      <c r="ES92" s="1419"/>
      <c r="ET92" s="1419"/>
      <c r="EU92" s="1419"/>
      <c r="EV92" s="1419"/>
      <c r="EW92" s="1419"/>
      <c r="EX92" s="1419"/>
      <c r="EY92" s="1419"/>
      <c r="EZ92" s="1419"/>
      <c r="FA92" s="1419"/>
      <c r="FB92" s="1419"/>
      <c r="FC92" s="1419"/>
      <c r="FD92" s="1419"/>
      <c r="FE92" s="1419"/>
      <c r="FF92" s="1419"/>
      <c r="FG92" s="1419"/>
      <c r="FH92" s="1419"/>
      <c r="FI92" s="1419"/>
    </row>
    <row r="93" spans="1:165">
      <c r="A93" s="448" t="str">
        <f>IF(+'Argus Drop'!B97="","",'Argus Drop'!B97)</f>
        <v/>
      </c>
      <c r="B93" s="440" t="str">
        <f>IF(A93="","",+SUMIF('Argus Drop'!$D$7:$D$64,$A93,'Argus Drop'!#REF!))</f>
        <v/>
      </c>
      <c r="C93" s="440" t="str">
        <f>IF(B93="","",+SUMIF('Argus Drop'!$D$7:$D$64,$A93,'Argus Drop'!#REF!))</f>
        <v/>
      </c>
      <c r="D93" s="440" t="str">
        <f>IF(C93="","",+SUMIF('Argus Drop'!$D$7:$D$64,$A93,'Argus Drop'!#REF!))</f>
        <v/>
      </c>
      <c r="E93" s="440" t="str">
        <f>IF(D93="","",+SUMIF('Argus Drop'!$D$7:$D$64,$A93,'Argus Drop'!#REF!))</f>
        <v/>
      </c>
      <c r="F93" s="440" t="str">
        <f>IF(E93="","",+SUMIF('Argus Drop'!$D$7:$D$64,$A93,'Argus Drop'!#REF!))</f>
        <v/>
      </c>
      <c r="G93" s="440" t="str">
        <f>IF(F93="","",+SUMIF('Argus Drop'!$D$7:$D$64,$A93,'Argus Drop'!F$7:F$64))</f>
        <v/>
      </c>
      <c r="H93" s="440" t="str">
        <f>IF(G93="","",+SUMIF('Argus Drop'!$D$7:$D$64,$A93,'Argus Drop'!G$12:G$64))</f>
        <v/>
      </c>
      <c r="I93" s="440" t="str">
        <f>IF(H93="","",+SUMIF('Argus Drop'!$D$7:$D$64,$A93,'Argus Drop'!H$12:H$64))</f>
        <v/>
      </c>
      <c r="J93" s="440" t="str">
        <f>IF(I93="","",+SUMIF('Argus Drop'!$D$7:$D$64,$A93,'Argus Drop'!I$12:I$64))</f>
        <v/>
      </c>
      <c r="K93" s="440" t="str">
        <f>IF(J93="","",+SUMIF('Argus Drop'!$D$7:$D$64,$A93,'Argus Drop'!J$12:J$64))</f>
        <v/>
      </c>
      <c r="L93" s="440" t="str">
        <f>IF(K93="","",+SUMIF('Argus Drop'!$D$7:$D$64,$A93,'Argus Drop'!K$12:K$64))</f>
        <v/>
      </c>
      <c r="M93" s="440" t="str">
        <f>IF(L93="","",+SUMIF('Argus Drop'!$D$7:$D$64,$A93,'Argus Drop'!L$12:L$64))</f>
        <v/>
      </c>
      <c r="N93" s="440" t="str">
        <f>IF(M93="","",+SUMIF('Argus Drop'!$D$7:$D$64,$A93,'Argus Drop'!#REF!))</f>
        <v/>
      </c>
      <c r="O93" s="440" t="str">
        <f>IF(N93="","",+SUMIF('Argus Drop'!$D$7:$D$64,$A93,'Argus Drop'!M$12:M$64))</f>
        <v/>
      </c>
      <c r="P93" s="440" t="str">
        <f>IF(O93="","",+SUMIF('Argus Drop'!$D$7:$D$64,$A93,'Argus Drop'!N$12:N$64))</f>
        <v/>
      </c>
      <c r="Q93" s="440" t="str">
        <f>IF(P93="","",+SUMIF('Argus Drop'!$D$7:$D$64,$A93,'Argus Drop'!O$12:O$64))</f>
        <v/>
      </c>
      <c r="R93" s="440" t="str">
        <f>IF(Q93="","",+SUMIF('Argus Drop'!$D$7:$D$64,$A93,'Argus Drop'!P$12:P$64))</f>
        <v/>
      </c>
      <c r="S93" s="440" t="str">
        <f>IF(R93="","",+SUMIF('Argus Drop'!$D$7:$D$64,$A93,'Argus Drop'!Q$12:Q$64))</f>
        <v/>
      </c>
      <c r="T93" s="440" t="str">
        <f>IF(S93="","",+SUMIF('Argus Drop'!$D$7:$D$64,$A93,'Argus Drop'!R$12:R$64))</f>
        <v/>
      </c>
      <c r="U93" s="440" t="str">
        <f>IF(T93="","",+SUMIF('Argus Drop'!$D$7:$D$64,$A93,'Argus Drop'!S$12:S$64))</f>
        <v/>
      </c>
      <c r="V93" s="440" t="str">
        <f>IF(U93="","",+SUMIF('Argus Drop'!$D$7:$D$64,$A93,'Argus Drop'!T$12:T$64))</f>
        <v/>
      </c>
      <c r="W93" s="440" t="str">
        <f>IF(V93="","",+SUMIF('Argus Drop'!$D$7:$D$64,$A93,'Argus Drop'!U$12:U$64))</f>
        <v/>
      </c>
      <c r="X93" s="440" t="str">
        <f>IF(W93="","",+SUMIF('Argus Drop'!$D$7:$D$64,$A93,'Argus Drop'!V$12:V$64))</f>
        <v/>
      </c>
      <c r="Y93" s="440" t="str">
        <f>IF(X93="","",+SUMIF('Argus Drop'!$D$7:$D$64,$A93,'Argus Drop'!W$12:W$64))</f>
        <v/>
      </c>
      <c r="Z93" s="440" t="str">
        <f>IF(Y93="","",+SUMIF('Argus Drop'!$D$7:$D$64,$A93,'Argus Drop'!X$12:X$64))</f>
        <v/>
      </c>
      <c r="AA93" s="440" t="str">
        <f>IF(Z93="","",+SUMIF('Argus Drop'!$D$7:$D$64,$A93,'Argus Drop'!#REF!))</f>
        <v/>
      </c>
      <c r="AB93" s="440" t="str">
        <f>IF(AA93="","",+SUMIF('Argus Drop'!$D$7:$D$64,$A93,'Argus Drop'!Y$12:Y$64))</f>
        <v/>
      </c>
      <c r="AC93" s="440" t="str">
        <f>IF(AB93="","",+SUMIF('Argus Drop'!$D$7:$D$64,$A93,'Argus Drop'!Z$12:Z$64))</f>
        <v/>
      </c>
      <c r="AD93" s="440" t="str">
        <f>IF(AC93="","",+SUMIF('Argus Drop'!$D$7:$D$64,$A93,'Argus Drop'!AA$12:AA$64))</f>
        <v/>
      </c>
      <c r="AE93" s="440" t="str">
        <f>IF(AD93="","",+SUMIF('Argus Drop'!$D$7:$D$64,$A93,'Argus Drop'!AB$12:AB$64))</f>
        <v/>
      </c>
      <c r="AF93" s="440" t="str">
        <f>IF(AE93="","",+SUMIF('Argus Drop'!$D$7:$D$64,$A93,'Argus Drop'!AC$12:AC$64))</f>
        <v/>
      </c>
      <c r="AG93" s="440" t="str">
        <f>IF(AF93="","",+SUMIF('Argus Drop'!$D$7:$D$64,$A93,'Argus Drop'!AD$12:AD$64))</f>
        <v/>
      </c>
      <c r="AH93" s="440" t="str">
        <f>IF(AG93="","",+SUMIF('Argus Drop'!$D$7:$D$64,$A93,'Argus Drop'!AE$12:AE$64))</f>
        <v/>
      </c>
      <c r="AI93" s="440" t="str">
        <f>IF(AH93="","",+SUMIF('Argus Drop'!$D$7:$D$64,$A93,'Argus Drop'!AF$12:AF$64))</f>
        <v/>
      </c>
      <c r="AJ93" s="440" t="str">
        <f>IF(AI93="","",+SUMIF('Argus Drop'!$D$7:$D$64,$A93,'Argus Drop'!AG$12:AG$64))</f>
        <v/>
      </c>
      <c r="AK93" s="440" t="str">
        <f>IF(AJ93="","",+SUMIF('Argus Drop'!$D$7:$D$64,$A93,'Argus Drop'!AH$12:AH$64))</f>
        <v/>
      </c>
      <c r="AL93" s="440" t="str">
        <f>IF(AK93="","",+SUMIF('Argus Drop'!$D$7:$D$64,$A93,'Argus Drop'!AI$12:AI$64))</f>
        <v/>
      </c>
      <c r="AM93" s="440" t="str">
        <f>IF(AL93="","",+SUMIF('Argus Drop'!$D$7:$D$64,$A93,'Argus Drop'!AJ$12:AJ$64))</f>
        <v/>
      </c>
      <c r="AN93" s="440" t="str">
        <f>IF(AM93="","",+SUMIF('Argus Drop'!$D$7:$D$64,$A93,'Argus Drop'!#REF!))</f>
        <v/>
      </c>
      <c r="AO93" s="440" t="str">
        <f>IF(AN93="","",+SUMIF('Argus Drop'!$D$7:$D$64,$A93,'Argus Drop'!AK$12:AK$64))</f>
        <v/>
      </c>
      <c r="AP93" s="440" t="str">
        <f>IF(AO93="","",+SUMIF('Argus Drop'!$D$7:$D$64,$A93,'Argus Drop'!AL$12:AL$64))</f>
        <v/>
      </c>
      <c r="AQ93" s="440" t="str">
        <f>IF(AP93="","",+SUMIF('Argus Drop'!$D$7:$D$64,$A93,'Argus Drop'!AM$12:AM$64))</f>
        <v/>
      </c>
      <c r="AR93" s="440" t="str">
        <f>IF(AQ93="","",+SUMIF('Argus Drop'!$D$7:$D$64,$A93,'Argus Drop'!AN$12:AN$64))</f>
        <v/>
      </c>
      <c r="AS93" s="440" t="str">
        <f>IF(AR93="","",+SUMIF('Argus Drop'!$D$7:$D$64,$A93,'Argus Drop'!AO$12:AO$64))</f>
        <v/>
      </c>
      <c r="AT93" s="440" t="str">
        <f>IF(AS93="","",+SUMIF('Argus Drop'!$D$7:$D$64,$A93,'Argus Drop'!AP$12:AP$64))</f>
        <v/>
      </c>
      <c r="AU93" s="440" t="str">
        <f>IF(AT93="","",+SUMIF('Argus Drop'!$D$7:$D$64,$A93,'Argus Drop'!AQ$12:AQ$64))</f>
        <v/>
      </c>
      <c r="AV93" s="440" t="str">
        <f>IF(AU93="","",+SUMIF('Argus Drop'!$D$7:$D$64,$A93,'Argus Drop'!AR$12:AR$64))</f>
        <v/>
      </c>
      <c r="AW93" s="440" t="str">
        <f>IF(AV93="","",+SUMIF('Argus Drop'!$D$7:$D$64,$A93,'Argus Drop'!AS$12:AS$64))</f>
        <v/>
      </c>
      <c r="AX93" s="440" t="str">
        <f>IF(AW93="","",+SUMIF('Argus Drop'!$D$7:$D$64,$A93,'Argus Drop'!AT$12:AT$64))</f>
        <v/>
      </c>
      <c r="AY93" s="440" t="str">
        <f>IF(AX93="","",+SUMIF('Argus Drop'!$D$7:$D$64,$A93,'Argus Drop'!AU$12:AU$64))</f>
        <v/>
      </c>
      <c r="AZ93" s="440" t="str">
        <f>IF(AY93="","",+SUMIF('Argus Drop'!$D$7:$D$64,$A93,'Argus Drop'!AV$12:AV$64))</f>
        <v/>
      </c>
      <c r="BA93" s="440" t="str">
        <f>IF(AZ93="","",+SUMIF('Argus Drop'!$D$7:$D$64,$A93,'Argus Drop'!#REF!))</f>
        <v/>
      </c>
      <c r="BB93" s="440" t="str">
        <f>IF(BA93="","",+SUMIF('Argus Drop'!$D$7:$D$64,$A93,'Argus Drop'!AW$12:AW$64))</f>
        <v/>
      </c>
      <c r="BC93" s="440" t="str">
        <f>IF(BB93="","",+SUMIF('Argus Drop'!$D$7:$D$64,$A93,'Argus Drop'!AX$12:AX$64))</f>
        <v/>
      </c>
      <c r="BD93" s="440" t="str">
        <f>IF(BC93="","",+SUMIF('Argus Drop'!$D$7:$D$64,$A93,'Argus Drop'!AY$12:AY$64))</f>
        <v/>
      </c>
      <c r="BE93" s="440" t="str">
        <f>IF(BD93="","",+SUMIF('Argus Drop'!$D$7:$D$64,$A93,'Argus Drop'!AZ$12:AZ$64))</f>
        <v/>
      </c>
      <c r="BF93" s="440" t="str">
        <f>IF(BE93="","",+SUMIF('Argus Drop'!$D$7:$D$64,$A93,'Argus Drop'!BA$12:BA$64))</f>
        <v/>
      </c>
      <c r="BG93" s="440" t="str">
        <f>IF(BF93="","",+SUMIF('Argus Drop'!$D$7:$D$64,$A93,'Argus Drop'!BB$12:BB$64))</f>
        <v/>
      </c>
      <c r="BH93" s="440" t="str">
        <f>IF(BG93="","",+SUMIF('Argus Drop'!$D$7:$D$64,$A93,'Argus Drop'!BC$12:BC$64))</f>
        <v/>
      </c>
      <c r="BI93" s="440" t="str">
        <f>IF(BH93="","",+SUMIF('Argus Drop'!$D$7:$D$64,$A93,'Argus Drop'!BD$12:BD$64))</f>
        <v/>
      </c>
      <c r="BJ93" s="440" t="str">
        <f>IF(BI93="","",+SUMIF('Argus Drop'!$D$7:$D$64,$A93,'Argus Drop'!BE$12:BE$64))</f>
        <v/>
      </c>
      <c r="BK93" s="440" t="str">
        <f>IF(BJ93="","",+SUMIF('Argus Drop'!$D$7:$D$64,$A93,'Argus Drop'!BF$12:BF$64))</f>
        <v/>
      </c>
      <c r="BL93" s="440" t="str">
        <f>IF(BK93="","",+SUMIF('Argus Drop'!$D$7:$D$64,$A93,'Argus Drop'!BG$12:BG$64))</f>
        <v/>
      </c>
      <c r="BM93" s="440" t="str">
        <f>IF(BL93="","",+SUMIF('Argus Drop'!$D$7:$D$64,$A93,'Argus Drop'!BH$12:BH$64))</f>
        <v/>
      </c>
      <c r="BN93" s="440" t="str">
        <f>IF(BM93="","",+SUMIF('Argus Drop'!$D$7:$D$64,$A93,'Argus Drop'!#REF!))</f>
        <v/>
      </c>
      <c r="BO93" s="440" t="str">
        <f>IF(BN93="","",+SUMIF('Argus Drop'!$D$7:$D$64,$A93,'Argus Drop'!BI$12:BI$64))</f>
        <v/>
      </c>
      <c r="BP93" s="440" t="str">
        <f>IF(BO93="","",+SUMIF('Argus Drop'!$D$7:$D$64,$A93,'Argus Drop'!BJ$12:BJ$64))</f>
        <v/>
      </c>
      <c r="BQ93" s="440" t="str">
        <f>IF(BP93="","",+SUMIF('Argus Drop'!$D$7:$D$64,$A93,'Argus Drop'!BK$12:BK$64))</f>
        <v/>
      </c>
      <c r="BR93" s="440" t="str">
        <f>IF(BQ93="","",+SUMIF('Argus Drop'!$D$7:$D$64,$A93,'Argus Drop'!BL$12:BL$64))</f>
        <v/>
      </c>
      <c r="BS93" s="440" t="str">
        <f>IF(BR93="","",+SUMIF('Argus Drop'!$D$7:$D$64,$A93,'Argus Drop'!BM$12:BM$64))</f>
        <v/>
      </c>
      <c r="BT93" s="440" t="str">
        <f>IF(BS93="","",+SUMIF('Argus Drop'!$D$7:$D$64,$A93,'Argus Drop'!BN$12:BN$64))</f>
        <v/>
      </c>
      <c r="BU93" s="440" t="str">
        <f>IF(BT93="","",+SUMIF('Argus Drop'!$D$7:$D$64,$A93,'Argus Drop'!BO$12:BO$64))</f>
        <v/>
      </c>
      <c r="BV93" s="440" t="str">
        <f>IF(BU93="","",+SUMIF('Argus Drop'!$D$7:$D$64,$A93,'Argus Drop'!BP$12:BP$64))</f>
        <v/>
      </c>
      <c r="BW93" s="440" t="str">
        <f>IF(BV93="","",+SUMIF('Argus Drop'!$D$7:$D$64,$A93,'Argus Drop'!BQ$12:BQ$64))</f>
        <v/>
      </c>
      <c r="BX93" s="440" t="str">
        <f>IF(BW93="","",+SUMIF('Argus Drop'!$D$7:$D$64,$A93,'Argus Drop'!BR$12:BR$64))</f>
        <v/>
      </c>
      <c r="BY93" s="440" t="str">
        <f>IF(BX93="","",+SUMIF('Argus Drop'!$D$7:$D$64,$A93,'Argus Drop'!BS$12:BS$64))</f>
        <v/>
      </c>
      <c r="BZ93" s="440" t="str">
        <f>IF(BY93="","",+SUMIF('Argus Drop'!$D$7:$D$64,$A93,'Argus Drop'!BT$12:BT$64))</f>
        <v/>
      </c>
      <c r="CA93" s="440" t="str">
        <f>IF(BZ93="","",+SUMIF('Argus Drop'!$D$7:$D$64,$A93,'Argus Drop'!#REF!))</f>
        <v/>
      </c>
      <c r="CB93" s="440" t="str">
        <f>IF(CA93="","",+SUMIF('Argus Drop'!$D$7:$D$64,$A93,'Argus Drop'!BU$12:BU$64))</f>
        <v/>
      </c>
      <c r="CC93" s="440" t="str">
        <f>IF(CB93="","",+SUMIF('Argus Drop'!$D$7:$D$64,$A93,'Argus Drop'!BV$12:BV$64))</f>
        <v/>
      </c>
      <c r="CD93" s="440" t="str">
        <f>IF(CC93="","",+SUMIF('Argus Drop'!$D$7:$D$64,$A93,'Argus Drop'!BW$12:BW$64))</f>
        <v/>
      </c>
      <c r="CE93" s="440" t="str">
        <f>IF(CD93="","",+SUMIF('Argus Drop'!$D$7:$D$64,$A93,'Argus Drop'!BX$12:BX$64))</f>
        <v/>
      </c>
      <c r="CF93" s="440" t="str">
        <f>IF(CE93="","",+SUMIF('Argus Drop'!$D$7:$D$64,$A93,'Argus Drop'!BY$12:BY$64))</f>
        <v/>
      </c>
      <c r="CG93" s="440" t="str">
        <f>IF(CF93="","",+SUMIF('Argus Drop'!$D$7:$D$64,$A93,'Argus Drop'!BZ$12:BZ$64))</f>
        <v/>
      </c>
      <c r="CH93" s="440" t="str">
        <f>IF(CG93="","",+SUMIF('Argus Drop'!$D$7:$D$64,$A93,'Argus Drop'!CA$12:CA$64))</f>
        <v/>
      </c>
      <c r="CI93" s="440" t="str">
        <f>IF(CH93="","",+SUMIF('Argus Drop'!$D$7:$D$64,$A93,'Argus Drop'!CB$12:CB$64))</f>
        <v/>
      </c>
      <c r="CJ93" s="440" t="str">
        <f>IF(CI93="","",+SUMIF('Argus Drop'!$D$7:$D$64,$A93,'Argus Drop'!CC$12:CC$64))</f>
        <v/>
      </c>
      <c r="CK93" s="440" t="str">
        <f>IF(CJ93="","",+SUMIF('Argus Drop'!$D$7:$D$64,$A93,'Argus Drop'!CD$12:CD$64))</f>
        <v/>
      </c>
      <c r="CL93" s="440" t="str">
        <f>IF(CK93="","",+SUMIF('Argus Drop'!$D$7:$D$64,$A93,'Argus Drop'!CE$12:CE$64))</f>
        <v/>
      </c>
      <c r="CM93" s="440" t="str">
        <f>IF(CL93="","",+SUMIF('Argus Drop'!$D$7:$D$64,$A93,'Argus Drop'!CF$12:CF$64))</f>
        <v/>
      </c>
      <c r="CN93" s="440" t="str">
        <f>IF(CM93="","",+SUMIF('Argus Drop'!$D$7:$D$64,$A93,'Argus Drop'!#REF!))</f>
        <v/>
      </c>
      <c r="CO93" s="440" t="str">
        <f>IF(CN93="","",+SUMIF('Argus Drop'!$D$7:$D$64,$A93,'Argus Drop'!CG$12:CG$64))</f>
        <v/>
      </c>
      <c r="CP93" s="440" t="str">
        <f>IF(CO93="","",+SUMIF('Argus Drop'!$D$7:$D$64,$A93,'Argus Drop'!CH$12:CH$64))</f>
        <v/>
      </c>
      <c r="CQ93" s="440" t="str">
        <f>IF(CP93="","",+SUMIF('Argus Drop'!$D$7:$D$64,$A93,'Argus Drop'!CI$12:CI$64))</f>
        <v/>
      </c>
      <c r="CR93" s="440" t="str">
        <f>IF(CQ93="","",+SUMIF('Argus Drop'!$D$7:$D$64,$A93,'Argus Drop'!CJ$12:CJ$64))</f>
        <v/>
      </c>
      <c r="CS93" s="440" t="str">
        <f>IF(CR93="","",+SUMIF('Argus Drop'!$D$7:$D$64,$A93,'Argus Drop'!CK$12:CK$64))</f>
        <v/>
      </c>
      <c r="CT93" s="440" t="str">
        <f>IF(CS93="","",+SUMIF('Argus Drop'!$D$7:$D$64,$A93,'Argus Drop'!CL$12:CL$64))</f>
        <v/>
      </c>
      <c r="CU93" s="440" t="str">
        <f>IF(CT93="","",+SUMIF('Argus Drop'!$D$7:$D$64,$A93,'Argus Drop'!CM$12:CM$64))</f>
        <v/>
      </c>
      <c r="CV93" s="440" t="str">
        <f>IF(CU93="","",+SUMIF('Argus Drop'!$D$7:$D$64,$A93,'Argus Drop'!CN$12:CN$64))</f>
        <v/>
      </c>
      <c r="CW93" s="440" t="str">
        <f>IF(CV93="","",+SUMIF('Argus Drop'!$D$7:$D$64,$A93,'Argus Drop'!CO$12:CO$64))</f>
        <v/>
      </c>
      <c r="CX93" s="440" t="str">
        <f>IF(CW93="","",+SUMIF('Argus Drop'!$D$7:$D$64,$A93,'Argus Drop'!CP$12:CP$64))</f>
        <v/>
      </c>
      <c r="CY93" s="440" t="str">
        <f>IF(CX93="","",+SUMIF('Argus Drop'!$D$7:$D$64,$A93,'Argus Drop'!CQ$12:CQ$64))</f>
        <v/>
      </c>
      <c r="CZ93" s="440" t="str">
        <f>IF(CY93="","",+SUMIF('Argus Drop'!$D$7:$D$64,$A93,'Argus Drop'!CR$12:CR$64))</f>
        <v/>
      </c>
      <c r="DA93" s="440" t="str">
        <f>IF(CZ93="","",+SUMIF('Argus Drop'!$D$7:$D$64,$A93,'Argus Drop'!#REF!))</f>
        <v/>
      </c>
      <c r="DB93" s="440" t="str">
        <f>IF(DA93="","",+SUMIF('Argus Drop'!$D$7:$D$64,$A93,'Argus Drop'!CS$12:CS$64))</f>
        <v/>
      </c>
      <c r="DC93" s="440" t="str">
        <f>IF(DB93="","",+SUMIF('Argus Drop'!$D$7:$D$64,$A93,'Argus Drop'!CT$12:CT$64))</f>
        <v/>
      </c>
      <c r="DD93" s="440" t="str">
        <f>IF(DC93="","",+SUMIF('Argus Drop'!$D$7:$D$64,$A93,'Argus Drop'!CU$12:CU$64))</f>
        <v/>
      </c>
      <c r="DE93" s="440" t="str">
        <f>IF(DD93="","",+SUMIF('Argus Drop'!$D$7:$D$64,$A93,'Argus Drop'!CV$12:CV$64))</f>
        <v/>
      </c>
      <c r="DF93" s="440" t="str">
        <f>IF(DE93="","",+SUMIF('Argus Drop'!$D$7:$D$64,$A93,'Argus Drop'!CW$12:CW$64))</f>
        <v/>
      </c>
      <c r="DG93" s="440" t="str">
        <f>IF(DF93="","",+SUMIF('Argus Drop'!$D$7:$D$64,$A93,'Argus Drop'!CX$12:CX$64))</f>
        <v/>
      </c>
      <c r="DH93" s="440" t="str">
        <f>IF(DG93="","",+SUMIF('Argus Drop'!$D$7:$D$64,$A93,'Argus Drop'!CY$12:CY$64))</f>
        <v/>
      </c>
      <c r="DI93" s="440" t="str">
        <f>IF(DH93="","",+SUMIF('Argus Drop'!$D$7:$D$64,$A93,'Argus Drop'!CZ$12:CZ$64))</f>
        <v/>
      </c>
      <c r="DJ93" s="440" t="str">
        <f>IF(DI93="","",+SUMIF('Argus Drop'!$D$7:$D$64,$A93,'Argus Drop'!DA$12:DA$64))</f>
        <v/>
      </c>
      <c r="DK93" s="440" t="str">
        <f>IF(DJ93="","",+SUMIF('Argus Drop'!$D$7:$D$64,$A93,'Argus Drop'!DB$12:DB$64))</f>
        <v/>
      </c>
      <c r="DL93" s="440" t="str">
        <f>IF(DK93="","",+SUMIF('Argus Drop'!$D$7:$D$64,$A93,'Argus Drop'!DC$12:DC$64))</f>
        <v/>
      </c>
      <c r="DM93" s="440" t="str">
        <f>IF(DL93="","",+SUMIF('Argus Drop'!$D$7:$D$64,$A93,'Argus Drop'!DD$12:DD$64))</f>
        <v/>
      </c>
      <c r="DN93" s="440" t="str">
        <f>IF(DM93="","",+SUMIF('Argus Drop'!$D$7:$D$64,$A93,'Argus Drop'!#REF!))</f>
        <v/>
      </c>
      <c r="DO93" s="440" t="str">
        <f>IF(DN93="","",+SUMIF('Argus Drop'!$D$7:$D$64,$A93,'Argus Drop'!DE$12:DE$64))</f>
        <v/>
      </c>
      <c r="DP93" s="440" t="str">
        <f>IF(DO93="","",+SUMIF('Argus Drop'!$D$7:$D$64,$A93,'Argus Drop'!DF$12:DF$64))</f>
        <v/>
      </c>
      <c r="DQ93" s="440" t="str">
        <f>IF(DP93="","",+SUMIF('Argus Drop'!$D$7:$D$64,$A93,'Argus Drop'!DG$12:DG$64))</f>
        <v/>
      </c>
      <c r="DR93" s="440" t="str">
        <f>IF(DQ93="","",+SUMIF('Argus Drop'!$D$7:$D$64,$A93,'Argus Drop'!DH$12:DH$64))</f>
        <v/>
      </c>
      <c r="DS93" s="440"/>
      <c r="DT93" s="440"/>
      <c r="DU93" s="440"/>
      <c r="DV93" s="440"/>
      <c r="DW93" s="440"/>
      <c r="DX93" s="440"/>
      <c r="DY93" s="440"/>
      <c r="DZ93" s="440"/>
      <c r="EA93" s="440"/>
      <c r="EB93" s="440"/>
      <c r="EC93" s="440"/>
      <c r="ED93" s="1419"/>
      <c r="EE93" s="1419"/>
      <c r="EF93" s="1419"/>
      <c r="EG93" s="1419"/>
      <c r="EH93" s="1419"/>
      <c r="EI93" s="1419"/>
      <c r="EJ93" s="1419"/>
      <c r="EK93" s="1419"/>
      <c r="EL93" s="1419"/>
      <c r="EM93" s="1419"/>
      <c r="EN93" s="1419"/>
      <c r="EO93" s="1419"/>
      <c r="EP93" s="1419"/>
      <c r="EQ93" s="1419"/>
      <c r="ER93" s="1419"/>
      <c r="ES93" s="1419"/>
      <c r="ET93" s="1419"/>
      <c r="EU93" s="1419"/>
      <c r="EV93" s="1419"/>
      <c r="EW93" s="1419"/>
      <c r="EX93" s="1419"/>
      <c r="EY93" s="1419"/>
      <c r="EZ93" s="1419"/>
      <c r="FA93" s="1419"/>
      <c r="FB93" s="1419"/>
      <c r="FC93" s="1419"/>
      <c r="FD93" s="1419"/>
      <c r="FE93" s="1419"/>
      <c r="FF93" s="1419"/>
      <c r="FG93" s="1419"/>
      <c r="FH93" s="1419"/>
      <c r="FI93" s="1419"/>
    </row>
    <row r="94" spans="1:165">
      <c r="A94" s="448" t="str">
        <f>IF(+'Argus Drop'!B98="","",'Argus Drop'!B98)</f>
        <v/>
      </c>
      <c r="B94" s="440" t="str">
        <f>IF(A94="","",+SUMIF('Argus Drop'!$D$7:$D$64,$A94,'Argus Drop'!#REF!))</f>
        <v/>
      </c>
      <c r="C94" s="440" t="str">
        <f>IF(B94="","",+SUMIF('Argus Drop'!$D$7:$D$64,$A94,'Argus Drop'!#REF!))</f>
        <v/>
      </c>
      <c r="D94" s="440" t="str">
        <f>IF(C94="","",+SUMIF('Argus Drop'!$D$7:$D$64,$A94,'Argus Drop'!#REF!))</f>
        <v/>
      </c>
      <c r="E94" s="440" t="str">
        <f>IF(D94="","",+SUMIF('Argus Drop'!$D$7:$D$64,$A94,'Argus Drop'!#REF!))</f>
        <v/>
      </c>
      <c r="F94" s="440" t="str">
        <f>IF(E94="","",+SUMIF('Argus Drop'!$D$7:$D$64,$A94,'Argus Drop'!#REF!))</f>
        <v/>
      </c>
      <c r="G94" s="440" t="str">
        <f>IF(F94="","",+SUMIF('Argus Drop'!$D$7:$D$64,$A94,'Argus Drop'!F$7:F$64))</f>
        <v/>
      </c>
      <c r="H94" s="440" t="str">
        <f>IF(G94="","",+SUMIF('Argus Drop'!$D$7:$D$64,$A94,'Argus Drop'!G$12:G$64))</f>
        <v/>
      </c>
      <c r="I94" s="440" t="str">
        <f>IF(H94="","",+SUMIF('Argus Drop'!$D$7:$D$64,$A94,'Argus Drop'!H$12:H$64))</f>
        <v/>
      </c>
      <c r="J94" s="440" t="str">
        <f>IF(I94="","",+SUMIF('Argus Drop'!$D$7:$D$64,$A94,'Argus Drop'!I$12:I$64))</f>
        <v/>
      </c>
      <c r="K94" s="440" t="str">
        <f>IF(J94="","",+SUMIF('Argus Drop'!$D$7:$D$64,$A94,'Argus Drop'!J$12:J$64))</f>
        <v/>
      </c>
      <c r="L94" s="440" t="str">
        <f>IF(K94="","",+SUMIF('Argus Drop'!$D$7:$D$64,$A94,'Argus Drop'!K$12:K$64))</f>
        <v/>
      </c>
      <c r="M94" s="440" t="str">
        <f>IF(L94="","",+SUMIF('Argus Drop'!$D$7:$D$64,$A94,'Argus Drop'!L$12:L$64))</f>
        <v/>
      </c>
      <c r="N94" s="440" t="str">
        <f>IF(M94="","",+SUMIF('Argus Drop'!$D$7:$D$64,$A94,'Argus Drop'!#REF!))</f>
        <v/>
      </c>
      <c r="O94" s="440" t="str">
        <f>IF(N94="","",+SUMIF('Argus Drop'!$D$7:$D$64,$A94,'Argus Drop'!M$12:M$64))</f>
        <v/>
      </c>
      <c r="P94" s="440" t="str">
        <f>IF(O94="","",+SUMIF('Argus Drop'!$D$7:$D$64,$A94,'Argus Drop'!N$12:N$64))</f>
        <v/>
      </c>
      <c r="Q94" s="440" t="str">
        <f>IF(P94="","",+SUMIF('Argus Drop'!$D$7:$D$64,$A94,'Argus Drop'!O$12:O$64))</f>
        <v/>
      </c>
      <c r="R94" s="440" t="str">
        <f>IF(Q94="","",+SUMIF('Argus Drop'!$D$7:$D$64,$A94,'Argus Drop'!P$12:P$64))</f>
        <v/>
      </c>
      <c r="S94" s="440" t="str">
        <f>IF(R94="","",+SUMIF('Argus Drop'!$D$7:$D$64,$A94,'Argus Drop'!Q$12:Q$64))</f>
        <v/>
      </c>
      <c r="T94" s="440" t="str">
        <f>IF(S94="","",+SUMIF('Argus Drop'!$D$7:$D$64,$A94,'Argus Drop'!R$12:R$64))</f>
        <v/>
      </c>
      <c r="U94" s="440" t="str">
        <f>IF(T94="","",+SUMIF('Argus Drop'!$D$7:$D$64,$A94,'Argus Drop'!S$12:S$64))</f>
        <v/>
      </c>
      <c r="V94" s="440" t="str">
        <f>IF(U94="","",+SUMIF('Argus Drop'!$D$7:$D$64,$A94,'Argus Drop'!T$12:T$64))</f>
        <v/>
      </c>
      <c r="W94" s="440" t="str">
        <f>IF(V94="","",+SUMIF('Argus Drop'!$D$7:$D$64,$A94,'Argus Drop'!U$12:U$64))</f>
        <v/>
      </c>
      <c r="X94" s="440" t="str">
        <f>IF(W94="","",+SUMIF('Argus Drop'!$D$7:$D$64,$A94,'Argus Drop'!V$12:V$64))</f>
        <v/>
      </c>
      <c r="Y94" s="440" t="str">
        <f>IF(X94="","",+SUMIF('Argus Drop'!$D$7:$D$64,$A94,'Argus Drop'!W$12:W$64))</f>
        <v/>
      </c>
      <c r="Z94" s="440" t="str">
        <f>IF(Y94="","",+SUMIF('Argus Drop'!$D$7:$D$64,$A94,'Argus Drop'!X$12:X$64))</f>
        <v/>
      </c>
      <c r="AA94" s="440" t="str">
        <f>IF(Z94="","",+SUMIF('Argus Drop'!$D$7:$D$64,$A94,'Argus Drop'!#REF!))</f>
        <v/>
      </c>
      <c r="AB94" s="440" t="str">
        <f>IF(AA94="","",+SUMIF('Argus Drop'!$D$7:$D$64,$A94,'Argus Drop'!Y$12:Y$64))</f>
        <v/>
      </c>
      <c r="AC94" s="440" t="str">
        <f>IF(AB94="","",+SUMIF('Argus Drop'!$D$7:$D$64,$A94,'Argus Drop'!Z$12:Z$64))</f>
        <v/>
      </c>
      <c r="AD94" s="440" t="str">
        <f>IF(AC94="","",+SUMIF('Argus Drop'!$D$7:$D$64,$A94,'Argus Drop'!AA$12:AA$64))</f>
        <v/>
      </c>
      <c r="AE94" s="440" t="str">
        <f>IF(AD94="","",+SUMIF('Argus Drop'!$D$7:$D$64,$A94,'Argus Drop'!AB$12:AB$64))</f>
        <v/>
      </c>
      <c r="AF94" s="440" t="str">
        <f>IF(AE94="","",+SUMIF('Argus Drop'!$D$7:$D$64,$A94,'Argus Drop'!AC$12:AC$64))</f>
        <v/>
      </c>
      <c r="AG94" s="440" t="str">
        <f>IF(AF94="","",+SUMIF('Argus Drop'!$D$7:$D$64,$A94,'Argus Drop'!AD$12:AD$64))</f>
        <v/>
      </c>
      <c r="AH94" s="440" t="str">
        <f>IF(AG94="","",+SUMIF('Argus Drop'!$D$7:$D$64,$A94,'Argus Drop'!AE$12:AE$64))</f>
        <v/>
      </c>
      <c r="AI94" s="440" t="str">
        <f>IF(AH94="","",+SUMIF('Argus Drop'!$D$7:$D$64,$A94,'Argus Drop'!AF$12:AF$64))</f>
        <v/>
      </c>
      <c r="AJ94" s="440" t="str">
        <f>IF(AI94="","",+SUMIF('Argus Drop'!$D$7:$D$64,$A94,'Argus Drop'!AG$12:AG$64))</f>
        <v/>
      </c>
      <c r="AK94" s="440" t="str">
        <f>IF(AJ94="","",+SUMIF('Argus Drop'!$D$7:$D$64,$A94,'Argus Drop'!AH$12:AH$64))</f>
        <v/>
      </c>
      <c r="AL94" s="440" t="str">
        <f>IF(AK94="","",+SUMIF('Argus Drop'!$D$7:$D$64,$A94,'Argus Drop'!AI$12:AI$64))</f>
        <v/>
      </c>
      <c r="AM94" s="440" t="str">
        <f>IF(AL94="","",+SUMIF('Argus Drop'!$D$7:$D$64,$A94,'Argus Drop'!AJ$12:AJ$64))</f>
        <v/>
      </c>
      <c r="AN94" s="440" t="str">
        <f>IF(AM94="","",+SUMIF('Argus Drop'!$D$7:$D$64,$A94,'Argus Drop'!#REF!))</f>
        <v/>
      </c>
      <c r="AO94" s="440" t="str">
        <f>IF(AN94="","",+SUMIF('Argus Drop'!$D$7:$D$64,$A94,'Argus Drop'!AK$12:AK$64))</f>
        <v/>
      </c>
      <c r="AP94" s="440" t="str">
        <f>IF(AO94="","",+SUMIF('Argus Drop'!$D$7:$D$64,$A94,'Argus Drop'!AL$12:AL$64))</f>
        <v/>
      </c>
      <c r="AQ94" s="440" t="str">
        <f>IF(AP94="","",+SUMIF('Argus Drop'!$D$7:$D$64,$A94,'Argus Drop'!AM$12:AM$64))</f>
        <v/>
      </c>
      <c r="AR94" s="440" t="str">
        <f>IF(AQ94="","",+SUMIF('Argus Drop'!$D$7:$D$64,$A94,'Argus Drop'!AN$12:AN$64))</f>
        <v/>
      </c>
      <c r="AS94" s="440" t="str">
        <f>IF(AR94="","",+SUMIF('Argus Drop'!$D$7:$D$64,$A94,'Argus Drop'!AO$12:AO$64))</f>
        <v/>
      </c>
      <c r="AT94" s="440" t="str">
        <f>IF(AS94="","",+SUMIF('Argus Drop'!$D$7:$D$64,$A94,'Argus Drop'!AP$12:AP$64))</f>
        <v/>
      </c>
      <c r="AU94" s="440" t="str">
        <f>IF(AT94="","",+SUMIF('Argus Drop'!$D$7:$D$64,$A94,'Argus Drop'!AQ$12:AQ$64))</f>
        <v/>
      </c>
      <c r="AV94" s="440" t="str">
        <f>IF(AU94="","",+SUMIF('Argus Drop'!$D$7:$D$64,$A94,'Argus Drop'!AR$12:AR$64))</f>
        <v/>
      </c>
      <c r="AW94" s="440" t="str">
        <f>IF(AV94="","",+SUMIF('Argus Drop'!$D$7:$D$64,$A94,'Argus Drop'!AS$12:AS$64))</f>
        <v/>
      </c>
      <c r="AX94" s="440" t="str">
        <f>IF(AW94="","",+SUMIF('Argus Drop'!$D$7:$D$64,$A94,'Argus Drop'!AT$12:AT$64))</f>
        <v/>
      </c>
      <c r="AY94" s="440" t="str">
        <f>IF(AX94="","",+SUMIF('Argus Drop'!$D$7:$D$64,$A94,'Argus Drop'!AU$12:AU$64))</f>
        <v/>
      </c>
      <c r="AZ94" s="440" t="str">
        <f>IF(AY94="","",+SUMIF('Argus Drop'!$D$7:$D$64,$A94,'Argus Drop'!AV$12:AV$64))</f>
        <v/>
      </c>
      <c r="BA94" s="440" t="str">
        <f>IF(AZ94="","",+SUMIF('Argus Drop'!$D$7:$D$64,$A94,'Argus Drop'!#REF!))</f>
        <v/>
      </c>
      <c r="BB94" s="440" t="str">
        <f>IF(BA94="","",+SUMIF('Argus Drop'!$D$7:$D$64,$A94,'Argus Drop'!AW$12:AW$64))</f>
        <v/>
      </c>
      <c r="BC94" s="440" t="str">
        <f>IF(BB94="","",+SUMIF('Argus Drop'!$D$7:$D$64,$A94,'Argus Drop'!AX$12:AX$64))</f>
        <v/>
      </c>
      <c r="BD94" s="440" t="str">
        <f>IF(BC94="","",+SUMIF('Argus Drop'!$D$7:$D$64,$A94,'Argus Drop'!AY$12:AY$64))</f>
        <v/>
      </c>
      <c r="BE94" s="440" t="str">
        <f>IF(BD94="","",+SUMIF('Argus Drop'!$D$7:$D$64,$A94,'Argus Drop'!AZ$12:AZ$64))</f>
        <v/>
      </c>
      <c r="BF94" s="440" t="str">
        <f>IF(BE94="","",+SUMIF('Argus Drop'!$D$7:$D$64,$A94,'Argus Drop'!BA$12:BA$64))</f>
        <v/>
      </c>
      <c r="BG94" s="440" t="str">
        <f>IF(BF94="","",+SUMIF('Argus Drop'!$D$7:$D$64,$A94,'Argus Drop'!BB$12:BB$64))</f>
        <v/>
      </c>
      <c r="BH94" s="440" t="str">
        <f>IF(BG94="","",+SUMIF('Argus Drop'!$D$7:$D$64,$A94,'Argus Drop'!BC$12:BC$64))</f>
        <v/>
      </c>
      <c r="BI94" s="440" t="str">
        <f>IF(BH94="","",+SUMIF('Argus Drop'!$D$7:$D$64,$A94,'Argus Drop'!BD$12:BD$64))</f>
        <v/>
      </c>
      <c r="BJ94" s="440" t="str">
        <f>IF(BI94="","",+SUMIF('Argus Drop'!$D$7:$D$64,$A94,'Argus Drop'!BE$12:BE$64))</f>
        <v/>
      </c>
      <c r="BK94" s="440" t="str">
        <f>IF(BJ94="","",+SUMIF('Argus Drop'!$D$7:$D$64,$A94,'Argus Drop'!BF$12:BF$64))</f>
        <v/>
      </c>
      <c r="BL94" s="440" t="str">
        <f>IF(BK94="","",+SUMIF('Argus Drop'!$D$7:$D$64,$A94,'Argus Drop'!BG$12:BG$64))</f>
        <v/>
      </c>
      <c r="BM94" s="440" t="str">
        <f>IF(BL94="","",+SUMIF('Argus Drop'!$D$7:$D$64,$A94,'Argus Drop'!BH$12:BH$64))</f>
        <v/>
      </c>
      <c r="BN94" s="440" t="str">
        <f>IF(BM94="","",+SUMIF('Argus Drop'!$D$7:$D$64,$A94,'Argus Drop'!#REF!))</f>
        <v/>
      </c>
      <c r="BO94" s="440" t="str">
        <f>IF(BN94="","",+SUMIF('Argus Drop'!$D$7:$D$64,$A94,'Argus Drop'!BI$12:BI$64))</f>
        <v/>
      </c>
      <c r="BP94" s="440" t="str">
        <f>IF(BO94="","",+SUMIF('Argus Drop'!$D$7:$D$64,$A94,'Argus Drop'!BJ$12:BJ$64))</f>
        <v/>
      </c>
      <c r="BQ94" s="440" t="str">
        <f>IF(BP94="","",+SUMIF('Argus Drop'!$D$7:$D$64,$A94,'Argus Drop'!BK$12:BK$64))</f>
        <v/>
      </c>
      <c r="BR94" s="440" t="str">
        <f>IF(BQ94="","",+SUMIF('Argus Drop'!$D$7:$D$64,$A94,'Argus Drop'!BL$12:BL$64))</f>
        <v/>
      </c>
      <c r="BS94" s="440" t="str">
        <f>IF(BR94="","",+SUMIF('Argus Drop'!$D$7:$D$64,$A94,'Argus Drop'!BM$12:BM$64))</f>
        <v/>
      </c>
      <c r="BT94" s="440" t="str">
        <f>IF(BS94="","",+SUMIF('Argus Drop'!$D$7:$D$64,$A94,'Argus Drop'!BN$12:BN$64))</f>
        <v/>
      </c>
      <c r="BU94" s="440" t="str">
        <f>IF(BT94="","",+SUMIF('Argus Drop'!$D$7:$D$64,$A94,'Argus Drop'!BO$12:BO$64))</f>
        <v/>
      </c>
      <c r="BV94" s="440" t="str">
        <f>IF(BU94="","",+SUMIF('Argus Drop'!$D$7:$D$64,$A94,'Argus Drop'!BP$12:BP$64))</f>
        <v/>
      </c>
      <c r="BW94" s="440" t="str">
        <f>IF(BV94="","",+SUMIF('Argus Drop'!$D$7:$D$64,$A94,'Argus Drop'!BQ$12:BQ$64))</f>
        <v/>
      </c>
      <c r="BX94" s="440" t="str">
        <f>IF(BW94="","",+SUMIF('Argus Drop'!$D$7:$D$64,$A94,'Argus Drop'!BR$12:BR$64))</f>
        <v/>
      </c>
      <c r="BY94" s="440" t="str">
        <f>IF(BX94="","",+SUMIF('Argus Drop'!$D$7:$D$64,$A94,'Argus Drop'!BS$12:BS$64))</f>
        <v/>
      </c>
      <c r="BZ94" s="440" t="str">
        <f>IF(BY94="","",+SUMIF('Argus Drop'!$D$7:$D$64,$A94,'Argus Drop'!BT$12:BT$64))</f>
        <v/>
      </c>
      <c r="CA94" s="440" t="str">
        <f>IF(BZ94="","",+SUMIF('Argus Drop'!$D$7:$D$64,$A94,'Argus Drop'!#REF!))</f>
        <v/>
      </c>
      <c r="CB94" s="440" t="str">
        <f>IF(CA94="","",+SUMIF('Argus Drop'!$D$7:$D$64,$A94,'Argus Drop'!BU$12:BU$64))</f>
        <v/>
      </c>
      <c r="CC94" s="440" t="str">
        <f>IF(CB94="","",+SUMIF('Argus Drop'!$D$7:$D$64,$A94,'Argus Drop'!BV$12:BV$64))</f>
        <v/>
      </c>
      <c r="CD94" s="440" t="str">
        <f>IF(CC94="","",+SUMIF('Argus Drop'!$D$7:$D$64,$A94,'Argus Drop'!BW$12:BW$64))</f>
        <v/>
      </c>
      <c r="CE94" s="440" t="str">
        <f>IF(CD94="","",+SUMIF('Argus Drop'!$D$7:$D$64,$A94,'Argus Drop'!BX$12:BX$64))</f>
        <v/>
      </c>
      <c r="CF94" s="440" t="str">
        <f>IF(CE94="","",+SUMIF('Argus Drop'!$D$7:$D$64,$A94,'Argus Drop'!BY$12:BY$64))</f>
        <v/>
      </c>
      <c r="CG94" s="440" t="str">
        <f>IF(CF94="","",+SUMIF('Argus Drop'!$D$7:$D$64,$A94,'Argus Drop'!BZ$12:BZ$64))</f>
        <v/>
      </c>
      <c r="CH94" s="440" t="str">
        <f>IF(CG94="","",+SUMIF('Argus Drop'!$D$7:$D$64,$A94,'Argus Drop'!CA$12:CA$64))</f>
        <v/>
      </c>
      <c r="CI94" s="440" t="str">
        <f>IF(CH94="","",+SUMIF('Argus Drop'!$D$7:$D$64,$A94,'Argus Drop'!CB$12:CB$64))</f>
        <v/>
      </c>
      <c r="CJ94" s="440" t="str">
        <f>IF(CI94="","",+SUMIF('Argus Drop'!$D$7:$D$64,$A94,'Argus Drop'!CC$12:CC$64))</f>
        <v/>
      </c>
      <c r="CK94" s="440" t="str">
        <f>IF(CJ94="","",+SUMIF('Argus Drop'!$D$7:$D$64,$A94,'Argus Drop'!CD$12:CD$64))</f>
        <v/>
      </c>
      <c r="CL94" s="440" t="str">
        <f>IF(CK94="","",+SUMIF('Argus Drop'!$D$7:$D$64,$A94,'Argus Drop'!CE$12:CE$64))</f>
        <v/>
      </c>
      <c r="CM94" s="440" t="str">
        <f>IF(CL94="","",+SUMIF('Argus Drop'!$D$7:$D$64,$A94,'Argus Drop'!CF$12:CF$64))</f>
        <v/>
      </c>
      <c r="CN94" s="440" t="str">
        <f>IF(CM94="","",+SUMIF('Argus Drop'!$D$7:$D$64,$A94,'Argus Drop'!#REF!))</f>
        <v/>
      </c>
      <c r="CO94" s="440" t="str">
        <f>IF(CN94="","",+SUMIF('Argus Drop'!$D$7:$D$64,$A94,'Argus Drop'!CG$12:CG$64))</f>
        <v/>
      </c>
      <c r="CP94" s="440" t="str">
        <f>IF(CO94="","",+SUMIF('Argus Drop'!$D$7:$D$64,$A94,'Argus Drop'!CH$12:CH$64))</f>
        <v/>
      </c>
      <c r="CQ94" s="440" t="str">
        <f>IF(CP94="","",+SUMIF('Argus Drop'!$D$7:$D$64,$A94,'Argus Drop'!CI$12:CI$64))</f>
        <v/>
      </c>
      <c r="CR94" s="440" t="str">
        <f>IF(CQ94="","",+SUMIF('Argus Drop'!$D$7:$D$64,$A94,'Argus Drop'!CJ$12:CJ$64))</f>
        <v/>
      </c>
      <c r="CS94" s="440" t="str">
        <f>IF(CR94="","",+SUMIF('Argus Drop'!$D$7:$D$64,$A94,'Argus Drop'!CK$12:CK$64))</f>
        <v/>
      </c>
      <c r="CT94" s="440" t="str">
        <f>IF(CS94="","",+SUMIF('Argus Drop'!$D$7:$D$64,$A94,'Argus Drop'!CL$12:CL$64))</f>
        <v/>
      </c>
      <c r="CU94" s="440" t="str">
        <f>IF(CT94="","",+SUMIF('Argus Drop'!$D$7:$D$64,$A94,'Argus Drop'!CM$12:CM$64))</f>
        <v/>
      </c>
      <c r="CV94" s="440" t="str">
        <f>IF(CU94="","",+SUMIF('Argus Drop'!$D$7:$D$64,$A94,'Argus Drop'!CN$12:CN$64))</f>
        <v/>
      </c>
      <c r="CW94" s="440" t="str">
        <f>IF(CV94="","",+SUMIF('Argus Drop'!$D$7:$D$64,$A94,'Argus Drop'!CO$12:CO$64))</f>
        <v/>
      </c>
      <c r="CX94" s="440" t="str">
        <f>IF(CW94="","",+SUMIF('Argus Drop'!$D$7:$D$64,$A94,'Argus Drop'!CP$12:CP$64))</f>
        <v/>
      </c>
      <c r="CY94" s="440" t="str">
        <f>IF(CX94="","",+SUMIF('Argus Drop'!$D$7:$D$64,$A94,'Argus Drop'!CQ$12:CQ$64))</f>
        <v/>
      </c>
      <c r="CZ94" s="440" t="str">
        <f>IF(CY94="","",+SUMIF('Argus Drop'!$D$7:$D$64,$A94,'Argus Drop'!CR$12:CR$64))</f>
        <v/>
      </c>
      <c r="DA94" s="440" t="str">
        <f>IF(CZ94="","",+SUMIF('Argus Drop'!$D$7:$D$64,$A94,'Argus Drop'!#REF!))</f>
        <v/>
      </c>
      <c r="DB94" s="440" t="str">
        <f>IF(DA94="","",+SUMIF('Argus Drop'!$D$7:$D$64,$A94,'Argus Drop'!CS$12:CS$64))</f>
        <v/>
      </c>
      <c r="DC94" s="440" t="str">
        <f>IF(DB94="","",+SUMIF('Argus Drop'!$D$7:$D$64,$A94,'Argus Drop'!CT$12:CT$64))</f>
        <v/>
      </c>
      <c r="DD94" s="440" t="str">
        <f>IF(DC94="","",+SUMIF('Argus Drop'!$D$7:$D$64,$A94,'Argus Drop'!CU$12:CU$64))</f>
        <v/>
      </c>
      <c r="DE94" s="440" t="str">
        <f>IF(DD94="","",+SUMIF('Argus Drop'!$D$7:$D$64,$A94,'Argus Drop'!CV$12:CV$64))</f>
        <v/>
      </c>
      <c r="DF94" s="440" t="str">
        <f>IF(DE94="","",+SUMIF('Argus Drop'!$D$7:$D$64,$A94,'Argus Drop'!CW$12:CW$64))</f>
        <v/>
      </c>
      <c r="DG94" s="440" t="str">
        <f>IF(DF94="","",+SUMIF('Argus Drop'!$D$7:$D$64,$A94,'Argus Drop'!CX$12:CX$64))</f>
        <v/>
      </c>
      <c r="DH94" s="440" t="str">
        <f>IF(DG94="","",+SUMIF('Argus Drop'!$D$7:$D$64,$A94,'Argus Drop'!CY$12:CY$64))</f>
        <v/>
      </c>
      <c r="DI94" s="440" t="str">
        <f>IF(DH94="","",+SUMIF('Argus Drop'!$D$7:$D$64,$A94,'Argus Drop'!CZ$12:CZ$64))</f>
        <v/>
      </c>
      <c r="DJ94" s="440" t="str">
        <f>IF(DI94="","",+SUMIF('Argus Drop'!$D$7:$D$64,$A94,'Argus Drop'!DA$12:DA$64))</f>
        <v/>
      </c>
      <c r="DK94" s="440" t="str">
        <f>IF(DJ94="","",+SUMIF('Argus Drop'!$D$7:$D$64,$A94,'Argus Drop'!DB$12:DB$64))</f>
        <v/>
      </c>
      <c r="DL94" s="440" t="str">
        <f>IF(DK94="","",+SUMIF('Argus Drop'!$D$7:$D$64,$A94,'Argus Drop'!DC$12:DC$64))</f>
        <v/>
      </c>
      <c r="DM94" s="440" t="str">
        <f>IF(DL94="","",+SUMIF('Argus Drop'!$D$7:$D$64,$A94,'Argus Drop'!DD$12:DD$64))</f>
        <v/>
      </c>
      <c r="DN94" s="440" t="str">
        <f>IF(DM94="","",+SUMIF('Argus Drop'!$D$7:$D$64,$A94,'Argus Drop'!#REF!))</f>
        <v/>
      </c>
      <c r="DO94" s="440" t="str">
        <f>IF(DN94="","",+SUMIF('Argus Drop'!$D$7:$D$64,$A94,'Argus Drop'!DE$12:DE$64))</f>
        <v/>
      </c>
      <c r="DP94" s="440" t="str">
        <f>IF(DO94="","",+SUMIF('Argus Drop'!$D$7:$D$64,$A94,'Argus Drop'!DF$12:DF$64))</f>
        <v/>
      </c>
      <c r="DQ94" s="440" t="str">
        <f>IF(DP94="","",+SUMIF('Argus Drop'!$D$7:$D$64,$A94,'Argus Drop'!DG$12:DG$64))</f>
        <v/>
      </c>
      <c r="DR94" s="440" t="str">
        <f>IF(DQ94="","",+SUMIF('Argus Drop'!$D$7:$D$64,$A94,'Argus Drop'!DH$12:DH$64))</f>
        <v/>
      </c>
      <c r="DS94" s="440"/>
      <c r="DT94" s="440"/>
      <c r="DU94" s="440"/>
      <c r="DV94" s="440"/>
      <c r="DW94" s="440"/>
      <c r="DX94" s="440"/>
      <c r="DY94" s="440"/>
      <c r="DZ94" s="440"/>
      <c r="EA94" s="440"/>
      <c r="EB94" s="440"/>
      <c r="EC94" s="440"/>
      <c r="ED94" s="1419"/>
      <c r="EE94" s="1419"/>
      <c r="EF94" s="1419"/>
      <c r="EG94" s="1419"/>
      <c r="EH94" s="1419"/>
      <c r="EI94" s="1419"/>
      <c r="EJ94" s="1419"/>
      <c r="EK94" s="1419"/>
      <c r="EL94" s="1419"/>
      <c r="EM94" s="1419"/>
      <c r="EN94" s="1419"/>
      <c r="EO94" s="1419"/>
      <c r="EP94" s="1419"/>
      <c r="EQ94" s="1419"/>
      <c r="ER94" s="1419"/>
      <c r="ES94" s="1419"/>
      <c r="ET94" s="1419"/>
      <c r="EU94" s="1419"/>
      <c r="EV94" s="1419"/>
      <c r="EW94" s="1419"/>
      <c r="EX94" s="1419"/>
      <c r="EY94" s="1419"/>
      <c r="EZ94" s="1419"/>
      <c r="FA94" s="1419"/>
      <c r="FB94" s="1419"/>
      <c r="FC94" s="1419"/>
      <c r="FD94" s="1419"/>
      <c r="FE94" s="1419"/>
      <c r="FF94" s="1419"/>
      <c r="FG94" s="1419"/>
      <c r="FH94" s="1419"/>
      <c r="FI94" s="1419"/>
    </row>
    <row r="95" spans="1:165">
      <c r="A95" s="448" t="str">
        <f>IF(+'Argus Drop'!B99="","",'Argus Drop'!B99)</f>
        <v/>
      </c>
    </row>
    <row r="96" spans="1:165">
      <c r="A96" s="448" t="str">
        <f>IF(+'Argus Drop'!B100="","",'Argus Drop'!B100)</f>
        <v/>
      </c>
    </row>
    <row r="97" spans="1:1">
      <c r="A97" s="448" t="str">
        <f>IF(+'Argus Drop'!B101="","",'Argus Drop'!B101)</f>
        <v/>
      </c>
    </row>
    <row r="98" spans="1:1">
      <c r="A98" s="448" t="str">
        <f>IF(+'Argus Drop'!B102="","",'Argus Drop'!B102)</f>
        <v/>
      </c>
    </row>
    <row r="99" spans="1:1">
      <c r="A99" s="448" t="str">
        <f>IF(+'Argus Drop'!B103="","",'Argus Drop'!B103)</f>
        <v/>
      </c>
    </row>
    <row r="100" spans="1:1">
      <c r="A100" s="448" t="str">
        <f>IF(+'Argus Drop'!B104="","",'Argus Drop'!B104)</f>
        <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J88"/>
  <sheetViews>
    <sheetView showGridLines="0" zoomScaleNormal="100" workbookViewId="0">
      <pane xSplit="5" ySplit="4" topLeftCell="EE5" activePane="bottomRight" state="frozen"/>
      <selection pane="topRight" activeCell="C1" sqref="C1"/>
      <selection pane="bottomLeft" activeCell="A5" sqref="A5"/>
      <selection pane="bottomRight" activeCell="EE5" sqref="EE5"/>
    </sheetView>
  </sheetViews>
  <sheetFormatPr baseColWidth="10" defaultColWidth="9" defaultRowHeight="15" outlineLevelCol="1"/>
  <cols>
    <col min="1" max="1" width="23.33203125" hidden="1" customWidth="1" outlineLevel="1"/>
    <col min="2" max="2" width="18.33203125" style="449" hidden="1" customWidth="1" outlineLevel="1"/>
    <col min="3" max="3" width="18.33203125" hidden="1" customWidth="1" outlineLevel="1"/>
    <col min="4" max="4" width="18.33203125" style="969" customWidth="1" collapsed="1"/>
    <col min="5" max="5" width="30.5" bestFit="1" customWidth="1"/>
    <col min="6" max="6" width="14.1640625" customWidth="1"/>
    <col min="7" max="18" width="14.33203125" bestFit="1" customWidth="1"/>
    <col min="19" max="19" width="15.33203125" bestFit="1" customWidth="1"/>
    <col min="20" max="25" width="14.33203125" bestFit="1" customWidth="1"/>
    <col min="26" max="26" width="15.33203125" bestFit="1" customWidth="1"/>
    <col min="27" max="28" width="13.5" bestFit="1" customWidth="1"/>
    <col min="29" max="29" width="15.33203125" bestFit="1" customWidth="1"/>
    <col min="30" max="30" width="14.33203125" bestFit="1" customWidth="1"/>
    <col min="31" max="31" width="13.5" bestFit="1" customWidth="1"/>
    <col min="32" max="32" width="14.33203125" bestFit="1" customWidth="1"/>
    <col min="33" max="85" width="13.5" bestFit="1" customWidth="1"/>
    <col min="86" max="86" width="14.33203125" bestFit="1" customWidth="1"/>
    <col min="87" max="88" width="13.5" bestFit="1" customWidth="1"/>
    <col min="89" max="89" width="14.33203125" bestFit="1" customWidth="1"/>
    <col min="90" max="97" width="13.5" bestFit="1" customWidth="1"/>
    <col min="98" max="98" width="14.5" bestFit="1" customWidth="1"/>
    <col min="99" max="99" width="13.5" bestFit="1" customWidth="1"/>
    <col min="100" max="100" width="14.33203125" bestFit="1" customWidth="1"/>
    <col min="101" max="105" width="13.5" bestFit="1" customWidth="1"/>
    <col min="106" max="106" width="14.33203125" bestFit="1" customWidth="1"/>
    <col min="107" max="114" width="13.5" bestFit="1" customWidth="1"/>
    <col min="115" max="122" width="12.5" bestFit="1" customWidth="1"/>
    <col min="123" max="123" width="16.1640625" bestFit="1" customWidth="1"/>
    <col min="124" max="145" width="11.1640625" bestFit="1" customWidth="1"/>
    <col min="146" max="146" width="12.1640625" bestFit="1" customWidth="1"/>
    <col min="147" max="152" width="11.1640625" bestFit="1" customWidth="1"/>
    <col min="153" max="153" width="13.5" bestFit="1" customWidth="1"/>
  </cols>
  <sheetData>
    <row r="1" spans="1:166">
      <c r="A1" s="924"/>
      <c r="E1" s="537" t="s">
        <v>447</v>
      </c>
    </row>
    <row r="2" spans="1:166" ht="15" customHeight="1">
      <c r="A2" s="925"/>
      <c r="E2" s="536"/>
    </row>
    <row r="3" spans="1:166">
      <c r="A3" s="925"/>
      <c r="D3"/>
      <c r="F3" s="1577" t="s">
        <v>259</v>
      </c>
      <c r="G3" s="1577" t="s">
        <v>260</v>
      </c>
      <c r="H3" s="1577" t="s">
        <v>261</v>
      </c>
      <c r="I3" s="1577" t="s">
        <v>262</v>
      </c>
      <c r="J3" s="1577" t="s">
        <v>263</v>
      </c>
      <c r="K3" s="1577" t="s">
        <v>264</v>
      </c>
      <c r="L3" s="1577" t="s">
        <v>265</v>
      </c>
      <c r="M3" s="1577" t="s">
        <v>266</v>
      </c>
      <c r="N3" s="1577" t="s">
        <v>267</v>
      </c>
      <c r="O3" s="1577" t="s">
        <v>268</v>
      </c>
      <c r="P3" s="1577" t="s">
        <v>269</v>
      </c>
      <c r="Q3" s="1577" t="s">
        <v>270</v>
      </c>
      <c r="R3" s="1577" t="s">
        <v>271</v>
      </c>
      <c r="S3" s="1577" t="s">
        <v>272</v>
      </c>
      <c r="T3" s="1577" t="s">
        <v>273</v>
      </c>
      <c r="U3" s="1577" t="s">
        <v>274</v>
      </c>
      <c r="V3" s="1577" t="s">
        <v>275</v>
      </c>
      <c r="W3" s="1577" t="s">
        <v>276</v>
      </c>
      <c r="X3" s="1577" t="s">
        <v>277</v>
      </c>
      <c r="Y3" s="1577" t="s">
        <v>278</v>
      </c>
      <c r="Z3" s="1577" t="s">
        <v>279</v>
      </c>
      <c r="AA3" s="1577" t="s">
        <v>280</v>
      </c>
      <c r="AB3" s="1577" t="s">
        <v>281</v>
      </c>
      <c r="AC3" s="1577" t="s">
        <v>282</v>
      </c>
      <c r="AD3" s="1577" t="s">
        <v>283</v>
      </c>
      <c r="AE3" s="1577" t="s">
        <v>284</v>
      </c>
      <c r="AF3" s="1577" t="s">
        <v>285</v>
      </c>
      <c r="AG3" s="1577" t="s">
        <v>286</v>
      </c>
      <c r="AH3" s="1577" t="s">
        <v>287</v>
      </c>
      <c r="AI3" s="1577" t="s">
        <v>288</v>
      </c>
      <c r="AJ3" s="1577" t="s">
        <v>289</v>
      </c>
      <c r="AK3" s="1577" t="s">
        <v>290</v>
      </c>
      <c r="AL3" s="1577" t="s">
        <v>291</v>
      </c>
      <c r="AM3" s="1577" t="s">
        <v>292</v>
      </c>
      <c r="AN3" s="1577" t="s">
        <v>293</v>
      </c>
      <c r="AO3" s="1577" t="s">
        <v>294</v>
      </c>
      <c r="AP3" s="1577" t="s">
        <v>295</v>
      </c>
      <c r="AQ3" s="1577" t="s">
        <v>296</v>
      </c>
      <c r="AR3" s="1577" t="s">
        <v>297</v>
      </c>
      <c r="AS3" s="1577" t="s">
        <v>298</v>
      </c>
      <c r="AT3" s="1577" t="s">
        <v>299</v>
      </c>
      <c r="AU3" s="1577" t="s">
        <v>300</v>
      </c>
      <c r="AV3" s="1577" t="s">
        <v>301</v>
      </c>
      <c r="AW3" s="1577" t="s">
        <v>302</v>
      </c>
      <c r="AX3" s="1577" t="s">
        <v>303</v>
      </c>
      <c r="AY3" s="1577" t="s">
        <v>304</v>
      </c>
      <c r="AZ3" s="1577" t="s">
        <v>305</v>
      </c>
      <c r="BA3" s="1577" t="s">
        <v>306</v>
      </c>
      <c r="BB3" s="1577" t="s">
        <v>307</v>
      </c>
      <c r="BC3" s="1577" t="s">
        <v>308</v>
      </c>
      <c r="BD3" s="1577" t="s">
        <v>309</v>
      </c>
      <c r="BE3" s="1577" t="s">
        <v>310</v>
      </c>
      <c r="BF3" s="1577" t="s">
        <v>311</v>
      </c>
      <c r="BG3" s="1577" t="s">
        <v>312</v>
      </c>
      <c r="BH3" s="1577" t="s">
        <v>313</v>
      </c>
      <c r="BI3" s="1577" t="s">
        <v>314</v>
      </c>
      <c r="BJ3" s="1577" t="s">
        <v>315</v>
      </c>
      <c r="BK3" s="1577" t="s">
        <v>316</v>
      </c>
      <c r="BL3" s="1577" t="s">
        <v>317</v>
      </c>
      <c r="BM3" s="1577" t="s">
        <v>318</v>
      </c>
      <c r="BN3" s="1577" t="s">
        <v>319</v>
      </c>
      <c r="BO3" s="1577" t="s">
        <v>320</v>
      </c>
      <c r="BP3" s="1577" t="s">
        <v>321</v>
      </c>
      <c r="BQ3" s="1577" t="s">
        <v>322</v>
      </c>
      <c r="BR3" s="1577" t="s">
        <v>323</v>
      </c>
      <c r="BS3" s="1577" t="s">
        <v>324</v>
      </c>
      <c r="BT3" s="1577" t="s">
        <v>325</v>
      </c>
      <c r="BU3" s="1577" t="s">
        <v>326</v>
      </c>
      <c r="BV3" s="1577" t="s">
        <v>327</v>
      </c>
      <c r="BW3" s="1577" t="s">
        <v>328</v>
      </c>
      <c r="BX3" s="1577" t="s">
        <v>329</v>
      </c>
      <c r="BY3" s="1577" t="s">
        <v>330</v>
      </c>
      <c r="BZ3" s="1577" t="s">
        <v>331</v>
      </c>
      <c r="CA3" s="1577" t="s">
        <v>332</v>
      </c>
      <c r="CB3" s="1577" t="s">
        <v>333</v>
      </c>
      <c r="CC3" s="1577" t="s">
        <v>334</v>
      </c>
      <c r="CD3" s="1577" t="s">
        <v>335</v>
      </c>
      <c r="CE3" s="1577" t="s">
        <v>336</v>
      </c>
      <c r="CF3" s="1577" t="s">
        <v>337</v>
      </c>
      <c r="CG3" s="1577" t="s">
        <v>338</v>
      </c>
      <c r="CH3" s="1577" t="s">
        <v>339</v>
      </c>
      <c r="CI3" s="1577" t="s">
        <v>340</v>
      </c>
      <c r="CJ3" s="1577" t="s">
        <v>341</v>
      </c>
      <c r="CK3" s="1577" t="s">
        <v>342</v>
      </c>
      <c r="CL3" s="1577" t="s">
        <v>343</v>
      </c>
      <c r="CM3" s="1577" t="s">
        <v>344</v>
      </c>
      <c r="CN3" s="1577" t="s">
        <v>345</v>
      </c>
      <c r="CO3" s="1577" t="s">
        <v>346</v>
      </c>
      <c r="CP3" s="1577" t="s">
        <v>347</v>
      </c>
      <c r="CQ3" s="1577" t="s">
        <v>348</v>
      </c>
      <c r="CR3" s="1577" t="s">
        <v>349</v>
      </c>
      <c r="CS3" s="1577" t="s">
        <v>350</v>
      </c>
      <c r="CT3" s="1577" t="s">
        <v>351</v>
      </c>
      <c r="CU3" s="1577" t="s">
        <v>352</v>
      </c>
      <c r="CV3" s="1577" t="s">
        <v>353</v>
      </c>
      <c r="CW3" s="1577" t="s">
        <v>354</v>
      </c>
      <c r="CX3" s="1577" t="s">
        <v>355</v>
      </c>
      <c r="CY3" s="1577" t="s">
        <v>356</v>
      </c>
      <c r="CZ3" s="1577" t="s">
        <v>357</v>
      </c>
      <c r="DA3" s="1577" t="s">
        <v>358</v>
      </c>
      <c r="DB3" s="1577" t="s">
        <v>359</v>
      </c>
      <c r="DC3" s="1577" t="s">
        <v>360</v>
      </c>
      <c r="DD3" s="1577" t="s">
        <v>361</v>
      </c>
      <c r="DE3" s="1577" t="s">
        <v>362</v>
      </c>
      <c r="DF3" s="1577" t="s">
        <v>363</v>
      </c>
      <c r="DG3" s="1577" t="s">
        <v>364</v>
      </c>
      <c r="DH3" s="1577" t="s">
        <v>365</v>
      </c>
      <c r="DI3" s="1577" t="s">
        <v>366</v>
      </c>
      <c r="DJ3" s="1577" t="s">
        <v>367</v>
      </c>
      <c r="DK3" s="1577" t="s">
        <v>368</v>
      </c>
      <c r="DL3" s="1577" t="s">
        <v>369</v>
      </c>
      <c r="DM3" s="1577" t="s">
        <v>370</v>
      </c>
      <c r="DN3" s="1577" t="s">
        <v>371</v>
      </c>
      <c r="DO3" s="1577" t="s">
        <v>372</v>
      </c>
      <c r="DP3" s="1577" t="s">
        <v>373</v>
      </c>
      <c r="DQ3" s="1577" t="s">
        <v>374</v>
      </c>
      <c r="DR3" s="1577" t="s">
        <v>375</v>
      </c>
      <c r="DS3" s="1577" t="s">
        <v>376</v>
      </c>
      <c r="DT3" s="1577" t="s">
        <v>377</v>
      </c>
      <c r="DU3" s="1577" t="s">
        <v>378</v>
      </c>
      <c r="DV3" s="1577" t="s">
        <v>379</v>
      </c>
      <c r="DW3" s="1577" t="s">
        <v>380</v>
      </c>
      <c r="DX3" s="1577" t="s">
        <v>381</v>
      </c>
      <c r="DY3" s="1577" t="s">
        <v>382</v>
      </c>
      <c r="DZ3" s="1577" t="s">
        <v>383</v>
      </c>
      <c r="EA3" s="1577" t="s">
        <v>384</v>
      </c>
      <c r="EB3" s="1577" t="s">
        <v>385</v>
      </c>
      <c r="EC3" s="1577" t="s">
        <v>386</v>
      </c>
      <c r="ED3" s="1577" t="s">
        <v>387</v>
      </c>
      <c r="EE3" s="1577" t="s">
        <v>388</v>
      </c>
      <c r="EF3" s="1577" t="s">
        <v>389</v>
      </c>
      <c r="EG3" s="1577" t="s">
        <v>390</v>
      </c>
      <c r="EH3" s="1577" t="s">
        <v>2326</v>
      </c>
      <c r="EI3" s="1577" t="s">
        <v>2327</v>
      </c>
      <c r="EJ3" s="1577" t="s">
        <v>2328</v>
      </c>
      <c r="EK3" s="1577" t="s">
        <v>2329</v>
      </c>
      <c r="EL3" s="1577" t="s">
        <v>2330</v>
      </c>
      <c r="EM3" s="1577" t="s">
        <v>2331</v>
      </c>
      <c r="EN3" s="1577" t="s">
        <v>2332</v>
      </c>
      <c r="EO3" s="1577" t="s">
        <v>2333</v>
      </c>
      <c r="EP3" s="1577" t="s">
        <v>2334</v>
      </c>
      <c r="EQ3" s="1577" t="s">
        <v>2335</v>
      </c>
      <c r="ER3" s="1577" t="s">
        <v>2336</v>
      </c>
      <c r="ES3" s="1577" t="s">
        <v>2337</v>
      </c>
      <c r="ET3" s="1577" t="s">
        <v>2384</v>
      </c>
      <c r="EU3" s="1577" t="s">
        <v>2385</v>
      </c>
      <c r="EV3" s="1577" t="s">
        <v>2386</v>
      </c>
    </row>
    <row r="4" spans="1:166">
      <c r="A4" s="925"/>
      <c r="D4"/>
      <c r="E4" s="433" t="s">
        <v>391</v>
      </c>
      <c r="F4" s="1578" t="s">
        <v>1044</v>
      </c>
      <c r="G4" s="1578" t="s">
        <v>1045</v>
      </c>
      <c r="H4" s="1578" t="s">
        <v>1046</v>
      </c>
      <c r="I4" s="1578" t="s">
        <v>1047</v>
      </c>
      <c r="J4" s="1578" t="s">
        <v>1048</v>
      </c>
      <c r="K4" s="1578" t="s">
        <v>1049</v>
      </c>
      <c r="L4" s="1578" t="s">
        <v>1050</v>
      </c>
      <c r="M4" s="1578" t="s">
        <v>1051</v>
      </c>
      <c r="N4" s="1578" t="s">
        <v>1052</v>
      </c>
      <c r="O4" s="1578" t="s">
        <v>1053</v>
      </c>
      <c r="P4" s="1578" t="s">
        <v>1054</v>
      </c>
      <c r="Q4" s="1578" t="s">
        <v>1055</v>
      </c>
      <c r="R4" s="1578" t="s">
        <v>1056</v>
      </c>
      <c r="S4" s="1578" t="s">
        <v>1057</v>
      </c>
      <c r="T4" s="1578" t="s">
        <v>1058</v>
      </c>
      <c r="U4" s="1578" t="s">
        <v>1059</v>
      </c>
      <c r="V4" s="1578" t="s">
        <v>1060</v>
      </c>
      <c r="W4" s="1578" t="s">
        <v>1061</v>
      </c>
      <c r="X4" s="1578" t="s">
        <v>1062</v>
      </c>
      <c r="Y4" s="1578" t="s">
        <v>1063</v>
      </c>
      <c r="Z4" s="1578" t="s">
        <v>1064</v>
      </c>
      <c r="AA4" s="1578" t="s">
        <v>1065</v>
      </c>
      <c r="AB4" s="1578" t="s">
        <v>1066</v>
      </c>
      <c r="AC4" s="1578" t="s">
        <v>1067</v>
      </c>
      <c r="AD4" s="1578" t="s">
        <v>1068</v>
      </c>
      <c r="AE4" s="1578" t="s">
        <v>1069</v>
      </c>
      <c r="AF4" s="1578" t="s">
        <v>1070</v>
      </c>
      <c r="AG4" s="1578" t="s">
        <v>1071</v>
      </c>
      <c r="AH4" s="1578" t="s">
        <v>1072</v>
      </c>
      <c r="AI4" s="1578" t="s">
        <v>1073</v>
      </c>
      <c r="AJ4" s="1578" t="s">
        <v>1074</v>
      </c>
      <c r="AK4" s="1578" t="s">
        <v>1075</v>
      </c>
      <c r="AL4" s="1578" t="s">
        <v>1076</v>
      </c>
      <c r="AM4" s="1578" t="s">
        <v>1077</v>
      </c>
      <c r="AN4" s="1578" t="s">
        <v>1078</v>
      </c>
      <c r="AO4" s="1578" t="s">
        <v>1079</v>
      </c>
      <c r="AP4" s="1578" t="s">
        <v>1080</v>
      </c>
      <c r="AQ4" s="1578" t="s">
        <v>1081</v>
      </c>
      <c r="AR4" s="1578" t="s">
        <v>1082</v>
      </c>
      <c r="AS4" s="1578" t="s">
        <v>1083</v>
      </c>
      <c r="AT4" s="1578" t="s">
        <v>1084</v>
      </c>
      <c r="AU4" s="1578" t="s">
        <v>1085</v>
      </c>
      <c r="AV4" s="1578" t="s">
        <v>1086</v>
      </c>
      <c r="AW4" s="1578" t="s">
        <v>1087</v>
      </c>
      <c r="AX4" s="1578" t="s">
        <v>1088</v>
      </c>
      <c r="AY4" s="1578" t="s">
        <v>1089</v>
      </c>
      <c r="AZ4" s="1578" t="s">
        <v>1090</v>
      </c>
      <c r="BA4" s="1578" t="s">
        <v>1091</v>
      </c>
      <c r="BB4" s="1578" t="s">
        <v>1092</v>
      </c>
      <c r="BC4" s="1578" t="s">
        <v>1093</v>
      </c>
      <c r="BD4" s="1578" t="s">
        <v>1094</v>
      </c>
      <c r="BE4" s="1578" t="s">
        <v>1095</v>
      </c>
      <c r="BF4" s="1578" t="s">
        <v>1096</v>
      </c>
      <c r="BG4" s="1578" t="s">
        <v>1097</v>
      </c>
      <c r="BH4" s="1578" t="s">
        <v>1098</v>
      </c>
      <c r="BI4" s="1578" t="s">
        <v>1099</v>
      </c>
      <c r="BJ4" s="1578" t="s">
        <v>1100</v>
      </c>
      <c r="BK4" s="1578" t="s">
        <v>1101</v>
      </c>
      <c r="BL4" s="1578" t="s">
        <v>1102</v>
      </c>
      <c r="BM4" s="1578" t="s">
        <v>1103</v>
      </c>
      <c r="BN4" s="1578" t="s">
        <v>1104</v>
      </c>
      <c r="BO4" s="1578" t="s">
        <v>1105</v>
      </c>
      <c r="BP4" s="1578" t="s">
        <v>1106</v>
      </c>
      <c r="BQ4" s="1578" t="s">
        <v>1107</v>
      </c>
      <c r="BR4" s="1578" t="s">
        <v>1108</v>
      </c>
      <c r="BS4" s="1578" t="s">
        <v>1109</v>
      </c>
      <c r="BT4" s="1578" t="s">
        <v>1110</v>
      </c>
      <c r="BU4" s="1578" t="s">
        <v>1111</v>
      </c>
      <c r="BV4" s="1578" t="s">
        <v>1112</v>
      </c>
      <c r="BW4" s="1578" t="s">
        <v>1113</v>
      </c>
      <c r="BX4" s="1578" t="s">
        <v>1114</v>
      </c>
      <c r="BY4" s="1578" t="s">
        <v>1115</v>
      </c>
      <c r="BZ4" s="1578" t="s">
        <v>1116</v>
      </c>
      <c r="CA4" s="1578" t="s">
        <v>1117</v>
      </c>
      <c r="CB4" s="1578" t="s">
        <v>1118</v>
      </c>
      <c r="CC4" s="1578" t="s">
        <v>1119</v>
      </c>
      <c r="CD4" s="1578" t="s">
        <v>1120</v>
      </c>
      <c r="CE4" s="1578" t="s">
        <v>1121</v>
      </c>
      <c r="CF4" s="1578" t="s">
        <v>1122</v>
      </c>
      <c r="CG4" s="1578" t="s">
        <v>1123</v>
      </c>
      <c r="CH4" s="1578" t="s">
        <v>1124</v>
      </c>
      <c r="CI4" s="1578" t="s">
        <v>1125</v>
      </c>
      <c r="CJ4" s="1578" t="s">
        <v>1126</v>
      </c>
      <c r="CK4" s="1578" t="s">
        <v>1127</v>
      </c>
      <c r="CL4" s="1578" t="s">
        <v>1128</v>
      </c>
      <c r="CM4" s="1578" t="s">
        <v>1129</v>
      </c>
      <c r="CN4" s="1578" t="s">
        <v>1130</v>
      </c>
      <c r="CO4" s="1578" t="s">
        <v>1131</v>
      </c>
      <c r="CP4" s="1578" t="s">
        <v>1132</v>
      </c>
      <c r="CQ4" s="1578" t="s">
        <v>1133</v>
      </c>
      <c r="CR4" s="1578" t="s">
        <v>1134</v>
      </c>
      <c r="CS4" s="1578" t="s">
        <v>1135</v>
      </c>
      <c r="CT4" s="1578" t="s">
        <v>1136</v>
      </c>
      <c r="CU4" s="1578" t="s">
        <v>1137</v>
      </c>
      <c r="CV4" s="1578" t="s">
        <v>1138</v>
      </c>
      <c r="CW4" s="1578" t="s">
        <v>1139</v>
      </c>
      <c r="CX4" s="1578" t="s">
        <v>1140</v>
      </c>
      <c r="CY4" s="1578" t="s">
        <v>1141</v>
      </c>
      <c r="CZ4" s="1578" t="s">
        <v>1142</v>
      </c>
      <c r="DA4" s="1578" t="s">
        <v>1143</v>
      </c>
      <c r="DB4" s="1578" t="s">
        <v>1144</v>
      </c>
      <c r="DC4" s="1578" t="s">
        <v>1145</v>
      </c>
      <c r="DD4" s="1578" t="s">
        <v>1146</v>
      </c>
      <c r="DE4" s="1578" t="s">
        <v>1147</v>
      </c>
      <c r="DF4" s="1578" t="s">
        <v>1148</v>
      </c>
      <c r="DG4" s="1578" t="s">
        <v>1149</v>
      </c>
      <c r="DH4" s="1578" t="s">
        <v>1150</v>
      </c>
      <c r="DI4" s="1578" t="s">
        <v>1151</v>
      </c>
      <c r="DJ4" s="1578" t="s">
        <v>2001</v>
      </c>
      <c r="DK4" s="1578" t="s">
        <v>2205</v>
      </c>
      <c r="DL4" s="1578" t="s">
        <v>2008</v>
      </c>
      <c r="DM4" s="1578" t="s">
        <v>2206</v>
      </c>
      <c r="DN4" s="1578" t="s">
        <v>2204</v>
      </c>
      <c r="DO4" s="1578" t="s">
        <v>2027</v>
      </c>
      <c r="DP4" s="1578" t="s">
        <v>2279</v>
      </c>
      <c r="DQ4" s="1578" t="s">
        <v>1992</v>
      </c>
      <c r="DR4" s="1578" t="s">
        <v>2280</v>
      </c>
      <c r="DS4" s="1578" t="s">
        <v>1988</v>
      </c>
      <c r="DT4" s="1578" t="s">
        <v>2281</v>
      </c>
      <c r="DU4" s="1578" t="s">
        <v>2020</v>
      </c>
      <c r="DV4" s="1578" t="s">
        <v>2338</v>
      </c>
      <c r="DW4" s="1578" t="s">
        <v>2299</v>
      </c>
      <c r="DX4" s="1578" t="s">
        <v>2303</v>
      </c>
      <c r="DY4" s="1578" t="s">
        <v>2339</v>
      </c>
      <c r="DZ4" s="1578" t="s">
        <v>2311</v>
      </c>
      <c r="EA4" s="1578" t="s">
        <v>2026</v>
      </c>
      <c r="EB4" s="1578" t="s">
        <v>2340</v>
      </c>
      <c r="EC4" s="1578" t="s">
        <v>2296</v>
      </c>
      <c r="ED4" s="1578" t="s">
        <v>2341</v>
      </c>
      <c r="EE4" s="1578" t="s">
        <v>1986</v>
      </c>
      <c r="EF4" s="1578" t="s">
        <v>2302</v>
      </c>
      <c r="EG4" s="1578" t="s">
        <v>2305</v>
      </c>
      <c r="EH4" s="1578" t="s">
        <v>2387</v>
      </c>
      <c r="EI4" s="1578" t="s">
        <v>2300</v>
      </c>
      <c r="EJ4" s="1578" t="s">
        <v>2309</v>
      </c>
      <c r="EK4" s="1578" t="s">
        <v>2388</v>
      </c>
      <c r="EL4" s="1578" t="s">
        <v>2312</v>
      </c>
      <c r="EM4" s="1578" t="s">
        <v>2298</v>
      </c>
      <c r="EN4" s="1578" t="s">
        <v>2389</v>
      </c>
      <c r="EO4" s="1578" t="s">
        <v>2390</v>
      </c>
      <c r="EP4" s="1578" t="s">
        <v>2391</v>
      </c>
      <c r="EQ4" s="1578" t="s">
        <v>2392</v>
      </c>
      <c r="ER4" s="1578" t="s">
        <v>2393</v>
      </c>
      <c r="ES4" s="1578" t="s">
        <v>1980</v>
      </c>
      <c r="ET4" s="1578" t="s">
        <v>2394</v>
      </c>
      <c r="EU4" s="1578" t="s">
        <v>2395</v>
      </c>
      <c r="EV4" s="1578" t="s">
        <v>2396</v>
      </c>
      <c r="EW4" s="1578" t="s">
        <v>84</v>
      </c>
    </row>
    <row r="5" spans="1:166">
      <c r="B5" s="436"/>
      <c r="D5"/>
    </row>
    <row r="6" spans="1:166">
      <c r="A6" s="434" t="s">
        <v>35</v>
      </c>
      <c r="B6" s="482" t="s">
        <v>420</v>
      </c>
      <c r="D6" s="970" t="s">
        <v>420</v>
      </c>
      <c r="E6" s="434" t="s">
        <v>35</v>
      </c>
    </row>
    <row r="7" spans="1:166">
      <c r="A7" s="435" t="s">
        <v>421</v>
      </c>
      <c r="B7" s="436">
        <v>1</v>
      </c>
      <c r="D7" s="969">
        <v>1</v>
      </c>
      <c r="E7" s="435" t="s">
        <v>413</v>
      </c>
      <c r="F7" s="1451">
        <v>191442</v>
      </c>
      <c r="G7" s="1451">
        <v>192470</v>
      </c>
      <c r="H7" s="1451">
        <v>192470</v>
      </c>
      <c r="I7" s="1451">
        <v>193017</v>
      </c>
      <c r="J7" s="1451">
        <v>193017</v>
      </c>
      <c r="K7" s="1451">
        <v>193510</v>
      </c>
      <c r="L7" s="1451">
        <v>193510</v>
      </c>
      <c r="M7" s="1451">
        <v>193707</v>
      </c>
      <c r="N7" s="1451">
        <v>194752</v>
      </c>
      <c r="O7" s="1451">
        <v>202998</v>
      </c>
      <c r="P7" s="1451">
        <v>204653</v>
      </c>
      <c r="Q7" s="1451">
        <v>204653</v>
      </c>
      <c r="R7" s="1451">
        <v>207771</v>
      </c>
      <c r="S7" s="1451">
        <v>208634</v>
      </c>
      <c r="T7" s="1451">
        <v>208634</v>
      </c>
      <c r="U7" s="1451">
        <v>208593</v>
      </c>
      <c r="V7" s="1451">
        <v>208579</v>
      </c>
      <c r="W7" s="1451">
        <v>208173</v>
      </c>
      <c r="X7" s="1451">
        <v>208173</v>
      </c>
      <c r="Y7" s="1451">
        <v>206979</v>
      </c>
      <c r="Z7" s="1451">
        <v>206721</v>
      </c>
      <c r="AA7" s="1451">
        <v>206721</v>
      </c>
      <c r="AB7" s="1451">
        <v>207279</v>
      </c>
      <c r="AC7" s="1451">
        <v>208183</v>
      </c>
      <c r="AD7" s="1451">
        <v>208938</v>
      </c>
      <c r="AE7" s="1451">
        <v>209835</v>
      </c>
      <c r="AF7" s="1451">
        <v>210433</v>
      </c>
      <c r="AG7" s="1451">
        <v>210641</v>
      </c>
      <c r="AH7" s="1451">
        <v>211204</v>
      </c>
      <c r="AI7" s="1451">
        <v>211204</v>
      </c>
      <c r="AJ7" s="1451">
        <v>211699</v>
      </c>
      <c r="AK7" s="1451">
        <v>211226</v>
      </c>
      <c r="AL7" s="1451">
        <v>212150</v>
      </c>
      <c r="AM7" s="1451">
        <v>212150</v>
      </c>
      <c r="AN7" s="1451">
        <v>212725</v>
      </c>
      <c r="AO7" s="1451">
        <v>213656</v>
      </c>
      <c r="AP7" s="1451">
        <v>214433</v>
      </c>
      <c r="AQ7" s="1451">
        <v>215366</v>
      </c>
      <c r="AR7" s="1451">
        <v>216054</v>
      </c>
      <c r="AS7" s="1451">
        <v>216054</v>
      </c>
      <c r="AT7" s="1451">
        <v>216634</v>
      </c>
      <c r="AU7" s="1451">
        <v>216634</v>
      </c>
      <c r="AV7" s="1451">
        <v>217144</v>
      </c>
      <c r="AW7" s="1451">
        <v>217579</v>
      </c>
      <c r="AX7" s="1451">
        <v>218635</v>
      </c>
      <c r="AY7" s="1451">
        <v>218635</v>
      </c>
      <c r="AZ7" s="1451">
        <v>219227</v>
      </c>
      <c r="BA7" s="1451">
        <v>220187</v>
      </c>
      <c r="BB7" s="1451">
        <v>222536</v>
      </c>
      <c r="BC7" s="1451">
        <v>219024</v>
      </c>
      <c r="BD7" s="1451">
        <v>219024</v>
      </c>
      <c r="BE7" s="1451">
        <v>219024</v>
      </c>
      <c r="BF7" s="1451">
        <v>219621</v>
      </c>
      <c r="BG7" s="1451">
        <v>219621</v>
      </c>
      <c r="BH7" s="1451">
        <v>220146</v>
      </c>
      <c r="BI7" s="1451">
        <v>220594</v>
      </c>
      <c r="BJ7" s="1451">
        <v>221683</v>
      </c>
      <c r="BK7" s="1451">
        <v>221683</v>
      </c>
      <c r="BL7" s="1451">
        <v>222292</v>
      </c>
      <c r="BM7" s="1451">
        <v>223599</v>
      </c>
      <c r="BN7" s="1451">
        <v>220541</v>
      </c>
      <c r="BO7" s="1451">
        <v>221019</v>
      </c>
      <c r="BP7" s="1451">
        <v>222293</v>
      </c>
      <c r="BQ7" s="1451">
        <v>222520</v>
      </c>
      <c r="BR7" s="1451">
        <v>223135</v>
      </c>
      <c r="BS7" s="1451">
        <v>223135</v>
      </c>
      <c r="BT7" s="1451">
        <v>223676</v>
      </c>
      <c r="BU7" s="1451">
        <v>222997</v>
      </c>
      <c r="BV7" s="1451">
        <v>222718</v>
      </c>
      <c r="BW7" s="1451">
        <v>222718</v>
      </c>
      <c r="BX7" s="1451">
        <v>220385</v>
      </c>
      <c r="BY7" s="1451">
        <v>216601</v>
      </c>
      <c r="BZ7" s="1451">
        <v>216601</v>
      </c>
      <c r="CA7" s="1451">
        <v>217394</v>
      </c>
      <c r="CB7" s="1451">
        <v>218036</v>
      </c>
      <c r="CC7" s="1451">
        <v>218036</v>
      </c>
      <c r="CD7" s="1451">
        <v>215682</v>
      </c>
      <c r="CE7" s="1451">
        <v>215682</v>
      </c>
      <c r="CF7" s="1451">
        <v>213611</v>
      </c>
      <c r="CG7" s="1451">
        <v>213837</v>
      </c>
      <c r="CH7" s="1451">
        <v>208532</v>
      </c>
      <c r="CI7" s="1451">
        <v>208923</v>
      </c>
      <c r="CJ7" s="1451">
        <v>208923</v>
      </c>
      <c r="CK7" s="1451">
        <v>209481</v>
      </c>
      <c r="CL7" s="1451">
        <v>210385</v>
      </c>
      <c r="CM7" s="1451">
        <v>211202</v>
      </c>
      <c r="CN7" s="1451">
        <v>211863</v>
      </c>
      <c r="CO7" s="1451">
        <v>211863</v>
      </c>
      <c r="CP7" s="1451">
        <v>211863</v>
      </c>
      <c r="CQ7" s="1451">
        <v>212425</v>
      </c>
      <c r="CR7" s="1451">
        <v>212425</v>
      </c>
      <c r="CS7" s="1451">
        <v>213153</v>
      </c>
      <c r="CT7" s="1451">
        <v>212728</v>
      </c>
      <c r="CU7" s="1451">
        <v>213467</v>
      </c>
      <c r="CV7" s="1451">
        <v>213825</v>
      </c>
      <c r="CW7" s="1451">
        <v>214400</v>
      </c>
      <c r="CX7" s="1451">
        <v>215331</v>
      </c>
      <c r="CY7" s="1451">
        <v>216173</v>
      </c>
      <c r="CZ7" s="1451">
        <v>217564</v>
      </c>
      <c r="DA7" s="1451">
        <v>217811</v>
      </c>
      <c r="DB7" s="1451">
        <v>217811</v>
      </c>
      <c r="DC7" s="1451">
        <v>218391</v>
      </c>
      <c r="DD7" s="1451">
        <v>218391</v>
      </c>
      <c r="DE7" s="1451">
        <v>219140</v>
      </c>
      <c r="DF7" s="1451">
        <v>219467</v>
      </c>
      <c r="DG7" s="1451">
        <v>220406</v>
      </c>
      <c r="DH7" s="1451">
        <v>220774</v>
      </c>
      <c r="DI7" s="1451">
        <v>221366</v>
      </c>
      <c r="DJ7" s="1451">
        <v>222325</v>
      </c>
      <c r="DK7" s="1451">
        <v>220656</v>
      </c>
      <c r="DL7" s="1451">
        <v>218051</v>
      </c>
      <c r="DM7" s="1451">
        <v>218051</v>
      </c>
      <c r="DN7" s="1451">
        <v>218051</v>
      </c>
      <c r="DO7" s="1451">
        <v>218647</v>
      </c>
      <c r="DP7" s="1451">
        <v>218647</v>
      </c>
      <c r="DQ7" s="1451">
        <v>219420</v>
      </c>
      <c r="DR7" s="1451">
        <v>219755</v>
      </c>
      <c r="DS7" s="1451">
        <v>220723</v>
      </c>
      <c r="DT7" s="1451">
        <v>221102</v>
      </c>
      <c r="DU7" s="1451">
        <v>221393</v>
      </c>
      <c r="DV7" s="1451">
        <v>222381</v>
      </c>
      <c r="DW7" s="1451">
        <v>221121</v>
      </c>
      <c r="DX7" s="1451">
        <v>221599</v>
      </c>
      <c r="DY7" s="1451">
        <v>222222</v>
      </c>
      <c r="DZ7" s="1451">
        <v>222222</v>
      </c>
      <c r="EA7" s="1451">
        <v>222836</v>
      </c>
      <c r="EB7" s="1451">
        <v>222836</v>
      </c>
      <c r="EC7" s="1451">
        <v>223632</v>
      </c>
      <c r="ED7" s="1451">
        <v>222837</v>
      </c>
      <c r="EE7" s="1451">
        <v>221755</v>
      </c>
      <c r="EF7" s="1451">
        <v>222147</v>
      </c>
      <c r="EG7" s="1451">
        <v>219813</v>
      </c>
      <c r="EH7" s="1451">
        <v>216125</v>
      </c>
      <c r="EI7" s="1451">
        <v>216125</v>
      </c>
      <c r="EJ7" s="1451">
        <v>217692</v>
      </c>
      <c r="EK7" s="1451">
        <v>218603</v>
      </c>
      <c r="EL7" s="1451">
        <v>218603</v>
      </c>
      <c r="EM7" s="1451">
        <v>216250</v>
      </c>
      <c r="EN7" s="1451">
        <v>216250</v>
      </c>
      <c r="EO7" s="1451">
        <v>213578</v>
      </c>
      <c r="EP7" s="1451">
        <v>213332</v>
      </c>
      <c r="EQ7" s="1451">
        <v>212333</v>
      </c>
      <c r="ER7" s="1451">
        <v>211227</v>
      </c>
      <c r="ES7" s="1451">
        <v>211227</v>
      </c>
      <c r="ET7" s="1451">
        <v>211882</v>
      </c>
      <c r="EU7" s="1451">
        <v>212787</v>
      </c>
      <c r="EV7" s="1451">
        <v>213604</v>
      </c>
      <c r="EW7" s="1451">
        <v>31556474</v>
      </c>
      <c r="EX7" s="1451"/>
      <c r="EY7" s="1451"/>
      <c r="EZ7" s="1451"/>
      <c r="FA7" s="1451"/>
      <c r="FB7" s="1451"/>
      <c r="FC7" s="1451"/>
      <c r="FD7" s="1451"/>
      <c r="FE7" s="1451"/>
      <c r="FF7" s="1451"/>
      <c r="FG7" s="1451"/>
      <c r="FH7" s="1451"/>
      <c r="FI7" s="1451"/>
      <c r="FJ7" s="1451"/>
    </row>
    <row r="8" spans="1:166" ht="21" customHeight="1">
      <c r="A8" s="435" t="s">
        <v>422</v>
      </c>
      <c r="B8" s="436">
        <v>2</v>
      </c>
      <c r="D8" s="969">
        <v>2</v>
      </c>
      <c r="E8" s="435" t="s">
        <v>435</v>
      </c>
      <c r="F8" s="1451">
        <v>-30559</v>
      </c>
      <c r="G8" s="1451">
        <v>-30559</v>
      </c>
      <c r="H8" s="1451">
        <v>-30559</v>
      </c>
      <c r="I8" s="1451">
        <v>-30559</v>
      </c>
      <c r="J8" s="1451">
        <v>-30559</v>
      </c>
      <c r="K8" s="1451">
        <v>-30559</v>
      </c>
      <c r="L8" s="1451">
        <v>-30559</v>
      </c>
      <c r="M8" s="1451">
        <v>-23399</v>
      </c>
      <c r="N8" s="1451">
        <v>-23399</v>
      </c>
      <c r="O8" s="1451">
        <v>-41989</v>
      </c>
      <c r="P8" s="1451">
        <v>-53546</v>
      </c>
      <c r="Q8" s="1451">
        <v>-23399</v>
      </c>
      <c r="R8" s="1451">
        <v>-23399</v>
      </c>
      <c r="S8" s="1451">
        <v>-23399</v>
      </c>
      <c r="T8" s="1451">
        <v>-23399</v>
      </c>
      <c r="U8" s="1451">
        <v>-42151</v>
      </c>
      <c r="V8" s="1451">
        <v>-23968</v>
      </c>
      <c r="W8" s="1451">
        <v>-39902</v>
      </c>
      <c r="X8" s="1451">
        <v>-23399</v>
      </c>
      <c r="Y8" s="1451">
        <v>-15263</v>
      </c>
      <c r="Z8" s="1451">
        <v>0</v>
      </c>
      <c r="AA8" s="1451">
        <v>0</v>
      </c>
      <c r="AB8" s="1451">
        <v>0</v>
      </c>
      <c r="AC8" s="1451">
        <v>0</v>
      </c>
      <c r="AD8" s="1451">
        <v>0</v>
      </c>
      <c r="AE8" s="1451">
        <v>0</v>
      </c>
      <c r="AF8" s="1451">
        <v>0</v>
      </c>
      <c r="AG8" s="1451">
        <v>0</v>
      </c>
      <c r="AH8" s="1451">
        <v>0</v>
      </c>
      <c r="AI8" s="1451">
        <v>0</v>
      </c>
      <c r="AJ8" s="1451">
        <v>0</v>
      </c>
      <c r="AK8" s="1451">
        <v>-5911</v>
      </c>
      <c r="AL8" s="1451">
        <v>0</v>
      </c>
      <c r="AM8" s="1451">
        <v>0</v>
      </c>
      <c r="AN8" s="1451">
        <v>0</v>
      </c>
      <c r="AO8" s="1451">
        <v>0</v>
      </c>
      <c r="AP8" s="1451">
        <v>0</v>
      </c>
      <c r="AQ8" s="1451">
        <v>0</v>
      </c>
      <c r="AR8" s="1451">
        <v>0</v>
      </c>
      <c r="AS8" s="1451">
        <v>0</v>
      </c>
      <c r="AT8" s="1451">
        <v>0</v>
      </c>
      <c r="AU8" s="1451">
        <v>0</v>
      </c>
      <c r="AV8" s="1451">
        <v>0</v>
      </c>
      <c r="AW8" s="1451">
        <v>0</v>
      </c>
      <c r="AX8" s="1451">
        <v>0</v>
      </c>
      <c r="AY8" s="1451">
        <v>0</v>
      </c>
      <c r="AZ8" s="1451">
        <v>0</v>
      </c>
      <c r="BA8" s="1451">
        <v>0</v>
      </c>
      <c r="BB8" s="1451">
        <v>-15922</v>
      </c>
      <c r="BC8" s="1451">
        <v>-20761</v>
      </c>
      <c r="BD8" s="1451">
        <v>0</v>
      </c>
      <c r="BE8" s="1451">
        <v>0</v>
      </c>
      <c r="BF8" s="1451">
        <v>0</v>
      </c>
      <c r="BG8" s="1451">
        <v>0</v>
      </c>
      <c r="BH8" s="1451">
        <v>0</v>
      </c>
      <c r="BI8" s="1451">
        <v>0</v>
      </c>
      <c r="BJ8" s="1451">
        <v>0</v>
      </c>
      <c r="BK8" s="1451">
        <v>0</v>
      </c>
      <c r="BL8" s="1451">
        <v>0</v>
      </c>
      <c r="BM8" s="1451">
        <v>0</v>
      </c>
      <c r="BN8" s="1451">
        <v>-10040</v>
      </c>
      <c r="BO8" s="1451">
        <v>0</v>
      </c>
      <c r="BP8" s="1451">
        <v>0</v>
      </c>
      <c r="BQ8" s="1451">
        <v>0</v>
      </c>
      <c r="BR8" s="1451">
        <v>0</v>
      </c>
      <c r="BS8" s="1451">
        <v>0</v>
      </c>
      <c r="BT8" s="1451">
        <v>0</v>
      </c>
      <c r="BU8" s="1451">
        <v>-7160</v>
      </c>
      <c r="BV8" s="1451">
        <v>-13047</v>
      </c>
      <c r="BW8" s="1451">
        <v>0</v>
      </c>
      <c r="BX8" s="1451">
        <v>-18590</v>
      </c>
      <c r="BY8" s="1451">
        <v>-30147</v>
      </c>
      <c r="BZ8" s="1451">
        <v>0</v>
      </c>
      <c r="CA8" s="1451">
        <v>0</v>
      </c>
      <c r="CB8" s="1451">
        <v>0</v>
      </c>
      <c r="CC8" s="1451">
        <v>0</v>
      </c>
      <c r="CD8" s="1451">
        <v>-18753</v>
      </c>
      <c r="CE8" s="1451">
        <v>0</v>
      </c>
      <c r="CF8" s="1451">
        <v>-16504</v>
      </c>
      <c r="CG8" s="1451">
        <v>0</v>
      </c>
      <c r="CH8" s="1451">
        <v>-23146</v>
      </c>
      <c r="CI8" s="1451">
        <v>-11935</v>
      </c>
      <c r="CJ8" s="1451">
        <v>0</v>
      </c>
      <c r="CK8" s="1451">
        <v>0</v>
      </c>
      <c r="CL8" s="1451">
        <v>0</v>
      </c>
      <c r="CM8" s="1451">
        <v>0</v>
      </c>
      <c r="CN8" s="1451">
        <v>0</v>
      </c>
      <c r="CO8" s="1451">
        <v>0</v>
      </c>
      <c r="CP8" s="1451">
        <v>0</v>
      </c>
      <c r="CQ8" s="1451">
        <v>0</v>
      </c>
      <c r="CR8" s="1451">
        <v>0</v>
      </c>
      <c r="CS8" s="1451">
        <v>0</v>
      </c>
      <c r="CT8" s="1451">
        <v>-5911</v>
      </c>
      <c r="CU8" s="1451">
        <v>0</v>
      </c>
      <c r="CV8" s="1451">
        <v>0</v>
      </c>
      <c r="CW8" s="1451">
        <v>0</v>
      </c>
      <c r="CX8" s="1451">
        <v>0</v>
      </c>
      <c r="CY8" s="1451">
        <v>0</v>
      </c>
      <c r="CZ8" s="1451">
        <v>0</v>
      </c>
      <c r="DA8" s="1451">
        <v>0</v>
      </c>
      <c r="DB8" s="1451">
        <v>0</v>
      </c>
      <c r="DC8" s="1451">
        <v>0</v>
      </c>
      <c r="DD8" s="1451">
        <v>0</v>
      </c>
      <c r="DE8" s="1451">
        <v>0</v>
      </c>
      <c r="DF8" s="1451">
        <v>0</v>
      </c>
      <c r="DG8" s="1451">
        <v>0</v>
      </c>
      <c r="DH8" s="1451">
        <v>0</v>
      </c>
      <c r="DI8" s="1451">
        <v>0</v>
      </c>
      <c r="DJ8" s="1451">
        <v>0</v>
      </c>
      <c r="DK8" s="1451">
        <v>-15922</v>
      </c>
      <c r="DL8" s="1451">
        <v>-20761</v>
      </c>
      <c r="DM8" s="1451">
        <v>0</v>
      </c>
      <c r="DN8" s="1451">
        <v>0</v>
      </c>
      <c r="DO8" s="1451">
        <v>0</v>
      </c>
      <c r="DP8" s="1451">
        <v>0</v>
      </c>
      <c r="DQ8" s="1451">
        <v>0</v>
      </c>
      <c r="DR8" s="1451">
        <v>0</v>
      </c>
      <c r="DS8" s="1451">
        <v>0</v>
      </c>
      <c r="DT8" s="1451">
        <v>0</v>
      </c>
      <c r="DU8" s="1451">
        <v>-3163</v>
      </c>
      <c r="DV8" s="1451">
        <v>0</v>
      </c>
      <c r="DW8" s="1451">
        <v>-10040</v>
      </c>
      <c r="DX8" s="1451">
        <v>0</v>
      </c>
      <c r="DY8" s="1451">
        <v>0</v>
      </c>
      <c r="DZ8" s="1451">
        <v>0</v>
      </c>
      <c r="EA8" s="1451">
        <v>0</v>
      </c>
      <c r="EB8" s="1451">
        <v>0</v>
      </c>
      <c r="EC8" s="1451">
        <v>0</v>
      </c>
      <c r="ED8" s="1451">
        <v>-7160</v>
      </c>
      <c r="EE8" s="1451">
        <v>-13047</v>
      </c>
      <c r="EF8" s="1451">
        <v>0</v>
      </c>
      <c r="EG8" s="1451">
        <v>-18590</v>
      </c>
      <c r="EH8" s="1451">
        <v>-30147</v>
      </c>
      <c r="EI8" s="1451">
        <v>0</v>
      </c>
      <c r="EJ8" s="1451">
        <v>0</v>
      </c>
      <c r="EK8" s="1451">
        <v>0</v>
      </c>
      <c r="EL8" s="1451">
        <v>0</v>
      </c>
      <c r="EM8" s="1451">
        <v>-18753</v>
      </c>
      <c r="EN8" s="1451">
        <v>0</v>
      </c>
      <c r="EO8" s="1451">
        <v>-24639</v>
      </c>
      <c r="EP8" s="1451">
        <v>-11464</v>
      </c>
      <c r="EQ8" s="1451">
        <v>-11211</v>
      </c>
      <c r="ER8" s="1451">
        <v>-11935</v>
      </c>
      <c r="ES8" s="1451">
        <v>-11935</v>
      </c>
      <c r="ET8" s="1451">
        <v>0</v>
      </c>
      <c r="EU8" s="1451">
        <v>0</v>
      </c>
      <c r="EV8" s="1451">
        <v>0</v>
      </c>
      <c r="EW8" s="1451">
        <v>-1001112</v>
      </c>
      <c r="EX8" s="1451"/>
      <c r="EY8" s="1451"/>
      <c r="EZ8" s="1451"/>
      <c r="FA8" s="1451"/>
      <c r="FB8" s="1451"/>
      <c r="FC8" s="1451"/>
      <c r="FD8" s="1451"/>
      <c r="FE8" s="1451"/>
      <c r="FF8" s="1451"/>
      <c r="FG8" s="1451"/>
      <c r="FH8" s="1451"/>
      <c r="FI8" s="1451"/>
      <c r="FJ8" s="1451"/>
    </row>
    <row r="9" spans="1:166">
      <c r="A9" s="435" t="s">
        <v>423</v>
      </c>
      <c r="B9" s="436">
        <v>3</v>
      </c>
      <c r="D9" s="969">
        <v>3</v>
      </c>
      <c r="E9" s="435" t="s">
        <v>441</v>
      </c>
      <c r="F9" s="1451">
        <v>-27128</v>
      </c>
      <c r="G9" s="1451">
        <v>0</v>
      </c>
      <c r="H9" s="1451">
        <v>0</v>
      </c>
      <c r="I9" s="1451">
        <v>0</v>
      </c>
      <c r="J9" s="1451">
        <v>0</v>
      </c>
      <c r="K9" s="1451">
        <v>0</v>
      </c>
      <c r="L9" s="1451">
        <v>0</v>
      </c>
      <c r="M9" s="1451">
        <v>0</v>
      </c>
      <c r="N9" s="1451">
        <v>0</v>
      </c>
      <c r="O9" s="1451">
        <v>0</v>
      </c>
      <c r="P9" s="1451">
        <v>0</v>
      </c>
      <c r="Q9" s="1451">
        <v>0</v>
      </c>
      <c r="R9" s="1451">
        <v>-6775</v>
      </c>
      <c r="S9" s="1451">
        <v>0</v>
      </c>
      <c r="T9" s="1451">
        <v>0</v>
      </c>
      <c r="U9" s="1451">
        <v>0</v>
      </c>
      <c r="V9" s="1451">
        <v>0</v>
      </c>
      <c r="W9" s="1451">
        <v>0</v>
      </c>
      <c r="X9" s="1451">
        <v>0</v>
      </c>
      <c r="Y9" s="1451">
        <v>0</v>
      </c>
      <c r="Z9" s="1451">
        <v>0</v>
      </c>
      <c r="AA9" s="1451">
        <v>0</v>
      </c>
      <c r="AB9" s="1451">
        <v>0</v>
      </c>
      <c r="AC9" s="1451">
        <v>0</v>
      </c>
      <c r="AD9" s="1451">
        <v>0</v>
      </c>
      <c r="AE9" s="1451">
        <v>0</v>
      </c>
      <c r="AF9" s="1451">
        <v>0</v>
      </c>
      <c r="AG9" s="1451">
        <v>0</v>
      </c>
      <c r="AH9" s="1451">
        <v>0</v>
      </c>
      <c r="AI9" s="1451">
        <v>0</v>
      </c>
      <c r="AJ9" s="1451">
        <v>0</v>
      </c>
      <c r="AK9" s="1451">
        <v>0</v>
      </c>
      <c r="AL9" s="1451">
        <v>0</v>
      </c>
      <c r="AM9" s="1451">
        <v>0</v>
      </c>
      <c r="AN9" s="1451">
        <v>0</v>
      </c>
      <c r="AO9" s="1451">
        <v>0</v>
      </c>
      <c r="AP9" s="1451">
        <v>0</v>
      </c>
      <c r="AQ9" s="1451">
        <v>0</v>
      </c>
      <c r="AR9" s="1451">
        <v>0</v>
      </c>
      <c r="AS9" s="1451">
        <v>0</v>
      </c>
      <c r="AT9" s="1451">
        <v>0</v>
      </c>
      <c r="AU9" s="1451">
        <v>0</v>
      </c>
      <c r="AV9" s="1451">
        <v>0</v>
      </c>
      <c r="AW9" s="1451">
        <v>0</v>
      </c>
      <c r="AX9" s="1451">
        <v>0</v>
      </c>
      <c r="AY9" s="1451">
        <v>0</v>
      </c>
      <c r="AZ9" s="1451">
        <v>0</v>
      </c>
      <c r="BA9" s="1451">
        <v>0</v>
      </c>
      <c r="BB9" s="1451">
        <v>0</v>
      </c>
      <c r="BC9" s="1451">
        <v>0</v>
      </c>
      <c r="BD9" s="1451">
        <v>0</v>
      </c>
      <c r="BE9" s="1451">
        <v>0</v>
      </c>
      <c r="BF9" s="1451">
        <v>0</v>
      </c>
      <c r="BG9" s="1451">
        <v>0</v>
      </c>
      <c r="BH9" s="1451">
        <v>0</v>
      </c>
      <c r="BI9" s="1451">
        <v>0</v>
      </c>
      <c r="BJ9" s="1451">
        <v>0</v>
      </c>
      <c r="BK9" s="1451">
        <v>0</v>
      </c>
      <c r="BL9" s="1451">
        <v>0</v>
      </c>
      <c r="BM9" s="1451">
        <v>0</v>
      </c>
      <c r="BN9" s="1451">
        <v>0</v>
      </c>
      <c r="BO9" s="1451">
        <v>0</v>
      </c>
      <c r="BP9" s="1451">
        <v>0</v>
      </c>
      <c r="BQ9" s="1451">
        <v>0</v>
      </c>
      <c r="BR9" s="1451">
        <v>0</v>
      </c>
      <c r="BS9" s="1451">
        <v>0</v>
      </c>
      <c r="BT9" s="1451">
        <v>0</v>
      </c>
      <c r="BU9" s="1451">
        <v>0</v>
      </c>
      <c r="BV9" s="1451">
        <v>0</v>
      </c>
      <c r="BW9" s="1451">
        <v>0</v>
      </c>
      <c r="BX9" s="1451">
        <v>0</v>
      </c>
      <c r="BY9" s="1451">
        <v>0</v>
      </c>
      <c r="BZ9" s="1451">
        <v>0</v>
      </c>
      <c r="CA9" s="1451">
        <v>0</v>
      </c>
      <c r="CB9" s="1451">
        <v>0</v>
      </c>
      <c r="CC9" s="1451">
        <v>0</v>
      </c>
      <c r="CD9" s="1451">
        <v>0</v>
      </c>
      <c r="CE9" s="1451">
        <v>0</v>
      </c>
      <c r="CF9" s="1451">
        <v>0</v>
      </c>
      <c r="CG9" s="1451">
        <v>0</v>
      </c>
      <c r="CH9" s="1451">
        <v>0</v>
      </c>
      <c r="CI9" s="1451">
        <v>0</v>
      </c>
      <c r="CJ9" s="1451">
        <v>0</v>
      </c>
      <c r="CK9" s="1451">
        <v>0</v>
      </c>
      <c r="CL9" s="1451">
        <v>0</v>
      </c>
      <c r="CM9" s="1451">
        <v>0</v>
      </c>
      <c r="CN9" s="1451">
        <v>0</v>
      </c>
      <c r="CO9" s="1451">
        <v>0</v>
      </c>
      <c r="CP9" s="1451">
        <v>0</v>
      </c>
      <c r="CQ9" s="1451">
        <v>0</v>
      </c>
      <c r="CR9" s="1451">
        <v>0</v>
      </c>
      <c r="CS9" s="1451">
        <v>0</v>
      </c>
      <c r="CT9" s="1451">
        <v>0</v>
      </c>
      <c r="CU9" s="1451">
        <v>0</v>
      </c>
      <c r="CV9" s="1451">
        <v>0</v>
      </c>
      <c r="CW9" s="1451">
        <v>0</v>
      </c>
      <c r="CX9" s="1451">
        <v>0</v>
      </c>
      <c r="CY9" s="1451">
        <v>0</v>
      </c>
      <c r="CZ9" s="1451">
        <v>0</v>
      </c>
      <c r="DA9" s="1451">
        <v>0</v>
      </c>
      <c r="DB9" s="1451">
        <v>0</v>
      </c>
      <c r="DC9" s="1451">
        <v>0</v>
      </c>
      <c r="DD9" s="1451">
        <v>0</v>
      </c>
      <c r="DE9" s="1451">
        <v>0</v>
      </c>
      <c r="DF9" s="1451">
        <v>0</v>
      </c>
      <c r="DG9" s="1451">
        <v>0</v>
      </c>
      <c r="DH9" s="1451">
        <v>0</v>
      </c>
      <c r="DI9" s="1451">
        <v>0</v>
      </c>
      <c r="DJ9" s="1451">
        <v>0</v>
      </c>
      <c r="DK9" s="1451">
        <v>0</v>
      </c>
      <c r="DL9" s="1451">
        <v>0</v>
      </c>
      <c r="DM9" s="1451">
        <v>0</v>
      </c>
      <c r="DN9" s="1451">
        <v>0</v>
      </c>
      <c r="DO9" s="1451">
        <v>0</v>
      </c>
      <c r="DP9" s="1451">
        <v>0</v>
      </c>
      <c r="DQ9" s="1451">
        <v>0</v>
      </c>
      <c r="DR9" s="1451">
        <v>0</v>
      </c>
      <c r="DS9" s="1451">
        <v>0</v>
      </c>
      <c r="DT9" s="1451">
        <v>0</v>
      </c>
      <c r="DU9" s="1451">
        <v>0</v>
      </c>
      <c r="DV9" s="1451">
        <v>0</v>
      </c>
      <c r="DW9" s="1451">
        <v>0</v>
      </c>
      <c r="DX9" s="1451">
        <v>0</v>
      </c>
      <c r="DY9" s="1451">
        <v>0</v>
      </c>
      <c r="DZ9" s="1451">
        <v>0</v>
      </c>
      <c r="EA9" s="1451">
        <v>0</v>
      </c>
      <c r="EB9" s="1451">
        <v>0</v>
      </c>
      <c r="EC9" s="1451">
        <v>0</v>
      </c>
      <c r="ED9" s="1451">
        <v>0</v>
      </c>
      <c r="EE9" s="1451">
        <v>0</v>
      </c>
      <c r="EF9" s="1451">
        <v>0</v>
      </c>
      <c r="EG9" s="1451">
        <v>0</v>
      </c>
      <c r="EH9" s="1451">
        <v>0</v>
      </c>
      <c r="EI9" s="1451">
        <v>0</v>
      </c>
      <c r="EJ9" s="1451">
        <v>0</v>
      </c>
      <c r="EK9" s="1451">
        <v>0</v>
      </c>
      <c r="EL9" s="1451">
        <v>0</v>
      </c>
      <c r="EM9" s="1451">
        <v>0</v>
      </c>
      <c r="EN9" s="1451">
        <v>0</v>
      </c>
      <c r="EO9" s="1451">
        <v>0</v>
      </c>
      <c r="EP9" s="1451">
        <v>0</v>
      </c>
      <c r="EQ9" s="1451">
        <v>0</v>
      </c>
      <c r="ER9" s="1451">
        <v>0</v>
      </c>
      <c r="ES9" s="1451">
        <v>0</v>
      </c>
      <c r="ET9" s="1451">
        <v>0</v>
      </c>
      <c r="EU9" s="1451">
        <v>0</v>
      </c>
      <c r="EV9" s="1451">
        <v>0</v>
      </c>
      <c r="EW9" s="1451">
        <v>-33903</v>
      </c>
      <c r="EX9" s="1451"/>
      <c r="EY9" s="1451"/>
      <c r="EZ9" s="1451"/>
      <c r="FA9" s="1451"/>
      <c r="FB9" s="1451"/>
      <c r="FC9" s="1451"/>
      <c r="FD9" s="1451"/>
      <c r="FE9" s="1451"/>
      <c r="FF9" s="1451"/>
      <c r="FG9" s="1451"/>
      <c r="FH9" s="1451"/>
      <c r="FI9" s="1451"/>
      <c r="FJ9" s="1451"/>
    </row>
    <row r="10" spans="1:166">
      <c r="A10" s="435" t="s">
        <v>424</v>
      </c>
      <c r="B10" s="436">
        <v>20</v>
      </c>
      <c r="D10" s="969">
        <v>20</v>
      </c>
      <c r="E10" s="435" t="s">
        <v>414</v>
      </c>
      <c r="F10" s="1623">
        <v>133755</v>
      </c>
      <c r="G10" s="1623">
        <v>161911</v>
      </c>
      <c r="H10" s="1623">
        <v>161911</v>
      </c>
      <c r="I10" s="1623">
        <v>162458</v>
      </c>
      <c r="J10" s="1623">
        <v>162458</v>
      </c>
      <c r="K10" s="1623">
        <v>162951</v>
      </c>
      <c r="L10" s="1623">
        <v>162951</v>
      </c>
      <c r="M10" s="1623">
        <v>170308</v>
      </c>
      <c r="N10" s="1623">
        <v>171353</v>
      </c>
      <c r="O10" s="1623">
        <v>161009</v>
      </c>
      <c r="P10" s="1623">
        <v>151107</v>
      </c>
      <c r="Q10" s="1623">
        <v>181254</v>
      </c>
      <c r="R10" s="1623">
        <v>177598</v>
      </c>
      <c r="S10" s="1623">
        <v>185236</v>
      </c>
      <c r="T10" s="1623">
        <v>185236</v>
      </c>
      <c r="U10" s="1623">
        <v>166442</v>
      </c>
      <c r="V10" s="1623">
        <v>184611</v>
      </c>
      <c r="W10" s="1623">
        <v>168271</v>
      </c>
      <c r="X10" s="1623">
        <v>184774</v>
      </c>
      <c r="Y10" s="1623">
        <v>191716</v>
      </c>
      <c r="Z10" s="1623">
        <v>206721</v>
      </c>
      <c r="AA10" s="1623">
        <v>206721</v>
      </c>
      <c r="AB10" s="1623">
        <v>207279</v>
      </c>
      <c r="AC10" s="1623">
        <v>208183</v>
      </c>
      <c r="AD10" s="1623">
        <v>208938</v>
      </c>
      <c r="AE10" s="1623">
        <v>209835</v>
      </c>
      <c r="AF10" s="1623">
        <v>210433</v>
      </c>
      <c r="AG10" s="1623">
        <v>210641</v>
      </c>
      <c r="AH10" s="1623">
        <v>211204</v>
      </c>
      <c r="AI10" s="1623">
        <v>211204</v>
      </c>
      <c r="AJ10" s="1623">
        <v>211699</v>
      </c>
      <c r="AK10" s="1623">
        <v>205315</v>
      </c>
      <c r="AL10" s="1623">
        <v>212150</v>
      </c>
      <c r="AM10" s="1623">
        <v>212150</v>
      </c>
      <c r="AN10" s="1623">
        <v>212725</v>
      </c>
      <c r="AO10" s="1623">
        <v>213656</v>
      </c>
      <c r="AP10" s="1623">
        <v>214433</v>
      </c>
      <c r="AQ10" s="1623">
        <v>215366</v>
      </c>
      <c r="AR10" s="1623">
        <v>216054</v>
      </c>
      <c r="AS10" s="1623">
        <v>216054</v>
      </c>
      <c r="AT10" s="1623">
        <v>216634</v>
      </c>
      <c r="AU10" s="1623">
        <v>216634</v>
      </c>
      <c r="AV10" s="1623">
        <v>217144</v>
      </c>
      <c r="AW10" s="1623">
        <v>217579</v>
      </c>
      <c r="AX10" s="1623">
        <v>218635</v>
      </c>
      <c r="AY10" s="1623">
        <v>218635</v>
      </c>
      <c r="AZ10" s="1623">
        <v>219227</v>
      </c>
      <c r="BA10" s="1623">
        <v>220187</v>
      </c>
      <c r="BB10" s="1623">
        <v>206614</v>
      </c>
      <c r="BC10" s="1623">
        <v>198263</v>
      </c>
      <c r="BD10" s="1623">
        <v>219024</v>
      </c>
      <c r="BE10" s="1623">
        <v>219024</v>
      </c>
      <c r="BF10" s="1623">
        <v>219621</v>
      </c>
      <c r="BG10" s="1623">
        <v>219621</v>
      </c>
      <c r="BH10" s="1623">
        <v>220146</v>
      </c>
      <c r="BI10" s="1623">
        <v>220594</v>
      </c>
      <c r="BJ10" s="1623">
        <v>221683</v>
      </c>
      <c r="BK10" s="1623">
        <v>221683</v>
      </c>
      <c r="BL10" s="1623">
        <v>222292</v>
      </c>
      <c r="BM10" s="1623">
        <v>223599</v>
      </c>
      <c r="BN10" s="1623">
        <v>210501</v>
      </c>
      <c r="BO10" s="1623">
        <v>221019</v>
      </c>
      <c r="BP10" s="1623">
        <v>222293</v>
      </c>
      <c r="BQ10" s="1623">
        <v>222520</v>
      </c>
      <c r="BR10" s="1623">
        <v>223135</v>
      </c>
      <c r="BS10" s="1623">
        <v>223135</v>
      </c>
      <c r="BT10" s="1623">
        <v>223676</v>
      </c>
      <c r="BU10" s="1623">
        <v>215836</v>
      </c>
      <c r="BV10" s="1623">
        <v>209671</v>
      </c>
      <c r="BW10" s="1623">
        <v>222718</v>
      </c>
      <c r="BX10" s="1623">
        <v>201795</v>
      </c>
      <c r="BY10" s="1623">
        <v>186454</v>
      </c>
      <c r="BZ10" s="1623">
        <v>216601</v>
      </c>
      <c r="CA10" s="1623">
        <v>217394</v>
      </c>
      <c r="CB10" s="1623">
        <v>218036</v>
      </c>
      <c r="CC10" s="1623">
        <v>218036</v>
      </c>
      <c r="CD10" s="1623">
        <v>196930</v>
      </c>
      <c r="CE10" s="1623">
        <v>215682</v>
      </c>
      <c r="CF10" s="1623">
        <v>197107</v>
      </c>
      <c r="CG10" s="1623">
        <v>213837</v>
      </c>
      <c r="CH10" s="1623">
        <v>185386</v>
      </c>
      <c r="CI10" s="1623">
        <v>196988</v>
      </c>
      <c r="CJ10" s="1623">
        <v>208923</v>
      </c>
      <c r="CK10" s="1623">
        <v>209481</v>
      </c>
      <c r="CL10" s="1623">
        <v>210385</v>
      </c>
      <c r="CM10" s="1623">
        <v>211202</v>
      </c>
      <c r="CN10" s="1623">
        <v>211863</v>
      </c>
      <c r="CO10" s="1623">
        <v>211863</v>
      </c>
      <c r="CP10" s="1623">
        <v>211863</v>
      </c>
      <c r="CQ10" s="1623">
        <v>212425</v>
      </c>
      <c r="CR10" s="1623">
        <v>212425</v>
      </c>
      <c r="CS10" s="1623">
        <v>213153</v>
      </c>
      <c r="CT10" s="1623">
        <v>206817</v>
      </c>
      <c r="CU10" s="1623">
        <v>213467</v>
      </c>
      <c r="CV10" s="1623">
        <v>213825</v>
      </c>
      <c r="CW10" s="1623">
        <v>214400</v>
      </c>
      <c r="CX10" s="1623">
        <v>215331</v>
      </c>
      <c r="CY10" s="1623">
        <v>216173</v>
      </c>
      <c r="CZ10" s="1623">
        <v>217564</v>
      </c>
      <c r="DA10" s="1623">
        <v>217811</v>
      </c>
      <c r="DB10" s="1623">
        <v>217811</v>
      </c>
      <c r="DC10" s="1623">
        <v>218391</v>
      </c>
      <c r="DD10" s="1623">
        <v>218391</v>
      </c>
      <c r="DE10" s="1623">
        <v>219140</v>
      </c>
      <c r="DF10" s="1623">
        <v>219467</v>
      </c>
      <c r="DG10" s="1623">
        <v>220406</v>
      </c>
      <c r="DH10" s="1623">
        <v>220774</v>
      </c>
      <c r="DI10" s="1623">
        <v>221366</v>
      </c>
      <c r="DJ10" s="1623">
        <v>222325</v>
      </c>
      <c r="DK10" s="1623">
        <v>204734</v>
      </c>
      <c r="DL10" s="1623">
        <v>197290</v>
      </c>
      <c r="DM10" s="1623">
        <v>218051</v>
      </c>
      <c r="DN10" s="1623">
        <v>218051</v>
      </c>
      <c r="DO10" s="1623">
        <v>218647</v>
      </c>
      <c r="DP10" s="1623">
        <v>218647</v>
      </c>
      <c r="DQ10" s="1623">
        <v>219420</v>
      </c>
      <c r="DR10" s="1623">
        <v>219755</v>
      </c>
      <c r="DS10" s="1623">
        <v>220723</v>
      </c>
      <c r="DT10" s="1623">
        <v>221102</v>
      </c>
      <c r="DU10" s="1623">
        <v>218230</v>
      </c>
      <c r="DV10" s="1623">
        <v>222381</v>
      </c>
      <c r="DW10" s="1623">
        <v>211082</v>
      </c>
      <c r="DX10" s="1623">
        <v>221599</v>
      </c>
      <c r="DY10" s="1623">
        <v>222222</v>
      </c>
      <c r="DZ10" s="1623">
        <v>222222</v>
      </c>
      <c r="EA10" s="1623">
        <v>222836</v>
      </c>
      <c r="EB10" s="1623">
        <v>222836</v>
      </c>
      <c r="EC10" s="1623">
        <v>223632</v>
      </c>
      <c r="ED10" s="1623">
        <v>215677</v>
      </c>
      <c r="EE10" s="1623">
        <v>208709</v>
      </c>
      <c r="EF10" s="1623">
        <v>222147</v>
      </c>
      <c r="EG10" s="1623">
        <v>201223</v>
      </c>
      <c r="EH10" s="1623">
        <v>185978</v>
      </c>
      <c r="EI10" s="1623">
        <v>216125</v>
      </c>
      <c r="EJ10" s="1623">
        <v>217692</v>
      </c>
      <c r="EK10" s="1623">
        <v>218603</v>
      </c>
      <c r="EL10" s="1623">
        <v>218603</v>
      </c>
      <c r="EM10" s="1623">
        <v>197497</v>
      </c>
      <c r="EN10" s="1623">
        <v>216250</v>
      </c>
      <c r="EO10" s="1623">
        <v>188938</v>
      </c>
      <c r="EP10" s="1623">
        <v>201868</v>
      </c>
      <c r="EQ10" s="1623">
        <v>201122</v>
      </c>
      <c r="ER10" s="1623">
        <v>199292</v>
      </c>
      <c r="ES10" s="1623">
        <v>199292</v>
      </c>
      <c r="ET10" s="1623">
        <v>211882</v>
      </c>
      <c r="EU10" s="1623">
        <v>212787</v>
      </c>
      <c r="EV10" s="1623">
        <v>213604</v>
      </c>
      <c r="EW10" s="1623">
        <v>30521458</v>
      </c>
      <c r="EX10" s="1623"/>
      <c r="EY10" s="1623"/>
      <c r="EZ10" s="1623"/>
      <c r="FA10" s="1623"/>
      <c r="FB10" s="1623"/>
      <c r="FC10" s="1623"/>
      <c r="FD10" s="1623"/>
      <c r="FE10" s="1623"/>
      <c r="FF10" s="1623"/>
      <c r="FG10" s="1623"/>
      <c r="FH10" s="1623"/>
      <c r="FI10" s="1623"/>
      <c r="FJ10" s="1623"/>
    </row>
    <row r="11" spans="1:166">
      <c r="A11" s="433" t="s">
        <v>392</v>
      </c>
      <c r="B11" s="436">
        <v>21</v>
      </c>
      <c r="D11" s="969">
        <v>21</v>
      </c>
      <c r="E11" s="433" t="s">
        <v>392</v>
      </c>
      <c r="F11" s="1452">
        <v>133755</v>
      </c>
      <c r="G11" s="1452">
        <v>161911</v>
      </c>
      <c r="H11" s="1452">
        <v>161911</v>
      </c>
      <c r="I11" s="1452">
        <v>162458</v>
      </c>
      <c r="J11" s="1452">
        <v>162458</v>
      </c>
      <c r="K11" s="1452">
        <v>162951</v>
      </c>
      <c r="L11" s="1452">
        <v>162951</v>
      </c>
      <c r="M11" s="1452">
        <v>170308</v>
      </c>
      <c r="N11" s="1452">
        <v>171353</v>
      </c>
      <c r="O11" s="1452">
        <v>161009</v>
      </c>
      <c r="P11" s="1452">
        <v>151107</v>
      </c>
      <c r="Q11" s="1452">
        <v>181254</v>
      </c>
      <c r="R11" s="1452">
        <v>177598</v>
      </c>
      <c r="S11" s="1452">
        <v>185236</v>
      </c>
      <c r="T11" s="1452">
        <v>185236</v>
      </c>
      <c r="U11" s="1452">
        <v>166442</v>
      </c>
      <c r="V11" s="1452">
        <v>184611</v>
      </c>
      <c r="W11" s="1452">
        <v>168271</v>
      </c>
      <c r="X11" s="1452">
        <v>184774</v>
      </c>
      <c r="Y11" s="1452">
        <v>191716</v>
      </c>
      <c r="Z11" s="1452">
        <v>206721</v>
      </c>
      <c r="AA11" s="1452">
        <v>206721</v>
      </c>
      <c r="AB11" s="1452">
        <v>207279</v>
      </c>
      <c r="AC11" s="1452">
        <v>208183</v>
      </c>
      <c r="AD11" s="1452">
        <v>208938</v>
      </c>
      <c r="AE11" s="1452">
        <v>209835</v>
      </c>
      <c r="AF11" s="1452">
        <v>210433</v>
      </c>
      <c r="AG11" s="1452">
        <v>210641</v>
      </c>
      <c r="AH11" s="1452">
        <v>211204</v>
      </c>
      <c r="AI11" s="1452">
        <v>211204</v>
      </c>
      <c r="AJ11" s="1452">
        <v>211699</v>
      </c>
      <c r="AK11" s="1452">
        <v>205315</v>
      </c>
      <c r="AL11" s="1452">
        <v>212150</v>
      </c>
      <c r="AM11" s="1452">
        <v>212150</v>
      </c>
      <c r="AN11" s="1452">
        <v>212725</v>
      </c>
      <c r="AO11" s="1452">
        <v>213656</v>
      </c>
      <c r="AP11" s="1452">
        <v>214433</v>
      </c>
      <c r="AQ11" s="1452">
        <v>215366</v>
      </c>
      <c r="AR11" s="1452">
        <v>216054</v>
      </c>
      <c r="AS11" s="1452">
        <v>216054</v>
      </c>
      <c r="AT11" s="1452">
        <v>216634</v>
      </c>
      <c r="AU11" s="1452">
        <v>216634</v>
      </c>
      <c r="AV11" s="1452">
        <v>217144</v>
      </c>
      <c r="AW11" s="1452">
        <v>217579</v>
      </c>
      <c r="AX11" s="1452">
        <v>218635</v>
      </c>
      <c r="AY11" s="1452">
        <v>218635</v>
      </c>
      <c r="AZ11" s="1452">
        <v>219227</v>
      </c>
      <c r="BA11" s="1452">
        <v>220187</v>
      </c>
      <c r="BB11" s="1452">
        <v>206614</v>
      </c>
      <c r="BC11" s="1452">
        <v>198263</v>
      </c>
      <c r="BD11" s="1452">
        <v>219024</v>
      </c>
      <c r="BE11" s="1452">
        <v>219024</v>
      </c>
      <c r="BF11" s="1452">
        <v>219621</v>
      </c>
      <c r="BG11" s="1452">
        <v>219621</v>
      </c>
      <c r="BH11" s="1452">
        <v>220146</v>
      </c>
      <c r="BI11" s="1452">
        <v>220594</v>
      </c>
      <c r="BJ11" s="1452">
        <v>221683</v>
      </c>
      <c r="BK11" s="1452">
        <v>221683</v>
      </c>
      <c r="BL11" s="1452">
        <v>222292</v>
      </c>
      <c r="BM11" s="1452">
        <v>223599</v>
      </c>
      <c r="BN11" s="1452">
        <v>210501</v>
      </c>
      <c r="BO11" s="1452">
        <v>221019</v>
      </c>
      <c r="BP11" s="1452">
        <v>222293</v>
      </c>
      <c r="BQ11" s="1452">
        <v>222520</v>
      </c>
      <c r="BR11" s="1452">
        <v>223135</v>
      </c>
      <c r="BS11" s="1452">
        <v>223135</v>
      </c>
      <c r="BT11" s="1452">
        <v>223676</v>
      </c>
      <c r="BU11" s="1452">
        <v>215836</v>
      </c>
      <c r="BV11" s="1452">
        <v>209671</v>
      </c>
      <c r="BW11" s="1452">
        <v>222718</v>
      </c>
      <c r="BX11" s="1452">
        <v>201795</v>
      </c>
      <c r="BY11" s="1452">
        <v>186454</v>
      </c>
      <c r="BZ11" s="1452">
        <v>216601</v>
      </c>
      <c r="CA11" s="1452">
        <v>217394</v>
      </c>
      <c r="CB11" s="1452">
        <v>218036</v>
      </c>
      <c r="CC11" s="1452">
        <v>218036</v>
      </c>
      <c r="CD11" s="1452">
        <v>196930</v>
      </c>
      <c r="CE11" s="1452">
        <v>215682</v>
      </c>
      <c r="CF11" s="1452">
        <v>197107</v>
      </c>
      <c r="CG11" s="1452">
        <v>213837</v>
      </c>
      <c r="CH11" s="1452">
        <v>185386</v>
      </c>
      <c r="CI11" s="1452">
        <v>196988</v>
      </c>
      <c r="CJ11" s="1452">
        <v>208923</v>
      </c>
      <c r="CK11" s="1452">
        <v>209481</v>
      </c>
      <c r="CL11" s="1452">
        <v>210385</v>
      </c>
      <c r="CM11" s="1452">
        <v>211202</v>
      </c>
      <c r="CN11" s="1452">
        <v>211863</v>
      </c>
      <c r="CO11" s="1452">
        <v>211863</v>
      </c>
      <c r="CP11" s="1452">
        <v>211863</v>
      </c>
      <c r="CQ11" s="1452">
        <v>212425</v>
      </c>
      <c r="CR11" s="1452">
        <v>212425</v>
      </c>
      <c r="CS11" s="1452">
        <v>213153</v>
      </c>
      <c r="CT11" s="1452">
        <v>206817</v>
      </c>
      <c r="CU11" s="1452">
        <v>213467</v>
      </c>
      <c r="CV11" s="1452">
        <v>213825</v>
      </c>
      <c r="CW11" s="1452">
        <v>214400</v>
      </c>
      <c r="CX11" s="1452">
        <v>215331</v>
      </c>
      <c r="CY11" s="1452">
        <v>216173</v>
      </c>
      <c r="CZ11" s="1452">
        <v>217564</v>
      </c>
      <c r="DA11" s="1452">
        <v>217811</v>
      </c>
      <c r="DB11" s="1452">
        <v>217811</v>
      </c>
      <c r="DC11" s="1452">
        <v>218391</v>
      </c>
      <c r="DD11" s="1452">
        <v>218391</v>
      </c>
      <c r="DE11" s="1452">
        <v>219140</v>
      </c>
      <c r="DF11" s="1452">
        <v>219467</v>
      </c>
      <c r="DG11" s="1452">
        <v>220406</v>
      </c>
      <c r="DH11" s="1452">
        <v>220774</v>
      </c>
      <c r="DI11" s="1452">
        <v>221366</v>
      </c>
      <c r="DJ11" s="1452">
        <v>222325</v>
      </c>
      <c r="DK11" s="1452">
        <v>204734</v>
      </c>
      <c r="DL11" s="1452">
        <v>197290</v>
      </c>
      <c r="DM11" s="1452">
        <v>218051</v>
      </c>
      <c r="DN11" s="1452">
        <v>218051</v>
      </c>
      <c r="DO11" s="1452">
        <v>218647</v>
      </c>
      <c r="DP11" s="1452">
        <v>218647</v>
      </c>
      <c r="DQ11" s="1452">
        <v>219420</v>
      </c>
      <c r="DR11" s="1452">
        <v>219755</v>
      </c>
      <c r="DS11" s="1452">
        <v>220723</v>
      </c>
      <c r="DT11" s="1452">
        <v>221102</v>
      </c>
      <c r="DU11" s="1452">
        <v>218230</v>
      </c>
      <c r="DV11" s="1452">
        <v>222381</v>
      </c>
      <c r="DW11" s="1452">
        <v>211082</v>
      </c>
      <c r="DX11" s="1452">
        <v>221599</v>
      </c>
      <c r="DY11" s="1452">
        <v>222222</v>
      </c>
      <c r="DZ11" s="1452">
        <v>222222</v>
      </c>
      <c r="EA11" s="1452">
        <v>222836</v>
      </c>
      <c r="EB11" s="1452">
        <v>222836</v>
      </c>
      <c r="EC11" s="1452">
        <v>223632</v>
      </c>
      <c r="ED11" s="1452">
        <v>215677</v>
      </c>
      <c r="EE11" s="1452">
        <v>208709</v>
      </c>
      <c r="EF11" s="1452">
        <v>222147</v>
      </c>
      <c r="EG11" s="1452">
        <v>201223</v>
      </c>
      <c r="EH11" s="1452">
        <v>185978</v>
      </c>
      <c r="EI11" s="1452">
        <v>216125</v>
      </c>
      <c r="EJ11" s="1452">
        <v>217692</v>
      </c>
      <c r="EK11" s="1452">
        <v>218603</v>
      </c>
      <c r="EL11" s="1452">
        <v>218603</v>
      </c>
      <c r="EM11" s="1452">
        <v>197497</v>
      </c>
      <c r="EN11" s="1452">
        <v>216250</v>
      </c>
      <c r="EO11" s="1452">
        <v>188938</v>
      </c>
      <c r="EP11" s="1452">
        <v>201868</v>
      </c>
      <c r="EQ11" s="1452">
        <v>201122</v>
      </c>
      <c r="ER11" s="1452">
        <v>199292</v>
      </c>
      <c r="ES11" s="1452">
        <v>199292</v>
      </c>
      <c r="ET11" s="1452">
        <v>211882</v>
      </c>
      <c r="EU11" s="1452">
        <v>212787</v>
      </c>
      <c r="EV11" s="1452">
        <v>213604</v>
      </c>
      <c r="EW11" s="1452">
        <v>30521458</v>
      </c>
      <c r="EX11" s="1452"/>
      <c r="EY11" s="1452"/>
      <c r="EZ11" s="1452"/>
      <c r="FA11" s="1452"/>
      <c r="FB11" s="1452"/>
      <c r="FC11" s="1452"/>
      <c r="FD11" s="1452"/>
      <c r="FE11" s="1452"/>
      <c r="FF11" s="1452"/>
      <c r="FG11" s="1452"/>
      <c r="FH11" s="1452"/>
      <c r="FI11" s="1452"/>
      <c r="FJ11" s="1452"/>
    </row>
    <row r="12" spans="1:166">
      <c r="B12" s="436"/>
      <c r="D12"/>
    </row>
    <row r="13" spans="1:166">
      <c r="A13" s="434" t="s">
        <v>393</v>
      </c>
      <c r="B13" s="436"/>
      <c r="D13"/>
      <c r="E13" s="434" t="s">
        <v>393</v>
      </c>
    </row>
    <row r="14" spans="1:166">
      <c r="A14" s="435" t="s">
        <v>405</v>
      </c>
      <c r="B14" s="436">
        <v>4</v>
      </c>
      <c r="D14" s="969">
        <v>4</v>
      </c>
      <c r="E14" s="435" t="s">
        <v>415</v>
      </c>
      <c r="F14" s="1451">
        <v>98519</v>
      </c>
      <c r="G14" s="1451">
        <v>98519</v>
      </c>
      <c r="H14" s="1451">
        <v>98519</v>
      </c>
      <c r="I14" s="1451">
        <v>101755</v>
      </c>
      <c r="J14" s="1451">
        <v>101755</v>
      </c>
      <c r="K14" s="1451">
        <v>101755</v>
      </c>
      <c r="L14" s="1451">
        <v>101755</v>
      </c>
      <c r="M14" s="1451">
        <v>107065</v>
      </c>
      <c r="N14" s="1451">
        <v>107065</v>
      </c>
      <c r="O14" s="1451">
        <v>96930</v>
      </c>
      <c r="P14" s="1451">
        <v>88666</v>
      </c>
      <c r="Q14" s="1451">
        <v>105177</v>
      </c>
      <c r="R14" s="1451">
        <v>105177</v>
      </c>
      <c r="S14" s="1451">
        <v>105177</v>
      </c>
      <c r="T14" s="1451">
        <v>105177</v>
      </c>
      <c r="U14" s="1451">
        <v>97758</v>
      </c>
      <c r="V14" s="1451">
        <v>107328</v>
      </c>
      <c r="W14" s="1451">
        <v>97638</v>
      </c>
      <c r="X14" s="1451">
        <v>106365</v>
      </c>
      <c r="Y14" s="1451">
        <v>121033</v>
      </c>
      <c r="Z14" s="1451">
        <v>149525</v>
      </c>
      <c r="AA14" s="1451">
        <v>149525</v>
      </c>
      <c r="AB14" s="1451">
        <v>149525</v>
      </c>
      <c r="AC14" s="1451">
        <v>149525</v>
      </c>
      <c r="AD14" s="1451">
        <v>149525</v>
      </c>
      <c r="AE14" s="1451">
        <v>149525</v>
      </c>
      <c r="AF14" s="1451">
        <v>149525</v>
      </c>
      <c r="AG14" s="1451">
        <v>154046</v>
      </c>
      <c r="AH14" s="1451">
        <v>154046</v>
      </c>
      <c r="AI14" s="1451">
        <v>154046</v>
      </c>
      <c r="AJ14" s="1451">
        <v>154046</v>
      </c>
      <c r="AK14" s="1451">
        <v>149860</v>
      </c>
      <c r="AL14" s="1451">
        <v>153500</v>
      </c>
      <c r="AM14" s="1451">
        <v>153500</v>
      </c>
      <c r="AN14" s="1451">
        <v>153500</v>
      </c>
      <c r="AO14" s="1451">
        <v>153500</v>
      </c>
      <c r="AP14" s="1451">
        <v>153500</v>
      </c>
      <c r="AQ14" s="1451">
        <v>153500</v>
      </c>
      <c r="AR14" s="1451">
        <v>153500</v>
      </c>
      <c r="AS14" s="1451">
        <v>156635</v>
      </c>
      <c r="AT14" s="1451">
        <v>156635</v>
      </c>
      <c r="AU14" s="1451">
        <v>156635</v>
      </c>
      <c r="AV14" s="1451">
        <v>156635</v>
      </c>
      <c r="AW14" s="1451">
        <v>156635</v>
      </c>
      <c r="AX14" s="1451">
        <v>156635</v>
      </c>
      <c r="AY14" s="1451">
        <v>156635</v>
      </c>
      <c r="AZ14" s="1451">
        <v>156635</v>
      </c>
      <c r="BA14" s="1451">
        <v>156635</v>
      </c>
      <c r="BB14" s="1451">
        <v>149405</v>
      </c>
      <c r="BC14" s="1451">
        <v>147014</v>
      </c>
      <c r="BD14" s="1451">
        <v>158550</v>
      </c>
      <c r="BE14" s="1451">
        <v>163268</v>
      </c>
      <c r="BF14" s="1451">
        <v>163268</v>
      </c>
      <c r="BG14" s="1451">
        <v>163268</v>
      </c>
      <c r="BH14" s="1451">
        <v>163268</v>
      </c>
      <c r="BI14" s="1451">
        <v>163268</v>
      </c>
      <c r="BJ14" s="1451">
        <v>163268</v>
      </c>
      <c r="BK14" s="1451">
        <v>163268</v>
      </c>
      <c r="BL14" s="1451">
        <v>163268</v>
      </c>
      <c r="BM14" s="1451">
        <v>163268</v>
      </c>
      <c r="BN14" s="1451">
        <v>155800</v>
      </c>
      <c r="BO14" s="1451">
        <v>162294</v>
      </c>
      <c r="BP14" s="1451">
        <v>162294</v>
      </c>
      <c r="BQ14" s="1451">
        <v>166643</v>
      </c>
      <c r="BR14" s="1451">
        <v>166643</v>
      </c>
      <c r="BS14" s="1451">
        <v>166643</v>
      </c>
      <c r="BT14" s="1451">
        <v>166643</v>
      </c>
      <c r="BU14" s="1451">
        <v>160516</v>
      </c>
      <c r="BV14" s="1451">
        <v>156619</v>
      </c>
      <c r="BW14" s="1451">
        <v>165284</v>
      </c>
      <c r="BX14" s="1451">
        <v>154362</v>
      </c>
      <c r="BY14" s="1451">
        <v>146235</v>
      </c>
      <c r="BZ14" s="1451">
        <v>165284</v>
      </c>
      <c r="CA14" s="1451">
        <v>165284</v>
      </c>
      <c r="CB14" s="1451">
        <v>165284</v>
      </c>
      <c r="CC14" s="1451">
        <v>169612</v>
      </c>
      <c r="CD14" s="1451">
        <v>158306</v>
      </c>
      <c r="CE14" s="1451">
        <v>169612</v>
      </c>
      <c r="CF14" s="1451">
        <v>159662</v>
      </c>
      <c r="CG14" s="1451">
        <v>169612</v>
      </c>
      <c r="CH14" s="1451">
        <v>134346</v>
      </c>
      <c r="CI14" s="1451">
        <v>142713</v>
      </c>
      <c r="CJ14" s="1451">
        <v>165012</v>
      </c>
      <c r="CK14" s="1451">
        <v>165012</v>
      </c>
      <c r="CL14" s="1451">
        <v>165012</v>
      </c>
      <c r="CM14" s="1451">
        <v>165012</v>
      </c>
      <c r="CN14" s="1451">
        <v>165012</v>
      </c>
      <c r="CO14" s="1451">
        <v>170038</v>
      </c>
      <c r="CP14" s="1451">
        <v>170038</v>
      </c>
      <c r="CQ14" s="1451">
        <v>170038</v>
      </c>
      <c r="CR14" s="1451">
        <v>170038</v>
      </c>
      <c r="CS14" s="1451">
        <v>170038</v>
      </c>
      <c r="CT14" s="1451">
        <v>165887</v>
      </c>
      <c r="CU14" s="1451">
        <v>170038</v>
      </c>
      <c r="CV14" s="1451">
        <v>170038</v>
      </c>
      <c r="CW14" s="1451">
        <v>170038</v>
      </c>
      <c r="CX14" s="1451">
        <v>170038</v>
      </c>
      <c r="CY14" s="1451">
        <v>170038</v>
      </c>
      <c r="CZ14" s="1451">
        <v>170038</v>
      </c>
      <c r="DA14" s="1451">
        <v>174945</v>
      </c>
      <c r="DB14" s="1451">
        <v>174945</v>
      </c>
      <c r="DC14" s="1451">
        <v>174945</v>
      </c>
      <c r="DD14" s="1451">
        <v>174945</v>
      </c>
      <c r="DE14" s="1451">
        <v>174945</v>
      </c>
      <c r="DF14" s="1451">
        <v>174945</v>
      </c>
      <c r="DG14" s="1451">
        <v>174945</v>
      </c>
      <c r="DH14" s="1451">
        <v>174945</v>
      </c>
      <c r="DI14" s="1451">
        <v>174945</v>
      </c>
      <c r="DJ14" s="1451">
        <v>174945</v>
      </c>
      <c r="DK14" s="1451">
        <v>163440</v>
      </c>
      <c r="DL14" s="1451">
        <v>161674</v>
      </c>
      <c r="DM14" s="1451">
        <v>178873</v>
      </c>
      <c r="DN14" s="1451">
        <v>178873</v>
      </c>
      <c r="DO14" s="1451">
        <v>178873</v>
      </c>
      <c r="DP14" s="1451">
        <v>178873</v>
      </c>
      <c r="DQ14" s="1451">
        <v>178873</v>
      </c>
      <c r="DR14" s="1451">
        <v>178873</v>
      </c>
      <c r="DS14" s="1451">
        <v>178873</v>
      </c>
      <c r="DT14" s="1451">
        <v>178873</v>
      </c>
      <c r="DU14" s="1451">
        <v>176186</v>
      </c>
      <c r="DV14" s="1451">
        <v>178523</v>
      </c>
      <c r="DW14" s="1451">
        <v>171106</v>
      </c>
      <c r="DX14" s="1451">
        <v>178523</v>
      </c>
      <c r="DY14" s="1451">
        <v>183445</v>
      </c>
      <c r="DZ14" s="1451">
        <v>183445</v>
      </c>
      <c r="EA14" s="1451">
        <v>183445</v>
      </c>
      <c r="EB14" s="1451">
        <v>183445</v>
      </c>
      <c r="EC14" s="1451">
        <v>183445</v>
      </c>
      <c r="ED14" s="1451">
        <v>177356</v>
      </c>
      <c r="EE14" s="1451">
        <v>173541</v>
      </c>
      <c r="EF14" s="1451">
        <v>183445</v>
      </c>
      <c r="EG14" s="1451">
        <v>170961</v>
      </c>
      <c r="EH14" s="1451">
        <v>161672</v>
      </c>
      <c r="EI14" s="1451">
        <v>183445</v>
      </c>
      <c r="EJ14" s="1451">
        <v>183445</v>
      </c>
      <c r="EK14" s="1451">
        <v>188274</v>
      </c>
      <c r="EL14" s="1451">
        <v>188274</v>
      </c>
      <c r="EM14" s="1451">
        <v>175349</v>
      </c>
      <c r="EN14" s="1451">
        <v>188274</v>
      </c>
      <c r="EO14" s="1451">
        <v>157776</v>
      </c>
      <c r="EP14" s="1451">
        <v>161328</v>
      </c>
      <c r="EQ14" s="1451">
        <v>175297</v>
      </c>
      <c r="ER14" s="1451">
        <v>159370</v>
      </c>
      <c r="ES14" s="1451">
        <v>159370</v>
      </c>
      <c r="ET14" s="1451">
        <v>184862</v>
      </c>
      <c r="EU14" s="1451">
        <v>184862</v>
      </c>
      <c r="EV14" s="1451">
        <v>184862</v>
      </c>
      <c r="EW14" s="1451">
        <v>23134388</v>
      </c>
      <c r="EX14" s="1451"/>
      <c r="EY14" s="1451"/>
      <c r="EZ14" s="1451"/>
      <c r="FA14" s="1451"/>
      <c r="FB14" s="1451"/>
      <c r="FC14" s="1451"/>
      <c r="FD14" s="1451"/>
      <c r="FE14" s="1451"/>
      <c r="FF14" s="1451"/>
      <c r="FG14" s="1451"/>
      <c r="FH14" s="1451"/>
      <c r="FI14" s="1451"/>
      <c r="FJ14" s="1451"/>
    </row>
    <row r="15" spans="1:166">
      <c r="A15" s="433" t="s">
        <v>394</v>
      </c>
      <c r="B15" s="436"/>
      <c r="D15"/>
      <c r="E15" s="433" t="s">
        <v>394</v>
      </c>
      <c r="F15" s="1452">
        <v>98519</v>
      </c>
      <c r="G15" s="1452">
        <v>98519</v>
      </c>
      <c r="H15" s="1452">
        <v>98519</v>
      </c>
      <c r="I15" s="1452">
        <v>101755</v>
      </c>
      <c r="J15" s="1452">
        <v>101755</v>
      </c>
      <c r="K15" s="1452">
        <v>101755</v>
      </c>
      <c r="L15" s="1452">
        <v>101755</v>
      </c>
      <c r="M15" s="1452">
        <v>107065</v>
      </c>
      <c r="N15" s="1452">
        <v>107065</v>
      </c>
      <c r="O15" s="1452">
        <v>96930</v>
      </c>
      <c r="P15" s="1452">
        <v>88666</v>
      </c>
      <c r="Q15" s="1452">
        <v>105177</v>
      </c>
      <c r="R15" s="1452">
        <v>105177</v>
      </c>
      <c r="S15" s="1452">
        <v>105177</v>
      </c>
      <c r="T15" s="1452">
        <v>105177</v>
      </c>
      <c r="U15" s="1452">
        <v>97758</v>
      </c>
      <c r="V15" s="1452">
        <v>107328</v>
      </c>
      <c r="W15" s="1452">
        <v>97638</v>
      </c>
      <c r="X15" s="1452">
        <v>106365</v>
      </c>
      <c r="Y15" s="1452">
        <v>121033</v>
      </c>
      <c r="Z15" s="1452">
        <v>149525</v>
      </c>
      <c r="AA15" s="1452">
        <v>149525</v>
      </c>
      <c r="AB15" s="1452">
        <v>149525</v>
      </c>
      <c r="AC15" s="1452">
        <v>149525</v>
      </c>
      <c r="AD15" s="1452">
        <v>149525</v>
      </c>
      <c r="AE15" s="1452">
        <v>149525</v>
      </c>
      <c r="AF15" s="1452">
        <v>149525</v>
      </c>
      <c r="AG15" s="1452">
        <v>154046</v>
      </c>
      <c r="AH15" s="1452">
        <v>154046</v>
      </c>
      <c r="AI15" s="1452">
        <v>154046</v>
      </c>
      <c r="AJ15" s="1452">
        <v>154046</v>
      </c>
      <c r="AK15" s="1452">
        <v>149860</v>
      </c>
      <c r="AL15" s="1452">
        <v>153500</v>
      </c>
      <c r="AM15" s="1452">
        <v>153500</v>
      </c>
      <c r="AN15" s="1452">
        <v>153500</v>
      </c>
      <c r="AO15" s="1452">
        <v>153500</v>
      </c>
      <c r="AP15" s="1452">
        <v>153500</v>
      </c>
      <c r="AQ15" s="1452">
        <v>153500</v>
      </c>
      <c r="AR15" s="1452">
        <v>153500</v>
      </c>
      <c r="AS15" s="1452">
        <v>156635</v>
      </c>
      <c r="AT15" s="1452">
        <v>156635</v>
      </c>
      <c r="AU15" s="1452">
        <v>156635</v>
      </c>
      <c r="AV15" s="1452">
        <v>156635</v>
      </c>
      <c r="AW15" s="1452">
        <v>156635</v>
      </c>
      <c r="AX15" s="1452">
        <v>156635</v>
      </c>
      <c r="AY15" s="1452">
        <v>156635</v>
      </c>
      <c r="AZ15" s="1452">
        <v>156635</v>
      </c>
      <c r="BA15" s="1452">
        <v>156635</v>
      </c>
      <c r="BB15" s="1452">
        <v>149405</v>
      </c>
      <c r="BC15" s="1452">
        <v>147014</v>
      </c>
      <c r="BD15" s="1452">
        <v>158550</v>
      </c>
      <c r="BE15" s="1452">
        <v>163268</v>
      </c>
      <c r="BF15" s="1452">
        <v>163268</v>
      </c>
      <c r="BG15" s="1452">
        <v>163268</v>
      </c>
      <c r="BH15" s="1452">
        <v>163268</v>
      </c>
      <c r="BI15" s="1452">
        <v>163268</v>
      </c>
      <c r="BJ15" s="1452">
        <v>163268</v>
      </c>
      <c r="BK15" s="1452">
        <v>163268</v>
      </c>
      <c r="BL15" s="1452">
        <v>163268</v>
      </c>
      <c r="BM15" s="1452">
        <v>163268</v>
      </c>
      <c r="BN15" s="1452">
        <v>155800</v>
      </c>
      <c r="BO15" s="1452">
        <v>162294</v>
      </c>
      <c r="BP15" s="1452">
        <v>162294</v>
      </c>
      <c r="BQ15" s="1452">
        <v>166643</v>
      </c>
      <c r="BR15" s="1452">
        <v>166643</v>
      </c>
      <c r="BS15" s="1452">
        <v>166643</v>
      </c>
      <c r="BT15" s="1452">
        <v>166643</v>
      </c>
      <c r="BU15" s="1452">
        <v>160516</v>
      </c>
      <c r="BV15" s="1452">
        <v>156619</v>
      </c>
      <c r="BW15" s="1452">
        <v>165284</v>
      </c>
      <c r="BX15" s="1452">
        <v>154362</v>
      </c>
      <c r="BY15" s="1452">
        <v>146235</v>
      </c>
      <c r="BZ15" s="1452">
        <v>165284</v>
      </c>
      <c r="CA15" s="1452">
        <v>165284</v>
      </c>
      <c r="CB15" s="1452">
        <v>165284</v>
      </c>
      <c r="CC15" s="1452">
        <v>169612</v>
      </c>
      <c r="CD15" s="1452">
        <v>158306</v>
      </c>
      <c r="CE15" s="1452">
        <v>169612</v>
      </c>
      <c r="CF15" s="1452">
        <v>159662</v>
      </c>
      <c r="CG15" s="1452">
        <v>169612</v>
      </c>
      <c r="CH15" s="1452">
        <v>134346</v>
      </c>
      <c r="CI15" s="1452">
        <v>142713</v>
      </c>
      <c r="CJ15" s="1452">
        <v>165012</v>
      </c>
      <c r="CK15" s="1452">
        <v>165012</v>
      </c>
      <c r="CL15" s="1452">
        <v>165012</v>
      </c>
      <c r="CM15" s="1452">
        <v>165012</v>
      </c>
      <c r="CN15" s="1452">
        <v>165012</v>
      </c>
      <c r="CO15" s="1452">
        <v>170038</v>
      </c>
      <c r="CP15" s="1452">
        <v>170038</v>
      </c>
      <c r="CQ15" s="1452">
        <v>170038</v>
      </c>
      <c r="CR15" s="1452">
        <v>170038</v>
      </c>
      <c r="CS15" s="1452">
        <v>170038</v>
      </c>
      <c r="CT15" s="1452">
        <v>165887</v>
      </c>
      <c r="CU15" s="1452">
        <v>170038</v>
      </c>
      <c r="CV15" s="1452">
        <v>170038</v>
      </c>
      <c r="CW15" s="1452">
        <v>170038</v>
      </c>
      <c r="CX15" s="1452">
        <v>170038</v>
      </c>
      <c r="CY15" s="1452">
        <v>170038</v>
      </c>
      <c r="CZ15" s="1452">
        <v>170038</v>
      </c>
      <c r="DA15" s="1452">
        <v>174945</v>
      </c>
      <c r="DB15" s="1452">
        <v>174945</v>
      </c>
      <c r="DC15" s="1452">
        <v>174945</v>
      </c>
      <c r="DD15" s="1452">
        <v>174945</v>
      </c>
      <c r="DE15" s="1452">
        <v>174945</v>
      </c>
      <c r="DF15" s="1452">
        <v>174945</v>
      </c>
      <c r="DG15" s="1452">
        <v>174945</v>
      </c>
      <c r="DH15" s="1452">
        <v>174945</v>
      </c>
      <c r="DI15" s="1452">
        <v>174945</v>
      </c>
      <c r="DJ15" s="1452">
        <v>174945</v>
      </c>
      <c r="DK15" s="1452">
        <v>163440</v>
      </c>
      <c r="DL15" s="1452">
        <v>161674</v>
      </c>
      <c r="DM15" s="1452">
        <v>178873</v>
      </c>
      <c r="DN15" s="1452">
        <v>178873</v>
      </c>
      <c r="DO15" s="1452">
        <v>178873</v>
      </c>
      <c r="DP15" s="1452">
        <v>178873</v>
      </c>
      <c r="DQ15" s="1452">
        <v>178873</v>
      </c>
      <c r="DR15" s="1452">
        <v>178873</v>
      </c>
      <c r="DS15" s="1452">
        <v>178873</v>
      </c>
      <c r="DT15" s="1452">
        <v>178873</v>
      </c>
      <c r="DU15" s="1452">
        <v>176186</v>
      </c>
      <c r="DV15" s="1452">
        <v>178523</v>
      </c>
      <c r="DW15" s="1452">
        <v>171106</v>
      </c>
      <c r="DX15" s="1452">
        <v>178523</v>
      </c>
      <c r="DY15" s="1452">
        <v>183445</v>
      </c>
      <c r="DZ15" s="1452">
        <v>183445</v>
      </c>
      <c r="EA15" s="1452">
        <v>183445</v>
      </c>
      <c r="EB15" s="1452">
        <v>183445</v>
      </c>
      <c r="EC15" s="1452">
        <v>183445</v>
      </c>
      <c r="ED15" s="1452">
        <v>177356</v>
      </c>
      <c r="EE15" s="1452">
        <v>173541</v>
      </c>
      <c r="EF15" s="1452">
        <v>183445</v>
      </c>
      <c r="EG15" s="1452">
        <v>170961</v>
      </c>
      <c r="EH15" s="1452">
        <v>161672</v>
      </c>
      <c r="EI15" s="1452">
        <v>183445</v>
      </c>
      <c r="EJ15" s="1452">
        <v>183445</v>
      </c>
      <c r="EK15" s="1452">
        <v>188274</v>
      </c>
      <c r="EL15" s="1452">
        <v>188274</v>
      </c>
      <c r="EM15" s="1452">
        <v>175349</v>
      </c>
      <c r="EN15" s="1452">
        <v>188274</v>
      </c>
      <c r="EO15" s="1452">
        <v>157776</v>
      </c>
      <c r="EP15" s="1452">
        <v>161328</v>
      </c>
      <c r="EQ15" s="1452">
        <v>175297</v>
      </c>
      <c r="ER15" s="1452">
        <v>159370</v>
      </c>
      <c r="ES15" s="1452">
        <v>159370</v>
      </c>
      <c r="ET15" s="1452">
        <v>184862</v>
      </c>
      <c r="EU15" s="1452">
        <v>184862</v>
      </c>
      <c r="EV15" s="1452">
        <v>184862</v>
      </c>
      <c r="EW15" s="1452">
        <v>23134388</v>
      </c>
      <c r="EX15" s="1452"/>
      <c r="EY15" s="1452"/>
      <c r="EZ15" s="1452"/>
      <c r="FA15" s="1452"/>
      <c r="FB15" s="1452"/>
      <c r="FC15" s="1452"/>
      <c r="FD15" s="1452"/>
      <c r="FE15" s="1452"/>
      <c r="FF15" s="1452"/>
      <c r="FG15" s="1452"/>
      <c r="FH15" s="1452"/>
      <c r="FI15" s="1452"/>
      <c r="FJ15" s="1452"/>
    </row>
    <row r="16" spans="1:166">
      <c r="B16" s="436"/>
      <c r="D16"/>
    </row>
    <row r="17" spans="1:166">
      <c r="A17" s="433" t="s">
        <v>395</v>
      </c>
      <c r="B17" s="436">
        <v>22</v>
      </c>
      <c r="D17" s="1415">
        <v>22</v>
      </c>
      <c r="E17" s="433" t="s">
        <v>395</v>
      </c>
      <c r="F17" s="1453">
        <v>232274</v>
      </c>
      <c r="G17" s="1453">
        <v>260430</v>
      </c>
      <c r="H17" s="1453">
        <v>260430</v>
      </c>
      <c r="I17" s="1453">
        <v>264213</v>
      </c>
      <c r="J17" s="1453">
        <v>264213</v>
      </c>
      <c r="K17" s="1453">
        <v>264705</v>
      </c>
      <c r="L17" s="1453">
        <v>264705</v>
      </c>
      <c r="M17" s="1453">
        <v>277373</v>
      </c>
      <c r="N17" s="1453">
        <v>278419</v>
      </c>
      <c r="O17" s="1453">
        <v>257940</v>
      </c>
      <c r="P17" s="1453">
        <v>239773</v>
      </c>
      <c r="Q17" s="1453">
        <v>286431</v>
      </c>
      <c r="R17" s="1453">
        <v>282775</v>
      </c>
      <c r="S17" s="1453">
        <v>290413</v>
      </c>
      <c r="T17" s="1453">
        <v>290413</v>
      </c>
      <c r="U17" s="1453">
        <v>264200</v>
      </c>
      <c r="V17" s="1453">
        <v>291939</v>
      </c>
      <c r="W17" s="1453">
        <v>265909</v>
      </c>
      <c r="X17" s="1453">
        <v>291139</v>
      </c>
      <c r="Y17" s="1453">
        <v>312750</v>
      </c>
      <c r="Z17" s="1453">
        <v>356247</v>
      </c>
      <c r="AA17" s="1453">
        <v>356247</v>
      </c>
      <c r="AB17" s="1453">
        <v>356804</v>
      </c>
      <c r="AC17" s="1453">
        <v>357709</v>
      </c>
      <c r="AD17" s="1453">
        <v>358463</v>
      </c>
      <c r="AE17" s="1453">
        <v>359361</v>
      </c>
      <c r="AF17" s="1453">
        <v>359959</v>
      </c>
      <c r="AG17" s="1453">
        <v>364687</v>
      </c>
      <c r="AH17" s="1453">
        <v>365250</v>
      </c>
      <c r="AI17" s="1453">
        <v>365250</v>
      </c>
      <c r="AJ17" s="1453">
        <v>365745</v>
      </c>
      <c r="AK17" s="1453">
        <v>355175</v>
      </c>
      <c r="AL17" s="1453">
        <v>365650</v>
      </c>
      <c r="AM17" s="1453">
        <v>365650</v>
      </c>
      <c r="AN17" s="1453">
        <v>366224</v>
      </c>
      <c r="AO17" s="1453">
        <v>367156</v>
      </c>
      <c r="AP17" s="1453">
        <v>367933</v>
      </c>
      <c r="AQ17" s="1453">
        <v>368866</v>
      </c>
      <c r="AR17" s="1453">
        <v>369554</v>
      </c>
      <c r="AS17" s="1453">
        <v>372690</v>
      </c>
      <c r="AT17" s="1453">
        <v>373269</v>
      </c>
      <c r="AU17" s="1453">
        <v>373269</v>
      </c>
      <c r="AV17" s="1453">
        <v>373779</v>
      </c>
      <c r="AW17" s="1453">
        <v>374214</v>
      </c>
      <c r="AX17" s="1453">
        <v>375271</v>
      </c>
      <c r="AY17" s="1453">
        <v>375271</v>
      </c>
      <c r="AZ17" s="1453">
        <v>375862</v>
      </c>
      <c r="BA17" s="1453">
        <v>376822</v>
      </c>
      <c r="BB17" s="1453">
        <v>356019</v>
      </c>
      <c r="BC17" s="1453">
        <v>345277</v>
      </c>
      <c r="BD17" s="1453">
        <v>377574</v>
      </c>
      <c r="BE17" s="1453">
        <v>382292</v>
      </c>
      <c r="BF17" s="1453">
        <v>382889</v>
      </c>
      <c r="BG17" s="1453">
        <v>382889</v>
      </c>
      <c r="BH17" s="1453">
        <v>383415</v>
      </c>
      <c r="BI17" s="1453">
        <v>383862</v>
      </c>
      <c r="BJ17" s="1453">
        <v>384951</v>
      </c>
      <c r="BK17" s="1453">
        <v>384951</v>
      </c>
      <c r="BL17" s="1453">
        <v>385560</v>
      </c>
      <c r="BM17" s="1453">
        <v>386868</v>
      </c>
      <c r="BN17" s="1453">
        <v>366302</v>
      </c>
      <c r="BO17" s="1453">
        <v>383313</v>
      </c>
      <c r="BP17" s="1453">
        <v>384587</v>
      </c>
      <c r="BQ17" s="1453">
        <v>389163</v>
      </c>
      <c r="BR17" s="1453">
        <v>389778</v>
      </c>
      <c r="BS17" s="1453">
        <v>389778</v>
      </c>
      <c r="BT17" s="1453">
        <v>390319</v>
      </c>
      <c r="BU17" s="1453">
        <v>376353</v>
      </c>
      <c r="BV17" s="1453">
        <v>366290</v>
      </c>
      <c r="BW17" s="1453">
        <v>388002</v>
      </c>
      <c r="BX17" s="1453">
        <v>356157</v>
      </c>
      <c r="BY17" s="1453">
        <v>332689</v>
      </c>
      <c r="BZ17" s="1453">
        <v>381885</v>
      </c>
      <c r="CA17" s="1453">
        <v>382679</v>
      </c>
      <c r="CB17" s="1453">
        <v>383320</v>
      </c>
      <c r="CC17" s="1453">
        <v>387647</v>
      </c>
      <c r="CD17" s="1453">
        <v>355235</v>
      </c>
      <c r="CE17" s="1453">
        <v>385294</v>
      </c>
      <c r="CF17" s="1453">
        <v>356769</v>
      </c>
      <c r="CG17" s="1453">
        <v>383449</v>
      </c>
      <c r="CH17" s="1453">
        <v>319732</v>
      </c>
      <c r="CI17" s="1453">
        <v>339702</v>
      </c>
      <c r="CJ17" s="1453">
        <v>373935</v>
      </c>
      <c r="CK17" s="1453">
        <v>374492</v>
      </c>
      <c r="CL17" s="1453">
        <v>375397</v>
      </c>
      <c r="CM17" s="1453">
        <v>376214</v>
      </c>
      <c r="CN17" s="1453">
        <v>376875</v>
      </c>
      <c r="CO17" s="1453">
        <v>381901</v>
      </c>
      <c r="CP17" s="1453">
        <v>381901</v>
      </c>
      <c r="CQ17" s="1453">
        <v>382464</v>
      </c>
      <c r="CR17" s="1453">
        <v>382464</v>
      </c>
      <c r="CS17" s="1453">
        <v>383192</v>
      </c>
      <c r="CT17" s="1453">
        <v>372704</v>
      </c>
      <c r="CU17" s="1453">
        <v>383506</v>
      </c>
      <c r="CV17" s="1453">
        <v>383864</v>
      </c>
      <c r="CW17" s="1453">
        <v>384438</v>
      </c>
      <c r="CX17" s="1453">
        <v>385370</v>
      </c>
      <c r="CY17" s="1453">
        <v>386211</v>
      </c>
      <c r="CZ17" s="1453">
        <v>387602</v>
      </c>
      <c r="DA17" s="1453">
        <v>392756</v>
      </c>
      <c r="DB17" s="1453">
        <v>392756</v>
      </c>
      <c r="DC17" s="1453">
        <v>393335</v>
      </c>
      <c r="DD17" s="1453">
        <v>393335</v>
      </c>
      <c r="DE17" s="1453">
        <v>394085</v>
      </c>
      <c r="DF17" s="1453">
        <v>394411</v>
      </c>
      <c r="DG17" s="1453">
        <v>395350</v>
      </c>
      <c r="DH17" s="1453">
        <v>395719</v>
      </c>
      <c r="DI17" s="1453">
        <v>396311</v>
      </c>
      <c r="DJ17" s="1453">
        <v>397270</v>
      </c>
      <c r="DK17" s="1453">
        <v>368175</v>
      </c>
      <c r="DL17" s="1453">
        <v>358964</v>
      </c>
      <c r="DM17" s="1453">
        <v>396924</v>
      </c>
      <c r="DN17" s="1453">
        <v>396924</v>
      </c>
      <c r="DO17" s="1453">
        <v>397521</v>
      </c>
      <c r="DP17" s="1453">
        <v>397521</v>
      </c>
      <c r="DQ17" s="1453">
        <v>398293</v>
      </c>
      <c r="DR17" s="1453">
        <v>398629</v>
      </c>
      <c r="DS17" s="1453">
        <v>399596</v>
      </c>
      <c r="DT17" s="1453">
        <v>399976</v>
      </c>
      <c r="DU17" s="1453">
        <v>394417</v>
      </c>
      <c r="DV17" s="1453">
        <v>400904</v>
      </c>
      <c r="DW17" s="1453">
        <v>382187</v>
      </c>
      <c r="DX17" s="1453">
        <v>400122</v>
      </c>
      <c r="DY17" s="1453">
        <v>405667</v>
      </c>
      <c r="DZ17" s="1453">
        <v>405667</v>
      </c>
      <c r="EA17" s="1453">
        <v>406282</v>
      </c>
      <c r="EB17" s="1453">
        <v>406282</v>
      </c>
      <c r="EC17" s="1453">
        <v>407077</v>
      </c>
      <c r="ED17" s="1453">
        <v>393033</v>
      </c>
      <c r="EE17" s="1453">
        <v>382249</v>
      </c>
      <c r="EF17" s="1453">
        <v>405592</v>
      </c>
      <c r="EG17" s="1453">
        <v>372184</v>
      </c>
      <c r="EH17" s="1453">
        <v>347649</v>
      </c>
      <c r="EI17" s="1453">
        <v>399570</v>
      </c>
      <c r="EJ17" s="1453">
        <v>401138</v>
      </c>
      <c r="EK17" s="1453">
        <v>406878</v>
      </c>
      <c r="EL17" s="1453">
        <v>406878</v>
      </c>
      <c r="EM17" s="1453">
        <v>372846</v>
      </c>
      <c r="EN17" s="1453">
        <v>404524</v>
      </c>
      <c r="EO17" s="1453">
        <v>346714</v>
      </c>
      <c r="EP17" s="1453">
        <v>363196</v>
      </c>
      <c r="EQ17" s="1453">
        <v>376419</v>
      </c>
      <c r="ER17" s="1453">
        <v>358662</v>
      </c>
      <c r="ES17" s="1453">
        <v>358662</v>
      </c>
      <c r="ET17" s="1453">
        <v>396744</v>
      </c>
      <c r="EU17" s="1453">
        <v>397649</v>
      </c>
      <c r="EV17" s="1453">
        <v>398466</v>
      </c>
      <c r="EW17" s="1453">
        <v>53655846</v>
      </c>
      <c r="EX17" s="1453"/>
      <c r="EY17" s="1453"/>
      <c r="EZ17" s="1453"/>
      <c r="FA17" s="1453"/>
      <c r="FB17" s="1453"/>
      <c r="FC17" s="1453"/>
      <c r="FD17" s="1453"/>
      <c r="FE17" s="1453"/>
      <c r="FF17" s="1453"/>
      <c r="FG17" s="1453"/>
      <c r="FH17" s="1453"/>
      <c r="FI17" s="1453"/>
      <c r="FJ17" s="1453"/>
    </row>
    <row r="18" spans="1:166">
      <c r="B18"/>
      <c r="D18"/>
    </row>
    <row r="19" spans="1:166">
      <c r="A19" s="434" t="s">
        <v>396</v>
      </c>
      <c r="B19" s="436"/>
      <c r="D19"/>
      <c r="E19" s="434" t="s">
        <v>396</v>
      </c>
    </row>
    <row r="20" spans="1:166">
      <c r="A20" s="433" t="s">
        <v>396</v>
      </c>
      <c r="B20" s="436">
        <v>5</v>
      </c>
      <c r="D20" s="969">
        <v>5</v>
      </c>
      <c r="E20" s="433" t="s">
        <v>1152</v>
      </c>
      <c r="F20" s="1451">
        <v>500</v>
      </c>
      <c r="G20" s="1451">
        <v>500</v>
      </c>
      <c r="H20" s="1451">
        <v>500</v>
      </c>
      <c r="I20" s="1451">
        <v>515</v>
      </c>
      <c r="J20" s="1451">
        <v>515</v>
      </c>
      <c r="K20" s="1451">
        <v>515</v>
      </c>
      <c r="L20" s="1451">
        <v>515</v>
      </c>
      <c r="M20" s="1451">
        <v>515</v>
      </c>
      <c r="N20" s="1451">
        <v>515</v>
      </c>
      <c r="O20" s="1451">
        <v>515</v>
      </c>
      <c r="P20" s="1451">
        <v>515</v>
      </c>
      <c r="Q20" s="1451">
        <v>515</v>
      </c>
      <c r="R20" s="1451">
        <v>515</v>
      </c>
      <c r="S20" s="1451">
        <v>515</v>
      </c>
      <c r="T20" s="1451">
        <v>515</v>
      </c>
      <c r="U20" s="1451">
        <v>530</v>
      </c>
      <c r="V20" s="1451">
        <v>530</v>
      </c>
      <c r="W20" s="1451">
        <v>530</v>
      </c>
      <c r="X20" s="1451">
        <v>530</v>
      </c>
      <c r="Y20" s="1451">
        <v>530</v>
      </c>
      <c r="Z20" s="1451">
        <v>530</v>
      </c>
      <c r="AA20" s="1451">
        <v>530</v>
      </c>
      <c r="AB20" s="1451">
        <v>530</v>
      </c>
      <c r="AC20" s="1451">
        <v>530</v>
      </c>
      <c r="AD20" s="1451">
        <v>530</v>
      </c>
      <c r="AE20" s="1451">
        <v>530</v>
      </c>
      <c r="AF20" s="1451">
        <v>530</v>
      </c>
      <c r="AG20" s="1451">
        <v>546</v>
      </c>
      <c r="AH20" s="1451">
        <v>546</v>
      </c>
      <c r="AI20" s="1451">
        <v>546</v>
      </c>
      <c r="AJ20" s="1451">
        <v>546</v>
      </c>
      <c r="AK20" s="1451">
        <v>546</v>
      </c>
      <c r="AL20" s="1451">
        <v>546</v>
      </c>
      <c r="AM20" s="1451">
        <v>546</v>
      </c>
      <c r="AN20" s="1451">
        <v>546</v>
      </c>
      <c r="AO20" s="1451">
        <v>546</v>
      </c>
      <c r="AP20" s="1451">
        <v>546</v>
      </c>
      <c r="AQ20" s="1451">
        <v>546</v>
      </c>
      <c r="AR20" s="1451">
        <v>546</v>
      </c>
      <c r="AS20" s="1451">
        <v>563</v>
      </c>
      <c r="AT20" s="1451">
        <v>563</v>
      </c>
      <c r="AU20" s="1451">
        <v>563</v>
      </c>
      <c r="AV20" s="1451">
        <v>563</v>
      </c>
      <c r="AW20" s="1451">
        <v>563</v>
      </c>
      <c r="AX20" s="1451">
        <v>563</v>
      </c>
      <c r="AY20" s="1451">
        <v>563</v>
      </c>
      <c r="AZ20" s="1451">
        <v>563</v>
      </c>
      <c r="BA20" s="1451">
        <v>563</v>
      </c>
      <c r="BB20" s="1451">
        <v>563</v>
      </c>
      <c r="BC20" s="1451">
        <v>563</v>
      </c>
      <c r="BD20" s="1451">
        <v>563</v>
      </c>
      <c r="BE20" s="1451">
        <v>580</v>
      </c>
      <c r="BF20" s="1451">
        <v>580</v>
      </c>
      <c r="BG20" s="1451">
        <v>580</v>
      </c>
      <c r="BH20" s="1451">
        <v>580</v>
      </c>
      <c r="BI20" s="1451">
        <v>580</v>
      </c>
      <c r="BJ20" s="1451">
        <v>580</v>
      </c>
      <c r="BK20" s="1451">
        <v>580</v>
      </c>
      <c r="BL20" s="1451">
        <v>580</v>
      </c>
      <c r="BM20" s="1451">
        <v>580</v>
      </c>
      <c r="BN20" s="1451">
        <v>580</v>
      </c>
      <c r="BO20" s="1451">
        <v>580</v>
      </c>
      <c r="BP20" s="1451">
        <v>580</v>
      </c>
      <c r="BQ20" s="1451">
        <v>597</v>
      </c>
      <c r="BR20" s="1451">
        <v>597</v>
      </c>
      <c r="BS20" s="1451">
        <v>597</v>
      </c>
      <c r="BT20" s="1451">
        <v>597</v>
      </c>
      <c r="BU20" s="1451">
        <v>597</v>
      </c>
      <c r="BV20" s="1451">
        <v>597</v>
      </c>
      <c r="BW20" s="1451">
        <v>597</v>
      </c>
      <c r="BX20" s="1451">
        <v>597</v>
      </c>
      <c r="BY20" s="1451">
        <v>597</v>
      </c>
      <c r="BZ20" s="1451">
        <v>597</v>
      </c>
      <c r="CA20" s="1451">
        <v>597</v>
      </c>
      <c r="CB20" s="1451">
        <v>597</v>
      </c>
      <c r="CC20" s="1451">
        <v>615</v>
      </c>
      <c r="CD20" s="1451">
        <v>615</v>
      </c>
      <c r="CE20" s="1451">
        <v>615</v>
      </c>
      <c r="CF20" s="1451">
        <v>615</v>
      </c>
      <c r="CG20" s="1451">
        <v>615</v>
      </c>
      <c r="CH20" s="1451">
        <v>615</v>
      </c>
      <c r="CI20" s="1451">
        <v>615</v>
      </c>
      <c r="CJ20" s="1451">
        <v>615</v>
      </c>
      <c r="CK20" s="1451">
        <v>615</v>
      </c>
      <c r="CL20" s="1451">
        <v>615</v>
      </c>
      <c r="CM20" s="1451">
        <v>615</v>
      </c>
      <c r="CN20" s="1451">
        <v>615</v>
      </c>
      <c r="CO20" s="1451">
        <v>633</v>
      </c>
      <c r="CP20" s="1451">
        <v>633</v>
      </c>
      <c r="CQ20" s="1451">
        <v>633</v>
      </c>
      <c r="CR20" s="1451">
        <v>633</v>
      </c>
      <c r="CS20" s="1451">
        <v>633</v>
      </c>
      <c r="CT20" s="1451">
        <v>633</v>
      </c>
      <c r="CU20" s="1451">
        <v>633</v>
      </c>
      <c r="CV20" s="1451">
        <v>633</v>
      </c>
      <c r="CW20" s="1451">
        <v>633</v>
      </c>
      <c r="CX20" s="1451">
        <v>633</v>
      </c>
      <c r="CY20" s="1451">
        <v>633</v>
      </c>
      <c r="CZ20" s="1451">
        <v>633</v>
      </c>
      <c r="DA20" s="1451">
        <v>652</v>
      </c>
      <c r="DB20" s="1451">
        <v>652</v>
      </c>
      <c r="DC20" s="1451">
        <v>652</v>
      </c>
      <c r="DD20" s="1451">
        <v>652</v>
      </c>
      <c r="DE20" s="1451">
        <v>652</v>
      </c>
      <c r="DF20" s="1451">
        <v>652</v>
      </c>
      <c r="DG20" s="1451">
        <v>652</v>
      </c>
      <c r="DH20" s="1451">
        <v>652</v>
      </c>
      <c r="DI20" s="1451">
        <v>652</v>
      </c>
      <c r="DJ20" s="1451">
        <v>652</v>
      </c>
      <c r="DK20" s="1451">
        <v>652</v>
      </c>
      <c r="DL20" s="1451">
        <v>652</v>
      </c>
      <c r="DM20" s="1451">
        <v>672</v>
      </c>
      <c r="DN20" s="1451">
        <v>672</v>
      </c>
      <c r="DO20" s="1451">
        <v>672</v>
      </c>
      <c r="DP20" s="1451">
        <v>672</v>
      </c>
      <c r="DQ20" s="1451">
        <v>672</v>
      </c>
      <c r="DR20" s="1451">
        <v>672</v>
      </c>
      <c r="DS20" s="1451">
        <v>672</v>
      </c>
      <c r="DT20" s="1451">
        <v>672</v>
      </c>
      <c r="DU20" s="1451">
        <v>672</v>
      </c>
      <c r="DV20" s="1451">
        <v>672</v>
      </c>
      <c r="DW20" s="1451">
        <v>672</v>
      </c>
      <c r="DX20" s="1451">
        <v>672</v>
      </c>
      <c r="DY20" s="1451">
        <v>692</v>
      </c>
      <c r="DZ20" s="1451">
        <v>692</v>
      </c>
      <c r="EA20" s="1451">
        <v>692</v>
      </c>
      <c r="EB20" s="1451">
        <v>692</v>
      </c>
      <c r="EC20" s="1451">
        <v>692</v>
      </c>
      <c r="ED20" s="1451">
        <v>692</v>
      </c>
      <c r="EE20" s="1451">
        <v>692</v>
      </c>
      <c r="EF20" s="1451">
        <v>692</v>
      </c>
      <c r="EG20" s="1451">
        <v>692</v>
      </c>
      <c r="EH20" s="1451">
        <v>692</v>
      </c>
      <c r="EI20" s="1451">
        <v>692</v>
      </c>
      <c r="EJ20" s="1451">
        <v>692</v>
      </c>
      <c r="EK20" s="1451">
        <v>713</v>
      </c>
      <c r="EL20" s="1451">
        <v>713</v>
      </c>
      <c r="EM20" s="1451">
        <v>713</v>
      </c>
      <c r="EN20" s="1451">
        <v>713</v>
      </c>
      <c r="EO20" s="1451">
        <v>713</v>
      </c>
      <c r="EP20" s="1451">
        <v>713</v>
      </c>
      <c r="EQ20" s="1451">
        <v>713</v>
      </c>
      <c r="ER20" s="1451">
        <v>713</v>
      </c>
      <c r="ES20" s="1451">
        <v>713</v>
      </c>
      <c r="ET20" s="1451">
        <v>713</v>
      </c>
      <c r="EU20" s="1451">
        <v>713</v>
      </c>
      <c r="EV20" s="1451">
        <v>713</v>
      </c>
      <c r="EW20" s="1451">
        <v>89207</v>
      </c>
      <c r="EX20" s="1451"/>
      <c r="EY20" s="1451"/>
      <c r="EZ20" s="1451"/>
      <c r="FA20" s="1451"/>
      <c r="FB20" s="1451"/>
      <c r="FC20" s="1451"/>
      <c r="FD20" s="1451"/>
      <c r="FE20" s="1451"/>
      <c r="FF20" s="1451"/>
      <c r="FG20" s="1451"/>
      <c r="FH20" s="1451"/>
      <c r="FI20" s="1451"/>
      <c r="FJ20" s="1451"/>
    </row>
    <row r="21" spans="1:166">
      <c r="A21" s="434" t="s">
        <v>1161</v>
      </c>
      <c r="B21" s="436" t="s">
        <v>1161</v>
      </c>
      <c r="D21" s="1415">
        <v>6</v>
      </c>
      <c r="E21" s="433" t="s">
        <v>1153</v>
      </c>
      <c r="F21" s="1451">
        <v>27000</v>
      </c>
      <c r="G21" s="1451">
        <v>27000</v>
      </c>
      <c r="H21" s="1451">
        <v>27000</v>
      </c>
      <c r="I21" s="1451">
        <v>27810</v>
      </c>
      <c r="J21" s="1451">
        <v>27810</v>
      </c>
      <c r="K21" s="1451">
        <v>27810</v>
      </c>
      <c r="L21" s="1451">
        <v>27810</v>
      </c>
      <c r="M21" s="1451">
        <v>27810</v>
      </c>
      <c r="N21" s="1451">
        <v>27810</v>
      </c>
      <c r="O21" s="1451">
        <v>27810</v>
      </c>
      <c r="P21" s="1451">
        <v>27810</v>
      </c>
      <c r="Q21" s="1451">
        <v>27810</v>
      </c>
      <c r="R21" s="1451">
        <v>27810</v>
      </c>
      <c r="S21" s="1451">
        <v>27810</v>
      </c>
      <c r="T21" s="1451">
        <v>27810</v>
      </c>
      <c r="U21" s="1451">
        <v>28644</v>
      </c>
      <c r="V21" s="1451">
        <v>28644</v>
      </c>
      <c r="W21" s="1451">
        <v>28644</v>
      </c>
      <c r="X21" s="1451">
        <v>28644</v>
      </c>
      <c r="Y21" s="1451">
        <v>28644</v>
      </c>
      <c r="Z21" s="1451">
        <v>28644</v>
      </c>
      <c r="AA21" s="1451">
        <v>28644</v>
      </c>
      <c r="AB21" s="1451">
        <v>28644</v>
      </c>
      <c r="AC21" s="1451">
        <v>28644</v>
      </c>
      <c r="AD21" s="1451">
        <v>28644</v>
      </c>
      <c r="AE21" s="1451">
        <v>28644</v>
      </c>
      <c r="AF21" s="1451">
        <v>28644</v>
      </c>
      <c r="AG21" s="1451">
        <v>29504</v>
      </c>
      <c r="AH21" s="1451">
        <v>29504</v>
      </c>
      <c r="AI21" s="1451">
        <v>29504</v>
      </c>
      <c r="AJ21" s="1451">
        <v>29504</v>
      </c>
      <c r="AK21" s="1451">
        <v>29504</v>
      </c>
      <c r="AL21" s="1451">
        <v>29504</v>
      </c>
      <c r="AM21" s="1451">
        <v>29504</v>
      </c>
      <c r="AN21" s="1451">
        <v>29504</v>
      </c>
      <c r="AO21" s="1451">
        <v>29504</v>
      </c>
      <c r="AP21" s="1451">
        <v>29504</v>
      </c>
      <c r="AQ21" s="1451">
        <v>29504</v>
      </c>
      <c r="AR21" s="1451">
        <v>29504</v>
      </c>
      <c r="AS21" s="1451">
        <v>30389</v>
      </c>
      <c r="AT21" s="1451">
        <v>30389</v>
      </c>
      <c r="AU21" s="1451">
        <v>30389</v>
      </c>
      <c r="AV21" s="1451">
        <v>30389</v>
      </c>
      <c r="AW21" s="1451">
        <v>30389</v>
      </c>
      <c r="AX21" s="1451">
        <v>30389</v>
      </c>
      <c r="AY21" s="1451">
        <v>30389</v>
      </c>
      <c r="AZ21" s="1451">
        <v>30389</v>
      </c>
      <c r="BA21" s="1451">
        <v>30389</v>
      </c>
      <c r="BB21" s="1451">
        <v>30389</v>
      </c>
      <c r="BC21" s="1451">
        <v>30389</v>
      </c>
      <c r="BD21" s="1451">
        <v>30389</v>
      </c>
      <c r="BE21" s="1451">
        <v>31300</v>
      </c>
      <c r="BF21" s="1451">
        <v>31300</v>
      </c>
      <c r="BG21" s="1451">
        <v>31300</v>
      </c>
      <c r="BH21" s="1451">
        <v>31300</v>
      </c>
      <c r="BI21" s="1451">
        <v>31300</v>
      </c>
      <c r="BJ21" s="1451">
        <v>31300</v>
      </c>
      <c r="BK21" s="1451">
        <v>31300</v>
      </c>
      <c r="BL21" s="1451">
        <v>31300</v>
      </c>
      <c r="BM21" s="1451">
        <v>31300</v>
      </c>
      <c r="BN21" s="1451">
        <v>31300</v>
      </c>
      <c r="BO21" s="1451">
        <v>31300</v>
      </c>
      <c r="BP21" s="1451">
        <v>31300</v>
      </c>
      <c r="BQ21" s="1451">
        <v>32239</v>
      </c>
      <c r="BR21" s="1451">
        <v>32239</v>
      </c>
      <c r="BS21" s="1451">
        <v>32239</v>
      </c>
      <c r="BT21" s="1451">
        <v>32239</v>
      </c>
      <c r="BU21" s="1451">
        <v>32239</v>
      </c>
      <c r="BV21" s="1451">
        <v>32239</v>
      </c>
      <c r="BW21" s="1451">
        <v>32239</v>
      </c>
      <c r="BX21" s="1451">
        <v>32239</v>
      </c>
      <c r="BY21" s="1451">
        <v>32239</v>
      </c>
      <c r="BZ21" s="1451">
        <v>32239</v>
      </c>
      <c r="CA21" s="1451">
        <v>32239</v>
      </c>
      <c r="CB21" s="1451">
        <v>32239</v>
      </c>
      <c r="CC21" s="1451">
        <v>33207</v>
      </c>
      <c r="CD21" s="1451">
        <v>33207</v>
      </c>
      <c r="CE21" s="1451">
        <v>33207</v>
      </c>
      <c r="CF21" s="1451">
        <v>33207</v>
      </c>
      <c r="CG21" s="1451">
        <v>33207</v>
      </c>
      <c r="CH21" s="1451">
        <v>33207</v>
      </c>
      <c r="CI21" s="1451">
        <v>33207</v>
      </c>
      <c r="CJ21" s="1451">
        <v>33207</v>
      </c>
      <c r="CK21" s="1451">
        <v>33207</v>
      </c>
      <c r="CL21" s="1451">
        <v>33207</v>
      </c>
      <c r="CM21" s="1451">
        <v>33207</v>
      </c>
      <c r="CN21" s="1451">
        <v>33207</v>
      </c>
      <c r="CO21" s="1451">
        <v>34203</v>
      </c>
      <c r="CP21" s="1451">
        <v>34203</v>
      </c>
      <c r="CQ21" s="1451">
        <v>34203</v>
      </c>
      <c r="CR21" s="1451">
        <v>34203</v>
      </c>
      <c r="CS21" s="1451">
        <v>34203</v>
      </c>
      <c r="CT21" s="1451">
        <v>34203</v>
      </c>
      <c r="CU21" s="1451">
        <v>34203</v>
      </c>
      <c r="CV21" s="1451">
        <v>34203</v>
      </c>
      <c r="CW21" s="1451">
        <v>34203</v>
      </c>
      <c r="CX21" s="1451">
        <v>34203</v>
      </c>
      <c r="CY21" s="1451">
        <v>34203</v>
      </c>
      <c r="CZ21" s="1451">
        <v>34203</v>
      </c>
      <c r="DA21" s="1451">
        <v>35229</v>
      </c>
      <c r="DB21" s="1451">
        <v>35229</v>
      </c>
      <c r="DC21" s="1451">
        <v>35229</v>
      </c>
      <c r="DD21" s="1451">
        <v>35229</v>
      </c>
      <c r="DE21" s="1451">
        <v>35229</v>
      </c>
      <c r="DF21" s="1451">
        <v>35229</v>
      </c>
      <c r="DG21" s="1451">
        <v>35229</v>
      </c>
      <c r="DH21" s="1451">
        <v>35229</v>
      </c>
      <c r="DI21" s="1451">
        <v>35229</v>
      </c>
      <c r="DJ21" s="1451">
        <v>35229</v>
      </c>
      <c r="DK21" s="1451">
        <v>35229</v>
      </c>
      <c r="DL21" s="1451">
        <v>35229</v>
      </c>
      <c r="DM21" s="1451">
        <v>36286</v>
      </c>
      <c r="DN21" s="1451">
        <v>36286</v>
      </c>
      <c r="DO21" s="1451">
        <v>36286</v>
      </c>
      <c r="DP21" s="1451">
        <v>36286</v>
      </c>
      <c r="DQ21" s="1451">
        <v>36286</v>
      </c>
      <c r="DR21" s="1451">
        <v>36286</v>
      </c>
      <c r="DS21" s="1451">
        <v>36286</v>
      </c>
      <c r="DT21" s="1451">
        <v>36286</v>
      </c>
      <c r="DU21" s="1451">
        <v>36286</v>
      </c>
      <c r="DV21" s="1451">
        <v>36286</v>
      </c>
      <c r="DW21" s="1451">
        <v>36286</v>
      </c>
      <c r="DX21" s="1451">
        <v>36286</v>
      </c>
      <c r="DY21" s="1451">
        <v>37374</v>
      </c>
      <c r="DZ21" s="1451">
        <v>37374</v>
      </c>
      <c r="EA21" s="1451">
        <v>37374</v>
      </c>
      <c r="EB21" s="1451">
        <v>37374</v>
      </c>
      <c r="EC21" s="1451">
        <v>37374</v>
      </c>
      <c r="ED21" s="1451">
        <v>37374</v>
      </c>
      <c r="EE21" s="1451">
        <v>37374</v>
      </c>
      <c r="EF21" s="1451">
        <v>37374</v>
      </c>
      <c r="EG21" s="1451">
        <v>37374</v>
      </c>
      <c r="EH21" s="1451">
        <v>37374</v>
      </c>
      <c r="EI21" s="1451">
        <v>37374</v>
      </c>
      <c r="EJ21" s="1451">
        <v>37374</v>
      </c>
      <c r="EK21" s="1451">
        <v>38496</v>
      </c>
      <c r="EL21" s="1451">
        <v>38496</v>
      </c>
      <c r="EM21" s="1451">
        <v>38496</v>
      </c>
      <c r="EN21" s="1451">
        <v>38496</v>
      </c>
      <c r="EO21" s="1451">
        <v>38496</v>
      </c>
      <c r="EP21" s="1451">
        <v>38496</v>
      </c>
      <c r="EQ21" s="1451">
        <v>38496</v>
      </c>
      <c r="ER21" s="1451">
        <v>38496</v>
      </c>
      <c r="ES21" s="1451">
        <v>38496</v>
      </c>
      <c r="ET21" s="1451">
        <v>38496</v>
      </c>
      <c r="EU21" s="1451">
        <v>38496</v>
      </c>
      <c r="EV21" s="1451">
        <v>38496</v>
      </c>
      <c r="EW21" s="1451">
        <v>4817164</v>
      </c>
      <c r="EX21" s="1451"/>
      <c r="EY21" s="1451"/>
      <c r="EZ21" s="1451"/>
      <c r="FA21" s="1451"/>
      <c r="FB21" s="1451"/>
      <c r="FC21" s="1451"/>
      <c r="FD21" s="1451"/>
      <c r="FE21" s="1451"/>
      <c r="FF21" s="1451"/>
      <c r="FG21" s="1451"/>
      <c r="FH21" s="1451"/>
      <c r="FI21" s="1451"/>
      <c r="FJ21" s="1451"/>
    </row>
    <row r="22" spans="1:166">
      <c r="A22" s="433" t="s">
        <v>1156</v>
      </c>
      <c r="B22" s="436">
        <v>6</v>
      </c>
      <c r="D22" s="969">
        <v>5</v>
      </c>
      <c r="E22" s="433" t="s">
        <v>2397</v>
      </c>
      <c r="F22" s="1451">
        <v>2632</v>
      </c>
      <c r="G22" s="1451">
        <v>2632</v>
      </c>
      <c r="H22" s="1451">
        <v>2632</v>
      </c>
      <c r="I22" s="1451">
        <v>2632</v>
      </c>
      <c r="J22" s="1451">
        <v>2632</v>
      </c>
      <c r="K22" s="1451">
        <v>2632</v>
      </c>
      <c r="L22" s="1451">
        <v>2632</v>
      </c>
      <c r="M22" s="1451">
        <v>2632</v>
      </c>
      <c r="N22" s="1451">
        <v>2632</v>
      </c>
      <c r="O22" s="1451">
        <v>2632</v>
      </c>
      <c r="P22" s="1451">
        <v>2632</v>
      </c>
      <c r="Q22" s="1451">
        <v>2632</v>
      </c>
      <c r="R22" s="1451">
        <v>2632</v>
      </c>
      <c r="S22" s="1451">
        <v>2632</v>
      </c>
      <c r="T22" s="1451">
        <v>2632</v>
      </c>
      <c r="U22" s="1451">
        <v>2632</v>
      </c>
      <c r="V22" s="1451">
        <v>2632</v>
      </c>
      <c r="W22" s="1451">
        <v>2632</v>
      </c>
      <c r="X22" s="1451">
        <v>2632</v>
      </c>
      <c r="Y22" s="1451">
        <v>0</v>
      </c>
      <c r="Z22" s="1451">
        <v>0</v>
      </c>
      <c r="AA22" s="1451">
        <v>0</v>
      </c>
      <c r="AB22" s="1451">
        <v>0</v>
      </c>
      <c r="AC22" s="1451">
        <v>0</v>
      </c>
      <c r="AD22" s="1451">
        <v>0</v>
      </c>
      <c r="AE22" s="1451">
        <v>0</v>
      </c>
      <c r="AF22" s="1451">
        <v>0</v>
      </c>
      <c r="AG22" s="1451">
        <v>0</v>
      </c>
      <c r="AH22" s="1451">
        <v>0</v>
      </c>
      <c r="AI22" s="1451">
        <v>0</v>
      </c>
      <c r="AJ22" s="1451">
        <v>0</v>
      </c>
      <c r="AK22" s="1451">
        <v>0</v>
      </c>
      <c r="AL22" s="1451">
        <v>0</v>
      </c>
      <c r="AM22" s="1451">
        <v>0</v>
      </c>
      <c r="AN22" s="1451">
        <v>0</v>
      </c>
      <c r="AO22" s="1451">
        <v>0</v>
      </c>
      <c r="AP22" s="1451">
        <v>0</v>
      </c>
      <c r="AQ22" s="1451">
        <v>0</v>
      </c>
      <c r="AR22" s="1451">
        <v>0</v>
      </c>
      <c r="AS22" s="1451">
        <v>0</v>
      </c>
      <c r="AT22" s="1451">
        <v>0</v>
      </c>
      <c r="AU22" s="1451">
        <v>0</v>
      </c>
      <c r="AV22" s="1451">
        <v>0</v>
      </c>
      <c r="AW22" s="1451">
        <v>0</v>
      </c>
      <c r="AX22" s="1451">
        <v>0</v>
      </c>
      <c r="AY22" s="1451">
        <v>0</v>
      </c>
      <c r="AZ22" s="1451">
        <v>0</v>
      </c>
      <c r="BA22" s="1451">
        <v>0</v>
      </c>
      <c r="BB22" s="1451">
        <v>0</v>
      </c>
      <c r="BC22" s="1451">
        <v>0</v>
      </c>
      <c r="BD22" s="1451">
        <v>0</v>
      </c>
      <c r="BE22" s="1451">
        <v>0</v>
      </c>
      <c r="BF22" s="1451">
        <v>0</v>
      </c>
      <c r="BG22" s="1451">
        <v>0</v>
      </c>
      <c r="BH22" s="1451">
        <v>0</v>
      </c>
      <c r="BI22" s="1451">
        <v>0</v>
      </c>
      <c r="BJ22" s="1451">
        <v>0</v>
      </c>
      <c r="BK22" s="1451">
        <v>0</v>
      </c>
      <c r="BL22" s="1451">
        <v>0</v>
      </c>
      <c r="BM22" s="1451">
        <v>0</v>
      </c>
      <c r="BN22" s="1451">
        <v>0</v>
      </c>
      <c r="BO22" s="1451">
        <v>0</v>
      </c>
      <c r="BP22" s="1451">
        <v>0</v>
      </c>
      <c r="BQ22" s="1451">
        <v>0</v>
      </c>
      <c r="BR22" s="1451">
        <v>0</v>
      </c>
      <c r="BS22" s="1451">
        <v>0</v>
      </c>
      <c r="BT22" s="1451">
        <v>0</v>
      </c>
      <c r="BU22" s="1451">
        <v>0</v>
      </c>
      <c r="BV22" s="1451">
        <v>0</v>
      </c>
      <c r="BW22" s="1451">
        <v>0</v>
      </c>
      <c r="BX22" s="1451">
        <v>0</v>
      </c>
      <c r="BY22" s="1451">
        <v>0</v>
      </c>
      <c r="BZ22" s="1451">
        <v>0</v>
      </c>
      <c r="CA22" s="1451">
        <v>0</v>
      </c>
      <c r="CB22" s="1451">
        <v>0</v>
      </c>
      <c r="CC22" s="1451">
        <v>0</v>
      </c>
      <c r="CD22" s="1451">
        <v>0</v>
      </c>
      <c r="CE22" s="1451">
        <v>0</v>
      </c>
      <c r="CF22" s="1451">
        <v>0</v>
      </c>
      <c r="CG22" s="1451">
        <v>0</v>
      </c>
      <c r="CH22" s="1451">
        <v>0</v>
      </c>
      <c r="CI22" s="1451">
        <v>0</v>
      </c>
      <c r="CJ22" s="1451">
        <v>0</v>
      </c>
      <c r="CK22" s="1451">
        <v>0</v>
      </c>
      <c r="CL22" s="1451">
        <v>0</v>
      </c>
      <c r="CM22" s="1451">
        <v>0</v>
      </c>
      <c r="CN22" s="1451">
        <v>0</v>
      </c>
      <c r="CO22" s="1451">
        <v>0</v>
      </c>
      <c r="CP22" s="1451">
        <v>0</v>
      </c>
      <c r="CQ22" s="1451">
        <v>0</v>
      </c>
      <c r="CR22" s="1451">
        <v>0</v>
      </c>
      <c r="CS22" s="1451">
        <v>0</v>
      </c>
      <c r="CT22" s="1451">
        <v>0</v>
      </c>
      <c r="CU22" s="1451">
        <v>0</v>
      </c>
      <c r="CV22" s="1451">
        <v>0</v>
      </c>
      <c r="CW22" s="1451">
        <v>0</v>
      </c>
      <c r="CX22" s="1451">
        <v>0</v>
      </c>
      <c r="CY22" s="1451">
        <v>0</v>
      </c>
      <c r="CZ22" s="1451">
        <v>0</v>
      </c>
      <c r="DA22" s="1451">
        <v>0</v>
      </c>
      <c r="DB22" s="1451">
        <v>0</v>
      </c>
      <c r="DC22" s="1451">
        <v>0</v>
      </c>
      <c r="DD22" s="1451">
        <v>0</v>
      </c>
      <c r="DE22" s="1451">
        <v>0</v>
      </c>
      <c r="DF22" s="1451">
        <v>0</v>
      </c>
      <c r="DG22" s="1451">
        <v>0</v>
      </c>
      <c r="DH22" s="1451">
        <v>0</v>
      </c>
      <c r="DI22" s="1451">
        <v>0</v>
      </c>
      <c r="DJ22" s="1451">
        <v>0</v>
      </c>
      <c r="DK22" s="1451">
        <v>0</v>
      </c>
      <c r="DL22" s="1451">
        <v>0</v>
      </c>
      <c r="DM22" s="1451">
        <v>0</v>
      </c>
      <c r="DN22" s="1451">
        <v>0</v>
      </c>
      <c r="DO22" s="1451">
        <v>0</v>
      </c>
      <c r="DP22" s="1451">
        <v>0</v>
      </c>
      <c r="DQ22" s="1451">
        <v>0</v>
      </c>
      <c r="DR22" s="1451">
        <v>0</v>
      </c>
      <c r="DS22" s="1451">
        <v>0</v>
      </c>
      <c r="DT22" s="1451">
        <v>0</v>
      </c>
      <c r="DU22" s="1451">
        <v>0</v>
      </c>
      <c r="DV22" s="1451">
        <v>0</v>
      </c>
      <c r="DW22" s="1451">
        <v>0</v>
      </c>
      <c r="DX22" s="1451">
        <v>0</v>
      </c>
      <c r="DY22" s="1451">
        <v>0</v>
      </c>
      <c r="DZ22" s="1451">
        <v>0</v>
      </c>
      <c r="EA22" s="1451">
        <v>0</v>
      </c>
      <c r="EB22" s="1451">
        <v>0</v>
      </c>
      <c r="EC22" s="1451">
        <v>0</v>
      </c>
      <c r="ED22" s="1451">
        <v>0</v>
      </c>
      <c r="EE22" s="1451">
        <v>0</v>
      </c>
      <c r="EF22" s="1451">
        <v>0</v>
      </c>
      <c r="EG22" s="1451">
        <v>0</v>
      </c>
      <c r="EH22" s="1451">
        <v>0</v>
      </c>
      <c r="EI22" s="1451">
        <v>0</v>
      </c>
      <c r="EJ22" s="1451">
        <v>0</v>
      </c>
      <c r="EK22" s="1451">
        <v>0</v>
      </c>
      <c r="EL22" s="1451">
        <v>0</v>
      </c>
      <c r="EM22" s="1451">
        <v>0</v>
      </c>
      <c r="EN22" s="1451">
        <v>0</v>
      </c>
      <c r="EO22" s="1451">
        <v>0</v>
      </c>
      <c r="EP22" s="1451">
        <v>0</v>
      </c>
      <c r="EQ22" s="1451">
        <v>0</v>
      </c>
      <c r="ER22" s="1451">
        <v>0</v>
      </c>
      <c r="ES22" s="1451">
        <v>0</v>
      </c>
      <c r="ET22" s="1451">
        <v>0</v>
      </c>
      <c r="EU22" s="1451">
        <v>0</v>
      </c>
      <c r="EV22" s="1451">
        <v>0</v>
      </c>
      <c r="EW22" s="1451">
        <v>50008</v>
      </c>
      <c r="EX22" s="1451"/>
      <c r="EY22" s="1451"/>
      <c r="EZ22" s="1451"/>
      <c r="FA22" s="1451"/>
      <c r="FB22" s="1451"/>
      <c r="FC22" s="1451"/>
      <c r="FD22" s="1451"/>
      <c r="FE22" s="1451"/>
      <c r="FF22" s="1451"/>
      <c r="FG22" s="1451"/>
      <c r="FH22" s="1451"/>
      <c r="FI22" s="1451"/>
      <c r="FJ22" s="1451"/>
    </row>
    <row r="23" spans="1:166">
      <c r="B23" s="436"/>
      <c r="E23" s="433" t="s">
        <v>1023</v>
      </c>
      <c r="F23" s="1452">
        <v>30132</v>
      </c>
      <c r="G23" s="1452">
        <v>30132</v>
      </c>
      <c r="H23" s="1452">
        <v>30132</v>
      </c>
      <c r="I23" s="1452">
        <v>30957</v>
      </c>
      <c r="J23" s="1452">
        <v>30957</v>
      </c>
      <c r="K23" s="1452">
        <v>30957</v>
      </c>
      <c r="L23" s="1452">
        <v>30957</v>
      </c>
      <c r="M23" s="1452">
        <v>30957</v>
      </c>
      <c r="N23" s="1452">
        <v>30957</v>
      </c>
      <c r="O23" s="1452">
        <v>30957</v>
      </c>
      <c r="P23" s="1452">
        <v>30957</v>
      </c>
      <c r="Q23" s="1452">
        <v>30957</v>
      </c>
      <c r="R23" s="1452">
        <v>30957</v>
      </c>
      <c r="S23" s="1452">
        <v>30957</v>
      </c>
      <c r="T23" s="1452">
        <v>30957</v>
      </c>
      <c r="U23" s="1452">
        <v>31807</v>
      </c>
      <c r="V23" s="1452">
        <v>31807</v>
      </c>
      <c r="W23" s="1452">
        <v>31807</v>
      </c>
      <c r="X23" s="1452">
        <v>31807</v>
      </c>
      <c r="Y23" s="1452">
        <v>29175</v>
      </c>
      <c r="Z23" s="1452">
        <v>29175</v>
      </c>
      <c r="AA23" s="1452">
        <v>29175</v>
      </c>
      <c r="AB23" s="1452">
        <v>29175</v>
      </c>
      <c r="AC23" s="1452">
        <v>29175</v>
      </c>
      <c r="AD23" s="1452">
        <v>29175</v>
      </c>
      <c r="AE23" s="1452">
        <v>29175</v>
      </c>
      <c r="AF23" s="1452">
        <v>29175</v>
      </c>
      <c r="AG23" s="1452">
        <v>30050</v>
      </c>
      <c r="AH23" s="1452">
        <v>30050</v>
      </c>
      <c r="AI23" s="1452">
        <v>30050</v>
      </c>
      <c r="AJ23" s="1452">
        <v>30050</v>
      </c>
      <c r="AK23" s="1452">
        <v>30050</v>
      </c>
      <c r="AL23" s="1452">
        <v>30050</v>
      </c>
      <c r="AM23" s="1452">
        <v>30050</v>
      </c>
      <c r="AN23" s="1452">
        <v>30050</v>
      </c>
      <c r="AO23" s="1452">
        <v>30050</v>
      </c>
      <c r="AP23" s="1452">
        <v>30050</v>
      </c>
      <c r="AQ23" s="1452">
        <v>30050</v>
      </c>
      <c r="AR23" s="1452">
        <v>30050</v>
      </c>
      <c r="AS23" s="1452">
        <v>30951</v>
      </c>
      <c r="AT23" s="1452">
        <v>30951</v>
      </c>
      <c r="AU23" s="1452">
        <v>30951</v>
      </c>
      <c r="AV23" s="1452">
        <v>30951</v>
      </c>
      <c r="AW23" s="1452">
        <v>30951</v>
      </c>
      <c r="AX23" s="1452">
        <v>30951</v>
      </c>
      <c r="AY23" s="1452">
        <v>30951</v>
      </c>
      <c r="AZ23" s="1452">
        <v>30951</v>
      </c>
      <c r="BA23" s="1452">
        <v>30951</v>
      </c>
      <c r="BB23" s="1452">
        <v>30951</v>
      </c>
      <c r="BC23" s="1452">
        <v>30951</v>
      </c>
      <c r="BD23" s="1452">
        <v>30951</v>
      </c>
      <c r="BE23" s="1452">
        <v>31880</v>
      </c>
      <c r="BF23" s="1452">
        <v>31880</v>
      </c>
      <c r="BG23" s="1452">
        <v>31880</v>
      </c>
      <c r="BH23" s="1452">
        <v>31880</v>
      </c>
      <c r="BI23" s="1452">
        <v>31880</v>
      </c>
      <c r="BJ23" s="1452">
        <v>31880</v>
      </c>
      <c r="BK23" s="1452">
        <v>31880</v>
      </c>
      <c r="BL23" s="1452">
        <v>31880</v>
      </c>
      <c r="BM23" s="1452">
        <v>31880</v>
      </c>
      <c r="BN23" s="1452">
        <v>31880</v>
      </c>
      <c r="BO23" s="1452">
        <v>31880</v>
      </c>
      <c r="BP23" s="1452">
        <v>31880</v>
      </c>
      <c r="BQ23" s="1452">
        <v>32836</v>
      </c>
      <c r="BR23" s="1452">
        <v>32836</v>
      </c>
      <c r="BS23" s="1452">
        <v>32836</v>
      </c>
      <c r="BT23" s="1452">
        <v>32836</v>
      </c>
      <c r="BU23" s="1452">
        <v>32836</v>
      </c>
      <c r="BV23" s="1452">
        <v>32836</v>
      </c>
      <c r="BW23" s="1452">
        <v>32836</v>
      </c>
      <c r="BX23" s="1452">
        <v>32836</v>
      </c>
      <c r="BY23" s="1452">
        <v>32836</v>
      </c>
      <c r="BZ23" s="1452">
        <v>32836</v>
      </c>
      <c r="CA23" s="1452">
        <v>32836</v>
      </c>
      <c r="CB23" s="1452">
        <v>32836</v>
      </c>
      <c r="CC23" s="1452">
        <v>33822</v>
      </c>
      <c r="CD23" s="1452">
        <v>33822</v>
      </c>
      <c r="CE23" s="1452">
        <v>33822</v>
      </c>
      <c r="CF23" s="1452">
        <v>33822</v>
      </c>
      <c r="CG23" s="1452">
        <v>33822</v>
      </c>
      <c r="CH23" s="1452">
        <v>33822</v>
      </c>
      <c r="CI23" s="1452">
        <v>33822</v>
      </c>
      <c r="CJ23" s="1452">
        <v>33822</v>
      </c>
      <c r="CK23" s="1452">
        <v>33822</v>
      </c>
      <c r="CL23" s="1452">
        <v>33822</v>
      </c>
      <c r="CM23" s="1452">
        <v>33822</v>
      </c>
      <c r="CN23" s="1452">
        <v>33822</v>
      </c>
      <c r="CO23" s="1452">
        <v>34836</v>
      </c>
      <c r="CP23" s="1452">
        <v>34836</v>
      </c>
      <c r="CQ23" s="1452">
        <v>34836</v>
      </c>
      <c r="CR23" s="1452">
        <v>34836</v>
      </c>
      <c r="CS23" s="1452">
        <v>34836</v>
      </c>
      <c r="CT23" s="1452">
        <v>34836</v>
      </c>
      <c r="CU23" s="1452">
        <v>34836</v>
      </c>
      <c r="CV23" s="1452">
        <v>34836</v>
      </c>
      <c r="CW23" s="1452">
        <v>34836</v>
      </c>
      <c r="CX23" s="1452">
        <v>34836</v>
      </c>
      <c r="CY23" s="1452">
        <v>34836</v>
      </c>
      <c r="CZ23" s="1452">
        <v>34836</v>
      </c>
      <c r="DA23" s="1452">
        <v>35881</v>
      </c>
      <c r="DB23" s="1452">
        <v>35881</v>
      </c>
      <c r="DC23" s="1452">
        <v>35881</v>
      </c>
      <c r="DD23" s="1452">
        <v>35881</v>
      </c>
      <c r="DE23" s="1452">
        <v>35881</v>
      </c>
      <c r="DF23" s="1452">
        <v>35881</v>
      </c>
      <c r="DG23" s="1452">
        <v>35881</v>
      </c>
      <c r="DH23" s="1452">
        <v>35881</v>
      </c>
      <c r="DI23" s="1452">
        <v>35881</v>
      </c>
      <c r="DJ23" s="1452">
        <v>35881</v>
      </c>
      <c r="DK23" s="1452">
        <v>35881</v>
      </c>
      <c r="DL23" s="1452">
        <v>35881</v>
      </c>
      <c r="DM23" s="1452">
        <v>36958</v>
      </c>
      <c r="DN23" s="1452">
        <v>36958</v>
      </c>
      <c r="DO23" s="1452">
        <v>36958</v>
      </c>
      <c r="DP23" s="1452">
        <v>36958</v>
      </c>
      <c r="DQ23" s="1452">
        <v>36958</v>
      </c>
      <c r="DR23" s="1452">
        <v>36958</v>
      </c>
      <c r="DS23" s="1452">
        <v>36958</v>
      </c>
      <c r="DT23" s="1452">
        <v>36958</v>
      </c>
      <c r="DU23" s="1452">
        <v>36958</v>
      </c>
      <c r="DV23" s="1452">
        <v>36958</v>
      </c>
      <c r="DW23" s="1452">
        <v>36958</v>
      </c>
      <c r="DX23" s="1452">
        <v>36958</v>
      </c>
      <c r="DY23" s="1452">
        <v>38066</v>
      </c>
      <c r="DZ23" s="1452">
        <v>38066</v>
      </c>
      <c r="EA23" s="1452">
        <v>38066</v>
      </c>
      <c r="EB23" s="1452">
        <v>38066</v>
      </c>
      <c r="EC23" s="1452">
        <v>38066</v>
      </c>
      <c r="ED23" s="1452">
        <v>38066</v>
      </c>
      <c r="EE23" s="1452">
        <v>38066</v>
      </c>
      <c r="EF23" s="1452">
        <v>38066</v>
      </c>
      <c r="EG23" s="1452">
        <v>38066</v>
      </c>
      <c r="EH23" s="1452">
        <v>38066</v>
      </c>
      <c r="EI23" s="1452">
        <v>38066</v>
      </c>
      <c r="EJ23" s="1452">
        <v>38066</v>
      </c>
      <c r="EK23" s="1452">
        <v>39208</v>
      </c>
      <c r="EL23" s="1452">
        <v>39208</v>
      </c>
      <c r="EM23" s="1452">
        <v>39208</v>
      </c>
      <c r="EN23" s="1452">
        <v>39208</v>
      </c>
      <c r="EO23" s="1452">
        <v>39208</v>
      </c>
      <c r="EP23" s="1452">
        <v>39208</v>
      </c>
      <c r="EQ23" s="1452">
        <v>39208</v>
      </c>
      <c r="ER23" s="1452">
        <v>39208</v>
      </c>
      <c r="ES23" s="1452">
        <v>39208</v>
      </c>
      <c r="ET23" s="1452">
        <v>39208</v>
      </c>
      <c r="EU23" s="1452">
        <v>39208</v>
      </c>
      <c r="EV23" s="1452">
        <v>39208</v>
      </c>
      <c r="EW23" s="1452">
        <v>4956379</v>
      </c>
      <c r="EX23" s="1452"/>
      <c r="EY23" s="1452"/>
      <c r="EZ23" s="1452"/>
      <c r="FA23" s="1452"/>
      <c r="FB23" s="1452"/>
      <c r="FC23" s="1452"/>
      <c r="FD23" s="1452"/>
      <c r="FE23" s="1452"/>
      <c r="FF23" s="1452"/>
      <c r="FG23" s="1452"/>
      <c r="FH23" s="1452"/>
      <c r="FI23" s="1452"/>
      <c r="FJ23" s="1452"/>
    </row>
    <row r="24" spans="1:166">
      <c r="A24" s="433" t="s">
        <v>397</v>
      </c>
      <c r="B24" s="436">
        <v>24</v>
      </c>
      <c r="D24"/>
      <c r="E24" s="433"/>
      <c r="F24" s="917"/>
      <c r="G24" s="1452"/>
      <c r="H24" s="1452"/>
      <c r="I24" s="1452"/>
      <c r="J24" s="1452"/>
      <c r="K24" s="1452"/>
      <c r="L24" s="1452"/>
      <c r="M24" s="1452"/>
      <c r="N24" s="1452"/>
      <c r="O24" s="1452"/>
      <c r="P24" s="1452"/>
      <c r="Q24" s="1452"/>
      <c r="R24" s="1452"/>
      <c r="S24" s="1452"/>
      <c r="T24" s="1452"/>
      <c r="U24" s="1452"/>
      <c r="V24" s="1452"/>
      <c r="W24" s="1452"/>
      <c r="X24" s="1452"/>
      <c r="Y24" s="1452"/>
      <c r="Z24" s="1452"/>
      <c r="AA24" s="1452"/>
      <c r="AB24" s="1452"/>
      <c r="AC24" s="1452"/>
      <c r="AD24" s="1452"/>
      <c r="AE24" s="1452"/>
      <c r="AF24" s="1452"/>
      <c r="AG24" s="1452"/>
      <c r="AH24" s="1452"/>
      <c r="AI24" s="1452"/>
      <c r="AJ24" s="1452"/>
      <c r="AK24" s="1452"/>
      <c r="AL24" s="1452"/>
      <c r="AM24" s="1452"/>
      <c r="AN24" s="1452"/>
      <c r="AO24" s="1452"/>
      <c r="AP24" s="1452"/>
      <c r="AQ24" s="1452"/>
      <c r="AR24" s="1452"/>
      <c r="AS24" s="1452"/>
      <c r="AT24" s="1452"/>
      <c r="AU24" s="1452"/>
      <c r="AV24" s="1452"/>
      <c r="AW24" s="1452"/>
      <c r="AX24" s="1452"/>
      <c r="AY24" s="1452"/>
      <c r="AZ24" s="1452"/>
      <c r="BA24" s="1452"/>
      <c r="BB24" s="1452"/>
      <c r="BC24" s="1452"/>
      <c r="BD24" s="1452"/>
      <c r="BE24" s="1452"/>
      <c r="BF24" s="1452"/>
      <c r="BG24" s="1452"/>
      <c r="BH24" s="1452"/>
      <c r="BI24" s="1452"/>
      <c r="BJ24" s="1452"/>
      <c r="BK24" s="1452"/>
      <c r="BL24" s="1452"/>
      <c r="BM24" s="1452"/>
      <c r="BN24" s="1452"/>
      <c r="BO24" s="1452"/>
      <c r="BP24" s="1452"/>
      <c r="BQ24" s="1452"/>
      <c r="BR24" s="1452"/>
      <c r="BS24" s="1452"/>
      <c r="BT24" s="1452"/>
      <c r="BU24" s="1452"/>
      <c r="BV24" s="1452"/>
      <c r="BW24" s="1452"/>
      <c r="BX24" s="1452"/>
      <c r="BY24" s="1452"/>
      <c r="BZ24" s="1452"/>
      <c r="CA24" s="1452"/>
      <c r="CB24" s="1452"/>
      <c r="CC24" s="1452"/>
      <c r="CD24" s="1452"/>
      <c r="CE24" s="1452"/>
      <c r="CF24" s="1452"/>
      <c r="CG24" s="1452"/>
      <c r="CH24" s="1452"/>
      <c r="CI24" s="1452"/>
      <c r="CJ24" s="1452"/>
      <c r="CK24" s="1452"/>
      <c r="CL24" s="1452"/>
      <c r="CM24" s="1452"/>
      <c r="CN24" s="1452"/>
      <c r="CO24" s="1452"/>
      <c r="CP24" s="1452"/>
      <c r="CQ24" s="1452"/>
      <c r="CR24" s="1452"/>
      <c r="CS24" s="1452"/>
      <c r="CT24" s="1452"/>
      <c r="CU24" s="1452"/>
      <c r="CV24" s="1452"/>
      <c r="CW24" s="1452"/>
      <c r="CX24" s="1452"/>
      <c r="CY24" s="1452"/>
      <c r="CZ24" s="1452"/>
      <c r="DA24" s="1452"/>
      <c r="DB24" s="1452"/>
      <c r="DC24" s="1452"/>
      <c r="DD24" s="1452"/>
      <c r="DE24" s="1452"/>
      <c r="DF24" s="1452"/>
      <c r="DG24" s="1452"/>
      <c r="DH24" s="1452"/>
      <c r="DI24" s="1452"/>
      <c r="DJ24" s="1452"/>
      <c r="DK24" s="1452"/>
      <c r="DL24" s="1452"/>
      <c r="DM24" s="1452"/>
      <c r="DN24" s="1452"/>
      <c r="DO24" s="1452"/>
      <c r="DP24" s="1452"/>
      <c r="DQ24" s="1452"/>
      <c r="DR24" s="1452"/>
      <c r="DS24" s="1452"/>
      <c r="DT24" s="1452"/>
      <c r="DU24" s="1452"/>
      <c r="DV24" s="1452"/>
      <c r="DW24" s="1452"/>
      <c r="DX24" s="1452"/>
      <c r="DY24" s="1452"/>
      <c r="DZ24" s="1452"/>
      <c r="EA24" s="1452"/>
      <c r="EB24" s="1452"/>
      <c r="EC24" s="1452"/>
      <c r="ED24" s="1452"/>
      <c r="EE24" s="1452"/>
      <c r="EF24" s="1452"/>
      <c r="EG24" s="1452"/>
      <c r="EH24" s="1452"/>
      <c r="EI24" s="1452"/>
      <c r="EJ24" s="1452"/>
      <c r="EK24" s="1452"/>
      <c r="EL24" s="1452"/>
      <c r="EM24" s="1452"/>
      <c r="EN24" s="1452"/>
      <c r="EO24" s="1452"/>
      <c r="EP24" s="1452"/>
      <c r="EQ24" s="1452"/>
      <c r="ER24" s="1452"/>
      <c r="ES24" s="1452"/>
      <c r="ET24" s="1452"/>
      <c r="EU24" s="1452"/>
    </row>
    <row r="25" spans="1:166">
      <c r="B25" s="436"/>
      <c r="D25" s="1415">
        <v>24</v>
      </c>
      <c r="E25" t="s">
        <v>397</v>
      </c>
      <c r="F25" s="1453">
        <v>262406</v>
      </c>
      <c r="G25" s="1453">
        <v>290562</v>
      </c>
      <c r="H25" s="1453">
        <v>290562</v>
      </c>
      <c r="I25" s="1453">
        <v>295170</v>
      </c>
      <c r="J25" s="1453">
        <v>295170</v>
      </c>
      <c r="K25" s="1453">
        <v>295662</v>
      </c>
      <c r="L25" s="1453">
        <v>295662</v>
      </c>
      <c r="M25" s="1453">
        <v>308330</v>
      </c>
      <c r="N25" s="1453">
        <v>309376</v>
      </c>
      <c r="O25" s="1453">
        <v>288897</v>
      </c>
      <c r="P25" s="1453">
        <v>270730</v>
      </c>
      <c r="Q25" s="1453">
        <v>317388</v>
      </c>
      <c r="R25" s="1453">
        <v>313732</v>
      </c>
      <c r="S25" s="1453">
        <v>321370</v>
      </c>
      <c r="T25" s="1453">
        <v>321370</v>
      </c>
      <c r="U25" s="1453">
        <v>296006</v>
      </c>
      <c r="V25" s="1453">
        <v>323746</v>
      </c>
      <c r="W25" s="1453">
        <v>297715</v>
      </c>
      <c r="X25" s="1453">
        <v>322946</v>
      </c>
      <c r="Y25" s="1453">
        <v>341924</v>
      </c>
      <c r="Z25" s="1453">
        <v>385421</v>
      </c>
      <c r="AA25" s="1453">
        <v>385421</v>
      </c>
      <c r="AB25" s="1453">
        <v>385979</v>
      </c>
      <c r="AC25" s="1453">
        <v>386884</v>
      </c>
      <c r="AD25" s="1453">
        <v>387638</v>
      </c>
      <c r="AE25" s="1453">
        <v>388535</v>
      </c>
      <c r="AF25" s="1453">
        <v>389133</v>
      </c>
      <c r="AG25" s="1453">
        <v>394737</v>
      </c>
      <c r="AH25" s="1453">
        <v>395300</v>
      </c>
      <c r="AI25" s="1453">
        <v>395300</v>
      </c>
      <c r="AJ25" s="1453">
        <v>395795</v>
      </c>
      <c r="AK25" s="1453">
        <v>385225</v>
      </c>
      <c r="AL25" s="1453">
        <v>395700</v>
      </c>
      <c r="AM25" s="1453">
        <v>395700</v>
      </c>
      <c r="AN25" s="1453">
        <v>396274</v>
      </c>
      <c r="AO25" s="1453">
        <v>397206</v>
      </c>
      <c r="AP25" s="1453">
        <v>397983</v>
      </c>
      <c r="AQ25" s="1453">
        <v>398916</v>
      </c>
      <c r="AR25" s="1453">
        <v>399604</v>
      </c>
      <c r="AS25" s="1453">
        <v>403641</v>
      </c>
      <c r="AT25" s="1453">
        <v>404221</v>
      </c>
      <c r="AU25" s="1453">
        <v>404221</v>
      </c>
      <c r="AV25" s="1453">
        <v>404731</v>
      </c>
      <c r="AW25" s="1453">
        <v>405165</v>
      </c>
      <c r="AX25" s="1453">
        <v>406222</v>
      </c>
      <c r="AY25" s="1453">
        <v>406222</v>
      </c>
      <c r="AZ25" s="1453">
        <v>406814</v>
      </c>
      <c r="BA25" s="1453">
        <v>407773</v>
      </c>
      <c r="BB25" s="1453">
        <v>386971</v>
      </c>
      <c r="BC25" s="1453">
        <v>376229</v>
      </c>
      <c r="BD25" s="1453">
        <v>408526</v>
      </c>
      <c r="BE25" s="1453">
        <v>414172</v>
      </c>
      <c r="BF25" s="1453">
        <v>414769</v>
      </c>
      <c r="BG25" s="1453">
        <v>414769</v>
      </c>
      <c r="BH25" s="1453">
        <v>415295</v>
      </c>
      <c r="BI25" s="1453">
        <v>415742</v>
      </c>
      <c r="BJ25" s="1453">
        <v>416831</v>
      </c>
      <c r="BK25" s="1453">
        <v>416831</v>
      </c>
      <c r="BL25" s="1453">
        <v>417440</v>
      </c>
      <c r="BM25" s="1453">
        <v>418748</v>
      </c>
      <c r="BN25" s="1453">
        <v>398182</v>
      </c>
      <c r="BO25" s="1453">
        <v>415193</v>
      </c>
      <c r="BP25" s="1453">
        <v>416467</v>
      </c>
      <c r="BQ25" s="1453">
        <v>421999</v>
      </c>
      <c r="BR25" s="1453">
        <v>422614</v>
      </c>
      <c r="BS25" s="1453">
        <v>422614</v>
      </c>
      <c r="BT25" s="1453">
        <v>423155</v>
      </c>
      <c r="BU25" s="1453">
        <v>409189</v>
      </c>
      <c r="BV25" s="1453">
        <v>399127</v>
      </c>
      <c r="BW25" s="1453">
        <v>420839</v>
      </c>
      <c r="BX25" s="1453">
        <v>388993</v>
      </c>
      <c r="BY25" s="1453">
        <v>365526</v>
      </c>
      <c r="BZ25" s="1453">
        <v>414722</v>
      </c>
      <c r="CA25" s="1453">
        <v>415515</v>
      </c>
      <c r="CB25" s="1453">
        <v>416156</v>
      </c>
      <c r="CC25" s="1453">
        <v>421469</v>
      </c>
      <c r="CD25" s="1453">
        <v>389057</v>
      </c>
      <c r="CE25" s="1453">
        <v>419115</v>
      </c>
      <c r="CF25" s="1453">
        <v>390590</v>
      </c>
      <c r="CG25" s="1453">
        <v>417270</v>
      </c>
      <c r="CH25" s="1453">
        <v>353553</v>
      </c>
      <c r="CI25" s="1453">
        <v>373523</v>
      </c>
      <c r="CJ25" s="1453">
        <v>407756</v>
      </c>
      <c r="CK25" s="1453">
        <v>408314</v>
      </c>
      <c r="CL25" s="1453">
        <v>409218</v>
      </c>
      <c r="CM25" s="1453">
        <v>410035</v>
      </c>
      <c r="CN25" s="1453">
        <v>410696</v>
      </c>
      <c r="CO25" s="1453">
        <v>416737</v>
      </c>
      <c r="CP25" s="1453">
        <v>416737</v>
      </c>
      <c r="CQ25" s="1453">
        <v>417300</v>
      </c>
      <c r="CR25" s="1453">
        <v>417300</v>
      </c>
      <c r="CS25" s="1453">
        <v>418028</v>
      </c>
      <c r="CT25" s="1453">
        <v>407540</v>
      </c>
      <c r="CU25" s="1453">
        <v>418342</v>
      </c>
      <c r="CV25" s="1453">
        <v>418700</v>
      </c>
      <c r="CW25" s="1453">
        <v>419274</v>
      </c>
      <c r="CX25" s="1453">
        <v>420206</v>
      </c>
      <c r="CY25" s="1453">
        <v>421047</v>
      </c>
      <c r="CZ25" s="1453">
        <v>422438</v>
      </c>
      <c r="DA25" s="1453">
        <v>428637</v>
      </c>
      <c r="DB25" s="1453">
        <v>428637</v>
      </c>
      <c r="DC25" s="1453">
        <v>429217</v>
      </c>
      <c r="DD25" s="1453">
        <v>429217</v>
      </c>
      <c r="DE25" s="1453">
        <v>429967</v>
      </c>
      <c r="DF25" s="1453">
        <v>430293</v>
      </c>
      <c r="DG25" s="1453">
        <v>431232</v>
      </c>
      <c r="DH25" s="1453">
        <v>431600</v>
      </c>
      <c r="DI25" s="1453">
        <v>432192</v>
      </c>
      <c r="DJ25" s="1453">
        <v>433152</v>
      </c>
      <c r="DK25" s="1453">
        <v>404056</v>
      </c>
      <c r="DL25" s="1453">
        <v>394845</v>
      </c>
      <c r="DM25" s="1453">
        <v>433881</v>
      </c>
      <c r="DN25" s="1453">
        <v>433881</v>
      </c>
      <c r="DO25" s="1453">
        <v>434478</v>
      </c>
      <c r="DP25" s="1453">
        <v>434478</v>
      </c>
      <c r="DQ25" s="1453">
        <v>435251</v>
      </c>
      <c r="DR25" s="1453">
        <v>435586</v>
      </c>
      <c r="DS25" s="1453">
        <v>436554</v>
      </c>
      <c r="DT25" s="1453">
        <v>436933</v>
      </c>
      <c r="DU25" s="1453">
        <v>431374</v>
      </c>
      <c r="DV25" s="1453">
        <v>437862</v>
      </c>
      <c r="DW25" s="1453">
        <v>419145</v>
      </c>
      <c r="DX25" s="1453">
        <v>437079</v>
      </c>
      <c r="DY25" s="1453">
        <v>443733</v>
      </c>
      <c r="DZ25" s="1453">
        <v>443733</v>
      </c>
      <c r="EA25" s="1453">
        <v>444348</v>
      </c>
      <c r="EB25" s="1453">
        <v>444348</v>
      </c>
      <c r="EC25" s="1453">
        <v>445144</v>
      </c>
      <c r="ED25" s="1453">
        <v>431099</v>
      </c>
      <c r="EE25" s="1453">
        <v>420316</v>
      </c>
      <c r="EF25" s="1453">
        <v>443658</v>
      </c>
      <c r="EG25" s="1453">
        <v>410251</v>
      </c>
      <c r="EH25" s="1453">
        <v>385716</v>
      </c>
      <c r="EI25" s="1453">
        <v>437636</v>
      </c>
      <c r="EJ25" s="1453">
        <v>439204</v>
      </c>
      <c r="EK25" s="1453">
        <v>446086</v>
      </c>
      <c r="EL25" s="1453">
        <v>446086</v>
      </c>
      <c r="EM25" s="1453">
        <v>412055</v>
      </c>
      <c r="EN25" s="1453">
        <v>443732</v>
      </c>
      <c r="EO25" s="1453">
        <v>385923</v>
      </c>
      <c r="EP25" s="1453">
        <v>402404</v>
      </c>
      <c r="EQ25" s="1453">
        <v>415627</v>
      </c>
      <c r="ER25" s="1453">
        <v>397871</v>
      </c>
      <c r="ES25" s="1453">
        <v>397871</v>
      </c>
      <c r="ET25" s="1453">
        <v>435953</v>
      </c>
      <c r="EU25" s="1453">
        <v>436857</v>
      </c>
      <c r="EV25" s="1453">
        <v>437674</v>
      </c>
      <c r="EW25" s="1453">
        <v>58612225</v>
      </c>
      <c r="EX25" s="1453"/>
      <c r="EY25" s="1453"/>
      <c r="EZ25" s="1453"/>
      <c r="FA25" s="1453"/>
      <c r="FB25" s="1453"/>
      <c r="FC25" s="1453"/>
      <c r="FD25" s="1453"/>
      <c r="FE25" s="1453"/>
      <c r="FF25" s="1453"/>
      <c r="FG25" s="1453"/>
      <c r="FH25" s="1453"/>
      <c r="FI25" s="1453"/>
      <c r="FJ25" s="1453"/>
    </row>
    <row r="26" spans="1:166">
      <c r="A26" s="434" t="s">
        <v>398</v>
      </c>
      <c r="B26" s="436"/>
      <c r="E26" s="433"/>
      <c r="F26" s="1549"/>
      <c r="G26" s="1550"/>
      <c r="H26" s="1550"/>
      <c r="I26" s="1550"/>
      <c r="J26" s="1550"/>
      <c r="K26" s="1550"/>
      <c r="L26" s="1550"/>
      <c r="M26" s="1550"/>
      <c r="N26" s="1550"/>
      <c r="O26" s="1550"/>
      <c r="P26" s="1550"/>
      <c r="Q26" s="1550"/>
      <c r="R26" s="1550"/>
      <c r="S26" s="1550"/>
      <c r="T26" s="1550"/>
      <c r="U26" s="1550"/>
      <c r="V26" s="1550"/>
      <c r="W26" s="1550"/>
      <c r="X26" s="1550"/>
      <c r="Y26" s="1550"/>
      <c r="Z26" s="1550"/>
      <c r="AA26" s="1550"/>
      <c r="AB26" s="1550"/>
      <c r="AC26" s="1550"/>
      <c r="AD26" s="1550"/>
      <c r="AE26" s="1550"/>
      <c r="AF26" s="1550"/>
      <c r="AG26" s="1550"/>
      <c r="AH26" s="1550"/>
      <c r="AI26" s="1550"/>
      <c r="AJ26" s="1550"/>
      <c r="AK26" s="1550"/>
      <c r="AL26" s="1550"/>
      <c r="AM26" s="1550"/>
      <c r="AN26" s="1550"/>
      <c r="AO26" s="1550"/>
      <c r="AP26" s="1550"/>
      <c r="AQ26" s="1550"/>
      <c r="AR26" s="1550"/>
      <c r="AS26" s="1550"/>
      <c r="AT26" s="1550"/>
      <c r="AU26" s="1550"/>
      <c r="AV26" s="1550"/>
      <c r="AW26" s="1550"/>
      <c r="AX26" s="1550"/>
      <c r="AY26" s="1550"/>
      <c r="AZ26" s="1550"/>
      <c r="BA26" s="1550"/>
      <c r="BB26" s="1550"/>
      <c r="BC26" s="1550"/>
      <c r="BD26" s="1550"/>
      <c r="BE26" s="1550"/>
      <c r="BF26" s="1550"/>
      <c r="BG26" s="1550"/>
      <c r="BH26" s="1550"/>
      <c r="BI26" s="1550"/>
      <c r="BJ26" s="1550"/>
      <c r="BK26" s="1550"/>
      <c r="BL26" s="1550"/>
      <c r="BM26" s="1550"/>
      <c r="BN26" s="1550"/>
      <c r="BO26" s="1550"/>
      <c r="BP26" s="1550"/>
      <c r="BQ26" s="1550"/>
      <c r="BR26" s="1550"/>
      <c r="BS26" s="1550"/>
      <c r="BT26" s="1550"/>
      <c r="BU26" s="1550"/>
      <c r="BV26" s="1550"/>
      <c r="BW26" s="1550"/>
      <c r="BX26" s="1550"/>
      <c r="BY26" s="1550"/>
      <c r="BZ26" s="1550"/>
      <c r="CA26" s="1550"/>
      <c r="CB26" s="1550"/>
      <c r="CC26" s="1550"/>
      <c r="CD26" s="1550"/>
      <c r="CE26" s="1550"/>
      <c r="CF26" s="1550"/>
      <c r="CG26" s="1550"/>
      <c r="CH26" s="1550"/>
      <c r="CI26" s="1550"/>
      <c r="CJ26" s="1550"/>
      <c r="CK26" s="1550"/>
      <c r="CL26" s="1550"/>
      <c r="CM26" s="1550"/>
      <c r="CN26" s="1550"/>
      <c r="CO26" s="1550"/>
      <c r="CP26" s="1550"/>
      <c r="CQ26" s="1550"/>
      <c r="CR26" s="1550"/>
      <c r="CS26" s="1550"/>
      <c r="CT26" s="1550"/>
      <c r="CU26" s="1550"/>
      <c r="CV26" s="1550"/>
      <c r="CW26" s="1550"/>
      <c r="CX26" s="1550"/>
      <c r="CY26" s="1550"/>
      <c r="CZ26" s="1550"/>
      <c r="DA26" s="1550"/>
      <c r="DB26" s="1550"/>
      <c r="DC26" s="1550"/>
      <c r="DD26" s="1550"/>
      <c r="DE26" s="1550"/>
      <c r="DF26" s="1550"/>
      <c r="DG26" s="1550"/>
      <c r="DH26" s="1550"/>
      <c r="DI26" s="1550"/>
      <c r="DJ26" s="1550"/>
      <c r="DK26" s="1550"/>
      <c r="DL26" s="1550"/>
      <c r="DM26" s="1550"/>
      <c r="DN26" s="1550"/>
      <c r="DO26" s="1550"/>
      <c r="DP26" s="1550"/>
      <c r="DQ26" s="1550"/>
      <c r="DR26" s="1550"/>
      <c r="DS26" s="1550"/>
      <c r="DT26" s="1550"/>
      <c r="DU26" s="1550"/>
      <c r="DV26" s="1550"/>
      <c r="DW26" s="1550"/>
      <c r="DX26" s="1550"/>
      <c r="DY26" s="1550"/>
      <c r="DZ26" s="1550"/>
      <c r="EA26" s="1550"/>
      <c r="EB26" s="1550"/>
      <c r="EC26" s="1550"/>
      <c r="ED26" s="1550"/>
      <c r="EE26" s="1550"/>
      <c r="EF26" s="1550"/>
      <c r="EG26" s="1550"/>
      <c r="EH26" s="1550"/>
      <c r="EI26" s="1550"/>
      <c r="EJ26" s="1550"/>
      <c r="EK26" s="1550"/>
      <c r="EL26" s="1550"/>
      <c r="EM26" s="1550"/>
      <c r="EN26" s="1550"/>
      <c r="EO26" s="1550"/>
      <c r="EP26" s="1550"/>
      <c r="EQ26" s="1550"/>
      <c r="ER26" s="1550"/>
      <c r="ES26" s="1550"/>
      <c r="ET26" s="1550"/>
      <c r="EU26" s="1550"/>
      <c r="EV26" s="1548"/>
      <c r="EW26" s="1548"/>
      <c r="EX26" s="1548"/>
      <c r="EY26" s="1548"/>
      <c r="EZ26" s="1548"/>
      <c r="FA26" s="1548"/>
    </row>
    <row r="27" spans="1:166">
      <c r="A27" s="435" t="s">
        <v>440</v>
      </c>
      <c r="B27" s="436">
        <v>7</v>
      </c>
      <c r="D27"/>
      <c r="E27" t="s">
        <v>398</v>
      </c>
      <c r="F27" s="1547"/>
      <c r="G27" s="1547"/>
      <c r="H27" s="1547"/>
      <c r="I27" s="1547"/>
      <c r="J27" s="1547"/>
      <c r="K27" s="1547"/>
      <c r="L27" s="1547"/>
      <c r="M27" s="1547"/>
      <c r="N27" s="1547"/>
      <c r="O27" s="1547"/>
      <c r="P27" s="1547"/>
      <c r="Q27" s="1547"/>
      <c r="R27" s="1547"/>
      <c r="S27" s="1547"/>
      <c r="T27" s="1547"/>
      <c r="U27" s="1547"/>
      <c r="V27" s="1547"/>
      <c r="W27" s="1547"/>
      <c r="X27" s="1547"/>
      <c r="Y27" s="1547"/>
      <c r="Z27" s="1547"/>
      <c r="AA27" s="1547"/>
      <c r="AB27" s="1547"/>
      <c r="AC27" s="1547"/>
      <c r="AD27" s="1547"/>
      <c r="AE27" s="1547"/>
      <c r="AF27" s="1547"/>
      <c r="AG27" s="1547"/>
      <c r="AH27" s="1547"/>
      <c r="AI27" s="1547"/>
      <c r="AJ27" s="1547"/>
      <c r="AK27" s="1547"/>
      <c r="AL27" s="1547"/>
      <c r="AM27" s="1547"/>
      <c r="AN27" s="1547"/>
      <c r="AO27" s="1547"/>
      <c r="AP27" s="1547"/>
      <c r="AQ27" s="1547"/>
      <c r="AR27" s="1547"/>
      <c r="AS27" s="1547"/>
      <c r="AT27" s="1547"/>
      <c r="AU27" s="1547"/>
      <c r="AV27" s="1547"/>
      <c r="AW27" s="1547"/>
      <c r="AX27" s="1547"/>
      <c r="AY27" s="1547"/>
      <c r="AZ27" s="1547"/>
      <c r="BA27" s="1547"/>
      <c r="BB27" s="1547"/>
      <c r="BC27" s="1547"/>
      <c r="BD27" s="1547"/>
      <c r="BE27" s="1547"/>
      <c r="BF27" s="1547"/>
      <c r="BG27" s="1547"/>
      <c r="BH27" s="1547"/>
      <c r="BI27" s="1547"/>
      <c r="BJ27" s="1547"/>
      <c r="BK27" s="1547"/>
      <c r="BL27" s="1547"/>
      <c r="BM27" s="1547"/>
      <c r="BN27" s="1547"/>
      <c r="BO27" s="1547"/>
      <c r="BP27" s="1547"/>
      <c r="BQ27" s="1547"/>
      <c r="BR27" s="1547"/>
      <c r="BS27" s="1547"/>
      <c r="BT27" s="1547"/>
      <c r="BU27" s="1547"/>
      <c r="BV27" s="1547"/>
      <c r="BW27" s="1547"/>
      <c r="BX27" s="1547"/>
      <c r="BY27" s="1547"/>
      <c r="BZ27" s="1547"/>
      <c r="CA27" s="1547"/>
      <c r="CB27" s="1547"/>
      <c r="CC27" s="1547"/>
      <c r="CD27" s="1547"/>
      <c r="CE27" s="1547"/>
      <c r="CF27" s="1547"/>
      <c r="CG27" s="1547"/>
      <c r="CH27" s="1547"/>
      <c r="CI27" s="1547"/>
      <c r="CJ27" s="1547"/>
      <c r="CK27" s="1547"/>
      <c r="CL27" s="1547"/>
      <c r="CM27" s="1547"/>
      <c r="CN27" s="1547"/>
      <c r="CO27" s="1547"/>
      <c r="CP27" s="1547"/>
      <c r="CQ27" s="1547"/>
      <c r="CR27" s="1547"/>
      <c r="CS27" s="1547"/>
      <c r="CT27" s="1547"/>
      <c r="CU27" s="1547"/>
      <c r="CV27" s="1547"/>
      <c r="CW27" s="1547"/>
      <c r="CX27" s="1547"/>
      <c r="CY27" s="1547"/>
      <c r="CZ27" s="1547"/>
      <c r="DA27" s="1547"/>
      <c r="DB27" s="1547"/>
      <c r="DC27" s="1547"/>
      <c r="DD27" s="1547"/>
      <c r="DE27" s="1547"/>
      <c r="DF27" s="1547"/>
      <c r="DG27" s="1547"/>
      <c r="DH27" s="1547"/>
      <c r="DI27" s="1547"/>
      <c r="DJ27" s="1547"/>
      <c r="DK27" s="1547"/>
      <c r="DL27" s="1547"/>
      <c r="DM27" s="1547"/>
      <c r="DN27" s="1547"/>
      <c r="DO27" s="1547"/>
      <c r="DP27" s="1547"/>
      <c r="DQ27" s="1547"/>
      <c r="DR27" s="1547"/>
      <c r="DS27" s="1547"/>
      <c r="DT27" s="1547"/>
      <c r="DU27" s="1547"/>
      <c r="DV27" s="1547"/>
      <c r="DW27" s="1547"/>
      <c r="DX27" s="1547"/>
      <c r="DY27" s="1547"/>
      <c r="DZ27" s="1547"/>
      <c r="EA27" s="1547"/>
      <c r="EB27" s="1547"/>
      <c r="EC27" s="1547"/>
      <c r="ED27" s="1547"/>
      <c r="EE27" s="1547"/>
      <c r="EF27" s="1547"/>
      <c r="EG27" s="1547"/>
      <c r="EH27" s="1547"/>
      <c r="EI27" s="1547"/>
      <c r="EJ27" s="1547"/>
      <c r="EK27" s="1547"/>
      <c r="EL27" s="1547"/>
      <c r="EM27" s="1547"/>
      <c r="EN27" s="1547"/>
      <c r="EO27" s="1547"/>
      <c r="EP27" s="1547"/>
      <c r="EQ27" s="1547"/>
      <c r="ER27" s="1547"/>
      <c r="ES27" s="1547"/>
      <c r="ET27" s="1547"/>
      <c r="EU27" s="1547"/>
      <c r="EV27" s="1548"/>
      <c r="EW27" s="1548"/>
      <c r="EX27" s="1548"/>
      <c r="EY27" s="1548"/>
      <c r="EZ27" s="1548"/>
      <c r="FA27" s="1548"/>
    </row>
    <row r="28" spans="1:166">
      <c r="A28" s="433" t="s">
        <v>399</v>
      </c>
      <c r="B28" s="436">
        <v>25</v>
      </c>
      <c r="D28" s="969">
        <v>7</v>
      </c>
      <c r="E28" s="434" t="s">
        <v>416</v>
      </c>
      <c r="F28" s="1451">
        <v>-9679</v>
      </c>
      <c r="G28" s="1451">
        <v>-9679</v>
      </c>
      <c r="H28" s="1451">
        <v>-9679</v>
      </c>
      <c r="I28" s="1451">
        <v>-9679</v>
      </c>
      <c r="J28" s="1451">
        <v>-9679</v>
      </c>
      <c r="K28" s="1451">
        <v>-9679</v>
      </c>
      <c r="L28" s="1451">
        <v>-9679</v>
      </c>
      <c r="M28" s="1451">
        <v>-9679</v>
      </c>
      <c r="N28" s="1451">
        <v>-9679</v>
      </c>
      <c r="O28" s="1451">
        <v>-9679</v>
      </c>
      <c r="P28" s="1451">
        <v>-9679</v>
      </c>
      <c r="Q28" s="1451">
        <v>-9679</v>
      </c>
      <c r="R28" s="1451">
        <v>-10365</v>
      </c>
      <c r="S28" s="1451">
        <v>-10365</v>
      </c>
      <c r="T28" s="1451">
        <v>-10365</v>
      </c>
      <c r="U28" s="1451">
        <v>-10365</v>
      </c>
      <c r="V28" s="1451">
        <v>-10365</v>
      </c>
      <c r="W28" s="1451">
        <v>-10365</v>
      </c>
      <c r="X28" s="1451">
        <v>-10365</v>
      </c>
      <c r="Y28" s="1451">
        <v>-10365</v>
      </c>
      <c r="Z28" s="1451">
        <v>-10365</v>
      </c>
      <c r="AA28" s="1451">
        <v>-10365</v>
      </c>
      <c r="AB28" s="1451">
        <v>-10365</v>
      </c>
      <c r="AC28" s="1451">
        <v>-10365</v>
      </c>
      <c r="AD28" s="1451">
        <v>-10566</v>
      </c>
      <c r="AE28" s="1451">
        <v>-10566</v>
      </c>
      <c r="AF28" s="1451">
        <v>-10566</v>
      </c>
      <c r="AG28" s="1451">
        <v>-10566</v>
      </c>
      <c r="AH28" s="1451">
        <v>-10566</v>
      </c>
      <c r="AI28" s="1451">
        <v>-10566</v>
      </c>
      <c r="AJ28" s="1451">
        <v>-10566</v>
      </c>
      <c r="AK28" s="1451">
        <v>-10566</v>
      </c>
      <c r="AL28" s="1451">
        <v>-10566</v>
      </c>
      <c r="AM28" s="1451">
        <v>-10566</v>
      </c>
      <c r="AN28" s="1451">
        <v>-10566</v>
      </c>
      <c r="AO28" s="1451">
        <v>-10566</v>
      </c>
      <c r="AP28" s="1451">
        <v>-10861</v>
      </c>
      <c r="AQ28" s="1451">
        <v>-10861</v>
      </c>
      <c r="AR28" s="1451">
        <v>-10861</v>
      </c>
      <c r="AS28" s="1451">
        <v>-10861</v>
      </c>
      <c r="AT28" s="1451">
        <v>-10861</v>
      </c>
      <c r="AU28" s="1451">
        <v>-10861</v>
      </c>
      <c r="AV28" s="1451">
        <v>-10861</v>
      </c>
      <c r="AW28" s="1451">
        <v>-10861</v>
      </c>
      <c r="AX28" s="1451">
        <v>-10861</v>
      </c>
      <c r="AY28" s="1451">
        <v>-10861</v>
      </c>
      <c r="AZ28" s="1451">
        <v>-10861</v>
      </c>
      <c r="BA28" s="1451">
        <v>-10861</v>
      </c>
      <c r="BB28" s="1451">
        <v>-11037</v>
      </c>
      <c r="BC28" s="1451">
        <v>-11037</v>
      </c>
      <c r="BD28" s="1451">
        <v>-11037</v>
      </c>
      <c r="BE28" s="1451">
        <v>-11037</v>
      </c>
      <c r="BF28" s="1451">
        <v>-11037</v>
      </c>
      <c r="BG28" s="1451">
        <v>-11037</v>
      </c>
      <c r="BH28" s="1451">
        <v>-11037</v>
      </c>
      <c r="BI28" s="1451">
        <v>-11037</v>
      </c>
      <c r="BJ28" s="1451">
        <v>-11037</v>
      </c>
      <c r="BK28" s="1451">
        <v>-11037</v>
      </c>
      <c r="BL28" s="1451">
        <v>-11037</v>
      </c>
      <c r="BM28" s="1451">
        <v>-11037</v>
      </c>
      <c r="BN28" s="1451">
        <v>-11091</v>
      </c>
      <c r="BO28" s="1451">
        <v>-11091</v>
      </c>
      <c r="BP28" s="1451">
        <v>-11091</v>
      </c>
      <c r="BQ28" s="1451">
        <v>-11091</v>
      </c>
      <c r="BR28" s="1451">
        <v>-11091</v>
      </c>
      <c r="BS28" s="1451">
        <v>-11091</v>
      </c>
      <c r="BT28" s="1451">
        <v>-11091</v>
      </c>
      <c r="BU28" s="1451">
        <v>-11091</v>
      </c>
      <c r="BV28" s="1451">
        <v>-11091</v>
      </c>
      <c r="BW28" s="1451">
        <v>-11091</v>
      </c>
      <c r="BX28" s="1451">
        <v>-11091</v>
      </c>
      <c r="BY28" s="1451">
        <v>-11091</v>
      </c>
      <c r="BZ28" s="1451">
        <v>-10686</v>
      </c>
      <c r="CA28" s="1451">
        <v>-10686</v>
      </c>
      <c r="CB28" s="1451">
        <v>-10686</v>
      </c>
      <c r="CC28" s="1451">
        <v>-10686</v>
      </c>
      <c r="CD28" s="1451">
        <v>-10686</v>
      </c>
      <c r="CE28" s="1451">
        <v>-10686</v>
      </c>
      <c r="CF28" s="1451">
        <v>-10686</v>
      </c>
      <c r="CG28" s="1451">
        <v>-10686</v>
      </c>
      <c r="CH28" s="1451">
        <v>-10686</v>
      </c>
      <c r="CI28" s="1451">
        <v>-10686</v>
      </c>
      <c r="CJ28" s="1451">
        <v>-10686</v>
      </c>
      <c r="CK28" s="1451">
        <v>-10686</v>
      </c>
      <c r="CL28" s="1451">
        <v>-10623</v>
      </c>
      <c r="CM28" s="1451">
        <v>-10623</v>
      </c>
      <c r="CN28" s="1451">
        <v>-10623</v>
      </c>
      <c r="CO28" s="1451">
        <v>-10623</v>
      </c>
      <c r="CP28" s="1451">
        <v>-10623</v>
      </c>
      <c r="CQ28" s="1451">
        <v>-10623</v>
      </c>
      <c r="CR28" s="1451">
        <v>-10623</v>
      </c>
      <c r="CS28" s="1451">
        <v>-10623</v>
      </c>
      <c r="CT28" s="1451">
        <v>-10623</v>
      </c>
      <c r="CU28" s="1451">
        <v>-10623</v>
      </c>
      <c r="CV28" s="1451">
        <v>-10623</v>
      </c>
      <c r="CW28" s="1451">
        <v>-10623</v>
      </c>
      <c r="CX28" s="1451">
        <v>-10928</v>
      </c>
      <c r="CY28" s="1451">
        <v>-10928</v>
      </c>
      <c r="CZ28" s="1451">
        <v>-10928</v>
      </c>
      <c r="DA28" s="1451">
        <v>-10928</v>
      </c>
      <c r="DB28" s="1451">
        <v>-10928</v>
      </c>
      <c r="DC28" s="1451">
        <v>-10928</v>
      </c>
      <c r="DD28" s="1451">
        <v>-10928</v>
      </c>
      <c r="DE28" s="1451">
        <v>-10928</v>
      </c>
      <c r="DF28" s="1451">
        <v>-10928</v>
      </c>
      <c r="DG28" s="1451">
        <v>-10928</v>
      </c>
      <c r="DH28" s="1451">
        <v>-10928</v>
      </c>
      <c r="DI28" s="1451">
        <v>-10928</v>
      </c>
      <c r="DJ28" s="1451">
        <v>-10987</v>
      </c>
      <c r="DK28" s="1451">
        <v>-10987</v>
      </c>
      <c r="DL28" s="1451">
        <v>-10987</v>
      </c>
      <c r="DM28" s="1451">
        <v>-10987</v>
      </c>
      <c r="DN28" s="1451">
        <v>-10987</v>
      </c>
      <c r="DO28" s="1451">
        <v>-10987</v>
      </c>
      <c r="DP28" s="1451">
        <v>-10987</v>
      </c>
      <c r="DQ28" s="1451">
        <v>-10987</v>
      </c>
      <c r="DR28" s="1451">
        <v>-10987</v>
      </c>
      <c r="DS28" s="1451">
        <v>-10987</v>
      </c>
      <c r="DT28" s="1451">
        <v>-10987</v>
      </c>
      <c r="DU28" s="1451">
        <v>-10987</v>
      </c>
      <c r="DV28" s="1451">
        <v>-11106</v>
      </c>
      <c r="DW28" s="1451">
        <v>-11106</v>
      </c>
      <c r="DX28" s="1451">
        <v>-11106</v>
      </c>
      <c r="DY28" s="1451">
        <v>-11106</v>
      </c>
      <c r="DZ28" s="1451">
        <v>-11106</v>
      </c>
      <c r="EA28" s="1451">
        <v>-11106</v>
      </c>
      <c r="EB28" s="1451">
        <v>-11106</v>
      </c>
      <c r="EC28" s="1451">
        <v>-11106</v>
      </c>
      <c r="ED28" s="1451">
        <v>-11106</v>
      </c>
      <c r="EE28" s="1451">
        <v>-11106</v>
      </c>
      <c r="EF28" s="1451">
        <v>-11106</v>
      </c>
      <c r="EG28" s="1451">
        <v>-11106</v>
      </c>
      <c r="EH28" s="1451">
        <v>-10756</v>
      </c>
      <c r="EI28" s="1451">
        <v>-10756</v>
      </c>
      <c r="EJ28" s="1451">
        <v>-10756</v>
      </c>
      <c r="EK28" s="1451">
        <v>-10756</v>
      </c>
      <c r="EL28" s="1451">
        <v>-10756</v>
      </c>
      <c r="EM28" s="1451">
        <v>-10756</v>
      </c>
      <c r="EN28" s="1451">
        <v>-10756</v>
      </c>
      <c r="EO28" s="1451">
        <v>-10756</v>
      </c>
      <c r="EP28" s="1451">
        <v>-10756</v>
      </c>
      <c r="EQ28" s="1451">
        <v>-10756</v>
      </c>
      <c r="ER28" s="1451">
        <v>-10756</v>
      </c>
      <c r="ES28" s="1451">
        <v>-10756</v>
      </c>
      <c r="ET28" s="1451">
        <v>-10721</v>
      </c>
      <c r="EU28" s="1451">
        <v>-10721</v>
      </c>
      <c r="EV28" s="1451">
        <v>-10721</v>
      </c>
      <c r="EW28" s="1451">
        <v>-1576377</v>
      </c>
      <c r="EX28" s="1451"/>
      <c r="EY28" s="1451"/>
      <c r="EZ28" s="1451"/>
      <c r="FA28" s="1451"/>
      <c r="FB28" s="1451"/>
      <c r="FC28" s="1451"/>
      <c r="FD28" s="1451"/>
      <c r="FE28" s="1451"/>
      <c r="FF28" s="1451"/>
      <c r="FG28" s="1451"/>
      <c r="FH28" s="1451"/>
      <c r="FI28" s="1451"/>
      <c r="FJ28" s="1451"/>
    </row>
    <row r="29" spans="1:166">
      <c r="B29" s="436"/>
      <c r="D29" s="1415">
        <v>25</v>
      </c>
      <c r="E29" s="435" t="s">
        <v>399</v>
      </c>
      <c r="F29" s="1452">
        <v>-9679</v>
      </c>
      <c r="G29" s="1452">
        <v>-9679</v>
      </c>
      <c r="H29" s="1452">
        <v>-9679</v>
      </c>
      <c r="I29" s="1452">
        <v>-9679</v>
      </c>
      <c r="J29" s="1452">
        <v>-9679</v>
      </c>
      <c r="K29" s="1452">
        <v>-9679</v>
      </c>
      <c r="L29" s="1452">
        <v>-9679</v>
      </c>
      <c r="M29" s="1452">
        <v>-9679</v>
      </c>
      <c r="N29" s="1452">
        <v>-9679</v>
      </c>
      <c r="O29" s="1452">
        <v>-9679</v>
      </c>
      <c r="P29" s="1452">
        <v>-9679</v>
      </c>
      <c r="Q29" s="1452">
        <v>-9679</v>
      </c>
      <c r="R29" s="1452">
        <v>-10365</v>
      </c>
      <c r="S29" s="1452">
        <v>-10365</v>
      </c>
      <c r="T29" s="1452">
        <v>-10365</v>
      </c>
      <c r="U29" s="1452">
        <v>-10365</v>
      </c>
      <c r="V29" s="1452">
        <v>-10365</v>
      </c>
      <c r="W29" s="1452">
        <v>-10365</v>
      </c>
      <c r="X29" s="1452">
        <v>-10365</v>
      </c>
      <c r="Y29" s="1452">
        <v>-10365</v>
      </c>
      <c r="Z29" s="1452">
        <v>-10365</v>
      </c>
      <c r="AA29" s="1452">
        <v>-10365</v>
      </c>
      <c r="AB29" s="1452">
        <v>-10365</v>
      </c>
      <c r="AC29" s="1452">
        <v>-10365</v>
      </c>
      <c r="AD29" s="1452">
        <v>-10566</v>
      </c>
      <c r="AE29" s="1452">
        <v>-10566</v>
      </c>
      <c r="AF29" s="1452">
        <v>-10566</v>
      </c>
      <c r="AG29" s="1452">
        <v>-10566</v>
      </c>
      <c r="AH29" s="1452">
        <v>-10566</v>
      </c>
      <c r="AI29" s="1452">
        <v>-10566</v>
      </c>
      <c r="AJ29" s="1452">
        <v>-10566</v>
      </c>
      <c r="AK29" s="1452">
        <v>-10566</v>
      </c>
      <c r="AL29" s="1452">
        <v>-10566</v>
      </c>
      <c r="AM29" s="1452">
        <v>-10566</v>
      </c>
      <c r="AN29" s="1452">
        <v>-10566</v>
      </c>
      <c r="AO29" s="1452">
        <v>-10566</v>
      </c>
      <c r="AP29" s="1452">
        <v>-10861</v>
      </c>
      <c r="AQ29" s="1452">
        <v>-10861</v>
      </c>
      <c r="AR29" s="1452">
        <v>-10861</v>
      </c>
      <c r="AS29" s="1452">
        <v>-10861</v>
      </c>
      <c r="AT29" s="1452">
        <v>-10861</v>
      </c>
      <c r="AU29" s="1452">
        <v>-10861</v>
      </c>
      <c r="AV29" s="1452">
        <v>-10861</v>
      </c>
      <c r="AW29" s="1452">
        <v>-10861</v>
      </c>
      <c r="AX29" s="1452">
        <v>-10861</v>
      </c>
      <c r="AY29" s="1452">
        <v>-10861</v>
      </c>
      <c r="AZ29" s="1452">
        <v>-10861</v>
      </c>
      <c r="BA29" s="1452">
        <v>-10861</v>
      </c>
      <c r="BB29" s="1452">
        <v>-11037</v>
      </c>
      <c r="BC29" s="1452">
        <v>-11037</v>
      </c>
      <c r="BD29" s="1452">
        <v>-11037</v>
      </c>
      <c r="BE29" s="1452">
        <v>-11037</v>
      </c>
      <c r="BF29" s="1452">
        <v>-11037</v>
      </c>
      <c r="BG29" s="1452">
        <v>-11037</v>
      </c>
      <c r="BH29" s="1452">
        <v>-11037</v>
      </c>
      <c r="BI29" s="1452">
        <v>-11037</v>
      </c>
      <c r="BJ29" s="1452">
        <v>-11037</v>
      </c>
      <c r="BK29" s="1452">
        <v>-11037</v>
      </c>
      <c r="BL29" s="1452">
        <v>-11037</v>
      </c>
      <c r="BM29" s="1452">
        <v>-11037</v>
      </c>
      <c r="BN29" s="1452">
        <v>-11091</v>
      </c>
      <c r="BO29" s="1452">
        <v>-11091</v>
      </c>
      <c r="BP29" s="1452">
        <v>-11091</v>
      </c>
      <c r="BQ29" s="1452">
        <v>-11091</v>
      </c>
      <c r="BR29" s="1452">
        <v>-11091</v>
      </c>
      <c r="BS29" s="1452">
        <v>-11091</v>
      </c>
      <c r="BT29" s="1452">
        <v>-11091</v>
      </c>
      <c r="BU29" s="1452">
        <v>-11091</v>
      </c>
      <c r="BV29" s="1452">
        <v>-11091</v>
      </c>
      <c r="BW29" s="1452">
        <v>-11091</v>
      </c>
      <c r="BX29" s="1452">
        <v>-11091</v>
      </c>
      <c r="BY29" s="1452">
        <v>-11091</v>
      </c>
      <c r="BZ29" s="1452">
        <v>-10686</v>
      </c>
      <c r="CA29" s="1452">
        <v>-10686</v>
      </c>
      <c r="CB29" s="1452">
        <v>-10686</v>
      </c>
      <c r="CC29" s="1452">
        <v>-10686</v>
      </c>
      <c r="CD29" s="1452">
        <v>-10686</v>
      </c>
      <c r="CE29" s="1452">
        <v>-10686</v>
      </c>
      <c r="CF29" s="1452">
        <v>-10686</v>
      </c>
      <c r="CG29" s="1452">
        <v>-10686</v>
      </c>
      <c r="CH29" s="1452">
        <v>-10686</v>
      </c>
      <c r="CI29" s="1452">
        <v>-10686</v>
      </c>
      <c r="CJ29" s="1452">
        <v>-10686</v>
      </c>
      <c r="CK29" s="1452">
        <v>-10686</v>
      </c>
      <c r="CL29" s="1452">
        <v>-10623</v>
      </c>
      <c r="CM29" s="1452">
        <v>-10623</v>
      </c>
      <c r="CN29" s="1452">
        <v>-10623</v>
      </c>
      <c r="CO29" s="1452">
        <v>-10623</v>
      </c>
      <c r="CP29" s="1452">
        <v>-10623</v>
      </c>
      <c r="CQ29" s="1452">
        <v>-10623</v>
      </c>
      <c r="CR29" s="1452">
        <v>-10623</v>
      </c>
      <c r="CS29" s="1452">
        <v>-10623</v>
      </c>
      <c r="CT29" s="1452">
        <v>-10623</v>
      </c>
      <c r="CU29" s="1452">
        <v>-10623</v>
      </c>
      <c r="CV29" s="1452">
        <v>-10623</v>
      </c>
      <c r="CW29" s="1452">
        <v>-10623</v>
      </c>
      <c r="CX29" s="1452">
        <v>-10928</v>
      </c>
      <c r="CY29" s="1452">
        <v>-10928</v>
      </c>
      <c r="CZ29" s="1452">
        <v>-10928</v>
      </c>
      <c r="DA29" s="1452">
        <v>-10928</v>
      </c>
      <c r="DB29" s="1452">
        <v>-10928</v>
      </c>
      <c r="DC29" s="1452">
        <v>-10928</v>
      </c>
      <c r="DD29" s="1452">
        <v>-10928</v>
      </c>
      <c r="DE29" s="1452">
        <v>-10928</v>
      </c>
      <c r="DF29" s="1452">
        <v>-10928</v>
      </c>
      <c r="DG29" s="1452">
        <v>-10928</v>
      </c>
      <c r="DH29" s="1452">
        <v>-10928</v>
      </c>
      <c r="DI29" s="1452">
        <v>-10928</v>
      </c>
      <c r="DJ29" s="1452">
        <v>-10987</v>
      </c>
      <c r="DK29" s="1452">
        <v>-10987</v>
      </c>
      <c r="DL29" s="1452">
        <v>-10987</v>
      </c>
      <c r="DM29" s="1452">
        <v>-10987</v>
      </c>
      <c r="DN29" s="1452">
        <v>-10987</v>
      </c>
      <c r="DO29" s="1452">
        <v>-10987</v>
      </c>
      <c r="DP29" s="1452">
        <v>-10987</v>
      </c>
      <c r="DQ29" s="1452">
        <v>-10987</v>
      </c>
      <c r="DR29" s="1452">
        <v>-10987</v>
      </c>
      <c r="DS29" s="1452">
        <v>-10987</v>
      </c>
      <c r="DT29" s="1452">
        <v>-10987</v>
      </c>
      <c r="DU29" s="1452">
        <v>-10987</v>
      </c>
      <c r="DV29" s="1452">
        <v>-11106</v>
      </c>
      <c r="DW29" s="1452">
        <v>-11106</v>
      </c>
      <c r="DX29" s="1452">
        <v>-11106</v>
      </c>
      <c r="DY29" s="1452">
        <v>-11106</v>
      </c>
      <c r="DZ29" s="1452">
        <v>-11106</v>
      </c>
      <c r="EA29" s="1452">
        <v>-11106</v>
      </c>
      <c r="EB29" s="1452">
        <v>-11106</v>
      </c>
      <c r="EC29" s="1452">
        <v>-11106</v>
      </c>
      <c r="ED29" s="1452">
        <v>-11106</v>
      </c>
      <c r="EE29" s="1452">
        <v>-11106</v>
      </c>
      <c r="EF29" s="1452">
        <v>-11106</v>
      </c>
      <c r="EG29" s="1452">
        <v>-11106</v>
      </c>
      <c r="EH29" s="1452">
        <v>-10756</v>
      </c>
      <c r="EI29" s="1452">
        <v>-10756</v>
      </c>
      <c r="EJ29" s="1452">
        <v>-10756</v>
      </c>
      <c r="EK29" s="1452">
        <v>-10756</v>
      </c>
      <c r="EL29" s="1452">
        <v>-10756</v>
      </c>
      <c r="EM29" s="1452">
        <v>-10756</v>
      </c>
      <c r="EN29" s="1452">
        <v>-10756</v>
      </c>
      <c r="EO29" s="1452">
        <v>-10756</v>
      </c>
      <c r="EP29" s="1452">
        <v>-10756</v>
      </c>
      <c r="EQ29" s="1452">
        <v>-10756</v>
      </c>
      <c r="ER29" s="1452">
        <v>-10756</v>
      </c>
      <c r="ES29" s="1452">
        <v>-10756</v>
      </c>
      <c r="ET29" s="1452">
        <v>-10721</v>
      </c>
      <c r="EU29" s="1452">
        <v>-10721</v>
      </c>
      <c r="EV29" s="1452">
        <v>-10721</v>
      </c>
      <c r="EW29" s="1452">
        <v>-1576377</v>
      </c>
      <c r="EX29" s="1452"/>
      <c r="EY29" s="1452"/>
      <c r="EZ29" s="1452"/>
      <c r="FA29" s="1452"/>
      <c r="FB29" s="1452"/>
      <c r="FC29" s="1452"/>
      <c r="FD29" s="1452"/>
      <c r="FE29" s="1452"/>
      <c r="FF29" s="1452"/>
      <c r="FG29" s="1452"/>
      <c r="FH29" s="1452"/>
      <c r="FI29" s="1452"/>
      <c r="FJ29" s="1452"/>
    </row>
    <row r="30" spans="1:166">
      <c r="A30" s="433" t="s">
        <v>400</v>
      </c>
      <c r="B30" s="436">
        <v>26</v>
      </c>
      <c r="D30"/>
      <c r="E30" s="433"/>
      <c r="F30" s="1551"/>
      <c r="G30" s="1552"/>
      <c r="H30" s="1552"/>
      <c r="I30" s="1552"/>
      <c r="J30" s="1552"/>
      <c r="K30" s="1552"/>
      <c r="L30" s="1552"/>
      <c r="M30" s="1552"/>
      <c r="N30" s="1552"/>
      <c r="O30" s="1552"/>
      <c r="P30" s="1552"/>
      <c r="Q30" s="1552"/>
      <c r="R30" s="1552"/>
      <c r="S30" s="1552"/>
      <c r="T30" s="1552"/>
      <c r="U30" s="1552"/>
      <c r="V30" s="1552"/>
      <c r="W30" s="1552"/>
      <c r="X30" s="1552"/>
      <c r="Y30" s="1552"/>
      <c r="Z30" s="1552"/>
      <c r="AA30" s="1552"/>
      <c r="AB30" s="1552"/>
      <c r="AC30" s="1552"/>
      <c r="AD30" s="1552"/>
      <c r="AE30" s="1552"/>
      <c r="AF30" s="1552"/>
      <c r="AG30" s="1552"/>
      <c r="AH30" s="1552"/>
      <c r="AI30" s="1552"/>
      <c r="AJ30" s="1552"/>
      <c r="AK30" s="1552"/>
      <c r="AL30" s="1552"/>
      <c r="AM30" s="1552"/>
      <c r="AN30" s="1552"/>
      <c r="AO30" s="1552"/>
      <c r="AP30" s="1552"/>
      <c r="AQ30" s="1552"/>
      <c r="AR30" s="1552"/>
      <c r="AS30" s="1552"/>
      <c r="AT30" s="1552"/>
      <c r="AU30" s="1552"/>
      <c r="AV30" s="1552"/>
      <c r="AW30" s="1552"/>
      <c r="AX30" s="1552"/>
      <c r="AY30" s="1552"/>
      <c r="AZ30" s="1552"/>
      <c r="BA30" s="1552"/>
      <c r="BB30" s="1552"/>
      <c r="BC30" s="1552"/>
      <c r="BD30" s="1552"/>
      <c r="BE30" s="1552"/>
      <c r="BF30" s="1552"/>
      <c r="BG30" s="1552"/>
      <c r="BH30" s="1552"/>
      <c r="BI30" s="1552"/>
      <c r="BJ30" s="1552"/>
      <c r="BK30" s="1552"/>
      <c r="BL30" s="1552"/>
      <c r="BM30" s="1552"/>
      <c r="BN30" s="1552"/>
      <c r="BO30" s="1552"/>
      <c r="BP30" s="1552"/>
      <c r="BQ30" s="1552"/>
      <c r="BR30" s="1552"/>
      <c r="BS30" s="1552"/>
      <c r="BT30" s="1552"/>
      <c r="BU30" s="1552"/>
      <c r="BV30" s="1552"/>
      <c r="BW30" s="1552"/>
      <c r="BX30" s="1552"/>
      <c r="BY30" s="1552"/>
      <c r="BZ30" s="1552"/>
      <c r="CA30" s="1552"/>
      <c r="CB30" s="1552"/>
      <c r="CC30" s="1552"/>
      <c r="CD30" s="1552"/>
      <c r="CE30" s="1552"/>
      <c r="CF30" s="1552"/>
      <c r="CG30" s="1552"/>
      <c r="CH30" s="1552"/>
      <c r="CI30" s="1552"/>
      <c r="CJ30" s="1552"/>
      <c r="CK30" s="1552"/>
      <c r="CL30" s="1552"/>
      <c r="CM30" s="1552"/>
      <c r="CN30" s="1552"/>
      <c r="CO30" s="1552"/>
      <c r="CP30" s="1552"/>
      <c r="CQ30" s="1552"/>
      <c r="CR30" s="1552"/>
      <c r="CS30" s="1552"/>
      <c r="CT30" s="1552"/>
      <c r="CU30" s="1552"/>
      <c r="CV30" s="1552"/>
      <c r="CW30" s="1552"/>
      <c r="CX30" s="1552"/>
      <c r="CY30" s="1552"/>
      <c r="CZ30" s="1552"/>
      <c r="DA30" s="1552"/>
      <c r="DB30" s="1552"/>
      <c r="DC30" s="1552"/>
      <c r="DD30" s="1552"/>
      <c r="DE30" s="1552"/>
      <c r="DF30" s="1552"/>
      <c r="DG30" s="1552"/>
      <c r="DH30" s="1552"/>
      <c r="DI30" s="1552"/>
      <c r="DJ30" s="1552"/>
      <c r="DK30" s="1552"/>
      <c r="DL30" s="1552"/>
      <c r="DM30" s="1552"/>
      <c r="DN30" s="1552"/>
      <c r="DO30" s="1552"/>
      <c r="DP30" s="1552"/>
      <c r="DQ30" s="1552"/>
      <c r="DR30" s="1552"/>
      <c r="DS30" s="1552"/>
      <c r="DT30" s="1552"/>
      <c r="DU30" s="1552"/>
      <c r="DV30" s="1552"/>
      <c r="DW30" s="1552"/>
      <c r="DX30" s="1552"/>
      <c r="DY30" s="1552"/>
      <c r="DZ30" s="1552"/>
      <c r="EA30" s="1552"/>
      <c r="EB30" s="1552"/>
      <c r="EC30" s="1552"/>
      <c r="ED30" s="1552"/>
      <c r="EE30" s="1552"/>
      <c r="EF30" s="1552"/>
      <c r="EG30" s="1552"/>
      <c r="EH30" s="1552"/>
      <c r="EI30" s="1552"/>
      <c r="EJ30" s="1552"/>
      <c r="EK30" s="1552"/>
      <c r="EL30" s="1552"/>
      <c r="EM30" s="1552"/>
      <c r="EN30" s="1552"/>
      <c r="EO30" s="1552"/>
      <c r="EP30" s="1552"/>
      <c r="EQ30" s="1552"/>
      <c r="ER30" s="1552"/>
      <c r="ES30" s="1552"/>
      <c r="ET30" s="1552"/>
      <c r="EU30" s="1552"/>
      <c r="EV30" s="1548"/>
      <c r="EW30" s="1548"/>
      <c r="EX30" s="1548"/>
      <c r="EY30" s="1548"/>
      <c r="EZ30" s="1548"/>
      <c r="FA30" s="1548"/>
    </row>
    <row r="31" spans="1:166">
      <c r="B31"/>
      <c r="D31" s="969">
        <v>26</v>
      </c>
      <c r="E31" t="s">
        <v>400</v>
      </c>
      <c r="F31" s="1453">
        <v>252727</v>
      </c>
      <c r="G31" s="1453">
        <v>280883</v>
      </c>
      <c r="H31" s="1453">
        <v>280883</v>
      </c>
      <c r="I31" s="1453">
        <v>285490</v>
      </c>
      <c r="J31" s="1453">
        <v>285490</v>
      </c>
      <c r="K31" s="1453">
        <v>285983</v>
      </c>
      <c r="L31" s="1453">
        <v>285983</v>
      </c>
      <c r="M31" s="1453">
        <v>298651</v>
      </c>
      <c r="N31" s="1453">
        <v>299696</v>
      </c>
      <c r="O31" s="1453">
        <v>279217</v>
      </c>
      <c r="P31" s="1453">
        <v>261051</v>
      </c>
      <c r="Q31" s="1453">
        <v>307709</v>
      </c>
      <c r="R31" s="1453">
        <v>303366</v>
      </c>
      <c r="S31" s="1453">
        <v>311004</v>
      </c>
      <c r="T31" s="1453">
        <v>311004</v>
      </c>
      <c r="U31" s="1453">
        <v>285641</v>
      </c>
      <c r="V31" s="1453">
        <v>313380</v>
      </c>
      <c r="W31" s="1453">
        <v>287350</v>
      </c>
      <c r="X31" s="1453">
        <v>312581</v>
      </c>
      <c r="Y31" s="1453">
        <v>331559</v>
      </c>
      <c r="Z31" s="1453">
        <v>375056</v>
      </c>
      <c r="AA31" s="1453">
        <v>375056</v>
      </c>
      <c r="AB31" s="1453">
        <v>375614</v>
      </c>
      <c r="AC31" s="1453">
        <v>376518</v>
      </c>
      <c r="AD31" s="1453">
        <v>377072</v>
      </c>
      <c r="AE31" s="1453">
        <v>377969</v>
      </c>
      <c r="AF31" s="1453">
        <v>378567</v>
      </c>
      <c r="AG31" s="1453">
        <v>384171</v>
      </c>
      <c r="AH31" s="1453">
        <v>384734</v>
      </c>
      <c r="AI31" s="1453">
        <v>384734</v>
      </c>
      <c r="AJ31" s="1453">
        <v>385229</v>
      </c>
      <c r="AK31" s="1453">
        <v>374658</v>
      </c>
      <c r="AL31" s="1453">
        <v>385134</v>
      </c>
      <c r="AM31" s="1453">
        <v>385134</v>
      </c>
      <c r="AN31" s="1453">
        <v>385708</v>
      </c>
      <c r="AO31" s="1453">
        <v>386640</v>
      </c>
      <c r="AP31" s="1453">
        <v>387122</v>
      </c>
      <c r="AQ31" s="1453">
        <v>388056</v>
      </c>
      <c r="AR31" s="1453">
        <v>388744</v>
      </c>
      <c r="AS31" s="1453">
        <v>392781</v>
      </c>
      <c r="AT31" s="1453">
        <v>393360</v>
      </c>
      <c r="AU31" s="1453">
        <v>393360</v>
      </c>
      <c r="AV31" s="1453">
        <v>393870</v>
      </c>
      <c r="AW31" s="1453">
        <v>394305</v>
      </c>
      <c r="AX31" s="1453">
        <v>395362</v>
      </c>
      <c r="AY31" s="1453">
        <v>395362</v>
      </c>
      <c r="AZ31" s="1453">
        <v>395953</v>
      </c>
      <c r="BA31" s="1453">
        <v>396913</v>
      </c>
      <c r="BB31" s="1453">
        <v>375934</v>
      </c>
      <c r="BC31" s="1453">
        <v>365192</v>
      </c>
      <c r="BD31" s="1453">
        <v>397489</v>
      </c>
      <c r="BE31" s="1453">
        <v>403136</v>
      </c>
      <c r="BF31" s="1453">
        <v>403732</v>
      </c>
      <c r="BG31" s="1453">
        <v>403732</v>
      </c>
      <c r="BH31" s="1453">
        <v>404258</v>
      </c>
      <c r="BI31" s="1453">
        <v>404706</v>
      </c>
      <c r="BJ31" s="1453">
        <v>405794</v>
      </c>
      <c r="BK31" s="1453">
        <v>405794</v>
      </c>
      <c r="BL31" s="1453">
        <v>406404</v>
      </c>
      <c r="BM31" s="1453">
        <v>407711</v>
      </c>
      <c r="BN31" s="1453">
        <v>387091</v>
      </c>
      <c r="BO31" s="1453">
        <v>404102</v>
      </c>
      <c r="BP31" s="1453">
        <v>405377</v>
      </c>
      <c r="BQ31" s="1453">
        <v>410909</v>
      </c>
      <c r="BR31" s="1453">
        <v>411524</v>
      </c>
      <c r="BS31" s="1453">
        <v>411524</v>
      </c>
      <c r="BT31" s="1453">
        <v>412065</v>
      </c>
      <c r="BU31" s="1453">
        <v>398099</v>
      </c>
      <c r="BV31" s="1453">
        <v>388036</v>
      </c>
      <c r="BW31" s="1453">
        <v>409748</v>
      </c>
      <c r="BX31" s="1453">
        <v>377903</v>
      </c>
      <c r="BY31" s="1453">
        <v>354435</v>
      </c>
      <c r="BZ31" s="1453">
        <v>404035</v>
      </c>
      <c r="CA31" s="1453">
        <v>404829</v>
      </c>
      <c r="CB31" s="1453">
        <v>405470</v>
      </c>
      <c r="CC31" s="1453">
        <v>410783</v>
      </c>
      <c r="CD31" s="1453">
        <v>378370</v>
      </c>
      <c r="CE31" s="1453">
        <v>408429</v>
      </c>
      <c r="CF31" s="1453">
        <v>379904</v>
      </c>
      <c r="CG31" s="1453">
        <v>406584</v>
      </c>
      <c r="CH31" s="1453">
        <v>342867</v>
      </c>
      <c r="CI31" s="1453">
        <v>362837</v>
      </c>
      <c r="CJ31" s="1453">
        <v>397070</v>
      </c>
      <c r="CK31" s="1453">
        <v>397628</v>
      </c>
      <c r="CL31" s="1453">
        <v>398595</v>
      </c>
      <c r="CM31" s="1453">
        <v>399412</v>
      </c>
      <c r="CN31" s="1453">
        <v>400073</v>
      </c>
      <c r="CO31" s="1453">
        <v>406114</v>
      </c>
      <c r="CP31" s="1453">
        <v>406114</v>
      </c>
      <c r="CQ31" s="1453">
        <v>406676</v>
      </c>
      <c r="CR31" s="1453">
        <v>406676</v>
      </c>
      <c r="CS31" s="1453">
        <v>407404</v>
      </c>
      <c r="CT31" s="1453">
        <v>396917</v>
      </c>
      <c r="CU31" s="1453">
        <v>407719</v>
      </c>
      <c r="CV31" s="1453">
        <v>408077</v>
      </c>
      <c r="CW31" s="1453">
        <v>408651</v>
      </c>
      <c r="CX31" s="1453">
        <v>409278</v>
      </c>
      <c r="CY31" s="1453">
        <v>410120</v>
      </c>
      <c r="CZ31" s="1453">
        <v>411511</v>
      </c>
      <c r="DA31" s="1453">
        <v>417710</v>
      </c>
      <c r="DB31" s="1453">
        <v>417710</v>
      </c>
      <c r="DC31" s="1453">
        <v>418289</v>
      </c>
      <c r="DD31" s="1453">
        <v>418289</v>
      </c>
      <c r="DE31" s="1453">
        <v>419039</v>
      </c>
      <c r="DF31" s="1453">
        <v>419365</v>
      </c>
      <c r="DG31" s="1453">
        <v>420304</v>
      </c>
      <c r="DH31" s="1453">
        <v>420673</v>
      </c>
      <c r="DI31" s="1453">
        <v>421264</v>
      </c>
      <c r="DJ31" s="1453">
        <v>422165</v>
      </c>
      <c r="DK31" s="1453">
        <v>393069</v>
      </c>
      <c r="DL31" s="1453">
        <v>383858</v>
      </c>
      <c r="DM31" s="1453">
        <v>422895</v>
      </c>
      <c r="DN31" s="1453">
        <v>422895</v>
      </c>
      <c r="DO31" s="1453">
        <v>423492</v>
      </c>
      <c r="DP31" s="1453">
        <v>423492</v>
      </c>
      <c r="DQ31" s="1453">
        <v>424264</v>
      </c>
      <c r="DR31" s="1453">
        <v>424600</v>
      </c>
      <c r="DS31" s="1453">
        <v>425567</v>
      </c>
      <c r="DT31" s="1453">
        <v>425947</v>
      </c>
      <c r="DU31" s="1453">
        <v>420388</v>
      </c>
      <c r="DV31" s="1453">
        <v>426756</v>
      </c>
      <c r="DW31" s="1453">
        <v>408039</v>
      </c>
      <c r="DX31" s="1453">
        <v>425973</v>
      </c>
      <c r="DY31" s="1453">
        <v>432628</v>
      </c>
      <c r="DZ31" s="1453">
        <v>432628</v>
      </c>
      <c r="EA31" s="1453">
        <v>433242</v>
      </c>
      <c r="EB31" s="1453">
        <v>433242</v>
      </c>
      <c r="EC31" s="1453">
        <v>434038</v>
      </c>
      <c r="ED31" s="1453">
        <v>419993</v>
      </c>
      <c r="EE31" s="1453">
        <v>409210</v>
      </c>
      <c r="EF31" s="1453">
        <v>432553</v>
      </c>
      <c r="EG31" s="1453">
        <v>399145</v>
      </c>
      <c r="EH31" s="1453">
        <v>374960</v>
      </c>
      <c r="EI31" s="1453">
        <v>426881</v>
      </c>
      <c r="EJ31" s="1453">
        <v>428448</v>
      </c>
      <c r="EK31" s="1453">
        <v>435330</v>
      </c>
      <c r="EL31" s="1453">
        <v>435330</v>
      </c>
      <c r="EM31" s="1453">
        <v>401299</v>
      </c>
      <c r="EN31" s="1453">
        <v>432977</v>
      </c>
      <c r="EO31" s="1453">
        <v>375167</v>
      </c>
      <c r="EP31" s="1453">
        <v>391648</v>
      </c>
      <c r="EQ31" s="1453">
        <v>404872</v>
      </c>
      <c r="ER31" s="1453">
        <v>387115</v>
      </c>
      <c r="ES31" s="1453">
        <v>387115</v>
      </c>
      <c r="ET31" s="1453">
        <v>425232</v>
      </c>
      <c r="EU31" s="1453">
        <v>426136</v>
      </c>
      <c r="EV31" s="1453">
        <v>426953</v>
      </c>
      <c r="EW31" s="1453">
        <v>57035848</v>
      </c>
      <c r="EX31" s="1453"/>
      <c r="EY31" s="1453"/>
      <c r="EZ31" s="1453"/>
      <c r="FA31" s="1453"/>
      <c r="FB31" s="1453"/>
      <c r="FC31" s="1453"/>
      <c r="FD31" s="1453"/>
      <c r="FE31" s="1453"/>
      <c r="FF31" s="1453"/>
      <c r="FG31" s="1453"/>
      <c r="FH31" s="1453"/>
      <c r="FI31" s="1453"/>
      <c r="FJ31" s="1453"/>
    </row>
    <row r="32" spans="1:166">
      <c r="A32" s="434" t="s">
        <v>224</v>
      </c>
      <c r="B32" s="436"/>
      <c r="D32"/>
      <c r="E32" s="433"/>
      <c r="F32" s="1549"/>
      <c r="G32" s="1550"/>
      <c r="H32" s="1550"/>
      <c r="I32" s="1550"/>
      <c r="J32" s="1550"/>
      <c r="K32" s="1550"/>
      <c r="L32" s="1550"/>
      <c r="M32" s="1550"/>
      <c r="N32" s="1550"/>
      <c r="O32" s="1550"/>
      <c r="P32" s="1550"/>
      <c r="Q32" s="1550"/>
      <c r="R32" s="1550"/>
      <c r="S32" s="1550"/>
      <c r="T32" s="1550"/>
      <c r="U32" s="1550"/>
      <c r="V32" s="1550"/>
      <c r="W32" s="1550"/>
      <c r="X32" s="1550"/>
      <c r="Y32" s="1550"/>
      <c r="Z32" s="1550"/>
      <c r="AA32" s="1550"/>
      <c r="AB32" s="1550"/>
      <c r="AC32" s="1550"/>
      <c r="AD32" s="1550"/>
      <c r="AE32" s="1550"/>
      <c r="AF32" s="1550"/>
      <c r="AG32" s="1550"/>
      <c r="AH32" s="1550"/>
      <c r="AI32" s="1550"/>
      <c r="AJ32" s="1550"/>
      <c r="AK32" s="1550"/>
      <c r="AL32" s="1550"/>
      <c r="AM32" s="1550"/>
      <c r="AN32" s="1550"/>
      <c r="AO32" s="1550"/>
      <c r="AP32" s="1550"/>
      <c r="AQ32" s="1550"/>
      <c r="AR32" s="1550"/>
      <c r="AS32" s="1550"/>
      <c r="AT32" s="1550"/>
      <c r="AU32" s="1550"/>
      <c r="AV32" s="1550"/>
      <c r="AW32" s="1550"/>
      <c r="AX32" s="1550"/>
      <c r="AY32" s="1550"/>
      <c r="AZ32" s="1550"/>
      <c r="BA32" s="1550"/>
      <c r="BB32" s="1550"/>
      <c r="BC32" s="1550"/>
      <c r="BD32" s="1550"/>
      <c r="BE32" s="1550"/>
      <c r="BF32" s="1550"/>
      <c r="BG32" s="1550"/>
      <c r="BH32" s="1550"/>
      <c r="BI32" s="1550"/>
      <c r="BJ32" s="1550"/>
      <c r="BK32" s="1550"/>
      <c r="BL32" s="1550"/>
      <c r="BM32" s="1550"/>
      <c r="BN32" s="1550"/>
      <c r="BO32" s="1550"/>
      <c r="BP32" s="1550"/>
      <c r="BQ32" s="1550"/>
      <c r="BR32" s="1550"/>
      <c r="BS32" s="1550"/>
      <c r="BT32" s="1550"/>
      <c r="BU32" s="1550"/>
      <c r="BV32" s="1550"/>
      <c r="BW32" s="1550"/>
      <c r="BX32" s="1550"/>
      <c r="BY32" s="1550"/>
      <c r="BZ32" s="1550"/>
      <c r="CA32" s="1550"/>
      <c r="CB32" s="1550"/>
      <c r="CC32" s="1550"/>
      <c r="CD32" s="1550"/>
      <c r="CE32" s="1550"/>
      <c r="CF32" s="1550"/>
      <c r="CG32" s="1550"/>
      <c r="CH32" s="1550"/>
      <c r="CI32" s="1550"/>
      <c r="CJ32" s="1550"/>
      <c r="CK32" s="1550"/>
      <c r="CL32" s="1550"/>
      <c r="CM32" s="1550"/>
      <c r="CN32" s="1550"/>
      <c r="CO32" s="1550"/>
      <c r="CP32" s="1550"/>
      <c r="CQ32" s="1550"/>
      <c r="CR32" s="1550"/>
      <c r="CS32" s="1550"/>
      <c r="CT32" s="1550"/>
      <c r="CU32" s="1550"/>
      <c r="CV32" s="1550"/>
      <c r="CW32" s="1550"/>
      <c r="CX32" s="1550"/>
      <c r="CY32" s="1550"/>
      <c r="CZ32" s="1550"/>
      <c r="DA32" s="1550"/>
      <c r="DB32" s="1550"/>
      <c r="DC32" s="1550"/>
      <c r="DD32" s="1550"/>
      <c r="DE32" s="1550"/>
      <c r="DF32" s="1550"/>
      <c r="DG32" s="1550"/>
      <c r="DH32" s="1550"/>
      <c r="DI32" s="1550"/>
      <c r="DJ32" s="1550"/>
      <c r="DK32" s="1550"/>
      <c r="DL32" s="1550"/>
      <c r="DM32" s="1550"/>
      <c r="DN32" s="1550"/>
      <c r="DO32" s="1550"/>
      <c r="DP32" s="1550"/>
      <c r="DQ32" s="1550"/>
      <c r="DR32" s="1550"/>
      <c r="DS32" s="1550"/>
      <c r="DT32" s="1550"/>
      <c r="DU32" s="1550"/>
      <c r="DV32" s="1550"/>
      <c r="DW32" s="1550"/>
      <c r="DX32" s="1550"/>
      <c r="DY32" s="1550"/>
      <c r="DZ32" s="1550"/>
      <c r="EA32" s="1550"/>
      <c r="EB32" s="1550"/>
      <c r="EC32" s="1550"/>
      <c r="ED32" s="1550"/>
      <c r="EE32" s="1550"/>
      <c r="EF32" s="1550"/>
      <c r="EG32" s="1550"/>
      <c r="EH32" s="1550"/>
      <c r="EI32" s="1550"/>
      <c r="EJ32" s="1550"/>
      <c r="EK32" s="1550"/>
      <c r="EL32" s="1550"/>
      <c r="EM32" s="1550"/>
      <c r="EN32" s="1550"/>
      <c r="EO32" s="1550"/>
      <c r="EP32" s="1550"/>
      <c r="EQ32" s="1550"/>
      <c r="ER32" s="1550"/>
      <c r="ES32" s="1550"/>
      <c r="ET32" s="1550"/>
      <c r="EU32" s="1550"/>
      <c r="EV32" s="1548"/>
      <c r="EW32" s="1548"/>
      <c r="EX32" s="1548"/>
      <c r="EY32" s="1548"/>
      <c r="EZ32" s="1548"/>
      <c r="FA32" s="1548"/>
    </row>
    <row r="33" spans="1:166">
      <c r="A33" s="435" t="s">
        <v>1022</v>
      </c>
      <c r="B33" s="436">
        <v>8</v>
      </c>
      <c r="D33"/>
      <c r="E33" t="s">
        <v>224</v>
      </c>
      <c r="F33" s="1547"/>
      <c r="G33" s="1547"/>
      <c r="H33" s="1547"/>
      <c r="I33" s="1547"/>
      <c r="J33" s="1547"/>
      <c r="K33" s="1547"/>
      <c r="L33" s="1547"/>
      <c r="M33" s="1547"/>
      <c r="N33" s="1547"/>
      <c r="O33" s="1547"/>
      <c r="P33" s="1547"/>
      <c r="Q33" s="1547"/>
      <c r="R33" s="1547"/>
      <c r="S33" s="1547"/>
      <c r="T33" s="1547"/>
      <c r="U33" s="1547"/>
      <c r="V33" s="1547"/>
      <c r="W33" s="1547"/>
      <c r="X33" s="1547"/>
      <c r="Y33" s="1547"/>
      <c r="Z33" s="1547"/>
      <c r="AA33" s="1547"/>
      <c r="AB33" s="1547"/>
      <c r="AC33" s="1547"/>
      <c r="AD33" s="1547"/>
      <c r="AE33" s="1547"/>
      <c r="AF33" s="1547"/>
      <c r="AG33" s="1547"/>
      <c r="AH33" s="1547"/>
      <c r="AI33" s="1547"/>
      <c r="AJ33" s="1547"/>
      <c r="AK33" s="1547"/>
      <c r="AL33" s="1547"/>
      <c r="AM33" s="1547"/>
      <c r="AN33" s="1547"/>
      <c r="AO33" s="1547"/>
      <c r="AP33" s="1547"/>
      <c r="AQ33" s="1547"/>
      <c r="AR33" s="1547"/>
      <c r="AS33" s="1547"/>
      <c r="AT33" s="1547"/>
      <c r="AU33" s="1547"/>
      <c r="AV33" s="1547"/>
      <c r="AW33" s="1547"/>
      <c r="AX33" s="1547"/>
      <c r="AY33" s="1547"/>
      <c r="AZ33" s="1547"/>
      <c r="BA33" s="1547"/>
      <c r="BB33" s="1547"/>
      <c r="BC33" s="1547"/>
      <c r="BD33" s="1547"/>
      <c r="BE33" s="1547"/>
      <c r="BF33" s="1547"/>
      <c r="BG33" s="1547"/>
      <c r="BH33" s="1547"/>
      <c r="BI33" s="1547"/>
      <c r="BJ33" s="1547"/>
      <c r="BK33" s="1547"/>
      <c r="BL33" s="1547"/>
      <c r="BM33" s="1547"/>
      <c r="BN33" s="1547"/>
      <c r="BO33" s="1547"/>
      <c r="BP33" s="1547"/>
      <c r="BQ33" s="1547"/>
      <c r="BR33" s="1547"/>
      <c r="BS33" s="1547"/>
      <c r="BT33" s="1547"/>
      <c r="BU33" s="1547"/>
      <c r="BV33" s="1547"/>
      <c r="BW33" s="1547"/>
      <c r="BX33" s="1547"/>
      <c r="BY33" s="1547"/>
      <c r="BZ33" s="1547"/>
      <c r="CA33" s="1547"/>
      <c r="CB33" s="1547"/>
      <c r="CC33" s="1547"/>
      <c r="CD33" s="1547"/>
      <c r="CE33" s="1547"/>
      <c r="CF33" s="1547"/>
      <c r="CG33" s="1547"/>
      <c r="CH33" s="1547"/>
      <c r="CI33" s="1547"/>
      <c r="CJ33" s="1547"/>
      <c r="CK33" s="1547"/>
      <c r="CL33" s="1547"/>
      <c r="CM33" s="1547"/>
      <c r="CN33" s="1547"/>
      <c r="CO33" s="1547"/>
      <c r="CP33" s="1547"/>
      <c r="CQ33" s="1547"/>
      <c r="CR33" s="1547"/>
      <c r="CS33" s="1547"/>
      <c r="CT33" s="1547"/>
      <c r="CU33" s="1547"/>
      <c r="CV33" s="1547"/>
      <c r="CW33" s="1547"/>
      <c r="CX33" s="1547"/>
      <c r="CY33" s="1547"/>
      <c r="CZ33" s="1547"/>
      <c r="DA33" s="1547"/>
      <c r="DB33" s="1547"/>
      <c r="DC33" s="1547"/>
      <c r="DD33" s="1547"/>
      <c r="DE33" s="1547"/>
      <c r="DF33" s="1547"/>
      <c r="DG33" s="1547"/>
      <c r="DH33" s="1547"/>
      <c r="DI33" s="1547"/>
      <c r="DJ33" s="1547"/>
      <c r="DK33" s="1547"/>
      <c r="DL33" s="1547"/>
      <c r="DM33" s="1547"/>
      <c r="DN33" s="1547"/>
      <c r="DO33" s="1547"/>
      <c r="DP33" s="1547"/>
      <c r="DQ33" s="1547"/>
      <c r="DR33" s="1547"/>
      <c r="DS33" s="1547"/>
      <c r="DT33" s="1547"/>
      <c r="DU33" s="1547"/>
      <c r="DV33" s="1547"/>
      <c r="DW33" s="1547"/>
      <c r="DX33" s="1547"/>
      <c r="DY33" s="1547"/>
      <c r="DZ33" s="1547"/>
      <c r="EA33" s="1547"/>
      <c r="EB33" s="1547"/>
      <c r="EC33" s="1547"/>
      <c r="ED33" s="1547"/>
      <c r="EE33" s="1547"/>
      <c r="EF33" s="1547"/>
      <c r="EG33" s="1547"/>
      <c r="EH33" s="1547"/>
      <c r="EI33" s="1547"/>
      <c r="EJ33" s="1547"/>
      <c r="EK33" s="1547"/>
      <c r="EL33" s="1547"/>
      <c r="EM33" s="1547"/>
      <c r="EN33" s="1547"/>
      <c r="EO33" s="1547"/>
      <c r="EP33" s="1547"/>
      <c r="EQ33" s="1547"/>
      <c r="ER33" s="1547"/>
      <c r="ES33" s="1547"/>
      <c r="ET33" s="1547"/>
      <c r="EU33" s="1547"/>
      <c r="EV33" s="1548"/>
      <c r="EW33" s="1548"/>
      <c r="EX33" s="1548"/>
      <c r="EY33" s="1548"/>
      <c r="EZ33" s="1548"/>
      <c r="FA33" s="1548"/>
    </row>
    <row r="34" spans="1:166" s="1560" customFormat="1">
      <c r="A34" s="1553" t="s">
        <v>1021</v>
      </c>
      <c r="B34" s="1558">
        <v>13</v>
      </c>
      <c r="C34" s="1559"/>
      <c r="D34" s="1415">
        <v>8</v>
      </c>
      <c r="E34" s="434" t="s">
        <v>2398</v>
      </c>
      <c r="F34" s="1451">
        <v>81687</v>
      </c>
      <c r="G34" s="1451">
        <v>81687</v>
      </c>
      <c r="H34" s="1451">
        <v>81687</v>
      </c>
      <c r="I34" s="1451">
        <v>84138</v>
      </c>
      <c r="J34" s="1451">
        <v>84138</v>
      </c>
      <c r="K34" s="1451">
        <v>84138</v>
      </c>
      <c r="L34" s="1451">
        <v>84138</v>
      </c>
      <c r="M34" s="1451">
        <v>84138</v>
      </c>
      <c r="N34" s="1451">
        <v>84138</v>
      </c>
      <c r="O34" s="1451">
        <v>84138</v>
      </c>
      <c r="P34" s="1451">
        <v>84138</v>
      </c>
      <c r="Q34" s="1451">
        <v>84138</v>
      </c>
      <c r="R34" s="1451">
        <v>84138</v>
      </c>
      <c r="S34" s="1451">
        <v>84138</v>
      </c>
      <c r="T34" s="1451">
        <v>84138</v>
      </c>
      <c r="U34" s="1451">
        <v>86662</v>
      </c>
      <c r="V34" s="1451">
        <v>86662</v>
      </c>
      <c r="W34" s="1451">
        <v>86662</v>
      </c>
      <c r="X34" s="1451">
        <v>86662</v>
      </c>
      <c r="Y34" s="1451">
        <v>86662</v>
      </c>
      <c r="Z34" s="1451">
        <v>86662</v>
      </c>
      <c r="AA34" s="1451">
        <v>86662</v>
      </c>
      <c r="AB34" s="1451">
        <v>86662</v>
      </c>
      <c r="AC34" s="1451">
        <v>86662</v>
      </c>
      <c r="AD34" s="1451">
        <v>86662</v>
      </c>
      <c r="AE34" s="1451">
        <v>86662</v>
      </c>
      <c r="AF34" s="1451">
        <v>86662</v>
      </c>
      <c r="AG34" s="1451">
        <v>89262</v>
      </c>
      <c r="AH34" s="1451">
        <v>89262</v>
      </c>
      <c r="AI34" s="1451">
        <v>89262</v>
      </c>
      <c r="AJ34" s="1451">
        <v>89262</v>
      </c>
      <c r="AK34" s="1451">
        <v>89262</v>
      </c>
      <c r="AL34" s="1451">
        <v>89262</v>
      </c>
      <c r="AM34" s="1451">
        <v>89262</v>
      </c>
      <c r="AN34" s="1451">
        <v>89262</v>
      </c>
      <c r="AO34" s="1451">
        <v>89262</v>
      </c>
      <c r="AP34" s="1451">
        <v>89262</v>
      </c>
      <c r="AQ34" s="1451">
        <v>89262</v>
      </c>
      <c r="AR34" s="1451">
        <v>89262</v>
      </c>
      <c r="AS34" s="1451">
        <v>91939</v>
      </c>
      <c r="AT34" s="1451">
        <v>91939</v>
      </c>
      <c r="AU34" s="1451">
        <v>91939</v>
      </c>
      <c r="AV34" s="1451">
        <v>91939</v>
      </c>
      <c r="AW34" s="1451">
        <v>91939</v>
      </c>
      <c r="AX34" s="1451">
        <v>91939</v>
      </c>
      <c r="AY34" s="1451">
        <v>91939</v>
      </c>
      <c r="AZ34" s="1451">
        <v>91939</v>
      </c>
      <c r="BA34" s="1451">
        <v>91939</v>
      </c>
      <c r="BB34" s="1451">
        <v>91939</v>
      </c>
      <c r="BC34" s="1451">
        <v>91939</v>
      </c>
      <c r="BD34" s="1451">
        <v>91939</v>
      </c>
      <c r="BE34" s="1451">
        <v>94698</v>
      </c>
      <c r="BF34" s="1451">
        <v>94698</v>
      </c>
      <c r="BG34" s="1451">
        <v>94698</v>
      </c>
      <c r="BH34" s="1451">
        <v>94698</v>
      </c>
      <c r="BI34" s="1451">
        <v>94698</v>
      </c>
      <c r="BJ34" s="1451">
        <v>94698</v>
      </c>
      <c r="BK34" s="1451">
        <v>94698</v>
      </c>
      <c r="BL34" s="1451">
        <v>94698</v>
      </c>
      <c r="BM34" s="1451">
        <v>94698</v>
      </c>
      <c r="BN34" s="1451">
        <v>94698</v>
      </c>
      <c r="BO34" s="1451">
        <v>94698</v>
      </c>
      <c r="BP34" s="1451">
        <v>94698</v>
      </c>
      <c r="BQ34" s="1451">
        <v>97539</v>
      </c>
      <c r="BR34" s="1451">
        <v>97539</v>
      </c>
      <c r="BS34" s="1451">
        <v>97539</v>
      </c>
      <c r="BT34" s="1451">
        <v>97539</v>
      </c>
      <c r="BU34" s="1451">
        <v>97539</v>
      </c>
      <c r="BV34" s="1451">
        <v>97539</v>
      </c>
      <c r="BW34" s="1451">
        <v>97539</v>
      </c>
      <c r="BX34" s="1451">
        <v>97539</v>
      </c>
      <c r="BY34" s="1451">
        <v>97539</v>
      </c>
      <c r="BZ34" s="1451">
        <v>97539</v>
      </c>
      <c r="CA34" s="1451">
        <v>97539</v>
      </c>
      <c r="CB34" s="1451">
        <v>97539</v>
      </c>
      <c r="CC34" s="1451">
        <v>100465</v>
      </c>
      <c r="CD34" s="1451">
        <v>100465</v>
      </c>
      <c r="CE34" s="1451">
        <v>100465</v>
      </c>
      <c r="CF34" s="1451">
        <v>100465</v>
      </c>
      <c r="CG34" s="1451">
        <v>100465</v>
      </c>
      <c r="CH34" s="1451">
        <v>100465</v>
      </c>
      <c r="CI34" s="1451">
        <v>100465</v>
      </c>
      <c r="CJ34" s="1451">
        <v>100465</v>
      </c>
      <c r="CK34" s="1451">
        <v>100465</v>
      </c>
      <c r="CL34" s="1451">
        <v>100465</v>
      </c>
      <c r="CM34" s="1451">
        <v>100465</v>
      </c>
      <c r="CN34" s="1451">
        <v>100465</v>
      </c>
      <c r="CO34" s="1451">
        <v>103479</v>
      </c>
      <c r="CP34" s="1451">
        <v>103479</v>
      </c>
      <c r="CQ34" s="1451">
        <v>103479</v>
      </c>
      <c r="CR34" s="1451">
        <v>103479</v>
      </c>
      <c r="CS34" s="1451">
        <v>103479</v>
      </c>
      <c r="CT34" s="1451">
        <v>103479</v>
      </c>
      <c r="CU34" s="1451">
        <v>103479</v>
      </c>
      <c r="CV34" s="1451">
        <v>103479</v>
      </c>
      <c r="CW34" s="1451">
        <v>103479</v>
      </c>
      <c r="CX34" s="1451">
        <v>103479</v>
      </c>
      <c r="CY34" s="1451">
        <v>103479</v>
      </c>
      <c r="CZ34" s="1451">
        <v>103479</v>
      </c>
      <c r="DA34" s="1451">
        <v>106583</v>
      </c>
      <c r="DB34" s="1451">
        <v>106583</v>
      </c>
      <c r="DC34" s="1451">
        <v>106583</v>
      </c>
      <c r="DD34" s="1451">
        <v>106583</v>
      </c>
      <c r="DE34" s="1451">
        <v>106583</v>
      </c>
      <c r="DF34" s="1451">
        <v>106583</v>
      </c>
      <c r="DG34" s="1451">
        <v>106583</v>
      </c>
      <c r="DH34" s="1451">
        <v>106583</v>
      </c>
      <c r="DI34" s="1451">
        <v>106583</v>
      </c>
      <c r="DJ34" s="1451">
        <v>106583</v>
      </c>
      <c r="DK34" s="1451">
        <v>106583</v>
      </c>
      <c r="DL34" s="1451">
        <v>106583</v>
      </c>
      <c r="DM34" s="1451">
        <v>109780</v>
      </c>
      <c r="DN34" s="1451">
        <v>109780</v>
      </c>
      <c r="DO34" s="1451">
        <v>109780</v>
      </c>
      <c r="DP34" s="1451">
        <v>109780</v>
      </c>
      <c r="DQ34" s="1451">
        <v>109780</v>
      </c>
      <c r="DR34" s="1451">
        <v>109780</v>
      </c>
      <c r="DS34" s="1451">
        <v>109780</v>
      </c>
      <c r="DT34" s="1451">
        <v>109780</v>
      </c>
      <c r="DU34" s="1451">
        <v>109780</v>
      </c>
      <c r="DV34" s="1451">
        <v>109780</v>
      </c>
      <c r="DW34" s="1451">
        <v>109780</v>
      </c>
      <c r="DX34" s="1451">
        <v>109780</v>
      </c>
      <c r="DY34" s="1451">
        <v>113074</v>
      </c>
      <c r="DZ34" s="1451">
        <v>113074</v>
      </c>
      <c r="EA34" s="1451">
        <v>113074</v>
      </c>
      <c r="EB34" s="1451">
        <v>113074</v>
      </c>
      <c r="EC34" s="1451">
        <v>113074</v>
      </c>
      <c r="ED34" s="1451">
        <v>113074</v>
      </c>
      <c r="EE34" s="1451">
        <v>113074</v>
      </c>
      <c r="EF34" s="1451">
        <v>113074</v>
      </c>
      <c r="EG34" s="1451">
        <v>113074</v>
      </c>
      <c r="EH34" s="1451">
        <v>113074</v>
      </c>
      <c r="EI34" s="1451">
        <v>113074</v>
      </c>
      <c r="EJ34" s="1451">
        <v>113074</v>
      </c>
      <c r="EK34" s="1451">
        <v>116466</v>
      </c>
      <c r="EL34" s="1451">
        <v>116466</v>
      </c>
      <c r="EM34" s="1451">
        <v>116466</v>
      </c>
      <c r="EN34" s="1451">
        <v>116466</v>
      </c>
      <c r="EO34" s="1451">
        <v>116466</v>
      </c>
      <c r="EP34" s="1451">
        <v>116466</v>
      </c>
      <c r="EQ34" s="1451">
        <v>116466</v>
      </c>
      <c r="ER34" s="1451">
        <v>116466</v>
      </c>
      <c r="ES34" s="1451">
        <v>116466</v>
      </c>
      <c r="ET34" s="1451">
        <v>116466</v>
      </c>
      <c r="EU34" s="1451">
        <v>116466</v>
      </c>
      <c r="EV34" s="1451">
        <v>116466</v>
      </c>
      <c r="EW34" s="1451">
        <v>14574062</v>
      </c>
      <c r="EX34" s="1451"/>
      <c r="EY34" s="1451"/>
      <c r="EZ34" s="1451"/>
      <c r="FA34" s="1451"/>
      <c r="FB34" s="1451"/>
      <c r="FC34" s="1451"/>
      <c r="FD34" s="1451"/>
      <c r="FE34" s="1451"/>
      <c r="FF34" s="1451"/>
      <c r="FG34" s="1451"/>
      <c r="FH34" s="1451"/>
      <c r="FI34" s="1451"/>
      <c r="FJ34" s="1451"/>
    </row>
    <row r="35" spans="1:166">
      <c r="A35" s="435" t="s">
        <v>426</v>
      </c>
      <c r="B35" s="436">
        <v>9</v>
      </c>
      <c r="D35" s="1415">
        <v>13</v>
      </c>
      <c r="E35" s="433" t="s">
        <v>2399</v>
      </c>
      <c r="F35" s="1451">
        <v>9975</v>
      </c>
      <c r="G35" s="1451">
        <v>9975</v>
      </c>
      <c r="H35" s="1451">
        <v>9975</v>
      </c>
      <c r="I35" s="1451">
        <v>10274</v>
      </c>
      <c r="J35" s="1451">
        <v>10274</v>
      </c>
      <c r="K35" s="1451">
        <v>10274</v>
      </c>
      <c r="L35" s="1451">
        <v>10274</v>
      </c>
      <c r="M35" s="1451">
        <v>10274</v>
      </c>
      <c r="N35" s="1451">
        <v>10274</v>
      </c>
      <c r="O35" s="1451">
        <v>10274</v>
      </c>
      <c r="P35" s="1451">
        <v>10274</v>
      </c>
      <c r="Q35" s="1451">
        <v>10274</v>
      </c>
      <c r="R35" s="1451">
        <v>10274</v>
      </c>
      <c r="S35" s="1451">
        <v>10274</v>
      </c>
      <c r="T35" s="1451">
        <v>10274</v>
      </c>
      <c r="U35" s="1451">
        <v>10582</v>
      </c>
      <c r="V35" s="1451">
        <v>10582</v>
      </c>
      <c r="W35" s="1451">
        <v>10582</v>
      </c>
      <c r="X35" s="1451">
        <v>10582</v>
      </c>
      <c r="Y35" s="1451">
        <v>10582</v>
      </c>
      <c r="Z35" s="1451">
        <v>10582</v>
      </c>
      <c r="AA35" s="1451">
        <v>10582</v>
      </c>
      <c r="AB35" s="1451">
        <v>10582</v>
      </c>
      <c r="AC35" s="1451">
        <v>10582</v>
      </c>
      <c r="AD35" s="1451">
        <v>10582</v>
      </c>
      <c r="AE35" s="1451">
        <v>10582</v>
      </c>
      <c r="AF35" s="1451">
        <v>10582</v>
      </c>
      <c r="AG35" s="1451">
        <v>10900</v>
      </c>
      <c r="AH35" s="1451">
        <v>10900</v>
      </c>
      <c r="AI35" s="1451">
        <v>10900</v>
      </c>
      <c r="AJ35" s="1451">
        <v>10900</v>
      </c>
      <c r="AK35" s="1451">
        <v>10900</v>
      </c>
      <c r="AL35" s="1451">
        <v>10900</v>
      </c>
      <c r="AM35" s="1451">
        <v>10900</v>
      </c>
      <c r="AN35" s="1451">
        <v>10900</v>
      </c>
      <c r="AO35" s="1451">
        <v>10900</v>
      </c>
      <c r="AP35" s="1451">
        <v>10900</v>
      </c>
      <c r="AQ35" s="1451">
        <v>10900</v>
      </c>
      <c r="AR35" s="1451">
        <v>10900</v>
      </c>
      <c r="AS35" s="1451">
        <v>11227</v>
      </c>
      <c r="AT35" s="1451">
        <v>11227</v>
      </c>
      <c r="AU35" s="1451">
        <v>11227</v>
      </c>
      <c r="AV35" s="1451">
        <v>11227</v>
      </c>
      <c r="AW35" s="1451">
        <v>11227</v>
      </c>
      <c r="AX35" s="1451">
        <v>11227</v>
      </c>
      <c r="AY35" s="1451">
        <v>11227</v>
      </c>
      <c r="AZ35" s="1451">
        <v>11227</v>
      </c>
      <c r="BA35" s="1451">
        <v>11227</v>
      </c>
      <c r="BB35" s="1451">
        <v>11227</v>
      </c>
      <c r="BC35" s="1451">
        <v>11227</v>
      </c>
      <c r="BD35" s="1451">
        <v>11227</v>
      </c>
      <c r="BE35" s="1451">
        <v>11564</v>
      </c>
      <c r="BF35" s="1451">
        <v>11564</v>
      </c>
      <c r="BG35" s="1451">
        <v>11564</v>
      </c>
      <c r="BH35" s="1451">
        <v>11564</v>
      </c>
      <c r="BI35" s="1451">
        <v>11564</v>
      </c>
      <c r="BJ35" s="1451">
        <v>11564</v>
      </c>
      <c r="BK35" s="1451">
        <v>11564</v>
      </c>
      <c r="BL35" s="1451">
        <v>11564</v>
      </c>
      <c r="BM35" s="1451">
        <v>11564</v>
      </c>
      <c r="BN35" s="1451">
        <v>11564</v>
      </c>
      <c r="BO35" s="1451">
        <v>11564</v>
      </c>
      <c r="BP35" s="1451">
        <v>11564</v>
      </c>
      <c r="BQ35" s="1451">
        <v>11911</v>
      </c>
      <c r="BR35" s="1451">
        <v>11911</v>
      </c>
      <c r="BS35" s="1451">
        <v>11911</v>
      </c>
      <c r="BT35" s="1451">
        <v>11911</v>
      </c>
      <c r="BU35" s="1451">
        <v>11911</v>
      </c>
      <c r="BV35" s="1451">
        <v>11911</v>
      </c>
      <c r="BW35" s="1451">
        <v>11911</v>
      </c>
      <c r="BX35" s="1451">
        <v>11911</v>
      </c>
      <c r="BY35" s="1451">
        <v>11911</v>
      </c>
      <c r="BZ35" s="1451">
        <v>11911</v>
      </c>
      <c r="CA35" s="1451">
        <v>11911</v>
      </c>
      <c r="CB35" s="1451">
        <v>11911</v>
      </c>
      <c r="CC35" s="1451">
        <v>12268</v>
      </c>
      <c r="CD35" s="1451">
        <v>12268</v>
      </c>
      <c r="CE35" s="1451">
        <v>12268</v>
      </c>
      <c r="CF35" s="1451">
        <v>12268</v>
      </c>
      <c r="CG35" s="1451">
        <v>12268</v>
      </c>
      <c r="CH35" s="1451">
        <v>12268</v>
      </c>
      <c r="CI35" s="1451">
        <v>12268</v>
      </c>
      <c r="CJ35" s="1451">
        <v>12268</v>
      </c>
      <c r="CK35" s="1451">
        <v>12268</v>
      </c>
      <c r="CL35" s="1451">
        <v>12268</v>
      </c>
      <c r="CM35" s="1451">
        <v>12268</v>
      </c>
      <c r="CN35" s="1451">
        <v>12268</v>
      </c>
      <c r="CO35" s="1451">
        <v>12636</v>
      </c>
      <c r="CP35" s="1451">
        <v>12636</v>
      </c>
      <c r="CQ35" s="1451">
        <v>12636</v>
      </c>
      <c r="CR35" s="1451">
        <v>12636</v>
      </c>
      <c r="CS35" s="1451">
        <v>12636</v>
      </c>
      <c r="CT35" s="1451">
        <v>12636</v>
      </c>
      <c r="CU35" s="1451">
        <v>12636</v>
      </c>
      <c r="CV35" s="1451">
        <v>12636</v>
      </c>
      <c r="CW35" s="1451">
        <v>12636</v>
      </c>
      <c r="CX35" s="1451">
        <v>12636</v>
      </c>
      <c r="CY35" s="1451">
        <v>12636</v>
      </c>
      <c r="CZ35" s="1451">
        <v>12636</v>
      </c>
      <c r="DA35" s="1451">
        <v>13015</v>
      </c>
      <c r="DB35" s="1451">
        <v>13015</v>
      </c>
      <c r="DC35" s="1451">
        <v>13015</v>
      </c>
      <c r="DD35" s="1451">
        <v>13015</v>
      </c>
      <c r="DE35" s="1451">
        <v>13015</v>
      </c>
      <c r="DF35" s="1451">
        <v>13015</v>
      </c>
      <c r="DG35" s="1451">
        <v>13015</v>
      </c>
      <c r="DH35" s="1451">
        <v>13015</v>
      </c>
      <c r="DI35" s="1451">
        <v>13015</v>
      </c>
      <c r="DJ35" s="1451">
        <v>13015</v>
      </c>
      <c r="DK35" s="1451">
        <v>13015</v>
      </c>
      <c r="DL35" s="1451">
        <v>13015</v>
      </c>
      <c r="DM35" s="1451">
        <v>13406</v>
      </c>
      <c r="DN35" s="1451">
        <v>13406</v>
      </c>
      <c r="DO35" s="1451">
        <v>13406</v>
      </c>
      <c r="DP35" s="1451">
        <v>13406</v>
      </c>
      <c r="DQ35" s="1451">
        <v>13406</v>
      </c>
      <c r="DR35" s="1451">
        <v>13406</v>
      </c>
      <c r="DS35" s="1451">
        <v>13406</v>
      </c>
      <c r="DT35" s="1451">
        <v>13406</v>
      </c>
      <c r="DU35" s="1451">
        <v>13406</v>
      </c>
      <c r="DV35" s="1451">
        <v>13406</v>
      </c>
      <c r="DW35" s="1451">
        <v>13406</v>
      </c>
      <c r="DX35" s="1451">
        <v>13406</v>
      </c>
      <c r="DY35" s="1451">
        <v>13808</v>
      </c>
      <c r="DZ35" s="1451">
        <v>13808</v>
      </c>
      <c r="EA35" s="1451">
        <v>13808</v>
      </c>
      <c r="EB35" s="1451">
        <v>13808</v>
      </c>
      <c r="EC35" s="1451">
        <v>13808</v>
      </c>
      <c r="ED35" s="1451">
        <v>13808</v>
      </c>
      <c r="EE35" s="1451">
        <v>13808</v>
      </c>
      <c r="EF35" s="1451">
        <v>13808</v>
      </c>
      <c r="EG35" s="1451">
        <v>13808</v>
      </c>
      <c r="EH35" s="1451">
        <v>13808</v>
      </c>
      <c r="EI35" s="1451">
        <v>13808</v>
      </c>
      <c r="EJ35" s="1451">
        <v>13808</v>
      </c>
      <c r="EK35" s="1451">
        <v>14222</v>
      </c>
      <c r="EL35" s="1451">
        <v>14222</v>
      </c>
      <c r="EM35" s="1451">
        <v>14222</v>
      </c>
      <c r="EN35" s="1451">
        <v>14222</v>
      </c>
      <c r="EO35" s="1451">
        <v>14222</v>
      </c>
      <c r="EP35" s="1451">
        <v>14222</v>
      </c>
      <c r="EQ35" s="1451">
        <v>14222</v>
      </c>
      <c r="ER35" s="1451">
        <v>14222</v>
      </c>
      <c r="ES35" s="1451">
        <v>14222</v>
      </c>
      <c r="ET35" s="1451">
        <v>14222</v>
      </c>
      <c r="EU35" s="1451">
        <v>14222</v>
      </c>
      <c r="EV35" s="1451">
        <v>14222</v>
      </c>
      <c r="EW35" s="1451">
        <v>1779675</v>
      </c>
      <c r="EX35" s="1451"/>
      <c r="EY35" s="1451"/>
      <c r="EZ35" s="1451"/>
      <c r="FA35" s="1451"/>
      <c r="FB35" s="1451"/>
      <c r="FC35" s="1451"/>
      <c r="FD35" s="1451"/>
      <c r="FE35" s="1451"/>
      <c r="FF35" s="1451"/>
      <c r="FG35" s="1451"/>
      <c r="FH35" s="1451"/>
      <c r="FI35" s="1451"/>
      <c r="FJ35" s="1451"/>
    </row>
    <row r="36" spans="1:166">
      <c r="A36" s="435" t="s">
        <v>427</v>
      </c>
      <c r="B36" s="436">
        <v>10</v>
      </c>
      <c r="D36" s="969">
        <v>11</v>
      </c>
      <c r="E36" s="433" t="s">
        <v>1154</v>
      </c>
      <c r="F36" s="1451">
        <v>6318</v>
      </c>
      <c r="G36" s="1451">
        <v>7022</v>
      </c>
      <c r="H36" s="1451">
        <v>7022</v>
      </c>
      <c r="I36" s="1451">
        <v>7137</v>
      </c>
      <c r="J36" s="1451">
        <v>7137</v>
      </c>
      <c r="K36" s="1451">
        <v>7150</v>
      </c>
      <c r="L36" s="1451">
        <v>7150</v>
      </c>
      <c r="M36" s="1451">
        <v>7466</v>
      </c>
      <c r="N36" s="1451">
        <v>7492</v>
      </c>
      <c r="O36" s="1451">
        <v>6980</v>
      </c>
      <c r="P36" s="1451">
        <v>6526</v>
      </c>
      <c r="Q36" s="1451">
        <v>7693</v>
      </c>
      <c r="R36" s="1451">
        <v>7584</v>
      </c>
      <c r="S36" s="1451">
        <v>7775</v>
      </c>
      <c r="T36" s="1451">
        <v>7775</v>
      </c>
      <c r="U36" s="1451">
        <v>7141</v>
      </c>
      <c r="V36" s="1451">
        <v>7835</v>
      </c>
      <c r="W36" s="1451">
        <v>7184</v>
      </c>
      <c r="X36" s="1451">
        <v>7815</v>
      </c>
      <c r="Y36" s="1451">
        <v>8289</v>
      </c>
      <c r="Z36" s="1451">
        <v>9376</v>
      </c>
      <c r="AA36" s="1451">
        <v>9376</v>
      </c>
      <c r="AB36" s="1451">
        <v>9390</v>
      </c>
      <c r="AC36" s="1451">
        <v>9413</v>
      </c>
      <c r="AD36" s="1451">
        <v>9427</v>
      </c>
      <c r="AE36" s="1451">
        <v>9449</v>
      </c>
      <c r="AF36" s="1451">
        <v>9464</v>
      </c>
      <c r="AG36" s="1451">
        <v>9604</v>
      </c>
      <c r="AH36" s="1451">
        <v>9618</v>
      </c>
      <c r="AI36" s="1451">
        <v>9618</v>
      </c>
      <c r="AJ36" s="1451">
        <v>9631</v>
      </c>
      <c r="AK36" s="1451">
        <v>9366</v>
      </c>
      <c r="AL36" s="1451">
        <v>9628</v>
      </c>
      <c r="AM36" s="1451">
        <v>9628</v>
      </c>
      <c r="AN36" s="1451">
        <v>9643</v>
      </c>
      <c r="AO36" s="1451">
        <v>9666</v>
      </c>
      <c r="AP36" s="1451">
        <v>9678</v>
      </c>
      <c r="AQ36" s="1451">
        <v>9701</v>
      </c>
      <c r="AR36" s="1451">
        <v>9719</v>
      </c>
      <c r="AS36" s="1451">
        <v>9820</v>
      </c>
      <c r="AT36" s="1451">
        <v>9834</v>
      </c>
      <c r="AU36" s="1451">
        <v>9834</v>
      </c>
      <c r="AV36" s="1451">
        <v>9847</v>
      </c>
      <c r="AW36" s="1451">
        <v>9858</v>
      </c>
      <c r="AX36" s="1451">
        <v>9884</v>
      </c>
      <c r="AY36" s="1451">
        <v>9884</v>
      </c>
      <c r="AZ36" s="1451">
        <v>9899</v>
      </c>
      <c r="BA36" s="1451">
        <v>9923</v>
      </c>
      <c r="BB36" s="1451">
        <v>9398</v>
      </c>
      <c r="BC36" s="1451">
        <v>9130</v>
      </c>
      <c r="BD36" s="1451">
        <v>9937</v>
      </c>
      <c r="BE36" s="1451">
        <v>10078</v>
      </c>
      <c r="BF36" s="1451">
        <v>10093</v>
      </c>
      <c r="BG36" s="1451">
        <v>10093</v>
      </c>
      <c r="BH36" s="1451">
        <v>10106</v>
      </c>
      <c r="BI36" s="1451">
        <v>10118</v>
      </c>
      <c r="BJ36" s="1451">
        <v>10145</v>
      </c>
      <c r="BK36" s="1451">
        <v>10145</v>
      </c>
      <c r="BL36" s="1451">
        <v>10160</v>
      </c>
      <c r="BM36" s="1451">
        <v>10193</v>
      </c>
      <c r="BN36" s="1451">
        <v>9677</v>
      </c>
      <c r="BO36" s="1451">
        <v>10103</v>
      </c>
      <c r="BP36" s="1451">
        <v>10134</v>
      </c>
      <c r="BQ36" s="1451">
        <v>10273</v>
      </c>
      <c r="BR36" s="1451">
        <v>10288</v>
      </c>
      <c r="BS36" s="1451">
        <v>10288</v>
      </c>
      <c r="BT36" s="1451">
        <v>10302</v>
      </c>
      <c r="BU36" s="1451">
        <v>9952</v>
      </c>
      <c r="BV36" s="1451">
        <v>9701</v>
      </c>
      <c r="BW36" s="1451">
        <v>10244</v>
      </c>
      <c r="BX36" s="1451">
        <v>9448</v>
      </c>
      <c r="BY36" s="1451">
        <v>8861</v>
      </c>
      <c r="BZ36" s="1451">
        <v>10101</v>
      </c>
      <c r="CA36" s="1451">
        <v>10121</v>
      </c>
      <c r="CB36" s="1451">
        <v>10137</v>
      </c>
      <c r="CC36" s="1451">
        <v>10270</v>
      </c>
      <c r="CD36" s="1451">
        <v>9459</v>
      </c>
      <c r="CE36" s="1451">
        <v>10211</v>
      </c>
      <c r="CF36" s="1451">
        <v>9498</v>
      </c>
      <c r="CG36" s="1451">
        <v>10165</v>
      </c>
      <c r="CH36" s="1451">
        <v>8572</v>
      </c>
      <c r="CI36" s="1451">
        <v>9071</v>
      </c>
      <c r="CJ36" s="1451">
        <v>9927</v>
      </c>
      <c r="CK36" s="1451">
        <v>9941</v>
      </c>
      <c r="CL36" s="1451">
        <v>9965</v>
      </c>
      <c r="CM36" s="1451">
        <v>9985</v>
      </c>
      <c r="CN36" s="1451">
        <v>10002</v>
      </c>
      <c r="CO36" s="1451">
        <v>10153</v>
      </c>
      <c r="CP36" s="1451">
        <v>10153</v>
      </c>
      <c r="CQ36" s="1451">
        <v>10167</v>
      </c>
      <c r="CR36" s="1451">
        <v>10167</v>
      </c>
      <c r="CS36" s="1451">
        <v>10185</v>
      </c>
      <c r="CT36" s="1451">
        <v>9923</v>
      </c>
      <c r="CU36" s="1451">
        <v>10193</v>
      </c>
      <c r="CV36" s="1451">
        <v>10202</v>
      </c>
      <c r="CW36" s="1451">
        <v>10216</v>
      </c>
      <c r="CX36" s="1451">
        <v>10232</v>
      </c>
      <c r="CY36" s="1451">
        <v>10253</v>
      </c>
      <c r="CZ36" s="1451">
        <v>10288</v>
      </c>
      <c r="DA36" s="1451">
        <v>10443</v>
      </c>
      <c r="DB36" s="1451">
        <v>10443</v>
      </c>
      <c r="DC36" s="1451">
        <v>10457</v>
      </c>
      <c r="DD36" s="1451">
        <v>10457</v>
      </c>
      <c r="DE36" s="1451">
        <v>10476</v>
      </c>
      <c r="DF36" s="1451">
        <v>10484</v>
      </c>
      <c r="DG36" s="1451">
        <v>10508</v>
      </c>
      <c r="DH36" s="1451">
        <v>10517</v>
      </c>
      <c r="DI36" s="1451">
        <v>10532</v>
      </c>
      <c r="DJ36" s="1451">
        <v>10554</v>
      </c>
      <c r="DK36" s="1451">
        <v>9827</v>
      </c>
      <c r="DL36" s="1451">
        <v>9596</v>
      </c>
      <c r="DM36" s="1451">
        <v>10572</v>
      </c>
      <c r="DN36" s="1451">
        <v>10572</v>
      </c>
      <c r="DO36" s="1451">
        <v>10587</v>
      </c>
      <c r="DP36" s="1451">
        <v>10587</v>
      </c>
      <c r="DQ36" s="1451">
        <v>10607</v>
      </c>
      <c r="DR36" s="1451">
        <v>10615</v>
      </c>
      <c r="DS36" s="1451">
        <v>10639</v>
      </c>
      <c r="DT36" s="1451">
        <v>10649</v>
      </c>
      <c r="DU36" s="1451">
        <v>10510</v>
      </c>
      <c r="DV36" s="1451">
        <v>10669</v>
      </c>
      <c r="DW36" s="1451">
        <v>10201</v>
      </c>
      <c r="DX36" s="1451">
        <v>10649</v>
      </c>
      <c r="DY36" s="1451">
        <v>10816</v>
      </c>
      <c r="DZ36" s="1451">
        <v>10816</v>
      </c>
      <c r="EA36" s="1451">
        <v>10831</v>
      </c>
      <c r="EB36" s="1451">
        <v>10831</v>
      </c>
      <c r="EC36" s="1451">
        <v>10851</v>
      </c>
      <c r="ED36" s="1451">
        <v>10500</v>
      </c>
      <c r="EE36" s="1451">
        <v>10230</v>
      </c>
      <c r="EF36" s="1451">
        <v>10814</v>
      </c>
      <c r="EG36" s="1451">
        <v>9979</v>
      </c>
      <c r="EH36" s="1451">
        <v>9374</v>
      </c>
      <c r="EI36" s="1451">
        <v>10672</v>
      </c>
      <c r="EJ36" s="1451">
        <v>10711</v>
      </c>
      <c r="EK36" s="1451">
        <v>10883</v>
      </c>
      <c r="EL36" s="1451">
        <v>10883</v>
      </c>
      <c r="EM36" s="1451">
        <v>10032</v>
      </c>
      <c r="EN36" s="1451">
        <v>10824</v>
      </c>
      <c r="EO36" s="1451">
        <v>9379</v>
      </c>
      <c r="EP36" s="1451">
        <v>9791</v>
      </c>
      <c r="EQ36" s="1451">
        <v>10122</v>
      </c>
      <c r="ER36" s="1451">
        <v>9678</v>
      </c>
      <c r="ES36" s="1451">
        <v>9678</v>
      </c>
      <c r="ET36" s="1451">
        <v>10631</v>
      </c>
      <c r="EU36" s="1451">
        <v>10653</v>
      </c>
      <c r="EV36" s="1451">
        <v>10674</v>
      </c>
      <c r="EW36" s="1451">
        <v>1425896</v>
      </c>
      <c r="EX36" s="1451"/>
      <c r="EY36" s="1451"/>
      <c r="EZ36" s="1451"/>
      <c r="FA36" s="1451"/>
      <c r="FB36" s="1451"/>
      <c r="FC36" s="1451"/>
      <c r="FD36" s="1451"/>
      <c r="FE36" s="1451"/>
      <c r="FF36" s="1451"/>
      <c r="FG36" s="1451"/>
      <c r="FH36" s="1451"/>
      <c r="FI36" s="1451"/>
      <c r="FJ36" s="1451"/>
    </row>
    <row r="37" spans="1:166">
      <c r="A37" s="435" t="s">
        <v>428</v>
      </c>
      <c r="B37" s="436">
        <v>11</v>
      </c>
      <c r="D37" s="969">
        <v>10</v>
      </c>
      <c r="E37" s="433" t="s">
        <v>604</v>
      </c>
      <c r="F37" s="1451">
        <v>12090</v>
      </c>
      <c r="G37" s="1451">
        <v>12090</v>
      </c>
      <c r="H37" s="1451">
        <v>12090</v>
      </c>
      <c r="I37" s="1451">
        <v>12453</v>
      </c>
      <c r="J37" s="1451">
        <v>12453</v>
      </c>
      <c r="K37" s="1451">
        <v>12453</v>
      </c>
      <c r="L37" s="1451">
        <v>12453</v>
      </c>
      <c r="M37" s="1451">
        <v>12453</v>
      </c>
      <c r="N37" s="1451">
        <v>12453</v>
      </c>
      <c r="O37" s="1451">
        <v>12453</v>
      </c>
      <c r="P37" s="1451">
        <v>12453</v>
      </c>
      <c r="Q37" s="1451">
        <v>12453</v>
      </c>
      <c r="R37" s="1451">
        <v>12453</v>
      </c>
      <c r="S37" s="1451">
        <v>12453</v>
      </c>
      <c r="T37" s="1451">
        <v>12453</v>
      </c>
      <c r="U37" s="1451">
        <v>12826</v>
      </c>
      <c r="V37" s="1451">
        <v>12826</v>
      </c>
      <c r="W37" s="1451">
        <v>12826</v>
      </c>
      <c r="X37" s="1451">
        <v>12826</v>
      </c>
      <c r="Y37" s="1451">
        <v>12826</v>
      </c>
      <c r="Z37" s="1451">
        <v>12826</v>
      </c>
      <c r="AA37" s="1451">
        <v>12826</v>
      </c>
      <c r="AB37" s="1451">
        <v>12826</v>
      </c>
      <c r="AC37" s="1451">
        <v>12826</v>
      </c>
      <c r="AD37" s="1451">
        <v>12826</v>
      </c>
      <c r="AE37" s="1451">
        <v>12826</v>
      </c>
      <c r="AF37" s="1451">
        <v>12826</v>
      </c>
      <c r="AG37" s="1451">
        <v>13211</v>
      </c>
      <c r="AH37" s="1451">
        <v>13211</v>
      </c>
      <c r="AI37" s="1451">
        <v>13211</v>
      </c>
      <c r="AJ37" s="1451">
        <v>13211</v>
      </c>
      <c r="AK37" s="1451">
        <v>13211</v>
      </c>
      <c r="AL37" s="1451">
        <v>13211</v>
      </c>
      <c r="AM37" s="1451">
        <v>13211</v>
      </c>
      <c r="AN37" s="1451">
        <v>13211</v>
      </c>
      <c r="AO37" s="1451">
        <v>13211</v>
      </c>
      <c r="AP37" s="1451">
        <v>13211</v>
      </c>
      <c r="AQ37" s="1451">
        <v>13211</v>
      </c>
      <c r="AR37" s="1451">
        <v>13211</v>
      </c>
      <c r="AS37" s="1451">
        <v>13607</v>
      </c>
      <c r="AT37" s="1451">
        <v>13607</v>
      </c>
      <c r="AU37" s="1451">
        <v>13607</v>
      </c>
      <c r="AV37" s="1451">
        <v>13607</v>
      </c>
      <c r="AW37" s="1451">
        <v>13607</v>
      </c>
      <c r="AX37" s="1451">
        <v>13607</v>
      </c>
      <c r="AY37" s="1451">
        <v>13607</v>
      </c>
      <c r="AZ37" s="1451">
        <v>13607</v>
      </c>
      <c r="BA37" s="1451">
        <v>13607</v>
      </c>
      <c r="BB37" s="1451">
        <v>13607</v>
      </c>
      <c r="BC37" s="1451">
        <v>13607</v>
      </c>
      <c r="BD37" s="1451">
        <v>13607</v>
      </c>
      <c r="BE37" s="1451">
        <v>14016</v>
      </c>
      <c r="BF37" s="1451">
        <v>14016</v>
      </c>
      <c r="BG37" s="1451">
        <v>14016</v>
      </c>
      <c r="BH37" s="1451">
        <v>14016</v>
      </c>
      <c r="BI37" s="1451">
        <v>14016</v>
      </c>
      <c r="BJ37" s="1451">
        <v>14016</v>
      </c>
      <c r="BK37" s="1451">
        <v>14016</v>
      </c>
      <c r="BL37" s="1451">
        <v>14016</v>
      </c>
      <c r="BM37" s="1451">
        <v>14016</v>
      </c>
      <c r="BN37" s="1451">
        <v>14016</v>
      </c>
      <c r="BO37" s="1451">
        <v>14016</v>
      </c>
      <c r="BP37" s="1451">
        <v>14016</v>
      </c>
      <c r="BQ37" s="1451">
        <v>14436</v>
      </c>
      <c r="BR37" s="1451">
        <v>14436</v>
      </c>
      <c r="BS37" s="1451">
        <v>14436</v>
      </c>
      <c r="BT37" s="1451">
        <v>14436</v>
      </c>
      <c r="BU37" s="1451">
        <v>14436</v>
      </c>
      <c r="BV37" s="1451">
        <v>14436</v>
      </c>
      <c r="BW37" s="1451">
        <v>14436</v>
      </c>
      <c r="BX37" s="1451">
        <v>14436</v>
      </c>
      <c r="BY37" s="1451">
        <v>14436</v>
      </c>
      <c r="BZ37" s="1451">
        <v>14436</v>
      </c>
      <c r="CA37" s="1451">
        <v>14436</v>
      </c>
      <c r="CB37" s="1451">
        <v>14436</v>
      </c>
      <c r="CC37" s="1451">
        <v>14869</v>
      </c>
      <c r="CD37" s="1451">
        <v>14869</v>
      </c>
      <c r="CE37" s="1451">
        <v>14869</v>
      </c>
      <c r="CF37" s="1451">
        <v>14869</v>
      </c>
      <c r="CG37" s="1451">
        <v>14869</v>
      </c>
      <c r="CH37" s="1451">
        <v>14869</v>
      </c>
      <c r="CI37" s="1451">
        <v>14869</v>
      </c>
      <c r="CJ37" s="1451">
        <v>14869</v>
      </c>
      <c r="CK37" s="1451">
        <v>14869</v>
      </c>
      <c r="CL37" s="1451">
        <v>14869</v>
      </c>
      <c r="CM37" s="1451">
        <v>14869</v>
      </c>
      <c r="CN37" s="1451">
        <v>14869</v>
      </c>
      <c r="CO37" s="1451">
        <v>15315</v>
      </c>
      <c r="CP37" s="1451">
        <v>15315</v>
      </c>
      <c r="CQ37" s="1451">
        <v>15315</v>
      </c>
      <c r="CR37" s="1451">
        <v>15315</v>
      </c>
      <c r="CS37" s="1451">
        <v>15315</v>
      </c>
      <c r="CT37" s="1451">
        <v>15315</v>
      </c>
      <c r="CU37" s="1451">
        <v>15315</v>
      </c>
      <c r="CV37" s="1451">
        <v>15315</v>
      </c>
      <c r="CW37" s="1451">
        <v>15315</v>
      </c>
      <c r="CX37" s="1451">
        <v>15315</v>
      </c>
      <c r="CY37" s="1451">
        <v>15315</v>
      </c>
      <c r="CZ37" s="1451">
        <v>15315</v>
      </c>
      <c r="DA37" s="1451">
        <v>15775</v>
      </c>
      <c r="DB37" s="1451">
        <v>15775</v>
      </c>
      <c r="DC37" s="1451">
        <v>15775</v>
      </c>
      <c r="DD37" s="1451">
        <v>15775</v>
      </c>
      <c r="DE37" s="1451">
        <v>15775</v>
      </c>
      <c r="DF37" s="1451">
        <v>15775</v>
      </c>
      <c r="DG37" s="1451">
        <v>15775</v>
      </c>
      <c r="DH37" s="1451">
        <v>15775</v>
      </c>
      <c r="DI37" s="1451">
        <v>15775</v>
      </c>
      <c r="DJ37" s="1451">
        <v>15775</v>
      </c>
      <c r="DK37" s="1451">
        <v>15775</v>
      </c>
      <c r="DL37" s="1451">
        <v>15775</v>
      </c>
      <c r="DM37" s="1451">
        <v>16248</v>
      </c>
      <c r="DN37" s="1451">
        <v>16248</v>
      </c>
      <c r="DO37" s="1451">
        <v>16248</v>
      </c>
      <c r="DP37" s="1451">
        <v>16248</v>
      </c>
      <c r="DQ37" s="1451">
        <v>16248</v>
      </c>
      <c r="DR37" s="1451">
        <v>16248</v>
      </c>
      <c r="DS37" s="1451">
        <v>16248</v>
      </c>
      <c r="DT37" s="1451">
        <v>16248</v>
      </c>
      <c r="DU37" s="1451">
        <v>16248</v>
      </c>
      <c r="DV37" s="1451">
        <v>16248</v>
      </c>
      <c r="DW37" s="1451">
        <v>16248</v>
      </c>
      <c r="DX37" s="1451">
        <v>16248</v>
      </c>
      <c r="DY37" s="1451">
        <v>16735</v>
      </c>
      <c r="DZ37" s="1451">
        <v>16735</v>
      </c>
      <c r="EA37" s="1451">
        <v>16735</v>
      </c>
      <c r="EB37" s="1451">
        <v>16735</v>
      </c>
      <c r="EC37" s="1451">
        <v>16735</v>
      </c>
      <c r="ED37" s="1451">
        <v>16735</v>
      </c>
      <c r="EE37" s="1451">
        <v>16735</v>
      </c>
      <c r="EF37" s="1451">
        <v>16735</v>
      </c>
      <c r="EG37" s="1451">
        <v>16735</v>
      </c>
      <c r="EH37" s="1451">
        <v>16735</v>
      </c>
      <c r="EI37" s="1451">
        <v>16735</v>
      </c>
      <c r="EJ37" s="1451">
        <v>16735</v>
      </c>
      <c r="EK37" s="1451">
        <v>17237</v>
      </c>
      <c r="EL37" s="1451">
        <v>17237</v>
      </c>
      <c r="EM37" s="1451">
        <v>17237</v>
      </c>
      <c r="EN37" s="1451">
        <v>17237</v>
      </c>
      <c r="EO37" s="1451">
        <v>17237</v>
      </c>
      <c r="EP37" s="1451">
        <v>17237</v>
      </c>
      <c r="EQ37" s="1451">
        <v>17237</v>
      </c>
      <c r="ER37" s="1451">
        <v>17237</v>
      </c>
      <c r="ES37" s="1451">
        <v>17237</v>
      </c>
      <c r="ET37" s="1451">
        <v>17237</v>
      </c>
      <c r="EU37" s="1451">
        <v>17237</v>
      </c>
      <c r="EV37" s="1451">
        <v>17237</v>
      </c>
      <c r="EW37" s="1451">
        <v>2157019</v>
      </c>
      <c r="EX37" s="1451"/>
      <c r="EY37" s="1451"/>
      <c r="EZ37" s="1451"/>
      <c r="FA37" s="1451"/>
      <c r="FB37" s="1451"/>
      <c r="FC37" s="1451"/>
      <c r="FD37" s="1451"/>
      <c r="FE37" s="1451"/>
      <c r="FF37" s="1451"/>
      <c r="FG37" s="1451"/>
      <c r="FH37" s="1451"/>
      <c r="FI37" s="1451"/>
      <c r="FJ37" s="1451"/>
    </row>
    <row r="38" spans="1:166">
      <c r="A38" s="435" t="s">
        <v>429</v>
      </c>
      <c r="B38" s="436">
        <v>12</v>
      </c>
      <c r="D38" s="969">
        <v>12</v>
      </c>
      <c r="E38" s="433" t="s">
        <v>2252</v>
      </c>
      <c r="F38" s="1451">
        <v>32809</v>
      </c>
      <c r="G38" s="1451">
        <v>32809</v>
      </c>
      <c r="H38" s="1451">
        <v>32809</v>
      </c>
      <c r="I38" s="1451">
        <v>33793</v>
      </c>
      <c r="J38" s="1451">
        <v>33793</v>
      </c>
      <c r="K38" s="1451">
        <v>33793</v>
      </c>
      <c r="L38" s="1451">
        <v>33793</v>
      </c>
      <c r="M38" s="1451">
        <v>33793</v>
      </c>
      <c r="N38" s="1451">
        <v>33793</v>
      </c>
      <c r="O38" s="1451">
        <v>33793</v>
      </c>
      <c r="P38" s="1451">
        <v>33793</v>
      </c>
      <c r="Q38" s="1451">
        <v>33793</v>
      </c>
      <c r="R38" s="1451">
        <v>33793</v>
      </c>
      <c r="S38" s="1451">
        <v>33793</v>
      </c>
      <c r="T38" s="1451">
        <v>33793</v>
      </c>
      <c r="U38" s="1451">
        <v>34807</v>
      </c>
      <c r="V38" s="1451">
        <v>34807</v>
      </c>
      <c r="W38" s="1451">
        <v>34807</v>
      </c>
      <c r="X38" s="1451">
        <v>34807</v>
      </c>
      <c r="Y38" s="1451">
        <v>34807</v>
      </c>
      <c r="Z38" s="1451">
        <v>34807</v>
      </c>
      <c r="AA38" s="1451">
        <v>34807</v>
      </c>
      <c r="AB38" s="1451">
        <v>34807</v>
      </c>
      <c r="AC38" s="1451">
        <v>34807</v>
      </c>
      <c r="AD38" s="1451">
        <v>34807</v>
      </c>
      <c r="AE38" s="1451">
        <v>34807</v>
      </c>
      <c r="AF38" s="1451">
        <v>34807</v>
      </c>
      <c r="AG38" s="1451">
        <v>35851</v>
      </c>
      <c r="AH38" s="1451">
        <v>35851</v>
      </c>
      <c r="AI38" s="1451">
        <v>35851</v>
      </c>
      <c r="AJ38" s="1451">
        <v>35851</v>
      </c>
      <c r="AK38" s="1451">
        <v>35851</v>
      </c>
      <c r="AL38" s="1451">
        <v>35851</v>
      </c>
      <c r="AM38" s="1451">
        <v>35851</v>
      </c>
      <c r="AN38" s="1451">
        <v>35851</v>
      </c>
      <c r="AO38" s="1451">
        <v>35851</v>
      </c>
      <c r="AP38" s="1451">
        <v>35851</v>
      </c>
      <c r="AQ38" s="1451">
        <v>35851</v>
      </c>
      <c r="AR38" s="1451">
        <v>35851</v>
      </c>
      <c r="AS38" s="1451">
        <v>36927</v>
      </c>
      <c r="AT38" s="1451">
        <v>36927</v>
      </c>
      <c r="AU38" s="1451">
        <v>36927</v>
      </c>
      <c r="AV38" s="1451">
        <v>36927</v>
      </c>
      <c r="AW38" s="1451">
        <v>36927</v>
      </c>
      <c r="AX38" s="1451">
        <v>36927</v>
      </c>
      <c r="AY38" s="1451">
        <v>36927</v>
      </c>
      <c r="AZ38" s="1451">
        <v>36927</v>
      </c>
      <c r="BA38" s="1451">
        <v>36927</v>
      </c>
      <c r="BB38" s="1451">
        <v>36927</v>
      </c>
      <c r="BC38" s="1451">
        <v>36927</v>
      </c>
      <c r="BD38" s="1451">
        <v>36927</v>
      </c>
      <c r="BE38" s="1451">
        <v>38035</v>
      </c>
      <c r="BF38" s="1451">
        <v>38035</v>
      </c>
      <c r="BG38" s="1451">
        <v>38035</v>
      </c>
      <c r="BH38" s="1451">
        <v>38035</v>
      </c>
      <c r="BI38" s="1451">
        <v>38035</v>
      </c>
      <c r="BJ38" s="1451">
        <v>38035</v>
      </c>
      <c r="BK38" s="1451">
        <v>38035</v>
      </c>
      <c r="BL38" s="1451">
        <v>38035</v>
      </c>
      <c r="BM38" s="1451">
        <v>38035</v>
      </c>
      <c r="BN38" s="1451">
        <v>38035</v>
      </c>
      <c r="BO38" s="1451">
        <v>38035</v>
      </c>
      <c r="BP38" s="1451">
        <v>38035</v>
      </c>
      <c r="BQ38" s="1451">
        <v>39176</v>
      </c>
      <c r="BR38" s="1451">
        <v>39176</v>
      </c>
      <c r="BS38" s="1451">
        <v>39176</v>
      </c>
      <c r="BT38" s="1451">
        <v>39176</v>
      </c>
      <c r="BU38" s="1451">
        <v>39176</v>
      </c>
      <c r="BV38" s="1451">
        <v>39176</v>
      </c>
      <c r="BW38" s="1451">
        <v>39176</v>
      </c>
      <c r="BX38" s="1451">
        <v>39176</v>
      </c>
      <c r="BY38" s="1451">
        <v>39176</v>
      </c>
      <c r="BZ38" s="1451">
        <v>39176</v>
      </c>
      <c r="CA38" s="1451">
        <v>39176</v>
      </c>
      <c r="CB38" s="1451">
        <v>39176</v>
      </c>
      <c r="CC38" s="1451">
        <v>40351</v>
      </c>
      <c r="CD38" s="1451">
        <v>40351</v>
      </c>
      <c r="CE38" s="1451">
        <v>40351</v>
      </c>
      <c r="CF38" s="1451">
        <v>40351</v>
      </c>
      <c r="CG38" s="1451">
        <v>40351</v>
      </c>
      <c r="CH38" s="1451">
        <v>40351</v>
      </c>
      <c r="CI38" s="1451">
        <v>40351</v>
      </c>
      <c r="CJ38" s="1451">
        <v>40351</v>
      </c>
      <c r="CK38" s="1451">
        <v>40351</v>
      </c>
      <c r="CL38" s="1451">
        <v>40351</v>
      </c>
      <c r="CM38" s="1451">
        <v>40351</v>
      </c>
      <c r="CN38" s="1451">
        <v>40351</v>
      </c>
      <c r="CO38" s="1451">
        <v>41561</v>
      </c>
      <c r="CP38" s="1451">
        <v>41561</v>
      </c>
      <c r="CQ38" s="1451">
        <v>41561</v>
      </c>
      <c r="CR38" s="1451">
        <v>41561</v>
      </c>
      <c r="CS38" s="1451">
        <v>41561</v>
      </c>
      <c r="CT38" s="1451">
        <v>41561</v>
      </c>
      <c r="CU38" s="1451">
        <v>41561</v>
      </c>
      <c r="CV38" s="1451">
        <v>41561</v>
      </c>
      <c r="CW38" s="1451">
        <v>41561</v>
      </c>
      <c r="CX38" s="1451">
        <v>41561</v>
      </c>
      <c r="CY38" s="1451">
        <v>41561</v>
      </c>
      <c r="CZ38" s="1451">
        <v>41561</v>
      </c>
      <c r="DA38" s="1451">
        <v>42808</v>
      </c>
      <c r="DB38" s="1451">
        <v>42808</v>
      </c>
      <c r="DC38" s="1451">
        <v>42808</v>
      </c>
      <c r="DD38" s="1451">
        <v>42808</v>
      </c>
      <c r="DE38" s="1451">
        <v>42808</v>
      </c>
      <c r="DF38" s="1451">
        <v>42808</v>
      </c>
      <c r="DG38" s="1451">
        <v>42808</v>
      </c>
      <c r="DH38" s="1451">
        <v>42808</v>
      </c>
      <c r="DI38" s="1451">
        <v>42808</v>
      </c>
      <c r="DJ38" s="1451">
        <v>42808</v>
      </c>
      <c r="DK38" s="1451">
        <v>42808</v>
      </c>
      <c r="DL38" s="1451">
        <v>42808</v>
      </c>
      <c r="DM38" s="1451">
        <v>44093</v>
      </c>
      <c r="DN38" s="1451">
        <v>44093</v>
      </c>
      <c r="DO38" s="1451">
        <v>44093</v>
      </c>
      <c r="DP38" s="1451">
        <v>44093</v>
      </c>
      <c r="DQ38" s="1451">
        <v>44093</v>
      </c>
      <c r="DR38" s="1451">
        <v>44093</v>
      </c>
      <c r="DS38" s="1451">
        <v>44093</v>
      </c>
      <c r="DT38" s="1451">
        <v>44093</v>
      </c>
      <c r="DU38" s="1451">
        <v>44093</v>
      </c>
      <c r="DV38" s="1451">
        <v>44093</v>
      </c>
      <c r="DW38" s="1451">
        <v>44093</v>
      </c>
      <c r="DX38" s="1451">
        <v>44093</v>
      </c>
      <c r="DY38" s="1451">
        <v>45415</v>
      </c>
      <c r="DZ38" s="1451">
        <v>45415</v>
      </c>
      <c r="EA38" s="1451">
        <v>45415</v>
      </c>
      <c r="EB38" s="1451">
        <v>45415</v>
      </c>
      <c r="EC38" s="1451">
        <v>45415</v>
      </c>
      <c r="ED38" s="1451">
        <v>45415</v>
      </c>
      <c r="EE38" s="1451">
        <v>45415</v>
      </c>
      <c r="EF38" s="1451">
        <v>45415</v>
      </c>
      <c r="EG38" s="1451">
        <v>45415</v>
      </c>
      <c r="EH38" s="1451">
        <v>45415</v>
      </c>
      <c r="EI38" s="1451">
        <v>45415</v>
      </c>
      <c r="EJ38" s="1451">
        <v>45415</v>
      </c>
      <c r="EK38" s="1451">
        <v>46778</v>
      </c>
      <c r="EL38" s="1451">
        <v>46778</v>
      </c>
      <c r="EM38" s="1451">
        <v>46778</v>
      </c>
      <c r="EN38" s="1451">
        <v>46778</v>
      </c>
      <c r="EO38" s="1451">
        <v>46778</v>
      </c>
      <c r="EP38" s="1451">
        <v>46778</v>
      </c>
      <c r="EQ38" s="1451">
        <v>46778</v>
      </c>
      <c r="ER38" s="1451">
        <v>46778</v>
      </c>
      <c r="ES38" s="1451">
        <v>46778</v>
      </c>
      <c r="ET38" s="1451">
        <v>46778</v>
      </c>
      <c r="EU38" s="1451">
        <v>46778</v>
      </c>
      <c r="EV38" s="1451">
        <v>46778</v>
      </c>
      <c r="EW38" s="1451">
        <v>5853568</v>
      </c>
      <c r="EX38" s="1451"/>
      <c r="EY38" s="1451"/>
      <c r="EZ38" s="1451"/>
      <c r="FA38" s="1451"/>
      <c r="FB38" s="1451"/>
      <c r="FC38" s="1451"/>
      <c r="FD38" s="1451"/>
      <c r="FE38" s="1451"/>
      <c r="FF38" s="1451"/>
      <c r="FG38" s="1451"/>
      <c r="FH38" s="1451"/>
      <c r="FI38" s="1451"/>
      <c r="FJ38" s="1451"/>
    </row>
    <row r="39" spans="1:166">
      <c r="A39" s="435" t="s">
        <v>1157</v>
      </c>
      <c r="B39" s="436" t="s">
        <v>1158</v>
      </c>
      <c r="D39" s="969">
        <v>13</v>
      </c>
      <c r="E39" s="433" t="s">
        <v>1155</v>
      </c>
      <c r="F39" s="1451">
        <v>1950</v>
      </c>
      <c r="G39" s="1451">
        <v>1950</v>
      </c>
      <c r="H39" s="1451">
        <v>1950</v>
      </c>
      <c r="I39" s="1451">
        <v>1950</v>
      </c>
      <c r="J39" s="1451">
        <v>1950</v>
      </c>
      <c r="K39" s="1451">
        <v>1950</v>
      </c>
      <c r="L39" s="1451">
        <v>1950</v>
      </c>
      <c r="M39" s="1451">
        <v>1950</v>
      </c>
      <c r="N39" s="1451">
        <v>1950</v>
      </c>
      <c r="O39" s="1451">
        <v>1950</v>
      </c>
      <c r="P39" s="1451">
        <v>1950</v>
      </c>
      <c r="Q39" s="1451">
        <v>1950</v>
      </c>
      <c r="R39" s="1451">
        <v>1950</v>
      </c>
      <c r="S39" s="1451">
        <v>1950</v>
      </c>
      <c r="T39" s="1451">
        <v>1950</v>
      </c>
      <c r="U39" s="1451">
        <v>1950</v>
      </c>
      <c r="V39" s="1451">
        <v>1950</v>
      </c>
      <c r="W39" s="1451">
        <v>1950</v>
      </c>
      <c r="X39" s="1451">
        <v>1950</v>
      </c>
      <c r="Y39" s="1451">
        <v>1950</v>
      </c>
      <c r="Z39" s="1451">
        <v>1950</v>
      </c>
      <c r="AA39" s="1451">
        <v>1950</v>
      </c>
      <c r="AB39" s="1451">
        <v>1950</v>
      </c>
      <c r="AC39" s="1451">
        <v>1950</v>
      </c>
      <c r="AD39" s="1451">
        <v>1950</v>
      </c>
      <c r="AE39" s="1451">
        <v>1950</v>
      </c>
      <c r="AF39" s="1451">
        <v>1950</v>
      </c>
      <c r="AG39" s="1451">
        <v>1950</v>
      </c>
      <c r="AH39" s="1451">
        <v>1950</v>
      </c>
      <c r="AI39" s="1451">
        <v>1950</v>
      </c>
      <c r="AJ39" s="1451">
        <v>1950</v>
      </c>
      <c r="AK39" s="1451">
        <v>1950</v>
      </c>
      <c r="AL39" s="1451">
        <v>1950</v>
      </c>
      <c r="AM39" s="1451">
        <v>1950</v>
      </c>
      <c r="AN39" s="1451">
        <v>1950</v>
      </c>
      <c r="AO39" s="1451">
        <v>1950</v>
      </c>
      <c r="AP39" s="1451">
        <v>1950</v>
      </c>
      <c r="AQ39" s="1451">
        <v>1950</v>
      </c>
      <c r="AR39" s="1451">
        <v>1950</v>
      </c>
      <c r="AS39" s="1451">
        <v>1950</v>
      </c>
      <c r="AT39" s="1451">
        <v>1950</v>
      </c>
      <c r="AU39" s="1451">
        <v>1950</v>
      </c>
      <c r="AV39" s="1451">
        <v>1950</v>
      </c>
      <c r="AW39" s="1451">
        <v>1950</v>
      </c>
      <c r="AX39" s="1451">
        <v>1950</v>
      </c>
      <c r="AY39" s="1451">
        <v>1950</v>
      </c>
      <c r="AZ39" s="1451">
        <v>1950</v>
      </c>
      <c r="BA39" s="1451">
        <v>1950</v>
      </c>
      <c r="BB39" s="1451">
        <v>1950</v>
      </c>
      <c r="BC39" s="1451">
        <v>1950</v>
      </c>
      <c r="BD39" s="1451">
        <v>1950</v>
      </c>
      <c r="BE39" s="1451">
        <v>1950</v>
      </c>
      <c r="BF39" s="1451">
        <v>1950</v>
      </c>
      <c r="BG39" s="1451">
        <v>1950</v>
      </c>
      <c r="BH39" s="1451">
        <v>1950</v>
      </c>
      <c r="BI39" s="1451">
        <v>1950</v>
      </c>
      <c r="BJ39" s="1451">
        <v>1950</v>
      </c>
      <c r="BK39" s="1451">
        <v>1950</v>
      </c>
      <c r="BL39" s="1451">
        <v>1950</v>
      </c>
      <c r="BM39" s="1451">
        <v>1950</v>
      </c>
      <c r="BN39" s="1451">
        <v>1950</v>
      </c>
      <c r="BO39" s="1451">
        <v>1950</v>
      </c>
      <c r="BP39" s="1451">
        <v>1950</v>
      </c>
      <c r="BQ39" s="1451">
        <v>1950</v>
      </c>
      <c r="BR39" s="1451">
        <v>1950</v>
      </c>
      <c r="BS39" s="1451">
        <v>1950</v>
      </c>
      <c r="BT39" s="1451">
        <v>1950</v>
      </c>
      <c r="BU39" s="1451">
        <v>1950</v>
      </c>
      <c r="BV39" s="1451">
        <v>1950</v>
      </c>
      <c r="BW39" s="1451">
        <v>1950</v>
      </c>
      <c r="BX39" s="1451">
        <v>1950</v>
      </c>
      <c r="BY39" s="1451">
        <v>1950</v>
      </c>
      <c r="BZ39" s="1451">
        <v>1950</v>
      </c>
      <c r="CA39" s="1451">
        <v>1950</v>
      </c>
      <c r="CB39" s="1451">
        <v>1950</v>
      </c>
      <c r="CC39" s="1451">
        <v>1950</v>
      </c>
      <c r="CD39" s="1451">
        <v>1950</v>
      </c>
      <c r="CE39" s="1451">
        <v>1950</v>
      </c>
      <c r="CF39" s="1451">
        <v>1950</v>
      </c>
      <c r="CG39" s="1451">
        <v>1950</v>
      </c>
      <c r="CH39" s="1451">
        <v>1950</v>
      </c>
      <c r="CI39" s="1451">
        <v>1950</v>
      </c>
      <c r="CJ39" s="1451">
        <v>1950</v>
      </c>
      <c r="CK39" s="1451">
        <v>1950</v>
      </c>
      <c r="CL39" s="1451">
        <v>1950</v>
      </c>
      <c r="CM39" s="1451">
        <v>1950</v>
      </c>
      <c r="CN39" s="1451">
        <v>1950</v>
      </c>
      <c r="CO39" s="1451">
        <v>1950</v>
      </c>
      <c r="CP39" s="1451">
        <v>1950</v>
      </c>
      <c r="CQ39" s="1451">
        <v>1950</v>
      </c>
      <c r="CR39" s="1451">
        <v>1950</v>
      </c>
      <c r="CS39" s="1451">
        <v>1950</v>
      </c>
      <c r="CT39" s="1451">
        <v>1950</v>
      </c>
      <c r="CU39" s="1451">
        <v>1950</v>
      </c>
      <c r="CV39" s="1451">
        <v>1950</v>
      </c>
      <c r="CW39" s="1451">
        <v>1950</v>
      </c>
      <c r="CX39" s="1451">
        <v>1950</v>
      </c>
      <c r="CY39" s="1451">
        <v>1950</v>
      </c>
      <c r="CZ39" s="1451">
        <v>1950</v>
      </c>
      <c r="DA39" s="1451">
        <v>1950</v>
      </c>
      <c r="DB39" s="1451">
        <v>1950</v>
      </c>
      <c r="DC39" s="1451">
        <v>1950</v>
      </c>
      <c r="DD39" s="1451">
        <v>1950</v>
      </c>
      <c r="DE39" s="1451">
        <v>1950</v>
      </c>
      <c r="DF39" s="1451">
        <v>1950</v>
      </c>
      <c r="DG39" s="1451">
        <v>1950</v>
      </c>
      <c r="DH39" s="1451">
        <v>1950</v>
      </c>
      <c r="DI39" s="1451">
        <v>1950</v>
      </c>
      <c r="DJ39" s="1451">
        <v>1950</v>
      </c>
      <c r="DK39" s="1451">
        <v>1950</v>
      </c>
      <c r="DL39" s="1451">
        <v>1950</v>
      </c>
      <c r="DM39" s="1451">
        <v>1950</v>
      </c>
      <c r="DN39" s="1451">
        <v>1950</v>
      </c>
      <c r="DO39" s="1451">
        <v>1950</v>
      </c>
      <c r="DP39" s="1451">
        <v>1950</v>
      </c>
      <c r="DQ39" s="1451">
        <v>1950</v>
      </c>
      <c r="DR39" s="1451">
        <v>1950</v>
      </c>
      <c r="DS39" s="1451">
        <v>1950</v>
      </c>
      <c r="DT39" s="1451">
        <v>1950</v>
      </c>
      <c r="DU39" s="1451">
        <v>1950</v>
      </c>
      <c r="DV39" s="1451">
        <v>1950</v>
      </c>
      <c r="DW39" s="1451">
        <v>1950</v>
      </c>
      <c r="DX39" s="1451">
        <v>1950</v>
      </c>
      <c r="DY39" s="1451">
        <v>1950</v>
      </c>
      <c r="DZ39" s="1451">
        <v>1950</v>
      </c>
      <c r="EA39" s="1451">
        <v>1950</v>
      </c>
      <c r="EB39" s="1451">
        <v>1950</v>
      </c>
      <c r="EC39" s="1451">
        <v>1950</v>
      </c>
      <c r="ED39" s="1451">
        <v>1950</v>
      </c>
      <c r="EE39" s="1451">
        <v>1950</v>
      </c>
      <c r="EF39" s="1451">
        <v>1950</v>
      </c>
      <c r="EG39" s="1451">
        <v>1950</v>
      </c>
      <c r="EH39" s="1451">
        <v>1950</v>
      </c>
      <c r="EI39" s="1451">
        <v>1950</v>
      </c>
      <c r="EJ39" s="1451">
        <v>1950</v>
      </c>
      <c r="EK39" s="1451">
        <v>1950</v>
      </c>
      <c r="EL39" s="1451">
        <v>1950</v>
      </c>
      <c r="EM39" s="1451">
        <v>1950</v>
      </c>
      <c r="EN39" s="1451">
        <v>1950</v>
      </c>
      <c r="EO39" s="1451">
        <v>1950</v>
      </c>
      <c r="EP39" s="1451">
        <v>1950</v>
      </c>
      <c r="EQ39" s="1451">
        <v>1950</v>
      </c>
      <c r="ER39" s="1451">
        <v>1950</v>
      </c>
      <c r="ES39" s="1451">
        <v>1950</v>
      </c>
      <c r="ET39" s="1451">
        <v>1950</v>
      </c>
      <c r="EU39" s="1451">
        <v>1950</v>
      </c>
      <c r="EV39" s="1451">
        <v>1950</v>
      </c>
      <c r="EW39" s="1451">
        <v>286650</v>
      </c>
      <c r="EX39" s="1451"/>
      <c r="EY39" s="1451"/>
      <c r="EZ39" s="1451"/>
      <c r="FA39" s="1451"/>
      <c r="FB39" s="1451"/>
      <c r="FC39" s="1451"/>
      <c r="FD39" s="1451"/>
      <c r="FE39" s="1451"/>
      <c r="FF39" s="1451"/>
      <c r="FG39" s="1451"/>
      <c r="FH39" s="1451"/>
      <c r="FI39" s="1451"/>
      <c r="FJ39" s="1451"/>
    </row>
    <row r="40" spans="1:166">
      <c r="A40" s="433" t="s">
        <v>102</v>
      </c>
      <c r="B40" s="436" t="s">
        <v>445</v>
      </c>
      <c r="D40" s="1415" t="s">
        <v>445</v>
      </c>
      <c r="E40" s="433" t="s">
        <v>102</v>
      </c>
      <c r="F40" s="1452">
        <v>144829</v>
      </c>
      <c r="G40" s="1452">
        <v>145533</v>
      </c>
      <c r="H40" s="1452">
        <v>145533</v>
      </c>
      <c r="I40" s="1452">
        <v>149745</v>
      </c>
      <c r="J40" s="1452">
        <v>149745</v>
      </c>
      <c r="K40" s="1452">
        <v>149757</v>
      </c>
      <c r="L40" s="1452">
        <v>149757</v>
      </c>
      <c r="M40" s="1452">
        <v>150074</v>
      </c>
      <c r="N40" s="1452">
        <v>150100</v>
      </c>
      <c r="O40" s="1452">
        <v>149588</v>
      </c>
      <c r="P40" s="1452">
        <v>149134</v>
      </c>
      <c r="Q40" s="1452">
        <v>150301</v>
      </c>
      <c r="R40" s="1452">
        <v>150192</v>
      </c>
      <c r="S40" s="1452">
        <v>150383</v>
      </c>
      <c r="T40" s="1452">
        <v>150383</v>
      </c>
      <c r="U40" s="1452">
        <v>153969</v>
      </c>
      <c r="V40" s="1452">
        <v>154662</v>
      </c>
      <c r="W40" s="1452">
        <v>154011</v>
      </c>
      <c r="X40" s="1452">
        <v>154642</v>
      </c>
      <c r="Y40" s="1452">
        <v>155117</v>
      </c>
      <c r="Z40" s="1452">
        <v>156204</v>
      </c>
      <c r="AA40" s="1452">
        <v>156204</v>
      </c>
      <c r="AB40" s="1452">
        <v>156218</v>
      </c>
      <c r="AC40" s="1452">
        <v>156241</v>
      </c>
      <c r="AD40" s="1452">
        <v>156254</v>
      </c>
      <c r="AE40" s="1452">
        <v>156277</v>
      </c>
      <c r="AF40" s="1452">
        <v>156292</v>
      </c>
      <c r="AG40" s="1452">
        <v>160778</v>
      </c>
      <c r="AH40" s="1452">
        <v>160792</v>
      </c>
      <c r="AI40" s="1452">
        <v>160792</v>
      </c>
      <c r="AJ40" s="1452">
        <v>160805</v>
      </c>
      <c r="AK40" s="1452">
        <v>160540</v>
      </c>
      <c r="AL40" s="1452">
        <v>160802</v>
      </c>
      <c r="AM40" s="1452">
        <v>160802</v>
      </c>
      <c r="AN40" s="1452">
        <v>160817</v>
      </c>
      <c r="AO40" s="1452">
        <v>160840</v>
      </c>
      <c r="AP40" s="1452">
        <v>160852</v>
      </c>
      <c r="AQ40" s="1452">
        <v>160875</v>
      </c>
      <c r="AR40" s="1452">
        <v>160892</v>
      </c>
      <c r="AS40" s="1452">
        <v>165470</v>
      </c>
      <c r="AT40" s="1452">
        <v>165485</v>
      </c>
      <c r="AU40" s="1452">
        <v>165485</v>
      </c>
      <c r="AV40" s="1452">
        <v>165497</v>
      </c>
      <c r="AW40" s="1452">
        <v>165508</v>
      </c>
      <c r="AX40" s="1452">
        <v>165535</v>
      </c>
      <c r="AY40" s="1452">
        <v>165535</v>
      </c>
      <c r="AZ40" s="1452">
        <v>165549</v>
      </c>
      <c r="BA40" s="1452">
        <v>165573</v>
      </c>
      <c r="BB40" s="1452">
        <v>165049</v>
      </c>
      <c r="BC40" s="1452">
        <v>164780</v>
      </c>
      <c r="BD40" s="1452">
        <v>165588</v>
      </c>
      <c r="BE40" s="1452">
        <v>170340</v>
      </c>
      <c r="BF40" s="1452">
        <v>170355</v>
      </c>
      <c r="BG40" s="1452">
        <v>170355</v>
      </c>
      <c r="BH40" s="1452">
        <v>170368</v>
      </c>
      <c r="BI40" s="1452">
        <v>170379</v>
      </c>
      <c r="BJ40" s="1452">
        <v>170406</v>
      </c>
      <c r="BK40" s="1452">
        <v>170406</v>
      </c>
      <c r="BL40" s="1452">
        <v>170422</v>
      </c>
      <c r="BM40" s="1452">
        <v>170454</v>
      </c>
      <c r="BN40" s="1452">
        <v>169939</v>
      </c>
      <c r="BO40" s="1452">
        <v>170364</v>
      </c>
      <c r="BP40" s="1452">
        <v>170396</v>
      </c>
      <c r="BQ40" s="1452">
        <v>175284</v>
      </c>
      <c r="BR40" s="1452">
        <v>175299</v>
      </c>
      <c r="BS40" s="1452">
        <v>175299</v>
      </c>
      <c r="BT40" s="1452">
        <v>175313</v>
      </c>
      <c r="BU40" s="1452">
        <v>174963</v>
      </c>
      <c r="BV40" s="1452">
        <v>174712</v>
      </c>
      <c r="BW40" s="1452">
        <v>175255</v>
      </c>
      <c r="BX40" s="1452">
        <v>174459</v>
      </c>
      <c r="BY40" s="1452">
        <v>173872</v>
      </c>
      <c r="BZ40" s="1452">
        <v>175112</v>
      </c>
      <c r="CA40" s="1452">
        <v>175132</v>
      </c>
      <c r="CB40" s="1452">
        <v>175148</v>
      </c>
      <c r="CC40" s="1452">
        <v>180172</v>
      </c>
      <c r="CD40" s="1452">
        <v>179362</v>
      </c>
      <c r="CE40" s="1452">
        <v>180114</v>
      </c>
      <c r="CF40" s="1452">
        <v>179400</v>
      </c>
      <c r="CG40" s="1452">
        <v>180067</v>
      </c>
      <c r="CH40" s="1452">
        <v>178474</v>
      </c>
      <c r="CI40" s="1452">
        <v>178974</v>
      </c>
      <c r="CJ40" s="1452">
        <v>179830</v>
      </c>
      <c r="CK40" s="1452">
        <v>179843</v>
      </c>
      <c r="CL40" s="1452">
        <v>179868</v>
      </c>
      <c r="CM40" s="1452">
        <v>179888</v>
      </c>
      <c r="CN40" s="1452">
        <v>179905</v>
      </c>
      <c r="CO40" s="1452">
        <v>185094</v>
      </c>
      <c r="CP40" s="1452">
        <v>185094</v>
      </c>
      <c r="CQ40" s="1452">
        <v>185108</v>
      </c>
      <c r="CR40" s="1452">
        <v>185108</v>
      </c>
      <c r="CS40" s="1452">
        <v>185126</v>
      </c>
      <c r="CT40" s="1452">
        <v>184864</v>
      </c>
      <c r="CU40" s="1452">
        <v>185134</v>
      </c>
      <c r="CV40" s="1452">
        <v>185143</v>
      </c>
      <c r="CW40" s="1452">
        <v>185158</v>
      </c>
      <c r="CX40" s="1452">
        <v>185173</v>
      </c>
      <c r="CY40" s="1452">
        <v>185194</v>
      </c>
      <c r="CZ40" s="1452">
        <v>185229</v>
      </c>
      <c r="DA40" s="1452">
        <v>190574</v>
      </c>
      <c r="DB40" s="1452">
        <v>190574</v>
      </c>
      <c r="DC40" s="1452">
        <v>190588</v>
      </c>
      <c r="DD40" s="1452">
        <v>190588</v>
      </c>
      <c r="DE40" s="1452">
        <v>190607</v>
      </c>
      <c r="DF40" s="1452">
        <v>190615</v>
      </c>
      <c r="DG40" s="1452">
        <v>190639</v>
      </c>
      <c r="DH40" s="1452">
        <v>190648</v>
      </c>
      <c r="DI40" s="1452">
        <v>190663</v>
      </c>
      <c r="DJ40" s="1452">
        <v>190685</v>
      </c>
      <c r="DK40" s="1452">
        <v>189958</v>
      </c>
      <c r="DL40" s="1452">
        <v>189728</v>
      </c>
      <c r="DM40" s="1452">
        <v>196049</v>
      </c>
      <c r="DN40" s="1452">
        <v>196049</v>
      </c>
      <c r="DO40" s="1452">
        <v>196064</v>
      </c>
      <c r="DP40" s="1452">
        <v>196064</v>
      </c>
      <c r="DQ40" s="1452">
        <v>196083</v>
      </c>
      <c r="DR40" s="1452">
        <v>196092</v>
      </c>
      <c r="DS40" s="1452">
        <v>196116</v>
      </c>
      <c r="DT40" s="1452">
        <v>196125</v>
      </c>
      <c r="DU40" s="1452">
        <v>195986</v>
      </c>
      <c r="DV40" s="1452">
        <v>196145</v>
      </c>
      <c r="DW40" s="1452">
        <v>195678</v>
      </c>
      <c r="DX40" s="1452">
        <v>196126</v>
      </c>
      <c r="DY40" s="1452">
        <v>201798</v>
      </c>
      <c r="DZ40" s="1452">
        <v>201798</v>
      </c>
      <c r="EA40" s="1452">
        <v>201813</v>
      </c>
      <c r="EB40" s="1452">
        <v>201813</v>
      </c>
      <c r="EC40" s="1452">
        <v>201833</v>
      </c>
      <c r="ED40" s="1452">
        <v>201482</v>
      </c>
      <c r="EE40" s="1452">
        <v>201213</v>
      </c>
      <c r="EF40" s="1452">
        <v>201796</v>
      </c>
      <c r="EG40" s="1452">
        <v>200961</v>
      </c>
      <c r="EH40" s="1452">
        <v>200356</v>
      </c>
      <c r="EI40" s="1452">
        <v>201654</v>
      </c>
      <c r="EJ40" s="1452">
        <v>201694</v>
      </c>
      <c r="EK40" s="1452">
        <v>207537</v>
      </c>
      <c r="EL40" s="1452">
        <v>207537</v>
      </c>
      <c r="EM40" s="1452">
        <v>206686</v>
      </c>
      <c r="EN40" s="1452">
        <v>207478</v>
      </c>
      <c r="EO40" s="1452">
        <v>206033</v>
      </c>
      <c r="EP40" s="1452">
        <v>206445</v>
      </c>
      <c r="EQ40" s="1452">
        <v>206775</v>
      </c>
      <c r="ER40" s="1452">
        <v>206331</v>
      </c>
      <c r="ES40" s="1452">
        <v>206331</v>
      </c>
      <c r="ET40" s="1452">
        <v>207284</v>
      </c>
      <c r="EU40" s="1452">
        <v>207307</v>
      </c>
      <c r="EV40" s="1452">
        <v>207327</v>
      </c>
      <c r="EW40" s="1452">
        <v>26076870</v>
      </c>
      <c r="EX40" s="1452"/>
      <c r="EY40" s="1452"/>
      <c r="EZ40" s="1452"/>
      <c r="FA40" s="1452"/>
      <c r="FB40" s="1452"/>
      <c r="FC40" s="1452"/>
      <c r="FD40" s="1452"/>
      <c r="FE40" s="1452"/>
      <c r="FF40" s="1452"/>
      <c r="FG40" s="1452"/>
      <c r="FH40" s="1452"/>
      <c r="FI40" s="1452"/>
      <c r="FJ40" s="1452"/>
    </row>
    <row r="41" spans="1:166">
      <c r="B41" s="436"/>
      <c r="D41"/>
    </row>
    <row r="42" spans="1:166">
      <c r="A42" s="433" t="s">
        <v>225</v>
      </c>
      <c r="B42" s="436" t="s">
        <v>74</v>
      </c>
      <c r="D42" s="1415" t="s">
        <v>74</v>
      </c>
      <c r="E42" s="433" t="s">
        <v>225</v>
      </c>
      <c r="F42" s="1453">
        <v>107898</v>
      </c>
      <c r="G42" s="1453">
        <v>135350</v>
      </c>
      <c r="H42" s="1453">
        <v>135350</v>
      </c>
      <c r="I42" s="1453">
        <v>135745</v>
      </c>
      <c r="J42" s="1453">
        <v>135745</v>
      </c>
      <c r="K42" s="1453">
        <v>136226</v>
      </c>
      <c r="L42" s="1453">
        <v>136226</v>
      </c>
      <c r="M42" s="1453">
        <v>148577</v>
      </c>
      <c r="N42" s="1453">
        <v>149596</v>
      </c>
      <c r="O42" s="1453">
        <v>129629</v>
      </c>
      <c r="P42" s="1453">
        <v>111917</v>
      </c>
      <c r="Q42" s="1453">
        <v>157408</v>
      </c>
      <c r="R42" s="1453">
        <v>153174</v>
      </c>
      <c r="S42" s="1453">
        <v>160621</v>
      </c>
      <c r="T42" s="1453">
        <v>160621</v>
      </c>
      <c r="U42" s="1453">
        <v>131672</v>
      </c>
      <c r="V42" s="1453">
        <v>158718</v>
      </c>
      <c r="W42" s="1453">
        <v>133339</v>
      </c>
      <c r="X42" s="1453">
        <v>157939</v>
      </c>
      <c r="Y42" s="1453">
        <v>176443</v>
      </c>
      <c r="Z42" s="1453">
        <v>218852</v>
      </c>
      <c r="AA42" s="1453">
        <v>218852</v>
      </c>
      <c r="AB42" s="1453">
        <v>219396</v>
      </c>
      <c r="AC42" s="1453">
        <v>220278</v>
      </c>
      <c r="AD42" s="1453">
        <v>220817</v>
      </c>
      <c r="AE42" s="1453">
        <v>221692</v>
      </c>
      <c r="AF42" s="1453">
        <v>222276</v>
      </c>
      <c r="AG42" s="1453">
        <v>223393</v>
      </c>
      <c r="AH42" s="1453">
        <v>223942</v>
      </c>
      <c r="AI42" s="1453">
        <v>223942</v>
      </c>
      <c r="AJ42" s="1453">
        <v>224424</v>
      </c>
      <c r="AK42" s="1453">
        <v>214118</v>
      </c>
      <c r="AL42" s="1453">
        <v>224332</v>
      </c>
      <c r="AM42" s="1453">
        <v>224332</v>
      </c>
      <c r="AN42" s="1453">
        <v>224892</v>
      </c>
      <c r="AO42" s="1453">
        <v>225800</v>
      </c>
      <c r="AP42" s="1453">
        <v>226270</v>
      </c>
      <c r="AQ42" s="1453">
        <v>227180</v>
      </c>
      <c r="AR42" s="1453">
        <v>227851</v>
      </c>
      <c r="AS42" s="1453">
        <v>227310</v>
      </c>
      <c r="AT42" s="1453">
        <v>227875</v>
      </c>
      <c r="AU42" s="1453">
        <v>227875</v>
      </c>
      <c r="AV42" s="1453">
        <v>228373</v>
      </c>
      <c r="AW42" s="1453">
        <v>228796</v>
      </c>
      <c r="AX42" s="1453">
        <v>229827</v>
      </c>
      <c r="AY42" s="1453">
        <v>229827</v>
      </c>
      <c r="AZ42" s="1453">
        <v>230404</v>
      </c>
      <c r="BA42" s="1453">
        <v>231339</v>
      </c>
      <c r="BB42" s="1453">
        <v>210885</v>
      </c>
      <c r="BC42" s="1453">
        <v>200411</v>
      </c>
      <c r="BD42" s="1453">
        <v>231901</v>
      </c>
      <c r="BE42" s="1453">
        <v>232796</v>
      </c>
      <c r="BF42" s="1453">
        <v>233378</v>
      </c>
      <c r="BG42" s="1453">
        <v>233378</v>
      </c>
      <c r="BH42" s="1453">
        <v>233890</v>
      </c>
      <c r="BI42" s="1453">
        <v>234326</v>
      </c>
      <c r="BJ42" s="1453">
        <v>235388</v>
      </c>
      <c r="BK42" s="1453">
        <v>235388</v>
      </c>
      <c r="BL42" s="1453">
        <v>235982</v>
      </c>
      <c r="BM42" s="1453">
        <v>237256</v>
      </c>
      <c r="BN42" s="1453">
        <v>217152</v>
      </c>
      <c r="BO42" s="1453">
        <v>233738</v>
      </c>
      <c r="BP42" s="1453">
        <v>234981</v>
      </c>
      <c r="BQ42" s="1453">
        <v>235625</v>
      </c>
      <c r="BR42" s="1453">
        <v>236225</v>
      </c>
      <c r="BS42" s="1453">
        <v>236225</v>
      </c>
      <c r="BT42" s="1453">
        <v>236752</v>
      </c>
      <c r="BU42" s="1453">
        <v>223135</v>
      </c>
      <c r="BV42" s="1453">
        <v>213324</v>
      </c>
      <c r="BW42" s="1453">
        <v>234493</v>
      </c>
      <c r="BX42" s="1453">
        <v>203444</v>
      </c>
      <c r="BY42" s="1453">
        <v>180563</v>
      </c>
      <c r="BZ42" s="1453">
        <v>228924</v>
      </c>
      <c r="CA42" s="1453">
        <v>229697</v>
      </c>
      <c r="CB42" s="1453">
        <v>230322</v>
      </c>
      <c r="CC42" s="1453">
        <v>230610</v>
      </c>
      <c r="CD42" s="1453">
        <v>199008</v>
      </c>
      <c r="CE42" s="1453">
        <v>228315</v>
      </c>
      <c r="CF42" s="1453">
        <v>200504</v>
      </c>
      <c r="CG42" s="1453">
        <v>226516</v>
      </c>
      <c r="CH42" s="1453">
        <v>164392</v>
      </c>
      <c r="CI42" s="1453">
        <v>183863</v>
      </c>
      <c r="CJ42" s="1453">
        <v>217240</v>
      </c>
      <c r="CK42" s="1453">
        <v>217784</v>
      </c>
      <c r="CL42" s="1453">
        <v>218727</v>
      </c>
      <c r="CM42" s="1453">
        <v>219524</v>
      </c>
      <c r="CN42" s="1453">
        <v>220168</v>
      </c>
      <c r="CO42" s="1453">
        <v>221020</v>
      </c>
      <c r="CP42" s="1453">
        <v>221020</v>
      </c>
      <c r="CQ42" s="1453">
        <v>221568</v>
      </c>
      <c r="CR42" s="1453">
        <v>221568</v>
      </c>
      <c r="CS42" s="1453">
        <v>222278</v>
      </c>
      <c r="CT42" s="1453">
        <v>212052</v>
      </c>
      <c r="CU42" s="1453">
        <v>222584</v>
      </c>
      <c r="CV42" s="1453">
        <v>222933</v>
      </c>
      <c r="CW42" s="1453">
        <v>223493</v>
      </c>
      <c r="CX42" s="1453">
        <v>224105</v>
      </c>
      <c r="CY42" s="1453">
        <v>224925</v>
      </c>
      <c r="CZ42" s="1453">
        <v>226282</v>
      </c>
      <c r="DA42" s="1453">
        <v>227136</v>
      </c>
      <c r="DB42" s="1453">
        <v>227136</v>
      </c>
      <c r="DC42" s="1453">
        <v>227701</v>
      </c>
      <c r="DD42" s="1453">
        <v>227701</v>
      </c>
      <c r="DE42" s="1453">
        <v>228432</v>
      </c>
      <c r="DF42" s="1453">
        <v>228750</v>
      </c>
      <c r="DG42" s="1453">
        <v>229665</v>
      </c>
      <c r="DH42" s="1453">
        <v>230025</v>
      </c>
      <c r="DI42" s="1453">
        <v>230602</v>
      </c>
      <c r="DJ42" s="1453">
        <v>231480</v>
      </c>
      <c r="DK42" s="1453">
        <v>203111</v>
      </c>
      <c r="DL42" s="1453">
        <v>194131</v>
      </c>
      <c r="DM42" s="1453">
        <v>226846</v>
      </c>
      <c r="DN42" s="1453">
        <v>226846</v>
      </c>
      <c r="DO42" s="1453">
        <v>227428</v>
      </c>
      <c r="DP42" s="1453">
        <v>227428</v>
      </c>
      <c r="DQ42" s="1453">
        <v>228181</v>
      </c>
      <c r="DR42" s="1453">
        <v>228508</v>
      </c>
      <c r="DS42" s="1453">
        <v>229451</v>
      </c>
      <c r="DT42" s="1453">
        <v>229821</v>
      </c>
      <c r="DU42" s="1453">
        <v>224401</v>
      </c>
      <c r="DV42" s="1453">
        <v>230610</v>
      </c>
      <c r="DW42" s="1453">
        <v>212362</v>
      </c>
      <c r="DX42" s="1453">
        <v>229847</v>
      </c>
      <c r="DY42" s="1453">
        <v>230829</v>
      </c>
      <c r="DZ42" s="1453">
        <v>230829</v>
      </c>
      <c r="EA42" s="1453">
        <v>231429</v>
      </c>
      <c r="EB42" s="1453">
        <v>231429</v>
      </c>
      <c r="EC42" s="1453">
        <v>232204</v>
      </c>
      <c r="ED42" s="1453">
        <v>218511</v>
      </c>
      <c r="EE42" s="1453">
        <v>207997</v>
      </c>
      <c r="EF42" s="1453">
        <v>230756</v>
      </c>
      <c r="EG42" s="1453">
        <v>198184</v>
      </c>
      <c r="EH42" s="1453">
        <v>174604</v>
      </c>
      <c r="EI42" s="1453">
        <v>225226</v>
      </c>
      <c r="EJ42" s="1453">
        <v>226755</v>
      </c>
      <c r="EK42" s="1453">
        <v>227794</v>
      </c>
      <c r="EL42" s="1453">
        <v>227794</v>
      </c>
      <c r="EM42" s="1453">
        <v>194613</v>
      </c>
      <c r="EN42" s="1453">
        <v>225499</v>
      </c>
      <c r="EO42" s="1453">
        <v>169135</v>
      </c>
      <c r="EP42" s="1453">
        <v>185204</v>
      </c>
      <c r="EQ42" s="1453">
        <v>198096</v>
      </c>
      <c r="ER42" s="1453">
        <v>180784</v>
      </c>
      <c r="ES42" s="1453">
        <v>180784</v>
      </c>
      <c r="ET42" s="1453">
        <v>217948</v>
      </c>
      <c r="EU42" s="1453">
        <v>218830</v>
      </c>
      <c r="EV42" s="1453">
        <v>219626</v>
      </c>
      <c r="EW42" s="1453">
        <v>30958978</v>
      </c>
      <c r="EX42" s="1453"/>
      <c r="EY42" s="1453"/>
      <c r="EZ42" s="1453"/>
      <c r="FA42" s="1453"/>
      <c r="FB42" s="1453"/>
      <c r="FC42" s="1453"/>
      <c r="FD42" s="1453"/>
      <c r="FE42" s="1453"/>
      <c r="FF42" s="1453"/>
      <c r="FG42" s="1453"/>
      <c r="FH42" s="1453"/>
      <c r="FI42" s="1453"/>
      <c r="FJ42" s="1453"/>
    </row>
    <row r="43" spans="1:166">
      <c r="B43" s="436"/>
      <c r="D43"/>
    </row>
    <row r="44" spans="1:166">
      <c r="A44" s="434" t="s">
        <v>97</v>
      </c>
      <c r="B44" s="436"/>
      <c r="D44"/>
      <c r="E44" s="434" t="s">
        <v>97</v>
      </c>
    </row>
    <row r="45" spans="1:166">
      <c r="A45" s="435" t="s">
        <v>430</v>
      </c>
      <c r="B45" s="436" t="s">
        <v>408</v>
      </c>
      <c r="D45" s="969" t="s">
        <v>408</v>
      </c>
      <c r="E45" s="435" t="s">
        <v>410</v>
      </c>
      <c r="F45" s="1451">
        <v>0</v>
      </c>
      <c r="G45" s="1451">
        <v>0</v>
      </c>
      <c r="H45" s="1451">
        <v>0</v>
      </c>
      <c r="I45" s="1451">
        <v>0</v>
      </c>
      <c r="J45" s="1451">
        <v>0</v>
      </c>
      <c r="K45" s="1451">
        <v>0</v>
      </c>
      <c r="L45" s="1451">
        <v>0</v>
      </c>
      <c r="M45" s="1451">
        <v>65700</v>
      </c>
      <c r="N45" s="1451">
        <v>0</v>
      </c>
      <c r="O45" s="1451">
        <v>0</v>
      </c>
      <c r="P45" s="1451">
        <v>102960</v>
      </c>
      <c r="Q45" s="1451">
        <v>154368</v>
      </c>
      <c r="R45" s="1451">
        <v>0</v>
      </c>
      <c r="S45" s="1451">
        <v>0</v>
      </c>
      <c r="T45" s="1451">
        <v>0</v>
      </c>
      <c r="U45" s="1451">
        <v>0</v>
      </c>
      <c r="V45" s="1451">
        <v>103860</v>
      </c>
      <c r="W45" s="1451">
        <v>0</v>
      </c>
      <c r="X45" s="1451">
        <v>91404</v>
      </c>
      <c r="Y45" s="1451">
        <v>1125000</v>
      </c>
      <c r="Z45" s="1451">
        <v>147450</v>
      </c>
      <c r="AA45" s="1451">
        <v>0</v>
      </c>
      <c r="AB45" s="1451">
        <v>0</v>
      </c>
      <c r="AC45" s="1451">
        <v>0</v>
      </c>
      <c r="AD45" s="1451">
        <v>0</v>
      </c>
      <c r="AE45" s="1451">
        <v>0</v>
      </c>
      <c r="AF45" s="1451">
        <v>0</v>
      </c>
      <c r="AG45" s="1451">
        <v>0</v>
      </c>
      <c r="AH45" s="1451">
        <v>0</v>
      </c>
      <c r="AI45" s="1451">
        <v>0</v>
      </c>
      <c r="AJ45" s="1451">
        <v>0</v>
      </c>
      <c r="AK45" s="1451">
        <v>0</v>
      </c>
      <c r="AL45" s="1451">
        <v>37008</v>
      </c>
      <c r="AM45" s="1451">
        <v>0</v>
      </c>
      <c r="AN45" s="1451">
        <v>0</v>
      </c>
      <c r="AO45" s="1451">
        <v>0</v>
      </c>
      <c r="AP45" s="1451">
        <v>0</v>
      </c>
      <c r="AQ45" s="1451">
        <v>0</v>
      </c>
      <c r="AR45" s="1451">
        <v>0</v>
      </c>
      <c r="AS45" s="1451">
        <v>0</v>
      </c>
      <c r="AT45" s="1451">
        <v>0</v>
      </c>
      <c r="AU45" s="1451">
        <v>0</v>
      </c>
      <c r="AV45" s="1451">
        <v>0</v>
      </c>
      <c r="AW45" s="1451">
        <v>0</v>
      </c>
      <c r="AX45" s="1451">
        <v>0</v>
      </c>
      <c r="AY45" s="1451">
        <v>0</v>
      </c>
      <c r="AZ45" s="1451">
        <v>0</v>
      </c>
      <c r="BA45" s="1451">
        <v>0</v>
      </c>
      <c r="BB45" s="1451">
        <v>0</v>
      </c>
      <c r="BC45" s="1451">
        <v>99684</v>
      </c>
      <c r="BD45" s="1451">
        <v>114984</v>
      </c>
      <c r="BE45" s="1451">
        <v>0</v>
      </c>
      <c r="BF45" s="1451">
        <v>0</v>
      </c>
      <c r="BG45" s="1451">
        <v>0</v>
      </c>
      <c r="BH45" s="1451">
        <v>0</v>
      </c>
      <c r="BI45" s="1451">
        <v>0</v>
      </c>
      <c r="BJ45" s="1451">
        <v>0</v>
      </c>
      <c r="BK45" s="1451">
        <v>0</v>
      </c>
      <c r="BL45" s="1451">
        <v>0</v>
      </c>
      <c r="BM45" s="1451">
        <v>0</v>
      </c>
      <c r="BN45" s="1451">
        <v>0</v>
      </c>
      <c r="BO45" s="1451">
        <v>62856</v>
      </c>
      <c r="BP45" s="1451">
        <v>0</v>
      </c>
      <c r="BQ45" s="1451">
        <v>0</v>
      </c>
      <c r="BR45" s="1451">
        <v>0</v>
      </c>
      <c r="BS45" s="1451">
        <v>0</v>
      </c>
      <c r="BT45" s="1451">
        <v>0</v>
      </c>
      <c r="BU45" s="1451">
        <v>0</v>
      </c>
      <c r="BV45" s="1451">
        <v>39420</v>
      </c>
      <c r="BW45" s="1451">
        <v>81684</v>
      </c>
      <c r="BX45" s="1451">
        <v>0</v>
      </c>
      <c r="BY45" s="1451">
        <v>102960</v>
      </c>
      <c r="BZ45" s="1451">
        <v>154368</v>
      </c>
      <c r="CA45" s="1451">
        <v>0</v>
      </c>
      <c r="CB45" s="1451">
        <v>0</v>
      </c>
      <c r="CC45" s="1451">
        <v>0</v>
      </c>
      <c r="CD45" s="1451">
        <v>0</v>
      </c>
      <c r="CE45" s="1451">
        <v>103860</v>
      </c>
      <c r="CF45" s="1451">
        <v>0</v>
      </c>
      <c r="CG45" s="1451">
        <v>91404</v>
      </c>
      <c r="CH45" s="1451">
        <v>0</v>
      </c>
      <c r="CI45" s="1451">
        <v>63504</v>
      </c>
      <c r="CJ45" s="1451">
        <v>88470</v>
      </c>
      <c r="CK45" s="1451">
        <v>0</v>
      </c>
      <c r="CL45" s="1451">
        <v>0</v>
      </c>
      <c r="CM45" s="1451">
        <v>0</v>
      </c>
      <c r="CN45" s="1451">
        <v>0</v>
      </c>
      <c r="CO45" s="1451">
        <v>0</v>
      </c>
      <c r="CP45" s="1451">
        <v>0</v>
      </c>
      <c r="CQ45" s="1451">
        <v>0</v>
      </c>
      <c r="CR45" s="1451">
        <v>0</v>
      </c>
      <c r="CS45" s="1451">
        <v>0</v>
      </c>
      <c r="CT45" s="1451">
        <v>0</v>
      </c>
      <c r="CU45" s="1451">
        <v>37008</v>
      </c>
      <c r="CV45" s="1451">
        <v>0</v>
      </c>
      <c r="CW45" s="1451">
        <v>0</v>
      </c>
      <c r="CX45" s="1451">
        <v>0</v>
      </c>
      <c r="CY45" s="1451">
        <v>0</v>
      </c>
      <c r="CZ45" s="1451">
        <v>0</v>
      </c>
      <c r="DA45" s="1451">
        <v>0</v>
      </c>
      <c r="DB45" s="1451">
        <v>0</v>
      </c>
      <c r="DC45" s="1451">
        <v>0</v>
      </c>
      <c r="DD45" s="1451">
        <v>0</v>
      </c>
      <c r="DE45" s="1451">
        <v>0</v>
      </c>
      <c r="DF45" s="1451">
        <v>0</v>
      </c>
      <c r="DG45" s="1451">
        <v>0</v>
      </c>
      <c r="DH45" s="1451">
        <v>0</v>
      </c>
      <c r="DI45" s="1451">
        <v>0</v>
      </c>
      <c r="DJ45" s="1451">
        <v>0</v>
      </c>
      <c r="DK45" s="1451">
        <v>0</v>
      </c>
      <c r="DL45" s="1451">
        <v>99684</v>
      </c>
      <c r="DM45" s="1451">
        <v>114984</v>
      </c>
      <c r="DN45" s="1451">
        <v>0</v>
      </c>
      <c r="DO45" s="1451">
        <v>0</v>
      </c>
      <c r="DP45" s="1451">
        <v>0</v>
      </c>
      <c r="DQ45" s="1451">
        <v>0</v>
      </c>
      <c r="DR45" s="1451">
        <v>0</v>
      </c>
      <c r="DS45" s="1451">
        <v>0</v>
      </c>
      <c r="DT45" s="1451">
        <v>0</v>
      </c>
      <c r="DU45" s="1451">
        <v>0</v>
      </c>
      <c r="DV45" s="1451">
        <v>19800</v>
      </c>
      <c r="DW45" s="1451">
        <v>0</v>
      </c>
      <c r="DX45" s="1451">
        <v>62856</v>
      </c>
      <c r="DY45" s="1451">
        <v>0</v>
      </c>
      <c r="DZ45" s="1451">
        <v>0</v>
      </c>
      <c r="EA45" s="1451">
        <v>0</v>
      </c>
      <c r="EB45" s="1451">
        <v>0</v>
      </c>
      <c r="EC45" s="1451">
        <v>0</v>
      </c>
      <c r="ED45" s="1451">
        <v>0</v>
      </c>
      <c r="EE45" s="1451">
        <v>39420</v>
      </c>
      <c r="EF45" s="1451">
        <v>81684</v>
      </c>
      <c r="EG45" s="1451">
        <v>0</v>
      </c>
      <c r="EH45" s="1451">
        <v>102960</v>
      </c>
      <c r="EI45" s="1451">
        <v>154368</v>
      </c>
      <c r="EJ45" s="1451">
        <v>0</v>
      </c>
      <c r="EK45" s="1451">
        <v>0</v>
      </c>
      <c r="EL45" s="1451">
        <v>0</v>
      </c>
      <c r="EM45" s="1451">
        <v>0</v>
      </c>
      <c r="EN45" s="1451">
        <v>103860</v>
      </c>
      <c r="EO45" s="1451">
        <v>0</v>
      </c>
      <c r="EP45" s="1451">
        <v>91404</v>
      </c>
      <c r="EQ45" s="1451">
        <v>88848</v>
      </c>
      <c r="ER45" s="1451">
        <v>63504</v>
      </c>
      <c r="ES45" s="1451">
        <v>0</v>
      </c>
      <c r="ET45" s="1451">
        <v>88470</v>
      </c>
      <c r="EU45" s="1451">
        <v>0</v>
      </c>
      <c r="EV45" s="1451">
        <v>0</v>
      </c>
      <c r="EW45" s="1451">
        <v>3979794</v>
      </c>
      <c r="EX45" s="1451"/>
      <c r="EY45" s="1451"/>
      <c r="EZ45" s="1451"/>
      <c r="FA45" s="1451"/>
      <c r="FB45" s="1451"/>
      <c r="FC45" s="1451"/>
      <c r="FD45" s="1451"/>
      <c r="FE45" s="1451"/>
      <c r="FF45" s="1451"/>
      <c r="FG45" s="1451"/>
      <c r="FH45" s="1451"/>
      <c r="FI45" s="1451"/>
      <c r="FJ45" s="1451"/>
    </row>
    <row r="46" spans="1:166">
      <c r="A46" s="435" t="s">
        <v>431</v>
      </c>
      <c r="B46" s="436" t="s">
        <v>409</v>
      </c>
      <c r="D46" s="969" t="s">
        <v>409</v>
      </c>
      <c r="E46" s="435" t="s">
        <v>411</v>
      </c>
      <c r="F46" s="1451">
        <v>0</v>
      </c>
      <c r="G46" s="1451">
        <v>0</v>
      </c>
      <c r="H46" s="1451">
        <v>0</v>
      </c>
      <c r="I46" s="1451">
        <v>0</v>
      </c>
      <c r="J46" s="1451">
        <v>0</v>
      </c>
      <c r="K46" s="1451">
        <v>0</v>
      </c>
      <c r="L46" s="1451">
        <v>0</v>
      </c>
      <c r="M46" s="1451">
        <v>27209</v>
      </c>
      <c r="N46" s="1451">
        <v>0</v>
      </c>
      <c r="O46" s="1451">
        <v>0</v>
      </c>
      <c r="P46" s="1451">
        <v>70642</v>
      </c>
      <c r="Q46" s="1451">
        <v>114558</v>
      </c>
      <c r="R46" s="1451">
        <v>0</v>
      </c>
      <c r="S46" s="1451">
        <v>0</v>
      </c>
      <c r="T46" s="1451">
        <v>0</v>
      </c>
      <c r="U46" s="1451">
        <v>0</v>
      </c>
      <c r="V46" s="1451">
        <v>71259</v>
      </c>
      <c r="W46" s="1451">
        <v>0</v>
      </c>
      <c r="X46" s="1451">
        <v>62713</v>
      </c>
      <c r="Y46" s="1451">
        <v>56643</v>
      </c>
      <c r="Z46" s="1451">
        <v>45351</v>
      </c>
      <c r="AA46" s="1451">
        <v>0</v>
      </c>
      <c r="AB46" s="1451">
        <v>0</v>
      </c>
      <c r="AC46" s="1451">
        <v>0</v>
      </c>
      <c r="AD46" s="1451">
        <v>0</v>
      </c>
      <c r="AE46" s="1451">
        <v>0</v>
      </c>
      <c r="AF46" s="1451">
        <v>0</v>
      </c>
      <c r="AG46" s="1451">
        <v>0</v>
      </c>
      <c r="AH46" s="1451">
        <v>0</v>
      </c>
      <c r="AI46" s="1451">
        <v>0</v>
      </c>
      <c r="AJ46" s="1451">
        <v>0</v>
      </c>
      <c r="AK46" s="1451">
        <v>0</v>
      </c>
      <c r="AL46" s="1451">
        <v>22462</v>
      </c>
      <c r="AM46" s="1451">
        <v>0</v>
      </c>
      <c r="AN46" s="1451">
        <v>0</v>
      </c>
      <c r="AO46" s="1451">
        <v>0</v>
      </c>
      <c r="AP46" s="1451">
        <v>0</v>
      </c>
      <c r="AQ46" s="1451">
        <v>0</v>
      </c>
      <c r="AR46" s="1451">
        <v>0</v>
      </c>
      <c r="AS46" s="1451">
        <v>0</v>
      </c>
      <c r="AT46" s="1451">
        <v>0</v>
      </c>
      <c r="AU46" s="1451">
        <v>0</v>
      </c>
      <c r="AV46" s="1451">
        <v>0</v>
      </c>
      <c r="AW46" s="1451">
        <v>0</v>
      </c>
      <c r="AX46" s="1451">
        <v>0</v>
      </c>
      <c r="AY46" s="1451">
        <v>0</v>
      </c>
      <c r="AZ46" s="1451">
        <v>0</v>
      </c>
      <c r="BA46" s="1451">
        <v>0</v>
      </c>
      <c r="BB46" s="1451">
        <v>0</v>
      </c>
      <c r="BC46" s="1451">
        <v>60502</v>
      </c>
      <c r="BD46" s="1451">
        <v>78892</v>
      </c>
      <c r="BE46" s="1451">
        <v>0</v>
      </c>
      <c r="BF46" s="1451">
        <v>0</v>
      </c>
      <c r="BG46" s="1451">
        <v>0</v>
      </c>
      <c r="BH46" s="1451">
        <v>0</v>
      </c>
      <c r="BI46" s="1451">
        <v>0</v>
      </c>
      <c r="BJ46" s="1451">
        <v>0</v>
      </c>
      <c r="BK46" s="1451">
        <v>0</v>
      </c>
      <c r="BL46" s="1451">
        <v>0</v>
      </c>
      <c r="BM46" s="1451">
        <v>0</v>
      </c>
      <c r="BN46" s="1451">
        <v>0</v>
      </c>
      <c r="BO46" s="1451">
        <v>38150</v>
      </c>
      <c r="BP46" s="1451">
        <v>0</v>
      </c>
      <c r="BQ46" s="1451">
        <v>0</v>
      </c>
      <c r="BR46" s="1451">
        <v>0</v>
      </c>
      <c r="BS46" s="1451">
        <v>0</v>
      </c>
      <c r="BT46" s="1451">
        <v>0</v>
      </c>
      <c r="BU46" s="1451">
        <v>0</v>
      </c>
      <c r="BV46" s="1451">
        <v>27209</v>
      </c>
      <c r="BW46" s="1451">
        <v>49578</v>
      </c>
      <c r="BX46" s="1451">
        <v>0</v>
      </c>
      <c r="BY46" s="1451">
        <v>70642</v>
      </c>
      <c r="BZ46" s="1451">
        <v>114558</v>
      </c>
      <c r="CA46" s="1451">
        <v>0</v>
      </c>
      <c r="CB46" s="1451">
        <v>0</v>
      </c>
      <c r="CC46" s="1451">
        <v>0</v>
      </c>
      <c r="CD46" s="1451">
        <v>0</v>
      </c>
      <c r="CE46" s="1451">
        <v>71259</v>
      </c>
      <c r="CF46" s="1451">
        <v>0</v>
      </c>
      <c r="CG46" s="1451">
        <v>62713</v>
      </c>
      <c r="CH46" s="1451">
        <v>0</v>
      </c>
      <c r="CI46" s="1451">
        <v>42604</v>
      </c>
      <c r="CJ46" s="1451">
        <v>45351</v>
      </c>
      <c r="CK46" s="1451">
        <v>0</v>
      </c>
      <c r="CL46" s="1451">
        <v>0</v>
      </c>
      <c r="CM46" s="1451">
        <v>0</v>
      </c>
      <c r="CN46" s="1451">
        <v>0</v>
      </c>
      <c r="CO46" s="1451">
        <v>0</v>
      </c>
      <c r="CP46" s="1451">
        <v>0</v>
      </c>
      <c r="CQ46" s="1451">
        <v>0</v>
      </c>
      <c r="CR46" s="1451">
        <v>0</v>
      </c>
      <c r="CS46" s="1451">
        <v>0</v>
      </c>
      <c r="CT46" s="1451">
        <v>0</v>
      </c>
      <c r="CU46" s="1451">
        <v>22462</v>
      </c>
      <c r="CV46" s="1451">
        <v>0</v>
      </c>
      <c r="CW46" s="1451">
        <v>0</v>
      </c>
      <c r="CX46" s="1451">
        <v>0</v>
      </c>
      <c r="CY46" s="1451">
        <v>0</v>
      </c>
      <c r="CZ46" s="1451">
        <v>0</v>
      </c>
      <c r="DA46" s="1451">
        <v>0</v>
      </c>
      <c r="DB46" s="1451">
        <v>0</v>
      </c>
      <c r="DC46" s="1451">
        <v>0</v>
      </c>
      <c r="DD46" s="1451">
        <v>0</v>
      </c>
      <c r="DE46" s="1451">
        <v>0</v>
      </c>
      <c r="DF46" s="1451">
        <v>0</v>
      </c>
      <c r="DG46" s="1451">
        <v>0</v>
      </c>
      <c r="DH46" s="1451">
        <v>0</v>
      </c>
      <c r="DI46" s="1451">
        <v>0</v>
      </c>
      <c r="DJ46" s="1451">
        <v>0</v>
      </c>
      <c r="DK46" s="1451">
        <v>0</v>
      </c>
      <c r="DL46" s="1451">
        <v>60502</v>
      </c>
      <c r="DM46" s="1451">
        <v>78892</v>
      </c>
      <c r="DN46" s="1451">
        <v>0</v>
      </c>
      <c r="DO46" s="1451">
        <v>0</v>
      </c>
      <c r="DP46" s="1451">
        <v>0</v>
      </c>
      <c r="DQ46" s="1451">
        <v>0</v>
      </c>
      <c r="DR46" s="1451">
        <v>0</v>
      </c>
      <c r="DS46" s="1451">
        <v>0</v>
      </c>
      <c r="DT46" s="1451">
        <v>0</v>
      </c>
      <c r="DU46" s="1451">
        <v>0</v>
      </c>
      <c r="DV46" s="1451">
        <v>12017</v>
      </c>
      <c r="DW46" s="1451">
        <v>0</v>
      </c>
      <c r="DX46" s="1451">
        <v>38150</v>
      </c>
      <c r="DY46" s="1451">
        <v>0</v>
      </c>
      <c r="DZ46" s="1451">
        <v>0</v>
      </c>
      <c r="EA46" s="1451">
        <v>0</v>
      </c>
      <c r="EB46" s="1451">
        <v>0</v>
      </c>
      <c r="EC46" s="1451">
        <v>0</v>
      </c>
      <c r="ED46" s="1451">
        <v>0</v>
      </c>
      <c r="EE46" s="1451">
        <v>27209</v>
      </c>
      <c r="EF46" s="1451">
        <v>49578</v>
      </c>
      <c r="EG46" s="1451">
        <v>0</v>
      </c>
      <c r="EH46" s="1451">
        <v>70642</v>
      </c>
      <c r="EI46" s="1451">
        <v>114558</v>
      </c>
      <c r="EJ46" s="1451">
        <v>0</v>
      </c>
      <c r="EK46" s="1451">
        <v>0</v>
      </c>
      <c r="EL46" s="1451">
        <v>0</v>
      </c>
      <c r="EM46" s="1451">
        <v>0</v>
      </c>
      <c r="EN46" s="1451">
        <v>71259</v>
      </c>
      <c r="EO46" s="1451">
        <v>0</v>
      </c>
      <c r="EP46" s="1451">
        <v>62713</v>
      </c>
      <c r="EQ46" s="1451">
        <v>43564</v>
      </c>
      <c r="ER46" s="1451">
        <v>42604</v>
      </c>
      <c r="ES46" s="1451">
        <v>0</v>
      </c>
      <c r="ET46" s="1451">
        <v>45351</v>
      </c>
      <c r="EU46" s="1451">
        <v>0</v>
      </c>
      <c r="EV46" s="1451">
        <v>0</v>
      </c>
      <c r="EW46" s="1451">
        <v>1871795</v>
      </c>
      <c r="EX46" s="1451"/>
      <c r="EY46" s="1451"/>
      <c r="EZ46" s="1451"/>
      <c r="FA46" s="1451"/>
      <c r="FB46" s="1451"/>
      <c r="FC46" s="1451"/>
      <c r="FD46" s="1451"/>
      <c r="FE46" s="1451"/>
      <c r="FF46" s="1451"/>
      <c r="FG46" s="1451"/>
      <c r="FH46" s="1451"/>
      <c r="FI46" s="1451"/>
      <c r="FJ46" s="1451"/>
    </row>
    <row r="47" spans="1:166">
      <c r="A47" s="433" t="s">
        <v>406</v>
      </c>
      <c r="B47" s="436" t="s">
        <v>439</v>
      </c>
      <c r="D47" s="969" t="s">
        <v>439</v>
      </c>
      <c r="E47" s="433" t="s">
        <v>412</v>
      </c>
      <c r="F47" s="1452">
        <v>0</v>
      </c>
      <c r="G47" s="1452">
        <v>0</v>
      </c>
      <c r="H47" s="1452">
        <v>0</v>
      </c>
      <c r="I47" s="1452">
        <v>0</v>
      </c>
      <c r="J47" s="1452">
        <v>0</v>
      </c>
      <c r="K47" s="1452">
        <v>0</v>
      </c>
      <c r="L47" s="1452">
        <v>0</v>
      </c>
      <c r="M47" s="1452">
        <v>92909</v>
      </c>
      <c r="N47" s="1452">
        <v>0</v>
      </c>
      <c r="O47" s="1452">
        <v>0</v>
      </c>
      <c r="P47" s="1452">
        <v>173602</v>
      </c>
      <c r="Q47" s="1452">
        <v>268926</v>
      </c>
      <c r="R47" s="1452">
        <v>0</v>
      </c>
      <c r="S47" s="1452">
        <v>0</v>
      </c>
      <c r="T47" s="1452">
        <v>0</v>
      </c>
      <c r="U47" s="1452">
        <v>0</v>
      </c>
      <c r="V47" s="1452">
        <v>175119</v>
      </c>
      <c r="W47" s="1452">
        <v>0</v>
      </c>
      <c r="X47" s="1452">
        <v>154117</v>
      </c>
      <c r="Y47" s="1452">
        <v>1181643</v>
      </c>
      <c r="Z47" s="1452">
        <v>192801</v>
      </c>
      <c r="AA47" s="1452">
        <v>0</v>
      </c>
      <c r="AB47" s="1452">
        <v>0</v>
      </c>
      <c r="AC47" s="1452">
        <v>0</v>
      </c>
      <c r="AD47" s="1452">
        <v>0</v>
      </c>
      <c r="AE47" s="1452">
        <v>0</v>
      </c>
      <c r="AF47" s="1452">
        <v>0</v>
      </c>
      <c r="AG47" s="1452">
        <v>0</v>
      </c>
      <c r="AH47" s="1452">
        <v>0</v>
      </c>
      <c r="AI47" s="1452">
        <v>0</v>
      </c>
      <c r="AJ47" s="1452">
        <v>0</v>
      </c>
      <c r="AK47" s="1452">
        <v>0</v>
      </c>
      <c r="AL47" s="1452">
        <v>59470</v>
      </c>
      <c r="AM47" s="1452">
        <v>0</v>
      </c>
      <c r="AN47" s="1452">
        <v>0</v>
      </c>
      <c r="AO47" s="1452">
        <v>0</v>
      </c>
      <c r="AP47" s="1452">
        <v>0</v>
      </c>
      <c r="AQ47" s="1452">
        <v>0</v>
      </c>
      <c r="AR47" s="1452">
        <v>0</v>
      </c>
      <c r="AS47" s="1452">
        <v>0</v>
      </c>
      <c r="AT47" s="1452">
        <v>0</v>
      </c>
      <c r="AU47" s="1452">
        <v>0</v>
      </c>
      <c r="AV47" s="1452">
        <v>0</v>
      </c>
      <c r="AW47" s="1452">
        <v>0</v>
      </c>
      <c r="AX47" s="1452">
        <v>0</v>
      </c>
      <c r="AY47" s="1452">
        <v>0</v>
      </c>
      <c r="AZ47" s="1452">
        <v>0</v>
      </c>
      <c r="BA47" s="1452">
        <v>0</v>
      </c>
      <c r="BB47" s="1452">
        <v>0</v>
      </c>
      <c r="BC47" s="1452">
        <v>160186</v>
      </c>
      <c r="BD47" s="1452">
        <v>193876</v>
      </c>
      <c r="BE47" s="1452">
        <v>0</v>
      </c>
      <c r="BF47" s="1452">
        <v>0</v>
      </c>
      <c r="BG47" s="1452">
        <v>0</v>
      </c>
      <c r="BH47" s="1452">
        <v>0</v>
      </c>
      <c r="BI47" s="1452">
        <v>0</v>
      </c>
      <c r="BJ47" s="1452">
        <v>0</v>
      </c>
      <c r="BK47" s="1452">
        <v>0</v>
      </c>
      <c r="BL47" s="1452">
        <v>0</v>
      </c>
      <c r="BM47" s="1452">
        <v>0</v>
      </c>
      <c r="BN47" s="1452">
        <v>0</v>
      </c>
      <c r="BO47" s="1452">
        <v>101006</v>
      </c>
      <c r="BP47" s="1452">
        <v>0</v>
      </c>
      <c r="BQ47" s="1452">
        <v>0</v>
      </c>
      <c r="BR47" s="1452">
        <v>0</v>
      </c>
      <c r="BS47" s="1452">
        <v>0</v>
      </c>
      <c r="BT47" s="1452">
        <v>0</v>
      </c>
      <c r="BU47" s="1452">
        <v>0</v>
      </c>
      <c r="BV47" s="1452">
        <v>66629</v>
      </c>
      <c r="BW47" s="1452">
        <v>131262</v>
      </c>
      <c r="BX47" s="1452">
        <v>0</v>
      </c>
      <c r="BY47" s="1452">
        <v>173602</v>
      </c>
      <c r="BZ47" s="1452">
        <v>268926</v>
      </c>
      <c r="CA47" s="1452">
        <v>0</v>
      </c>
      <c r="CB47" s="1452">
        <v>0</v>
      </c>
      <c r="CC47" s="1452">
        <v>0</v>
      </c>
      <c r="CD47" s="1452">
        <v>0</v>
      </c>
      <c r="CE47" s="1452">
        <v>175119</v>
      </c>
      <c r="CF47" s="1452">
        <v>0</v>
      </c>
      <c r="CG47" s="1452">
        <v>154117</v>
      </c>
      <c r="CH47" s="1452">
        <v>0</v>
      </c>
      <c r="CI47" s="1452">
        <v>106108</v>
      </c>
      <c r="CJ47" s="1452">
        <v>133821</v>
      </c>
      <c r="CK47" s="1452">
        <v>0</v>
      </c>
      <c r="CL47" s="1452">
        <v>0</v>
      </c>
      <c r="CM47" s="1452">
        <v>0</v>
      </c>
      <c r="CN47" s="1452">
        <v>0</v>
      </c>
      <c r="CO47" s="1452">
        <v>0</v>
      </c>
      <c r="CP47" s="1452">
        <v>0</v>
      </c>
      <c r="CQ47" s="1452">
        <v>0</v>
      </c>
      <c r="CR47" s="1452">
        <v>0</v>
      </c>
      <c r="CS47" s="1452">
        <v>0</v>
      </c>
      <c r="CT47" s="1452">
        <v>0</v>
      </c>
      <c r="CU47" s="1452">
        <v>59470</v>
      </c>
      <c r="CV47" s="1452">
        <v>0</v>
      </c>
      <c r="CW47" s="1452">
        <v>0</v>
      </c>
      <c r="CX47" s="1452">
        <v>0</v>
      </c>
      <c r="CY47" s="1452">
        <v>0</v>
      </c>
      <c r="CZ47" s="1452">
        <v>0</v>
      </c>
      <c r="DA47" s="1452">
        <v>0</v>
      </c>
      <c r="DB47" s="1452">
        <v>0</v>
      </c>
      <c r="DC47" s="1452">
        <v>0</v>
      </c>
      <c r="DD47" s="1452">
        <v>0</v>
      </c>
      <c r="DE47" s="1452">
        <v>0</v>
      </c>
      <c r="DF47" s="1452">
        <v>0</v>
      </c>
      <c r="DG47" s="1452">
        <v>0</v>
      </c>
      <c r="DH47" s="1452">
        <v>0</v>
      </c>
      <c r="DI47" s="1452">
        <v>0</v>
      </c>
      <c r="DJ47" s="1452">
        <v>0</v>
      </c>
      <c r="DK47" s="1452">
        <v>0</v>
      </c>
      <c r="DL47" s="1452">
        <v>160186</v>
      </c>
      <c r="DM47" s="1452">
        <v>193876</v>
      </c>
      <c r="DN47" s="1452">
        <v>0</v>
      </c>
      <c r="DO47" s="1452">
        <v>0</v>
      </c>
      <c r="DP47" s="1452">
        <v>0</v>
      </c>
      <c r="DQ47" s="1452">
        <v>0</v>
      </c>
      <c r="DR47" s="1452">
        <v>0</v>
      </c>
      <c r="DS47" s="1452">
        <v>0</v>
      </c>
      <c r="DT47" s="1452">
        <v>0</v>
      </c>
      <c r="DU47" s="1452">
        <v>0</v>
      </c>
      <c r="DV47" s="1452">
        <v>31817</v>
      </c>
      <c r="DW47" s="1452">
        <v>0</v>
      </c>
      <c r="DX47" s="1452">
        <v>101006</v>
      </c>
      <c r="DY47" s="1452">
        <v>0</v>
      </c>
      <c r="DZ47" s="1452">
        <v>0</v>
      </c>
      <c r="EA47" s="1452">
        <v>0</v>
      </c>
      <c r="EB47" s="1452">
        <v>0</v>
      </c>
      <c r="EC47" s="1452">
        <v>0</v>
      </c>
      <c r="ED47" s="1452">
        <v>0</v>
      </c>
      <c r="EE47" s="1452">
        <v>66629</v>
      </c>
      <c r="EF47" s="1452">
        <v>131262</v>
      </c>
      <c r="EG47" s="1452">
        <v>0</v>
      </c>
      <c r="EH47" s="1452">
        <v>173602</v>
      </c>
      <c r="EI47" s="1452">
        <v>268926</v>
      </c>
      <c r="EJ47" s="1452">
        <v>0</v>
      </c>
      <c r="EK47" s="1452">
        <v>0</v>
      </c>
      <c r="EL47" s="1452">
        <v>0</v>
      </c>
      <c r="EM47" s="1452">
        <v>0</v>
      </c>
      <c r="EN47" s="1452">
        <v>175119</v>
      </c>
      <c r="EO47" s="1452">
        <v>0</v>
      </c>
      <c r="EP47" s="1452">
        <v>154117</v>
      </c>
      <c r="EQ47" s="1452">
        <v>132412</v>
      </c>
      <c r="ER47" s="1452">
        <v>106108</v>
      </c>
      <c r="ES47" s="1452">
        <v>0</v>
      </c>
      <c r="ET47" s="1452">
        <v>133821</v>
      </c>
      <c r="EU47" s="1452">
        <v>0</v>
      </c>
      <c r="EV47" s="1452">
        <v>0</v>
      </c>
      <c r="EW47" s="1452">
        <v>5851589</v>
      </c>
      <c r="EX47" s="1452"/>
      <c r="EY47" s="1452"/>
      <c r="EZ47" s="1452"/>
      <c r="FA47" s="1452"/>
      <c r="FB47" s="1452"/>
      <c r="FC47" s="1452"/>
      <c r="FD47" s="1452"/>
      <c r="FE47" s="1452"/>
      <c r="FF47" s="1452"/>
      <c r="FG47" s="1452"/>
      <c r="FH47" s="1452"/>
      <c r="FI47" s="1452"/>
      <c r="FJ47" s="1452"/>
    </row>
    <row r="48" spans="1:166">
      <c r="B48" s="436"/>
      <c r="D48"/>
    </row>
    <row r="49" spans="1:166">
      <c r="A49" s="434" t="s">
        <v>401</v>
      </c>
      <c r="B49" s="436"/>
      <c r="D49"/>
      <c r="E49" s="434" t="s">
        <v>401</v>
      </c>
    </row>
    <row r="50" spans="1:166">
      <c r="A50" s="433" t="s">
        <v>438</v>
      </c>
      <c r="B50" s="436">
        <v>14</v>
      </c>
      <c r="D50"/>
      <c r="E50" s="433" t="s">
        <v>2207</v>
      </c>
      <c r="F50" s="1451">
        <v>653</v>
      </c>
      <c r="G50" s="1451">
        <v>653</v>
      </c>
      <c r="H50" s="1451">
        <v>653</v>
      </c>
      <c r="I50" s="1451">
        <v>653</v>
      </c>
      <c r="J50" s="1451">
        <v>653</v>
      </c>
      <c r="K50" s="1451">
        <v>653</v>
      </c>
      <c r="L50" s="1451">
        <v>652</v>
      </c>
      <c r="M50" s="1451">
        <v>652</v>
      </c>
      <c r="N50" s="1451">
        <v>652</v>
      </c>
      <c r="O50" s="1451">
        <v>652</v>
      </c>
      <c r="P50" s="1451">
        <v>652</v>
      </c>
      <c r="Q50" s="1451">
        <v>652</v>
      </c>
      <c r="R50" s="1451">
        <v>652</v>
      </c>
      <c r="S50" s="1451">
        <v>652</v>
      </c>
      <c r="T50" s="1451">
        <v>652</v>
      </c>
      <c r="U50" s="1451">
        <v>652</v>
      </c>
      <c r="V50" s="1451">
        <v>652</v>
      </c>
      <c r="W50" s="1451">
        <v>652</v>
      </c>
      <c r="X50" s="1451">
        <v>652</v>
      </c>
      <c r="Y50" s="1451">
        <v>652</v>
      </c>
      <c r="Z50" s="1451">
        <v>652</v>
      </c>
      <c r="AA50" s="1451">
        <v>652</v>
      </c>
      <c r="AB50" s="1451">
        <v>652</v>
      </c>
      <c r="AC50" s="1451">
        <v>652</v>
      </c>
      <c r="AD50" s="1451">
        <v>652</v>
      </c>
      <c r="AE50" s="1451">
        <v>652</v>
      </c>
      <c r="AF50" s="1451">
        <v>652</v>
      </c>
      <c r="AG50" s="1451">
        <v>652</v>
      </c>
      <c r="AH50" s="1451">
        <v>652</v>
      </c>
      <c r="AI50" s="1451">
        <v>652</v>
      </c>
      <c r="AJ50" s="1451">
        <v>652</v>
      </c>
      <c r="AK50" s="1451">
        <v>652</v>
      </c>
      <c r="AL50" s="1451">
        <v>652</v>
      </c>
      <c r="AM50" s="1451">
        <v>652</v>
      </c>
      <c r="AN50" s="1451">
        <v>652</v>
      </c>
      <c r="AO50" s="1451">
        <v>661</v>
      </c>
      <c r="AP50" s="1451">
        <v>661</v>
      </c>
      <c r="AQ50" s="1451">
        <v>661</v>
      </c>
      <c r="AR50" s="1451">
        <v>661</v>
      </c>
      <c r="AS50" s="1451">
        <v>661</v>
      </c>
      <c r="AT50" s="1451">
        <v>661</v>
      </c>
      <c r="AU50" s="1451">
        <v>661</v>
      </c>
      <c r="AV50" s="1451">
        <v>661</v>
      </c>
      <c r="AW50" s="1451">
        <v>661</v>
      </c>
      <c r="AX50" s="1451">
        <v>661</v>
      </c>
      <c r="AY50" s="1451">
        <v>661</v>
      </c>
      <c r="AZ50" s="1451">
        <v>661</v>
      </c>
      <c r="BA50" s="1451">
        <v>661</v>
      </c>
      <c r="BB50" s="1451">
        <v>661</v>
      </c>
      <c r="BC50" s="1451">
        <v>661</v>
      </c>
      <c r="BD50" s="1451">
        <v>661</v>
      </c>
      <c r="BE50" s="1451">
        <v>661</v>
      </c>
      <c r="BF50" s="1451">
        <v>661</v>
      </c>
      <c r="BG50" s="1451">
        <v>661</v>
      </c>
      <c r="BH50" s="1451">
        <v>661</v>
      </c>
      <c r="BI50" s="1451">
        <v>661</v>
      </c>
      <c r="BJ50" s="1451">
        <v>661</v>
      </c>
      <c r="BK50" s="1451">
        <v>661</v>
      </c>
      <c r="BL50" s="1451">
        <v>661</v>
      </c>
      <c r="BM50" s="1451">
        <v>661</v>
      </c>
      <c r="BN50" s="1451">
        <v>661</v>
      </c>
      <c r="BO50" s="1451">
        <v>661</v>
      </c>
      <c r="BP50" s="1451">
        <v>661</v>
      </c>
      <c r="BQ50" s="1451">
        <v>661</v>
      </c>
      <c r="BR50" s="1451">
        <v>661</v>
      </c>
      <c r="BS50" s="1451">
        <v>661</v>
      </c>
      <c r="BT50" s="1451">
        <v>661</v>
      </c>
      <c r="BU50" s="1451">
        <v>661</v>
      </c>
      <c r="BV50" s="1451">
        <v>661</v>
      </c>
      <c r="BW50" s="1451">
        <v>661</v>
      </c>
      <c r="BX50" s="1451">
        <v>661</v>
      </c>
      <c r="BY50" s="1451">
        <v>661</v>
      </c>
      <c r="BZ50" s="1451">
        <v>661</v>
      </c>
      <c r="CA50" s="1451">
        <v>661</v>
      </c>
      <c r="CB50" s="1451">
        <v>661</v>
      </c>
      <c r="CC50" s="1451">
        <v>661</v>
      </c>
      <c r="CD50" s="1451">
        <v>661</v>
      </c>
      <c r="CE50" s="1451">
        <v>661</v>
      </c>
      <c r="CF50" s="1451">
        <v>661</v>
      </c>
      <c r="CG50" s="1451">
        <v>661</v>
      </c>
      <c r="CH50" s="1451">
        <v>661</v>
      </c>
      <c r="CI50" s="1451">
        <v>661</v>
      </c>
      <c r="CJ50" s="1451">
        <v>661</v>
      </c>
      <c r="CK50" s="1451">
        <v>661</v>
      </c>
      <c r="CL50" s="1451">
        <v>661</v>
      </c>
      <c r="CM50" s="1451">
        <v>661</v>
      </c>
      <c r="CN50" s="1451">
        <v>661</v>
      </c>
      <c r="CO50" s="1451">
        <v>661</v>
      </c>
      <c r="CP50" s="1451">
        <v>661</v>
      </c>
      <c r="CQ50" s="1451">
        <v>661</v>
      </c>
      <c r="CR50" s="1451">
        <v>661</v>
      </c>
      <c r="CS50" s="1451">
        <v>661</v>
      </c>
      <c r="CT50" s="1451">
        <v>661</v>
      </c>
      <c r="CU50" s="1451">
        <v>661</v>
      </c>
      <c r="CV50" s="1451">
        <v>661</v>
      </c>
      <c r="CW50" s="1451">
        <v>661</v>
      </c>
      <c r="CX50" s="1451">
        <v>661</v>
      </c>
      <c r="CY50" s="1451">
        <v>661</v>
      </c>
      <c r="CZ50" s="1451">
        <v>661</v>
      </c>
      <c r="DA50" s="1451">
        <v>661</v>
      </c>
      <c r="DB50" s="1451">
        <v>661</v>
      </c>
      <c r="DC50" s="1451">
        <v>661</v>
      </c>
      <c r="DD50" s="1451">
        <v>661</v>
      </c>
      <c r="DE50" s="1451">
        <v>661</v>
      </c>
      <c r="DF50" s="1451">
        <v>661</v>
      </c>
      <c r="DG50" s="1451">
        <v>661</v>
      </c>
      <c r="DH50" s="1451">
        <v>661</v>
      </c>
      <c r="DI50" s="1451">
        <v>661</v>
      </c>
      <c r="DJ50" s="1451">
        <v>661</v>
      </c>
      <c r="DK50" s="1451">
        <v>661</v>
      </c>
      <c r="DL50" s="1451">
        <v>661</v>
      </c>
      <c r="DM50" s="1451">
        <v>665</v>
      </c>
      <c r="DN50" s="1451">
        <v>665</v>
      </c>
      <c r="DO50" s="1451">
        <v>665</v>
      </c>
      <c r="DP50" s="1451">
        <v>665</v>
      </c>
      <c r="DQ50" s="1451">
        <v>665</v>
      </c>
      <c r="DR50" s="1451">
        <v>665</v>
      </c>
      <c r="DS50" s="1451">
        <v>665</v>
      </c>
      <c r="DT50" s="1451">
        <v>665</v>
      </c>
      <c r="DU50" s="1451">
        <v>665</v>
      </c>
      <c r="DV50" s="1451">
        <v>665</v>
      </c>
      <c r="DW50" s="1451">
        <v>665</v>
      </c>
      <c r="DX50" s="1451">
        <v>665</v>
      </c>
      <c r="DY50" s="1451">
        <v>665</v>
      </c>
      <c r="DZ50" s="1451">
        <v>665</v>
      </c>
      <c r="EA50" s="1451">
        <v>665</v>
      </c>
      <c r="EB50" s="1451">
        <v>665</v>
      </c>
      <c r="EC50" s="1451">
        <v>665</v>
      </c>
      <c r="ED50" s="1451">
        <v>665</v>
      </c>
      <c r="EE50" s="1451">
        <v>665</v>
      </c>
      <c r="EF50" s="1451">
        <v>665</v>
      </c>
      <c r="EG50" s="1451">
        <v>665</v>
      </c>
      <c r="EH50" s="1451">
        <v>665</v>
      </c>
      <c r="EI50" s="1451">
        <v>665</v>
      </c>
      <c r="EJ50" s="1451">
        <v>665</v>
      </c>
      <c r="EK50" s="1451">
        <v>665</v>
      </c>
      <c r="EL50" s="1451">
        <v>665</v>
      </c>
      <c r="EM50" s="1451">
        <v>665</v>
      </c>
      <c r="EN50" s="1451">
        <v>665</v>
      </c>
      <c r="EO50" s="1451">
        <v>665</v>
      </c>
      <c r="EP50" s="1451">
        <v>665</v>
      </c>
      <c r="EQ50" s="1451">
        <v>665</v>
      </c>
      <c r="ER50" s="1451">
        <v>665</v>
      </c>
      <c r="ES50" s="1451">
        <v>665</v>
      </c>
      <c r="ET50" s="1451">
        <v>665</v>
      </c>
      <c r="EU50" s="1451">
        <v>665</v>
      </c>
      <c r="EV50" s="1451">
        <v>665</v>
      </c>
      <c r="EW50" s="1451">
        <v>96975</v>
      </c>
      <c r="EX50" s="1451"/>
      <c r="EY50" s="1451"/>
      <c r="EZ50" s="1451"/>
      <c r="FA50" s="1451"/>
      <c r="FB50" s="1451"/>
      <c r="FC50" s="1451"/>
      <c r="FD50" s="1451"/>
      <c r="FE50" s="1451"/>
      <c r="FF50" s="1451"/>
      <c r="FG50" s="1451"/>
      <c r="FH50" s="1451"/>
      <c r="FI50" s="1451"/>
      <c r="FJ50" s="1451"/>
    </row>
    <row r="51" spans="1:166">
      <c r="A51" s="433"/>
      <c r="B51" s="436"/>
      <c r="E51" s="1528" t="s">
        <v>718</v>
      </c>
      <c r="F51" s="1452">
        <v>653</v>
      </c>
      <c r="G51" s="1452">
        <v>653</v>
      </c>
      <c r="H51" s="1452">
        <v>653</v>
      </c>
      <c r="I51" s="1452">
        <v>653</v>
      </c>
      <c r="J51" s="1452">
        <v>653</v>
      </c>
      <c r="K51" s="1452">
        <v>653</v>
      </c>
      <c r="L51" s="1452">
        <v>652</v>
      </c>
      <c r="M51" s="1452">
        <v>652</v>
      </c>
      <c r="N51" s="1452">
        <v>652</v>
      </c>
      <c r="O51" s="1452">
        <v>652</v>
      </c>
      <c r="P51" s="1452">
        <v>652</v>
      </c>
      <c r="Q51" s="1452">
        <v>652</v>
      </c>
      <c r="R51" s="1452">
        <v>652</v>
      </c>
      <c r="S51" s="1452">
        <v>652</v>
      </c>
      <c r="T51" s="1452">
        <v>652</v>
      </c>
      <c r="U51" s="1452">
        <v>652</v>
      </c>
      <c r="V51" s="1452">
        <v>652</v>
      </c>
      <c r="W51" s="1452">
        <v>652</v>
      </c>
      <c r="X51" s="1452">
        <v>652</v>
      </c>
      <c r="Y51" s="1452">
        <v>652</v>
      </c>
      <c r="Z51" s="1452">
        <v>652</v>
      </c>
      <c r="AA51" s="1452">
        <v>652</v>
      </c>
      <c r="AB51" s="1452">
        <v>652</v>
      </c>
      <c r="AC51" s="1452">
        <v>652</v>
      </c>
      <c r="AD51" s="1452">
        <v>652</v>
      </c>
      <c r="AE51" s="1452">
        <v>652</v>
      </c>
      <c r="AF51" s="1452">
        <v>652</v>
      </c>
      <c r="AG51" s="1452">
        <v>652</v>
      </c>
      <c r="AH51" s="1452">
        <v>652</v>
      </c>
      <c r="AI51" s="1452">
        <v>652</v>
      </c>
      <c r="AJ51" s="1452">
        <v>652</v>
      </c>
      <c r="AK51" s="1452">
        <v>652</v>
      </c>
      <c r="AL51" s="1452">
        <v>652</v>
      </c>
      <c r="AM51" s="1452">
        <v>652</v>
      </c>
      <c r="AN51" s="1452">
        <v>652</v>
      </c>
      <c r="AO51" s="1452">
        <v>661</v>
      </c>
      <c r="AP51" s="1452">
        <v>661</v>
      </c>
      <c r="AQ51" s="1452">
        <v>661</v>
      </c>
      <c r="AR51" s="1452">
        <v>661</v>
      </c>
      <c r="AS51" s="1452">
        <v>661</v>
      </c>
      <c r="AT51" s="1452">
        <v>661</v>
      </c>
      <c r="AU51" s="1452">
        <v>661</v>
      </c>
      <c r="AV51" s="1452">
        <v>661</v>
      </c>
      <c r="AW51" s="1452">
        <v>661</v>
      </c>
      <c r="AX51" s="1452">
        <v>661</v>
      </c>
      <c r="AY51" s="1452">
        <v>661</v>
      </c>
      <c r="AZ51" s="1452">
        <v>661</v>
      </c>
      <c r="BA51" s="1452">
        <v>661</v>
      </c>
      <c r="BB51" s="1452">
        <v>661</v>
      </c>
      <c r="BC51" s="1452">
        <v>661</v>
      </c>
      <c r="BD51" s="1452">
        <v>661</v>
      </c>
      <c r="BE51" s="1452">
        <v>661</v>
      </c>
      <c r="BF51" s="1452">
        <v>661</v>
      </c>
      <c r="BG51" s="1452">
        <v>661</v>
      </c>
      <c r="BH51" s="1452">
        <v>661</v>
      </c>
      <c r="BI51" s="1452">
        <v>661</v>
      </c>
      <c r="BJ51" s="1452">
        <v>661</v>
      </c>
      <c r="BK51" s="1452">
        <v>661</v>
      </c>
      <c r="BL51" s="1452">
        <v>661</v>
      </c>
      <c r="BM51" s="1452">
        <v>661</v>
      </c>
      <c r="BN51" s="1452">
        <v>661</v>
      </c>
      <c r="BO51" s="1452">
        <v>661</v>
      </c>
      <c r="BP51" s="1452">
        <v>661</v>
      </c>
      <c r="BQ51" s="1452">
        <v>661</v>
      </c>
      <c r="BR51" s="1452">
        <v>661</v>
      </c>
      <c r="BS51" s="1452">
        <v>661</v>
      </c>
      <c r="BT51" s="1452">
        <v>661</v>
      </c>
      <c r="BU51" s="1452">
        <v>661</v>
      </c>
      <c r="BV51" s="1452">
        <v>661</v>
      </c>
      <c r="BW51" s="1452">
        <v>661</v>
      </c>
      <c r="BX51" s="1452">
        <v>661</v>
      </c>
      <c r="BY51" s="1452">
        <v>661</v>
      </c>
      <c r="BZ51" s="1452">
        <v>661</v>
      </c>
      <c r="CA51" s="1452">
        <v>661</v>
      </c>
      <c r="CB51" s="1452">
        <v>661</v>
      </c>
      <c r="CC51" s="1452">
        <v>661</v>
      </c>
      <c r="CD51" s="1452">
        <v>661</v>
      </c>
      <c r="CE51" s="1452">
        <v>661</v>
      </c>
      <c r="CF51" s="1452">
        <v>661</v>
      </c>
      <c r="CG51" s="1452">
        <v>661</v>
      </c>
      <c r="CH51" s="1452">
        <v>661</v>
      </c>
      <c r="CI51" s="1452">
        <v>661</v>
      </c>
      <c r="CJ51" s="1452">
        <v>661</v>
      </c>
      <c r="CK51" s="1452">
        <v>661</v>
      </c>
      <c r="CL51" s="1452">
        <v>661</v>
      </c>
      <c r="CM51" s="1452">
        <v>661</v>
      </c>
      <c r="CN51" s="1452">
        <v>661</v>
      </c>
      <c r="CO51" s="1452">
        <v>661</v>
      </c>
      <c r="CP51" s="1452">
        <v>661</v>
      </c>
      <c r="CQ51" s="1452">
        <v>661</v>
      </c>
      <c r="CR51" s="1452">
        <v>661</v>
      </c>
      <c r="CS51" s="1452">
        <v>661</v>
      </c>
      <c r="CT51" s="1452">
        <v>661</v>
      </c>
      <c r="CU51" s="1452">
        <v>661</v>
      </c>
      <c r="CV51" s="1452">
        <v>661</v>
      </c>
      <c r="CW51" s="1452">
        <v>661</v>
      </c>
      <c r="CX51" s="1452">
        <v>661</v>
      </c>
      <c r="CY51" s="1452">
        <v>661</v>
      </c>
      <c r="CZ51" s="1452">
        <v>661</v>
      </c>
      <c r="DA51" s="1452">
        <v>661</v>
      </c>
      <c r="DB51" s="1452">
        <v>661</v>
      </c>
      <c r="DC51" s="1452">
        <v>661</v>
      </c>
      <c r="DD51" s="1452">
        <v>661</v>
      </c>
      <c r="DE51" s="1452">
        <v>661</v>
      </c>
      <c r="DF51" s="1452">
        <v>661</v>
      </c>
      <c r="DG51" s="1452">
        <v>661</v>
      </c>
      <c r="DH51" s="1452">
        <v>661</v>
      </c>
      <c r="DI51" s="1452">
        <v>661</v>
      </c>
      <c r="DJ51" s="1452">
        <v>661</v>
      </c>
      <c r="DK51" s="1452">
        <v>661</v>
      </c>
      <c r="DL51" s="1452">
        <v>661</v>
      </c>
      <c r="DM51" s="1452">
        <v>665</v>
      </c>
      <c r="DN51" s="1452">
        <v>665</v>
      </c>
      <c r="DO51" s="1452">
        <v>665</v>
      </c>
      <c r="DP51" s="1452">
        <v>665</v>
      </c>
      <c r="DQ51" s="1452">
        <v>665</v>
      </c>
      <c r="DR51" s="1452">
        <v>665</v>
      </c>
      <c r="DS51" s="1452">
        <v>665</v>
      </c>
      <c r="DT51" s="1452">
        <v>665</v>
      </c>
      <c r="DU51" s="1452">
        <v>665</v>
      </c>
      <c r="DV51" s="1452">
        <v>665</v>
      </c>
      <c r="DW51" s="1452">
        <v>665</v>
      </c>
      <c r="DX51" s="1452">
        <v>665</v>
      </c>
      <c r="DY51" s="1452">
        <v>665</v>
      </c>
      <c r="DZ51" s="1452">
        <v>665</v>
      </c>
      <c r="EA51" s="1452">
        <v>665</v>
      </c>
      <c r="EB51" s="1452">
        <v>665</v>
      </c>
      <c r="EC51" s="1452">
        <v>665</v>
      </c>
      <c r="ED51" s="1452">
        <v>665</v>
      </c>
      <c r="EE51" s="1452">
        <v>665</v>
      </c>
      <c r="EF51" s="1452">
        <v>665</v>
      </c>
      <c r="EG51" s="1452">
        <v>665</v>
      </c>
      <c r="EH51" s="1452">
        <v>665</v>
      </c>
      <c r="EI51" s="1452">
        <v>665</v>
      </c>
      <c r="EJ51" s="1452">
        <v>665</v>
      </c>
      <c r="EK51" s="1452">
        <v>665</v>
      </c>
      <c r="EL51" s="1452">
        <v>665</v>
      </c>
      <c r="EM51" s="1452">
        <v>665</v>
      </c>
      <c r="EN51" s="1452">
        <v>665</v>
      </c>
      <c r="EO51" s="1452">
        <v>665</v>
      </c>
      <c r="EP51" s="1452">
        <v>665</v>
      </c>
      <c r="EQ51" s="1452">
        <v>665</v>
      </c>
      <c r="ER51" s="1452">
        <v>665</v>
      </c>
      <c r="ES51" s="1452">
        <v>665</v>
      </c>
      <c r="ET51" s="1452">
        <v>665</v>
      </c>
      <c r="EU51" s="1452">
        <v>665</v>
      </c>
      <c r="EV51" s="1452">
        <v>665</v>
      </c>
      <c r="EW51" s="1452">
        <v>96975</v>
      </c>
      <c r="EX51" s="1452"/>
      <c r="EY51" s="1452"/>
      <c r="EZ51" s="1452"/>
      <c r="FA51" s="1452"/>
      <c r="FB51" s="1452"/>
      <c r="FC51" s="1452"/>
      <c r="FD51" s="1452"/>
      <c r="FE51" s="1452"/>
      <c r="FF51" s="1452"/>
      <c r="FG51" s="1452"/>
      <c r="FH51" s="1452"/>
      <c r="FI51" s="1452"/>
      <c r="FJ51" s="1452"/>
    </row>
    <row r="52" spans="1:166">
      <c r="A52" s="433"/>
      <c r="B52" s="436"/>
      <c r="E52" s="1528"/>
      <c r="F52" s="967"/>
      <c r="G52" s="1451"/>
      <c r="H52" s="1451"/>
      <c r="I52" s="1451"/>
      <c r="J52" s="1451"/>
      <c r="K52" s="1451"/>
      <c r="L52" s="1451"/>
      <c r="M52" s="1451"/>
      <c r="N52" s="1451"/>
      <c r="O52" s="1451"/>
      <c r="P52" s="1451"/>
      <c r="Q52" s="1451"/>
      <c r="R52" s="1451"/>
      <c r="S52" s="1451"/>
      <c r="T52" s="1451"/>
      <c r="U52" s="1451"/>
      <c r="V52" s="1451"/>
      <c r="W52" s="1451"/>
      <c r="X52" s="1451"/>
      <c r="Y52" s="1451"/>
      <c r="Z52" s="1451"/>
      <c r="AA52" s="1451"/>
      <c r="AB52" s="1451"/>
      <c r="AC52" s="1451"/>
      <c r="AD52" s="1451"/>
      <c r="AE52" s="1451"/>
      <c r="AF52" s="1451"/>
      <c r="AG52" s="1451"/>
      <c r="AH52" s="1451"/>
      <c r="AI52" s="1451"/>
      <c r="AJ52" s="1451"/>
      <c r="AK52" s="1451"/>
      <c r="AL52" s="1451"/>
      <c r="AM52" s="1451"/>
      <c r="AN52" s="1451"/>
      <c r="AO52" s="1451"/>
      <c r="AP52" s="1451"/>
      <c r="AQ52" s="1451"/>
      <c r="AR52" s="1451"/>
      <c r="AS52" s="1451"/>
      <c r="AT52" s="1451"/>
      <c r="AU52" s="1451"/>
      <c r="AV52" s="1451"/>
      <c r="AW52" s="1451"/>
      <c r="AX52" s="1451"/>
      <c r="AY52" s="1451"/>
      <c r="AZ52" s="1451"/>
      <c r="BA52" s="1451"/>
      <c r="BB52" s="1451"/>
      <c r="BC52" s="1451"/>
      <c r="BD52" s="1451"/>
      <c r="BE52" s="1451"/>
      <c r="BF52" s="1451"/>
      <c r="BG52" s="1451"/>
      <c r="BH52" s="1451"/>
      <c r="BI52" s="1451"/>
      <c r="BJ52" s="1451"/>
      <c r="BK52" s="1451"/>
      <c r="BL52" s="1451"/>
      <c r="BM52" s="1451"/>
      <c r="BN52" s="1451"/>
      <c r="BO52" s="1451"/>
      <c r="BP52" s="1451"/>
      <c r="BQ52" s="1451"/>
      <c r="BR52" s="1451"/>
      <c r="BS52" s="1451"/>
      <c r="BT52" s="1451"/>
      <c r="BU52" s="1451"/>
      <c r="BV52" s="1451"/>
      <c r="BW52" s="1451"/>
      <c r="BX52" s="1451"/>
      <c r="BY52" s="1451"/>
      <c r="BZ52" s="1451"/>
      <c r="CA52" s="1451"/>
      <c r="CB52" s="1451"/>
      <c r="CC52" s="1451"/>
      <c r="CD52" s="1451"/>
      <c r="CE52" s="1451"/>
      <c r="CF52" s="1451"/>
      <c r="CG52" s="1451"/>
      <c r="CH52" s="1451"/>
      <c r="CI52" s="1451"/>
      <c r="CJ52" s="1451"/>
      <c r="CK52" s="1451"/>
      <c r="CL52" s="1451"/>
      <c r="CM52" s="1451"/>
      <c r="CN52" s="1451"/>
      <c r="CO52" s="1451"/>
      <c r="CP52" s="1451"/>
      <c r="CQ52" s="1451"/>
      <c r="CR52" s="1451"/>
      <c r="CS52" s="1451"/>
      <c r="CT52" s="1451"/>
      <c r="CU52" s="1451"/>
      <c r="CV52" s="1451"/>
      <c r="CW52" s="1451"/>
      <c r="CX52" s="1451"/>
      <c r="CY52" s="1451"/>
      <c r="CZ52" s="1451"/>
      <c r="DA52" s="1451"/>
      <c r="DB52" s="1451"/>
      <c r="DC52" s="1451"/>
      <c r="DD52" s="1451"/>
      <c r="DE52" s="1451"/>
      <c r="DF52" s="1451"/>
      <c r="DG52" s="1451"/>
      <c r="DH52" s="1451"/>
      <c r="DI52" s="1451"/>
      <c r="DJ52" s="1451"/>
      <c r="DK52" s="1451"/>
      <c r="DL52" s="1451"/>
      <c r="DM52" s="1451"/>
      <c r="DN52" s="1451"/>
      <c r="DO52" s="1451"/>
      <c r="DP52" s="1451"/>
      <c r="DQ52" s="1451"/>
      <c r="DR52" s="1451"/>
      <c r="DS52" s="1451"/>
      <c r="DT52" s="1451"/>
      <c r="DU52" s="1451"/>
      <c r="DV52" s="1451"/>
      <c r="DW52" s="1451"/>
      <c r="DX52" s="1451"/>
      <c r="DY52" s="1451"/>
      <c r="DZ52" s="1451"/>
      <c r="EA52" s="1451"/>
      <c r="EB52" s="1451"/>
      <c r="EC52" s="1451"/>
      <c r="ED52" s="1451"/>
      <c r="EE52" s="1451"/>
      <c r="EF52" s="1451"/>
      <c r="EG52" s="1451"/>
      <c r="EH52" s="1451"/>
      <c r="EI52" s="1451"/>
      <c r="EJ52" s="1451"/>
      <c r="EK52" s="1451"/>
      <c r="EL52" s="1451"/>
      <c r="EM52" s="1451"/>
      <c r="EN52" s="1451"/>
      <c r="EO52" s="1451"/>
      <c r="EP52" s="1451"/>
      <c r="EQ52" s="1451"/>
      <c r="ER52" s="1451"/>
      <c r="ES52" s="1451"/>
      <c r="ET52" s="1451"/>
      <c r="EU52" s="1451"/>
    </row>
    <row r="53" spans="1:166">
      <c r="A53" s="433"/>
      <c r="B53" s="436"/>
      <c r="E53" s="1528" t="s">
        <v>402</v>
      </c>
      <c r="F53" s="1453">
        <v>653</v>
      </c>
      <c r="G53" s="1453">
        <v>653</v>
      </c>
      <c r="H53" s="1453">
        <v>653</v>
      </c>
      <c r="I53" s="1453">
        <v>653</v>
      </c>
      <c r="J53" s="1453">
        <v>653</v>
      </c>
      <c r="K53" s="1453">
        <v>653</v>
      </c>
      <c r="L53" s="1453">
        <v>652</v>
      </c>
      <c r="M53" s="1453">
        <v>93561</v>
      </c>
      <c r="N53" s="1453">
        <v>652</v>
      </c>
      <c r="O53" s="1453">
        <v>652</v>
      </c>
      <c r="P53" s="1453">
        <v>174254</v>
      </c>
      <c r="Q53" s="1453">
        <v>269578</v>
      </c>
      <c r="R53" s="1453">
        <v>652</v>
      </c>
      <c r="S53" s="1453">
        <v>652</v>
      </c>
      <c r="T53" s="1453">
        <v>652</v>
      </c>
      <c r="U53" s="1453">
        <v>652</v>
      </c>
      <c r="V53" s="1453">
        <v>175771</v>
      </c>
      <c r="W53" s="1453">
        <v>652</v>
      </c>
      <c r="X53" s="1453">
        <v>154769</v>
      </c>
      <c r="Y53" s="1453">
        <v>1182296</v>
      </c>
      <c r="Z53" s="1453">
        <v>193453</v>
      </c>
      <c r="AA53" s="1453">
        <v>652</v>
      </c>
      <c r="AB53" s="1453">
        <v>652</v>
      </c>
      <c r="AC53" s="1453">
        <v>652</v>
      </c>
      <c r="AD53" s="1453">
        <v>652</v>
      </c>
      <c r="AE53" s="1453">
        <v>652</v>
      </c>
      <c r="AF53" s="1453">
        <v>652</v>
      </c>
      <c r="AG53" s="1453">
        <v>652</v>
      </c>
      <c r="AH53" s="1453">
        <v>652</v>
      </c>
      <c r="AI53" s="1453">
        <v>652</v>
      </c>
      <c r="AJ53" s="1453">
        <v>652</v>
      </c>
      <c r="AK53" s="1453">
        <v>652</v>
      </c>
      <c r="AL53" s="1453">
        <v>60122</v>
      </c>
      <c r="AM53" s="1453">
        <v>652</v>
      </c>
      <c r="AN53" s="1453">
        <v>652</v>
      </c>
      <c r="AO53" s="1453">
        <v>661</v>
      </c>
      <c r="AP53" s="1453">
        <v>661</v>
      </c>
      <c r="AQ53" s="1453">
        <v>661</v>
      </c>
      <c r="AR53" s="1453">
        <v>661</v>
      </c>
      <c r="AS53" s="1453">
        <v>661</v>
      </c>
      <c r="AT53" s="1453">
        <v>661</v>
      </c>
      <c r="AU53" s="1453">
        <v>661</v>
      </c>
      <c r="AV53" s="1453">
        <v>661</v>
      </c>
      <c r="AW53" s="1453">
        <v>661</v>
      </c>
      <c r="AX53" s="1453">
        <v>661</v>
      </c>
      <c r="AY53" s="1453">
        <v>661</v>
      </c>
      <c r="AZ53" s="1453">
        <v>661</v>
      </c>
      <c r="BA53" s="1453">
        <v>661</v>
      </c>
      <c r="BB53" s="1453">
        <v>661</v>
      </c>
      <c r="BC53" s="1453">
        <v>160847</v>
      </c>
      <c r="BD53" s="1453">
        <v>194536</v>
      </c>
      <c r="BE53" s="1453">
        <v>661</v>
      </c>
      <c r="BF53" s="1453">
        <v>661</v>
      </c>
      <c r="BG53" s="1453">
        <v>661</v>
      </c>
      <c r="BH53" s="1453">
        <v>661</v>
      </c>
      <c r="BI53" s="1453">
        <v>661</v>
      </c>
      <c r="BJ53" s="1453">
        <v>661</v>
      </c>
      <c r="BK53" s="1453">
        <v>661</v>
      </c>
      <c r="BL53" s="1453">
        <v>661</v>
      </c>
      <c r="BM53" s="1453">
        <v>661</v>
      </c>
      <c r="BN53" s="1453">
        <v>661</v>
      </c>
      <c r="BO53" s="1453">
        <v>101667</v>
      </c>
      <c r="BP53" s="1453">
        <v>661</v>
      </c>
      <c r="BQ53" s="1453">
        <v>661</v>
      </c>
      <c r="BR53" s="1453">
        <v>661</v>
      </c>
      <c r="BS53" s="1453">
        <v>661</v>
      </c>
      <c r="BT53" s="1453">
        <v>661</v>
      </c>
      <c r="BU53" s="1453">
        <v>661</v>
      </c>
      <c r="BV53" s="1453">
        <v>67289</v>
      </c>
      <c r="BW53" s="1453">
        <v>131922</v>
      </c>
      <c r="BX53" s="1453">
        <v>661</v>
      </c>
      <c r="BY53" s="1453">
        <v>174262</v>
      </c>
      <c r="BZ53" s="1453">
        <v>269587</v>
      </c>
      <c r="CA53" s="1453">
        <v>661</v>
      </c>
      <c r="CB53" s="1453">
        <v>661</v>
      </c>
      <c r="CC53" s="1453">
        <v>661</v>
      </c>
      <c r="CD53" s="1453">
        <v>661</v>
      </c>
      <c r="CE53" s="1453">
        <v>175780</v>
      </c>
      <c r="CF53" s="1453">
        <v>661</v>
      </c>
      <c r="CG53" s="1453">
        <v>154778</v>
      </c>
      <c r="CH53" s="1453">
        <v>661</v>
      </c>
      <c r="CI53" s="1453">
        <v>106768</v>
      </c>
      <c r="CJ53" s="1453">
        <v>134482</v>
      </c>
      <c r="CK53" s="1453">
        <v>661</v>
      </c>
      <c r="CL53" s="1453">
        <v>661</v>
      </c>
      <c r="CM53" s="1453">
        <v>661</v>
      </c>
      <c r="CN53" s="1453">
        <v>661</v>
      </c>
      <c r="CO53" s="1453">
        <v>661</v>
      </c>
      <c r="CP53" s="1453">
        <v>661</v>
      </c>
      <c r="CQ53" s="1453">
        <v>661</v>
      </c>
      <c r="CR53" s="1453">
        <v>661</v>
      </c>
      <c r="CS53" s="1453">
        <v>661</v>
      </c>
      <c r="CT53" s="1453">
        <v>661</v>
      </c>
      <c r="CU53" s="1453">
        <v>60130</v>
      </c>
      <c r="CV53" s="1453">
        <v>661</v>
      </c>
      <c r="CW53" s="1453">
        <v>661</v>
      </c>
      <c r="CX53" s="1453">
        <v>661</v>
      </c>
      <c r="CY53" s="1453">
        <v>661</v>
      </c>
      <c r="CZ53" s="1453">
        <v>661</v>
      </c>
      <c r="DA53" s="1453">
        <v>661</v>
      </c>
      <c r="DB53" s="1453">
        <v>661</v>
      </c>
      <c r="DC53" s="1453">
        <v>661</v>
      </c>
      <c r="DD53" s="1453">
        <v>661</v>
      </c>
      <c r="DE53" s="1453">
        <v>661</v>
      </c>
      <c r="DF53" s="1453">
        <v>661</v>
      </c>
      <c r="DG53" s="1453">
        <v>661</v>
      </c>
      <c r="DH53" s="1453">
        <v>661</v>
      </c>
      <c r="DI53" s="1453">
        <v>661</v>
      </c>
      <c r="DJ53" s="1453">
        <v>661</v>
      </c>
      <c r="DK53" s="1453">
        <v>661</v>
      </c>
      <c r="DL53" s="1453">
        <v>160847</v>
      </c>
      <c r="DM53" s="1453">
        <v>194540</v>
      </c>
      <c r="DN53" s="1453">
        <v>665</v>
      </c>
      <c r="DO53" s="1453">
        <v>665</v>
      </c>
      <c r="DP53" s="1453">
        <v>665</v>
      </c>
      <c r="DQ53" s="1453">
        <v>665</v>
      </c>
      <c r="DR53" s="1453">
        <v>665</v>
      </c>
      <c r="DS53" s="1453">
        <v>665</v>
      </c>
      <c r="DT53" s="1453">
        <v>665</v>
      </c>
      <c r="DU53" s="1453">
        <v>665</v>
      </c>
      <c r="DV53" s="1453">
        <v>32482</v>
      </c>
      <c r="DW53" s="1453">
        <v>665</v>
      </c>
      <c r="DX53" s="1453">
        <v>101671</v>
      </c>
      <c r="DY53" s="1453">
        <v>665</v>
      </c>
      <c r="DZ53" s="1453">
        <v>665</v>
      </c>
      <c r="EA53" s="1453">
        <v>665</v>
      </c>
      <c r="EB53" s="1453">
        <v>665</v>
      </c>
      <c r="EC53" s="1453">
        <v>665</v>
      </c>
      <c r="ED53" s="1453">
        <v>665</v>
      </c>
      <c r="EE53" s="1453">
        <v>67294</v>
      </c>
      <c r="EF53" s="1453">
        <v>131926</v>
      </c>
      <c r="EG53" s="1453">
        <v>665</v>
      </c>
      <c r="EH53" s="1453">
        <v>174267</v>
      </c>
      <c r="EI53" s="1453">
        <v>269591</v>
      </c>
      <c r="EJ53" s="1453">
        <v>665</v>
      </c>
      <c r="EK53" s="1453">
        <v>665</v>
      </c>
      <c r="EL53" s="1453">
        <v>665</v>
      </c>
      <c r="EM53" s="1453">
        <v>665</v>
      </c>
      <c r="EN53" s="1453">
        <v>175784</v>
      </c>
      <c r="EO53" s="1453">
        <v>665</v>
      </c>
      <c r="EP53" s="1453">
        <v>154782</v>
      </c>
      <c r="EQ53" s="1453">
        <v>133077</v>
      </c>
      <c r="ER53" s="1453">
        <v>106772</v>
      </c>
      <c r="ES53" s="1453">
        <v>665</v>
      </c>
      <c r="ET53" s="1453">
        <v>134486</v>
      </c>
      <c r="EU53" s="1453">
        <v>665</v>
      </c>
      <c r="EV53" s="1453">
        <v>665</v>
      </c>
      <c r="EW53" s="1453">
        <v>5948565</v>
      </c>
      <c r="EX53" s="1453"/>
      <c r="EY53" s="1453"/>
      <c r="EZ53" s="1453"/>
      <c r="FA53" s="1453"/>
      <c r="FB53" s="1453"/>
      <c r="FC53" s="1453"/>
      <c r="FD53" s="1453"/>
      <c r="FE53" s="1453"/>
      <c r="FF53" s="1453"/>
      <c r="FG53" s="1453"/>
      <c r="FH53" s="1453"/>
      <c r="FI53" s="1453"/>
      <c r="FJ53" s="1453"/>
    </row>
    <row r="54" spans="1:166">
      <c r="A54" s="433" t="s">
        <v>1003</v>
      </c>
      <c r="B54" s="436" t="s">
        <v>1160</v>
      </c>
      <c r="E54" s="1528"/>
      <c r="G54" s="1451"/>
      <c r="H54" s="1451"/>
      <c r="I54" s="1451"/>
      <c r="J54" s="1451"/>
      <c r="K54" s="1451"/>
      <c r="L54" s="1451"/>
      <c r="M54" s="1451"/>
      <c r="N54" s="1451"/>
      <c r="O54" s="1451"/>
      <c r="P54" s="1451"/>
      <c r="Q54" s="1451"/>
      <c r="R54" s="1451"/>
      <c r="S54" s="1451"/>
      <c r="T54" s="1451"/>
      <c r="U54" s="1451"/>
      <c r="V54" s="1451"/>
      <c r="W54" s="1451"/>
      <c r="X54" s="1451"/>
      <c r="Y54" s="1451"/>
      <c r="Z54" s="1451"/>
      <c r="AA54" s="1451"/>
      <c r="AB54" s="1451"/>
      <c r="AC54" s="1451"/>
      <c r="AD54" s="1451"/>
      <c r="AE54" s="1451"/>
      <c r="AF54" s="1451"/>
      <c r="AG54" s="1451"/>
      <c r="AH54" s="1451"/>
      <c r="AI54" s="1451"/>
      <c r="AJ54" s="1451"/>
      <c r="AK54" s="1451"/>
      <c r="AL54" s="1451"/>
      <c r="AM54" s="1451"/>
      <c r="AN54" s="1451"/>
      <c r="AO54" s="1451"/>
      <c r="AP54" s="1451"/>
      <c r="AQ54" s="1451"/>
      <c r="AR54" s="1451"/>
      <c r="AS54" s="1451"/>
      <c r="AT54" s="1451"/>
      <c r="AU54" s="1451"/>
      <c r="AV54" s="1451"/>
      <c r="AW54" s="1451"/>
      <c r="AX54" s="1451"/>
      <c r="AY54" s="1451"/>
      <c r="AZ54" s="1451"/>
      <c r="BA54" s="1451"/>
      <c r="BB54" s="1451"/>
      <c r="BC54" s="1451"/>
      <c r="BD54" s="1451"/>
      <c r="BE54" s="1451"/>
      <c r="BF54" s="1451"/>
      <c r="BG54" s="1451"/>
      <c r="BH54" s="1451"/>
      <c r="BI54" s="1451"/>
      <c r="BJ54" s="1451"/>
      <c r="BK54" s="1451"/>
      <c r="BL54" s="1451"/>
      <c r="BM54" s="1451"/>
      <c r="BN54" s="1451"/>
      <c r="BO54" s="1451"/>
      <c r="BP54" s="1451"/>
      <c r="BQ54" s="1451"/>
      <c r="BR54" s="1451"/>
      <c r="BS54" s="1451"/>
      <c r="BT54" s="1451"/>
      <c r="BU54" s="1451"/>
      <c r="BV54" s="1451"/>
      <c r="BW54" s="1451"/>
      <c r="BX54" s="1451"/>
      <c r="BY54" s="1451"/>
      <c r="BZ54" s="1451"/>
      <c r="CA54" s="1451"/>
      <c r="CB54" s="1451"/>
      <c r="CC54" s="1451"/>
      <c r="CD54" s="1451"/>
      <c r="CE54" s="1451"/>
      <c r="CF54" s="1451"/>
      <c r="CG54" s="1451"/>
      <c r="CH54" s="1451"/>
      <c r="CI54" s="1451"/>
      <c r="CJ54" s="1451"/>
      <c r="CK54" s="1451"/>
      <c r="CL54" s="1451"/>
      <c r="CM54" s="1451"/>
      <c r="CN54" s="1451"/>
      <c r="CO54" s="1451"/>
      <c r="CP54" s="1451"/>
      <c r="CQ54" s="1451"/>
      <c r="CR54" s="1451"/>
      <c r="CS54" s="1451"/>
      <c r="CT54" s="1451"/>
      <c r="CU54" s="1451"/>
      <c r="CV54" s="1451"/>
      <c r="CW54" s="1451"/>
      <c r="CX54" s="1451"/>
      <c r="CY54" s="1451"/>
      <c r="CZ54" s="1451"/>
      <c r="DA54" s="1451"/>
      <c r="DB54" s="1451"/>
      <c r="DC54" s="1451"/>
      <c r="DD54" s="1451"/>
      <c r="DE54" s="1451"/>
      <c r="DF54" s="1451"/>
      <c r="DG54" s="1451"/>
      <c r="DH54" s="1451"/>
      <c r="DI54" s="1451"/>
      <c r="DJ54" s="1451"/>
      <c r="DK54" s="1451"/>
      <c r="DL54" s="1451"/>
      <c r="DM54" s="1451"/>
      <c r="DN54" s="1451"/>
      <c r="DO54" s="1451"/>
      <c r="DP54" s="1451"/>
      <c r="DQ54" s="1451"/>
      <c r="DR54" s="1451"/>
      <c r="DS54" s="1451"/>
      <c r="DT54" s="1451"/>
      <c r="DU54" s="1451"/>
      <c r="DV54" s="1451"/>
      <c r="DW54" s="1451"/>
      <c r="DX54" s="1451"/>
      <c r="DY54" s="1451"/>
      <c r="DZ54" s="1451"/>
      <c r="EA54" s="1451"/>
      <c r="EB54" s="1451"/>
      <c r="EC54" s="1451"/>
      <c r="ED54" s="1451"/>
      <c r="EE54" s="1451"/>
      <c r="EF54" s="1451"/>
      <c r="EG54" s="1451"/>
      <c r="EH54" s="1451"/>
      <c r="EI54" s="1451"/>
      <c r="EJ54" s="1451"/>
      <c r="EK54" s="1451"/>
      <c r="EL54" s="1451"/>
      <c r="EM54" s="1451"/>
      <c r="EN54" s="1451"/>
      <c r="EO54" s="1451"/>
      <c r="EP54" s="1451"/>
      <c r="EQ54" s="1451"/>
      <c r="ER54" s="1451"/>
      <c r="ES54" s="1451"/>
      <c r="ET54" s="1451"/>
      <c r="EU54" s="1451"/>
    </row>
    <row r="55" spans="1:166" s="1548" customFormat="1">
      <c r="A55" s="1554" t="s">
        <v>407</v>
      </c>
      <c r="B55" s="1555">
        <v>16</v>
      </c>
      <c r="C55" s="1247"/>
      <c r="D55" s="969">
        <v>16</v>
      </c>
      <c r="E55" s="1556" t="s">
        <v>403</v>
      </c>
      <c r="F55" s="1453">
        <v>107245</v>
      </c>
      <c r="G55" s="1453">
        <v>134697</v>
      </c>
      <c r="H55" s="1453">
        <v>134697</v>
      </c>
      <c r="I55" s="1453">
        <v>135093</v>
      </c>
      <c r="J55" s="1453">
        <v>135093</v>
      </c>
      <c r="K55" s="1453">
        <v>135573</v>
      </c>
      <c r="L55" s="1453">
        <v>135573</v>
      </c>
      <c r="M55" s="1453">
        <v>55016</v>
      </c>
      <c r="N55" s="1453">
        <v>148944</v>
      </c>
      <c r="O55" s="1453">
        <v>128977</v>
      </c>
      <c r="P55" s="1453">
        <v>-62337</v>
      </c>
      <c r="Q55" s="1453">
        <v>-112170</v>
      </c>
      <c r="R55" s="1453">
        <v>152522</v>
      </c>
      <c r="S55" s="1453">
        <v>159969</v>
      </c>
      <c r="T55" s="1453">
        <v>159969</v>
      </c>
      <c r="U55" s="1453">
        <v>131020</v>
      </c>
      <c r="V55" s="1453">
        <v>-17053</v>
      </c>
      <c r="W55" s="1453">
        <v>132687</v>
      </c>
      <c r="X55" s="1453">
        <v>3169</v>
      </c>
      <c r="Y55" s="1453">
        <v>-1005853</v>
      </c>
      <c r="Z55" s="1453">
        <v>25399</v>
      </c>
      <c r="AA55" s="1453">
        <v>218200</v>
      </c>
      <c r="AB55" s="1453">
        <v>218744</v>
      </c>
      <c r="AC55" s="1453">
        <v>219625</v>
      </c>
      <c r="AD55" s="1453">
        <v>220165</v>
      </c>
      <c r="AE55" s="1453">
        <v>221040</v>
      </c>
      <c r="AF55" s="1453">
        <v>221623</v>
      </c>
      <c r="AG55" s="1453">
        <v>222741</v>
      </c>
      <c r="AH55" s="1453">
        <v>223289</v>
      </c>
      <c r="AI55" s="1453">
        <v>223289</v>
      </c>
      <c r="AJ55" s="1453">
        <v>223772</v>
      </c>
      <c r="AK55" s="1453">
        <v>213466</v>
      </c>
      <c r="AL55" s="1453">
        <v>164210</v>
      </c>
      <c r="AM55" s="1453">
        <v>223679</v>
      </c>
      <c r="AN55" s="1453">
        <v>224239</v>
      </c>
      <c r="AO55" s="1453">
        <v>225139</v>
      </c>
      <c r="AP55" s="1453">
        <v>225609</v>
      </c>
      <c r="AQ55" s="1453">
        <v>226520</v>
      </c>
      <c r="AR55" s="1453">
        <v>227190</v>
      </c>
      <c r="AS55" s="1453">
        <v>226650</v>
      </c>
      <c r="AT55" s="1453">
        <v>227215</v>
      </c>
      <c r="AU55" s="1453">
        <v>227215</v>
      </c>
      <c r="AV55" s="1453">
        <v>227712</v>
      </c>
      <c r="AW55" s="1453">
        <v>228136</v>
      </c>
      <c r="AX55" s="1453">
        <v>229166</v>
      </c>
      <c r="AY55" s="1453">
        <v>229166</v>
      </c>
      <c r="AZ55" s="1453">
        <v>229743</v>
      </c>
      <c r="BA55" s="1453">
        <v>230679</v>
      </c>
      <c r="BB55" s="1453">
        <v>210224</v>
      </c>
      <c r="BC55" s="1453">
        <v>39564</v>
      </c>
      <c r="BD55" s="1453">
        <v>37365</v>
      </c>
      <c r="BE55" s="1453">
        <v>232135</v>
      </c>
      <c r="BF55" s="1453">
        <v>232717</v>
      </c>
      <c r="BG55" s="1453">
        <v>232717</v>
      </c>
      <c r="BH55" s="1453">
        <v>233229</v>
      </c>
      <c r="BI55" s="1453">
        <v>233666</v>
      </c>
      <c r="BJ55" s="1453">
        <v>234727</v>
      </c>
      <c r="BK55" s="1453">
        <v>234727</v>
      </c>
      <c r="BL55" s="1453">
        <v>235321</v>
      </c>
      <c r="BM55" s="1453">
        <v>236596</v>
      </c>
      <c r="BN55" s="1453">
        <v>216492</v>
      </c>
      <c r="BO55" s="1453">
        <v>132071</v>
      </c>
      <c r="BP55" s="1453">
        <v>234320</v>
      </c>
      <c r="BQ55" s="1453">
        <v>234965</v>
      </c>
      <c r="BR55" s="1453">
        <v>235564</v>
      </c>
      <c r="BS55" s="1453">
        <v>235564</v>
      </c>
      <c r="BT55" s="1453">
        <v>236091</v>
      </c>
      <c r="BU55" s="1453">
        <v>222475</v>
      </c>
      <c r="BV55" s="1453">
        <v>146035</v>
      </c>
      <c r="BW55" s="1453">
        <v>102571</v>
      </c>
      <c r="BX55" s="1453">
        <v>202784</v>
      </c>
      <c r="BY55" s="1453">
        <v>6301</v>
      </c>
      <c r="BZ55" s="1453">
        <v>-40663</v>
      </c>
      <c r="CA55" s="1453">
        <v>229036</v>
      </c>
      <c r="CB55" s="1453">
        <v>229662</v>
      </c>
      <c r="CC55" s="1453">
        <v>229950</v>
      </c>
      <c r="CD55" s="1453">
        <v>198348</v>
      </c>
      <c r="CE55" s="1453">
        <v>52536</v>
      </c>
      <c r="CF55" s="1453">
        <v>199843</v>
      </c>
      <c r="CG55" s="1453">
        <v>71739</v>
      </c>
      <c r="CH55" s="1453">
        <v>163732</v>
      </c>
      <c r="CI55" s="1453">
        <v>77095</v>
      </c>
      <c r="CJ55" s="1453">
        <v>82759</v>
      </c>
      <c r="CK55" s="1453">
        <v>217124</v>
      </c>
      <c r="CL55" s="1453">
        <v>218067</v>
      </c>
      <c r="CM55" s="1453">
        <v>218863</v>
      </c>
      <c r="CN55" s="1453">
        <v>219508</v>
      </c>
      <c r="CO55" s="1453">
        <v>220359</v>
      </c>
      <c r="CP55" s="1453">
        <v>220359</v>
      </c>
      <c r="CQ55" s="1453">
        <v>220907</v>
      </c>
      <c r="CR55" s="1453">
        <v>220907</v>
      </c>
      <c r="CS55" s="1453">
        <v>221617</v>
      </c>
      <c r="CT55" s="1453">
        <v>211392</v>
      </c>
      <c r="CU55" s="1453">
        <v>162454</v>
      </c>
      <c r="CV55" s="1453">
        <v>222273</v>
      </c>
      <c r="CW55" s="1453">
        <v>222833</v>
      </c>
      <c r="CX55" s="1453">
        <v>223444</v>
      </c>
      <c r="CY55" s="1453">
        <v>224265</v>
      </c>
      <c r="CZ55" s="1453">
        <v>225621</v>
      </c>
      <c r="DA55" s="1453">
        <v>226475</v>
      </c>
      <c r="DB55" s="1453">
        <v>226475</v>
      </c>
      <c r="DC55" s="1453">
        <v>227040</v>
      </c>
      <c r="DD55" s="1453">
        <v>227040</v>
      </c>
      <c r="DE55" s="1453">
        <v>227771</v>
      </c>
      <c r="DF55" s="1453">
        <v>228089</v>
      </c>
      <c r="DG55" s="1453">
        <v>229005</v>
      </c>
      <c r="DH55" s="1453">
        <v>229364</v>
      </c>
      <c r="DI55" s="1453">
        <v>229941</v>
      </c>
      <c r="DJ55" s="1453">
        <v>230819</v>
      </c>
      <c r="DK55" s="1453">
        <v>202451</v>
      </c>
      <c r="DL55" s="1453">
        <v>33284</v>
      </c>
      <c r="DM55" s="1453">
        <v>32305</v>
      </c>
      <c r="DN55" s="1453">
        <v>226181</v>
      </c>
      <c r="DO55" s="1453">
        <v>226763</v>
      </c>
      <c r="DP55" s="1453">
        <v>226763</v>
      </c>
      <c r="DQ55" s="1453">
        <v>227516</v>
      </c>
      <c r="DR55" s="1453">
        <v>227843</v>
      </c>
      <c r="DS55" s="1453">
        <v>228786</v>
      </c>
      <c r="DT55" s="1453">
        <v>229157</v>
      </c>
      <c r="DU55" s="1453">
        <v>223736</v>
      </c>
      <c r="DV55" s="1453">
        <v>198128</v>
      </c>
      <c r="DW55" s="1453">
        <v>211697</v>
      </c>
      <c r="DX55" s="1453">
        <v>128177</v>
      </c>
      <c r="DY55" s="1453">
        <v>230165</v>
      </c>
      <c r="DZ55" s="1453">
        <v>230165</v>
      </c>
      <c r="EA55" s="1453">
        <v>230764</v>
      </c>
      <c r="EB55" s="1453">
        <v>230764</v>
      </c>
      <c r="EC55" s="1453">
        <v>231540</v>
      </c>
      <c r="ED55" s="1453">
        <v>217846</v>
      </c>
      <c r="EE55" s="1453">
        <v>140704</v>
      </c>
      <c r="EF55" s="1453">
        <v>98830</v>
      </c>
      <c r="EG55" s="1453">
        <v>197519</v>
      </c>
      <c r="EH55" s="1453">
        <v>337</v>
      </c>
      <c r="EI55" s="1453">
        <v>-44365</v>
      </c>
      <c r="EJ55" s="1453">
        <v>226090</v>
      </c>
      <c r="EK55" s="1453">
        <v>227129</v>
      </c>
      <c r="EL55" s="1453">
        <v>227129</v>
      </c>
      <c r="EM55" s="1453">
        <v>193949</v>
      </c>
      <c r="EN55" s="1453">
        <v>49715</v>
      </c>
      <c r="EO55" s="1453">
        <v>168470</v>
      </c>
      <c r="EP55" s="1453">
        <v>30422</v>
      </c>
      <c r="EQ55" s="1453">
        <v>65020</v>
      </c>
      <c r="ER55" s="1453">
        <v>74012</v>
      </c>
      <c r="ES55" s="1453">
        <v>180119</v>
      </c>
      <c r="ET55" s="1453">
        <v>83462</v>
      </c>
      <c r="EU55" s="1453">
        <v>218165</v>
      </c>
      <c r="EV55" s="1453">
        <v>218961</v>
      </c>
      <c r="EW55" s="1453">
        <v>25010414</v>
      </c>
      <c r="EX55" s="1453"/>
      <c r="EY55" s="1453"/>
      <c r="EZ55" s="1453"/>
      <c r="FA55" s="1453"/>
      <c r="FB55" s="1453"/>
      <c r="FC55" s="1453"/>
      <c r="FD55" s="1453"/>
      <c r="FE55" s="1453"/>
      <c r="FF55" s="1453"/>
      <c r="FG55" s="1453"/>
      <c r="FH55" s="1453"/>
      <c r="FI55" s="1453"/>
      <c r="FJ55" s="1453"/>
    </row>
    <row r="56" spans="1:166" s="1548" customFormat="1">
      <c r="A56" s="1247"/>
      <c r="B56" s="1557"/>
      <c r="C56" s="1247"/>
      <c r="D56" s="969"/>
      <c r="E56" s="1554"/>
      <c r="F56" s="1545"/>
      <c r="G56" s="1546"/>
      <c r="H56" s="1546"/>
      <c r="I56" s="1546"/>
      <c r="J56" s="1546"/>
      <c r="K56" s="1546"/>
      <c r="L56" s="1546"/>
      <c r="M56" s="1546"/>
      <c r="N56" s="1546"/>
      <c r="O56" s="1546"/>
      <c r="P56" s="1546"/>
      <c r="Q56" s="1546"/>
      <c r="R56" s="1546"/>
      <c r="S56" s="1546"/>
      <c r="T56" s="1546"/>
      <c r="U56" s="1546"/>
      <c r="V56" s="1546"/>
      <c r="W56" s="1546"/>
      <c r="X56" s="1546"/>
      <c r="Y56" s="1546"/>
      <c r="Z56" s="1546"/>
      <c r="AA56" s="1546"/>
      <c r="AB56" s="1546"/>
      <c r="AC56" s="1546"/>
      <c r="AD56" s="1546"/>
      <c r="AE56" s="1546"/>
      <c r="AF56" s="1546"/>
      <c r="AG56" s="1546"/>
      <c r="AH56" s="1546"/>
      <c r="AI56" s="1546"/>
      <c r="AJ56" s="1546"/>
      <c r="AK56" s="1546"/>
      <c r="AL56" s="1546"/>
      <c r="AM56" s="1546"/>
      <c r="AN56" s="1546"/>
      <c r="AO56" s="1546"/>
      <c r="AP56" s="1546"/>
      <c r="AQ56" s="1546"/>
      <c r="AR56" s="1546"/>
      <c r="AS56" s="1546"/>
      <c r="AT56" s="1546"/>
      <c r="AU56" s="1546"/>
      <c r="AV56" s="1546"/>
      <c r="AW56" s="1546"/>
      <c r="AX56" s="1546"/>
      <c r="AY56" s="1546"/>
      <c r="AZ56" s="1546"/>
      <c r="BA56" s="1546"/>
      <c r="BB56" s="1546"/>
      <c r="BC56" s="1546"/>
      <c r="BD56" s="1546"/>
      <c r="BE56" s="1546"/>
      <c r="BF56" s="1546"/>
      <c r="BG56" s="1546"/>
      <c r="BH56" s="1546"/>
      <c r="BI56" s="1546"/>
      <c r="BJ56" s="1546"/>
      <c r="BK56" s="1546"/>
      <c r="BL56" s="1546"/>
      <c r="BM56" s="1546"/>
      <c r="BN56" s="1546"/>
      <c r="BO56" s="1546"/>
      <c r="BP56" s="1546"/>
      <c r="BQ56" s="1546"/>
      <c r="BR56" s="1546"/>
      <c r="BS56" s="1546"/>
      <c r="BT56" s="1546"/>
      <c r="BU56" s="1546"/>
      <c r="BV56" s="1546"/>
      <c r="BW56" s="1546"/>
      <c r="BX56" s="1546"/>
      <c r="BY56" s="1546"/>
      <c r="BZ56" s="1546"/>
      <c r="CA56" s="1546"/>
      <c r="CB56" s="1546"/>
      <c r="CC56" s="1546"/>
      <c r="CD56" s="1546"/>
      <c r="CE56" s="1546"/>
      <c r="CF56" s="1546"/>
      <c r="CG56" s="1546"/>
      <c r="CH56" s="1546"/>
      <c r="CI56" s="1546"/>
      <c r="CJ56" s="1546"/>
      <c r="CK56" s="1546"/>
      <c r="CL56" s="1546"/>
      <c r="CM56" s="1546"/>
      <c r="CN56" s="1546"/>
      <c r="CO56" s="1546"/>
      <c r="CP56" s="1546"/>
      <c r="CQ56" s="1546"/>
      <c r="CR56" s="1546"/>
      <c r="CS56" s="1546"/>
      <c r="CT56" s="1546"/>
      <c r="CU56" s="1546"/>
      <c r="CV56" s="1546"/>
      <c r="CW56" s="1546"/>
      <c r="CX56" s="1546"/>
      <c r="CY56" s="1546"/>
      <c r="CZ56" s="1546"/>
      <c r="DA56" s="1546"/>
      <c r="DB56" s="1546"/>
      <c r="DC56" s="1546"/>
      <c r="DD56" s="1546"/>
      <c r="DE56" s="1546"/>
      <c r="DF56" s="1546"/>
      <c r="DG56" s="1546"/>
      <c r="DH56" s="1546"/>
      <c r="DI56" s="1546"/>
      <c r="DJ56" s="1546"/>
      <c r="DK56" s="1546"/>
      <c r="DL56" s="1546"/>
      <c r="DM56" s="1546"/>
      <c r="DN56" s="1546"/>
      <c r="DO56" s="1546"/>
      <c r="DP56" s="1546"/>
      <c r="DQ56" s="1546"/>
      <c r="DR56" s="1546"/>
      <c r="DS56" s="1546"/>
      <c r="DT56" s="1546"/>
      <c r="DU56" s="1546"/>
      <c r="DV56" s="1546"/>
      <c r="DW56" s="1546"/>
      <c r="DX56" s="1546"/>
      <c r="DY56" s="1546"/>
      <c r="DZ56" s="1546"/>
      <c r="EA56" s="1546"/>
      <c r="EB56" s="1546"/>
      <c r="EC56" s="1546"/>
      <c r="ED56" s="1546"/>
      <c r="EE56" s="1546"/>
      <c r="EF56" s="1546"/>
      <c r="EG56" s="1546"/>
      <c r="EH56" s="1546"/>
      <c r="EI56" s="1546"/>
      <c r="EJ56" s="1546"/>
      <c r="EK56" s="1546"/>
      <c r="EL56" s="1546"/>
      <c r="EM56" s="1546"/>
      <c r="EN56" s="1546"/>
      <c r="EO56" s="1546"/>
      <c r="EP56" s="1546"/>
      <c r="EQ56" s="1546"/>
      <c r="ER56" s="1546"/>
      <c r="ES56" s="1546"/>
      <c r="ET56" s="1546"/>
      <c r="EU56" s="1546"/>
      <c r="EV56" s="1560"/>
      <c r="EW56" s="1560"/>
      <c r="EX56" s="1560"/>
      <c r="EY56" s="1560"/>
      <c r="EZ56" s="1560"/>
      <c r="FA56" s="1560"/>
      <c r="FB56" s="1560"/>
      <c r="FC56" s="1560"/>
      <c r="FD56" s="1560"/>
      <c r="FE56" s="1560"/>
      <c r="FF56" s="1560"/>
      <c r="FG56" s="1560"/>
      <c r="FH56" s="1560"/>
      <c r="FI56" s="1560"/>
      <c r="FJ56" s="1560"/>
    </row>
    <row r="57" spans="1:166" s="1548" customFormat="1" ht="16" thickBot="1">
      <c r="A57" s="1554" t="s">
        <v>402</v>
      </c>
      <c r="B57" s="1557">
        <v>17</v>
      </c>
      <c r="C57" s="1247"/>
      <c r="D57" s="969">
        <v>17</v>
      </c>
      <c r="E57" s="1544" t="s">
        <v>404</v>
      </c>
      <c r="F57" s="1634">
        <v>107245</v>
      </c>
      <c r="G57" s="1634">
        <v>134697</v>
      </c>
      <c r="H57" s="1634">
        <v>134697</v>
      </c>
      <c r="I57" s="1634">
        <v>135093</v>
      </c>
      <c r="J57" s="1634">
        <v>135093</v>
      </c>
      <c r="K57" s="1634">
        <v>135573</v>
      </c>
      <c r="L57" s="1634">
        <v>135573</v>
      </c>
      <c r="M57" s="1634">
        <v>55016</v>
      </c>
      <c r="N57" s="1634">
        <v>148944</v>
      </c>
      <c r="O57" s="1634">
        <v>128977</v>
      </c>
      <c r="P57" s="1634">
        <v>-62337</v>
      </c>
      <c r="Q57" s="1634">
        <v>-112170</v>
      </c>
      <c r="R57" s="1634">
        <v>152522</v>
      </c>
      <c r="S57" s="1634">
        <v>159969</v>
      </c>
      <c r="T57" s="1634">
        <v>159969</v>
      </c>
      <c r="U57" s="1634">
        <v>131020</v>
      </c>
      <c r="V57" s="1634">
        <v>-17053</v>
      </c>
      <c r="W57" s="1634">
        <v>132687</v>
      </c>
      <c r="X57" s="1634">
        <v>3169</v>
      </c>
      <c r="Y57" s="1634">
        <v>-1005853</v>
      </c>
      <c r="Z57" s="1634">
        <v>25399</v>
      </c>
      <c r="AA57" s="1634">
        <v>218200</v>
      </c>
      <c r="AB57" s="1634">
        <v>218744</v>
      </c>
      <c r="AC57" s="1634">
        <v>219625</v>
      </c>
      <c r="AD57" s="1634">
        <v>220165</v>
      </c>
      <c r="AE57" s="1634">
        <v>221040</v>
      </c>
      <c r="AF57" s="1634">
        <v>221623</v>
      </c>
      <c r="AG57" s="1634">
        <v>222741</v>
      </c>
      <c r="AH57" s="1634">
        <v>223289</v>
      </c>
      <c r="AI57" s="1634">
        <v>223289</v>
      </c>
      <c r="AJ57" s="1634">
        <v>223772</v>
      </c>
      <c r="AK57" s="1634">
        <v>213466</v>
      </c>
      <c r="AL57" s="1634">
        <v>164210</v>
      </c>
      <c r="AM57" s="1634">
        <v>223679</v>
      </c>
      <c r="AN57" s="1634">
        <v>224239</v>
      </c>
      <c r="AO57" s="1634">
        <v>225139</v>
      </c>
      <c r="AP57" s="1634">
        <v>225609</v>
      </c>
      <c r="AQ57" s="1634">
        <v>226520</v>
      </c>
      <c r="AR57" s="1634">
        <v>227190</v>
      </c>
      <c r="AS57" s="1634">
        <v>226650</v>
      </c>
      <c r="AT57" s="1634">
        <v>227215</v>
      </c>
      <c r="AU57" s="1634">
        <v>227215</v>
      </c>
      <c r="AV57" s="1634">
        <v>227712</v>
      </c>
      <c r="AW57" s="1634">
        <v>228136</v>
      </c>
      <c r="AX57" s="1634">
        <v>229166</v>
      </c>
      <c r="AY57" s="1634">
        <v>229166</v>
      </c>
      <c r="AZ57" s="1634">
        <v>229743</v>
      </c>
      <c r="BA57" s="1634">
        <v>230679</v>
      </c>
      <c r="BB57" s="1634">
        <v>210224</v>
      </c>
      <c r="BC57" s="1634">
        <v>39564</v>
      </c>
      <c r="BD57" s="1634">
        <v>37365</v>
      </c>
      <c r="BE57" s="1634">
        <v>232135</v>
      </c>
      <c r="BF57" s="1634">
        <v>232717</v>
      </c>
      <c r="BG57" s="1634">
        <v>232717</v>
      </c>
      <c r="BH57" s="1634">
        <v>233229</v>
      </c>
      <c r="BI57" s="1634">
        <v>233666</v>
      </c>
      <c r="BJ57" s="1634">
        <v>234727</v>
      </c>
      <c r="BK57" s="1634">
        <v>234727</v>
      </c>
      <c r="BL57" s="1634">
        <v>235321</v>
      </c>
      <c r="BM57" s="1634">
        <v>236596</v>
      </c>
      <c r="BN57" s="1634">
        <v>216492</v>
      </c>
      <c r="BO57" s="1634">
        <v>132071</v>
      </c>
      <c r="BP57" s="1634">
        <v>234320</v>
      </c>
      <c r="BQ57" s="1634">
        <v>234965</v>
      </c>
      <c r="BR57" s="1634">
        <v>235564</v>
      </c>
      <c r="BS57" s="1634">
        <v>235564</v>
      </c>
      <c r="BT57" s="1634">
        <v>236091</v>
      </c>
      <c r="BU57" s="1634">
        <v>222475</v>
      </c>
      <c r="BV57" s="1634">
        <v>146035</v>
      </c>
      <c r="BW57" s="1634">
        <v>102571</v>
      </c>
      <c r="BX57" s="1634">
        <v>202784</v>
      </c>
      <c r="BY57" s="1634">
        <v>6301</v>
      </c>
      <c r="BZ57" s="1634">
        <v>-40663</v>
      </c>
      <c r="CA57" s="1634">
        <v>229036</v>
      </c>
      <c r="CB57" s="1634">
        <v>229662</v>
      </c>
      <c r="CC57" s="1634">
        <v>229950</v>
      </c>
      <c r="CD57" s="1634">
        <v>198348</v>
      </c>
      <c r="CE57" s="1634">
        <v>52536</v>
      </c>
      <c r="CF57" s="1634">
        <v>199843</v>
      </c>
      <c r="CG57" s="1634">
        <v>71739</v>
      </c>
      <c r="CH57" s="1634">
        <v>163732</v>
      </c>
      <c r="CI57" s="1634">
        <v>77095</v>
      </c>
      <c r="CJ57" s="1634">
        <v>82759</v>
      </c>
      <c r="CK57" s="1634">
        <v>217124</v>
      </c>
      <c r="CL57" s="1634">
        <v>218067</v>
      </c>
      <c r="CM57" s="1634">
        <v>218863</v>
      </c>
      <c r="CN57" s="1634">
        <v>219508</v>
      </c>
      <c r="CO57" s="1634">
        <v>220359</v>
      </c>
      <c r="CP57" s="1634">
        <v>220359</v>
      </c>
      <c r="CQ57" s="1634">
        <v>220907</v>
      </c>
      <c r="CR57" s="1634">
        <v>220907</v>
      </c>
      <c r="CS57" s="1634">
        <v>221617</v>
      </c>
      <c r="CT57" s="1634">
        <v>211392</v>
      </c>
      <c r="CU57" s="1634">
        <v>162454</v>
      </c>
      <c r="CV57" s="1634">
        <v>222273</v>
      </c>
      <c r="CW57" s="1634">
        <v>222833</v>
      </c>
      <c r="CX57" s="1634">
        <v>223444</v>
      </c>
      <c r="CY57" s="1634">
        <v>224265</v>
      </c>
      <c r="CZ57" s="1634">
        <v>225621</v>
      </c>
      <c r="DA57" s="1634">
        <v>226475</v>
      </c>
      <c r="DB57" s="1634">
        <v>226475</v>
      </c>
      <c r="DC57" s="1634">
        <v>227040</v>
      </c>
      <c r="DD57" s="1634">
        <v>227040</v>
      </c>
      <c r="DE57" s="1634">
        <v>227771</v>
      </c>
      <c r="DF57" s="1634">
        <v>228089</v>
      </c>
      <c r="DG57" s="1634">
        <v>229005</v>
      </c>
      <c r="DH57" s="1634">
        <v>229364</v>
      </c>
      <c r="DI57" s="1634">
        <v>229941</v>
      </c>
      <c r="DJ57" s="1634">
        <v>230819</v>
      </c>
      <c r="DK57" s="1634">
        <v>202451</v>
      </c>
      <c r="DL57" s="1634">
        <v>33284</v>
      </c>
      <c r="DM57" s="1634">
        <v>32305</v>
      </c>
      <c r="DN57" s="1634">
        <v>226181</v>
      </c>
      <c r="DO57" s="1634">
        <v>226763</v>
      </c>
      <c r="DP57" s="1634">
        <v>226763</v>
      </c>
      <c r="DQ57" s="1634">
        <v>227516</v>
      </c>
      <c r="DR57" s="1634">
        <v>227843</v>
      </c>
      <c r="DS57" s="1634">
        <v>228786</v>
      </c>
      <c r="DT57" s="1634">
        <v>229157</v>
      </c>
      <c r="DU57" s="1634">
        <v>223736</v>
      </c>
      <c r="DV57" s="1634">
        <v>198128</v>
      </c>
      <c r="DW57" s="1634">
        <v>211697</v>
      </c>
      <c r="DX57" s="1634">
        <v>128177</v>
      </c>
      <c r="DY57" s="1634">
        <v>230165</v>
      </c>
      <c r="DZ57" s="1634">
        <v>230165</v>
      </c>
      <c r="EA57" s="1634">
        <v>230764</v>
      </c>
      <c r="EB57" s="1634">
        <v>230764</v>
      </c>
      <c r="EC57" s="1634">
        <v>231540</v>
      </c>
      <c r="ED57" s="1634">
        <v>217846</v>
      </c>
      <c r="EE57" s="1634">
        <v>140704</v>
      </c>
      <c r="EF57" s="1634">
        <v>98830</v>
      </c>
      <c r="EG57" s="1634">
        <v>197519</v>
      </c>
      <c r="EH57" s="1634">
        <v>337</v>
      </c>
      <c r="EI57" s="1634">
        <v>-44365</v>
      </c>
      <c r="EJ57" s="1634">
        <v>226090</v>
      </c>
      <c r="EK57" s="1634">
        <v>227129</v>
      </c>
      <c r="EL57" s="1634">
        <v>227129</v>
      </c>
      <c r="EM57" s="1634">
        <v>193949</v>
      </c>
      <c r="EN57" s="1634">
        <v>49715</v>
      </c>
      <c r="EO57" s="1634">
        <v>168470</v>
      </c>
      <c r="EP57" s="1634">
        <v>30422</v>
      </c>
      <c r="EQ57" s="1634">
        <v>65020</v>
      </c>
      <c r="ER57" s="1634">
        <v>74012</v>
      </c>
      <c r="ES57" s="1634">
        <v>180119</v>
      </c>
      <c r="ET57" s="1634">
        <v>83462</v>
      </c>
      <c r="EU57" s="1634">
        <v>218165</v>
      </c>
      <c r="EV57" s="1634">
        <v>218961</v>
      </c>
      <c r="EW57" s="1634">
        <v>25010414</v>
      </c>
      <c r="EX57" s="1634"/>
      <c r="EY57" s="1634"/>
      <c r="EZ57" s="1634"/>
      <c r="FA57" s="1634"/>
      <c r="FB57" s="1634"/>
      <c r="FC57" s="1634"/>
      <c r="FD57" s="1634"/>
      <c r="FE57" s="1634"/>
      <c r="FF57" s="1634"/>
      <c r="FG57" s="1634"/>
      <c r="FH57" s="1634"/>
      <c r="FI57" s="1634"/>
      <c r="FJ57" s="1634"/>
    </row>
    <row r="58" spans="1:166" s="1" customFormat="1" ht="16" thickBot="1">
      <c r="A58"/>
      <c r="B58" s="436"/>
      <c r="C58"/>
      <c r="D58" s="969"/>
      <c r="E58" s="433"/>
      <c r="F58" s="1634"/>
      <c r="G58" s="1634"/>
      <c r="H58" s="1634"/>
      <c r="I58" s="1634"/>
      <c r="J58" s="1634"/>
      <c r="K58" s="1634"/>
      <c r="L58" s="1634"/>
      <c r="M58" s="1634"/>
      <c r="N58" s="1634"/>
      <c r="O58" s="1634"/>
      <c r="P58" s="1634"/>
      <c r="Q58" s="1634"/>
      <c r="R58" s="1634"/>
      <c r="S58" s="1634"/>
      <c r="T58" s="1634"/>
      <c r="U58" s="1634"/>
      <c r="V58" s="1634"/>
      <c r="W58" s="1634"/>
      <c r="X58" s="1634"/>
      <c r="Y58" s="1634"/>
      <c r="Z58" s="1634"/>
      <c r="AA58" s="1634"/>
      <c r="AB58" s="1634"/>
      <c r="AC58" s="1634"/>
      <c r="AD58" s="1634"/>
      <c r="AE58" s="1634"/>
      <c r="AF58" s="1634"/>
      <c r="AG58" s="1634"/>
      <c r="AH58" s="1634"/>
      <c r="AI58" s="1634"/>
      <c r="AJ58" s="1634"/>
      <c r="AK58" s="1634"/>
      <c r="AL58" s="1634"/>
      <c r="AM58" s="1634"/>
      <c r="AN58" s="1634"/>
      <c r="AO58" s="1634"/>
      <c r="AP58" s="1634"/>
      <c r="AQ58" s="1634"/>
      <c r="AR58" s="1634"/>
      <c r="AS58" s="1634"/>
      <c r="AT58" s="1634"/>
      <c r="AU58" s="1634"/>
      <c r="AV58" s="1634"/>
      <c r="AW58" s="1634"/>
      <c r="AX58" s="1634"/>
      <c r="AY58" s="1634"/>
      <c r="AZ58" s="1634"/>
      <c r="BA58" s="1634"/>
      <c r="BB58" s="1634"/>
      <c r="BC58" s="1634"/>
      <c r="BD58" s="1634"/>
      <c r="BE58" s="1634"/>
      <c r="BF58" s="1634"/>
      <c r="BG58" s="1634"/>
      <c r="BH58" s="1634"/>
      <c r="BI58" s="1634"/>
      <c r="BJ58" s="1634"/>
      <c r="BK58" s="1634"/>
      <c r="BL58" s="1634"/>
      <c r="BM58" s="1634"/>
      <c r="BN58" s="1634"/>
      <c r="BO58" s="1634"/>
      <c r="BP58" s="1634"/>
      <c r="BQ58" s="1634"/>
      <c r="BR58" s="1634"/>
      <c r="BS58" s="1634"/>
      <c r="BT58" s="1634"/>
      <c r="BU58" s="1634"/>
      <c r="BV58" s="1634"/>
      <c r="BW58" s="1634"/>
      <c r="BX58" s="1634"/>
      <c r="BY58" s="1634"/>
      <c r="BZ58" s="1634"/>
      <c r="CA58" s="1634"/>
      <c r="CB58" s="1634"/>
      <c r="CC58" s="1634"/>
      <c r="CD58" s="1634"/>
      <c r="CE58" s="1634"/>
      <c r="CF58" s="1634"/>
      <c r="CG58" s="1634"/>
      <c r="CH58" s="1634"/>
      <c r="CI58" s="1634"/>
      <c r="CJ58" s="1634"/>
      <c r="CK58" s="1634"/>
      <c r="CL58" s="1634"/>
      <c r="CM58" s="1634"/>
      <c r="CN58" s="1634"/>
      <c r="CO58" s="1634"/>
      <c r="CP58" s="1634"/>
      <c r="CQ58" s="1634"/>
      <c r="CR58" s="1634"/>
      <c r="CS58" s="1634"/>
      <c r="CT58" s="1634"/>
      <c r="CU58" s="1634"/>
      <c r="CV58" s="1634"/>
      <c r="CW58" s="1634"/>
      <c r="CX58" s="1634"/>
      <c r="CY58" s="1634"/>
      <c r="CZ58" s="1634"/>
      <c r="DA58" s="1634"/>
      <c r="DB58" s="1634"/>
      <c r="DC58" s="1634"/>
      <c r="DD58" s="1634"/>
      <c r="DE58" s="1634"/>
      <c r="DF58" s="1634"/>
      <c r="DG58" s="1634"/>
      <c r="DH58" s="1634"/>
      <c r="DI58" s="1634"/>
      <c r="DJ58" s="1634"/>
      <c r="DK58" s="1634"/>
      <c r="DL58" s="1634"/>
      <c r="DM58" s="1634"/>
      <c r="DN58" s="1634"/>
      <c r="DO58" s="1634"/>
      <c r="DP58" s="1634"/>
      <c r="DQ58" s="1634"/>
      <c r="DR58" s="1634"/>
      <c r="DS58" s="1634"/>
      <c r="DT58" s="1634"/>
      <c r="DU58" s="1634"/>
      <c r="DV58" s="1634"/>
      <c r="DW58" s="1634"/>
      <c r="DX58" s="1634"/>
      <c r="DY58" s="1634"/>
      <c r="DZ58" s="1634"/>
      <c r="EA58" s="1634"/>
      <c r="EB58" s="1634"/>
      <c r="EC58" s="1634"/>
      <c r="ED58" s="1634"/>
      <c r="EE58" s="1634"/>
      <c r="EF58" s="1634"/>
      <c r="EG58" s="1634"/>
      <c r="EH58" s="1634"/>
      <c r="EI58" s="1634"/>
      <c r="EJ58" s="1634"/>
      <c r="EK58" s="1634"/>
      <c r="EL58" s="1634"/>
      <c r="EM58" s="1634"/>
      <c r="EN58" s="1634"/>
      <c r="EO58" s="1634"/>
      <c r="EP58" s="1634"/>
      <c r="EQ58" s="1634"/>
      <c r="ER58" s="1634"/>
      <c r="ES58" s="1634"/>
      <c r="ET58" s="1634"/>
      <c r="EU58" s="1634"/>
      <c r="EV58" s="1634"/>
      <c r="EW58" s="1634"/>
      <c r="EX58" s="1634"/>
      <c r="EY58" s="1634"/>
      <c r="EZ58" s="1634"/>
      <c r="FA58" s="1634"/>
      <c r="FB58" s="1634"/>
      <c r="FC58" s="1634"/>
      <c r="FD58" s="1634"/>
      <c r="FE58" s="1634"/>
      <c r="FF58" s="1634"/>
      <c r="FG58" s="1634"/>
      <c r="FH58" s="1634"/>
      <c r="FI58" s="1634"/>
      <c r="FJ58" s="1634"/>
    </row>
    <row r="59" spans="1:166">
      <c r="A59" s="433" t="s">
        <v>403</v>
      </c>
      <c r="B59" s="436">
        <v>18</v>
      </c>
      <c r="F59" s="1561"/>
      <c r="G59" s="1561"/>
      <c r="H59" s="1561"/>
      <c r="I59" s="1561"/>
      <c r="J59" s="1561"/>
      <c r="K59" s="1561"/>
      <c r="L59" s="1561"/>
      <c r="M59" s="1561"/>
      <c r="N59" s="1561"/>
      <c r="O59" s="1561"/>
      <c r="P59" s="1561"/>
      <c r="Q59" s="1561"/>
      <c r="R59" s="1561"/>
      <c r="S59" s="1561"/>
      <c r="T59" s="1561"/>
      <c r="U59" s="1561"/>
      <c r="V59" s="1561"/>
      <c r="W59" s="1561"/>
      <c r="X59" s="1561"/>
      <c r="Y59" s="1561"/>
      <c r="Z59" s="1561"/>
      <c r="AA59" s="1561"/>
      <c r="AB59" s="1561"/>
      <c r="AC59" s="1561"/>
      <c r="AD59" s="1561"/>
      <c r="AE59" s="1561"/>
      <c r="AF59" s="1561"/>
      <c r="AG59" s="1561"/>
      <c r="AH59" s="1561"/>
      <c r="AI59" s="1561"/>
      <c r="AJ59" s="1561"/>
      <c r="AK59" s="1561"/>
      <c r="AL59" s="1561"/>
      <c r="AM59" s="1561"/>
      <c r="AN59" s="1561"/>
      <c r="AO59" s="1561"/>
      <c r="AP59" s="1561"/>
      <c r="AQ59" s="1561"/>
      <c r="AR59" s="1561"/>
      <c r="AS59" s="1561"/>
      <c r="AT59" s="1561"/>
      <c r="AU59" s="1561"/>
      <c r="AV59" s="1561"/>
      <c r="AW59" s="1561"/>
      <c r="AX59" s="1561"/>
      <c r="AY59" s="1561"/>
      <c r="AZ59" s="1561"/>
      <c r="BA59" s="1561"/>
      <c r="BB59" s="1561"/>
      <c r="BC59" s="1561"/>
      <c r="BD59" s="1561"/>
      <c r="BE59" s="1561"/>
      <c r="BF59" s="1561"/>
      <c r="BG59" s="1561"/>
      <c r="BH59" s="1561"/>
      <c r="BI59" s="1561"/>
      <c r="BJ59" s="1561"/>
      <c r="BK59" s="1561"/>
      <c r="BL59" s="1561"/>
      <c r="BM59" s="1561"/>
      <c r="BN59" s="1561"/>
      <c r="BO59" s="1561"/>
      <c r="BP59" s="1561"/>
      <c r="BQ59" s="1561"/>
      <c r="BR59" s="1561"/>
      <c r="BS59" s="1561"/>
      <c r="BT59" s="1561"/>
      <c r="BU59" s="1561"/>
      <c r="BV59" s="1561"/>
      <c r="BW59" s="1561"/>
      <c r="BX59" s="1561"/>
      <c r="BY59" s="1561"/>
      <c r="BZ59" s="1561"/>
      <c r="CA59" s="1561"/>
      <c r="CB59" s="1561"/>
      <c r="CC59" s="1561"/>
      <c r="CD59" s="1561"/>
      <c r="CE59" s="1561"/>
      <c r="CF59" s="1561"/>
      <c r="CG59" s="1561"/>
      <c r="CH59" s="1561"/>
      <c r="CI59" s="1561"/>
      <c r="CJ59" s="1561"/>
      <c r="CK59" s="1561"/>
      <c r="CL59" s="1561"/>
      <c r="CM59" s="1561"/>
      <c r="CN59" s="1561"/>
      <c r="CO59" s="1561"/>
      <c r="CP59" s="1561"/>
      <c r="CQ59" s="1561"/>
      <c r="CR59" s="1561"/>
      <c r="CS59" s="1561"/>
      <c r="CT59" s="1561"/>
      <c r="CU59" s="1561"/>
      <c r="CV59" s="1561"/>
      <c r="CW59" s="1561"/>
      <c r="CX59" s="1561"/>
      <c r="CY59" s="1561"/>
      <c r="CZ59" s="1561"/>
      <c r="DA59" s="1561"/>
      <c r="DB59" s="1561"/>
      <c r="DC59" s="1561"/>
      <c r="DD59" s="1561"/>
      <c r="DE59" s="1561"/>
      <c r="DF59" s="1561"/>
      <c r="DG59" s="1561"/>
      <c r="DH59" s="1561"/>
      <c r="DI59" s="1561"/>
      <c r="DJ59" s="1561"/>
      <c r="DK59" s="1561"/>
      <c r="DL59" s="1561"/>
      <c r="DM59" s="1561"/>
      <c r="DN59" s="1561"/>
      <c r="DO59" s="1561"/>
      <c r="DP59" s="1561"/>
      <c r="DQ59" s="1561"/>
      <c r="DR59" s="1561"/>
      <c r="DS59" s="1561"/>
      <c r="DT59" s="1561"/>
      <c r="DU59" s="1561"/>
      <c r="DV59" s="1561"/>
      <c r="DW59" s="1561"/>
      <c r="DX59" s="1561"/>
      <c r="DY59" s="1561"/>
      <c r="DZ59" s="1561"/>
      <c r="EA59" s="1561"/>
      <c r="EB59" s="1561"/>
      <c r="EC59" s="1561"/>
      <c r="ED59" s="1561"/>
      <c r="EE59" s="1561"/>
      <c r="EF59" s="1561"/>
      <c r="EG59" s="1561"/>
      <c r="EH59" s="1561"/>
      <c r="EI59" s="1561"/>
      <c r="EJ59" s="1561"/>
      <c r="EK59" s="1561"/>
      <c r="EL59" s="1561"/>
      <c r="EM59" s="1561"/>
      <c r="EN59" s="1561"/>
      <c r="EO59" s="1561"/>
      <c r="EP59" s="1561"/>
      <c r="EQ59" s="1561"/>
      <c r="ER59" s="1561"/>
      <c r="ES59" s="1561"/>
      <c r="ET59" s="1561"/>
      <c r="EU59" s="1561"/>
      <c r="EV59" s="1561"/>
      <c r="EW59" s="1561"/>
      <c r="EX59" s="1561"/>
      <c r="EY59" s="1561"/>
      <c r="EZ59" s="1561"/>
      <c r="FA59" s="1561"/>
      <c r="FB59" s="1561"/>
      <c r="FC59" s="1561"/>
      <c r="FD59" s="1561"/>
      <c r="FE59" s="1561"/>
      <c r="FF59" s="1561"/>
      <c r="FG59" s="1561"/>
      <c r="FH59" s="1561"/>
      <c r="FI59" s="1561"/>
      <c r="FJ59" s="1561"/>
    </row>
    <row r="60" spans="1:166">
      <c r="B60" s="436"/>
      <c r="D60" s="969">
        <v>18</v>
      </c>
      <c r="E60" s="433" t="s">
        <v>403</v>
      </c>
      <c r="F60" s="918">
        <f>F42-F58</f>
        <v>107898</v>
      </c>
      <c r="G60" s="1453">
        <v>5276</v>
      </c>
      <c r="H60" s="1453">
        <v>177713</v>
      </c>
      <c r="I60" s="1453">
        <v>-103744</v>
      </c>
      <c r="J60" s="1453">
        <v>130528</v>
      </c>
      <c r="K60" s="1453">
        <v>79028</v>
      </c>
      <c r="L60" s="1453">
        <v>55995</v>
      </c>
      <c r="M60" s="1453">
        <v>130996</v>
      </c>
      <c r="N60" s="1453">
        <v>133693</v>
      </c>
      <c r="O60" s="1453">
        <v>134029</v>
      </c>
      <c r="P60" s="1453">
        <v>119306</v>
      </c>
      <c r="Q60" s="1453">
        <v>35233</v>
      </c>
      <c r="R60" s="1453">
        <v>138429</v>
      </c>
      <c r="S60" s="1453">
        <v>-129365</v>
      </c>
      <c r="T60" s="1453">
        <v>153134</v>
      </c>
      <c r="U60" s="1453">
        <v>107564</v>
      </c>
      <c r="V60" s="1453">
        <v>160051</v>
      </c>
      <c r="W60" s="1453">
        <v>-828864</v>
      </c>
      <c r="X60" s="1453">
        <v>171616</v>
      </c>
      <c r="Y60" s="1453">
        <v>171616</v>
      </c>
      <c r="Z60" s="1453">
        <v>171808</v>
      </c>
      <c r="AA60" s="1453">
        <v>172793</v>
      </c>
      <c r="AB60" s="1453">
        <v>152615</v>
      </c>
      <c r="AC60" s="1453">
        <v>111627</v>
      </c>
      <c r="AD60" s="1453">
        <v>-4077</v>
      </c>
      <c r="AE60" s="1453">
        <v>-5475</v>
      </c>
      <c r="AF60" s="1453">
        <v>190685</v>
      </c>
      <c r="AG60" s="1453">
        <v>190987</v>
      </c>
      <c r="AH60" s="1453">
        <v>161953</v>
      </c>
      <c r="AI60" s="1453">
        <v>-381584</v>
      </c>
      <c r="AJ60" s="1453">
        <v>69465</v>
      </c>
      <c r="AK60" s="1453">
        <v>198078</v>
      </c>
      <c r="AL60" s="1453">
        <v>110692</v>
      </c>
      <c r="AM60" s="1453">
        <v>224236</v>
      </c>
      <c r="AN60" s="1453">
        <v>224236</v>
      </c>
      <c r="AO60" s="1453">
        <v>224236</v>
      </c>
      <c r="AP60" s="1453">
        <v>225093</v>
      </c>
      <c r="AQ60" s="1453">
        <v>224703</v>
      </c>
      <c r="AR60" s="1453">
        <v>225578</v>
      </c>
      <c r="AS60" s="1453">
        <v>226473</v>
      </c>
      <c r="AT60" s="1453">
        <v>226415</v>
      </c>
      <c r="AU60" s="1453">
        <v>226799</v>
      </c>
      <c r="AV60" s="1453">
        <v>227376</v>
      </c>
      <c r="AW60" s="1453">
        <v>227376</v>
      </c>
      <c r="AX60" s="1453">
        <v>216951</v>
      </c>
      <c r="AY60" s="1453">
        <v>217318</v>
      </c>
      <c r="AZ60" s="1453">
        <v>187970</v>
      </c>
      <c r="BA60" s="1453">
        <v>220908</v>
      </c>
      <c r="BB60" s="1453">
        <v>228285</v>
      </c>
      <c r="BC60" s="1453">
        <v>230374</v>
      </c>
      <c r="BD60" s="1453">
        <v>231284</v>
      </c>
      <c r="BE60" s="1453">
        <v>232276</v>
      </c>
      <c r="BF60" s="1453">
        <v>232812</v>
      </c>
      <c r="BG60" s="1453">
        <v>233208</v>
      </c>
      <c r="BH60" s="1453">
        <v>233801</v>
      </c>
      <c r="BI60" s="1453">
        <v>233801</v>
      </c>
      <c r="BJ60" s="1453">
        <v>234324</v>
      </c>
      <c r="BK60" s="1453">
        <v>234702</v>
      </c>
      <c r="BL60" s="1453">
        <v>234897</v>
      </c>
      <c r="BM60" s="1453">
        <v>234897</v>
      </c>
      <c r="BN60" s="1453">
        <v>235814</v>
      </c>
      <c r="BO60" s="1453">
        <v>216741</v>
      </c>
      <c r="BP60" s="1453">
        <v>180778</v>
      </c>
      <c r="BQ60" s="1453">
        <v>99645</v>
      </c>
      <c r="BR60" s="1453">
        <v>78603</v>
      </c>
      <c r="BS60" s="1453">
        <v>245194</v>
      </c>
      <c r="BT60" s="1453">
        <v>245806</v>
      </c>
      <c r="BU60" s="1453">
        <v>245806</v>
      </c>
      <c r="BV60" s="1453">
        <v>246344</v>
      </c>
      <c r="BW60" s="1453">
        <v>246733</v>
      </c>
      <c r="BX60" s="1453">
        <v>247245</v>
      </c>
      <c r="BY60" s="1453">
        <v>247245</v>
      </c>
      <c r="BZ60" s="1453">
        <v>248190</v>
      </c>
      <c r="CA60" s="1453">
        <v>134874</v>
      </c>
      <c r="CB60" s="1453">
        <v>245297</v>
      </c>
      <c r="CC60" s="1453">
        <v>228689</v>
      </c>
      <c r="CD60" s="1453">
        <v>229552</v>
      </c>
      <c r="CE60" s="1453">
        <v>175426</v>
      </c>
      <c r="CF60" s="1453">
        <v>237185</v>
      </c>
      <c r="CG60" s="1453">
        <v>249224</v>
      </c>
      <c r="CH60" s="1453">
        <v>249778</v>
      </c>
      <c r="CI60" s="1453">
        <v>226951</v>
      </c>
      <c r="CJ60" s="1453">
        <v>227158</v>
      </c>
      <c r="CK60" s="1453">
        <v>156272</v>
      </c>
      <c r="CL60" s="1453">
        <v>198532</v>
      </c>
      <c r="CM60" s="1453">
        <v>167030</v>
      </c>
      <c r="CN60" s="1453">
        <v>45869</v>
      </c>
      <c r="CO60" s="1453">
        <v>52349</v>
      </c>
      <c r="CP60" s="1453">
        <v>255145</v>
      </c>
      <c r="CQ60" s="1453">
        <v>217706</v>
      </c>
      <c r="CR60" s="1453">
        <v>184935</v>
      </c>
      <c r="CS60" s="1453">
        <v>184935</v>
      </c>
      <c r="CT60" s="1453">
        <v>51904</v>
      </c>
      <c r="CU60" s="1453">
        <v>166582</v>
      </c>
      <c r="CV60" s="1453">
        <v>-61925</v>
      </c>
      <c r="CW60" s="1453">
        <v>179143</v>
      </c>
      <c r="CX60" s="1453">
        <v>229856</v>
      </c>
      <c r="CY60" s="1453">
        <v>242910</v>
      </c>
      <c r="CZ60" s="1453">
        <v>208416</v>
      </c>
      <c r="DA60" s="1453">
        <v>249440</v>
      </c>
      <c r="DB60" s="1453">
        <v>259309</v>
      </c>
      <c r="DC60" s="1453">
        <v>259681</v>
      </c>
      <c r="DD60" s="1453">
        <v>259681</v>
      </c>
      <c r="DE60" s="1453">
        <v>259681</v>
      </c>
      <c r="DF60" s="1453">
        <v>260350</v>
      </c>
      <c r="DG60" s="1453">
        <v>260350</v>
      </c>
      <c r="DH60" s="1453">
        <v>250483</v>
      </c>
      <c r="DI60" s="1453">
        <v>251342</v>
      </c>
      <c r="DJ60" s="1453">
        <v>217260</v>
      </c>
      <c r="DK60" s="1453">
        <v>255863</v>
      </c>
      <c r="DL60" s="1453">
        <v>264401</v>
      </c>
      <c r="DM60" s="1453">
        <v>266676</v>
      </c>
      <c r="DN60" s="1453">
        <v>267236</v>
      </c>
      <c r="DO60" s="1453">
        <v>267619</v>
      </c>
      <c r="DP60" s="1453">
        <v>267619</v>
      </c>
      <c r="DQ60" s="1453">
        <v>267619</v>
      </c>
      <c r="DR60" s="1453">
        <v>268307</v>
      </c>
      <c r="DS60" s="1453">
        <v>268307</v>
      </c>
      <c r="DT60" s="1453">
        <v>269907</v>
      </c>
      <c r="DU60" s="1453">
        <v>270792</v>
      </c>
      <c r="DV60" s="1453">
        <v>271018</v>
      </c>
      <c r="DW60" s="1453">
        <v>271692</v>
      </c>
      <c r="DX60" s="1453">
        <v>272741</v>
      </c>
      <c r="DY60" s="1453">
        <v>242235</v>
      </c>
      <c r="DZ60" s="1453">
        <v>202532</v>
      </c>
      <c r="EA60" s="1453">
        <v>105354</v>
      </c>
      <c r="EB60" s="1453">
        <v>95652</v>
      </c>
      <c r="EC60" s="1453">
        <v>276212</v>
      </c>
      <c r="ED60" s="1453">
        <v>276920</v>
      </c>
      <c r="EE60" s="1453">
        <v>276920</v>
      </c>
      <c r="EF60" s="1453">
        <v>272557</v>
      </c>
      <c r="EG60" s="1453">
        <v>273469</v>
      </c>
      <c r="EH60" s="1453">
        <v>254321</v>
      </c>
      <c r="EI60" s="1453">
        <v>234042</v>
      </c>
      <c r="EJ60" s="1453">
        <v>239390</v>
      </c>
      <c r="EK60" s="1453">
        <v>240444</v>
      </c>
      <c r="EL60" s="1453">
        <v>240328</v>
      </c>
      <c r="EM60" s="1453">
        <v>219954</v>
      </c>
      <c r="EN60" s="1453">
        <v>81915</v>
      </c>
      <c r="EO60" s="1453">
        <v>201482</v>
      </c>
      <c r="EP60" s="1453">
        <v>273078</v>
      </c>
      <c r="EQ60" s="1453">
        <v>287034</v>
      </c>
      <c r="ER60" s="1453">
        <v>288773</v>
      </c>
      <c r="ES60" s="1453">
        <v>261869</v>
      </c>
      <c r="ET60" s="1453">
        <v>262236</v>
      </c>
      <c r="EU60" s="1453">
        <v>26954160</v>
      </c>
      <c r="EV60" s="1561"/>
      <c r="EW60" s="1561"/>
      <c r="EX60" s="1561"/>
      <c r="EY60" s="1561"/>
      <c r="EZ60" s="1561"/>
      <c r="FA60" s="1561"/>
      <c r="FB60" s="1561"/>
      <c r="FC60" s="1561"/>
      <c r="FD60" s="1561"/>
      <c r="FE60" s="1561"/>
      <c r="FF60" s="1561"/>
      <c r="FG60" s="1561"/>
      <c r="FH60" s="1561"/>
      <c r="FI60" s="1561"/>
      <c r="FJ60" s="1561"/>
    </row>
    <row r="61" spans="1:166">
      <c r="A61" s="433" t="s">
        <v>404</v>
      </c>
      <c r="B61" s="436">
        <v>19</v>
      </c>
      <c r="D61"/>
      <c r="F61" s="1561"/>
      <c r="G61" s="1561"/>
      <c r="H61" s="1561"/>
      <c r="I61" s="1561"/>
      <c r="J61" s="1561"/>
      <c r="K61" s="1561"/>
      <c r="L61" s="1561"/>
      <c r="M61" s="1561"/>
      <c r="N61" s="1561"/>
      <c r="O61" s="1561"/>
      <c r="P61" s="1561"/>
      <c r="Q61" s="1561"/>
      <c r="R61" s="1561"/>
      <c r="S61" s="1561"/>
      <c r="T61" s="1561"/>
      <c r="U61" s="1561"/>
      <c r="V61" s="1561"/>
      <c r="W61" s="1561"/>
      <c r="X61" s="1561"/>
      <c r="Y61" s="1561"/>
      <c r="Z61" s="1561"/>
      <c r="AA61" s="1561"/>
      <c r="AB61" s="1561"/>
      <c r="AC61" s="1561"/>
      <c r="AD61" s="1561"/>
      <c r="AE61" s="1561"/>
      <c r="AF61" s="1561"/>
      <c r="AG61" s="1561"/>
      <c r="AH61" s="1561"/>
      <c r="AI61" s="1561"/>
      <c r="AJ61" s="1561"/>
      <c r="AK61" s="1561"/>
      <c r="AL61" s="1561"/>
      <c r="AM61" s="1561"/>
      <c r="AN61" s="1561"/>
      <c r="AO61" s="1561"/>
      <c r="AP61" s="1561"/>
      <c r="AQ61" s="1561"/>
      <c r="AR61" s="1561"/>
      <c r="AS61" s="1561"/>
      <c r="AT61" s="1561"/>
      <c r="AU61" s="1561"/>
      <c r="AV61" s="1561"/>
      <c r="AW61" s="1561"/>
      <c r="AX61" s="1561"/>
      <c r="AY61" s="1561"/>
      <c r="AZ61" s="1561"/>
      <c r="BA61" s="1561"/>
      <c r="BB61" s="1561"/>
      <c r="BC61" s="1561"/>
      <c r="BD61" s="1561"/>
      <c r="BE61" s="1561"/>
      <c r="BF61" s="1561"/>
      <c r="BG61" s="1561"/>
      <c r="BH61" s="1561"/>
      <c r="BI61" s="1561"/>
      <c r="BJ61" s="1561"/>
      <c r="BK61" s="1561"/>
      <c r="BL61" s="1561"/>
      <c r="BM61" s="1561"/>
      <c r="BN61" s="1561"/>
      <c r="BO61" s="1561"/>
      <c r="BP61" s="1561"/>
      <c r="BQ61" s="1561"/>
      <c r="BR61" s="1561"/>
      <c r="BS61" s="1561"/>
      <c r="BT61" s="1561"/>
      <c r="BU61" s="1561"/>
      <c r="BV61" s="1561"/>
      <c r="BW61" s="1561"/>
      <c r="BX61" s="1561"/>
      <c r="BY61" s="1561"/>
      <c r="BZ61" s="1561"/>
      <c r="CA61" s="1561"/>
      <c r="CB61" s="1561"/>
      <c r="CC61" s="1561"/>
      <c r="CD61" s="1561"/>
      <c r="CE61" s="1561"/>
      <c r="CF61" s="1561"/>
      <c r="CG61" s="1561"/>
      <c r="CH61" s="1561"/>
      <c r="CI61" s="1561"/>
      <c r="CJ61" s="1561"/>
      <c r="CK61" s="1561"/>
      <c r="CL61" s="1561"/>
      <c r="CM61" s="1561"/>
      <c r="CN61" s="1561"/>
      <c r="CO61" s="1561"/>
      <c r="CP61" s="1561"/>
      <c r="CQ61" s="1561"/>
      <c r="CR61" s="1561"/>
      <c r="CS61" s="1561"/>
      <c r="CT61" s="1561"/>
      <c r="CU61" s="1561"/>
      <c r="CV61" s="1561"/>
      <c r="CW61" s="1561"/>
      <c r="CX61" s="1561"/>
      <c r="CY61" s="1561"/>
      <c r="CZ61" s="1561"/>
      <c r="DA61" s="1561"/>
      <c r="DB61" s="1561"/>
      <c r="DC61" s="1561"/>
      <c r="DD61" s="1561"/>
      <c r="DE61" s="1561"/>
      <c r="DF61" s="1561"/>
      <c r="DG61" s="1561"/>
      <c r="DH61" s="1561"/>
      <c r="DI61" s="1561"/>
      <c r="DJ61" s="1561"/>
      <c r="DK61" s="1561"/>
      <c r="DL61" s="1561"/>
      <c r="DM61" s="1561"/>
      <c r="DN61" s="1561"/>
      <c r="DO61" s="1561"/>
      <c r="DP61" s="1561"/>
      <c r="DQ61" s="1561"/>
      <c r="DR61" s="1561"/>
      <c r="DS61" s="1561"/>
      <c r="DT61" s="1561"/>
      <c r="DU61" s="1561"/>
      <c r="DV61" s="1561"/>
      <c r="DW61" s="1561"/>
      <c r="DX61" s="1561"/>
      <c r="DY61" s="1561"/>
      <c r="DZ61" s="1561"/>
      <c r="EA61" s="1561"/>
      <c r="EB61" s="1561"/>
      <c r="EC61" s="1561"/>
      <c r="ED61" s="1561"/>
      <c r="EE61" s="1561"/>
      <c r="EF61" s="1561"/>
      <c r="EG61" s="1561"/>
      <c r="EH61" s="1561"/>
      <c r="EI61" s="1561"/>
      <c r="EJ61" s="1561"/>
      <c r="EK61" s="1561"/>
      <c r="EL61" s="1561"/>
      <c r="EM61" s="1561"/>
      <c r="EN61" s="1561"/>
      <c r="EO61" s="1561"/>
      <c r="EP61" s="1561"/>
      <c r="EQ61" s="1561"/>
      <c r="ER61" s="1561"/>
      <c r="ES61" s="1561"/>
      <c r="ET61" s="1561"/>
      <c r="EU61" s="1561"/>
      <c r="EV61" s="1561"/>
      <c r="EW61" s="1561"/>
      <c r="EX61" s="1561"/>
      <c r="EY61" s="1561"/>
      <c r="EZ61" s="1561"/>
      <c r="FA61" s="1561"/>
      <c r="FB61" s="1561"/>
      <c r="FC61" s="1561"/>
      <c r="FD61" s="1561"/>
      <c r="FE61" s="1561"/>
      <c r="FF61" s="1561"/>
      <c r="FG61" s="1561"/>
      <c r="FH61" s="1561"/>
      <c r="FI61" s="1561"/>
      <c r="FJ61" s="1561"/>
    </row>
    <row r="62" spans="1:166" ht="16" thickBot="1">
      <c r="D62" s="969">
        <v>19</v>
      </c>
      <c r="E62" s="433" t="s">
        <v>404</v>
      </c>
      <c r="F62" s="1576">
        <f>F60</f>
        <v>107898</v>
      </c>
      <c r="G62" s="1575">
        <v>5276</v>
      </c>
      <c r="H62" s="1575">
        <v>177713</v>
      </c>
      <c r="I62" s="1575">
        <v>-103744</v>
      </c>
      <c r="J62" s="1575">
        <v>130528</v>
      </c>
      <c r="K62" s="1575">
        <v>79028</v>
      </c>
      <c r="L62" s="1575">
        <v>55995</v>
      </c>
      <c r="M62" s="1575">
        <v>130996</v>
      </c>
      <c r="N62" s="1575">
        <v>133693</v>
      </c>
      <c r="O62" s="1575">
        <v>134029</v>
      </c>
      <c r="P62" s="1575">
        <v>119306</v>
      </c>
      <c r="Q62" s="1575">
        <v>35233</v>
      </c>
      <c r="R62" s="1575">
        <v>138429</v>
      </c>
      <c r="S62" s="1575">
        <v>-129365</v>
      </c>
      <c r="T62" s="1575">
        <v>153134</v>
      </c>
      <c r="U62" s="1575">
        <v>107564</v>
      </c>
      <c r="V62" s="1575">
        <v>160051</v>
      </c>
      <c r="W62" s="1575">
        <v>-828864</v>
      </c>
      <c r="X62" s="1575">
        <v>171616</v>
      </c>
      <c r="Y62" s="1575">
        <v>171616</v>
      </c>
      <c r="Z62" s="1575">
        <v>171808</v>
      </c>
      <c r="AA62" s="1575">
        <v>172793</v>
      </c>
      <c r="AB62" s="1575">
        <v>152615</v>
      </c>
      <c r="AC62" s="1575">
        <v>111627</v>
      </c>
      <c r="AD62" s="1575">
        <v>-4077</v>
      </c>
      <c r="AE62" s="1575">
        <v>-5475</v>
      </c>
      <c r="AF62" s="1575">
        <v>190685</v>
      </c>
      <c r="AG62" s="1575">
        <v>190987</v>
      </c>
      <c r="AH62" s="1575">
        <v>161953</v>
      </c>
      <c r="AI62" s="1575">
        <v>-381584</v>
      </c>
      <c r="AJ62" s="1575">
        <v>69465</v>
      </c>
      <c r="AK62" s="1575">
        <v>198078</v>
      </c>
      <c r="AL62" s="1575">
        <v>110692</v>
      </c>
      <c r="AM62" s="1575">
        <v>224236</v>
      </c>
      <c r="AN62" s="1575">
        <v>224236</v>
      </c>
      <c r="AO62" s="1575">
        <v>224236</v>
      </c>
      <c r="AP62" s="1575">
        <v>225093</v>
      </c>
      <c r="AQ62" s="1575">
        <v>224703</v>
      </c>
      <c r="AR62" s="1575">
        <v>225578</v>
      </c>
      <c r="AS62" s="1575">
        <v>226473</v>
      </c>
      <c r="AT62" s="1575">
        <v>226415</v>
      </c>
      <c r="AU62" s="1575">
        <v>226799</v>
      </c>
      <c r="AV62" s="1575">
        <v>227376</v>
      </c>
      <c r="AW62" s="1575">
        <v>227376</v>
      </c>
      <c r="AX62" s="1575">
        <v>216951</v>
      </c>
      <c r="AY62" s="1575">
        <v>217318</v>
      </c>
      <c r="AZ62" s="1575">
        <v>187970</v>
      </c>
      <c r="BA62" s="1575">
        <v>220908</v>
      </c>
      <c r="BB62" s="1575">
        <v>228285</v>
      </c>
      <c r="BC62" s="1575">
        <v>230374</v>
      </c>
      <c r="BD62" s="1575">
        <v>231284</v>
      </c>
      <c r="BE62" s="1575">
        <v>232276</v>
      </c>
      <c r="BF62" s="1575">
        <v>232812</v>
      </c>
      <c r="BG62" s="1575">
        <v>233208</v>
      </c>
      <c r="BH62" s="1575">
        <v>233801</v>
      </c>
      <c r="BI62" s="1575">
        <v>233801</v>
      </c>
      <c r="BJ62" s="1575">
        <v>234324</v>
      </c>
      <c r="BK62" s="1575">
        <v>234702</v>
      </c>
      <c r="BL62" s="1575">
        <v>234897</v>
      </c>
      <c r="BM62" s="1575">
        <v>234897</v>
      </c>
      <c r="BN62" s="1575">
        <v>235814</v>
      </c>
      <c r="BO62" s="1575">
        <v>216741</v>
      </c>
      <c r="BP62" s="1575">
        <v>180778</v>
      </c>
      <c r="BQ62" s="1575">
        <v>99645</v>
      </c>
      <c r="BR62" s="1575">
        <v>78603</v>
      </c>
      <c r="BS62" s="1575">
        <v>245194</v>
      </c>
      <c r="BT62" s="1575">
        <v>245806</v>
      </c>
      <c r="BU62" s="1575">
        <v>245806</v>
      </c>
      <c r="BV62" s="1575">
        <v>246344</v>
      </c>
      <c r="BW62" s="1575">
        <v>246733</v>
      </c>
      <c r="BX62" s="1575">
        <v>247245</v>
      </c>
      <c r="BY62" s="1575">
        <v>247245</v>
      </c>
      <c r="BZ62" s="1575">
        <v>248190</v>
      </c>
      <c r="CA62" s="1575">
        <v>134874</v>
      </c>
      <c r="CB62" s="1575">
        <v>245297</v>
      </c>
      <c r="CC62" s="1575">
        <v>228689</v>
      </c>
      <c r="CD62" s="1575">
        <v>229552</v>
      </c>
      <c r="CE62" s="1575">
        <v>175426</v>
      </c>
      <c r="CF62" s="1575">
        <v>237185</v>
      </c>
      <c r="CG62" s="1575">
        <v>249224</v>
      </c>
      <c r="CH62" s="1575">
        <v>249778</v>
      </c>
      <c r="CI62" s="1575">
        <v>226951</v>
      </c>
      <c r="CJ62" s="1575">
        <v>227158</v>
      </c>
      <c r="CK62" s="1575">
        <v>156272</v>
      </c>
      <c r="CL62" s="1575">
        <v>198532</v>
      </c>
      <c r="CM62" s="1575">
        <v>167030</v>
      </c>
      <c r="CN62" s="1575">
        <v>45869</v>
      </c>
      <c r="CO62" s="1575">
        <v>52349</v>
      </c>
      <c r="CP62" s="1575">
        <v>255145</v>
      </c>
      <c r="CQ62" s="1575">
        <v>217706</v>
      </c>
      <c r="CR62" s="1575">
        <v>184935</v>
      </c>
      <c r="CS62" s="1575">
        <v>184935</v>
      </c>
      <c r="CT62" s="1575">
        <v>51904</v>
      </c>
      <c r="CU62" s="1575">
        <v>166582</v>
      </c>
      <c r="CV62" s="1575">
        <v>-61925</v>
      </c>
      <c r="CW62" s="1575">
        <v>179143</v>
      </c>
      <c r="CX62" s="1575">
        <v>229856</v>
      </c>
      <c r="CY62" s="1575">
        <v>242910</v>
      </c>
      <c r="CZ62" s="1575">
        <v>208416</v>
      </c>
      <c r="DA62" s="1575">
        <v>249440</v>
      </c>
      <c r="DB62" s="1575">
        <v>259309</v>
      </c>
      <c r="DC62" s="1575">
        <v>259681</v>
      </c>
      <c r="DD62" s="1575">
        <v>259681</v>
      </c>
      <c r="DE62" s="1575">
        <v>259681</v>
      </c>
      <c r="DF62" s="1575">
        <v>260350</v>
      </c>
      <c r="DG62" s="1575">
        <v>260350</v>
      </c>
      <c r="DH62" s="1575">
        <v>250483</v>
      </c>
      <c r="DI62" s="1575">
        <v>251342</v>
      </c>
      <c r="DJ62" s="1575">
        <v>217260</v>
      </c>
      <c r="DK62" s="1575">
        <v>255863</v>
      </c>
      <c r="DL62" s="1575">
        <v>264401</v>
      </c>
      <c r="DM62" s="1575">
        <v>266676</v>
      </c>
      <c r="DN62" s="1575">
        <v>267236</v>
      </c>
      <c r="DO62" s="1575">
        <v>267619</v>
      </c>
      <c r="DP62" s="1575">
        <v>267619</v>
      </c>
      <c r="DQ62" s="1575">
        <v>267619</v>
      </c>
      <c r="DR62" s="1575">
        <v>268307</v>
      </c>
      <c r="DS62" s="1575">
        <v>268307</v>
      </c>
      <c r="DT62" s="1575">
        <v>269907</v>
      </c>
      <c r="DU62" s="1575">
        <v>270792</v>
      </c>
      <c r="DV62" s="1575">
        <v>271018</v>
      </c>
      <c r="DW62" s="1575">
        <v>271692</v>
      </c>
      <c r="DX62" s="1575">
        <v>272741</v>
      </c>
      <c r="DY62" s="1575">
        <v>242235</v>
      </c>
      <c r="DZ62" s="1575">
        <v>202532</v>
      </c>
      <c r="EA62" s="1575">
        <v>105354</v>
      </c>
      <c r="EB62" s="1575">
        <v>95652</v>
      </c>
      <c r="EC62" s="1575">
        <v>276212</v>
      </c>
      <c r="ED62" s="1575">
        <v>276920</v>
      </c>
      <c r="EE62" s="1575">
        <v>276920</v>
      </c>
      <c r="EF62" s="1575">
        <v>272557</v>
      </c>
      <c r="EG62" s="1575">
        <v>273469</v>
      </c>
      <c r="EH62" s="1575">
        <v>254321</v>
      </c>
      <c r="EI62" s="1575">
        <v>234042</v>
      </c>
      <c r="EJ62" s="1575">
        <v>239390</v>
      </c>
      <c r="EK62" s="1575">
        <v>240444</v>
      </c>
      <c r="EL62" s="1575">
        <v>240328</v>
      </c>
      <c r="EM62" s="1575">
        <v>219954</v>
      </c>
      <c r="EN62" s="1575">
        <v>81915</v>
      </c>
      <c r="EO62" s="1575">
        <v>201482</v>
      </c>
      <c r="EP62" s="1575">
        <v>273078</v>
      </c>
      <c r="EQ62" s="1575">
        <v>287034</v>
      </c>
      <c r="ER62" s="1575">
        <v>288773</v>
      </c>
      <c r="ES62" s="1575">
        <v>261869</v>
      </c>
      <c r="ET62" s="1575">
        <v>262236</v>
      </c>
      <c r="EU62" s="1575">
        <v>26954160</v>
      </c>
      <c r="EV62" s="1561"/>
      <c r="EW62" s="1561"/>
      <c r="EX62" s="1561"/>
      <c r="EY62" s="1561"/>
      <c r="EZ62" s="1561"/>
      <c r="FA62" s="1561"/>
      <c r="FB62" s="1561"/>
      <c r="FC62" s="1561"/>
      <c r="FD62" s="1561"/>
      <c r="FE62" s="1561"/>
      <c r="FF62" s="1561"/>
      <c r="FG62" s="1561"/>
      <c r="FH62" s="1561"/>
      <c r="FI62" s="1561"/>
      <c r="FJ62" s="1561"/>
    </row>
    <row r="63" spans="1:166" ht="16" thickBot="1">
      <c r="F63" s="1576"/>
      <c r="G63" s="1575"/>
      <c r="H63" s="1575"/>
      <c r="I63" s="1575"/>
      <c r="J63" s="1575"/>
      <c r="K63" s="1575"/>
      <c r="L63" s="1575"/>
      <c r="M63" s="1575"/>
      <c r="N63" s="1575"/>
      <c r="O63" s="1575"/>
      <c r="P63" s="1575"/>
      <c r="Q63" s="1575"/>
      <c r="R63" s="1575"/>
      <c r="S63" s="1575"/>
      <c r="T63" s="1575"/>
      <c r="U63" s="1575"/>
      <c r="V63" s="1575"/>
      <c r="W63" s="1575"/>
      <c r="X63" s="1575"/>
      <c r="Y63" s="1575"/>
      <c r="Z63" s="1575"/>
      <c r="AA63" s="1575"/>
      <c r="AB63" s="1575"/>
      <c r="AC63" s="1575"/>
      <c r="AD63" s="1575"/>
      <c r="AE63" s="1575"/>
      <c r="AF63" s="1575"/>
      <c r="AG63" s="1575"/>
      <c r="AH63" s="1575"/>
      <c r="AI63" s="1575"/>
      <c r="AJ63" s="1575"/>
      <c r="AK63" s="1575"/>
      <c r="AL63" s="1575"/>
      <c r="AM63" s="1575"/>
      <c r="AN63" s="1575"/>
      <c r="AO63" s="1575"/>
      <c r="AP63" s="1575"/>
      <c r="AQ63" s="1575"/>
      <c r="AR63" s="1575"/>
      <c r="AS63" s="1575"/>
      <c r="AT63" s="1575"/>
      <c r="AU63" s="1575"/>
      <c r="AV63" s="1575"/>
      <c r="AW63" s="1575"/>
      <c r="AX63" s="1575"/>
      <c r="AY63" s="1575"/>
      <c r="AZ63" s="1575"/>
      <c r="BA63" s="1575"/>
      <c r="BB63" s="1575"/>
      <c r="BC63" s="1575"/>
      <c r="BD63" s="1575"/>
      <c r="BE63" s="1575"/>
      <c r="BF63" s="1575"/>
      <c r="BG63" s="1575"/>
      <c r="BH63" s="1575"/>
      <c r="BI63" s="1575"/>
      <c r="BJ63" s="1575"/>
      <c r="BK63" s="1575"/>
      <c r="BL63" s="1575"/>
      <c r="BM63" s="1575"/>
      <c r="BN63" s="1575"/>
      <c r="BO63" s="1575"/>
      <c r="BP63" s="1575"/>
      <c r="BQ63" s="1575"/>
      <c r="BR63" s="1575"/>
      <c r="BS63" s="1575"/>
      <c r="BT63" s="1575"/>
      <c r="BU63" s="1575"/>
      <c r="BV63" s="1575"/>
      <c r="BW63" s="1575"/>
      <c r="BX63" s="1575"/>
      <c r="BY63" s="1575"/>
      <c r="BZ63" s="1575"/>
      <c r="CA63" s="1575"/>
      <c r="CB63" s="1575"/>
      <c r="CC63" s="1575"/>
      <c r="CD63" s="1575"/>
      <c r="CE63" s="1575"/>
      <c r="CF63" s="1575"/>
      <c r="CG63" s="1575"/>
      <c r="CH63" s="1575"/>
      <c r="CI63" s="1575"/>
      <c r="CJ63" s="1575"/>
      <c r="CK63" s="1575"/>
      <c r="CL63" s="1575"/>
      <c r="CM63" s="1575"/>
      <c r="CN63" s="1575"/>
      <c r="CO63" s="1575"/>
      <c r="CP63" s="1575"/>
      <c r="CQ63" s="1575"/>
      <c r="CR63" s="1575"/>
      <c r="CS63" s="1575"/>
      <c r="CT63" s="1575"/>
      <c r="CU63" s="1575"/>
      <c r="CV63" s="1575"/>
      <c r="CW63" s="1575"/>
      <c r="CX63" s="1575"/>
      <c r="CY63" s="1575"/>
      <c r="CZ63" s="1575"/>
      <c r="DA63" s="1575"/>
      <c r="DB63" s="1575"/>
      <c r="DC63" s="1575"/>
      <c r="DD63" s="1575"/>
      <c r="DE63" s="1575"/>
      <c r="DF63" s="1575"/>
      <c r="DG63" s="1575"/>
      <c r="DH63" s="1575"/>
      <c r="DI63" s="1575"/>
      <c r="DJ63" s="1575"/>
      <c r="DK63" s="1575"/>
      <c r="DL63" s="1575"/>
      <c r="DM63" s="1575"/>
      <c r="DN63" s="1575"/>
      <c r="DO63" s="1575"/>
      <c r="DP63" s="1575"/>
      <c r="DQ63" s="1575"/>
      <c r="DR63" s="1575"/>
      <c r="DS63" s="1575"/>
      <c r="DT63" s="1575"/>
      <c r="DU63" s="1575"/>
      <c r="DV63" s="1575"/>
      <c r="DW63" s="1575"/>
      <c r="DX63" s="1575"/>
      <c r="DY63" s="1575"/>
      <c r="DZ63" s="1575"/>
      <c r="EA63" s="1575"/>
      <c r="EB63" s="1575"/>
      <c r="EC63" s="1575"/>
      <c r="ED63" s="1575"/>
      <c r="EE63" s="1575"/>
      <c r="EF63" s="1575"/>
      <c r="EG63" s="1575"/>
      <c r="EH63" s="1575"/>
      <c r="EI63" s="1575"/>
      <c r="EJ63" s="1575"/>
      <c r="EK63" s="1575"/>
      <c r="EL63" s="1575"/>
      <c r="EM63" s="1575"/>
      <c r="EN63" s="1575"/>
      <c r="EO63" s="1575"/>
      <c r="EP63" s="1575"/>
      <c r="EQ63" s="1575"/>
      <c r="ER63" s="1575"/>
      <c r="ES63" s="1575"/>
      <c r="ET63" s="1575"/>
      <c r="EU63" s="1575"/>
      <c r="EV63" s="1561"/>
      <c r="EW63" s="1561"/>
      <c r="EX63" s="1561"/>
      <c r="EY63" s="1561"/>
      <c r="EZ63" s="1561"/>
      <c r="FA63" s="1561"/>
      <c r="FB63" s="1561"/>
      <c r="FC63" s="1561"/>
      <c r="FD63" s="1561"/>
      <c r="FE63" s="1561"/>
      <c r="FF63" s="1561"/>
      <c r="FG63" s="1561"/>
      <c r="FH63" s="1561"/>
      <c r="FI63" s="1561"/>
      <c r="FJ63" s="1561"/>
    </row>
    <row r="87" spans="2:2">
      <c r="B87"/>
    </row>
    <row r="88" spans="2:2">
      <c r="B88"/>
    </row>
  </sheetData>
  <mergeCells count="161">
    <mergeCell ref="F57:F58"/>
    <mergeCell ref="G57:G58"/>
    <mergeCell ref="H57:H58"/>
    <mergeCell ref="I57:I58"/>
    <mergeCell ref="J57:J58"/>
    <mergeCell ref="K57:K58"/>
    <mergeCell ref="R57:R58"/>
    <mergeCell ref="S57:S58"/>
    <mergeCell ref="T57:T58"/>
    <mergeCell ref="U57:U58"/>
    <mergeCell ref="V57:V58"/>
    <mergeCell ref="W57:W58"/>
    <mergeCell ref="L57:L58"/>
    <mergeCell ref="M57:M58"/>
    <mergeCell ref="N57:N58"/>
    <mergeCell ref="O57:O58"/>
    <mergeCell ref="P57:P58"/>
    <mergeCell ref="Q57:Q58"/>
    <mergeCell ref="AD57:AD58"/>
    <mergeCell ref="AE57:AE58"/>
    <mergeCell ref="AF57:AF58"/>
    <mergeCell ref="AG57:AG58"/>
    <mergeCell ref="AH57:AH58"/>
    <mergeCell ref="AI57:AI58"/>
    <mergeCell ref="X57:X58"/>
    <mergeCell ref="Y57:Y58"/>
    <mergeCell ref="Z57:Z58"/>
    <mergeCell ref="AA57:AA58"/>
    <mergeCell ref="AB57:AB58"/>
    <mergeCell ref="AC57:AC58"/>
    <mergeCell ref="AP57:AP58"/>
    <mergeCell ref="AQ57:AQ58"/>
    <mergeCell ref="AR57:AR58"/>
    <mergeCell ref="AS57:AS58"/>
    <mergeCell ref="AT57:AT58"/>
    <mergeCell ref="AU57:AU58"/>
    <mergeCell ref="AJ57:AJ58"/>
    <mergeCell ref="AK57:AK58"/>
    <mergeCell ref="AL57:AL58"/>
    <mergeCell ref="AM57:AM58"/>
    <mergeCell ref="AN57:AN58"/>
    <mergeCell ref="AO57:AO58"/>
    <mergeCell ref="BB57:BB58"/>
    <mergeCell ref="BC57:BC58"/>
    <mergeCell ref="BD57:BD58"/>
    <mergeCell ref="BE57:BE58"/>
    <mergeCell ref="BF57:BF58"/>
    <mergeCell ref="BG57:BG58"/>
    <mergeCell ref="AV57:AV58"/>
    <mergeCell ref="AW57:AW58"/>
    <mergeCell ref="AX57:AX58"/>
    <mergeCell ref="AY57:AY58"/>
    <mergeCell ref="AZ57:AZ58"/>
    <mergeCell ref="BA57:BA58"/>
    <mergeCell ref="BN57:BN58"/>
    <mergeCell ref="BO57:BO58"/>
    <mergeCell ref="BP57:BP58"/>
    <mergeCell ref="BQ57:BQ58"/>
    <mergeCell ref="BR57:BR58"/>
    <mergeCell ref="BS57:BS58"/>
    <mergeCell ref="BH57:BH58"/>
    <mergeCell ref="BI57:BI58"/>
    <mergeCell ref="BJ57:BJ58"/>
    <mergeCell ref="BK57:BK58"/>
    <mergeCell ref="BL57:BL58"/>
    <mergeCell ref="BM57:BM58"/>
    <mergeCell ref="BZ57:BZ58"/>
    <mergeCell ref="CA57:CA58"/>
    <mergeCell ref="CB57:CB58"/>
    <mergeCell ref="CC57:CC58"/>
    <mergeCell ref="CD57:CD58"/>
    <mergeCell ref="CE57:CE58"/>
    <mergeCell ref="BT57:BT58"/>
    <mergeCell ref="BU57:BU58"/>
    <mergeCell ref="BV57:BV58"/>
    <mergeCell ref="BW57:BW58"/>
    <mergeCell ref="BX57:BX58"/>
    <mergeCell ref="BY57:BY58"/>
    <mergeCell ref="CL57:CL58"/>
    <mergeCell ref="CM57:CM58"/>
    <mergeCell ref="CN57:CN58"/>
    <mergeCell ref="CO57:CO58"/>
    <mergeCell ref="CP57:CP58"/>
    <mergeCell ref="CQ57:CQ58"/>
    <mergeCell ref="CF57:CF58"/>
    <mergeCell ref="CG57:CG58"/>
    <mergeCell ref="CH57:CH58"/>
    <mergeCell ref="CI57:CI58"/>
    <mergeCell ref="CJ57:CJ58"/>
    <mergeCell ref="CK57:CK58"/>
    <mergeCell ref="CX57:CX58"/>
    <mergeCell ref="CY57:CY58"/>
    <mergeCell ref="CZ57:CZ58"/>
    <mergeCell ref="DA57:DA58"/>
    <mergeCell ref="DB57:DB58"/>
    <mergeCell ref="DC57:DC58"/>
    <mergeCell ref="CR57:CR58"/>
    <mergeCell ref="CS57:CS58"/>
    <mergeCell ref="CT57:CT58"/>
    <mergeCell ref="CU57:CU58"/>
    <mergeCell ref="CV57:CV58"/>
    <mergeCell ref="CW57:CW58"/>
    <mergeCell ref="DJ57:DJ58"/>
    <mergeCell ref="DK57:DK58"/>
    <mergeCell ref="DL57:DL58"/>
    <mergeCell ref="DM57:DM58"/>
    <mergeCell ref="DN57:DN58"/>
    <mergeCell ref="DO57:DO58"/>
    <mergeCell ref="DD57:DD58"/>
    <mergeCell ref="DE57:DE58"/>
    <mergeCell ref="DF57:DF58"/>
    <mergeCell ref="DG57:DG58"/>
    <mergeCell ref="DH57:DH58"/>
    <mergeCell ref="DI57:DI58"/>
    <mergeCell ref="DV57:DV58"/>
    <mergeCell ref="DW57:DW58"/>
    <mergeCell ref="DX57:DX58"/>
    <mergeCell ref="DY57:DY58"/>
    <mergeCell ref="DZ57:DZ58"/>
    <mergeCell ref="EA57:EA58"/>
    <mergeCell ref="DP57:DP58"/>
    <mergeCell ref="DQ57:DQ58"/>
    <mergeCell ref="DR57:DR58"/>
    <mergeCell ref="DS57:DS58"/>
    <mergeCell ref="DT57:DT58"/>
    <mergeCell ref="DU57:DU58"/>
    <mergeCell ref="EH57:EH58"/>
    <mergeCell ref="EI57:EI58"/>
    <mergeCell ref="EJ57:EJ58"/>
    <mergeCell ref="EK57:EK58"/>
    <mergeCell ref="EL57:EL58"/>
    <mergeCell ref="EM57:EM58"/>
    <mergeCell ref="EB57:EB58"/>
    <mergeCell ref="EC57:EC58"/>
    <mergeCell ref="ED57:ED58"/>
    <mergeCell ref="EE57:EE58"/>
    <mergeCell ref="EF57:EF58"/>
    <mergeCell ref="EG57:EG58"/>
    <mergeCell ref="ET57:ET58"/>
    <mergeCell ref="EU57:EU58"/>
    <mergeCell ref="EV57:EV58"/>
    <mergeCell ref="EW57:EW58"/>
    <mergeCell ref="EX57:EX58"/>
    <mergeCell ref="EY57:EY58"/>
    <mergeCell ref="EN57:EN58"/>
    <mergeCell ref="EO57:EO58"/>
    <mergeCell ref="EP57:EP58"/>
    <mergeCell ref="EQ57:EQ58"/>
    <mergeCell ref="ER57:ER58"/>
    <mergeCell ref="ES57:ES58"/>
    <mergeCell ref="FF57:FF58"/>
    <mergeCell ref="FG57:FG58"/>
    <mergeCell ref="FH57:FH58"/>
    <mergeCell ref="FI57:FI58"/>
    <mergeCell ref="FJ57:FJ58"/>
    <mergeCell ref="EZ57:EZ58"/>
    <mergeCell ref="FA57:FA58"/>
    <mergeCell ref="FB57:FB58"/>
    <mergeCell ref="FC57:FC58"/>
    <mergeCell ref="FD57:FD58"/>
    <mergeCell ref="FE57:FE58"/>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8BA4A-5ECE-4F2B-8729-22008BF57B51}">
  <sheetPr>
    <outlinePr summaryBelow="0"/>
  </sheetPr>
  <dimension ref="A1:R397"/>
  <sheetViews>
    <sheetView showGridLines="0" topLeftCell="A27" workbookViewId="0">
      <selection activeCell="A5" sqref="A5:D5"/>
    </sheetView>
  </sheetViews>
  <sheetFormatPr baseColWidth="10" defaultColWidth="9.1640625" defaultRowHeight="15"/>
  <cols>
    <col min="1" max="1" width="30" customWidth="1"/>
    <col min="2" max="2" width="13.5" customWidth="1"/>
    <col min="3" max="3" width="18.33203125" customWidth="1"/>
    <col min="4" max="4" width="16.5" customWidth="1"/>
    <col min="5" max="6" width="10" customWidth="1"/>
    <col min="7" max="7" width="10.6640625" customWidth="1"/>
    <col min="8" max="8" width="15.5" customWidth="1"/>
    <col min="9" max="9" width="8" customWidth="1"/>
    <col min="10" max="10" width="7.33203125" customWidth="1"/>
    <col min="11" max="11" width="13.5" customWidth="1"/>
    <col min="12" max="12" width="14.6640625" customWidth="1"/>
    <col min="13" max="13" width="25.1640625" customWidth="1"/>
    <col min="14" max="14" width="17" customWidth="1"/>
    <col min="15" max="15" width="16.33203125" customWidth="1"/>
    <col min="16" max="16" width="11" customWidth="1"/>
    <col min="17" max="17" width="18.5" customWidth="1"/>
    <col min="18" max="18" width="16" customWidth="1"/>
  </cols>
  <sheetData>
    <row r="1" spans="1:18" ht="12" customHeight="1">
      <c r="A1" s="1637" t="s">
        <v>2083</v>
      </c>
      <c r="B1" s="1637"/>
      <c r="C1" s="1637"/>
      <c r="D1" s="1637"/>
    </row>
    <row r="2" spans="1:18" ht="12" customHeight="1">
      <c r="A2" s="1635" t="s">
        <v>2400</v>
      </c>
      <c r="B2" s="1635"/>
      <c r="C2" s="1635"/>
      <c r="D2" s="1635"/>
    </row>
    <row r="3" spans="1:18" ht="12" customHeight="1">
      <c r="A3" s="1635" t="s">
        <v>2401</v>
      </c>
      <c r="B3" s="1635"/>
      <c r="C3" s="1635"/>
      <c r="D3" s="1635"/>
    </row>
    <row r="4" spans="1:18" ht="12" customHeight="1">
      <c r="A4" s="1635" t="s">
        <v>2082</v>
      </c>
      <c r="B4" s="1635"/>
      <c r="C4" s="1635"/>
      <c r="D4" s="1635"/>
    </row>
    <row r="5" spans="1:18" ht="12" customHeight="1">
      <c r="A5" s="1638" t="s">
        <v>2402</v>
      </c>
      <c r="B5" s="1638"/>
      <c r="C5" s="1638"/>
      <c r="D5" s="1638"/>
    </row>
    <row r="6" spans="1:18" ht="12" customHeight="1"/>
    <row r="7" spans="1:18" ht="12" customHeight="1">
      <c r="A7" s="1636" t="s">
        <v>2081</v>
      </c>
      <c r="B7" s="1636"/>
      <c r="C7" s="1636"/>
      <c r="D7" s="1636" t="s">
        <v>2080</v>
      </c>
      <c r="E7" s="1636"/>
      <c r="F7" s="1636"/>
      <c r="G7" s="1636"/>
      <c r="H7" s="1562" t="s">
        <v>2079</v>
      </c>
      <c r="I7" s="1636" t="s">
        <v>2078</v>
      </c>
      <c r="J7" s="1636"/>
      <c r="K7" s="1562" t="s">
        <v>2077</v>
      </c>
      <c r="L7" s="1562" t="s">
        <v>2076</v>
      </c>
      <c r="M7" s="1562" t="s">
        <v>2075</v>
      </c>
      <c r="N7" s="1562" t="s">
        <v>442</v>
      </c>
      <c r="O7" s="1562" t="s">
        <v>443</v>
      </c>
      <c r="P7" s="1562" t="s">
        <v>2074</v>
      </c>
      <c r="Q7" s="1562" t="s">
        <v>2073</v>
      </c>
      <c r="R7" s="1562" t="s">
        <v>2072</v>
      </c>
    </row>
    <row r="8" spans="1:18" ht="12" customHeight="1">
      <c r="A8" s="1563" t="s">
        <v>2071</v>
      </c>
      <c r="B8" s="1564"/>
      <c r="C8" s="1564"/>
      <c r="D8" s="1563" t="s">
        <v>2070</v>
      </c>
      <c r="E8" s="1564"/>
      <c r="F8" s="1564"/>
      <c r="G8" s="1564"/>
      <c r="H8" s="1564"/>
      <c r="I8" s="1564"/>
      <c r="J8" s="1564"/>
      <c r="K8" s="1563" t="s">
        <v>2063</v>
      </c>
      <c r="L8" s="1563" t="s">
        <v>2063</v>
      </c>
      <c r="M8" s="1564"/>
      <c r="N8" s="1564"/>
      <c r="O8" s="1564"/>
      <c r="P8" s="1564"/>
      <c r="R8" s="1564"/>
    </row>
    <row r="9" spans="1:18" ht="12" customHeight="1">
      <c r="A9" s="1565" t="s">
        <v>2069</v>
      </c>
      <c r="B9" s="1566"/>
      <c r="C9" s="1565" t="s">
        <v>2068</v>
      </c>
      <c r="D9" s="1565" t="s">
        <v>2067</v>
      </c>
      <c r="E9" s="1565" t="s">
        <v>2066</v>
      </c>
      <c r="F9" s="1565" t="s">
        <v>2066</v>
      </c>
      <c r="G9" s="1565" t="s">
        <v>2066</v>
      </c>
      <c r="H9" s="1565" t="s">
        <v>476</v>
      </c>
      <c r="I9" s="1566"/>
      <c r="J9" s="1566"/>
      <c r="K9" s="1565" t="s">
        <v>2065</v>
      </c>
      <c r="L9" s="1565" t="s">
        <v>476</v>
      </c>
      <c r="M9" s="1565" t="s">
        <v>2064</v>
      </c>
      <c r="N9" s="1566"/>
      <c r="O9" s="1566"/>
      <c r="P9" s="1565" t="s">
        <v>2063</v>
      </c>
      <c r="Q9" s="1567" t="s">
        <v>2062</v>
      </c>
      <c r="R9" s="1565" t="s">
        <v>2061</v>
      </c>
    </row>
    <row r="10" spans="1:18" ht="12" customHeight="1">
      <c r="A10" s="1565" t="s">
        <v>2060</v>
      </c>
      <c r="B10" s="1565" t="s">
        <v>2059</v>
      </c>
      <c r="C10" s="1565" t="s">
        <v>2058</v>
      </c>
      <c r="D10" s="1565" t="s">
        <v>2057</v>
      </c>
      <c r="E10" s="1565" t="s">
        <v>2056</v>
      </c>
      <c r="F10" s="1565" t="s">
        <v>2055</v>
      </c>
      <c r="G10" s="1565" t="s">
        <v>2055</v>
      </c>
      <c r="H10" s="1565" t="s">
        <v>2054</v>
      </c>
      <c r="I10" s="1566"/>
      <c r="J10" s="1566"/>
      <c r="K10" s="1565" t="s">
        <v>2053</v>
      </c>
      <c r="L10" s="1565" t="s">
        <v>2052</v>
      </c>
      <c r="M10" s="1565" t="s">
        <v>476</v>
      </c>
      <c r="N10" s="1565" t="s">
        <v>2052</v>
      </c>
      <c r="O10" s="1565" t="s">
        <v>2052</v>
      </c>
      <c r="P10" s="1565" t="s">
        <v>2052</v>
      </c>
      <c r="Q10" s="1567" t="s">
        <v>2051</v>
      </c>
      <c r="R10" s="1565" t="s">
        <v>2050</v>
      </c>
    </row>
    <row r="11" spans="1:18" ht="12" customHeight="1">
      <c r="A11" s="1565" t="s">
        <v>2049</v>
      </c>
      <c r="B11" s="1565" t="s">
        <v>2048</v>
      </c>
      <c r="C11" s="1565" t="s">
        <v>2047</v>
      </c>
      <c r="D11" s="1565" t="s">
        <v>2046</v>
      </c>
      <c r="E11" s="1565" t="s">
        <v>138</v>
      </c>
      <c r="F11" s="1565" t="s">
        <v>2045</v>
      </c>
      <c r="G11" s="1565" t="s">
        <v>2044</v>
      </c>
      <c r="H11" s="1565" t="s">
        <v>2043</v>
      </c>
      <c r="I11" s="1565" t="s">
        <v>138</v>
      </c>
      <c r="J11" s="1565" t="s">
        <v>2042</v>
      </c>
      <c r="K11" s="1565" t="s">
        <v>2041</v>
      </c>
      <c r="L11" s="1565" t="s">
        <v>2039</v>
      </c>
      <c r="M11" s="1565" t="s">
        <v>2040</v>
      </c>
      <c r="N11" s="1565" t="s">
        <v>2039</v>
      </c>
      <c r="O11" s="1565" t="s">
        <v>2039</v>
      </c>
      <c r="P11" s="1565" t="s">
        <v>2039</v>
      </c>
      <c r="Q11" s="1567" t="s">
        <v>2038</v>
      </c>
      <c r="R11" s="1565" t="s">
        <v>2037</v>
      </c>
    </row>
    <row r="12" spans="1:18" ht="12" customHeight="1">
      <c r="A12" s="1568" t="s">
        <v>2036</v>
      </c>
      <c r="B12" s="1569"/>
      <c r="C12" s="1568" t="s">
        <v>2035</v>
      </c>
      <c r="D12" s="1568" t="s">
        <v>2034</v>
      </c>
      <c r="E12" s="1569"/>
      <c r="F12" s="1569"/>
      <c r="G12" s="1569"/>
      <c r="H12" s="1569"/>
      <c r="I12" s="1569"/>
      <c r="J12" s="1569"/>
      <c r="K12" s="1569"/>
      <c r="L12" s="1569"/>
      <c r="M12" s="1569"/>
      <c r="N12" s="1569"/>
      <c r="O12" s="1569"/>
      <c r="P12" s="1569"/>
      <c r="R12" s="1569"/>
    </row>
    <row r="13" spans="1:18" ht="12" customHeight="1">
      <c r="A13" s="1564"/>
      <c r="B13" s="1564"/>
      <c r="C13" s="1564"/>
      <c r="D13" s="1564"/>
      <c r="E13" s="1564"/>
      <c r="F13" s="1564"/>
      <c r="G13" s="1564"/>
      <c r="H13" s="1564"/>
      <c r="I13" s="1564"/>
      <c r="J13" s="1564"/>
      <c r="K13" s="1564"/>
      <c r="L13" s="1564"/>
      <c r="M13" s="1564"/>
      <c r="N13" s="1564"/>
      <c r="O13" s="1564"/>
      <c r="P13" s="1564"/>
      <c r="Q13" s="1564"/>
      <c r="R13" s="1564"/>
    </row>
    <row r="14" spans="1:18" ht="12" customHeight="1">
      <c r="A14" s="1565" t="s">
        <v>2029</v>
      </c>
      <c r="B14" s="1570">
        <v>2904</v>
      </c>
      <c r="C14" s="1565" t="s">
        <v>1979</v>
      </c>
      <c r="D14" s="1571">
        <v>43.2</v>
      </c>
      <c r="E14" s="1566" t="s">
        <v>2033</v>
      </c>
      <c r="F14" s="1571">
        <v>69</v>
      </c>
      <c r="G14" s="1571">
        <v>5.75</v>
      </c>
      <c r="H14" s="1565" t="s">
        <v>1976</v>
      </c>
      <c r="I14" s="1565" t="s">
        <v>1976</v>
      </c>
      <c r="J14" s="1566"/>
      <c r="K14" s="1565" t="s">
        <v>462</v>
      </c>
      <c r="L14" s="1566"/>
      <c r="M14" s="1565" t="s">
        <v>1983</v>
      </c>
      <c r="N14" s="1571">
        <v>0</v>
      </c>
      <c r="O14" s="1571">
        <v>0</v>
      </c>
      <c r="P14" s="1566"/>
      <c r="Q14" s="1565"/>
      <c r="R14" s="1565" t="s">
        <v>2403</v>
      </c>
    </row>
    <row r="15" spans="1:18" ht="12" customHeight="1">
      <c r="A15" s="1565" t="s">
        <v>2028</v>
      </c>
      <c r="B15" s="1565" t="s">
        <v>1989</v>
      </c>
      <c r="C15" s="1565" t="s">
        <v>1977</v>
      </c>
      <c r="D15" s="1572">
        <v>125465</v>
      </c>
      <c r="E15" s="1566" t="s">
        <v>2032</v>
      </c>
      <c r="F15" s="1571">
        <v>71.069999999999993</v>
      </c>
      <c r="G15" s="1571">
        <v>5.92</v>
      </c>
      <c r="H15" s="1565"/>
      <c r="I15" s="1566"/>
      <c r="J15" s="1566"/>
      <c r="K15" s="1566"/>
      <c r="L15" s="1566"/>
      <c r="M15" s="1566"/>
      <c r="N15" s="1572">
        <v>0</v>
      </c>
      <c r="O15" s="1572">
        <v>0</v>
      </c>
      <c r="P15" s="1566"/>
      <c r="Q15" s="1565"/>
      <c r="R15" s="1566"/>
    </row>
    <row r="16" spans="1:18" ht="12" customHeight="1">
      <c r="A16" s="1565" t="s">
        <v>2031</v>
      </c>
      <c r="B16" s="1573">
        <v>7.4138371202450898E-2</v>
      </c>
      <c r="C16" s="1565" t="s">
        <v>2404</v>
      </c>
      <c r="D16" s="1571">
        <v>3.6</v>
      </c>
      <c r="E16" s="1566" t="s">
        <v>1033</v>
      </c>
      <c r="F16" s="1571">
        <v>73.2</v>
      </c>
      <c r="G16" s="1571">
        <v>6.1</v>
      </c>
      <c r="H16" s="1566"/>
      <c r="I16" s="1566"/>
      <c r="J16" s="1566"/>
      <c r="K16" s="1566"/>
      <c r="L16" s="1566"/>
      <c r="M16" s="1566"/>
      <c r="N16" s="1566"/>
      <c r="O16" s="1566"/>
      <c r="P16" s="1566"/>
      <c r="Q16" s="1572"/>
      <c r="R16" s="1566"/>
    </row>
    <row r="17" spans="1:18" ht="12" customHeight="1">
      <c r="A17" s="1565" t="s">
        <v>2030</v>
      </c>
      <c r="B17" s="1566"/>
      <c r="C17" s="1565" t="s">
        <v>724</v>
      </c>
      <c r="D17" s="1572">
        <v>10455</v>
      </c>
      <c r="E17" s="1566" t="s">
        <v>1039</v>
      </c>
      <c r="F17" s="1571">
        <v>75.400000000000006</v>
      </c>
      <c r="G17" s="1571">
        <v>6.28</v>
      </c>
      <c r="H17" s="1565"/>
      <c r="I17" s="1566"/>
      <c r="J17" s="1566"/>
      <c r="K17" s="1566"/>
      <c r="L17" s="1566"/>
      <c r="M17" s="1566"/>
      <c r="N17" s="1566"/>
      <c r="O17" s="1566"/>
      <c r="P17" s="1566"/>
      <c r="Q17" s="1566"/>
      <c r="R17" s="1566"/>
    </row>
    <row r="18" spans="1:18" ht="12" customHeight="1">
      <c r="A18" s="1565" t="s">
        <v>1972</v>
      </c>
      <c r="B18" s="1566"/>
      <c r="C18" s="1566"/>
      <c r="D18" s="1572">
        <v>226512</v>
      </c>
      <c r="E18" s="1566" t="s">
        <v>1047</v>
      </c>
      <c r="F18" s="1571">
        <v>77.66</v>
      </c>
      <c r="G18" s="1571">
        <v>6.47</v>
      </c>
      <c r="H18" s="1566"/>
      <c r="I18" s="1566"/>
      <c r="J18" s="1566"/>
      <c r="K18" s="1566"/>
      <c r="L18" s="1566"/>
      <c r="M18" s="1566"/>
      <c r="N18" s="1566"/>
      <c r="O18" s="1566"/>
      <c r="P18" s="1566"/>
      <c r="Q18" s="1566"/>
      <c r="R18" s="1566"/>
    </row>
    <row r="19" spans="1:18" ht="12" customHeight="1">
      <c r="A19" s="1566"/>
      <c r="B19" s="1566"/>
      <c r="C19" s="1566"/>
      <c r="D19" s="1566"/>
      <c r="E19" s="1566"/>
      <c r="F19" s="1566"/>
      <c r="G19" s="1566"/>
      <c r="H19" s="1566"/>
      <c r="I19" s="1566"/>
      <c r="J19" s="1566"/>
      <c r="K19" s="1566"/>
      <c r="L19" s="1566"/>
      <c r="M19" s="1566"/>
      <c r="N19" s="1566"/>
      <c r="O19" s="1566"/>
      <c r="P19" s="1566"/>
      <c r="Q19" s="1566"/>
      <c r="R19" s="1566"/>
    </row>
    <row r="20" spans="1:18" ht="12" customHeight="1">
      <c r="A20" s="1565" t="s">
        <v>2029</v>
      </c>
      <c r="B20" s="1570">
        <v>2885</v>
      </c>
      <c r="C20" s="1565" t="s">
        <v>217</v>
      </c>
      <c r="D20" s="1571">
        <v>78</v>
      </c>
      <c r="E20" s="1566" t="s">
        <v>1072</v>
      </c>
      <c r="F20" s="1571">
        <v>80.34</v>
      </c>
      <c r="G20" s="1571">
        <v>6.7</v>
      </c>
      <c r="H20" s="1565" t="s">
        <v>1976</v>
      </c>
      <c r="I20" s="1565" t="s">
        <v>1976</v>
      </c>
      <c r="J20" s="1566"/>
      <c r="K20" s="1565" t="s">
        <v>462</v>
      </c>
      <c r="L20" s="1566"/>
      <c r="M20" s="1565" t="s">
        <v>539</v>
      </c>
      <c r="N20" s="1571">
        <v>36</v>
      </c>
      <c r="O20" s="1571">
        <v>24.7</v>
      </c>
      <c r="P20" s="1566"/>
      <c r="Q20" s="1565"/>
      <c r="R20" s="1565" t="s">
        <v>2403</v>
      </c>
    </row>
    <row r="21" spans="1:18" ht="12" customHeight="1">
      <c r="A21" s="1565" t="s">
        <v>2028</v>
      </c>
      <c r="B21" s="1573">
        <v>7.3730481228756195E-2</v>
      </c>
      <c r="C21" s="1565" t="s">
        <v>1974</v>
      </c>
      <c r="D21" s="1572">
        <v>225030</v>
      </c>
      <c r="E21" s="1566" t="s">
        <v>1084</v>
      </c>
      <c r="F21" s="1571">
        <v>82.75</v>
      </c>
      <c r="G21" s="1571">
        <v>6.9</v>
      </c>
      <c r="H21" s="1565"/>
      <c r="I21" s="1566"/>
      <c r="J21" s="1566"/>
      <c r="K21" s="1566"/>
      <c r="L21" s="1566"/>
      <c r="M21" s="1566"/>
      <c r="N21" s="1572">
        <v>103860</v>
      </c>
      <c r="O21" s="1572">
        <v>71259</v>
      </c>
      <c r="P21" s="1566"/>
      <c r="Q21" s="1565"/>
      <c r="R21" s="1566"/>
    </row>
    <row r="22" spans="1:18" ht="12" customHeight="1">
      <c r="A22" s="1565" t="s">
        <v>2405</v>
      </c>
      <c r="B22" s="1566"/>
      <c r="C22" s="1565" t="s">
        <v>2404</v>
      </c>
      <c r="D22" s="1571">
        <v>6.5</v>
      </c>
      <c r="E22" s="1566" t="s">
        <v>1096</v>
      </c>
      <c r="F22" s="1571">
        <v>85.23</v>
      </c>
      <c r="G22" s="1571">
        <v>7.1</v>
      </c>
      <c r="H22" s="1566"/>
      <c r="I22" s="1566"/>
      <c r="J22" s="1566"/>
      <c r="K22" s="1566"/>
      <c r="L22" s="1566"/>
      <c r="M22" s="1566"/>
      <c r="N22" s="1566"/>
      <c r="O22" s="1566"/>
      <c r="P22" s="1566"/>
      <c r="Q22" s="1572"/>
      <c r="R22" s="1566"/>
    </row>
    <row r="23" spans="1:18" ht="12" customHeight="1">
      <c r="A23" s="1565" t="s">
        <v>1973</v>
      </c>
      <c r="B23" s="1566"/>
      <c r="C23" s="1565" t="s">
        <v>724</v>
      </c>
      <c r="D23" s="1572">
        <v>18753</v>
      </c>
      <c r="E23" s="1566" t="s">
        <v>1108</v>
      </c>
      <c r="F23" s="1571">
        <v>87.79</v>
      </c>
      <c r="G23" s="1571">
        <v>7.32</v>
      </c>
      <c r="H23" s="1565"/>
      <c r="I23" s="1566"/>
      <c r="J23" s="1566"/>
      <c r="K23" s="1566"/>
      <c r="L23" s="1566"/>
      <c r="M23" s="1566"/>
      <c r="N23" s="1566"/>
      <c r="O23" s="1566"/>
      <c r="P23" s="1566"/>
      <c r="Q23" s="1566"/>
      <c r="R23" s="1566"/>
    </row>
    <row r="24" spans="1:18" ht="12" customHeight="1">
      <c r="A24" s="1565" t="s">
        <v>1972</v>
      </c>
      <c r="B24" s="1566"/>
      <c r="C24" s="1566"/>
      <c r="D24" s="1572">
        <v>225030</v>
      </c>
      <c r="E24" s="1566"/>
      <c r="F24" s="1566"/>
      <c r="G24" s="1566"/>
      <c r="H24" s="1566"/>
      <c r="I24" s="1566"/>
      <c r="J24" s="1566"/>
      <c r="K24" s="1566"/>
      <c r="L24" s="1566"/>
      <c r="M24" s="1566"/>
      <c r="N24" s="1566"/>
      <c r="O24" s="1566"/>
      <c r="P24" s="1566"/>
      <c r="Q24" s="1566"/>
      <c r="R24" s="1566"/>
    </row>
    <row r="25" spans="1:18" ht="12" customHeight="1">
      <c r="A25" s="1566"/>
      <c r="B25" s="1566"/>
      <c r="C25" s="1566"/>
      <c r="D25" s="1566"/>
      <c r="E25" s="1566"/>
      <c r="F25" s="1566"/>
      <c r="G25" s="1566"/>
      <c r="H25" s="1566"/>
      <c r="I25" s="1566"/>
      <c r="J25" s="1566"/>
      <c r="K25" s="1566"/>
      <c r="L25" s="1566"/>
      <c r="M25" s="1566"/>
      <c r="N25" s="1566"/>
      <c r="O25" s="1566"/>
      <c r="P25" s="1566"/>
      <c r="Q25" s="1566"/>
      <c r="R25" s="1566"/>
    </row>
    <row r="26" spans="1:18" ht="12" customHeight="1">
      <c r="A26" s="1565" t="s">
        <v>2029</v>
      </c>
      <c r="B26" s="1570">
        <v>2885</v>
      </c>
      <c r="C26" s="1565" t="s">
        <v>217</v>
      </c>
      <c r="D26" s="1571">
        <v>78</v>
      </c>
      <c r="E26" s="1566" t="s">
        <v>1133</v>
      </c>
      <c r="F26" s="1571">
        <v>80.34</v>
      </c>
      <c r="G26" s="1571">
        <v>6.7</v>
      </c>
      <c r="H26" s="1565" t="s">
        <v>1976</v>
      </c>
      <c r="I26" s="1565" t="s">
        <v>1976</v>
      </c>
      <c r="J26" s="1566"/>
      <c r="K26" s="1565" t="s">
        <v>462</v>
      </c>
      <c r="L26" s="1566"/>
      <c r="M26" s="1565" t="s">
        <v>539</v>
      </c>
      <c r="N26" s="1571">
        <v>36</v>
      </c>
      <c r="O26" s="1571">
        <v>24.7</v>
      </c>
      <c r="P26" s="1566"/>
      <c r="Q26" s="1565"/>
      <c r="R26" s="1565" t="s">
        <v>2403</v>
      </c>
    </row>
    <row r="27" spans="1:18" ht="12" customHeight="1">
      <c r="A27" s="1565" t="s">
        <v>2028</v>
      </c>
      <c r="B27" s="1573">
        <v>7.2785528672704797E-2</v>
      </c>
      <c r="C27" s="1565" t="s">
        <v>1974</v>
      </c>
      <c r="D27" s="1572">
        <v>225030</v>
      </c>
      <c r="E27" s="1566" t="s">
        <v>1145</v>
      </c>
      <c r="F27" s="1571">
        <v>82.75</v>
      </c>
      <c r="G27" s="1571">
        <v>6.9</v>
      </c>
      <c r="H27" s="1565"/>
      <c r="I27" s="1566"/>
      <c r="J27" s="1566"/>
      <c r="K27" s="1566"/>
      <c r="L27" s="1566"/>
      <c r="M27" s="1566"/>
      <c r="N27" s="1572">
        <v>103860</v>
      </c>
      <c r="O27" s="1572">
        <v>71259</v>
      </c>
      <c r="P27" s="1566"/>
      <c r="Q27" s="1565"/>
      <c r="R27" s="1566"/>
    </row>
    <row r="28" spans="1:18" ht="12" customHeight="1">
      <c r="A28" s="1565" t="s">
        <v>2406</v>
      </c>
      <c r="B28" s="1566"/>
      <c r="C28" s="1565" t="s">
        <v>2404</v>
      </c>
      <c r="D28" s="1571">
        <v>6.5</v>
      </c>
      <c r="E28" s="1566" t="s">
        <v>2027</v>
      </c>
      <c r="F28" s="1571">
        <v>85.23</v>
      </c>
      <c r="G28" s="1571">
        <v>7.1</v>
      </c>
      <c r="H28" s="1566"/>
      <c r="I28" s="1566"/>
      <c r="J28" s="1566"/>
      <c r="K28" s="1566"/>
      <c r="L28" s="1566"/>
      <c r="M28" s="1566"/>
      <c r="N28" s="1566"/>
      <c r="O28" s="1566"/>
      <c r="P28" s="1566"/>
      <c r="Q28" s="1572"/>
      <c r="R28" s="1566"/>
    </row>
    <row r="29" spans="1:18" ht="12" customHeight="1">
      <c r="A29" s="1565" t="s">
        <v>1973</v>
      </c>
      <c r="B29" s="1566"/>
      <c r="C29" s="1565" t="s">
        <v>724</v>
      </c>
      <c r="D29" s="1572">
        <v>18753</v>
      </c>
      <c r="E29" s="1566" t="s">
        <v>2026</v>
      </c>
      <c r="F29" s="1571">
        <v>87.79</v>
      </c>
      <c r="G29" s="1571">
        <v>7.32</v>
      </c>
      <c r="H29" s="1565"/>
      <c r="I29" s="1566"/>
      <c r="J29" s="1566"/>
      <c r="K29" s="1566"/>
      <c r="L29" s="1566"/>
      <c r="M29" s="1566"/>
      <c r="N29" s="1566"/>
      <c r="O29" s="1566"/>
      <c r="P29" s="1566"/>
      <c r="Q29" s="1566"/>
      <c r="R29" s="1566"/>
    </row>
    <row r="30" spans="1:18" ht="12" customHeight="1">
      <c r="A30" s="1565" t="s">
        <v>1972</v>
      </c>
      <c r="B30" s="1566"/>
      <c r="C30" s="1566"/>
      <c r="D30" s="1572">
        <v>225030</v>
      </c>
      <c r="E30" s="1566"/>
      <c r="F30" s="1566"/>
      <c r="G30" s="1566"/>
      <c r="H30" s="1566"/>
      <c r="I30" s="1566"/>
      <c r="J30" s="1566"/>
      <c r="K30" s="1566"/>
      <c r="L30" s="1566"/>
      <c r="M30" s="1566"/>
      <c r="N30" s="1566"/>
      <c r="O30" s="1566"/>
      <c r="P30" s="1566"/>
      <c r="Q30" s="1566"/>
      <c r="R30" s="1566"/>
    </row>
    <row r="31" spans="1:18" ht="12" customHeight="1">
      <c r="A31" s="1566"/>
      <c r="B31" s="1566"/>
      <c r="C31" s="1566"/>
      <c r="D31" s="1566"/>
      <c r="E31" s="1566"/>
      <c r="F31" s="1566"/>
      <c r="G31" s="1566"/>
      <c r="H31" s="1566"/>
      <c r="I31" s="1566"/>
      <c r="J31" s="1566"/>
      <c r="K31" s="1566"/>
      <c r="L31" s="1566"/>
      <c r="M31" s="1566"/>
      <c r="N31" s="1566"/>
      <c r="O31" s="1566"/>
      <c r="P31" s="1566"/>
      <c r="Q31" s="1566"/>
      <c r="R31" s="1566"/>
    </row>
    <row r="32" spans="1:18" ht="12" customHeight="1">
      <c r="A32" s="1565" t="s">
        <v>2029</v>
      </c>
      <c r="B32" s="1570">
        <v>2885</v>
      </c>
      <c r="C32" s="1565" t="s">
        <v>217</v>
      </c>
      <c r="D32" s="1571">
        <v>78</v>
      </c>
      <c r="E32" s="1566" t="s">
        <v>2407</v>
      </c>
      <c r="F32" s="1571">
        <v>80.34</v>
      </c>
      <c r="G32" s="1571">
        <v>6.7</v>
      </c>
      <c r="H32" s="1565" t="s">
        <v>1976</v>
      </c>
      <c r="I32" s="1565" t="s">
        <v>1976</v>
      </c>
      <c r="J32" s="1566"/>
      <c r="K32" s="1565" t="s">
        <v>462</v>
      </c>
      <c r="L32" s="1566"/>
      <c r="M32" s="1565" t="s">
        <v>539</v>
      </c>
      <c r="N32" s="1571">
        <v>36</v>
      </c>
      <c r="O32" s="1571">
        <v>24.7</v>
      </c>
      <c r="P32" s="1566"/>
      <c r="Q32" s="1565"/>
      <c r="R32" s="1565" t="s">
        <v>2403</v>
      </c>
    </row>
    <row r="33" spans="1:18" ht="12" customHeight="1">
      <c r="A33" s="1565" t="s">
        <v>2028</v>
      </c>
      <c r="B33" s="1573">
        <v>7.2318451858722099E-2</v>
      </c>
      <c r="C33" s="1565" t="s">
        <v>1974</v>
      </c>
      <c r="D33" s="1572">
        <v>225030</v>
      </c>
      <c r="E33" s="1566" t="s">
        <v>2408</v>
      </c>
      <c r="F33" s="1571">
        <v>82.75</v>
      </c>
      <c r="G33" s="1571">
        <v>6.9</v>
      </c>
      <c r="H33" s="1565"/>
      <c r="I33" s="1566"/>
      <c r="J33" s="1566"/>
      <c r="K33" s="1566"/>
      <c r="L33" s="1566"/>
      <c r="M33" s="1566"/>
      <c r="N33" s="1572">
        <v>103860</v>
      </c>
      <c r="O33" s="1572">
        <v>71259</v>
      </c>
      <c r="P33" s="1566"/>
      <c r="Q33" s="1565"/>
      <c r="R33" s="1566"/>
    </row>
    <row r="34" spans="1:18" ht="12" customHeight="1">
      <c r="A34" s="1565" t="s">
        <v>2409</v>
      </c>
      <c r="B34" s="1566"/>
      <c r="C34" s="1565" t="s">
        <v>2404</v>
      </c>
      <c r="D34" s="1571">
        <v>6.5</v>
      </c>
      <c r="E34" s="1566" t="s">
        <v>2410</v>
      </c>
      <c r="F34" s="1571">
        <v>85.23</v>
      </c>
      <c r="G34" s="1571">
        <v>7.1</v>
      </c>
      <c r="H34" s="1566"/>
      <c r="I34" s="1566"/>
      <c r="J34" s="1566"/>
      <c r="K34" s="1566"/>
      <c r="L34" s="1566"/>
      <c r="M34" s="1566"/>
      <c r="N34" s="1566"/>
      <c r="O34" s="1566"/>
      <c r="P34" s="1566"/>
      <c r="Q34" s="1572"/>
      <c r="R34" s="1566"/>
    </row>
    <row r="35" spans="1:18" ht="12" customHeight="1">
      <c r="A35" s="1565" t="s">
        <v>1973</v>
      </c>
      <c r="B35" s="1566"/>
      <c r="C35" s="1565" t="s">
        <v>724</v>
      </c>
      <c r="D35" s="1572">
        <v>18753</v>
      </c>
      <c r="E35" s="1566" t="s">
        <v>2411</v>
      </c>
      <c r="F35" s="1571">
        <v>87.79</v>
      </c>
      <c r="G35" s="1571">
        <v>7.32</v>
      </c>
      <c r="H35" s="1565"/>
      <c r="I35" s="1566"/>
      <c r="J35" s="1566"/>
      <c r="K35" s="1566"/>
      <c r="L35" s="1566"/>
      <c r="M35" s="1566"/>
      <c r="N35" s="1566"/>
      <c r="O35" s="1566"/>
      <c r="P35" s="1566"/>
      <c r="Q35" s="1566"/>
      <c r="R35" s="1566"/>
    </row>
    <row r="36" spans="1:18" ht="12" customHeight="1">
      <c r="A36" s="1565" t="s">
        <v>1972</v>
      </c>
      <c r="B36" s="1566"/>
      <c r="C36" s="1566"/>
      <c r="D36" s="1572">
        <v>225030</v>
      </c>
      <c r="E36" s="1566"/>
      <c r="F36" s="1566"/>
      <c r="G36" s="1566"/>
      <c r="H36" s="1566"/>
      <c r="I36" s="1566"/>
      <c r="J36" s="1566"/>
      <c r="K36" s="1566"/>
      <c r="L36" s="1566"/>
      <c r="M36" s="1566"/>
      <c r="N36" s="1566"/>
      <c r="O36" s="1566"/>
      <c r="P36" s="1566"/>
      <c r="Q36" s="1566"/>
      <c r="R36" s="1566"/>
    </row>
    <row r="37" spans="1:18" ht="12" customHeight="1">
      <c r="A37" s="1566"/>
      <c r="B37" s="1566"/>
      <c r="C37" s="1566"/>
      <c r="D37" s="1566"/>
      <c r="E37" s="1566"/>
      <c r="F37" s="1566"/>
      <c r="G37" s="1566"/>
      <c r="H37" s="1566"/>
      <c r="I37" s="1566"/>
      <c r="J37" s="1566"/>
      <c r="K37" s="1566"/>
      <c r="L37" s="1566"/>
      <c r="M37" s="1566"/>
      <c r="N37" s="1566"/>
      <c r="O37" s="1566"/>
      <c r="P37" s="1566"/>
      <c r="Q37" s="1566"/>
      <c r="R37" s="1566"/>
    </row>
    <row r="38" spans="1:18" ht="12" customHeight="1">
      <c r="A38" s="1565" t="s">
        <v>2412</v>
      </c>
      <c r="B38" s="1570">
        <v>3194</v>
      </c>
      <c r="C38" s="1565" t="s">
        <v>1979</v>
      </c>
      <c r="D38" s="1571">
        <v>71.39</v>
      </c>
      <c r="E38" s="1566" t="s">
        <v>2024</v>
      </c>
      <c r="F38" s="1571">
        <v>74.239999999999995</v>
      </c>
      <c r="G38" s="1571">
        <v>6.19</v>
      </c>
      <c r="H38" s="1565" t="s">
        <v>1976</v>
      </c>
      <c r="I38" s="1565" t="s">
        <v>1044</v>
      </c>
      <c r="J38" s="1565" t="s">
        <v>1998</v>
      </c>
      <c r="K38" s="1565" t="s">
        <v>462</v>
      </c>
      <c r="L38" s="1566"/>
      <c r="M38" s="1565" t="s">
        <v>2006</v>
      </c>
      <c r="N38" s="1571">
        <v>0</v>
      </c>
      <c r="O38" s="1571">
        <v>0</v>
      </c>
      <c r="P38" s="1566"/>
      <c r="Q38" s="1565"/>
      <c r="R38" s="1565" t="s">
        <v>2403</v>
      </c>
    </row>
    <row r="39" spans="1:18" ht="12" customHeight="1">
      <c r="A39" s="1565" t="s">
        <v>2025</v>
      </c>
      <c r="B39" s="1573">
        <v>8.1541996425836094E-2</v>
      </c>
      <c r="C39" s="1565" t="s">
        <v>1977</v>
      </c>
      <c r="D39" s="1572">
        <v>228006</v>
      </c>
      <c r="E39" s="1566" t="s">
        <v>1031</v>
      </c>
      <c r="F39" s="1571">
        <v>77.209999999999994</v>
      </c>
      <c r="G39" s="1571">
        <v>6.43</v>
      </c>
      <c r="H39" s="1565"/>
      <c r="I39" s="1566"/>
      <c r="J39" s="1566"/>
      <c r="K39" s="1566"/>
      <c r="L39" s="1566"/>
      <c r="M39" s="1566"/>
      <c r="N39" s="1572">
        <v>0</v>
      </c>
      <c r="O39" s="1572">
        <v>0</v>
      </c>
      <c r="P39" s="1566"/>
      <c r="Q39" s="1565"/>
      <c r="R39" s="1566"/>
    </row>
    <row r="40" spans="1:18" ht="12" customHeight="1">
      <c r="A40" s="1565" t="s">
        <v>2297</v>
      </c>
      <c r="B40" s="1566"/>
      <c r="C40" s="1565" t="s">
        <v>2404</v>
      </c>
      <c r="D40" s="1571">
        <v>5.95</v>
      </c>
      <c r="E40" s="1566" t="s">
        <v>1045</v>
      </c>
      <c r="F40" s="1571">
        <v>81.069999999999993</v>
      </c>
      <c r="G40" s="1571">
        <v>6.76</v>
      </c>
      <c r="H40" s="1566"/>
      <c r="I40" s="1566"/>
      <c r="J40" s="1566"/>
      <c r="K40" s="1566"/>
      <c r="L40" s="1566"/>
      <c r="M40" s="1566"/>
      <c r="N40" s="1566"/>
      <c r="O40" s="1566"/>
      <c r="P40" s="1566"/>
      <c r="Q40" s="1572"/>
      <c r="R40" s="1566"/>
    </row>
    <row r="41" spans="1:18" ht="12" customHeight="1">
      <c r="A41" s="1565" t="s">
        <v>1981</v>
      </c>
      <c r="B41" s="1566"/>
      <c r="C41" s="1565" t="s">
        <v>724</v>
      </c>
      <c r="D41" s="1572">
        <v>19000</v>
      </c>
      <c r="E41" s="1566" t="s">
        <v>1057</v>
      </c>
      <c r="F41" s="1571">
        <v>84.31</v>
      </c>
      <c r="G41" s="1571">
        <v>7.03</v>
      </c>
      <c r="H41" s="1565"/>
      <c r="I41" s="1566"/>
      <c r="J41" s="1566"/>
      <c r="K41" s="1566"/>
      <c r="L41" s="1566"/>
      <c r="M41" s="1566"/>
      <c r="N41" s="1566"/>
      <c r="O41" s="1566"/>
      <c r="P41" s="1566"/>
      <c r="Q41" s="1566"/>
      <c r="R41" s="1566"/>
    </row>
    <row r="42" spans="1:18" ht="12" customHeight="1">
      <c r="A42" s="1565" t="s">
        <v>1972</v>
      </c>
      <c r="B42" s="1566"/>
      <c r="C42" s="1566"/>
      <c r="D42" s="1572">
        <v>249132</v>
      </c>
      <c r="E42" s="1566" t="s">
        <v>1069</v>
      </c>
      <c r="F42" s="1571">
        <v>87.69</v>
      </c>
      <c r="G42" s="1571">
        <v>7.31</v>
      </c>
      <c r="H42" s="1566"/>
      <c r="I42" s="1566"/>
      <c r="J42" s="1566"/>
      <c r="K42" s="1566"/>
      <c r="L42" s="1566"/>
      <c r="M42" s="1566"/>
      <c r="N42" s="1566"/>
      <c r="O42" s="1566"/>
      <c r="P42" s="1566"/>
      <c r="Q42" s="1566"/>
      <c r="R42" s="1566"/>
    </row>
    <row r="43" spans="1:18" ht="12" customHeight="1">
      <c r="A43" s="1566"/>
      <c r="B43" s="1566"/>
      <c r="C43" s="1566"/>
      <c r="D43" s="1566"/>
      <c r="E43" s="1566" t="s">
        <v>1081</v>
      </c>
      <c r="F43" s="1571">
        <v>91.19</v>
      </c>
      <c r="G43" s="1571">
        <v>7.6</v>
      </c>
      <c r="H43" s="1566"/>
      <c r="I43" s="1566"/>
      <c r="J43" s="1566"/>
      <c r="K43" s="1566"/>
      <c r="L43" s="1566"/>
      <c r="M43" s="1566"/>
      <c r="N43" s="1566"/>
      <c r="O43" s="1566"/>
      <c r="P43" s="1566"/>
      <c r="Q43" s="1566"/>
      <c r="R43" s="1566"/>
    </row>
    <row r="44" spans="1:18" ht="12" customHeight="1">
      <c r="A44" s="1566"/>
      <c r="B44" s="1566"/>
      <c r="C44" s="1566"/>
      <c r="D44" s="1566"/>
      <c r="E44" s="1566"/>
      <c r="F44" s="1566"/>
      <c r="G44" s="1566"/>
      <c r="H44" s="1566"/>
      <c r="I44" s="1566"/>
      <c r="J44" s="1566"/>
      <c r="K44" s="1566"/>
      <c r="L44" s="1566"/>
      <c r="M44" s="1566"/>
      <c r="N44" s="1566"/>
      <c r="O44" s="1566"/>
      <c r="P44" s="1566"/>
      <c r="Q44" s="1566"/>
      <c r="R44" s="1566"/>
    </row>
    <row r="45" spans="1:18" ht="12" customHeight="1">
      <c r="A45" s="1565" t="s">
        <v>2412</v>
      </c>
      <c r="B45" s="1570">
        <v>3194</v>
      </c>
      <c r="C45" s="1565" t="s">
        <v>217</v>
      </c>
      <c r="D45" s="1571">
        <v>78</v>
      </c>
      <c r="E45" s="1566" t="s">
        <v>1106</v>
      </c>
      <c r="F45" s="1571">
        <v>80.34</v>
      </c>
      <c r="G45" s="1571">
        <v>6.7</v>
      </c>
      <c r="H45" s="1565" t="s">
        <v>1976</v>
      </c>
      <c r="I45" s="1565" t="s">
        <v>1976</v>
      </c>
      <c r="J45" s="1566"/>
      <c r="K45" s="1565" t="s">
        <v>462</v>
      </c>
      <c r="L45" s="1566"/>
      <c r="M45" s="1565" t="s">
        <v>539</v>
      </c>
      <c r="N45" s="1571">
        <v>36</v>
      </c>
      <c r="O45" s="1571">
        <v>24.7</v>
      </c>
      <c r="P45" s="1566"/>
      <c r="Q45" s="1565"/>
      <c r="R45" s="1565" t="s">
        <v>2403</v>
      </c>
    </row>
    <row r="46" spans="1:18" ht="12" customHeight="1">
      <c r="A46" s="1565" t="s">
        <v>2025</v>
      </c>
      <c r="B46" s="1573">
        <v>8.0581275071271802E-2</v>
      </c>
      <c r="C46" s="1565" t="s">
        <v>1974</v>
      </c>
      <c r="D46" s="1572">
        <v>249132</v>
      </c>
      <c r="E46" s="1566" t="s">
        <v>1118</v>
      </c>
      <c r="F46" s="1571">
        <v>82.75</v>
      </c>
      <c r="G46" s="1571">
        <v>6.9</v>
      </c>
      <c r="H46" s="1565"/>
      <c r="I46" s="1566"/>
      <c r="J46" s="1566"/>
      <c r="K46" s="1566"/>
      <c r="L46" s="1566"/>
      <c r="M46" s="1566"/>
      <c r="N46" s="1572">
        <v>114984</v>
      </c>
      <c r="O46" s="1572">
        <v>78892</v>
      </c>
      <c r="P46" s="1566"/>
      <c r="Q46" s="1565"/>
      <c r="R46" s="1566"/>
    </row>
    <row r="47" spans="1:18" ht="12" customHeight="1">
      <c r="A47" s="1565" t="s">
        <v>2310</v>
      </c>
      <c r="B47" s="1566"/>
      <c r="C47" s="1565" t="s">
        <v>2404</v>
      </c>
      <c r="D47" s="1571">
        <v>6.5</v>
      </c>
      <c r="E47" s="1566" t="s">
        <v>1130</v>
      </c>
      <c r="F47" s="1571">
        <v>85.23</v>
      </c>
      <c r="G47" s="1571">
        <v>7.1</v>
      </c>
      <c r="H47" s="1566"/>
      <c r="I47" s="1566"/>
      <c r="J47" s="1566"/>
      <c r="K47" s="1566"/>
      <c r="L47" s="1566"/>
      <c r="M47" s="1566"/>
      <c r="N47" s="1566"/>
      <c r="O47" s="1566"/>
      <c r="P47" s="1566"/>
      <c r="Q47" s="1572"/>
      <c r="R47" s="1566"/>
    </row>
    <row r="48" spans="1:18" ht="12" customHeight="1">
      <c r="A48" s="1565" t="s">
        <v>1973</v>
      </c>
      <c r="B48" s="1566"/>
      <c r="C48" s="1565" t="s">
        <v>724</v>
      </c>
      <c r="D48" s="1572">
        <v>20761</v>
      </c>
      <c r="E48" s="1566" t="s">
        <v>1142</v>
      </c>
      <c r="F48" s="1571">
        <v>87.79</v>
      </c>
      <c r="G48" s="1571">
        <v>7.32</v>
      </c>
      <c r="H48" s="1565"/>
      <c r="I48" s="1566"/>
      <c r="J48" s="1566"/>
      <c r="K48" s="1566"/>
      <c r="L48" s="1566"/>
      <c r="M48" s="1566"/>
      <c r="N48" s="1566"/>
      <c r="O48" s="1566"/>
      <c r="P48" s="1566"/>
      <c r="Q48" s="1566"/>
      <c r="R48" s="1566"/>
    </row>
    <row r="49" spans="1:18" ht="12" customHeight="1">
      <c r="A49" s="1565" t="s">
        <v>1972</v>
      </c>
      <c r="B49" s="1566"/>
      <c r="C49" s="1566"/>
      <c r="D49" s="1572">
        <v>249132</v>
      </c>
      <c r="E49" s="1566"/>
      <c r="F49" s="1566"/>
      <c r="G49" s="1566"/>
      <c r="H49" s="1566"/>
      <c r="I49" s="1566"/>
      <c r="J49" s="1566"/>
      <c r="K49" s="1566"/>
      <c r="L49" s="1566"/>
      <c r="M49" s="1566"/>
      <c r="N49" s="1566"/>
      <c r="O49" s="1566"/>
      <c r="P49" s="1566"/>
      <c r="Q49" s="1566"/>
      <c r="R49" s="1566"/>
    </row>
    <row r="50" spans="1:18" ht="12" customHeight="1">
      <c r="A50" s="1566"/>
      <c r="B50" s="1566"/>
      <c r="C50" s="1566"/>
      <c r="D50" s="1566"/>
      <c r="E50" s="1566"/>
      <c r="F50" s="1566"/>
      <c r="G50" s="1566"/>
      <c r="H50" s="1566"/>
      <c r="I50" s="1566"/>
      <c r="J50" s="1566"/>
      <c r="K50" s="1566"/>
      <c r="L50" s="1566"/>
      <c r="M50" s="1566"/>
      <c r="N50" s="1566"/>
      <c r="O50" s="1566"/>
      <c r="P50" s="1566"/>
      <c r="Q50" s="1566"/>
      <c r="R50" s="1566"/>
    </row>
    <row r="51" spans="1:18" ht="12" customHeight="1">
      <c r="A51" s="1565" t="s">
        <v>2412</v>
      </c>
      <c r="B51" s="1570">
        <v>3194</v>
      </c>
      <c r="C51" s="1565" t="s">
        <v>217</v>
      </c>
      <c r="D51" s="1571">
        <v>78</v>
      </c>
      <c r="E51" s="1566" t="s">
        <v>2339</v>
      </c>
      <c r="F51" s="1571">
        <v>80.34</v>
      </c>
      <c r="G51" s="1571">
        <v>6.7</v>
      </c>
      <c r="H51" s="1565" t="s">
        <v>1976</v>
      </c>
      <c r="I51" s="1565" t="s">
        <v>1976</v>
      </c>
      <c r="J51" s="1566"/>
      <c r="K51" s="1565" t="s">
        <v>462</v>
      </c>
      <c r="L51" s="1566"/>
      <c r="M51" s="1565" t="s">
        <v>539</v>
      </c>
      <c r="N51" s="1571">
        <v>36</v>
      </c>
      <c r="O51" s="1571">
        <v>24.7</v>
      </c>
      <c r="P51" s="1566"/>
      <c r="Q51" s="1565"/>
      <c r="R51" s="1565" t="s">
        <v>2403</v>
      </c>
    </row>
    <row r="52" spans="1:18" ht="12" customHeight="1">
      <c r="A52" s="1565" t="s">
        <v>2025</v>
      </c>
      <c r="B52" s="1573">
        <v>8.0064171659188305E-2</v>
      </c>
      <c r="C52" s="1565" t="s">
        <v>1974</v>
      </c>
      <c r="D52" s="1572">
        <v>249132</v>
      </c>
      <c r="E52" s="1566" t="s">
        <v>2388</v>
      </c>
      <c r="F52" s="1571">
        <v>82.75</v>
      </c>
      <c r="G52" s="1571">
        <v>6.9</v>
      </c>
      <c r="H52" s="1565"/>
      <c r="I52" s="1566"/>
      <c r="J52" s="1566"/>
      <c r="K52" s="1566"/>
      <c r="L52" s="1566"/>
      <c r="M52" s="1566"/>
      <c r="N52" s="1572">
        <v>114984</v>
      </c>
      <c r="O52" s="1572">
        <v>78892</v>
      </c>
      <c r="P52" s="1566"/>
      <c r="Q52" s="1565"/>
      <c r="R52" s="1566"/>
    </row>
    <row r="53" spans="1:18" ht="12" customHeight="1">
      <c r="A53" s="1565" t="s">
        <v>2413</v>
      </c>
      <c r="B53" s="1566"/>
      <c r="C53" s="1565" t="s">
        <v>2404</v>
      </c>
      <c r="D53" s="1571">
        <v>6.5</v>
      </c>
      <c r="E53" s="1566" t="s">
        <v>2414</v>
      </c>
      <c r="F53" s="1571">
        <v>85.23</v>
      </c>
      <c r="G53" s="1571">
        <v>7.1</v>
      </c>
      <c r="H53" s="1566"/>
      <c r="I53" s="1566"/>
      <c r="J53" s="1566"/>
      <c r="K53" s="1566"/>
      <c r="L53" s="1566"/>
      <c r="M53" s="1566"/>
      <c r="N53" s="1566"/>
      <c r="O53" s="1566"/>
      <c r="P53" s="1566"/>
      <c r="Q53" s="1572"/>
      <c r="R53" s="1566"/>
    </row>
    <row r="54" spans="1:18" ht="12" customHeight="1">
      <c r="A54" s="1565" t="s">
        <v>1973</v>
      </c>
      <c r="B54" s="1566"/>
      <c r="C54" s="1565" t="s">
        <v>724</v>
      </c>
      <c r="D54" s="1572">
        <v>20761</v>
      </c>
      <c r="E54" s="1566" t="s">
        <v>2415</v>
      </c>
      <c r="F54" s="1571">
        <v>87.79</v>
      </c>
      <c r="G54" s="1571">
        <v>7.32</v>
      </c>
      <c r="H54" s="1565"/>
      <c r="I54" s="1566"/>
      <c r="J54" s="1566"/>
      <c r="K54" s="1566"/>
      <c r="L54" s="1566"/>
      <c r="M54" s="1566"/>
      <c r="N54" s="1566"/>
      <c r="O54" s="1566"/>
      <c r="P54" s="1566"/>
      <c r="Q54" s="1566"/>
      <c r="R54" s="1566"/>
    </row>
    <row r="55" spans="1:18" ht="12" customHeight="1">
      <c r="A55" s="1565" t="s">
        <v>1972</v>
      </c>
      <c r="B55" s="1566"/>
      <c r="C55" s="1566"/>
      <c r="D55" s="1572">
        <v>249132</v>
      </c>
      <c r="E55" s="1566"/>
      <c r="F55" s="1566"/>
      <c r="G55" s="1566"/>
      <c r="H55" s="1566"/>
      <c r="I55" s="1566"/>
      <c r="J55" s="1566"/>
      <c r="K55" s="1566"/>
      <c r="L55" s="1566"/>
      <c r="M55" s="1566"/>
      <c r="N55" s="1566"/>
      <c r="O55" s="1566"/>
      <c r="P55" s="1566"/>
      <c r="Q55" s="1566"/>
      <c r="R55" s="1566"/>
    </row>
    <row r="56" spans="1:18" ht="12" customHeight="1">
      <c r="A56" s="1566"/>
      <c r="B56" s="1566"/>
      <c r="C56" s="1566"/>
      <c r="D56" s="1566"/>
      <c r="E56" s="1566"/>
      <c r="F56" s="1566"/>
      <c r="G56" s="1566"/>
      <c r="H56" s="1566"/>
      <c r="I56" s="1566"/>
      <c r="J56" s="1566"/>
      <c r="K56" s="1566"/>
      <c r="L56" s="1566"/>
      <c r="M56" s="1566"/>
      <c r="N56" s="1566"/>
      <c r="O56" s="1566"/>
      <c r="P56" s="1566"/>
      <c r="Q56" s="1566"/>
      <c r="R56" s="1566"/>
    </row>
    <row r="57" spans="1:18" ht="12" customHeight="1">
      <c r="A57" s="1565" t="s">
        <v>2416</v>
      </c>
      <c r="B57" s="1570">
        <v>300</v>
      </c>
      <c r="C57" s="1565" t="s">
        <v>1979</v>
      </c>
      <c r="D57" s="1571">
        <v>34.56</v>
      </c>
      <c r="E57" s="1566" t="s">
        <v>1063</v>
      </c>
      <c r="F57" s="1571">
        <v>35.6</v>
      </c>
      <c r="G57" s="1571">
        <v>2.97</v>
      </c>
      <c r="H57" s="1565" t="s">
        <v>1976</v>
      </c>
      <c r="I57" s="1565" t="s">
        <v>1976</v>
      </c>
      <c r="J57" s="1566"/>
      <c r="K57" s="1565" t="s">
        <v>462</v>
      </c>
      <c r="L57" s="1566"/>
      <c r="M57" s="1565" t="s">
        <v>1983</v>
      </c>
      <c r="N57" s="1571">
        <v>0</v>
      </c>
      <c r="O57" s="1571">
        <v>10.94</v>
      </c>
      <c r="P57" s="1566"/>
      <c r="Q57" s="1565"/>
      <c r="R57" s="1565" t="s">
        <v>2403</v>
      </c>
    </row>
    <row r="58" spans="1:18" ht="12" customHeight="1">
      <c r="A58" s="1565" t="s">
        <v>2023</v>
      </c>
      <c r="B58" s="1573">
        <v>7.6669477880855598E-3</v>
      </c>
      <c r="C58" s="1565" t="s">
        <v>1977</v>
      </c>
      <c r="D58" s="1572">
        <v>10368</v>
      </c>
      <c r="E58" s="1566" t="s">
        <v>1075</v>
      </c>
      <c r="F58" s="1571">
        <v>36.659999999999997</v>
      </c>
      <c r="G58" s="1571">
        <v>3.06</v>
      </c>
      <c r="H58" s="1565"/>
      <c r="I58" s="1566"/>
      <c r="J58" s="1566"/>
      <c r="K58" s="1566"/>
      <c r="L58" s="1566"/>
      <c r="M58" s="1566"/>
      <c r="N58" s="1572">
        <v>0</v>
      </c>
      <c r="O58" s="1572">
        <v>3283</v>
      </c>
      <c r="P58" s="1566"/>
      <c r="Q58" s="1565"/>
      <c r="R58" s="1566"/>
    </row>
    <row r="59" spans="1:18" ht="12" customHeight="1">
      <c r="A59" s="1565" t="s">
        <v>2417</v>
      </c>
      <c r="B59" s="1566"/>
      <c r="C59" s="1565" t="s">
        <v>2418</v>
      </c>
      <c r="D59" s="1571">
        <v>2.88</v>
      </c>
      <c r="E59" s="1566" t="s">
        <v>1087</v>
      </c>
      <c r="F59" s="1571">
        <v>37.76</v>
      </c>
      <c r="G59" s="1571">
        <v>3.15</v>
      </c>
      <c r="H59" s="1566"/>
      <c r="I59" s="1566"/>
      <c r="J59" s="1566"/>
      <c r="K59" s="1566"/>
      <c r="L59" s="1566"/>
      <c r="M59" s="1566"/>
      <c r="N59" s="1566"/>
      <c r="O59" s="1566"/>
      <c r="P59" s="1566"/>
      <c r="Q59" s="1572"/>
      <c r="R59" s="1566"/>
    </row>
    <row r="60" spans="1:18" ht="12" customHeight="1">
      <c r="A60" s="1565" t="s">
        <v>1973</v>
      </c>
      <c r="B60" s="1566"/>
      <c r="C60" s="1565" t="s">
        <v>724</v>
      </c>
      <c r="D60" s="1572">
        <v>864</v>
      </c>
      <c r="E60" s="1566" t="s">
        <v>1099</v>
      </c>
      <c r="F60" s="1571">
        <v>38.9</v>
      </c>
      <c r="G60" s="1571">
        <v>3.24</v>
      </c>
      <c r="H60" s="1565"/>
      <c r="I60" s="1566"/>
      <c r="J60" s="1566"/>
      <c r="K60" s="1566"/>
      <c r="L60" s="1566"/>
      <c r="M60" s="1566"/>
      <c r="N60" s="1566"/>
      <c r="O60" s="1566"/>
      <c r="P60" s="1566"/>
      <c r="Q60" s="1566"/>
      <c r="R60" s="1566"/>
    </row>
    <row r="61" spans="1:18" ht="12" customHeight="1">
      <c r="A61" s="1565" t="s">
        <v>1972</v>
      </c>
      <c r="B61" s="1566"/>
      <c r="C61" s="1566"/>
      <c r="D61" s="1572">
        <v>10368</v>
      </c>
      <c r="E61" s="1566"/>
      <c r="F61" s="1566"/>
      <c r="G61" s="1566"/>
      <c r="H61" s="1566"/>
      <c r="I61" s="1566"/>
      <c r="J61" s="1566"/>
      <c r="K61" s="1566"/>
      <c r="L61" s="1566"/>
      <c r="M61" s="1566"/>
      <c r="N61" s="1566"/>
      <c r="O61" s="1566"/>
      <c r="P61" s="1566"/>
      <c r="Q61" s="1566"/>
      <c r="R61" s="1566"/>
    </row>
    <row r="62" spans="1:18" ht="12" customHeight="1">
      <c r="A62" s="1566"/>
      <c r="B62" s="1566"/>
      <c r="C62" s="1566"/>
      <c r="D62" s="1566"/>
      <c r="E62" s="1566"/>
      <c r="F62" s="1566"/>
      <c r="G62" s="1566"/>
      <c r="H62" s="1566"/>
      <c r="I62" s="1566"/>
      <c r="J62" s="1566"/>
      <c r="K62" s="1566"/>
      <c r="L62" s="1566"/>
      <c r="M62" s="1566"/>
      <c r="N62" s="1566"/>
      <c r="O62" s="1566"/>
      <c r="P62" s="1566"/>
      <c r="Q62" s="1566"/>
      <c r="R62" s="1566"/>
    </row>
    <row r="63" spans="1:18" ht="12" customHeight="1">
      <c r="A63" s="1565" t="s">
        <v>2416</v>
      </c>
      <c r="B63" s="1570">
        <v>300</v>
      </c>
      <c r="C63" s="1565" t="s">
        <v>217</v>
      </c>
      <c r="D63" s="1571">
        <v>34.56</v>
      </c>
      <c r="E63" s="1566" t="s">
        <v>1124</v>
      </c>
      <c r="F63" s="1571">
        <v>35.6</v>
      </c>
      <c r="G63" s="1571">
        <v>2.97</v>
      </c>
      <c r="H63" s="1565" t="s">
        <v>1976</v>
      </c>
      <c r="I63" s="1565" t="s">
        <v>1976</v>
      </c>
      <c r="J63" s="1566"/>
      <c r="K63" s="1565" t="s">
        <v>462</v>
      </c>
      <c r="L63" s="1566"/>
      <c r="M63" s="1565" t="s">
        <v>539</v>
      </c>
      <c r="N63" s="1571">
        <v>0</v>
      </c>
      <c r="O63" s="1571">
        <v>10.94</v>
      </c>
      <c r="P63" s="1566"/>
      <c r="Q63" s="1565"/>
      <c r="R63" s="1565" t="s">
        <v>2403</v>
      </c>
    </row>
    <row r="64" spans="1:18" ht="12" customHeight="1">
      <c r="A64" s="1565" t="s">
        <v>2023</v>
      </c>
      <c r="B64" s="1573">
        <v>7.5686858238514501E-3</v>
      </c>
      <c r="C64" s="1565" t="s">
        <v>1974</v>
      </c>
      <c r="D64" s="1572">
        <v>10368</v>
      </c>
      <c r="E64" s="1566" t="s">
        <v>1136</v>
      </c>
      <c r="F64" s="1571">
        <v>36.659999999999997</v>
      </c>
      <c r="G64" s="1571">
        <v>3.06</v>
      </c>
      <c r="H64" s="1565"/>
      <c r="I64" s="1566"/>
      <c r="J64" s="1566"/>
      <c r="K64" s="1566"/>
      <c r="L64" s="1566"/>
      <c r="M64" s="1566"/>
      <c r="N64" s="1572">
        <v>0</v>
      </c>
      <c r="O64" s="1572">
        <v>3283</v>
      </c>
      <c r="P64" s="1566"/>
      <c r="Q64" s="1565"/>
      <c r="R64" s="1566"/>
    </row>
    <row r="65" spans="1:18" ht="12" customHeight="1">
      <c r="A65" s="1565" t="s">
        <v>2419</v>
      </c>
      <c r="B65" s="1566"/>
      <c r="C65" s="1565" t="s">
        <v>2418</v>
      </c>
      <c r="D65" s="1571">
        <v>2.88</v>
      </c>
      <c r="E65" s="1566" t="s">
        <v>1148</v>
      </c>
      <c r="F65" s="1571">
        <v>37.76</v>
      </c>
      <c r="G65" s="1571">
        <v>3.15</v>
      </c>
      <c r="H65" s="1566"/>
      <c r="I65" s="1566"/>
      <c r="J65" s="1566"/>
      <c r="K65" s="1566"/>
      <c r="L65" s="1566"/>
      <c r="M65" s="1566"/>
      <c r="N65" s="1566"/>
      <c r="O65" s="1566"/>
      <c r="P65" s="1566"/>
      <c r="Q65" s="1572"/>
      <c r="R65" s="1566"/>
    </row>
    <row r="66" spans="1:18" ht="12" customHeight="1">
      <c r="A66" s="1565" t="s">
        <v>1973</v>
      </c>
      <c r="B66" s="1566"/>
      <c r="C66" s="1565" t="s">
        <v>724</v>
      </c>
      <c r="D66" s="1572">
        <v>864</v>
      </c>
      <c r="E66" s="1566" t="s">
        <v>2280</v>
      </c>
      <c r="F66" s="1571">
        <v>38.9</v>
      </c>
      <c r="G66" s="1571">
        <v>3.24</v>
      </c>
      <c r="H66" s="1565"/>
      <c r="I66" s="1566"/>
      <c r="J66" s="1566"/>
      <c r="K66" s="1566"/>
      <c r="L66" s="1566"/>
      <c r="M66" s="1566"/>
      <c r="N66" s="1566"/>
      <c r="O66" s="1566"/>
      <c r="P66" s="1566"/>
      <c r="Q66" s="1566"/>
      <c r="R66" s="1566"/>
    </row>
    <row r="67" spans="1:18" ht="12" customHeight="1">
      <c r="A67" s="1565" t="s">
        <v>1972</v>
      </c>
      <c r="B67" s="1566"/>
      <c r="C67" s="1566"/>
      <c r="D67" s="1572">
        <v>10368</v>
      </c>
      <c r="E67" s="1566"/>
      <c r="F67" s="1566"/>
      <c r="G67" s="1566"/>
      <c r="H67" s="1566"/>
      <c r="I67" s="1566"/>
      <c r="J67" s="1566"/>
      <c r="K67" s="1566"/>
      <c r="L67" s="1566"/>
      <c r="M67" s="1566"/>
      <c r="N67" s="1566"/>
      <c r="O67" s="1566"/>
      <c r="P67" s="1566"/>
      <c r="Q67" s="1566"/>
      <c r="R67" s="1566"/>
    </row>
    <row r="68" spans="1:18" ht="12" customHeight="1">
      <c r="A68" s="1566"/>
      <c r="B68" s="1566"/>
      <c r="C68" s="1566"/>
      <c r="D68" s="1566"/>
      <c r="E68" s="1566"/>
      <c r="F68" s="1566"/>
      <c r="G68" s="1566"/>
      <c r="H68" s="1566"/>
      <c r="I68" s="1566"/>
      <c r="J68" s="1566"/>
      <c r="K68" s="1566"/>
      <c r="L68" s="1566"/>
      <c r="M68" s="1566"/>
      <c r="N68" s="1566"/>
      <c r="O68" s="1566"/>
      <c r="P68" s="1566"/>
      <c r="Q68" s="1566"/>
      <c r="R68" s="1566"/>
    </row>
    <row r="69" spans="1:18" ht="12" customHeight="1">
      <c r="A69" s="1565" t="s">
        <v>2416</v>
      </c>
      <c r="B69" s="1570">
        <v>300</v>
      </c>
      <c r="C69" s="1565" t="s">
        <v>217</v>
      </c>
      <c r="D69" s="1571">
        <v>34.56</v>
      </c>
      <c r="E69" s="1566" t="s">
        <v>2392</v>
      </c>
      <c r="F69" s="1571">
        <v>35.6</v>
      </c>
      <c r="G69" s="1571">
        <v>2.97</v>
      </c>
      <c r="H69" s="1565" t="s">
        <v>1976</v>
      </c>
      <c r="I69" s="1565" t="s">
        <v>1976</v>
      </c>
      <c r="J69" s="1566"/>
      <c r="K69" s="1565" t="s">
        <v>462</v>
      </c>
      <c r="L69" s="1566"/>
      <c r="M69" s="1565" t="s">
        <v>539</v>
      </c>
      <c r="N69" s="1571">
        <v>0</v>
      </c>
      <c r="O69" s="1571">
        <v>10.94</v>
      </c>
      <c r="P69" s="1566"/>
      <c r="Q69" s="1565"/>
      <c r="R69" s="1565" t="s">
        <v>2403</v>
      </c>
    </row>
    <row r="70" spans="1:18" ht="12" customHeight="1">
      <c r="A70" s="1565" t="s">
        <v>2023</v>
      </c>
      <c r="B70" s="1573">
        <v>7.52011631113228E-3</v>
      </c>
      <c r="C70" s="1565" t="s">
        <v>1974</v>
      </c>
      <c r="D70" s="1572">
        <v>10368</v>
      </c>
      <c r="E70" s="1566" t="s">
        <v>2420</v>
      </c>
      <c r="F70" s="1571">
        <v>36.659999999999997</v>
      </c>
      <c r="G70" s="1571">
        <v>3.06</v>
      </c>
      <c r="H70" s="1565"/>
      <c r="I70" s="1566"/>
      <c r="J70" s="1566"/>
      <c r="K70" s="1566"/>
      <c r="L70" s="1566"/>
      <c r="M70" s="1566"/>
      <c r="N70" s="1572">
        <v>0</v>
      </c>
      <c r="O70" s="1572">
        <v>3283</v>
      </c>
      <c r="P70" s="1566"/>
      <c r="Q70" s="1565"/>
      <c r="R70" s="1566"/>
    </row>
    <row r="71" spans="1:18" ht="12" customHeight="1">
      <c r="A71" s="1565" t="s">
        <v>2421</v>
      </c>
      <c r="B71" s="1566"/>
      <c r="C71" s="1565" t="s">
        <v>2418</v>
      </c>
      <c r="D71" s="1571">
        <v>2.88</v>
      </c>
      <c r="E71" s="1566" t="s">
        <v>2422</v>
      </c>
      <c r="F71" s="1571">
        <v>37.76</v>
      </c>
      <c r="G71" s="1571">
        <v>3.15</v>
      </c>
      <c r="H71" s="1566"/>
      <c r="I71" s="1566"/>
      <c r="J71" s="1566"/>
      <c r="K71" s="1566"/>
      <c r="L71" s="1566"/>
      <c r="M71" s="1566"/>
      <c r="N71" s="1566"/>
      <c r="O71" s="1566"/>
      <c r="P71" s="1566"/>
      <c r="Q71" s="1572"/>
      <c r="R71" s="1566"/>
    </row>
    <row r="72" spans="1:18" ht="12" customHeight="1">
      <c r="A72" s="1565" t="s">
        <v>1973</v>
      </c>
      <c r="B72" s="1566"/>
      <c r="C72" s="1565" t="s">
        <v>724</v>
      </c>
      <c r="D72" s="1572">
        <v>864</v>
      </c>
      <c r="E72" s="1566" t="s">
        <v>2423</v>
      </c>
      <c r="F72" s="1571">
        <v>38.9</v>
      </c>
      <c r="G72" s="1571">
        <v>3.24</v>
      </c>
      <c r="H72" s="1565"/>
      <c r="I72" s="1566"/>
      <c r="J72" s="1566"/>
      <c r="K72" s="1566"/>
      <c r="L72" s="1566"/>
      <c r="M72" s="1566"/>
      <c r="N72" s="1566"/>
      <c r="O72" s="1566"/>
      <c r="P72" s="1566"/>
      <c r="Q72" s="1566"/>
      <c r="R72" s="1566"/>
    </row>
    <row r="73" spans="1:18" ht="12" customHeight="1">
      <c r="A73" s="1565" t="s">
        <v>1972</v>
      </c>
      <c r="B73" s="1566"/>
      <c r="C73" s="1566"/>
      <c r="D73" s="1572">
        <v>10368</v>
      </c>
      <c r="E73" s="1566"/>
      <c r="F73" s="1566"/>
      <c r="G73" s="1566"/>
      <c r="H73" s="1566"/>
      <c r="I73" s="1566"/>
      <c r="J73" s="1566"/>
      <c r="K73" s="1566"/>
      <c r="L73" s="1566"/>
      <c r="M73" s="1566"/>
      <c r="N73" s="1566"/>
      <c r="O73" s="1566"/>
      <c r="P73" s="1566"/>
      <c r="Q73" s="1566"/>
      <c r="R73" s="1566"/>
    </row>
    <row r="74" spans="1:18" ht="12" customHeight="1">
      <c r="A74" s="1566"/>
      <c r="B74" s="1566"/>
      <c r="C74" s="1566"/>
      <c r="D74" s="1566"/>
      <c r="E74" s="1566"/>
      <c r="F74" s="1566"/>
      <c r="G74" s="1566"/>
      <c r="H74" s="1566"/>
      <c r="I74" s="1566"/>
      <c r="J74" s="1566"/>
      <c r="K74" s="1566"/>
      <c r="L74" s="1566"/>
      <c r="M74" s="1566"/>
      <c r="N74" s="1566"/>
      <c r="O74" s="1566"/>
      <c r="P74" s="1566"/>
      <c r="Q74" s="1566"/>
      <c r="R74" s="1566"/>
    </row>
    <row r="75" spans="1:18" ht="12" customHeight="1">
      <c r="A75" s="1565" t="s">
        <v>2424</v>
      </c>
      <c r="B75" s="1570">
        <v>1095</v>
      </c>
      <c r="C75" s="1565" t="s">
        <v>1979</v>
      </c>
      <c r="D75" s="1571">
        <v>69</v>
      </c>
      <c r="E75" s="1566" t="s">
        <v>1063</v>
      </c>
      <c r="F75" s="1571">
        <v>71.069999999999993</v>
      </c>
      <c r="G75" s="1571">
        <v>5.92</v>
      </c>
      <c r="H75" s="1565" t="s">
        <v>1976</v>
      </c>
      <c r="I75" s="1565" t="s">
        <v>1976</v>
      </c>
      <c r="J75" s="1566"/>
      <c r="K75" s="1565" t="s">
        <v>462</v>
      </c>
      <c r="L75" s="1566"/>
      <c r="M75" s="1565" t="s">
        <v>1983</v>
      </c>
      <c r="N75" s="1571">
        <v>60</v>
      </c>
      <c r="O75" s="1571">
        <v>21.85</v>
      </c>
      <c r="P75" s="1566"/>
      <c r="Q75" s="1565"/>
      <c r="R75" s="1565" t="s">
        <v>2403</v>
      </c>
    </row>
    <row r="76" spans="1:18" ht="12" customHeight="1">
      <c r="A76" s="1565" t="s">
        <v>2023</v>
      </c>
      <c r="B76" s="1573">
        <v>2.7984359426512301E-2</v>
      </c>
      <c r="C76" s="1565" t="s">
        <v>1977</v>
      </c>
      <c r="D76" s="1572">
        <v>75555</v>
      </c>
      <c r="E76" s="1566" t="s">
        <v>1075</v>
      </c>
      <c r="F76" s="1571">
        <v>73.2</v>
      </c>
      <c r="G76" s="1571">
        <v>6.1</v>
      </c>
      <c r="H76" s="1565"/>
      <c r="I76" s="1566"/>
      <c r="J76" s="1566"/>
      <c r="K76" s="1566"/>
      <c r="L76" s="1566"/>
      <c r="M76" s="1566"/>
      <c r="N76" s="1572">
        <v>65700</v>
      </c>
      <c r="O76" s="1572">
        <v>23926</v>
      </c>
      <c r="P76" s="1566"/>
      <c r="Q76" s="1565"/>
      <c r="R76" s="1566"/>
    </row>
    <row r="77" spans="1:18" ht="12" customHeight="1">
      <c r="A77" s="1565" t="s">
        <v>2417</v>
      </c>
      <c r="B77" s="1566"/>
      <c r="C77" s="1565" t="s">
        <v>2425</v>
      </c>
      <c r="D77" s="1571">
        <v>5.75</v>
      </c>
      <c r="E77" s="1566" t="s">
        <v>1087</v>
      </c>
      <c r="F77" s="1571">
        <v>75.400000000000006</v>
      </c>
      <c r="G77" s="1571">
        <v>6.28</v>
      </c>
      <c r="H77" s="1566"/>
      <c r="I77" s="1566"/>
      <c r="J77" s="1566"/>
      <c r="K77" s="1566"/>
      <c r="L77" s="1566"/>
      <c r="M77" s="1566"/>
      <c r="N77" s="1566"/>
      <c r="O77" s="1566"/>
      <c r="P77" s="1566"/>
      <c r="Q77" s="1572"/>
      <c r="R77" s="1566"/>
    </row>
    <row r="78" spans="1:18" ht="12" customHeight="1">
      <c r="A78" s="1565" t="s">
        <v>1973</v>
      </c>
      <c r="B78" s="1566"/>
      <c r="C78" s="1565" t="s">
        <v>724</v>
      </c>
      <c r="D78" s="1572">
        <v>6296</v>
      </c>
      <c r="E78" s="1566" t="s">
        <v>1099</v>
      </c>
      <c r="F78" s="1571">
        <v>77.66</v>
      </c>
      <c r="G78" s="1571">
        <v>6.47</v>
      </c>
      <c r="H78" s="1565"/>
      <c r="I78" s="1566"/>
      <c r="J78" s="1566"/>
      <c r="K78" s="1566"/>
      <c r="L78" s="1566"/>
      <c r="M78" s="1566"/>
      <c r="N78" s="1566"/>
      <c r="O78" s="1566"/>
      <c r="P78" s="1566"/>
      <c r="Q78" s="1566"/>
      <c r="R78" s="1566"/>
    </row>
    <row r="79" spans="1:18" ht="12" customHeight="1">
      <c r="A79" s="1565" t="s">
        <v>1972</v>
      </c>
      <c r="B79" s="1566"/>
      <c r="C79" s="1566"/>
      <c r="D79" s="1572">
        <v>75555</v>
      </c>
      <c r="E79" s="1566"/>
      <c r="F79" s="1566"/>
      <c r="G79" s="1566"/>
      <c r="H79" s="1566"/>
      <c r="I79" s="1566"/>
      <c r="J79" s="1566"/>
      <c r="K79" s="1566"/>
      <c r="L79" s="1566"/>
      <c r="M79" s="1566"/>
      <c r="N79" s="1566"/>
      <c r="O79" s="1566"/>
      <c r="P79" s="1566"/>
      <c r="Q79" s="1566"/>
      <c r="R79" s="1566"/>
    </row>
    <row r="80" spans="1:18" ht="12" customHeight="1">
      <c r="A80" s="1566"/>
      <c r="B80" s="1566"/>
      <c r="C80" s="1566"/>
      <c r="D80" s="1566"/>
      <c r="E80" s="1566"/>
      <c r="F80" s="1566"/>
      <c r="G80" s="1566"/>
      <c r="H80" s="1566"/>
      <c r="I80" s="1566"/>
      <c r="J80" s="1566"/>
      <c r="K80" s="1566"/>
      <c r="L80" s="1566"/>
      <c r="M80" s="1566"/>
      <c r="N80" s="1566"/>
      <c r="O80" s="1566"/>
      <c r="P80" s="1566"/>
      <c r="Q80" s="1566"/>
      <c r="R80" s="1566"/>
    </row>
    <row r="81" spans="1:18" ht="12" customHeight="1">
      <c r="A81" s="1565" t="s">
        <v>2424</v>
      </c>
      <c r="B81" s="1570">
        <v>1095</v>
      </c>
      <c r="C81" s="1565" t="s">
        <v>217</v>
      </c>
      <c r="D81" s="1571">
        <v>69</v>
      </c>
      <c r="E81" s="1566" t="s">
        <v>1124</v>
      </c>
      <c r="F81" s="1571">
        <v>71.069999999999993</v>
      </c>
      <c r="G81" s="1571">
        <v>5.92</v>
      </c>
      <c r="H81" s="1565" t="s">
        <v>1976</v>
      </c>
      <c r="I81" s="1565" t="s">
        <v>1976</v>
      </c>
      <c r="J81" s="1566"/>
      <c r="K81" s="1565" t="s">
        <v>462</v>
      </c>
      <c r="L81" s="1566"/>
      <c r="M81" s="1565" t="s">
        <v>539</v>
      </c>
      <c r="N81" s="1571">
        <v>36</v>
      </c>
      <c r="O81" s="1571">
        <v>21.85</v>
      </c>
      <c r="P81" s="1566"/>
      <c r="Q81" s="1565"/>
      <c r="R81" s="1565" t="s">
        <v>2403</v>
      </c>
    </row>
    <row r="82" spans="1:18" ht="12" customHeight="1">
      <c r="A82" s="1565" t="s">
        <v>2023</v>
      </c>
      <c r="B82" s="1573">
        <v>2.76257032570578E-2</v>
      </c>
      <c r="C82" s="1565" t="s">
        <v>1974</v>
      </c>
      <c r="D82" s="1572">
        <v>75555</v>
      </c>
      <c r="E82" s="1566" t="s">
        <v>1136</v>
      </c>
      <c r="F82" s="1571">
        <v>73.2</v>
      </c>
      <c r="G82" s="1571">
        <v>6.1</v>
      </c>
      <c r="H82" s="1565"/>
      <c r="I82" s="1566"/>
      <c r="J82" s="1566"/>
      <c r="K82" s="1566"/>
      <c r="L82" s="1566"/>
      <c r="M82" s="1566"/>
      <c r="N82" s="1572">
        <v>39420</v>
      </c>
      <c r="O82" s="1572">
        <v>23926</v>
      </c>
      <c r="P82" s="1566"/>
      <c r="Q82" s="1565"/>
      <c r="R82" s="1566"/>
    </row>
    <row r="83" spans="1:18" ht="12" customHeight="1">
      <c r="A83" s="1565" t="s">
        <v>2419</v>
      </c>
      <c r="B83" s="1566"/>
      <c r="C83" s="1565" t="s">
        <v>2425</v>
      </c>
      <c r="D83" s="1571">
        <v>5.75</v>
      </c>
      <c r="E83" s="1566" t="s">
        <v>1148</v>
      </c>
      <c r="F83" s="1571">
        <v>75.400000000000006</v>
      </c>
      <c r="G83" s="1571">
        <v>6.28</v>
      </c>
      <c r="H83" s="1566"/>
      <c r="I83" s="1566"/>
      <c r="J83" s="1566"/>
      <c r="K83" s="1566"/>
      <c r="L83" s="1566"/>
      <c r="M83" s="1566"/>
      <c r="N83" s="1566"/>
      <c r="O83" s="1566"/>
      <c r="P83" s="1566"/>
      <c r="Q83" s="1572"/>
      <c r="R83" s="1566"/>
    </row>
    <row r="84" spans="1:18" ht="12" customHeight="1">
      <c r="A84" s="1565" t="s">
        <v>1973</v>
      </c>
      <c r="B84" s="1566"/>
      <c r="C84" s="1565" t="s">
        <v>724</v>
      </c>
      <c r="D84" s="1572">
        <v>6296</v>
      </c>
      <c r="E84" s="1566" t="s">
        <v>2280</v>
      </c>
      <c r="F84" s="1571">
        <v>77.66</v>
      </c>
      <c r="G84" s="1571">
        <v>6.47</v>
      </c>
      <c r="H84" s="1565"/>
      <c r="I84" s="1566"/>
      <c r="J84" s="1566"/>
      <c r="K84" s="1566"/>
      <c r="L84" s="1566"/>
      <c r="M84" s="1566"/>
      <c r="N84" s="1566"/>
      <c r="O84" s="1566"/>
      <c r="P84" s="1566"/>
      <c r="Q84" s="1566"/>
      <c r="R84" s="1566"/>
    </row>
    <row r="85" spans="1:18" ht="12" customHeight="1">
      <c r="A85" s="1565" t="s">
        <v>1972</v>
      </c>
      <c r="B85" s="1566"/>
      <c r="C85" s="1566"/>
      <c r="D85" s="1572">
        <v>75555</v>
      </c>
      <c r="E85" s="1566"/>
      <c r="F85" s="1566"/>
      <c r="G85" s="1566"/>
      <c r="H85" s="1566"/>
      <c r="I85" s="1566"/>
      <c r="J85" s="1566"/>
      <c r="K85" s="1566"/>
      <c r="L85" s="1566"/>
      <c r="M85" s="1566"/>
      <c r="N85" s="1566"/>
      <c r="O85" s="1566"/>
      <c r="P85" s="1566"/>
      <c r="Q85" s="1566"/>
      <c r="R85" s="1566"/>
    </row>
    <row r="86" spans="1:18" ht="12" customHeight="1">
      <c r="A86" s="1566"/>
      <c r="B86" s="1566"/>
      <c r="C86" s="1566"/>
      <c r="D86" s="1566"/>
      <c r="E86" s="1566"/>
      <c r="F86" s="1566"/>
      <c r="G86" s="1566"/>
      <c r="H86" s="1566"/>
      <c r="I86" s="1566"/>
      <c r="J86" s="1566"/>
      <c r="K86" s="1566"/>
      <c r="L86" s="1566"/>
      <c r="M86" s="1566"/>
      <c r="N86" s="1566"/>
      <c r="O86" s="1566"/>
      <c r="P86" s="1566"/>
      <c r="Q86" s="1566"/>
      <c r="R86" s="1566"/>
    </row>
    <row r="87" spans="1:18" ht="12" customHeight="1">
      <c r="A87" s="1565" t="s">
        <v>2424</v>
      </c>
      <c r="B87" s="1570">
        <v>1095</v>
      </c>
      <c r="C87" s="1565" t="s">
        <v>217</v>
      </c>
      <c r="D87" s="1571">
        <v>69</v>
      </c>
      <c r="E87" s="1566" t="s">
        <v>2392</v>
      </c>
      <c r="F87" s="1571">
        <v>71.069999999999993</v>
      </c>
      <c r="G87" s="1571">
        <v>5.92</v>
      </c>
      <c r="H87" s="1565" t="s">
        <v>1976</v>
      </c>
      <c r="I87" s="1565" t="s">
        <v>1976</v>
      </c>
      <c r="J87" s="1566"/>
      <c r="K87" s="1565" t="s">
        <v>462</v>
      </c>
      <c r="L87" s="1566"/>
      <c r="M87" s="1565" t="s">
        <v>539</v>
      </c>
      <c r="N87" s="1571">
        <v>36</v>
      </c>
      <c r="O87" s="1571">
        <v>21.85</v>
      </c>
      <c r="P87" s="1566"/>
      <c r="Q87" s="1565"/>
      <c r="R87" s="1565" t="s">
        <v>2403</v>
      </c>
    </row>
    <row r="88" spans="1:18" ht="12" customHeight="1">
      <c r="A88" s="1565" t="s">
        <v>2023</v>
      </c>
      <c r="B88" s="1573">
        <v>2.7448424535632801E-2</v>
      </c>
      <c r="C88" s="1565" t="s">
        <v>1974</v>
      </c>
      <c r="D88" s="1572">
        <v>75555</v>
      </c>
      <c r="E88" s="1566" t="s">
        <v>2420</v>
      </c>
      <c r="F88" s="1571">
        <v>73.2</v>
      </c>
      <c r="G88" s="1571">
        <v>6.1</v>
      </c>
      <c r="H88" s="1565"/>
      <c r="I88" s="1566"/>
      <c r="J88" s="1566"/>
      <c r="K88" s="1566"/>
      <c r="L88" s="1566"/>
      <c r="M88" s="1566"/>
      <c r="N88" s="1572">
        <v>39420</v>
      </c>
      <c r="O88" s="1572">
        <v>23926</v>
      </c>
      <c r="P88" s="1566"/>
      <c r="Q88" s="1565"/>
      <c r="R88" s="1566"/>
    </row>
    <row r="89" spans="1:18" ht="12" customHeight="1">
      <c r="A89" s="1565" t="s">
        <v>2421</v>
      </c>
      <c r="B89" s="1566"/>
      <c r="C89" s="1565" t="s">
        <v>2425</v>
      </c>
      <c r="D89" s="1571">
        <v>5.75</v>
      </c>
      <c r="E89" s="1566" t="s">
        <v>2422</v>
      </c>
      <c r="F89" s="1571">
        <v>75.400000000000006</v>
      </c>
      <c r="G89" s="1571">
        <v>6.28</v>
      </c>
      <c r="H89" s="1566"/>
      <c r="I89" s="1566"/>
      <c r="J89" s="1566"/>
      <c r="K89" s="1566"/>
      <c r="L89" s="1566"/>
      <c r="M89" s="1566"/>
      <c r="N89" s="1566"/>
      <c r="O89" s="1566"/>
      <c r="P89" s="1566"/>
      <c r="Q89" s="1572"/>
      <c r="R89" s="1566"/>
    </row>
    <row r="90" spans="1:18" ht="12" customHeight="1">
      <c r="A90" s="1565" t="s">
        <v>1973</v>
      </c>
      <c r="B90" s="1566"/>
      <c r="C90" s="1565" t="s">
        <v>724</v>
      </c>
      <c r="D90" s="1572">
        <v>6296</v>
      </c>
      <c r="E90" s="1566" t="s">
        <v>2423</v>
      </c>
      <c r="F90" s="1571">
        <v>77.66</v>
      </c>
      <c r="G90" s="1571">
        <v>6.47</v>
      </c>
      <c r="H90" s="1565"/>
      <c r="I90" s="1566"/>
      <c r="J90" s="1566"/>
      <c r="K90" s="1566"/>
      <c r="L90" s="1566"/>
      <c r="M90" s="1566"/>
      <c r="N90" s="1566"/>
      <c r="O90" s="1566"/>
      <c r="P90" s="1566"/>
      <c r="Q90" s="1566"/>
      <c r="R90" s="1566"/>
    </row>
    <row r="91" spans="1:18" ht="12" customHeight="1">
      <c r="A91" s="1565" t="s">
        <v>1972</v>
      </c>
      <c r="B91" s="1566"/>
      <c r="C91" s="1566"/>
      <c r="D91" s="1572">
        <v>75555</v>
      </c>
      <c r="E91" s="1566"/>
      <c r="F91" s="1566"/>
      <c r="G91" s="1566"/>
      <c r="H91" s="1566"/>
      <c r="I91" s="1566"/>
      <c r="J91" s="1566"/>
      <c r="K91" s="1566"/>
      <c r="L91" s="1566"/>
      <c r="M91" s="1566"/>
      <c r="N91" s="1566"/>
      <c r="O91" s="1566"/>
      <c r="P91" s="1566"/>
      <c r="Q91" s="1566"/>
      <c r="R91" s="1566"/>
    </row>
    <row r="92" spans="1:18" ht="12" customHeight="1">
      <c r="A92" s="1566"/>
      <c r="B92" s="1566"/>
      <c r="C92" s="1566"/>
      <c r="D92" s="1566"/>
      <c r="E92" s="1566"/>
      <c r="F92" s="1566"/>
      <c r="G92" s="1566"/>
      <c r="H92" s="1566"/>
      <c r="I92" s="1566"/>
      <c r="J92" s="1566"/>
      <c r="K92" s="1566"/>
      <c r="L92" s="1566"/>
      <c r="M92" s="1566"/>
      <c r="N92" s="1566"/>
      <c r="O92" s="1566"/>
      <c r="P92" s="1566"/>
      <c r="Q92" s="1566"/>
      <c r="R92" s="1566"/>
    </row>
    <row r="93" spans="1:18" ht="12" customHeight="1">
      <c r="A93" s="1565" t="s">
        <v>2426</v>
      </c>
      <c r="B93" s="1570">
        <v>371</v>
      </c>
      <c r="C93" s="1565" t="s">
        <v>1979</v>
      </c>
      <c r="D93" s="1571">
        <v>34.56</v>
      </c>
      <c r="E93" s="1566" t="s">
        <v>2019</v>
      </c>
      <c r="F93" s="1571">
        <v>35.6</v>
      </c>
      <c r="G93" s="1571">
        <v>2.97</v>
      </c>
      <c r="H93" s="1565" t="s">
        <v>1976</v>
      </c>
      <c r="I93" s="1565" t="s">
        <v>1976</v>
      </c>
      <c r="J93" s="1566"/>
      <c r="K93" s="1565" t="s">
        <v>462</v>
      </c>
      <c r="L93" s="1566"/>
      <c r="M93" s="1565" t="s">
        <v>1983</v>
      </c>
      <c r="N93" s="1571">
        <v>0</v>
      </c>
      <c r="O93" s="1571">
        <v>0</v>
      </c>
      <c r="P93" s="1566"/>
      <c r="Q93" s="1565"/>
      <c r="R93" s="1565" t="s">
        <v>2403</v>
      </c>
    </row>
    <row r="94" spans="1:18" ht="12" customHeight="1">
      <c r="A94" s="1565" t="s">
        <v>2016</v>
      </c>
      <c r="B94" s="1573">
        <v>9.4715343375031905E-3</v>
      </c>
      <c r="C94" s="1565" t="s">
        <v>1977</v>
      </c>
      <c r="D94" s="1572">
        <v>12822</v>
      </c>
      <c r="E94" s="1566" t="s">
        <v>1036</v>
      </c>
      <c r="F94" s="1571">
        <v>36.659999999999997</v>
      </c>
      <c r="G94" s="1571">
        <v>3.06</v>
      </c>
      <c r="H94" s="1565"/>
      <c r="I94" s="1566"/>
      <c r="J94" s="1566"/>
      <c r="K94" s="1566"/>
      <c r="L94" s="1566"/>
      <c r="M94" s="1566"/>
      <c r="N94" s="1572">
        <v>0</v>
      </c>
      <c r="O94" s="1572">
        <v>0</v>
      </c>
      <c r="P94" s="1566"/>
      <c r="Q94" s="1565"/>
      <c r="R94" s="1566"/>
    </row>
    <row r="95" spans="1:18" ht="12" customHeight="1">
      <c r="A95" s="1565" t="s">
        <v>2018</v>
      </c>
      <c r="B95" s="1566"/>
      <c r="C95" s="1565" t="s">
        <v>2418</v>
      </c>
      <c r="D95" s="1571">
        <v>2.88</v>
      </c>
      <c r="E95" s="1566" t="s">
        <v>1042</v>
      </c>
      <c r="F95" s="1571">
        <v>37.76</v>
      </c>
      <c r="G95" s="1571">
        <v>3.15</v>
      </c>
      <c r="H95" s="1566"/>
      <c r="I95" s="1566"/>
      <c r="J95" s="1566"/>
      <c r="K95" s="1566"/>
      <c r="L95" s="1566"/>
      <c r="M95" s="1566"/>
      <c r="N95" s="1566"/>
      <c r="O95" s="1566"/>
      <c r="P95" s="1566"/>
      <c r="Q95" s="1572"/>
      <c r="R95" s="1566"/>
    </row>
    <row r="96" spans="1:18" ht="12" customHeight="1">
      <c r="A96" s="1565" t="s">
        <v>2017</v>
      </c>
      <c r="B96" s="1566"/>
      <c r="C96" s="1565" t="s">
        <v>724</v>
      </c>
      <c r="D96" s="1572">
        <v>1068</v>
      </c>
      <c r="E96" s="1566" t="s">
        <v>1052</v>
      </c>
      <c r="F96" s="1571">
        <v>38.9</v>
      </c>
      <c r="G96" s="1571">
        <v>3.24</v>
      </c>
      <c r="H96" s="1565"/>
      <c r="I96" s="1566"/>
      <c r="J96" s="1566"/>
      <c r="K96" s="1566"/>
      <c r="L96" s="1566"/>
      <c r="M96" s="1566"/>
      <c r="N96" s="1566"/>
      <c r="O96" s="1566"/>
      <c r="P96" s="1566"/>
      <c r="Q96" s="1566"/>
      <c r="R96" s="1566"/>
    </row>
    <row r="97" spans="1:18" ht="12" customHeight="1">
      <c r="A97" s="1565" t="s">
        <v>1972</v>
      </c>
      <c r="B97" s="1566"/>
      <c r="C97" s="1566"/>
      <c r="D97" s="1572">
        <v>12822</v>
      </c>
      <c r="E97" s="1566" t="s">
        <v>1064</v>
      </c>
      <c r="F97" s="1571">
        <v>40.06</v>
      </c>
      <c r="G97" s="1571">
        <v>3.34</v>
      </c>
      <c r="H97" s="1566"/>
      <c r="I97" s="1566"/>
      <c r="J97" s="1566"/>
      <c r="K97" s="1566"/>
      <c r="L97" s="1566"/>
      <c r="M97" s="1566"/>
      <c r="N97" s="1566"/>
      <c r="O97" s="1566"/>
      <c r="P97" s="1566"/>
      <c r="Q97" s="1566"/>
      <c r="R97" s="1566"/>
    </row>
    <row r="98" spans="1:18" ht="12" customHeight="1">
      <c r="A98" s="1566"/>
      <c r="B98" s="1566"/>
      <c r="C98" s="1566"/>
      <c r="D98" s="1566"/>
      <c r="E98" s="1566" t="s">
        <v>1076</v>
      </c>
      <c r="F98" s="1571">
        <v>41.27</v>
      </c>
      <c r="G98" s="1571">
        <v>3.44</v>
      </c>
      <c r="H98" s="1566"/>
      <c r="I98" s="1566"/>
      <c r="J98" s="1566"/>
      <c r="K98" s="1566"/>
      <c r="L98" s="1566"/>
      <c r="M98" s="1566"/>
      <c r="N98" s="1566"/>
      <c r="O98" s="1566"/>
      <c r="P98" s="1566"/>
      <c r="Q98" s="1566"/>
      <c r="R98" s="1566"/>
    </row>
    <row r="99" spans="1:18" ht="12" customHeight="1">
      <c r="A99" s="1566"/>
      <c r="B99" s="1566"/>
      <c r="C99" s="1566"/>
      <c r="D99" s="1566"/>
      <c r="E99" s="1566" t="s">
        <v>1088</v>
      </c>
      <c r="F99" s="1571">
        <v>42.5</v>
      </c>
      <c r="G99" s="1571">
        <v>3.54</v>
      </c>
      <c r="H99" s="1566"/>
      <c r="I99" s="1566"/>
      <c r="J99" s="1566"/>
      <c r="K99" s="1566"/>
      <c r="L99" s="1566"/>
      <c r="M99" s="1566"/>
      <c r="N99" s="1566"/>
      <c r="O99" s="1566"/>
      <c r="P99" s="1566"/>
      <c r="Q99" s="1566"/>
      <c r="R99" s="1566"/>
    </row>
    <row r="100" spans="1:18" ht="12" customHeight="1">
      <c r="A100" s="1566"/>
      <c r="B100" s="1566"/>
      <c r="C100" s="1566"/>
      <c r="D100" s="1566"/>
      <c r="E100" s="1566" t="s">
        <v>1100</v>
      </c>
      <c r="F100" s="1571">
        <v>43.78</v>
      </c>
      <c r="G100" s="1571">
        <v>3.65</v>
      </c>
      <c r="H100" s="1566"/>
      <c r="I100" s="1566"/>
      <c r="J100" s="1566"/>
      <c r="K100" s="1566"/>
      <c r="L100" s="1566"/>
      <c r="M100" s="1566"/>
      <c r="N100" s="1566"/>
      <c r="O100" s="1566"/>
      <c r="P100" s="1566"/>
      <c r="Q100" s="1566"/>
      <c r="R100" s="1566"/>
    </row>
    <row r="101" spans="1:18" ht="12" customHeight="1">
      <c r="A101" s="1566"/>
      <c r="B101" s="1566"/>
      <c r="C101" s="1566"/>
      <c r="D101" s="1566"/>
      <c r="E101" s="1566" t="s">
        <v>1112</v>
      </c>
      <c r="F101" s="1571">
        <v>45.09</v>
      </c>
      <c r="G101" s="1571">
        <v>3.76</v>
      </c>
      <c r="H101" s="1566"/>
      <c r="I101" s="1566"/>
      <c r="J101" s="1566"/>
      <c r="K101" s="1566"/>
      <c r="L101" s="1566"/>
      <c r="M101" s="1566"/>
      <c r="N101" s="1566"/>
      <c r="O101" s="1566"/>
      <c r="P101" s="1566"/>
      <c r="Q101" s="1566"/>
      <c r="R101" s="1566"/>
    </row>
    <row r="102" spans="1:18" ht="12" customHeight="1">
      <c r="A102" s="1566"/>
      <c r="B102" s="1566"/>
      <c r="C102" s="1566"/>
      <c r="D102" s="1566"/>
      <c r="E102" s="1566"/>
      <c r="F102" s="1566"/>
      <c r="G102" s="1566"/>
      <c r="H102" s="1566"/>
      <c r="I102" s="1566"/>
      <c r="J102" s="1566"/>
      <c r="K102" s="1566"/>
      <c r="L102" s="1566"/>
      <c r="M102" s="1566"/>
      <c r="N102" s="1566"/>
      <c r="O102" s="1566"/>
      <c r="P102" s="1566"/>
      <c r="Q102" s="1566"/>
      <c r="R102" s="1566"/>
    </row>
    <row r="103" spans="1:18" ht="12" customHeight="1">
      <c r="A103" s="1565" t="s">
        <v>2426</v>
      </c>
      <c r="B103" s="1570">
        <v>371</v>
      </c>
      <c r="C103" s="1565" t="s">
        <v>217</v>
      </c>
      <c r="D103" s="1571">
        <v>34.56</v>
      </c>
      <c r="E103" s="1566" t="s">
        <v>1137</v>
      </c>
      <c r="F103" s="1571">
        <v>35.6</v>
      </c>
      <c r="G103" s="1571">
        <v>2.97</v>
      </c>
      <c r="H103" s="1565" t="s">
        <v>1976</v>
      </c>
      <c r="I103" s="1565" t="s">
        <v>1976</v>
      </c>
      <c r="J103" s="1566"/>
      <c r="K103" s="1565" t="s">
        <v>462</v>
      </c>
      <c r="L103" s="1566"/>
      <c r="M103" s="1565" t="s">
        <v>539</v>
      </c>
      <c r="N103" s="1571">
        <v>0</v>
      </c>
      <c r="O103" s="1571">
        <v>10.94</v>
      </c>
      <c r="P103" s="1566"/>
      <c r="Q103" s="1565"/>
      <c r="R103" s="1565" t="s">
        <v>2403</v>
      </c>
    </row>
    <row r="104" spans="1:18" ht="12" customHeight="1">
      <c r="A104" s="1565" t="s">
        <v>2016</v>
      </c>
      <c r="B104" s="1573">
        <v>9.3599414688296297E-3</v>
      </c>
      <c r="C104" s="1565" t="s">
        <v>1974</v>
      </c>
      <c r="D104" s="1572">
        <v>12822</v>
      </c>
      <c r="E104" s="1566" t="s">
        <v>1149</v>
      </c>
      <c r="F104" s="1571">
        <v>36.659999999999997</v>
      </c>
      <c r="G104" s="1571">
        <v>3.06</v>
      </c>
      <c r="H104" s="1565"/>
      <c r="I104" s="1566"/>
      <c r="J104" s="1566"/>
      <c r="K104" s="1566"/>
      <c r="L104" s="1566"/>
      <c r="M104" s="1566"/>
      <c r="N104" s="1572">
        <v>0</v>
      </c>
      <c r="O104" s="1572">
        <v>4060</v>
      </c>
      <c r="P104" s="1566"/>
      <c r="Q104" s="1565"/>
      <c r="R104" s="1566"/>
    </row>
    <row r="105" spans="1:18" ht="12" customHeight="1">
      <c r="A105" s="1565" t="s">
        <v>2015</v>
      </c>
      <c r="B105" s="1566"/>
      <c r="C105" s="1565" t="s">
        <v>2418</v>
      </c>
      <c r="D105" s="1571">
        <v>2.88</v>
      </c>
      <c r="E105" s="1566" t="s">
        <v>1988</v>
      </c>
      <c r="F105" s="1571">
        <v>37.76</v>
      </c>
      <c r="G105" s="1571">
        <v>3.15</v>
      </c>
      <c r="H105" s="1566"/>
      <c r="I105" s="1566"/>
      <c r="J105" s="1566"/>
      <c r="K105" s="1566"/>
      <c r="L105" s="1566"/>
      <c r="M105" s="1566"/>
      <c r="N105" s="1566"/>
      <c r="O105" s="1566"/>
      <c r="P105" s="1566"/>
      <c r="Q105" s="1572"/>
      <c r="R105" s="1566"/>
    </row>
    <row r="106" spans="1:18" ht="12" customHeight="1">
      <c r="A106" s="1565" t="s">
        <v>1973</v>
      </c>
      <c r="B106" s="1566"/>
      <c r="C106" s="1565" t="s">
        <v>724</v>
      </c>
      <c r="D106" s="1572">
        <v>1068</v>
      </c>
      <c r="E106" s="1566" t="s">
        <v>1986</v>
      </c>
      <c r="F106" s="1571">
        <v>38.9</v>
      </c>
      <c r="G106" s="1571">
        <v>3.24</v>
      </c>
      <c r="H106" s="1565"/>
      <c r="I106" s="1566"/>
      <c r="J106" s="1566"/>
      <c r="K106" s="1566"/>
      <c r="L106" s="1566"/>
      <c r="M106" s="1566"/>
      <c r="N106" s="1566"/>
      <c r="O106" s="1566"/>
      <c r="P106" s="1566"/>
      <c r="Q106" s="1566"/>
      <c r="R106" s="1566"/>
    </row>
    <row r="107" spans="1:18" ht="12" customHeight="1">
      <c r="A107" s="1565" t="s">
        <v>1972</v>
      </c>
      <c r="B107" s="1566"/>
      <c r="C107" s="1566"/>
      <c r="D107" s="1572">
        <v>12822</v>
      </c>
      <c r="E107" s="1566"/>
      <c r="F107" s="1566"/>
      <c r="G107" s="1566"/>
      <c r="H107" s="1566"/>
      <c r="I107" s="1566"/>
      <c r="J107" s="1566"/>
      <c r="K107" s="1566"/>
      <c r="L107" s="1566"/>
      <c r="M107" s="1566"/>
      <c r="N107" s="1566"/>
      <c r="O107" s="1566"/>
      <c r="P107" s="1566"/>
      <c r="Q107" s="1566"/>
      <c r="R107" s="1566"/>
    </row>
    <row r="108" spans="1:18" ht="12" customHeight="1">
      <c r="A108" s="1566"/>
      <c r="B108" s="1566"/>
      <c r="C108" s="1566"/>
      <c r="D108" s="1566"/>
      <c r="E108" s="1566"/>
      <c r="F108" s="1566"/>
      <c r="G108" s="1566"/>
      <c r="H108" s="1566"/>
      <c r="I108" s="1566"/>
      <c r="J108" s="1566"/>
      <c r="K108" s="1566"/>
      <c r="L108" s="1566"/>
      <c r="M108" s="1566"/>
      <c r="N108" s="1566"/>
      <c r="O108" s="1566"/>
      <c r="P108" s="1566"/>
      <c r="Q108" s="1566"/>
      <c r="R108" s="1566"/>
    </row>
    <row r="109" spans="1:18" ht="12" customHeight="1">
      <c r="A109" s="1565" t="s">
        <v>2426</v>
      </c>
      <c r="B109" s="1570">
        <v>371</v>
      </c>
      <c r="C109" s="1565" t="s">
        <v>217</v>
      </c>
      <c r="D109" s="1571">
        <v>34.56</v>
      </c>
      <c r="E109" s="1566" t="s">
        <v>2427</v>
      </c>
      <c r="F109" s="1571">
        <v>35.6</v>
      </c>
      <c r="G109" s="1571">
        <v>2.97</v>
      </c>
      <c r="H109" s="1565" t="s">
        <v>1976</v>
      </c>
      <c r="I109" s="1565" t="s">
        <v>1976</v>
      </c>
      <c r="J109" s="1566"/>
      <c r="K109" s="1565" t="s">
        <v>462</v>
      </c>
      <c r="L109" s="1566"/>
      <c r="M109" s="1565" t="s">
        <v>539</v>
      </c>
      <c r="N109" s="1571">
        <v>0</v>
      </c>
      <c r="O109" s="1571">
        <v>10.94</v>
      </c>
      <c r="P109" s="1566"/>
      <c r="Q109" s="1565"/>
      <c r="R109" s="1565" t="s">
        <v>2403</v>
      </c>
    </row>
    <row r="110" spans="1:18" ht="12" customHeight="1">
      <c r="A110" s="1565" t="s">
        <v>2016</v>
      </c>
      <c r="B110" s="1573">
        <v>9.2998771714335807E-3</v>
      </c>
      <c r="C110" s="1565" t="s">
        <v>1974</v>
      </c>
      <c r="D110" s="1572">
        <v>12822</v>
      </c>
      <c r="E110" s="1566" t="s">
        <v>2428</v>
      </c>
      <c r="F110" s="1571">
        <v>36.659999999999997</v>
      </c>
      <c r="G110" s="1571">
        <v>3.06</v>
      </c>
      <c r="H110" s="1565"/>
      <c r="I110" s="1566"/>
      <c r="J110" s="1566"/>
      <c r="K110" s="1566"/>
      <c r="L110" s="1566"/>
      <c r="M110" s="1566"/>
      <c r="N110" s="1572">
        <v>0</v>
      </c>
      <c r="O110" s="1572">
        <v>4060</v>
      </c>
      <c r="P110" s="1566"/>
      <c r="Q110" s="1565"/>
      <c r="R110" s="1566"/>
    </row>
    <row r="111" spans="1:18" ht="12" customHeight="1">
      <c r="A111" s="1565" t="s">
        <v>2429</v>
      </c>
      <c r="B111" s="1566"/>
      <c r="C111" s="1565" t="s">
        <v>2418</v>
      </c>
      <c r="D111" s="1571">
        <v>2.88</v>
      </c>
      <c r="E111" s="1566" t="s">
        <v>2430</v>
      </c>
      <c r="F111" s="1571">
        <v>37.76</v>
      </c>
      <c r="G111" s="1571">
        <v>3.15</v>
      </c>
      <c r="H111" s="1566"/>
      <c r="I111" s="1566"/>
      <c r="J111" s="1566"/>
      <c r="K111" s="1566"/>
      <c r="L111" s="1566"/>
      <c r="M111" s="1566"/>
      <c r="N111" s="1566"/>
      <c r="O111" s="1566"/>
      <c r="P111" s="1566"/>
      <c r="Q111" s="1572"/>
      <c r="R111" s="1566"/>
    </row>
    <row r="112" spans="1:18" ht="12" customHeight="1">
      <c r="A112" s="1565" t="s">
        <v>1973</v>
      </c>
      <c r="B112" s="1566"/>
      <c r="C112" s="1565" t="s">
        <v>724</v>
      </c>
      <c r="D112" s="1572">
        <v>1068</v>
      </c>
      <c r="E112" s="1566" t="s">
        <v>2431</v>
      </c>
      <c r="F112" s="1571">
        <v>38.9</v>
      </c>
      <c r="G112" s="1571">
        <v>3.24</v>
      </c>
      <c r="H112" s="1565"/>
      <c r="I112" s="1566"/>
      <c r="J112" s="1566"/>
      <c r="K112" s="1566"/>
      <c r="L112" s="1566"/>
      <c r="M112" s="1566"/>
      <c r="N112" s="1566"/>
      <c r="O112" s="1566"/>
      <c r="P112" s="1566"/>
      <c r="Q112" s="1566"/>
      <c r="R112" s="1566"/>
    </row>
    <row r="113" spans="1:18" ht="12" customHeight="1">
      <c r="A113" s="1565" t="s">
        <v>1972</v>
      </c>
      <c r="B113" s="1566"/>
      <c r="C113" s="1566"/>
      <c r="D113" s="1572">
        <v>12822</v>
      </c>
      <c r="E113" s="1566"/>
      <c r="F113" s="1566"/>
      <c r="G113" s="1566"/>
      <c r="H113" s="1566"/>
      <c r="I113" s="1566"/>
      <c r="J113" s="1566"/>
      <c r="K113" s="1566"/>
      <c r="L113" s="1566"/>
      <c r="M113" s="1566"/>
      <c r="N113" s="1566"/>
      <c r="O113" s="1566"/>
      <c r="P113" s="1566"/>
      <c r="Q113" s="1566"/>
      <c r="R113" s="1566"/>
    </row>
    <row r="114" spans="1:18" ht="12" customHeight="1">
      <c r="A114" s="1566"/>
      <c r="B114" s="1566"/>
      <c r="C114" s="1566"/>
      <c r="D114" s="1566"/>
      <c r="E114" s="1566"/>
      <c r="F114" s="1566"/>
      <c r="G114" s="1566"/>
      <c r="H114" s="1566"/>
      <c r="I114" s="1566"/>
      <c r="J114" s="1566"/>
      <c r="K114" s="1566"/>
      <c r="L114" s="1566"/>
      <c r="M114" s="1566"/>
      <c r="N114" s="1566"/>
      <c r="O114" s="1566"/>
      <c r="P114" s="1566"/>
      <c r="Q114" s="1566"/>
      <c r="R114" s="1566"/>
    </row>
    <row r="115" spans="1:18" ht="12" customHeight="1">
      <c r="A115" s="1565" t="s">
        <v>2432</v>
      </c>
      <c r="B115" s="1570">
        <v>1764</v>
      </c>
      <c r="C115" s="1565" t="s">
        <v>1979</v>
      </c>
      <c r="D115" s="1571">
        <v>73.650000000000006</v>
      </c>
      <c r="E115" s="1566" t="s">
        <v>2019</v>
      </c>
      <c r="F115" s="1571">
        <v>75.86</v>
      </c>
      <c r="G115" s="1571">
        <v>6.32</v>
      </c>
      <c r="H115" s="1565" t="s">
        <v>1976</v>
      </c>
      <c r="I115" s="1565" t="s">
        <v>1976</v>
      </c>
      <c r="J115" s="1566"/>
      <c r="K115" s="1565" t="s">
        <v>462</v>
      </c>
      <c r="L115" s="1566"/>
      <c r="M115" s="1565" t="s">
        <v>1983</v>
      </c>
      <c r="N115" s="1571">
        <v>0</v>
      </c>
      <c r="O115" s="1571">
        <v>0</v>
      </c>
      <c r="P115" s="1566"/>
      <c r="Q115" s="1565"/>
      <c r="R115" s="1565" t="s">
        <v>2403</v>
      </c>
    </row>
    <row r="116" spans="1:18" ht="12" customHeight="1">
      <c r="A116" s="1565" t="s">
        <v>2016</v>
      </c>
      <c r="B116" s="1573">
        <v>4.5034465151902001E-2</v>
      </c>
      <c r="C116" s="1565" t="s">
        <v>1977</v>
      </c>
      <c r="D116" s="1572">
        <v>129916</v>
      </c>
      <c r="E116" s="1566" t="s">
        <v>1036</v>
      </c>
      <c r="F116" s="1571">
        <v>78.13</v>
      </c>
      <c r="G116" s="1571">
        <v>6.51</v>
      </c>
      <c r="H116" s="1565"/>
      <c r="I116" s="1566"/>
      <c r="J116" s="1566"/>
      <c r="K116" s="1566"/>
      <c r="L116" s="1566"/>
      <c r="M116" s="1566"/>
      <c r="N116" s="1572">
        <v>0</v>
      </c>
      <c r="O116" s="1572">
        <v>0</v>
      </c>
      <c r="P116" s="1566"/>
      <c r="Q116" s="1565"/>
      <c r="R116" s="1566"/>
    </row>
    <row r="117" spans="1:18" ht="12" customHeight="1">
      <c r="A117" s="1565" t="s">
        <v>2018</v>
      </c>
      <c r="B117" s="1566"/>
      <c r="C117" s="1565" t="s">
        <v>2425</v>
      </c>
      <c r="D117" s="1571">
        <v>6.14</v>
      </c>
      <c r="E117" s="1566" t="s">
        <v>1042</v>
      </c>
      <c r="F117" s="1571">
        <v>80.48</v>
      </c>
      <c r="G117" s="1571">
        <v>6.71</v>
      </c>
      <c r="H117" s="1566"/>
      <c r="I117" s="1566"/>
      <c r="J117" s="1566"/>
      <c r="K117" s="1566"/>
      <c r="L117" s="1566"/>
      <c r="M117" s="1566"/>
      <c r="N117" s="1566"/>
      <c r="O117" s="1566"/>
      <c r="P117" s="1566"/>
      <c r="Q117" s="1572"/>
      <c r="R117" s="1566"/>
    </row>
    <row r="118" spans="1:18" ht="12" customHeight="1">
      <c r="A118" s="1565" t="s">
        <v>2017</v>
      </c>
      <c r="B118" s="1566"/>
      <c r="C118" s="1565" t="s">
        <v>724</v>
      </c>
      <c r="D118" s="1572">
        <v>10826</v>
      </c>
      <c r="E118" s="1566" t="s">
        <v>1052</v>
      </c>
      <c r="F118" s="1571">
        <v>82.89</v>
      </c>
      <c r="G118" s="1571">
        <v>6.91</v>
      </c>
      <c r="H118" s="1565"/>
      <c r="I118" s="1566"/>
      <c r="J118" s="1566"/>
      <c r="K118" s="1566"/>
      <c r="L118" s="1566"/>
      <c r="M118" s="1566"/>
      <c r="N118" s="1566"/>
      <c r="O118" s="1566"/>
      <c r="P118" s="1566"/>
      <c r="Q118" s="1566"/>
      <c r="R118" s="1566"/>
    </row>
    <row r="119" spans="1:18" ht="12" customHeight="1">
      <c r="A119" s="1565" t="s">
        <v>1972</v>
      </c>
      <c r="B119" s="1566"/>
      <c r="C119" s="1566"/>
      <c r="D119" s="1572">
        <v>121716</v>
      </c>
      <c r="E119" s="1566" t="s">
        <v>1064</v>
      </c>
      <c r="F119" s="1571">
        <v>85.38</v>
      </c>
      <c r="G119" s="1571">
        <v>7.11</v>
      </c>
      <c r="H119" s="1566"/>
      <c r="I119" s="1566"/>
      <c r="J119" s="1566"/>
      <c r="K119" s="1566"/>
      <c r="L119" s="1566"/>
      <c r="M119" s="1566"/>
      <c r="N119" s="1566"/>
      <c r="O119" s="1566"/>
      <c r="P119" s="1566"/>
      <c r="Q119" s="1566"/>
      <c r="R119" s="1566"/>
    </row>
    <row r="120" spans="1:18" ht="12" customHeight="1">
      <c r="A120" s="1566"/>
      <c r="B120" s="1566"/>
      <c r="C120" s="1566"/>
      <c r="D120" s="1566"/>
      <c r="E120" s="1566" t="s">
        <v>1076</v>
      </c>
      <c r="F120" s="1571">
        <v>87.94</v>
      </c>
      <c r="G120" s="1571">
        <v>7.33</v>
      </c>
      <c r="H120" s="1566"/>
      <c r="I120" s="1566"/>
      <c r="J120" s="1566"/>
      <c r="K120" s="1566"/>
      <c r="L120" s="1566"/>
      <c r="M120" s="1566"/>
      <c r="N120" s="1566"/>
      <c r="O120" s="1566"/>
      <c r="P120" s="1566"/>
      <c r="Q120" s="1566"/>
      <c r="R120" s="1566"/>
    </row>
    <row r="121" spans="1:18" ht="12" customHeight="1">
      <c r="A121" s="1566"/>
      <c r="B121" s="1566"/>
      <c r="C121" s="1566"/>
      <c r="D121" s="1566"/>
      <c r="E121" s="1566" t="s">
        <v>1088</v>
      </c>
      <c r="F121" s="1571">
        <v>90.58</v>
      </c>
      <c r="G121" s="1571">
        <v>7.55</v>
      </c>
      <c r="H121" s="1566"/>
      <c r="I121" s="1566"/>
      <c r="J121" s="1566"/>
      <c r="K121" s="1566"/>
      <c r="L121" s="1566"/>
      <c r="M121" s="1566"/>
      <c r="N121" s="1566"/>
      <c r="O121" s="1566"/>
      <c r="P121" s="1566"/>
      <c r="Q121" s="1566"/>
      <c r="R121" s="1566"/>
    </row>
    <row r="122" spans="1:18" ht="12" customHeight="1">
      <c r="A122" s="1566"/>
      <c r="B122" s="1566"/>
      <c r="C122" s="1566"/>
      <c r="D122" s="1566"/>
      <c r="E122" s="1566" t="s">
        <v>1100</v>
      </c>
      <c r="F122" s="1571">
        <v>93.3</v>
      </c>
      <c r="G122" s="1571">
        <v>7.77</v>
      </c>
      <c r="H122" s="1566"/>
      <c r="I122" s="1566"/>
      <c r="J122" s="1566"/>
      <c r="K122" s="1566"/>
      <c r="L122" s="1566"/>
      <c r="M122" s="1566"/>
      <c r="N122" s="1566"/>
      <c r="O122" s="1566"/>
      <c r="P122" s="1566"/>
      <c r="Q122" s="1566"/>
      <c r="R122" s="1566"/>
    </row>
    <row r="123" spans="1:18" ht="12" customHeight="1">
      <c r="A123" s="1566"/>
      <c r="B123" s="1566"/>
      <c r="C123" s="1566"/>
      <c r="D123" s="1566"/>
      <c r="E123" s="1566" t="s">
        <v>1112</v>
      </c>
      <c r="F123" s="1571">
        <v>96.09</v>
      </c>
      <c r="G123" s="1571">
        <v>8.01</v>
      </c>
      <c r="H123" s="1566"/>
      <c r="I123" s="1566"/>
      <c r="J123" s="1566"/>
      <c r="K123" s="1566"/>
      <c r="L123" s="1566"/>
      <c r="M123" s="1566"/>
      <c r="N123" s="1566"/>
      <c r="O123" s="1566"/>
      <c r="P123" s="1566"/>
      <c r="Q123" s="1566"/>
      <c r="R123" s="1566"/>
    </row>
    <row r="124" spans="1:18" ht="12" customHeight="1">
      <c r="A124" s="1566"/>
      <c r="B124" s="1566"/>
      <c r="C124" s="1566"/>
      <c r="D124" s="1566"/>
      <c r="E124" s="1566"/>
      <c r="F124" s="1566"/>
      <c r="G124" s="1566"/>
      <c r="H124" s="1566"/>
      <c r="I124" s="1566"/>
      <c r="J124" s="1566"/>
      <c r="K124" s="1566"/>
      <c r="L124" s="1566"/>
      <c r="M124" s="1566"/>
      <c r="N124" s="1566"/>
      <c r="O124" s="1566"/>
      <c r="P124" s="1566"/>
      <c r="Q124" s="1566"/>
      <c r="R124" s="1566"/>
    </row>
    <row r="125" spans="1:18" ht="12" customHeight="1">
      <c r="A125" s="1565" t="s">
        <v>2432</v>
      </c>
      <c r="B125" s="1570">
        <v>1764</v>
      </c>
      <c r="C125" s="1565" t="s">
        <v>217</v>
      </c>
      <c r="D125" s="1571">
        <v>69</v>
      </c>
      <c r="E125" s="1566" t="s">
        <v>1137</v>
      </c>
      <c r="F125" s="1571">
        <v>71.069999999999993</v>
      </c>
      <c r="G125" s="1571">
        <v>5.92</v>
      </c>
      <c r="H125" s="1565" t="s">
        <v>1976</v>
      </c>
      <c r="I125" s="1565" t="s">
        <v>1976</v>
      </c>
      <c r="J125" s="1566"/>
      <c r="K125" s="1565" t="s">
        <v>462</v>
      </c>
      <c r="L125" s="1566"/>
      <c r="M125" s="1565" t="s">
        <v>539</v>
      </c>
      <c r="N125" s="1571">
        <v>36</v>
      </c>
      <c r="O125" s="1571">
        <v>21.85</v>
      </c>
      <c r="P125" s="1566"/>
      <c r="Q125" s="1565"/>
      <c r="R125" s="1565" t="s">
        <v>2403</v>
      </c>
    </row>
    <row r="126" spans="1:18" ht="12" customHeight="1">
      <c r="A126" s="1565" t="s">
        <v>2016</v>
      </c>
      <c r="B126" s="1573">
        <v>4.4503872644246503E-2</v>
      </c>
      <c r="C126" s="1565" t="s">
        <v>1974</v>
      </c>
      <c r="D126" s="1572">
        <v>121716</v>
      </c>
      <c r="E126" s="1566" t="s">
        <v>1149</v>
      </c>
      <c r="F126" s="1571">
        <v>73.2</v>
      </c>
      <c r="G126" s="1571">
        <v>6.1</v>
      </c>
      <c r="H126" s="1565"/>
      <c r="I126" s="1566"/>
      <c r="J126" s="1566"/>
      <c r="K126" s="1566"/>
      <c r="L126" s="1566"/>
      <c r="M126" s="1566"/>
      <c r="N126" s="1572">
        <v>63504</v>
      </c>
      <c r="O126" s="1572">
        <v>38543</v>
      </c>
      <c r="P126" s="1566"/>
      <c r="Q126" s="1565"/>
      <c r="R126" s="1566"/>
    </row>
    <row r="127" spans="1:18" ht="12" customHeight="1">
      <c r="A127" s="1565" t="s">
        <v>2015</v>
      </c>
      <c r="B127" s="1566"/>
      <c r="C127" s="1565" t="s">
        <v>2425</v>
      </c>
      <c r="D127" s="1571">
        <v>5.75</v>
      </c>
      <c r="E127" s="1566" t="s">
        <v>1988</v>
      </c>
      <c r="F127" s="1571">
        <v>75.400000000000006</v>
      </c>
      <c r="G127" s="1571">
        <v>6.28</v>
      </c>
      <c r="H127" s="1566"/>
      <c r="I127" s="1566"/>
      <c r="J127" s="1566"/>
      <c r="K127" s="1566"/>
      <c r="L127" s="1566"/>
      <c r="M127" s="1566"/>
      <c r="N127" s="1566"/>
      <c r="O127" s="1566"/>
      <c r="P127" s="1566"/>
      <c r="Q127" s="1572"/>
      <c r="R127" s="1566"/>
    </row>
    <row r="128" spans="1:18" ht="12" customHeight="1">
      <c r="A128" s="1565" t="s">
        <v>1973</v>
      </c>
      <c r="B128" s="1566"/>
      <c r="C128" s="1565" t="s">
        <v>724</v>
      </c>
      <c r="D128" s="1572">
        <v>10143</v>
      </c>
      <c r="E128" s="1566" t="s">
        <v>1986</v>
      </c>
      <c r="F128" s="1571">
        <v>77.66</v>
      </c>
      <c r="G128" s="1571">
        <v>6.47</v>
      </c>
      <c r="H128" s="1565"/>
      <c r="I128" s="1566"/>
      <c r="J128" s="1566"/>
      <c r="K128" s="1566"/>
      <c r="L128" s="1566"/>
      <c r="M128" s="1566"/>
      <c r="N128" s="1566"/>
      <c r="O128" s="1566"/>
      <c r="P128" s="1566"/>
      <c r="Q128" s="1566"/>
      <c r="R128" s="1566"/>
    </row>
    <row r="129" spans="1:18" ht="12" customHeight="1">
      <c r="A129" s="1565" t="s">
        <v>1972</v>
      </c>
      <c r="B129" s="1566"/>
      <c r="C129" s="1566"/>
      <c r="D129" s="1572">
        <v>121716</v>
      </c>
      <c r="E129" s="1566"/>
      <c r="F129" s="1566"/>
      <c r="G129" s="1566"/>
      <c r="H129" s="1566"/>
      <c r="I129" s="1566"/>
      <c r="J129" s="1566"/>
      <c r="K129" s="1566"/>
      <c r="L129" s="1566"/>
      <c r="M129" s="1566"/>
      <c r="N129" s="1566"/>
      <c r="O129" s="1566"/>
      <c r="P129" s="1566"/>
      <c r="Q129" s="1566"/>
      <c r="R129" s="1566"/>
    </row>
    <row r="130" spans="1:18" ht="12" customHeight="1">
      <c r="A130" s="1566"/>
      <c r="B130" s="1566"/>
      <c r="C130" s="1566"/>
      <c r="D130" s="1566"/>
      <c r="E130" s="1566"/>
      <c r="F130" s="1566"/>
      <c r="G130" s="1566"/>
      <c r="H130" s="1566"/>
      <c r="I130" s="1566"/>
      <c r="J130" s="1566"/>
      <c r="K130" s="1566"/>
      <c r="L130" s="1566"/>
      <c r="M130" s="1566"/>
      <c r="N130" s="1566"/>
      <c r="O130" s="1566"/>
      <c r="P130" s="1566"/>
      <c r="Q130" s="1566"/>
      <c r="R130" s="1566"/>
    </row>
    <row r="131" spans="1:18" ht="12" customHeight="1">
      <c r="A131" s="1565" t="s">
        <v>2432</v>
      </c>
      <c r="B131" s="1570">
        <v>1764</v>
      </c>
      <c r="C131" s="1565" t="s">
        <v>217</v>
      </c>
      <c r="D131" s="1571">
        <v>69</v>
      </c>
      <c r="E131" s="1566" t="s">
        <v>2427</v>
      </c>
      <c r="F131" s="1571">
        <v>71.069999999999993</v>
      </c>
      <c r="G131" s="1571">
        <v>5.92</v>
      </c>
      <c r="H131" s="1565" t="s">
        <v>1976</v>
      </c>
      <c r="I131" s="1565" t="s">
        <v>1976</v>
      </c>
      <c r="J131" s="1566"/>
      <c r="K131" s="1565" t="s">
        <v>462</v>
      </c>
      <c r="L131" s="1566"/>
      <c r="M131" s="1565" t="s">
        <v>539</v>
      </c>
      <c r="N131" s="1571">
        <v>36</v>
      </c>
      <c r="O131" s="1571">
        <v>21.85</v>
      </c>
      <c r="P131" s="1566"/>
      <c r="Q131" s="1565"/>
      <c r="R131" s="1565" t="s">
        <v>2403</v>
      </c>
    </row>
    <row r="132" spans="1:18" ht="12" customHeight="1">
      <c r="A132" s="1565" t="s">
        <v>2016</v>
      </c>
      <c r="B132" s="1573">
        <v>4.4218283909457798E-2</v>
      </c>
      <c r="C132" s="1565" t="s">
        <v>1974</v>
      </c>
      <c r="D132" s="1572">
        <v>121716</v>
      </c>
      <c r="E132" s="1566" t="s">
        <v>2428</v>
      </c>
      <c r="F132" s="1571">
        <v>73.2</v>
      </c>
      <c r="G132" s="1571">
        <v>6.1</v>
      </c>
      <c r="H132" s="1565"/>
      <c r="I132" s="1566"/>
      <c r="J132" s="1566"/>
      <c r="K132" s="1566"/>
      <c r="L132" s="1566"/>
      <c r="M132" s="1566"/>
      <c r="N132" s="1572">
        <v>63504</v>
      </c>
      <c r="O132" s="1572">
        <v>38543</v>
      </c>
      <c r="P132" s="1566"/>
      <c r="Q132" s="1565"/>
      <c r="R132" s="1566"/>
    </row>
    <row r="133" spans="1:18" ht="12" customHeight="1">
      <c r="A133" s="1565" t="s">
        <v>2429</v>
      </c>
      <c r="B133" s="1566"/>
      <c r="C133" s="1565" t="s">
        <v>2425</v>
      </c>
      <c r="D133" s="1571">
        <v>5.75</v>
      </c>
      <c r="E133" s="1566" t="s">
        <v>2430</v>
      </c>
      <c r="F133" s="1571">
        <v>75.400000000000006</v>
      </c>
      <c r="G133" s="1571">
        <v>6.28</v>
      </c>
      <c r="H133" s="1566"/>
      <c r="I133" s="1566"/>
      <c r="J133" s="1566"/>
      <c r="K133" s="1566"/>
      <c r="L133" s="1566"/>
      <c r="M133" s="1566"/>
      <c r="N133" s="1566"/>
      <c r="O133" s="1566"/>
      <c r="P133" s="1566"/>
      <c r="Q133" s="1572"/>
      <c r="R133" s="1566"/>
    </row>
    <row r="134" spans="1:18" ht="12" customHeight="1">
      <c r="A134" s="1565" t="s">
        <v>1973</v>
      </c>
      <c r="B134" s="1566"/>
      <c r="C134" s="1565" t="s">
        <v>724</v>
      </c>
      <c r="D134" s="1572">
        <v>10143</v>
      </c>
      <c r="E134" s="1566" t="s">
        <v>2431</v>
      </c>
      <c r="F134" s="1571">
        <v>77.66</v>
      </c>
      <c r="G134" s="1571">
        <v>6.47</v>
      </c>
      <c r="H134" s="1565"/>
      <c r="I134" s="1566"/>
      <c r="J134" s="1566"/>
      <c r="K134" s="1566"/>
      <c r="L134" s="1566"/>
      <c r="M134" s="1566"/>
      <c r="N134" s="1566"/>
      <c r="O134" s="1566"/>
      <c r="P134" s="1566"/>
      <c r="Q134" s="1566"/>
      <c r="R134" s="1566"/>
    </row>
    <row r="135" spans="1:18" ht="12" customHeight="1">
      <c r="A135" s="1565" t="s">
        <v>1972</v>
      </c>
      <c r="B135" s="1566"/>
      <c r="C135" s="1566"/>
      <c r="D135" s="1572">
        <v>121716</v>
      </c>
      <c r="E135" s="1566"/>
      <c r="F135" s="1566"/>
      <c r="G135" s="1566"/>
      <c r="H135" s="1566"/>
      <c r="I135" s="1566"/>
      <c r="J135" s="1566"/>
      <c r="K135" s="1566"/>
      <c r="L135" s="1566"/>
      <c r="M135" s="1566"/>
      <c r="N135" s="1566"/>
      <c r="O135" s="1566"/>
      <c r="P135" s="1566"/>
      <c r="Q135" s="1566"/>
      <c r="R135" s="1566"/>
    </row>
    <row r="136" spans="1:18" ht="12" customHeight="1">
      <c r="A136" s="1566"/>
      <c r="B136" s="1566"/>
      <c r="C136" s="1566"/>
      <c r="D136" s="1566"/>
      <c r="E136" s="1566"/>
      <c r="F136" s="1566"/>
      <c r="G136" s="1566"/>
      <c r="H136" s="1566"/>
      <c r="I136" s="1566"/>
      <c r="J136" s="1566"/>
      <c r="K136" s="1566"/>
      <c r="L136" s="1566"/>
      <c r="M136" s="1566"/>
      <c r="N136" s="1566"/>
      <c r="O136" s="1566"/>
      <c r="P136" s="1566"/>
      <c r="Q136" s="1566"/>
      <c r="R136" s="1566"/>
    </row>
    <row r="137" spans="1:18" ht="12" customHeight="1">
      <c r="A137" s="1565" t="s">
        <v>2433</v>
      </c>
      <c r="B137" s="1570">
        <v>2269</v>
      </c>
      <c r="C137" s="1565" t="s">
        <v>1979</v>
      </c>
      <c r="D137" s="1571">
        <v>66</v>
      </c>
      <c r="E137" s="1566" t="s">
        <v>1032</v>
      </c>
      <c r="F137" s="1571">
        <v>69.3</v>
      </c>
      <c r="G137" s="1571">
        <v>5.78</v>
      </c>
      <c r="H137" s="1565" t="s">
        <v>1976</v>
      </c>
      <c r="I137" s="1565" t="s">
        <v>1976</v>
      </c>
      <c r="J137" s="1566"/>
      <c r="K137" s="1565" t="s">
        <v>462</v>
      </c>
      <c r="L137" s="1566"/>
      <c r="M137" s="1565" t="s">
        <v>2014</v>
      </c>
      <c r="N137" s="1571">
        <v>0</v>
      </c>
      <c r="O137" s="1571">
        <v>0</v>
      </c>
      <c r="P137" s="1566"/>
      <c r="Q137" s="1565"/>
      <c r="R137" s="1565" t="s">
        <v>2403</v>
      </c>
    </row>
    <row r="138" spans="1:18" ht="12" customHeight="1">
      <c r="A138" s="1565" t="s">
        <v>2012</v>
      </c>
      <c r="B138" s="1573">
        <v>5.7926984937452103E-2</v>
      </c>
      <c r="C138" s="1565" t="s">
        <v>1977</v>
      </c>
      <c r="D138" s="1572">
        <v>149754</v>
      </c>
      <c r="E138" s="1566" t="s">
        <v>1052</v>
      </c>
      <c r="F138" s="1571">
        <v>72.77</v>
      </c>
      <c r="G138" s="1571">
        <v>6.06</v>
      </c>
      <c r="H138" s="1565"/>
      <c r="I138" s="1566"/>
      <c r="J138" s="1566"/>
      <c r="K138" s="1566"/>
      <c r="L138" s="1566"/>
      <c r="M138" s="1566"/>
      <c r="N138" s="1572">
        <v>0</v>
      </c>
      <c r="O138" s="1572">
        <v>0</v>
      </c>
      <c r="P138" s="1566"/>
      <c r="Q138" s="1565"/>
      <c r="R138" s="1566"/>
    </row>
    <row r="139" spans="1:18" ht="12" customHeight="1">
      <c r="A139" s="1565" t="s">
        <v>2013</v>
      </c>
      <c r="B139" s="1566"/>
      <c r="C139" s="1565" t="s">
        <v>2425</v>
      </c>
      <c r="D139" s="1571">
        <v>5.5</v>
      </c>
      <c r="E139" s="1566" t="s">
        <v>1082</v>
      </c>
      <c r="F139" s="1571">
        <v>76.400000000000006</v>
      </c>
      <c r="G139" s="1571">
        <v>6.37</v>
      </c>
      <c r="H139" s="1566"/>
      <c r="I139" s="1566"/>
      <c r="J139" s="1566"/>
      <c r="K139" s="1566"/>
      <c r="L139" s="1566"/>
      <c r="M139" s="1566"/>
      <c r="N139" s="1566"/>
      <c r="O139" s="1566"/>
      <c r="P139" s="1566"/>
      <c r="Q139" s="1572"/>
      <c r="R139" s="1566"/>
    </row>
    <row r="140" spans="1:18" ht="12" customHeight="1">
      <c r="A140" s="1565" t="s">
        <v>1984</v>
      </c>
      <c r="B140" s="1566"/>
      <c r="C140" s="1565" t="s">
        <v>724</v>
      </c>
      <c r="D140" s="1572">
        <v>12480</v>
      </c>
      <c r="E140" s="1566"/>
      <c r="F140" s="1566"/>
      <c r="G140" s="1566"/>
      <c r="H140" s="1565"/>
      <c r="I140" s="1566"/>
      <c r="J140" s="1566"/>
      <c r="K140" s="1566"/>
      <c r="L140" s="1566"/>
      <c r="M140" s="1566"/>
      <c r="N140" s="1566"/>
      <c r="O140" s="1566"/>
      <c r="P140" s="1566"/>
      <c r="Q140" s="1566"/>
      <c r="R140" s="1566"/>
    </row>
    <row r="141" spans="1:18" ht="12" customHeight="1">
      <c r="A141" s="1565" t="s">
        <v>1972</v>
      </c>
      <c r="B141" s="1566"/>
      <c r="C141" s="1566"/>
      <c r="D141" s="1572">
        <v>156561</v>
      </c>
      <c r="E141" s="1566"/>
      <c r="F141" s="1566"/>
      <c r="G141" s="1566"/>
      <c r="H141" s="1566"/>
      <c r="I141" s="1566"/>
      <c r="J141" s="1566"/>
      <c r="K141" s="1566"/>
      <c r="L141" s="1566"/>
      <c r="M141" s="1566"/>
      <c r="N141" s="1566"/>
      <c r="O141" s="1566"/>
      <c r="P141" s="1566"/>
      <c r="Q141" s="1566"/>
      <c r="R141" s="1566"/>
    </row>
    <row r="142" spans="1:18" ht="12" customHeight="1">
      <c r="A142" s="1566"/>
      <c r="B142" s="1566"/>
      <c r="C142" s="1566"/>
      <c r="D142" s="1566"/>
      <c r="E142" s="1566"/>
      <c r="F142" s="1566"/>
      <c r="G142" s="1566"/>
      <c r="H142" s="1566"/>
      <c r="I142" s="1566"/>
      <c r="J142" s="1566"/>
      <c r="K142" s="1566"/>
      <c r="L142" s="1566"/>
      <c r="M142" s="1566"/>
      <c r="N142" s="1566"/>
      <c r="O142" s="1566"/>
      <c r="P142" s="1566"/>
      <c r="Q142" s="1566"/>
      <c r="R142" s="1566"/>
    </row>
    <row r="143" spans="1:18" ht="12" customHeight="1">
      <c r="A143" s="1565" t="s">
        <v>2433</v>
      </c>
      <c r="B143" s="1570">
        <v>2269</v>
      </c>
      <c r="C143" s="1565" t="s">
        <v>217</v>
      </c>
      <c r="D143" s="1571">
        <v>69</v>
      </c>
      <c r="E143" s="1566" t="s">
        <v>1125</v>
      </c>
      <c r="F143" s="1571">
        <v>71.069999999999993</v>
      </c>
      <c r="G143" s="1571">
        <v>5.92</v>
      </c>
      <c r="H143" s="1565" t="s">
        <v>1976</v>
      </c>
      <c r="I143" s="1565" t="s">
        <v>1976</v>
      </c>
      <c r="J143" s="1566"/>
      <c r="K143" s="1565" t="s">
        <v>462</v>
      </c>
      <c r="L143" s="1566"/>
      <c r="M143" s="1565" t="s">
        <v>539</v>
      </c>
      <c r="N143" s="1571">
        <v>36</v>
      </c>
      <c r="O143" s="1571">
        <v>21.85</v>
      </c>
      <c r="P143" s="1566"/>
      <c r="Q143" s="1565"/>
      <c r="R143" s="1565" t="s">
        <v>2403</v>
      </c>
    </row>
    <row r="144" spans="1:18" ht="12" customHeight="1">
      <c r="A144" s="1565" t="s">
        <v>2012</v>
      </c>
      <c r="B144" s="1573">
        <v>5.7244493781063097E-2</v>
      </c>
      <c r="C144" s="1565" t="s">
        <v>1974</v>
      </c>
      <c r="D144" s="1572">
        <v>156561</v>
      </c>
      <c r="E144" s="1566" t="s">
        <v>1137</v>
      </c>
      <c r="F144" s="1571">
        <v>73.2</v>
      </c>
      <c r="G144" s="1571">
        <v>6.1</v>
      </c>
      <c r="H144" s="1565"/>
      <c r="I144" s="1566"/>
      <c r="J144" s="1566"/>
      <c r="K144" s="1566"/>
      <c r="L144" s="1566"/>
      <c r="M144" s="1566"/>
      <c r="N144" s="1572">
        <v>81684</v>
      </c>
      <c r="O144" s="1572">
        <v>49578</v>
      </c>
      <c r="P144" s="1566"/>
      <c r="Q144" s="1565"/>
      <c r="R144" s="1566"/>
    </row>
    <row r="145" spans="1:18" ht="12" customHeight="1">
      <c r="A145" s="1565" t="s">
        <v>2011</v>
      </c>
      <c r="B145" s="1566"/>
      <c r="C145" s="1565" t="s">
        <v>2425</v>
      </c>
      <c r="D145" s="1571">
        <v>5.75</v>
      </c>
      <c r="E145" s="1566" t="s">
        <v>1149</v>
      </c>
      <c r="F145" s="1571">
        <v>75.400000000000006</v>
      </c>
      <c r="G145" s="1571">
        <v>6.28</v>
      </c>
      <c r="H145" s="1566"/>
      <c r="I145" s="1566"/>
      <c r="J145" s="1566"/>
      <c r="K145" s="1566"/>
      <c r="L145" s="1566"/>
      <c r="M145" s="1566"/>
      <c r="N145" s="1566"/>
      <c r="O145" s="1566"/>
      <c r="P145" s="1566"/>
      <c r="Q145" s="1572"/>
      <c r="R145" s="1566"/>
    </row>
    <row r="146" spans="1:18" ht="12" customHeight="1">
      <c r="A146" s="1565" t="s">
        <v>1973</v>
      </c>
      <c r="B146" s="1566"/>
      <c r="C146" s="1565" t="s">
        <v>724</v>
      </c>
      <c r="D146" s="1572">
        <v>13047</v>
      </c>
      <c r="E146" s="1566" t="s">
        <v>1988</v>
      </c>
      <c r="F146" s="1571">
        <v>77.66</v>
      </c>
      <c r="G146" s="1571">
        <v>6.47</v>
      </c>
      <c r="H146" s="1565"/>
      <c r="I146" s="1566"/>
      <c r="J146" s="1566"/>
      <c r="K146" s="1566"/>
      <c r="L146" s="1566"/>
      <c r="M146" s="1566"/>
      <c r="N146" s="1566"/>
      <c r="O146" s="1566"/>
      <c r="P146" s="1566"/>
      <c r="Q146" s="1566"/>
      <c r="R146" s="1566"/>
    </row>
    <row r="147" spans="1:18" ht="12" customHeight="1">
      <c r="A147" s="1565" t="s">
        <v>1972</v>
      </c>
      <c r="B147" s="1566"/>
      <c r="C147" s="1566"/>
      <c r="D147" s="1572">
        <v>156561</v>
      </c>
      <c r="E147" s="1566"/>
      <c r="F147" s="1566"/>
      <c r="G147" s="1566"/>
      <c r="H147" s="1566"/>
      <c r="I147" s="1566"/>
      <c r="J147" s="1566"/>
      <c r="K147" s="1566"/>
      <c r="L147" s="1566"/>
      <c r="M147" s="1566"/>
      <c r="N147" s="1566"/>
      <c r="O147" s="1566"/>
      <c r="P147" s="1566"/>
      <c r="Q147" s="1566"/>
      <c r="R147" s="1566"/>
    </row>
    <row r="148" spans="1:18" ht="12" customHeight="1">
      <c r="A148" s="1566"/>
      <c r="B148" s="1566"/>
      <c r="C148" s="1566"/>
      <c r="D148" s="1566"/>
      <c r="E148" s="1566"/>
      <c r="F148" s="1566"/>
      <c r="G148" s="1566"/>
      <c r="H148" s="1566"/>
      <c r="I148" s="1566"/>
      <c r="J148" s="1566"/>
      <c r="K148" s="1566"/>
      <c r="L148" s="1566"/>
      <c r="M148" s="1566"/>
      <c r="N148" s="1566"/>
      <c r="O148" s="1566"/>
      <c r="P148" s="1566"/>
      <c r="Q148" s="1566"/>
      <c r="R148" s="1566"/>
    </row>
    <row r="149" spans="1:18" ht="12" customHeight="1">
      <c r="A149" s="1565" t="s">
        <v>2433</v>
      </c>
      <c r="B149" s="1570">
        <v>2269</v>
      </c>
      <c r="C149" s="1565" t="s">
        <v>217</v>
      </c>
      <c r="D149" s="1571">
        <v>69</v>
      </c>
      <c r="E149" s="1566" t="s">
        <v>2393</v>
      </c>
      <c r="F149" s="1571">
        <v>71.069999999999993</v>
      </c>
      <c r="G149" s="1571">
        <v>5.92</v>
      </c>
      <c r="H149" s="1565" t="s">
        <v>1976</v>
      </c>
      <c r="I149" s="1565" t="s">
        <v>1976</v>
      </c>
      <c r="J149" s="1566"/>
      <c r="K149" s="1565" t="s">
        <v>462</v>
      </c>
      <c r="L149" s="1566"/>
      <c r="M149" s="1565" t="s">
        <v>539</v>
      </c>
      <c r="N149" s="1571">
        <v>36</v>
      </c>
      <c r="O149" s="1571">
        <v>21.85</v>
      </c>
      <c r="P149" s="1566"/>
      <c r="Q149" s="1565"/>
      <c r="R149" s="1565" t="s">
        <v>2403</v>
      </c>
    </row>
    <row r="150" spans="1:18" ht="12" customHeight="1">
      <c r="A150" s="1565" t="s">
        <v>2012</v>
      </c>
      <c r="B150" s="1573">
        <v>5.6877146366530497E-2</v>
      </c>
      <c r="C150" s="1565" t="s">
        <v>1974</v>
      </c>
      <c r="D150" s="1572">
        <v>156561</v>
      </c>
      <c r="E150" s="1566" t="s">
        <v>2427</v>
      </c>
      <c r="F150" s="1571">
        <v>73.2</v>
      </c>
      <c r="G150" s="1571">
        <v>6.1</v>
      </c>
      <c r="H150" s="1565"/>
      <c r="I150" s="1566"/>
      <c r="J150" s="1566"/>
      <c r="K150" s="1566"/>
      <c r="L150" s="1566"/>
      <c r="M150" s="1566"/>
      <c r="N150" s="1572">
        <v>81684</v>
      </c>
      <c r="O150" s="1572">
        <v>49578</v>
      </c>
      <c r="P150" s="1566"/>
      <c r="Q150" s="1565"/>
      <c r="R150" s="1566"/>
    </row>
    <row r="151" spans="1:18" ht="12" customHeight="1">
      <c r="A151" s="1565" t="s">
        <v>2434</v>
      </c>
      <c r="B151" s="1566"/>
      <c r="C151" s="1565" t="s">
        <v>2425</v>
      </c>
      <c r="D151" s="1571">
        <v>5.75</v>
      </c>
      <c r="E151" s="1566" t="s">
        <v>2428</v>
      </c>
      <c r="F151" s="1571">
        <v>75.400000000000006</v>
      </c>
      <c r="G151" s="1571">
        <v>6.28</v>
      </c>
      <c r="H151" s="1566"/>
      <c r="I151" s="1566"/>
      <c r="J151" s="1566"/>
      <c r="K151" s="1566"/>
      <c r="L151" s="1566"/>
      <c r="M151" s="1566"/>
      <c r="N151" s="1566"/>
      <c r="O151" s="1566"/>
      <c r="P151" s="1566"/>
      <c r="Q151" s="1572"/>
      <c r="R151" s="1566"/>
    </row>
    <row r="152" spans="1:18" ht="12" customHeight="1">
      <c r="A152" s="1565" t="s">
        <v>1973</v>
      </c>
      <c r="B152" s="1566"/>
      <c r="C152" s="1565" t="s">
        <v>724</v>
      </c>
      <c r="D152" s="1572">
        <v>13047</v>
      </c>
      <c r="E152" s="1566" t="s">
        <v>2430</v>
      </c>
      <c r="F152" s="1571">
        <v>77.66</v>
      </c>
      <c r="G152" s="1571">
        <v>6.47</v>
      </c>
      <c r="H152" s="1565"/>
      <c r="I152" s="1566"/>
      <c r="J152" s="1566"/>
      <c r="K152" s="1566"/>
      <c r="L152" s="1566"/>
      <c r="M152" s="1566"/>
      <c r="N152" s="1566"/>
      <c r="O152" s="1566"/>
      <c r="P152" s="1566"/>
      <c r="Q152" s="1566"/>
      <c r="R152" s="1566"/>
    </row>
    <row r="153" spans="1:18" ht="12" customHeight="1">
      <c r="A153" s="1565" t="s">
        <v>1972</v>
      </c>
      <c r="B153" s="1566"/>
      <c r="C153" s="1566"/>
      <c r="D153" s="1572">
        <v>156561</v>
      </c>
      <c r="E153" s="1566"/>
      <c r="F153" s="1566"/>
      <c r="G153" s="1566"/>
      <c r="H153" s="1566"/>
      <c r="I153" s="1566"/>
      <c r="J153" s="1566"/>
      <c r="K153" s="1566"/>
      <c r="L153" s="1566"/>
      <c r="M153" s="1566"/>
      <c r="N153" s="1566"/>
      <c r="O153" s="1566"/>
      <c r="P153" s="1566"/>
      <c r="Q153" s="1566"/>
      <c r="R153" s="1566"/>
    </row>
    <row r="154" spans="1:18" ht="12" customHeight="1">
      <c r="A154" s="1566"/>
      <c r="B154" s="1566"/>
      <c r="C154" s="1566"/>
      <c r="D154" s="1566"/>
      <c r="E154" s="1566"/>
      <c r="F154" s="1566"/>
      <c r="G154" s="1566"/>
      <c r="H154" s="1566"/>
      <c r="I154" s="1566"/>
      <c r="J154" s="1566"/>
      <c r="K154" s="1566"/>
      <c r="L154" s="1566"/>
      <c r="M154" s="1566"/>
      <c r="N154" s="1566"/>
      <c r="O154" s="1566"/>
      <c r="P154" s="1566"/>
      <c r="Q154" s="1566"/>
      <c r="R154" s="1566"/>
    </row>
    <row r="155" spans="1:18" ht="12" customHeight="1">
      <c r="A155" s="1565" t="s">
        <v>2435</v>
      </c>
      <c r="B155" s="1570">
        <v>1746</v>
      </c>
      <c r="C155" s="1565" t="s">
        <v>1979</v>
      </c>
      <c r="D155" s="1571">
        <v>35.57</v>
      </c>
      <c r="E155" s="1566" t="s">
        <v>2010</v>
      </c>
      <c r="F155" s="1571">
        <v>36.64</v>
      </c>
      <c r="G155" s="1571">
        <v>3.05</v>
      </c>
      <c r="H155" s="1565" t="s">
        <v>1976</v>
      </c>
      <c r="I155" s="1565" t="s">
        <v>1976</v>
      </c>
      <c r="J155" s="1566"/>
      <c r="K155" s="1565" t="s">
        <v>462</v>
      </c>
      <c r="L155" s="1566"/>
      <c r="M155" s="1565" t="s">
        <v>1983</v>
      </c>
      <c r="N155" s="1571">
        <v>0</v>
      </c>
      <c r="O155" s="1571">
        <v>0</v>
      </c>
      <c r="P155" s="1566"/>
      <c r="Q155" s="1565"/>
      <c r="R155" s="1565" t="s">
        <v>2403</v>
      </c>
    </row>
    <row r="156" spans="1:18" ht="12" customHeight="1">
      <c r="A156" s="1565" t="s">
        <v>2009</v>
      </c>
      <c r="B156" s="1573">
        <v>4.4574929793209102E-2</v>
      </c>
      <c r="C156" s="1565" t="s">
        <v>1977</v>
      </c>
      <c r="D156" s="1572">
        <v>62109</v>
      </c>
      <c r="E156" s="1566" t="s">
        <v>1030</v>
      </c>
      <c r="F156" s="1571">
        <v>75.39</v>
      </c>
      <c r="G156" s="1571">
        <v>6.28</v>
      </c>
      <c r="H156" s="1565"/>
      <c r="I156" s="1566"/>
      <c r="J156" s="1566"/>
      <c r="K156" s="1566"/>
      <c r="L156" s="1566"/>
      <c r="M156" s="1566"/>
      <c r="N156" s="1572">
        <v>0</v>
      </c>
      <c r="O156" s="1572">
        <v>0</v>
      </c>
      <c r="P156" s="1566"/>
      <c r="Q156" s="1565"/>
      <c r="R156" s="1566"/>
    </row>
    <row r="157" spans="1:18" ht="12" customHeight="1">
      <c r="A157" s="1565" t="s">
        <v>2436</v>
      </c>
      <c r="B157" s="1566"/>
      <c r="C157" s="1565" t="s">
        <v>2425</v>
      </c>
      <c r="D157" s="1571">
        <v>2.96</v>
      </c>
      <c r="E157" s="1566" t="s">
        <v>1038</v>
      </c>
      <c r="F157" s="1571">
        <v>77.650000000000006</v>
      </c>
      <c r="G157" s="1571">
        <v>6.47</v>
      </c>
      <c r="H157" s="1566"/>
      <c r="I157" s="1566"/>
      <c r="J157" s="1566"/>
      <c r="K157" s="1566"/>
      <c r="L157" s="1566"/>
      <c r="M157" s="1566"/>
      <c r="N157" s="1566"/>
      <c r="O157" s="1566"/>
      <c r="P157" s="1566"/>
      <c r="Q157" s="1572"/>
      <c r="R157" s="1566"/>
    </row>
    <row r="158" spans="1:18" ht="12" customHeight="1">
      <c r="A158" s="1565" t="s">
        <v>2437</v>
      </c>
      <c r="B158" s="1566"/>
      <c r="C158" s="1565" t="s">
        <v>724</v>
      </c>
      <c r="D158" s="1572">
        <v>5176</v>
      </c>
      <c r="E158" s="1566" t="s">
        <v>1044</v>
      </c>
      <c r="F158" s="1571">
        <v>79.98</v>
      </c>
      <c r="G158" s="1571">
        <v>6.67</v>
      </c>
      <c r="H158" s="1565"/>
      <c r="I158" s="1566"/>
      <c r="J158" s="1566"/>
      <c r="K158" s="1566"/>
      <c r="L158" s="1566"/>
      <c r="M158" s="1566"/>
      <c r="N158" s="1566"/>
      <c r="O158" s="1566"/>
      <c r="P158" s="1566"/>
      <c r="Q158" s="1566"/>
      <c r="R158" s="1566"/>
    </row>
    <row r="159" spans="1:18" ht="12" customHeight="1">
      <c r="A159" s="1565" t="s">
        <v>1972</v>
      </c>
      <c r="B159" s="1566"/>
      <c r="C159" s="1566"/>
      <c r="D159" s="1572">
        <v>120474</v>
      </c>
      <c r="E159" s="1566" t="s">
        <v>1056</v>
      </c>
      <c r="F159" s="1571">
        <v>82.38</v>
      </c>
      <c r="G159" s="1571">
        <v>6.87</v>
      </c>
      <c r="H159" s="1566"/>
      <c r="I159" s="1566"/>
      <c r="J159" s="1566"/>
      <c r="K159" s="1566"/>
      <c r="L159" s="1566"/>
      <c r="M159" s="1566"/>
      <c r="N159" s="1566"/>
      <c r="O159" s="1566"/>
      <c r="P159" s="1566"/>
      <c r="Q159" s="1566"/>
      <c r="R159" s="1566"/>
    </row>
    <row r="160" spans="1:18" ht="12" customHeight="1">
      <c r="A160" s="1566"/>
      <c r="B160" s="1566"/>
      <c r="C160" s="1566"/>
      <c r="D160" s="1566"/>
      <c r="E160" s="1566" t="s">
        <v>1068</v>
      </c>
      <c r="F160" s="1571">
        <v>84.85</v>
      </c>
      <c r="G160" s="1571">
        <v>7.07</v>
      </c>
      <c r="H160" s="1566"/>
      <c r="I160" s="1566"/>
      <c r="J160" s="1566"/>
      <c r="K160" s="1566"/>
      <c r="L160" s="1566"/>
      <c r="M160" s="1566"/>
      <c r="N160" s="1566"/>
      <c r="O160" s="1566"/>
      <c r="P160" s="1566"/>
      <c r="Q160" s="1566"/>
      <c r="R160" s="1566"/>
    </row>
    <row r="161" spans="1:18" ht="12" customHeight="1">
      <c r="A161" s="1566"/>
      <c r="B161" s="1566"/>
      <c r="C161" s="1566"/>
      <c r="D161" s="1566"/>
      <c r="E161" s="1566" t="s">
        <v>1080</v>
      </c>
      <c r="F161" s="1571">
        <v>87.4</v>
      </c>
      <c r="G161" s="1571">
        <v>7.28</v>
      </c>
      <c r="H161" s="1566"/>
      <c r="I161" s="1566"/>
      <c r="J161" s="1566"/>
      <c r="K161" s="1566"/>
      <c r="L161" s="1566"/>
      <c r="M161" s="1566"/>
      <c r="N161" s="1566"/>
      <c r="O161" s="1566"/>
      <c r="P161" s="1566"/>
      <c r="Q161" s="1566"/>
      <c r="R161" s="1566"/>
    </row>
    <row r="162" spans="1:18" ht="12" customHeight="1">
      <c r="A162" s="1566"/>
      <c r="B162" s="1566"/>
      <c r="C162" s="1566"/>
      <c r="D162" s="1566"/>
      <c r="E162" s="1566" t="s">
        <v>1092</v>
      </c>
      <c r="F162" s="1571">
        <v>90.02</v>
      </c>
      <c r="G162" s="1571">
        <v>7.5</v>
      </c>
      <c r="H162" s="1566"/>
      <c r="I162" s="1566"/>
      <c r="J162" s="1566"/>
      <c r="K162" s="1566"/>
      <c r="L162" s="1566"/>
      <c r="M162" s="1566"/>
      <c r="N162" s="1566"/>
      <c r="O162" s="1566"/>
      <c r="P162" s="1566"/>
      <c r="Q162" s="1566"/>
      <c r="R162" s="1566"/>
    </row>
    <row r="163" spans="1:18" ht="12" customHeight="1">
      <c r="A163" s="1566"/>
      <c r="B163" s="1566"/>
      <c r="C163" s="1566"/>
      <c r="D163" s="1566"/>
      <c r="E163" s="1566"/>
      <c r="F163" s="1566"/>
      <c r="G163" s="1566"/>
      <c r="H163" s="1566"/>
      <c r="I163" s="1566"/>
      <c r="J163" s="1566"/>
      <c r="K163" s="1566"/>
      <c r="L163" s="1566"/>
      <c r="M163" s="1566"/>
      <c r="N163" s="1566"/>
      <c r="O163" s="1566"/>
      <c r="P163" s="1566"/>
      <c r="Q163" s="1566"/>
      <c r="R163" s="1566"/>
    </row>
    <row r="164" spans="1:18" ht="12" customHeight="1">
      <c r="A164" s="1565" t="s">
        <v>2435</v>
      </c>
      <c r="B164" s="1570">
        <v>1746</v>
      </c>
      <c r="C164" s="1565" t="s">
        <v>217</v>
      </c>
      <c r="D164" s="1571">
        <v>69</v>
      </c>
      <c r="E164" s="1566" t="s">
        <v>1117</v>
      </c>
      <c r="F164" s="1571">
        <v>71.069999999999993</v>
      </c>
      <c r="G164" s="1571">
        <v>5.92</v>
      </c>
      <c r="H164" s="1565" t="s">
        <v>1976</v>
      </c>
      <c r="I164" s="1565" t="s">
        <v>1976</v>
      </c>
      <c r="J164" s="1566"/>
      <c r="K164" s="1565" t="s">
        <v>462</v>
      </c>
      <c r="L164" s="1566"/>
      <c r="M164" s="1565" t="s">
        <v>539</v>
      </c>
      <c r="N164" s="1571">
        <v>36</v>
      </c>
      <c r="O164" s="1571">
        <v>21.85</v>
      </c>
      <c r="P164" s="1566"/>
      <c r="Q164" s="1565"/>
      <c r="R164" s="1565" t="s">
        <v>2403</v>
      </c>
    </row>
    <row r="165" spans="1:18" ht="12" customHeight="1">
      <c r="A165" s="1565" t="s">
        <v>2009</v>
      </c>
      <c r="B165" s="1573">
        <v>4.4049751494815499E-2</v>
      </c>
      <c r="C165" s="1565" t="s">
        <v>1974</v>
      </c>
      <c r="D165" s="1572">
        <v>120474</v>
      </c>
      <c r="E165" s="1566" t="s">
        <v>1129</v>
      </c>
      <c r="F165" s="1571">
        <v>73.2</v>
      </c>
      <c r="G165" s="1571">
        <v>6.1</v>
      </c>
      <c r="H165" s="1565"/>
      <c r="I165" s="1566"/>
      <c r="J165" s="1566"/>
      <c r="K165" s="1566"/>
      <c r="L165" s="1566"/>
      <c r="M165" s="1566"/>
      <c r="N165" s="1572">
        <v>62856</v>
      </c>
      <c r="O165" s="1572">
        <v>38150</v>
      </c>
      <c r="P165" s="1566"/>
      <c r="Q165" s="1565"/>
      <c r="R165" s="1566"/>
    </row>
    <row r="166" spans="1:18" ht="12" customHeight="1">
      <c r="A166" s="1565" t="s">
        <v>2438</v>
      </c>
      <c r="B166" s="1566"/>
      <c r="C166" s="1565" t="s">
        <v>2425</v>
      </c>
      <c r="D166" s="1571">
        <v>5.75</v>
      </c>
      <c r="E166" s="1566" t="s">
        <v>1141</v>
      </c>
      <c r="F166" s="1571">
        <v>75.400000000000006</v>
      </c>
      <c r="G166" s="1571">
        <v>6.28</v>
      </c>
      <c r="H166" s="1566"/>
      <c r="I166" s="1566"/>
      <c r="J166" s="1566"/>
      <c r="K166" s="1566"/>
      <c r="L166" s="1566"/>
      <c r="M166" s="1566"/>
      <c r="N166" s="1566"/>
      <c r="O166" s="1566"/>
      <c r="P166" s="1566"/>
      <c r="Q166" s="1572"/>
      <c r="R166" s="1566"/>
    </row>
    <row r="167" spans="1:18" ht="12" customHeight="1">
      <c r="A167" s="1565" t="s">
        <v>1973</v>
      </c>
      <c r="B167" s="1566"/>
      <c r="C167" s="1565" t="s">
        <v>724</v>
      </c>
      <c r="D167" s="1572">
        <v>10040</v>
      </c>
      <c r="E167" s="1566" t="s">
        <v>2205</v>
      </c>
      <c r="F167" s="1571">
        <v>77.66</v>
      </c>
      <c r="G167" s="1571">
        <v>6.47</v>
      </c>
      <c r="H167" s="1565"/>
      <c r="I167" s="1566"/>
      <c r="J167" s="1566"/>
      <c r="K167" s="1566"/>
      <c r="L167" s="1566"/>
      <c r="M167" s="1566"/>
      <c r="N167" s="1566"/>
      <c r="O167" s="1566"/>
      <c r="P167" s="1566"/>
      <c r="Q167" s="1566"/>
      <c r="R167" s="1566"/>
    </row>
    <row r="168" spans="1:18" ht="12" customHeight="1">
      <c r="A168" s="1565" t="s">
        <v>1972</v>
      </c>
      <c r="B168" s="1566"/>
      <c r="C168" s="1566"/>
      <c r="D168" s="1572">
        <v>120474</v>
      </c>
      <c r="E168" s="1566"/>
      <c r="F168" s="1566"/>
      <c r="G168" s="1566"/>
      <c r="H168" s="1566"/>
      <c r="I168" s="1566"/>
      <c r="J168" s="1566"/>
      <c r="K168" s="1566"/>
      <c r="L168" s="1566"/>
      <c r="M168" s="1566"/>
      <c r="N168" s="1566"/>
      <c r="O168" s="1566"/>
      <c r="P168" s="1566"/>
      <c r="Q168" s="1566"/>
      <c r="R168" s="1566"/>
    </row>
    <row r="169" spans="1:18" ht="12" customHeight="1">
      <c r="A169" s="1566"/>
      <c r="B169" s="1566"/>
      <c r="C169" s="1566"/>
      <c r="D169" s="1566"/>
      <c r="E169" s="1566"/>
      <c r="F169" s="1566"/>
      <c r="G169" s="1566"/>
      <c r="H169" s="1566"/>
      <c r="I169" s="1566"/>
      <c r="J169" s="1566"/>
      <c r="K169" s="1566"/>
      <c r="L169" s="1566"/>
      <c r="M169" s="1566"/>
      <c r="N169" s="1566"/>
      <c r="O169" s="1566"/>
      <c r="P169" s="1566"/>
      <c r="Q169" s="1566"/>
      <c r="R169" s="1566"/>
    </row>
    <row r="170" spans="1:18" ht="12" customHeight="1">
      <c r="A170" s="1565" t="s">
        <v>2435</v>
      </c>
      <c r="B170" s="1570">
        <v>1746</v>
      </c>
      <c r="C170" s="1565" t="s">
        <v>217</v>
      </c>
      <c r="D170" s="1571">
        <v>69</v>
      </c>
      <c r="E170" s="1566" t="s">
        <v>2309</v>
      </c>
      <c r="F170" s="1571">
        <v>71.069999999999993</v>
      </c>
      <c r="G170" s="1571">
        <v>5.92</v>
      </c>
      <c r="H170" s="1565" t="s">
        <v>1976</v>
      </c>
      <c r="I170" s="1565" t="s">
        <v>1976</v>
      </c>
      <c r="J170" s="1566"/>
      <c r="K170" s="1565" t="s">
        <v>462</v>
      </c>
      <c r="L170" s="1566"/>
      <c r="M170" s="1565" t="s">
        <v>539</v>
      </c>
      <c r="N170" s="1571">
        <v>36</v>
      </c>
      <c r="O170" s="1571">
        <v>21.85</v>
      </c>
      <c r="P170" s="1566"/>
      <c r="Q170" s="1565"/>
      <c r="R170" s="1565" t="s">
        <v>2403</v>
      </c>
    </row>
    <row r="171" spans="1:18" ht="12" customHeight="1">
      <c r="A171" s="1565" t="s">
        <v>2009</v>
      </c>
      <c r="B171" s="1573">
        <v>4.3767076930789899E-2</v>
      </c>
      <c r="C171" s="1565" t="s">
        <v>1974</v>
      </c>
      <c r="D171" s="1572">
        <v>120474</v>
      </c>
      <c r="E171" s="1566" t="s">
        <v>2396</v>
      </c>
      <c r="F171" s="1571">
        <v>73.2</v>
      </c>
      <c r="G171" s="1571">
        <v>6.1</v>
      </c>
      <c r="H171" s="1565"/>
      <c r="I171" s="1566"/>
      <c r="J171" s="1566"/>
      <c r="K171" s="1566"/>
      <c r="L171" s="1566"/>
      <c r="M171" s="1566"/>
      <c r="N171" s="1572">
        <v>62856</v>
      </c>
      <c r="O171" s="1572">
        <v>38150</v>
      </c>
      <c r="P171" s="1566"/>
      <c r="Q171" s="1565"/>
      <c r="R171" s="1566"/>
    </row>
    <row r="172" spans="1:18" ht="12" customHeight="1">
      <c r="A172" s="1565" t="s">
        <v>2439</v>
      </c>
      <c r="B172" s="1566"/>
      <c r="C172" s="1565" t="s">
        <v>2425</v>
      </c>
      <c r="D172" s="1571">
        <v>5.75</v>
      </c>
      <c r="E172" s="1566" t="s">
        <v>2440</v>
      </c>
      <c r="F172" s="1571">
        <v>75.400000000000006</v>
      </c>
      <c r="G172" s="1571">
        <v>6.28</v>
      </c>
      <c r="H172" s="1566"/>
      <c r="I172" s="1566"/>
      <c r="J172" s="1566"/>
      <c r="K172" s="1566"/>
      <c r="L172" s="1566"/>
      <c r="M172" s="1566"/>
      <c r="N172" s="1566"/>
      <c r="O172" s="1566"/>
      <c r="P172" s="1566"/>
      <c r="Q172" s="1572"/>
      <c r="R172" s="1566"/>
    </row>
    <row r="173" spans="1:18" ht="12" customHeight="1">
      <c r="A173" s="1565" t="s">
        <v>1973</v>
      </c>
      <c r="B173" s="1566"/>
      <c r="C173" s="1565" t="s">
        <v>724</v>
      </c>
      <c r="D173" s="1572">
        <v>10040</v>
      </c>
      <c r="E173" s="1566" t="s">
        <v>2441</v>
      </c>
      <c r="F173" s="1571">
        <v>77.66</v>
      </c>
      <c r="G173" s="1571">
        <v>6.47</v>
      </c>
      <c r="H173" s="1565"/>
      <c r="I173" s="1566"/>
      <c r="J173" s="1566"/>
      <c r="K173" s="1566"/>
      <c r="L173" s="1566"/>
      <c r="M173" s="1566"/>
      <c r="N173" s="1566"/>
      <c r="O173" s="1566"/>
      <c r="P173" s="1566"/>
      <c r="Q173" s="1566"/>
      <c r="R173" s="1566"/>
    </row>
    <row r="174" spans="1:18" ht="12" customHeight="1">
      <c r="A174" s="1565" t="s">
        <v>1972</v>
      </c>
      <c r="B174" s="1566"/>
      <c r="C174" s="1566"/>
      <c r="D174" s="1572">
        <v>120474</v>
      </c>
      <c r="E174" s="1566"/>
      <c r="F174" s="1566"/>
      <c r="G174" s="1566"/>
      <c r="H174" s="1566"/>
      <c r="I174" s="1566"/>
      <c r="J174" s="1566"/>
      <c r="K174" s="1566"/>
      <c r="L174" s="1566"/>
      <c r="M174" s="1566"/>
      <c r="N174" s="1566"/>
      <c r="O174" s="1566"/>
      <c r="P174" s="1566"/>
      <c r="Q174" s="1566"/>
      <c r="R174" s="1566"/>
    </row>
    <row r="175" spans="1:18" ht="12" customHeight="1">
      <c r="A175" s="1566"/>
      <c r="B175" s="1566"/>
      <c r="C175" s="1566"/>
      <c r="D175" s="1566"/>
      <c r="E175" s="1566"/>
      <c r="F175" s="1566"/>
      <c r="G175" s="1566"/>
      <c r="H175" s="1566"/>
      <c r="I175" s="1566"/>
      <c r="J175" s="1566"/>
      <c r="K175" s="1566"/>
      <c r="L175" s="1566"/>
      <c r="M175" s="1566"/>
      <c r="N175" s="1566"/>
      <c r="O175" s="1566"/>
      <c r="P175" s="1566"/>
      <c r="Q175" s="1566"/>
      <c r="R175" s="1566"/>
    </row>
    <row r="176" spans="1:18" ht="12" customHeight="1">
      <c r="A176" s="1565" t="s">
        <v>2442</v>
      </c>
      <c r="B176" s="1570">
        <v>4288</v>
      </c>
      <c r="C176" s="1565" t="s">
        <v>1979</v>
      </c>
      <c r="D176" s="1571">
        <v>63</v>
      </c>
      <c r="E176" s="1566" t="s">
        <v>2007</v>
      </c>
      <c r="F176" s="1571">
        <v>65.52</v>
      </c>
      <c r="G176" s="1571">
        <v>5.46</v>
      </c>
      <c r="H176" s="1565" t="s">
        <v>1976</v>
      </c>
      <c r="I176" s="1565" t="s">
        <v>1976</v>
      </c>
      <c r="J176" s="1566"/>
      <c r="K176" s="1565" t="s">
        <v>462</v>
      </c>
      <c r="L176" s="1566"/>
      <c r="M176" s="1565" t="s">
        <v>2006</v>
      </c>
      <c r="N176" s="1571">
        <v>50</v>
      </c>
      <c r="O176" s="1571">
        <v>35.96</v>
      </c>
      <c r="P176" s="1566"/>
      <c r="Q176" s="1565"/>
      <c r="R176" s="1565" t="s">
        <v>2403</v>
      </c>
    </row>
    <row r="177" spans="1:18" ht="12" customHeight="1">
      <c r="A177" s="1565" t="s">
        <v>2002</v>
      </c>
      <c r="B177" s="1573">
        <v>0.10947153433750299</v>
      </c>
      <c r="C177" s="1565" t="s">
        <v>1977</v>
      </c>
      <c r="D177" s="1572">
        <v>270144</v>
      </c>
      <c r="E177" s="1566" t="s">
        <v>2005</v>
      </c>
      <c r="F177" s="1571">
        <v>68.14</v>
      </c>
      <c r="G177" s="1571">
        <v>5.68</v>
      </c>
      <c r="H177" s="1565"/>
      <c r="I177" s="1566"/>
      <c r="J177" s="1566"/>
      <c r="K177" s="1566"/>
      <c r="L177" s="1566"/>
      <c r="M177" s="1566"/>
      <c r="N177" s="1572">
        <v>214400</v>
      </c>
      <c r="O177" s="1572">
        <v>154203</v>
      </c>
      <c r="P177" s="1566"/>
      <c r="Q177" s="1565"/>
      <c r="R177" s="1566"/>
    </row>
    <row r="178" spans="1:18" ht="12" customHeight="1">
      <c r="A178" s="1565" t="s">
        <v>2004</v>
      </c>
      <c r="B178" s="1566"/>
      <c r="C178" s="1565" t="s">
        <v>2404</v>
      </c>
      <c r="D178" s="1571">
        <v>5.25</v>
      </c>
      <c r="E178" s="1566" t="s">
        <v>1037</v>
      </c>
      <c r="F178" s="1571">
        <v>70.87</v>
      </c>
      <c r="G178" s="1571">
        <v>5.91</v>
      </c>
      <c r="H178" s="1566"/>
      <c r="I178" s="1566"/>
      <c r="J178" s="1566"/>
      <c r="K178" s="1566"/>
      <c r="L178" s="1566"/>
      <c r="M178" s="1566"/>
      <c r="N178" s="1566"/>
      <c r="O178" s="1566"/>
      <c r="P178" s="1566"/>
      <c r="Q178" s="1572"/>
      <c r="R178" s="1566"/>
    </row>
    <row r="179" spans="1:18" ht="12" customHeight="1">
      <c r="A179" s="1565" t="s">
        <v>1984</v>
      </c>
      <c r="B179" s="1566"/>
      <c r="C179" s="1565" t="s">
        <v>724</v>
      </c>
      <c r="D179" s="1572">
        <v>22512</v>
      </c>
      <c r="E179" s="1566" t="s">
        <v>1043</v>
      </c>
      <c r="F179" s="1571">
        <v>73.7</v>
      </c>
      <c r="G179" s="1571">
        <v>6.14</v>
      </c>
      <c r="H179" s="1565"/>
      <c r="I179" s="1566"/>
      <c r="J179" s="1566"/>
      <c r="K179" s="1566"/>
      <c r="L179" s="1566"/>
      <c r="M179" s="1566"/>
      <c r="N179" s="1566"/>
      <c r="O179" s="1566"/>
      <c r="P179" s="1566"/>
      <c r="Q179" s="1566"/>
      <c r="R179" s="1566"/>
    </row>
    <row r="180" spans="1:18" ht="12" customHeight="1">
      <c r="A180" s="1565" t="s">
        <v>1972</v>
      </c>
      <c r="B180" s="1566"/>
      <c r="C180" s="1566"/>
      <c r="D180" s="1572">
        <v>334464</v>
      </c>
      <c r="E180" s="1566"/>
      <c r="F180" s="1566"/>
      <c r="G180" s="1566"/>
      <c r="H180" s="1566"/>
      <c r="I180" s="1566"/>
      <c r="J180" s="1566"/>
      <c r="K180" s="1566"/>
      <c r="L180" s="1566"/>
      <c r="M180" s="1566"/>
      <c r="N180" s="1566"/>
      <c r="O180" s="1566"/>
      <c r="P180" s="1566"/>
      <c r="Q180" s="1566"/>
      <c r="R180" s="1566"/>
    </row>
    <row r="181" spans="1:18" ht="12" customHeight="1">
      <c r="A181" s="1566"/>
      <c r="B181" s="1566"/>
      <c r="C181" s="1566"/>
      <c r="D181" s="1566"/>
      <c r="E181" s="1566"/>
      <c r="F181" s="1566"/>
      <c r="G181" s="1566"/>
      <c r="H181" s="1566"/>
      <c r="I181" s="1566"/>
      <c r="J181" s="1566"/>
      <c r="K181" s="1566"/>
      <c r="L181" s="1566"/>
      <c r="M181" s="1566"/>
      <c r="N181" s="1566"/>
      <c r="O181" s="1566"/>
      <c r="P181" s="1566"/>
      <c r="Q181" s="1566"/>
      <c r="R181" s="1566"/>
    </row>
    <row r="182" spans="1:18" ht="12" customHeight="1">
      <c r="A182" s="1565" t="s">
        <v>2442</v>
      </c>
      <c r="B182" s="1570">
        <v>4288</v>
      </c>
      <c r="C182" s="1565" t="s">
        <v>217</v>
      </c>
      <c r="D182" s="1571">
        <v>78</v>
      </c>
      <c r="E182" s="1566" t="s">
        <v>1067</v>
      </c>
      <c r="F182" s="1571">
        <v>80.34</v>
      </c>
      <c r="G182" s="1571">
        <v>6.7</v>
      </c>
      <c r="H182" s="1565" t="s">
        <v>1976</v>
      </c>
      <c r="I182" s="1565" t="s">
        <v>1976</v>
      </c>
      <c r="J182" s="1566"/>
      <c r="K182" s="1565" t="s">
        <v>462</v>
      </c>
      <c r="L182" s="1566"/>
      <c r="M182" s="1565" t="s">
        <v>539</v>
      </c>
      <c r="N182" s="1571">
        <v>36</v>
      </c>
      <c r="O182" s="1571">
        <v>24.7</v>
      </c>
      <c r="P182" s="1566"/>
      <c r="Q182" s="1565"/>
      <c r="R182" s="1565" t="s">
        <v>2403</v>
      </c>
    </row>
    <row r="183" spans="1:18" ht="12" customHeight="1">
      <c r="A183" s="1565" t="s">
        <v>2002</v>
      </c>
      <c r="B183" s="1573">
        <v>0.10958624038437</v>
      </c>
      <c r="C183" s="1565" t="s">
        <v>1974</v>
      </c>
      <c r="D183" s="1572">
        <v>334464</v>
      </c>
      <c r="E183" s="1566" t="s">
        <v>1079</v>
      </c>
      <c r="F183" s="1571">
        <v>82.75</v>
      </c>
      <c r="G183" s="1571">
        <v>6.9</v>
      </c>
      <c r="H183" s="1565"/>
      <c r="I183" s="1566"/>
      <c r="J183" s="1566"/>
      <c r="K183" s="1566"/>
      <c r="L183" s="1566"/>
      <c r="M183" s="1566"/>
      <c r="N183" s="1572">
        <v>154368</v>
      </c>
      <c r="O183" s="1572">
        <v>105913</v>
      </c>
      <c r="P183" s="1566"/>
      <c r="Q183" s="1565"/>
      <c r="R183" s="1566"/>
    </row>
    <row r="184" spans="1:18" ht="12" customHeight="1">
      <c r="A184" s="1565" t="s">
        <v>2003</v>
      </c>
      <c r="B184" s="1566"/>
      <c r="C184" s="1565" t="s">
        <v>2404</v>
      </c>
      <c r="D184" s="1571">
        <v>6.5</v>
      </c>
      <c r="E184" s="1566" t="s">
        <v>1091</v>
      </c>
      <c r="F184" s="1571">
        <v>85.23</v>
      </c>
      <c r="G184" s="1571">
        <v>7.1</v>
      </c>
      <c r="H184" s="1566"/>
      <c r="I184" s="1566"/>
      <c r="J184" s="1566"/>
      <c r="K184" s="1566"/>
      <c r="L184" s="1566"/>
      <c r="M184" s="1566"/>
      <c r="N184" s="1566"/>
      <c r="O184" s="1566"/>
      <c r="P184" s="1566"/>
      <c r="Q184" s="1572"/>
      <c r="R184" s="1566"/>
    </row>
    <row r="185" spans="1:18" ht="12" customHeight="1">
      <c r="A185" s="1565" t="s">
        <v>1973</v>
      </c>
      <c r="B185" s="1566"/>
      <c r="C185" s="1565" t="s">
        <v>724</v>
      </c>
      <c r="D185" s="1572">
        <v>27872</v>
      </c>
      <c r="E185" s="1566" t="s">
        <v>1103</v>
      </c>
      <c r="F185" s="1571">
        <v>87.79</v>
      </c>
      <c r="G185" s="1571">
        <v>7.32</v>
      </c>
      <c r="H185" s="1565"/>
      <c r="I185" s="1566"/>
      <c r="J185" s="1566"/>
      <c r="K185" s="1566"/>
      <c r="L185" s="1566"/>
      <c r="M185" s="1566"/>
      <c r="N185" s="1566"/>
      <c r="O185" s="1566"/>
      <c r="P185" s="1566"/>
      <c r="Q185" s="1566"/>
      <c r="R185" s="1566"/>
    </row>
    <row r="186" spans="1:18" ht="12" customHeight="1">
      <c r="A186" s="1565" t="s">
        <v>1972</v>
      </c>
      <c r="B186" s="1566"/>
      <c r="C186" s="1566"/>
      <c r="D186" s="1572">
        <v>334464</v>
      </c>
      <c r="E186" s="1566"/>
      <c r="F186" s="1566"/>
      <c r="G186" s="1566"/>
      <c r="H186" s="1566"/>
      <c r="I186" s="1566"/>
      <c r="J186" s="1566"/>
      <c r="K186" s="1566"/>
      <c r="L186" s="1566"/>
      <c r="M186" s="1566"/>
      <c r="N186" s="1566"/>
      <c r="O186" s="1566"/>
      <c r="P186" s="1566"/>
      <c r="Q186" s="1566"/>
      <c r="R186" s="1566"/>
    </row>
    <row r="187" spans="1:18" ht="12" customHeight="1">
      <c r="A187" s="1566"/>
      <c r="B187" s="1566"/>
      <c r="C187" s="1566"/>
      <c r="D187" s="1566"/>
      <c r="E187" s="1566"/>
      <c r="F187" s="1566"/>
      <c r="G187" s="1566"/>
      <c r="H187" s="1566"/>
      <c r="I187" s="1566"/>
      <c r="J187" s="1566"/>
      <c r="K187" s="1566"/>
      <c r="L187" s="1566"/>
      <c r="M187" s="1566"/>
      <c r="N187" s="1566"/>
      <c r="O187" s="1566"/>
      <c r="P187" s="1566"/>
      <c r="Q187" s="1566"/>
      <c r="R187" s="1566"/>
    </row>
    <row r="188" spans="1:18" ht="12" customHeight="1">
      <c r="A188" s="1565" t="s">
        <v>2442</v>
      </c>
      <c r="B188" s="1570">
        <v>4288</v>
      </c>
      <c r="C188" s="1565" t="s">
        <v>217</v>
      </c>
      <c r="D188" s="1571">
        <v>78</v>
      </c>
      <c r="E188" s="1566" t="s">
        <v>1128</v>
      </c>
      <c r="F188" s="1571">
        <v>80.34</v>
      </c>
      <c r="G188" s="1571">
        <v>6.7</v>
      </c>
      <c r="H188" s="1565" t="s">
        <v>1976</v>
      </c>
      <c r="I188" s="1565" t="s">
        <v>1976</v>
      </c>
      <c r="J188" s="1566"/>
      <c r="K188" s="1565" t="s">
        <v>462</v>
      </c>
      <c r="L188" s="1566"/>
      <c r="M188" s="1565" t="s">
        <v>539</v>
      </c>
      <c r="N188" s="1571">
        <v>36</v>
      </c>
      <c r="O188" s="1571">
        <v>24.7</v>
      </c>
      <c r="P188" s="1566"/>
      <c r="Q188" s="1565"/>
      <c r="R188" s="1565" t="s">
        <v>2403</v>
      </c>
    </row>
    <row r="189" spans="1:18" ht="12" customHeight="1">
      <c r="A189" s="1565" t="s">
        <v>2002</v>
      </c>
      <c r="B189" s="1573">
        <v>0.108181749375583</v>
      </c>
      <c r="C189" s="1565" t="s">
        <v>1974</v>
      </c>
      <c r="D189" s="1572">
        <v>334464</v>
      </c>
      <c r="E189" s="1566" t="s">
        <v>1140</v>
      </c>
      <c r="F189" s="1571">
        <v>82.75</v>
      </c>
      <c r="G189" s="1571">
        <v>6.9</v>
      </c>
      <c r="H189" s="1565"/>
      <c r="I189" s="1566"/>
      <c r="J189" s="1566"/>
      <c r="K189" s="1566"/>
      <c r="L189" s="1566"/>
      <c r="M189" s="1566"/>
      <c r="N189" s="1572">
        <v>154368</v>
      </c>
      <c r="O189" s="1572">
        <v>105913</v>
      </c>
      <c r="P189" s="1566"/>
      <c r="Q189" s="1565"/>
      <c r="R189" s="1566"/>
    </row>
    <row r="190" spans="1:18" ht="12" customHeight="1">
      <c r="A190" s="1565" t="s">
        <v>2443</v>
      </c>
      <c r="B190" s="1566"/>
      <c r="C190" s="1565" t="s">
        <v>2404</v>
      </c>
      <c r="D190" s="1571">
        <v>6.5</v>
      </c>
      <c r="E190" s="1566" t="s">
        <v>2001</v>
      </c>
      <c r="F190" s="1571">
        <v>85.23</v>
      </c>
      <c r="G190" s="1571">
        <v>7.1</v>
      </c>
      <c r="H190" s="1566"/>
      <c r="I190" s="1566"/>
      <c r="J190" s="1566"/>
      <c r="K190" s="1566"/>
      <c r="L190" s="1566"/>
      <c r="M190" s="1566"/>
      <c r="N190" s="1566"/>
      <c r="O190" s="1566"/>
      <c r="P190" s="1566"/>
      <c r="Q190" s="1572"/>
      <c r="R190" s="1566"/>
    </row>
    <row r="191" spans="1:18" ht="12" customHeight="1">
      <c r="A191" s="1565" t="s">
        <v>1973</v>
      </c>
      <c r="B191" s="1566"/>
      <c r="C191" s="1565" t="s">
        <v>724</v>
      </c>
      <c r="D191" s="1572">
        <v>27872</v>
      </c>
      <c r="E191" s="1566" t="s">
        <v>2338</v>
      </c>
      <c r="F191" s="1571">
        <v>87.79</v>
      </c>
      <c r="G191" s="1571">
        <v>7.32</v>
      </c>
      <c r="H191" s="1565"/>
      <c r="I191" s="1566"/>
      <c r="J191" s="1566"/>
      <c r="K191" s="1566"/>
      <c r="L191" s="1566"/>
      <c r="M191" s="1566"/>
      <c r="N191" s="1566"/>
      <c r="O191" s="1566"/>
      <c r="P191" s="1566"/>
      <c r="Q191" s="1566"/>
      <c r="R191" s="1566"/>
    </row>
    <row r="192" spans="1:18" ht="12" customHeight="1">
      <c r="A192" s="1565" t="s">
        <v>1972</v>
      </c>
      <c r="B192" s="1566"/>
      <c r="C192" s="1566"/>
      <c r="D192" s="1572">
        <v>334464</v>
      </c>
      <c r="E192" s="1566"/>
      <c r="F192" s="1566"/>
      <c r="G192" s="1566"/>
      <c r="H192" s="1566"/>
      <c r="I192" s="1566"/>
      <c r="J192" s="1566"/>
      <c r="K192" s="1566"/>
      <c r="L192" s="1566"/>
      <c r="M192" s="1566"/>
      <c r="N192" s="1566"/>
      <c r="O192" s="1566"/>
      <c r="P192" s="1566"/>
      <c r="Q192" s="1566"/>
      <c r="R192" s="1566"/>
    </row>
    <row r="193" spans="1:18" ht="12" customHeight="1">
      <c r="A193" s="1566"/>
      <c r="B193" s="1566"/>
      <c r="C193" s="1566"/>
      <c r="D193" s="1566"/>
      <c r="E193" s="1566"/>
      <c r="F193" s="1566"/>
      <c r="G193" s="1566"/>
      <c r="H193" s="1566"/>
      <c r="I193" s="1566"/>
      <c r="J193" s="1566"/>
      <c r="K193" s="1566"/>
      <c r="L193" s="1566"/>
      <c r="M193" s="1566"/>
      <c r="N193" s="1566"/>
      <c r="O193" s="1566"/>
      <c r="P193" s="1566"/>
      <c r="Q193" s="1566"/>
      <c r="R193" s="1566"/>
    </row>
    <row r="194" spans="1:18" ht="12" customHeight="1">
      <c r="A194" s="1565" t="s">
        <v>2442</v>
      </c>
      <c r="B194" s="1570">
        <v>4288</v>
      </c>
      <c r="C194" s="1565" t="s">
        <v>217</v>
      </c>
      <c r="D194" s="1571">
        <v>78</v>
      </c>
      <c r="E194" s="1566" t="s">
        <v>2395</v>
      </c>
      <c r="F194" s="1571">
        <v>80.34</v>
      </c>
      <c r="G194" s="1571">
        <v>6.7</v>
      </c>
      <c r="H194" s="1565" t="s">
        <v>1976</v>
      </c>
      <c r="I194" s="1565" t="s">
        <v>1976</v>
      </c>
      <c r="J194" s="1566"/>
      <c r="K194" s="1565" t="s">
        <v>462</v>
      </c>
      <c r="L194" s="1566"/>
      <c r="M194" s="1565" t="s">
        <v>539</v>
      </c>
      <c r="N194" s="1571">
        <v>36</v>
      </c>
      <c r="O194" s="1571">
        <v>24.7</v>
      </c>
      <c r="P194" s="1566"/>
      <c r="Q194" s="1565"/>
      <c r="R194" s="1565" t="s">
        <v>2403</v>
      </c>
    </row>
    <row r="195" spans="1:18" ht="12" customHeight="1">
      <c r="A195" s="1565" t="s">
        <v>2002</v>
      </c>
      <c r="B195" s="1573">
        <v>0.107487529140451</v>
      </c>
      <c r="C195" s="1565" t="s">
        <v>1974</v>
      </c>
      <c r="D195" s="1572">
        <v>334464</v>
      </c>
      <c r="E195" s="1566" t="s">
        <v>2444</v>
      </c>
      <c r="F195" s="1571">
        <v>82.75</v>
      </c>
      <c r="G195" s="1571">
        <v>6.9</v>
      </c>
      <c r="H195" s="1565"/>
      <c r="I195" s="1566"/>
      <c r="J195" s="1566"/>
      <c r="K195" s="1566"/>
      <c r="L195" s="1566"/>
      <c r="M195" s="1566"/>
      <c r="N195" s="1572">
        <v>154368</v>
      </c>
      <c r="O195" s="1572">
        <v>105913</v>
      </c>
      <c r="P195" s="1566"/>
      <c r="Q195" s="1565"/>
      <c r="R195" s="1566"/>
    </row>
    <row r="196" spans="1:18" ht="12" customHeight="1">
      <c r="A196" s="1565" t="s">
        <v>2445</v>
      </c>
      <c r="B196" s="1566"/>
      <c r="C196" s="1565" t="s">
        <v>2404</v>
      </c>
      <c r="D196" s="1571">
        <v>6.5</v>
      </c>
      <c r="E196" s="1566" t="s">
        <v>2446</v>
      </c>
      <c r="F196" s="1571">
        <v>85.23</v>
      </c>
      <c r="G196" s="1571">
        <v>7.1</v>
      </c>
      <c r="H196" s="1566"/>
      <c r="I196" s="1566"/>
      <c r="J196" s="1566"/>
      <c r="K196" s="1566"/>
      <c r="L196" s="1566"/>
      <c r="M196" s="1566"/>
      <c r="N196" s="1566"/>
      <c r="O196" s="1566"/>
      <c r="P196" s="1566"/>
      <c r="Q196" s="1572"/>
      <c r="R196" s="1566"/>
    </row>
    <row r="197" spans="1:18" ht="12" customHeight="1">
      <c r="A197" s="1565" t="s">
        <v>1973</v>
      </c>
      <c r="B197" s="1566"/>
      <c r="C197" s="1565" t="s">
        <v>724</v>
      </c>
      <c r="D197" s="1572">
        <v>27872</v>
      </c>
      <c r="E197" s="1566" t="s">
        <v>2447</v>
      </c>
      <c r="F197" s="1571">
        <v>87.79</v>
      </c>
      <c r="G197" s="1571">
        <v>7.32</v>
      </c>
      <c r="H197" s="1565"/>
      <c r="I197" s="1566"/>
      <c r="J197" s="1566"/>
      <c r="K197" s="1566"/>
      <c r="L197" s="1566"/>
      <c r="M197" s="1566"/>
      <c r="N197" s="1566"/>
      <c r="O197" s="1566"/>
      <c r="P197" s="1566"/>
      <c r="Q197" s="1566"/>
      <c r="R197" s="1566"/>
    </row>
    <row r="198" spans="1:18" ht="12" customHeight="1">
      <c r="A198" s="1565" t="s">
        <v>1972</v>
      </c>
      <c r="B198" s="1566"/>
      <c r="C198" s="1566"/>
      <c r="D198" s="1572">
        <v>334464</v>
      </c>
      <c r="E198" s="1566"/>
      <c r="F198" s="1566"/>
      <c r="G198" s="1566"/>
      <c r="H198" s="1566"/>
      <c r="I198" s="1566"/>
      <c r="J198" s="1566"/>
      <c r="K198" s="1566"/>
      <c r="L198" s="1566"/>
      <c r="M198" s="1566"/>
      <c r="N198" s="1566"/>
      <c r="O198" s="1566"/>
      <c r="P198" s="1566"/>
      <c r="Q198" s="1566"/>
      <c r="R198" s="1566"/>
    </row>
    <row r="199" spans="1:18" ht="12" customHeight="1">
      <c r="A199" s="1566"/>
      <c r="B199" s="1566"/>
      <c r="C199" s="1566"/>
      <c r="D199" s="1566"/>
      <c r="E199" s="1566"/>
      <c r="F199" s="1566"/>
      <c r="G199" s="1566"/>
      <c r="H199" s="1566"/>
      <c r="I199" s="1566"/>
      <c r="J199" s="1566"/>
      <c r="K199" s="1566"/>
      <c r="L199" s="1566"/>
      <c r="M199" s="1566"/>
      <c r="N199" s="1566"/>
      <c r="O199" s="1566"/>
      <c r="P199" s="1566"/>
      <c r="Q199" s="1566"/>
      <c r="R199" s="1566"/>
    </row>
    <row r="200" spans="1:18" ht="12" customHeight="1">
      <c r="A200" s="1565" t="s">
        <v>2448</v>
      </c>
      <c r="B200" s="1570">
        <v>700</v>
      </c>
      <c r="C200" s="1565" t="s">
        <v>1979</v>
      </c>
      <c r="D200" s="1571">
        <v>0</v>
      </c>
      <c r="E200" s="1566" t="s">
        <v>2449</v>
      </c>
      <c r="F200" s="1571">
        <v>31.56</v>
      </c>
      <c r="G200" s="1571">
        <v>2.63</v>
      </c>
      <c r="H200" s="1565" t="s">
        <v>1976</v>
      </c>
      <c r="I200" s="1565" t="s">
        <v>1976</v>
      </c>
      <c r="J200" s="1566"/>
      <c r="K200" s="1565" t="s">
        <v>462</v>
      </c>
      <c r="L200" s="1566"/>
      <c r="M200" s="1565" t="s">
        <v>2006</v>
      </c>
      <c r="N200" s="1571">
        <v>0</v>
      </c>
      <c r="O200" s="1571">
        <v>8.5500000000000007</v>
      </c>
      <c r="P200" s="1566"/>
      <c r="Q200" s="1565"/>
      <c r="R200" s="1565" t="s">
        <v>2403</v>
      </c>
    </row>
    <row r="201" spans="1:18" ht="12" customHeight="1">
      <c r="A201" s="1565" t="s">
        <v>2002</v>
      </c>
      <c r="B201" s="1573">
        <v>1.7870819504722999E-2</v>
      </c>
      <c r="C201" s="1565" t="s">
        <v>1977</v>
      </c>
      <c r="D201" s="1572">
        <v>0</v>
      </c>
      <c r="E201" s="1566" t="s">
        <v>2007</v>
      </c>
      <c r="F201" s="1571">
        <v>32.880000000000003</v>
      </c>
      <c r="G201" s="1571">
        <v>2.74</v>
      </c>
      <c r="H201" s="1565"/>
      <c r="I201" s="1566"/>
      <c r="J201" s="1566"/>
      <c r="K201" s="1566"/>
      <c r="L201" s="1566"/>
      <c r="M201" s="1566"/>
      <c r="N201" s="1572">
        <v>0</v>
      </c>
      <c r="O201" s="1572">
        <v>5985</v>
      </c>
      <c r="P201" s="1566"/>
      <c r="Q201" s="1565"/>
      <c r="R201" s="1566"/>
    </row>
    <row r="202" spans="1:18" ht="12" customHeight="1">
      <c r="A202" s="1565" t="s">
        <v>2004</v>
      </c>
      <c r="B202" s="1566"/>
      <c r="C202" s="1565" t="s">
        <v>2450</v>
      </c>
      <c r="D202" s="1571">
        <v>0</v>
      </c>
      <c r="E202" s="1566" t="s">
        <v>2005</v>
      </c>
      <c r="F202" s="1571">
        <v>34.08</v>
      </c>
      <c r="G202" s="1571">
        <v>2.84</v>
      </c>
      <c r="H202" s="1566"/>
      <c r="I202" s="1566"/>
      <c r="J202" s="1566"/>
      <c r="K202" s="1566"/>
      <c r="L202" s="1566"/>
      <c r="M202" s="1566"/>
      <c r="N202" s="1566"/>
      <c r="O202" s="1566"/>
      <c r="P202" s="1566"/>
      <c r="Q202" s="1572"/>
      <c r="R202" s="1566"/>
    </row>
    <row r="203" spans="1:18" ht="12" customHeight="1">
      <c r="A203" s="1565" t="s">
        <v>1984</v>
      </c>
      <c r="B203" s="1566"/>
      <c r="C203" s="1565" t="s">
        <v>724</v>
      </c>
      <c r="D203" s="1572">
        <v>0</v>
      </c>
      <c r="E203" s="1566" t="s">
        <v>1037</v>
      </c>
      <c r="F203" s="1571">
        <v>35.520000000000003</v>
      </c>
      <c r="G203" s="1571">
        <v>2.96</v>
      </c>
      <c r="H203" s="1565"/>
      <c r="I203" s="1566"/>
      <c r="J203" s="1566"/>
      <c r="K203" s="1566"/>
      <c r="L203" s="1566"/>
      <c r="M203" s="1566"/>
      <c r="N203" s="1566"/>
      <c r="O203" s="1566"/>
      <c r="P203" s="1566"/>
      <c r="Q203" s="1566"/>
      <c r="R203" s="1566"/>
    </row>
    <row r="204" spans="1:18" ht="12" customHeight="1">
      <c r="A204" s="1565" t="s">
        <v>1972</v>
      </c>
      <c r="B204" s="1566"/>
      <c r="C204" s="1566"/>
      <c r="D204" s="1572">
        <v>27300</v>
      </c>
      <c r="E204" s="1566" t="s">
        <v>1043</v>
      </c>
      <c r="F204" s="1571">
        <v>36.96</v>
      </c>
      <c r="G204" s="1571">
        <v>3.08</v>
      </c>
      <c r="H204" s="1566"/>
      <c r="I204" s="1566"/>
      <c r="J204" s="1566"/>
      <c r="K204" s="1566"/>
      <c r="L204" s="1566"/>
      <c r="M204" s="1566"/>
      <c r="N204" s="1566"/>
      <c r="O204" s="1566"/>
      <c r="P204" s="1566"/>
      <c r="Q204" s="1566"/>
      <c r="R204" s="1566"/>
    </row>
    <row r="205" spans="1:18" ht="12" customHeight="1">
      <c r="A205" s="1566"/>
      <c r="B205" s="1566"/>
      <c r="C205" s="1566"/>
      <c r="D205" s="1566"/>
      <c r="E205" s="1566"/>
      <c r="F205" s="1566"/>
      <c r="G205" s="1566"/>
      <c r="H205" s="1566"/>
      <c r="I205" s="1566"/>
      <c r="J205" s="1566"/>
      <c r="K205" s="1566"/>
      <c r="L205" s="1566"/>
      <c r="M205" s="1566"/>
      <c r="N205" s="1566"/>
      <c r="O205" s="1566"/>
      <c r="P205" s="1566"/>
      <c r="Q205" s="1566"/>
      <c r="R205" s="1566"/>
    </row>
    <row r="206" spans="1:18" ht="12" customHeight="1">
      <c r="A206" s="1565" t="s">
        <v>2448</v>
      </c>
      <c r="B206" s="1570">
        <v>700</v>
      </c>
      <c r="C206" s="1565" t="s">
        <v>217</v>
      </c>
      <c r="D206" s="1571">
        <v>39</v>
      </c>
      <c r="E206" s="1566" t="s">
        <v>1067</v>
      </c>
      <c r="F206" s="1571">
        <v>40.17</v>
      </c>
      <c r="G206" s="1571">
        <v>3.35</v>
      </c>
      <c r="H206" s="1565" t="s">
        <v>1976</v>
      </c>
      <c r="I206" s="1565" t="s">
        <v>1976</v>
      </c>
      <c r="J206" s="1566"/>
      <c r="K206" s="1565" t="s">
        <v>462</v>
      </c>
      <c r="L206" s="1566"/>
      <c r="M206" s="1565" t="s">
        <v>539</v>
      </c>
      <c r="N206" s="1571">
        <v>0</v>
      </c>
      <c r="O206" s="1571">
        <v>12.35</v>
      </c>
      <c r="P206" s="1566"/>
      <c r="Q206" s="1565"/>
      <c r="R206" s="1565" t="s">
        <v>2403</v>
      </c>
    </row>
    <row r="207" spans="1:18" ht="12" customHeight="1">
      <c r="A207" s="1565" t="s">
        <v>2002</v>
      </c>
      <c r="B207" s="1573">
        <v>1.78895448388663E-2</v>
      </c>
      <c r="C207" s="1565" t="s">
        <v>1974</v>
      </c>
      <c r="D207" s="1572">
        <v>27300</v>
      </c>
      <c r="E207" s="1566" t="s">
        <v>1079</v>
      </c>
      <c r="F207" s="1571">
        <v>41.38</v>
      </c>
      <c r="G207" s="1571">
        <v>3.45</v>
      </c>
      <c r="H207" s="1565"/>
      <c r="I207" s="1566"/>
      <c r="J207" s="1566"/>
      <c r="K207" s="1566"/>
      <c r="L207" s="1566"/>
      <c r="M207" s="1566"/>
      <c r="N207" s="1572">
        <v>0</v>
      </c>
      <c r="O207" s="1572">
        <v>8645</v>
      </c>
      <c r="P207" s="1566"/>
      <c r="Q207" s="1565"/>
      <c r="R207" s="1566"/>
    </row>
    <row r="208" spans="1:18" ht="12" customHeight="1">
      <c r="A208" s="1565" t="s">
        <v>2003</v>
      </c>
      <c r="B208" s="1566"/>
      <c r="C208" s="1565" t="s">
        <v>2450</v>
      </c>
      <c r="D208" s="1571">
        <v>3.25</v>
      </c>
      <c r="E208" s="1566" t="s">
        <v>1091</v>
      </c>
      <c r="F208" s="1571">
        <v>42.62</v>
      </c>
      <c r="G208" s="1571">
        <v>3.55</v>
      </c>
      <c r="H208" s="1566"/>
      <c r="I208" s="1566"/>
      <c r="J208" s="1566"/>
      <c r="K208" s="1566"/>
      <c r="L208" s="1566"/>
      <c r="M208" s="1566"/>
      <c r="N208" s="1566"/>
      <c r="O208" s="1566"/>
      <c r="P208" s="1566"/>
      <c r="Q208" s="1572"/>
      <c r="R208" s="1566"/>
    </row>
    <row r="209" spans="1:18" ht="12" customHeight="1">
      <c r="A209" s="1565" t="s">
        <v>1973</v>
      </c>
      <c r="B209" s="1566"/>
      <c r="C209" s="1565" t="s">
        <v>724</v>
      </c>
      <c r="D209" s="1572">
        <v>2275</v>
      </c>
      <c r="E209" s="1566" t="s">
        <v>1103</v>
      </c>
      <c r="F209" s="1571">
        <v>43.89</v>
      </c>
      <c r="G209" s="1571">
        <v>3.66</v>
      </c>
      <c r="H209" s="1565"/>
      <c r="I209" s="1566"/>
      <c r="J209" s="1566"/>
      <c r="K209" s="1566"/>
      <c r="L209" s="1566"/>
      <c r="M209" s="1566"/>
      <c r="N209" s="1566"/>
      <c r="O209" s="1566"/>
      <c r="P209" s="1566"/>
      <c r="Q209" s="1566"/>
      <c r="R209" s="1566"/>
    </row>
    <row r="210" spans="1:18" ht="12" customHeight="1">
      <c r="A210" s="1565" t="s">
        <v>1972</v>
      </c>
      <c r="B210" s="1566"/>
      <c r="C210" s="1566"/>
      <c r="D210" s="1572">
        <v>27300</v>
      </c>
      <c r="E210" s="1566"/>
      <c r="F210" s="1566"/>
      <c r="G210" s="1566"/>
      <c r="H210" s="1566"/>
      <c r="I210" s="1566"/>
      <c r="J210" s="1566"/>
      <c r="K210" s="1566"/>
      <c r="L210" s="1566"/>
      <c r="M210" s="1566"/>
      <c r="N210" s="1566"/>
      <c r="O210" s="1566"/>
      <c r="P210" s="1566"/>
      <c r="Q210" s="1566"/>
      <c r="R210" s="1566"/>
    </row>
    <row r="211" spans="1:18" ht="12" customHeight="1">
      <c r="A211" s="1566"/>
      <c r="B211" s="1566"/>
      <c r="C211" s="1566"/>
      <c r="D211" s="1566"/>
      <c r="E211" s="1566"/>
      <c r="F211" s="1566"/>
      <c r="G211" s="1566"/>
      <c r="H211" s="1566"/>
      <c r="I211" s="1566"/>
      <c r="J211" s="1566"/>
      <c r="K211" s="1566"/>
      <c r="L211" s="1566"/>
      <c r="M211" s="1566"/>
      <c r="N211" s="1566"/>
      <c r="O211" s="1566"/>
      <c r="P211" s="1566"/>
      <c r="Q211" s="1566"/>
      <c r="R211" s="1566"/>
    </row>
    <row r="212" spans="1:18" ht="12" customHeight="1">
      <c r="A212" s="1565" t="s">
        <v>2448</v>
      </c>
      <c r="B212" s="1570">
        <v>700</v>
      </c>
      <c r="C212" s="1565" t="s">
        <v>217</v>
      </c>
      <c r="D212" s="1571">
        <v>39</v>
      </c>
      <c r="E212" s="1566" t="s">
        <v>1128</v>
      </c>
      <c r="F212" s="1571">
        <v>40.17</v>
      </c>
      <c r="G212" s="1571">
        <v>3.35</v>
      </c>
      <c r="H212" s="1565" t="s">
        <v>1976</v>
      </c>
      <c r="I212" s="1565" t="s">
        <v>1976</v>
      </c>
      <c r="J212" s="1566"/>
      <c r="K212" s="1565" t="s">
        <v>462</v>
      </c>
      <c r="L212" s="1566"/>
      <c r="M212" s="1565" t="s">
        <v>539</v>
      </c>
      <c r="N212" s="1571">
        <v>0</v>
      </c>
      <c r="O212" s="1571">
        <v>12.35</v>
      </c>
      <c r="P212" s="1566"/>
      <c r="Q212" s="1565"/>
      <c r="R212" s="1565" t="s">
        <v>2403</v>
      </c>
    </row>
    <row r="213" spans="1:18" ht="12" customHeight="1">
      <c r="A213" s="1565" t="s">
        <v>2002</v>
      </c>
      <c r="B213" s="1573">
        <v>1.76602669223201E-2</v>
      </c>
      <c r="C213" s="1565" t="s">
        <v>1974</v>
      </c>
      <c r="D213" s="1572">
        <v>27300</v>
      </c>
      <c r="E213" s="1566" t="s">
        <v>1140</v>
      </c>
      <c r="F213" s="1571">
        <v>41.38</v>
      </c>
      <c r="G213" s="1571">
        <v>3.45</v>
      </c>
      <c r="H213" s="1565"/>
      <c r="I213" s="1566"/>
      <c r="J213" s="1566"/>
      <c r="K213" s="1566"/>
      <c r="L213" s="1566"/>
      <c r="M213" s="1566"/>
      <c r="N213" s="1572">
        <v>0</v>
      </c>
      <c r="O213" s="1572">
        <v>8645</v>
      </c>
      <c r="P213" s="1566"/>
      <c r="Q213" s="1565"/>
      <c r="R213" s="1566"/>
    </row>
    <row r="214" spans="1:18" ht="12" customHeight="1">
      <c r="A214" s="1565" t="s">
        <v>2443</v>
      </c>
      <c r="B214" s="1566"/>
      <c r="C214" s="1565" t="s">
        <v>2450</v>
      </c>
      <c r="D214" s="1571">
        <v>3.25</v>
      </c>
      <c r="E214" s="1566" t="s">
        <v>2001</v>
      </c>
      <c r="F214" s="1571">
        <v>42.62</v>
      </c>
      <c r="G214" s="1571">
        <v>3.55</v>
      </c>
      <c r="H214" s="1566"/>
      <c r="I214" s="1566"/>
      <c r="J214" s="1566"/>
      <c r="K214" s="1566"/>
      <c r="L214" s="1566"/>
      <c r="M214" s="1566"/>
      <c r="N214" s="1566"/>
      <c r="O214" s="1566"/>
      <c r="P214" s="1566"/>
      <c r="Q214" s="1572"/>
      <c r="R214" s="1566"/>
    </row>
    <row r="215" spans="1:18" ht="12" customHeight="1">
      <c r="A215" s="1565" t="s">
        <v>1973</v>
      </c>
      <c r="B215" s="1566"/>
      <c r="C215" s="1565" t="s">
        <v>724</v>
      </c>
      <c r="D215" s="1572">
        <v>2275</v>
      </c>
      <c r="E215" s="1566" t="s">
        <v>2338</v>
      </c>
      <c r="F215" s="1571">
        <v>43.89</v>
      </c>
      <c r="G215" s="1571">
        <v>3.66</v>
      </c>
      <c r="H215" s="1565"/>
      <c r="I215" s="1566"/>
      <c r="J215" s="1566"/>
      <c r="K215" s="1566"/>
      <c r="L215" s="1566"/>
      <c r="M215" s="1566"/>
      <c r="N215" s="1566"/>
      <c r="O215" s="1566"/>
      <c r="P215" s="1566"/>
      <c r="Q215" s="1566"/>
      <c r="R215" s="1566"/>
    </row>
    <row r="216" spans="1:18" ht="12" customHeight="1">
      <c r="A216" s="1565" t="s">
        <v>1972</v>
      </c>
      <c r="B216" s="1566"/>
      <c r="C216" s="1566"/>
      <c r="D216" s="1572">
        <v>27300</v>
      </c>
      <c r="E216" s="1566"/>
      <c r="F216" s="1566"/>
      <c r="G216" s="1566"/>
      <c r="H216" s="1566"/>
      <c r="I216" s="1566"/>
      <c r="J216" s="1566"/>
      <c r="K216" s="1566"/>
      <c r="L216" s="1566"/>
      <c r="M216" s="1566"/>
      <c r="N216" s="1566"/>
      <c r="O216" s="1566"/>
      <c r="P216" s="1566"/>
      <c r="Q216" s="1566"/>
      <c r="R216" s="1566"/>
    </row>
    <row r="217" spans="1:18" ht="12" customHeight="1">
      <c r="A217" s="1566"/>
      <c r="B217" s="1566"/>
      <c r="C217" s="1566"/>
      <c r="D217" s="1566"/>
      <c r="E217" s="1566"/>
      <c r="F217" s="1566"/>
      <c r="G217" s="1566"/>
      <c r="H217" s="1566"/>
      <c r="I217" s="1566"/>
      <c r="J217" s="1566"/>
      <c r="K217" s="1566"/>
      <c r="L217" s="1566"/>
      <c r="M217" s="1566"/>
      <c r="N217" s="1566"/>
      <c r="O217" s="1566"/>
      <c r="P217" s="1566"/>
      <c r="Q217" s="1566"/>
      <c r="R217" s="1566"/>
    </row>
    <row r="218" spans="1:18" ht="12" customHeight="1">
      <c r="A218" s="1565" t="s">
        <v>2448</v>
      </c>
      <c r="B218" s="1570">
        <v>700</v>
      </c>
      <c r="C218" s="1565" t="s">
        <v>217</v>
      </c>
      <c r="D218" s="1571">
        <v>39</v>
      </c>
      <c r="E218" s="1566" t="s">
        <v>2395</v>
      </c>
      <c r="F218" s="1571">
        <v>40.17</v>
      </c>
      <c r="G218" s="1571">
        <v>3.35</v>
      </c>
      <c r="H218" s="1565" t="s">
        <v>1976</v>
      </c>
      <c r="I218" s="1565" t="s">
        <v>1976</v>
      </c>
      <c r="J218" s="1566"/>
      <c r="K218" s="1565" t="s">
        <v>462</v>
      </c>
      <c r="L218" s="1566"/>
      <c r="M218" s="1565" t="s">
        <v>539</v>
      </c>
      <c r="N218" s="1571">
        <v>0</v>
      </c>
      <c r="O218" s="1571">
        <v>12.35</v>
      </c>
      <c r="P218" s="1566"/>
      <c r="Q218" s="1565"/>
      <c r="R218" s="1565" t="s">
        <v>2403</v>
      </c>
    </row>
    <row r="219" spans="1:18" ht="12" customHeight="1">
      <c r="A219" s="1565" t="s">
        <v>2002</v>
      </c>
      <c r="B219" s="1573">
        <v>1.7546938059308601E-2</v>
      </c>
      <c r="C219" s="1565" t="s">
        <v>1974</v>
      </c>
      <c r="D219" s="1572">
        <v>27300</v>
      </c>
      <c r="E219" s="1566" t="s">
        <v>2444</v>
      </c>
      <c r="F219" s="1571">
        <v>41.38</v>
      </c>
      <c r="G219" s="1571">
        <v>3.45</v>
      </c>
      <c r="H219" s="1565"/>
      <c r="I219" s="1566"/>
      <c r="J219" s="1566"/>
      <c r="K219" s="1566"/>
      <c r="L219" s="1566"/>
      <c r="M219" s="1566"/>
      <c r="N219" s="1572">
        <v>0</v>
      </c>
      <c r="O219" s="1572">
        <v>8645</v>
      </c>
      <c r="P219" s="1566"/>
      <c r="Q219" s="1565"/>
      <c r="R219" s="1566"/>
    </row>
    <row r="220" spans="1:18" ht="12" customHeight="1">
      <c r="A220" s="1565" t="s">
        <v>2445</v>
      </c>
      <c r="B220" s="1566"/>
      <c r="C220" s="1565" t="s">
        <v>2450</v>
      </c>
      <c r="D220" s="1571">
        <v>3.25</v>
      </c>
      <c r="E220" s="1566" t="s">
        <v>2446</v>
      </c>
      <c r="F220" s="1571">
        <v>42.62</v>
      </c>
      <c r="G220" s="1571">
        <v>3.55</v>
      </c>
      <c r="H220" s="1566"/>
      <c r="I220" s="1566"/>
      <c r="J220" s="1566"/>
      <c r="K220" s="1566"/>
      <c r="L220" s="1566"/>
      <c r="M220" s="1566"/>
      <c r="N220" s="1566"/>
      <c r="O220" s="1566"/>
      <c r="P220" s="1566"/>
      <c r="Q220" s="1572"/>
      <c r="R220" s="1566"/>
    </row>
    <row r="221" spans="1:18" ht="12" customHeight="1">
      <c r="A221" s="1565" t="s">
        <v>1973</v>
      </c>
      <c r="B221" s="1566"/>
      <c r="C221" s="1565" t="s">
        <v>724</v>
      </c>
      <c r="D221" s="1572">
        <v>2275</v>
      </c>
      <c r="E221" s="1566" t="s">
        <v>2447</v>
      </c>
      <c r="F221" s="1571">
        <v>43.89</v>
      </c>
      <c r="G221" s="1571">
        <v>3.66</v>
      </c>
      <c r="H221" s="1565"/>
      <c r="I221" s="1566"/>
      <c r="J221" s="1566"/>
      <c r="K221" s="1566"/>
      <c r="L221" s="1566"/>
      <c r="M221" s="1566"/>
      <c r="N221" s="1566"/>
      <c r="O221" s="1566"/>
      <c r="P221" s="1566"/>
      <c r="Q221" s="1566"/>
      <c r="R221" s="1566"/>
    </row>
    <row r="222" spans="1:18" ht="12" customHeight="1">
      <c r="A222" s="1565" t="s">
        <v>1972</v>
      </c>
      <c r="B222" s="1566"/>
      <c r="C222" s="1566"/>
      <c r="D222" s="1572">
        <v>27300</v>
      </c>
      <c r="E222" s="1566"/>
      <c r="F222" s="1566"/>
      <c r="G222" s="1566"/>
      <c r="H222" s="1566"/>
      <c r="I222" s="1566"/>
      <c r="J222" s="1566"/>
      <c r="K222" s="1566"/>
      <c r="L222" s="1566"/>
      <c r="M222" s="1566"/>
      <c r="N222" s="1566"/>
      <c r="O222" s="1566"/>
      <c r="P222" s="1566"/>
      <c r="Q222" s="1566"/>
      <c r="R222" s="1566"/>
    </row>
    <row r="223" spans="1:18" ht="12" customHeight="1">
      <c r="A223" s="1566"/>
      <c r="B223" s="1566"/>
      <c r="C223" s="1566"/>
      <c r="D223" s="1566"/>
      <c r="E223" s="1566"/>
      <c r="F223" s="1566"/>
      <c r="G223" s="1566"/>
      <c r="H223" s="1566"/>
      <c r="I223" s="1566"/>
      <c r="J223" s="1566"/>
      <c r="K223" s="1566"/>
      <c r="L223" s="1566"/>
      <c r="M223" s="1566"/>
      <c r="N223" s="1566"/>
      <c r="O223" s="1566"/>
      <c r="P223" s="1566"/>
      <c r="Q223" s="1566"/>
      <c r="R223" s="1566"/>
    </row>
    <row r="224" spans="1:18" ht="12" customHeight="1">
      <c r="A224" s="1565" t="s">
        <v>2451</v>
      </c>
      <c r="B224" s="1570">
        <v>1028</v>
      </c>
      <c r="C224" s="1565" t="s">
        <v>1979</v>
      </c>
      <c r="D224" s="1571">
        <v>67.98</v>
      </c>
      <c r="E224" s="1566" t="s">
        <v>2000</v>
      </c>
      <c r="F224" s="1571">
        <v>70.02</v>
      </c>
      <c r="G224" s="1571">
        <v>5.83</v>
      </c>
      <c r="H224" s="1565" t="s">
        <v>1976</v>
      </c>
      <c r="I224" s="1565" t="s">
        <v>1044</v>
      </c>
      <c r="J224" s="1565" t="s">
        <v>1998</v>
      </c>
      <c r="K224" s="1565" t="s">
        <v>462</v>
      </c>
      <c r="L224" s="1566"/>
      <c r="M224" s="1565" t="s">
        <v>1983</v>
      </c>
      <c r="N224" s="1571">
        <v>0</v>
      </c>
      <c r="O224" s="1571">
        <v>0</v>
      </c>
      <c r="P224" s="1566"/>
      <c r="Q224" s="1565"/>
      <c r="R224" s="1565" t="s">
        <v>2403</v>
      </c>
    </row>
    <row r="225" spans="1:18" ht="12" customHeight="1">
      <c r="A225" s="1565" t="s">
        <v>2304</v>
      </c>
      <c r="B225" s="1573">
        <v>2.62445749297932E-2</v>
      </c>
      <c r="C225" s="1565" t="s">
        <v>1977</v>
      </c>
      <c r="D225" s="1572">
        <v>69883</v>
      </c>
      <c r="E225" s="1566" t="s">
        <v>1999</v>
      </c>
      <c r="F225" s="1571">
        <v>72.37</v>
      </c>
      <c r="G225" s="1571">
        <v>6.03</v>
      </c>
      <c r="H225" s="1565"/>
      <c r="I225" s="1565" t="s">
        <v>1056</v>
      </c>
      <c r="J225" s="1565" t="s">
        <v>1998</v>
      </c>
      <c r="K225" s="1566"/>
      <c r="L225" s="1566"/>
      <c r="M225" s="1566"/>
      <c r="N225" s="1572">
        <v>0</v>
      </c>
      <c r="O225" s="1572">
        <v>0</v>
      </c>
      <c r="P225" s="1566"/>
      <c r="Q225" s="1565"/>
      <c r="R225" s="1566"/>
    </row>
    <row r="226" spans="1:18" ht="12" customHeight="1">
      <c r="A226" s="1565" t="s">
        <v>1997</v>
      </c>
      <c r="B226" s="1566"/>
      <c r="C226" s="1565" t="s">
        <v>2425</v>
      </c>
      <c r="D226" s="1571">
        <v>5.67</v>
      </c>
      <c r="E226" s="1566" t="s">
        <v>1035</v>
      </c>
      <c r="F226" s="1571">
        <v>74.540000000000006</v>
      </c>
      <c r="G226" s="1571">
        <v>6.21</v>
      </c>
      <c r="H226" s="1566"/>
      <c r="I226" s="1566"/>
      <c r="J226" s="1566"/>
      <c r="K226" s="1566"/>
      <c r="L226" s="1566"/>
      <c r="M226" s="1566"/>
      <c r="N226" s="1566"/>
      <c r="O226" s="1566"/>
      <c r="P226" s="1566"/>
      <c r="Q226" s="1572"/>
      <c r="R226" s="1566"/>
    </row>
    <row r="227" spans="1:18" ht="12" customHeight="1">
      <c r="A227" s="1565" t="s">
        <v>1996</v>
      </c>
      <c r="B227" s="1566"/>
      <c r="C227" s="1565" t="s">
        <v>724</v>
      </c>
      <c r="D227" s="1572">
        <v>5824</v>
      </c>
      <c r="E227" s="1566" t="s">
        <v>1041</v>
      </c>
      <c r="F227" s="1571">
        <v>76.78</v>
      </c>
      <c r="G227" s="1571">
        <v>6.4</v>
      </c>
      <c r="H227" s="1565"/>
      <c r="I227" s="1566"/>
      <c r="J227" s="1566"/>
      <c r="K227" s="1566"/>
      <c r="L227" s="1566"/>
      <c r="M227" s="1566"/>
      <c r="N227" s="1566"/>
      <c r="O227" s="1566"/>
      <c r="P227" s="1566"/>
      <c r="Q227" s="1566"/>
      <c r="R227" s="1566"/>
    </row>
    <row r="228" spans="1:18" ht="12" customHeight="1">
      <c r="A228" s="1565" t="s">
        <v>1972</v>
      </c>
      <c r="B228" s="1566"/>
      <c r="C228" s="1566"/>
      <c r="D228" s="1572">
        <v>70932</v>
      </c>
      <c r="E228" s="1566" t="s">
        <v>1051</v>
      </c>
      <c r="F228" s="1571">
        <v>79.08</v>
      </c>
      <c r="G228" s="1571">
        <v>6.59</v>
      </c>
      <c r="H228" s="1566"/>
      <c r="I228" s="1566"/>
      <c r="J228" s="1566"/>
      <c r="K228" s="1566"/>
      <c r="L228" s="1566"/>
      <c r="M228" s="1566"/>
      <c r="N228" s="1566"/>
      <c r="O228" s="1566"/>
      <c r="P228" s="1566"/>
      <c r="Q228" s="1566"/>
      <c r="R228" s="1566"/>
    </row>
    <row r="229" spans="1:18" ht="12" customHeight="1">
      <c r="A229" s="1566"/>
      <c r="B229" s="1566"/>
      <c r="C229" s="1566"/>
      <c r="D229" s="1566"/>
      <c r="E229" s="1566" t="s">
        <v>1063</v>
      </c>
      <c r="F229" s="1571">
        <v>81.459999999999994</v>
      </c>
      <c r="G229" s="1571">
        <v>6.79</v>
      </c>
      <c r="H229" s="1566"/>
      <c r="I229" s="1566"/>
      <c r="J229" s="1566"/>
      <c r="K229" s="1566"/>
      <c r="L229" s="1566"/>
      <c r="M229" s="1566"/>
      <c r="N229" s="1566"/>
      <c r="O229" s="1566"/>
      <c r="P229" s="1566"/>
      <c r="Q229" s="1566"/>
      <c r="R229" s="1566"/>
    </row>
    <row r="230" spans="1:18" ht="12" customHeight="1">
      <c r="A230" s="1566"/>
      <c r="B230" s="1566"/>
      <c r="C230" s="1566"/>
      <c r="D230" s="1566"/>
      <c r="E230" s="1566"/>
      <c r="F230" s="1566"/>
      <c r="G230" s="1566"/>
      <c r="H230" s="1566"/>
      <c r="I230" s="1566"/>
      <c r="J230" s="1566"/>
      <c r="K230" s="1566"/>
      <c r="L230" s="1566"/>
      <c r="M230" s="1566"/>
      <c r="N230" s="1566"/>
      <c r="O230" s="1566"/>
      <c r="P230" s="1566"/>
      <c r="Q230" s="1566"/>
      <c r="R230" s="1566"/>
    </row>
    <row r="231" spans="1:18" ht="12" customHeight="1">
      <c r="A231" s="1565" t="s">
        <v>2451</v>
      </c>
      <c r="B231" s="1570">
        <v>1028</v>
      </c>
      <c r="C231" s="1565" t="s">
        <v>217</v>
      </c>
      <c r="D231" s="1571">
        <v>69</v>
      </c>
      <c r="E231" s="1566" t="s">
        <v>1088</v>
      </c>
      <c r="F231" s="1571">
        <v>71.069999999999993</v>
      </c>
      <c r="G231" s="1571">
        <v>5.92</v>
      </c>
      <c r="H231" s="1565" t="s">
        <v>1976</v>
      </c>
      <c r="I231" s="1565" t="s">
        <v>1976</v>
      </c>
      <c r="J231" s="1566"/>
      <c r="K231" s="1565" t="s">
        <v>462</v>
      </c>
      <c r="L231" s="1566"/>
      <c r="M231" s="1565" t="s">
        <v>539</v>
      </c>
      <c r="N231" s="1571">
        <v>36</v>
      </c>
      <c r="O231" s="1571">
        <v>21.85</v>
      </c>
      <c r="P231" s="1566"/>
      <c r="Q231" s="1565"/>
      <c r="R231" s="1565" t="s">
        <v>2403</v>
      </c>
    </row>
    <row r="232" spans="1:18" ht="12" customHeight="1">
      <c r="A232" s="1565" t="s">
        <v>2304</v>
      </c>
      <c r="B232" s="1573">
        <v>2.6264019825758201E-2</v>
      </c>
      <c r="C232" s="1565" t="s">
        <v>1974</v>
      </c>
      <c r="D232" s="1572">
        <v>70932</v>
      </c>
      <c r="E232" s="1566" t="s">
        <v>1100</v>
      </c>
      <c r="F232" s="1571">
        <v>73.2</v>
      </c>
      <c r="G232" s="1571">
        <v>6.1</v>
      </c>
      <c r="H232" s="1565"/>
      <c r="I232" s="1566"/>
      <c r="J232" s="1566"/>
      <c r="K232" s="1566"/>
      <c r="L232" s="1566"/>
      <c r="M232" s="1566"/>
      <c r="N232" s="1572">
        <v>37008</v>
      </c>
      <c r="O232" s="1572">
        <v>22462</v>
      </c>
      <c r="P232" s="1566"/>
      <c r="Q232" s="1565"/>
      <c r="R232" s="1566"/>
    </row>
    <row r="233" spans="1:18" ht="12" customHeight="1">
      <c r="A233" s="1565" t="s">
        <v>2452</v>
      </c>
      <c r="B233" s="1566"/>
      <c r="C233" s="1565" t="s">
        <v>2425</v>
      </c>
      <c r="D233" s="1571">
        <v>5.75</v>
      </c>
      <c r="E233" s="1566" t="s">
        <v>1112</v>
      </c>
      <c r="F233" s="1571">
        <v>75.400000000000006</v>
      </c>
      <c r="G233" s="1571">
        <v>6.28</v>
      </c>
      <c r="H233" s="1566"/>
      <c r="I233" s="1566"/>
      <c r="J233" s="1566"/>
      <c r="K233" s="1566"/>
      <c r="L233" s="1566"/>
      <c r="M233" s="1566"/>
      <c r="N233" s="1566"/>
      <c r="O233" s="1566"/>
      <c r="P233" s="1566"/>
      <c r="Q233" s="1572"/>
      <c r="R233" s="1566"/>
    </row>
    <row r="234" spans="1:18" ht="12" customHeight="1">
      <c r="A234" s="1565" t="s">
        <v>1973</v>
      </c>
      <c r="B234" s="1566"/>
      <c r="C234" s="1565" t="s">
        <v>724</v>
      </c>
      <c r="D234" s="1572">
        <v>5911</v>
      </c>
      <c r="E234" s="1566" t="s">
        <v>1124</v>
      </c>
      <c r="F234" s="1571">
        <v>77.66</v>
      </c>
      <c r="G234" s="1571">
        <v>6.47</v>
      </c>
      <c r="H234" s="1565"/>
      <c r="I234" s="1566"/>
      <c r="J234" s="1566"/>
      <c r="K234" s="1566"/>
      <c r="L234" s="1566"/>
      <c r="M234" s="1566"/>
      <c r="N234" s="1566"/>
      <c r="O234" s="1566"/>
      <c r="P234" s="1566"/>
      <c r="Q234" s="1566"/>
      <c r="R234" s="1566"/>
    </row>
    <row r="235" spans="1:18" ht="12" customHeight="1">
      <c r="A235" s="1565" t="s">
        <v>1972</v>
      </c>
      <c r="B235" s="1566"/>
      <c r="C235" s="1566"/>
      <c r="D235" s="1572">
        <v>70932</v>
      </c>
      <c r="E235" s="1566"/>
      <c r="F235" s="1566"/>
      <c r="G235" s="1566"/>
      <c r="H235" s="1566"/>
      <c r="I235" s="1566"/>
      <c r="J235" s="1566"/>
      <c r="K235" s="1566"/>
      <c r="L235" s="1566"/>
      <c r="M235" s="1566"/>
      <c r="N235" s="1566"/>
      <c r="O235" s="1566"/>
      <c r="P235" s="1566"/>
      <c r="Q235" s="1566"/>
      <c r="R235" s="1566"/>
    </row>
    <row r="236" spans="1:18" ht="12" customHeight="1">
      <c r="A236" s="1566"/>
      <c r="B236" s="1566"/>
      <c r="C236" s="1566"/>
      <c r="D236" s="1566"/>
      <c r="E236" s="1566"/>
      <c r="F236" s="1566"/>
      <c r="G236" s="1566"/>
      <c r="H236" s="1566"/>
      <c r="I236" s="1566"/>
      <c r="J236" s="1566"/>
      <c r="K236" s="1566"/>
      <c r="L236" s="1566"/>
      <c r="M236" s="1566"/>
      <c r="N236" s="1566"/>
      <c r="O236" s="1566"/>
      <c r="P236" s="1566"/>
      <c r="Q236" s="1566"/>
      <c r="R236" s="1566"/>
    </row>
    <row r="237" spans="1:18" ht="12" customHeight="1">
      <c r="A237" s="1565" t="s">
        <v>2451</v>
      </c>
      <c r="B237" s="1570">
        <v>1028</v>
      </c>
      <c r="C237" s="1565" t="s">
        <v>217</v>
      </c>
      <c r="D237" s="1571">
        <v>69</v>
      </c>
      <c r="E237" s="1566" t="s">
        <v>1149</v>
      </c>
      <c r="F237" s="1571">
        <v>71.069999999999993</v>
      </c>
      <c r="G237" s="1571">
        <v>5.92</v>
      </c>
      <c r="H237" s="1565" t="s">
        <v>1976</v>
      </c>
      <c r="I237" s="1565" t="s">
        <v>1976</v>
      </c>
      <c r="J237" s="1566"/>
      <c r="K237" s="1565" t="s">
        <v>462</v>
      </c>
      <c r="L237" s="1566"/>
      <c r="M237" s="1565" t="s">
        <v>539</v>
      </c>
      <c r="N237" s="1571">
        <v>36</v>
      </c>
      <c r="O237" s="1571">
        <v>21.85</v>
      </c>
      <c r="P237" s="1566"/>
      <c r="Q237" s="1565"/>
      <c r="R237" s="1565" t="s">
        <v>2403</v>
      </c>
    </row>
    <row r="238" spans="1:18" ht="12" customHeight="1">
      <c r="A238" s="1565" t="s">
        <v>2304</v>
      </c>
      <c r="B238" s="1573">
        <v>2.5935363423064298E-2</v>
      </c>
      <c r="C238" s="1565" t="s">
        <v>1974</v>
      </c>
      <c r="D238" s="1572">
        <v>70932</v>
      </c>
      <c r="E238" s="1566" t="s">
        <v>1988</v>
      </c>
      <c r="F238" s="1571">
        <v>73.2</v>
      </c>
      <c r="G238" s="1571">
        <v>6.1</v>
      </c>
      <c r="H238" s="1565"/>
      <c r="I238" s="1566"/>
      <c r="J238" s="1566"/>
      <c r="K238" s="1566"/>
      <c r="L238" s="1566"/>
      <c r="M238" s="1566"/>
      <c r="N238" s="1572">
        <v>37008</v>
      </c>
      <c r="O238" s="1572">
        <v>22462</v>
      </c>
      <c r="P238" s="1566"/>
      <c r="Q238" s="1565"/>
      <c r="R238" s="1566"/>
    </row>
    <row r="239" spans="1:18" ht="12" customHeight="1">
      <c r="A239" s="1565" t="s">
        <v>2453</v>
      </c>
      <c r="B239" s="1566"/>
      <c r="C239" s="1565" t="s">
        <v>2425</v>
      </c>
      <c r="D239" s="1571">
        <v>5.75</v>
      </c>
      <c r="E239" s="1566" t="s">
        <v>1986</v>
      </c>
      <c r="F239" s="1571">
        <v>75.400000000000006</v>
      </c>
      <c r="G239" s="1571">
        <v>6.28</v>
      </c>
      <c r="H239" s="1566"/>
      <c r="I239" s="1566"/>
      <c r="J239" s="1566"/>
      <c r="K239" s="1566"/>
      <c r="L239" s="1566"/>
      <c r="M239" s="1566"/>
      <c r="N239" s="1566"/>
      <c r="O239" s="1566"/>
      <c r="P239" s="1566"/>
      <c r="Q239" s="1572"/>
      <c r="R239" s="1566"/>
    </row>
    <row r="240" spans="1:18" ht="12" customHeight="1">
      <c r="A240" s="1565" t="s">
        <v>1973</v>
      </c>
      <c r="B240" s="1566"/>
      <c r="C240" s="1565" t="s">
        <v>724</v>
      </c>
      <c r="D240" s="1572">
        <v>5911</v>
      </c>
      <c r="E240" s="1566" t="s">
        <v>2392</v>
      </c>
      <c r="F240" s="1571">
        <v>77.66</v>
      </c>
      <c r="G240" s="1571">
        <v>6.47</v>
      </c>
      <c r="H240" s="1565"/>
      <c r="I240" s="1566"/>
      <c r="J240" s="1566"/>
      <c r="K240" s="1566"/>
      <c r="L240" s="1566"/>
      <c r="M240" s="1566"/>
      <c r="N240" s="1566"/>
      <c r="O240" s="1566"/>
      <c r="P240" s="1566"/>
      <c r="Q240" s="1566"/>
      <c r="R240" s="1566"/>
    </row>
    <row r="241" spans="1:18" ht="12" customHeight="1">
      <c r="A241" s="1565" t="s">
        <v>1972</v>
      </c>
      <c r="B241" s="1566"/>
      <c r="C241" s="1566"/>
      <c r="D241" s="1572">
        <v>70932</v>
      </c>
      <c r="E241" s="1566"/>
      <c r="F241" s="1566"/>
      <c r="G241" s="1566"/>
      <c r="H241" s="1566"/>
      <c r="I241" s="1566"/>
      <c r="J241" s="1566"/>
      <c r="K241" s="1566"/>
      <c r="L241" s="1566"/>
      <c r="M241" s="1566"/>
      <c r="N241" s="1566"/>
      <c r="O241" s="1566"/>
      <c r="P241" s="1566"/>
      <c r="Q241" s="1566"/>
      <c r="R241" s="1566"/>
    </row>
    <row r="242" spans="1:18" ht="12" customHeight="1">
      <c r="A242" s="1566"/>
      <c r="B242" s="1566"/>
      <c r="C242" s="1566"/>
      <c r="D242" s="1566"/>
      <c r="E242" s="1566"/>
      <c r="F242" s="1566"/>
      <c r="G242" s="1566"/>
      <c r="H242" s="1566"/>
      <c r="I242" s="1566"/>
      <c r="J242" s="1566"/>
      <c r="K242" s="1566"/>
      <c r="L242" s="1566"/>
      <c r="M242" s="1566"/>
      <c r="N242" s="1566"/>
      <c r="O242" s="1566"/>
      <c r="P242" s="1566"/>
      <c r="Q242" s="1566"/>
      <c r="R242" s="1566"/>
    </row>
    <row r="243" spans="1:18" ht="12" customHeight="1">
      <c r="A243" s="1565" t="s">
        <v>2454</v>
      </c>
      <c r="B243" s="1570">
        <v>2539</v>
      </c>
      <c r="C243" s="1565" t="s">
        <v>1979</v>
      </c>
      <c r="D243" s="1571">
        <v>69</v>
      </c>
      <c r="E243" s="1566" t="s">
        <v>1995</v>
      </c>
      <c r="F243" s="1571">
        <v>71.069999999999993</v>
      </c>
      <c r="G243" s="1571">
        <v>5.92</v>
      </c>
      <c r="H243" s="1565" t="s">
        <v>1976</v>
      </c>
      <c r="I243" s="1565" t="s">
        <v>1976</v>
      </c>
      <c r="J243" s="1566"/>
      <c r="K243" s="1565" t="s">
        <v>462</v>
      </c>
      <c r="L243" s="1566"/>
      <c r="M243" s="1565" t="s">
        <v>1983</v>
      </c>
      <c r="N243" s="1571">
        <v>0</v>
      </c>
      <c r="O243" s="1571">
        <v>0</v>
      </c>
      <c r="P243" s="1566"/>
      <c r="Q243" s="1565"/>
      <c r="R243" s="1565" t="s">
        <v>2403</v>
      </c>
    </row>
    <row r="244" spans="1:18" ht="12" customHeight="1">
      <c r="A244" s="1565" t="s">
        <v>1993</v>
      </c>
      <c r="B244" s="1573">
        <v>6.48200153178453E-2</v>
      </c>
      <c r="C244" s="1565" t="s">
        <v>1977</v>
      </c>
      <c r="D244" s="1572">
        <v>175188</v>
      </c>
      <c r="E244" s="1566" t="s">
        <v>1994</v>
      </c>
      <c r="F244" s="1571">
        <v>73.2</v>
      </c>
      <c r="G244" s="1571">
        <v>6.1</v>
      </c>
      <c r="H244" s="1565"/>
      <c r="I244" s="1566"/>
      <c r="J244" s="1566"/>
      <c r="K244" s="1566"/>
      <c r="L244" s="1566"/>
      <c r="M244" s="1566"/>
      <c r="N244" s="1572">
        <v>0</v>
      </c>
      <c r="O244" s="1572">
        <v>0</v>
      </c>
      <c r="P244" s="1566"/>
      <c r="Q244" s="1565"/>
      <c r="R244" s="1566"/>
    </row>
    <row r="245" spans="1:18" ht="12" customHeight="1">
      <c r="A245" s="1565" t="s">
        <v>2306</v>
      </c>
      <c r="B245" s="1566"/>
      <c r="C245" s="1565" t="s">
        <v>2404</v>
      </c>
      <c r="D245" s="1571">
        <v>5.75</v>
      </c>
      <c r="E245" s="1566" t="s">
        <v>1034</v>
      </c>
      <c r="F245" s="1571">
        <v>75.39</v>
      </c>
      <c r="G245" s="1571">
        <v>6.28</v>
      </c>
      <c r="H245" s="1566"/>
      <c r="I245" s="1566"/>
      <c r="J245" s="1566"/>
      <c r="K245" s="1566"/>
      <c r="L245" s="1566"/>
      <c r="M245" s="1566"/>
      <c r="N245" s="1566"/>
      <c r="O245" s="1566"/>
      <c r="P245" s="1566"/>
      <c r="Q245" s="1572"/>
      <c r="R245" s="1566"/>
    </row>
    <row r="246" spans="1:18" ht="12" customHeight="1">
      <c r="A246" s="1565" t="s">
        <v>2307</v>
      </c>
      <c r="B246" s="1566"/>
      <c r="C246" s="1565" t="s">
        <v>724</v>
      </c>
      <c r="D246" s="1572">
        <v>14599</v>
      </c>
      <c r="E246" s="1566" t="s">
        <v>1040</v>
      </c>
      <c r="F246" s="1571">
        <v>77.66</v>
      </c>
      <c r="G246" s="1571">
        <v>6.47</v>
      </c>
      <c r="H246" s="1565"/>
      <c r="I246" s="1566"/>
      <c r="J246" s="1566"/>
      <c r="K246" s="1566"/>
      <c r="L246" s="1566"/>
      <c r="M246" s="1566"/>
      <c r="N246" s="1566"/>
      <c r="O246" s="1566"/>
      <c r="P246" s="1566"/>
      <c r="Q246" s="1566"/>
      <c r="R246" s="1566"/>
    </row>
    <row r="247" spans="1:18" ht="12" customHeight="1">
      <c r="A247" s="1565" t="s">
        <v>1972</v>
      </c>
      <c r="B247" s="1566"/>
      <c r="C247" s="1566"/>
      <c r="D247" s="1572">
        <v>198042</v>
      </c>
      <c r="E247" s="1566" t="s">
        <v>1049</v>
      </c>
      <c r="F247" s="1571">
        <v>79.989999999999995</v>
      </c>
      <c r="G247" s="1571">
        <v>6.67</v>
      </c>
      <c r="H247" s="1566"/>
      <c r="I247" s="1566"/>
      <c r="J247" s="1566"/>
      <c r="K247" s="1566"/>
      <c r="L247" s="1566"/>
      <c r="M247" s="1566"/>
      <c r="N247" s="1566"/>
      <c r="O247" s="1566"/>
      <c r="P247" s="1566"/>
      <c r="Q247" s="1566"/>
      <c r="R247" s="1566"/>
    </row>
    <row r="248" spans="1:18" ht="12" customHeight="1">
      <c r="A248" s="1566"/>
      <c r="B248" s="1566"/>
      <c r="C248" s="1566"/>
      <c r="D248" s="1566"/>
      <c r="E248" s="1566"/>
      <c r="F248" s="1566"/>
      <c r="G248" s="1566"/>
      <c r="H248" s="1566"/>
      <c r="I248" s="1566"/>
      <c r="J248" s="1566"/>
      <c r="K248" s="1566"/>
      <c r="L248" s="1566"/>
      <c r="M248" s="1566"/>
      <c r="N248" s="1566"/>
      <c r="O248" s="1566"/>
      <c r="P248" s="1566"/>
      <c r="Q248" s="1566"/>
      <c r="R248" s="1566"/>
    </row>
    <row r="249" spans="1:18" ht="12" customHeight="1">
      <c r="A249" s="1565" t="s">
        <v>2454</v>
      </c>
      <c r="B249" s="1570">
        <v>2539</v>
      </c>
      <c r="C249" s="1565" t="s">
        <v>217</v>
      </c>
      <c r="D249" s="1571">
        <v>78</v>
      </c>
      <c r="E249" s="1566" t="s">
        <v>1074</v>
      </c>
      <c r="F249" s="1571">
        <v>80.34</v>
      </c>
      <c r="G249" s="1571">
        <v>6.7</v>
      </c>
      <c r="H249" s="1565" t="s">
        <v>1976</v>
      </c>
      <c r="I249" s="1565" t="s">
        <v>1976</v>
      </c>
      <c r="J249" s="1566"/>
      <c r="K249" s="1565" t="s">
        <v>462</v>
      </c>
      <c r="L249" s="1566"/>
      <c r="M249" s="1565" t="s">
        <v>539</v>
      </c>
      <c r="N249" s="1571">
        <v>36</v>
      </c>
      <c r="O249" s="1571">
        <v>24.7</v>
      </c>
      <c r="P249" s="1566"/>
      <c r="Q249" s="1565"/>
      <c r="R249" s="1565" t="s">
        <v>2403</v>
      </c>
    </row>
    <row r="250" spans="1:18" ht="12" customHeight="1">
      <c r="A250" s="1565" t="s">
        <v>1993</v>
      </c>
      <c r="B250" s="1573">
        <v>6.4868041184435801E-2</v>
      </c>
      <c r="C250" s="1565" t="s">
        <v>1974</v>
      </c>
      <c r="D250" s="1572">
        <v>198042</v>
      </c>
      <c r="E250" s="1566" t="s">
        <v>1086</v>
      </c>
      <c r="F250" s="1571">
        <v>82.75</v>
      </c>
      <c r="G250" s="1571">
        <v>6.9</v>
      </c>
      <c r="H250" s="1565"/>
      <c r="I250" s="1566"/>
      <c r="J250" s="1566"/>
      <c r="K250" s="1566"/>
      <c r="L250" s="1566"/>
      <c r="M250" s="1566"/>
      <c r="N250" s="1572">
        <v>91404</v>
      </c>
      <c r="O250" s="1572">
        <v>62713</v>
      </c>
      <c r="P250" s="1566"/>
      <c r="Q250" s="1565"/>
      <c r="R250" s="1566"/>
    </row>
    <row r="251" spans="1:18" ht="12" customHeight="1">
      <c r="A251" s="1565" t="s">
        <v>2455</v>
      </c>
      <c r="B251" s="1566"/>
      <c r="C251" s="1565" t="s">
        <v>2404</v>
      </c>
      <c r="D251" s="1571">
        <v>6.5</v>
      </c>
      <c r="E251" s="1566" t="s">
        <v>1098</v>
      </c>
      <c r="F251" s="1571">
        <v>85.23</v>
      </c>
      <c r="G251" s="1571">
        <v>7.1</v>
      </c>
      <c r="H251" s="1566"/>
      <c r="I251" s="1566"/>
      <c r="J251" s="1566"/>
      <c r="K251" s="1566"/>
      <c r="L251" s="1566"/>
      <c r="M251" s="1566"/>
      <c r="N251" s="1566"/>
      <c r="O251" s="1566"/>
      <c r="P251" s="1566"/>
      <c r="Q251" s="1572"/>
      <c r="R251" s="1566"/>
    </row>
    <row r="252" spans="1:18" ht="12" customHeight="1">
      <c r="A252" s="1565" t="s">
        <v>1973</v>
      </c>
      <c r="B252" s="1566"/>
      <c r="C252" s="1565" t="s">
        <v>724</v>
      </c>
      <c r="D252" s="1572">
        <v>16504</v>
      </c>
      <c r="E252" s="1566" t="s">
        <v>1110</v>
      </c>
      <c r="F252" s="1571">
        <v>87.79</v>
      </c>
      <c r="G252" s="1571">
        <v>7.32</v>
      </c>
      <c r="H252" s="1565"/>
      <c r="I252" s="1566"/>
      <c r="J252" s="1566"/>
      <c r="K252" s="1566"/>
      <c r="L252" s="1566"/>
      <c r="M252" s="1566"/>
      <c r="N252" s="1566"/>
      <c r="O252" s="1566"/>
      <c r="P252" s="1566"/>
      <c r="Q252" s="1566"/>
      <c r="R252" s="1566"/>
    </row>
    <row r="253" spans="1:18" ht="12" customHeight="1">
      <c r="A253" s="1565" t="s">
        <v>1972</v>
      </c>
      <c r="B253" s="1566"/>
      <c r="C253" s="1566"/>
      <c r="D253" s="1572">
        <v>198042</v>
      </c>
      <c r="E253" s="1566"/>
      <c r="F253" s="1566"/>
      <c r="G253" s="1566"/>
      <c r="H253" s="1566"/>
      <c r="I253" s="1566"/>
      <c r="J253" s="1566"/>
      <c r="K253" s="1566"/>
      <c r="L253" s="1566"/>
      <c r="M253" s="1566"/>
      <c r="N253" s="1566"/>
      <c r="O253" s="1566"/>
      <c r="P253" s="1566"/>
      <c r="Q253" s="1566"/>
      <c r="R253" s="1566"/>
    </row>
    <row r="254" spans="1:18" ht="12" customHeight="1">
      <c r="A254" s="1566"/>
      <c r="B254" s="1566"/>
      <c r="C254" s="1566"/>
      <c r="D254" s="1566"/>
      <c r="E254" s="1566"/>
      <c r="F254" s="1566"/>
      <c r="G254" s="1566"/>
      <c r="H254" s="1566"/>
      <c r="I254" s="1566"/>
      <c r="J254" s="1566"/>
      <c r="K254" s="1566"/>
      <c r="L254" s="1566"/>
      <c r="M254" s="1566"/>
      <c r="N254" s="1566"/>
      <c r="O254" s="1566"/>
      <c r="P254" s="1566"/>
      <c r="Q254" s="1566"/>
      <c r="R254" s="1566"/>
    </row>
    <row r="255" spans="1:18" ht="12" customHeight="1">
      <c r="A255" s="1565" t="s">
        <v>2454</v>
      </c>
      <c r="B255" s="1570">
        <v>2539</v>
      </c>
      <c r="C255" s="1565" t="s">
        <v>217</v>
      </c>
      <c r="D255" s="1571">
        <v>78</v>
      </c>
      <c r="E255" s="1566" t="s">
        <v>1135</v>
      </c>
      <c r="F255" s="1571">
        <v>80.34</v>
      </c>
      <c r="G255" s="1571">
        <v>6.7</v>
      </c>
      <c r="H255" s="1565" t="s">
        <v>1976</v>
      </c>
      <c r="I255" s="1565" t="s">
        <v>1976</v>
      </c>
      <c r="J255" s="1566"/>
      <c r="K255" s="1565" t="s">
        <v>462</v>
      </c>
      <c r="L255" s="1566"/>
      <c r="M255" s="1565" t="s">
        <v>539</v>
      </c>
      <c r="N255" s="1571">
        <v>36</v>
      </c>
      <c r="O255" s="1571">
        <v>24.7</v>
      </c>
      <c r="P255" s="1566"/>
      <c r="Q255" s="1565"/>
      <c r="R255" s="1565" t="s">
        <v>2403</v>
      </c>
    </row>
    <row r="256" spans="1:18" ht="12" customHeight="1">
      <c r="A256" s="1565" t="s">
        <v>1993</v>
      </c>
      <c r="B256" s="1573">
        <v>6.4056311022529497E-2</v>
      </c>
      <c r="C256" s="1565" t="s">
        <v>1974</v>
      </c>
      <c r="D256" s="1572">
        <v>198042</v>
      </c>
      <c r="E256" s="1566" t="s">
        <v>1147</v>
      </c>
      <c r="F256" s="1571">
        <v>82.75</v>
      </c>
      <c r="G256" s="1571">
        <v>6.9</v>
      </c>
      <c r="H256" s="1565"/>
      <c r="I256" s="1566"/>
      <c r="J256" s="1566"/>
      <c r="K256" s="1566"/>
      <c r="L256" s="1566"/>
      <c r="M256" s="1566"/>
      <c r="N256" s="1572">
        <v>91404</v>
      </c>
      <c r="O256" s="1572">
        <v>62713</v>
      </c>
      <c r="P256" s="1566"/>
      <c r="Q256" s="1565"/>
      <c r="R256" s="1566"/>
    </row>
    <row r="257" spans="1:18" ht="12" customHeight="1">
      <c r="A257" s="1565" t="s">
        <v>2295</v>
      </c>
      <c r="B257" s="1566"/>
      <c r="C257" s="1565" t="s">
        <v>2404</v>
      </c>
      <c r="D257" s="1571">
        <v>6.5</v>
      </c>
      <c r="E257" s="1566" t="s">
        <v>1992</v>
      </c>
      <c r="F257" s="1571">
        <v>85.23</v>
      </c>
      <c r="G257" s="1571">
        <v>7.1</v>
      </c>
      <c r="H257" s="1566"/>
      <c r="I257" s="1566"/>
      <c r="J257" s="1566"/>
      <c r="K257" s="1566"/>
      <c r="L257" s="1566"/>
      <c r="M257" s="1566"/>
      <c r="N257" s="1566"/>
      <c r="O257" s="1566"/>
      <c r="P257" s="1566"/>
      <c r="Q257" s="1572"/>
      <c r="R257" s="1566"/>
    </row>
    <row r="258" spans="1:18" ht="12" customHeight="1">
      <c r="A258" s="1565" t="s">
        <v>1973</v>
      </c>
      <c r="B258" s="1566"/>
      <c r="C258" s="1565" t="s">
        <v>724</v>
      </c>
      <c r="D258" s="1572">
        <v>16504</v>
      </c>
      <c r="E258" s="1566" t="s">
        <v>2296</v>
      </c>
      <c r="F258" s="1571">
        <v>87.79</v>
      </c>
      <c r="G258" s="1571">
        <v>7.32</v>
      </c>
      <c r="H258" s="1565"/>
      <c r="I258" s="1566"/>
      <c r="J258" s="1566"/>
      <c r="K258" s="1566"/>
      <c r="L258" s="1566"/>
      <c r="M258" s="1566"/>
      <c r="N258" s="1566"/>
      <c r="O258" s="1566"/>
      <c r="P258" s="1566"/>
      <c r="Q258" s="1566"/>
      <c r="R258" s="1566"/>
    </row>
    <row r="259" spans="1:18" ht="12" customHeight="1">
      <c r="A259" s="1565" t="s">
        <v>1972</v>
      </c>
      <c r="B259" s="1566"/>
      <c r="C259" s="1566"/>
      <c r="D259" s="1572">
        <v>198042</v>
      </c>
      <c r="E259" s="1566"/>
      <c r="F259" s="1566"/>
      <c r="G259" s="1566"/>
      <c r="H259" s="1566"/>
      <c r="I259" s="1566"/>
      <c r="J259" s="1566"/>
      <c r="K259" s="1566"/>
      <c r="L259" s="1566"/>
      <c r="M259" s="1566"/>
      <c r="N259" s="1566"/>
      <c r="O259" s="1566"/>
      <c r="P259" s="1566"/>
      <c r="Q259" s="1566"/>
      <c r="R259" s="1566"/>
    </row>
    <row r="260" spans="1:18" ht="12" customHeight="1">
      <c r="A260" s="1566"/>
      <c r="B260" s="1566"/>
      <c r="C260" s="1566"/>
      <c r="D260" s="1566"/>
      <c r="E260" s="1566"/>
      <c r="F260" s="1566"/>
      <c r="G260" s="1566"/>
      <c r="H260" s="1566"/>
      <c r="I260" s="1566"/>
      <c r="J260" s="1566"/>
      <c r="K260" s="1566"/>
      <c r="L260" s="1566"/>
      <c r="M260" s="1566"/>
      <c r="N260" s="1566"/>
      <c r="O260" s="1566"/>
      <c r="P260" s="1566"/>
      <c r="Q260" s="1566"/>
      <c r="R260" s="1566"/>
    </row>
    <row r="261" spans="1:18" ht="12" customHeight="1">
      <c r="A261" s="1565" t="s">
        <v>2454</v>
      </c>
      <c r="B261" s="1570">
        <v>2539</v>
      </c>
      <c r="C261" s="1565" t="s">
        <v>217</v>
      </c>
      <c r="D261" s="1571">
        <v>78</v>
      </c>
      <c r="E261" s="1566" t="s">
        <v>2456</v>
      </c>
      <c r="F261" s="1571">
        <v>80.34</v>
      </c>
      <c r="G261" s="1571">
        <v>6.7</v>
      </c>
      <c r="H261" s="1565" t="s">
        <v>1976</v>
      </c>
      <c r="I261" s="1565" t="s">
        <v>1976</v>
      </c>
      <c r="J261" s="1566"/>
      <c r="K261" s="1565" t="s">
        <v>462</v>
      </c>
      <c r="L261" s="1566"/>
      <c r="M261" s="1565" t="s">
        <v>539</v>
      </c>
      <c r="N261" s="1571">
        <v>36</v>
      </c>
      <c r="O261" s="1571">
        <v>24.7</v>
      </c>
      <c r="P261" s="1566"/>
      <c r="Q261" s="1565"/>
      <c r="R261" s="1565" t="s">
        <v>2403</v>
      </c>
    </row>
    <row r="262" spans="1:18" ht="12" customHeight="1">
      <c r="A262" s="1565" t="s">
        <v>1993</v>
      </c>
      <c r="B262" s="1573">
        <v>6.36452510465495E-2</v>
      </c>
      <c r="C262" s="1565" t="s">
        <v>1974</v>
      </c>
      <c r="D262" s="1572">
        <v>198042</v>
      </c>
      <c r="E262" s="1566" t="s">
        <v>2457</v>
      </c>
      <c r="F262" s="1571">
        <v>82.75</v>
      </c>
      <c r="G262" s="1571">
        <v>6.9</v>
      </c>
      <c r="H262" s="1565"/>
      <c r="I262" s="1566"/>
      <c r="J262" s="1566"/>
      <c r="K262" s="1566"/>
      <c r="L262" s="1566"/>
      <c r="M262" s="1566"/>
      <c r="N262" s="1572">
        <v>91404</v>
      </c>
      <c r="O262" s="1572">
        <v>62713</v>
      </c>
      <c r="P262" s="1566"/>
      <c r="Q262" s="1565"/>
      <c r="R262" s="1566"/>
    </row>
    <row r="263" spans="1:18" ht="12" customHeight="1">
      <c r="A263" s="1565" t="s">
        <v>2458</v>
      </c>
      <c r="B263" s="1566"/>
      <c r="C263" s="1565" t="s">
        <v>2404</v>
      </c>
      <c r="D263" s="1571">
        <v>6.5</v>
      </c>
      <c r="E263" s="1566" t="s">
        <v>2459</v>
      </c>
      <c r="F263" s="1571">
        <v>85.23</v>
      </c>
      <c r="G263" s="1571">
        <v>7.1</v>
      </c>
      <c r="H263" s="1566"/>
      <c r="I263" s="1566"/>
      <c r="J263" s="1566"/>
      <c r="K263" s="1566"/>
      <c r="L263" s="1566"/>
      <c r="M263" s="1566"/>
      <c r="N263" s="1566"/>
      <c r="O263" s="1566"/>
      <c r="P263" s="1566"/>
      <c r="Q263" s="1572"/>
      <c r="R263" s="1566"/>
    </row>
    <row r="264" spans="1:18" ht="12" customHeight="1">
      <c r="A264" s="1565" t="s">
        <v>1973</v>
      </c>
      <c r="B264" s="1566"/>
      <c r="C264" s="1565" t="s">
        <v>724</v>
      </c>
      <c r="D264" s="1572">
        <v>16504</v>
      </c>
      <c r="E264" s="1566" t="s">
        <v>2460</v>
      </c>
      <c r="F264" s="1571">
        <v>87.79</v>
      </c>
      <c r="G264" s="1571">
        <v>7.32</v>
      </c>
      <c r="H264" s="1565"/>
      <c r="I264" s="1566"/>
      <c r="J264" s="1566"/>
      <c r="K264" s="1566"/>
      <c r="L264" s="1566"/>
      <c r="M264" s="1566"/>
      <c r="N264" s="1566"/>
      <c r="O264" s="1566"/>
      <c r="P264" s="1566"/>
      <c r="Q264" s="1566"/>
      <c r="R264" s="1566"/>
    </row>
    <row r="265" spans="1:18" ht="12" customHeight="1">
      <c r="A265" s="1565" t="s">
        <v>1972</v>
      </c>
      <c r="B265" s="1566"/>
      <c r="C265" s="1566"/>
      <c r="D265" s="1572">
        <v>198042</v>
      </c>
      <c r="E265" s="1566"/>
      <c r="F265" s="1566"/>
      <c r="G265" s="1566"/>
      <c r="H265" s="1566"/>
      <c r="I265" s="1566"/>
      <c r="J265" s="1566"/>
      <c r="K265" s="1566"/>
      <c r="L265" s="1566"/>
      <c r="M265" s="1566"/>
      <c r="N265" s="1566"/>
      <c r="O265" s="1566"/>
      <c r="P265" s="1566"/>
      <c r="Q265" s="1566"/>
      <c r="R265" s="1566"/>
    </row>
    <row r="266" spans="1:18" ht="12" customHeight="1">
      <c r="A266" s="1566"/>
      <c r="B266" s="1566"/>
      <c r="C266" s="1566"/>
      <c r="D266" s="1566"/>
      <c r="E266" s="1566"/>
      <c r="F266" s="1566"/>
      <c r="G266" s="1566"/>
      <c r="H266" s="1566"/>
      <c r="I266" s="1566"/>
      <c r="J266" s="1566"/>
      <c r="K266" s="1566"/>
      <c r="L266" s="1566"/>
      <c r="M266" s="1566"/>
      <c r="N266" s="1566"/>
      <c r="O266" s="1566"/>
      <c r="P266" s="1566"/>
      <c r="Q266" s="1566"/>
      <c r="R266" s="1566"/>
    </row>
    <row r="267" spans="1:18" ht="12" customHeight="1">
      <c r="A267" s="1565" t="s">
        <v>2461</v>
      </c>
      <c r="B267" s="1570">
        <v>4915</v>
      </c>
      <c r="C267" s="1565" t="s">
        <v>1979</v>
      </c>
      <c r="D267" s="1571">
        <v>27</v>
      </c>
      <c r="E267" s="1566" t="s">
        <v>1076</v>
      </c>
      <c r="F267" s="1571">
        <v>27.81</v>
      </c>
      <c r="G267" s="1571">
        <v>2.3199999999999998</v>
      </c>
      <c r="H267" s="1565" t="s">
        <v>1976</v>
      </c>
      <c r="I267" s="1565" t="s">
        <v>1976</v>
      </c>
      <c r="J267" s="1566"/>
      <c r="K267" s="1565" t="s">
        <v>462</v>
      </c>
      <c r="L267" s="1566"/>
      <c r="M267" s="1565" t="s">
        <v>1983</v>
      </c>
      <c r="N267" s="1571">
        <v>30</v>
      </c>
      <c r="O267" s="1571">
        <v>8.5500000000000007</v>
      </c>
      <c r="P267" s="1566"/>
      <c r="Q267" s="1565"/>
      <c r="R267" s="1565" t="s">
        <v>2403</v>
      </c>
    </row>
    <row r="268" spans="1:18" ht="12" customHeight="1">
      <c r="A268" s="1565" t="s">
        <v>1990</v>
      </c>
      <c r="B268" s="1573">
        <v>0.12557165120972899</v>
      </c>
      <c r="C268" s="1565" t="s">
        <v>1974</v>
      </c>
      <c r="D268" s="1572">
        <v>132705</v>
      </c>
      <c r="E268" s="1566" t="s">
        <v>1088</v>
      </c>
      <c r="F268" s="1571">
        <v>28.64</v>
      </c>
      <c r="G268" s="1571">
        <v>2.39</v>
      </c>
      <c r="H268" s="1565"/>
      <c r="I268" s="1566"/>
      <c r="J268" s="1566"/>
      <c r="K268" s="1566"/>
      <c r="L268" s="1566"/>
      <c r="M268" s="1566"/>
      <c r="N268" s="1572">
        <v>147450</v>
      </c>
      <c r="O268" s="1572">
        <v>42023</v>
      </c>
      <c r="P268" s="1566"/>
      <c r="Q268" s="1565"/>
      <c r="R268" s="1566"/>
    </row>
    <row r="269" spans="1:18" ht="12" customHeight="1">
      <c r="A269" s="1565" t="s">
        <v>2462</v>
      </c>
      <c r="B269" s="1566"/>
      <c r="C269" s="1565" t="s">
        <v>2463</v>
      </c>
      <c r="D269" s="1571">
        <v>2.25</v>
      </c>
      <c r="E269" s="1566" t="s">
        <v>1100</v>
      </c>
      <c r="F269" s="1571">
        <v>29.5</v>
      </c>
      <c r="G269" s="1571">
        <v>2.46</v>
      </c>
      <c r="H269" s="1566"/>
      <c r="I269" s="1566"/>
      <c r="J269" s="1566"/>
      <c r="K269" s="1566"/>
      <c r="L269" s="1566"/>
      <c r="M269" s="1566"/>
      <c r="N269" s="1566"/>
      <c r="O269" s="1566"/>
      <c r="P269" s="1566"/>
      <c r="Q269" s="1572"/>
      <c r="R269" s="1566"/>
    </row>
    <row r="270" spans="1:18" ht="12" customHeight="1">
      <c r="A270" s="1565" t="s">
        <v>1973</v>
      </c>
      <c r="B270" s="1566"/>
      <c r="C270" s="1565" t="s">
        <v>724</v>
      </c>
      <c r="D270" s="1572">
        <v>11059</v>
      </c>
      <c r="E270" s="1566" t="s">
        <v>1112</v>
      </c>
      <c r="F270" s="1571">
        <v>30.39</v>
      </c>
      <c r="G270" s="1571">
        <v>2.5299999999999998</v>
      </c>
      <c r="H270" s="1565"/>
      <c r="I270" s="1566"/>
      <c r="J270" s="1566"/>
      <c r="K270" s="1566"/>
      <c r="L270" s="1566"/>
      <c r="M270" s="1566"/>
      <c r="N270" s="1566"/>
      <c r="O270" s="1566"/>
      <c r="P270" s="1566"/>
      <c r="Q270" s="1566"/>
      <c r="R270" s="1566"/>
    </row>
    <row r="271" spans="1:18" ht="12" customHeight="1">
      <c r="A271" s="1565" t="s">
        <v>1972</v>
      </c>
      <c r="B271" s="1566"/>
      <c r="C271" s="1566"/>
      <c r="D271" s="1572">
        <v>132705</v>
      </c>
      <c r="E271" s="1566"/>
      <c r="F271" s="1566"/>
      <c r="G271" s="1566"/>
      <c r="H271" s="1566"/>
      <c r="I271" s="1566"/>
      <c r="J271" s="1566"/>
      <c r="K271" s="1566"/>
      <c r="L271" s="1566"/>
      <c r="M271" s="1566"/>
      <c r="N271" s="1566"/>
      <c r="O271" s="1566"/>
      <c r="P271" s="1566"/>
      <c r="Q271" s="1566"/>
      <c r="R271" s="1566"/>
    </row>
    <row r="272" spans="1:18" ht="12" customHeight="1">
      <c r="A272" s="1566"/>
      <c r="B272" s="1566"/>
      <c r="C272" s="1566"/>
      <c r="D272" s="1566"/>
      <c r="E272" s="1566"/>
      <c r="F272" s="1566"/>
      <c r="G272" s="1566"/>
      <c r="H272" s="1566"/>
      <c r="I272" s="1566"/>
      <c r="J272" s="1566"/>
      <c r="K272" s="1566"/>
      <c r="L272" s="1566"/>
      <c r="M272" s="1566"/>
      <c r="N272" s="1566"/>
      <c r="O272" s="1566"/>
      <c r="P272" s="1566"/>
      <c r="Q272" s="1566"/>
      <c r="R272" s="1566"/>
    </row>
    <row r="273" spans="1:18" ht="12" customHeight="1">
      <c r="A273" s="1565" t="s">
        <v>2461</v>
      </c>
      <c r="B273" s="1570">
        <v>4915</v>
      </c>
      <c r="C273" s="1565" t="s">
        <v>217</v>
      </c>
      <c r="D273" s="1571">
        <v>27</v>
      </c>
      <c r="E273" s="1566" t="s">
        <v>1138</v>
      </c>
      <c r="F273" s="1571">
        <v>27.81</v>
      </c>
      <c r="G273" s="1571">
        <v>2.3199999999999998</v>
      </c>
      <c r="H273" s="1565" t="s">
        <v>1976</v>
      </c>
      <c r="I273" s="1565" t="s">
        <v>1976</v>
      </c>
      <c r="J273" s="1566"/>
      <c r="K273" s="1565" t="s">
        <v>462</v>
      </c>
      <c r="L273" s="1566"/>
      <c r="M273" s="1565" t="s">
        <v>539</v>
      </c>
      <c r="N273" s="1571">
        <v>18</v>
      </c>
      <c r="O273" s="1571">
        <v>8.5500000000000007</v>
      </c>
      <c r="P273" s="1566"/>
      <c r="Q273" s="1565"/>
      <c r="R273" s="1565" t="s">
        <v>2403</v>
      </c>
    </row>
    <row r="274" spans="1:18" ht="12" customHeight="1">
      <c r="A274" s="1565" t="s">
        <v>1990</v>
      </c>
      <c r="B274" s="1573">
        <v>0.124000302747433</v>
      </c>
      <c r="C274" s="1565" t="s">
        <v>1974</v>
      </c>
      <c r="D274" s="1572">
        <v>132705</v>
      </c>
      <c r="E274" s="1566" t="s">
        <v>1150</v>
      </c>
      <c r="F274" s="1571">
        <v>28.64</v>
      </c>
      <c r="G274" s="1571">
        <v>2.39</v>
      </c>
      <c r="H274" s="1565"/>
      <c r="I274" s="1566"/>
      <c r="J274" s="1566"/>
      <c r="K274" s="1566"/>
      <c r="L274" s="1566"/>
      <c r="M274" s="1566"/>
      <c r="N274" s="1572">
        <v>88470</v>
      </c>
      <c r="O274" s="1572">
        <v>42023</v>
      </c>
      <c r="P274" s="1566"/>
      <c r="Q274" s="1565"/>
      <c r="R274" s="1566"/>
    </row>
    <row r="275" spans="1:18" ht="12" customHeight="1">
      <c r="A275" s="1565" t="s">
        <v>2301</v>
      </c>
      <c r="B275" s="1566"/>
      <c r="C275" s="1565" t="s">
        <v>2463</v>
      </c>
      <c r="D275" s="1571">
        <v>2.25</v>
      </c>
      <c r="E275" s="1566" t="s">
        <v>2281</v>
      </c>
      <c r="F275" s="1571">
        <v>29.5</v>
      </c>
      <c r="G275" s="1571">
        <v>2.46</v>
      </c>
      <c r="H275" s="1566"/>
      <c r="I275" s="1566"/>
      <c r="J275" s="1566"/>
      <c r="K275" s="1566"/>
      <c r="L275" s="1566"/>
      <c r="M275" s="1566"/>
      <c r="N275" s="1566"/>
      <c r="O275" s="1566"/>
      <c r="P275" s="1566"/>
      <c r="Q275" s="1572"/>
      <c r="R275" s="1566"/>
    </row>
    <row r="276" spans="1:18" ht="12" customHeight="1">
      <c r="A276" s="1565" t="s">
        <v>1973</v>
      </c>
      <c r="B276" s="1566"/>
      <c r="C276" s="1565" t="s">
        <v>724</v>
      </c>
      <c r="D276" s="1572">
        <v>11059</v>
      </c>
      <c r="E276" s="1566" t="s">
        <v>2302</v>
      </c>
      <c r="F276" s="1571">
        <v>30.39</v>
      </c>
      <c r="G276" s="1571">
        <v>2.5299999999999998</v>
      </c>
      <c r="H276" s="1565"/>
      <c r="I276" s="1566"/>
      <c r="J276" s="1566"/>
      <c r="K276" s="1566"/>
      <c r="L276" s="1566"/>
      <c r="M276" s="1566"/>
      <c r="N276" s="1566"/>
      <c r="O276" s="1566"/>
      <c r="P276" s="1566"/>
      <c r="Q276" s="1566"/>
      <c r="R276" s="1566"/>
    </row>
    <row r="277" spans="1:18" ht="12" customHeight="1">
      <c r="A277" s="1565" t="s">
        <v>1972</v>
      </c>
      <c r="B277" s="1566"/>
      <c r="C277" s="1566"/>
      <c r="D277" s="1572">
        <v>132705</v>
      </c>
      <c r="E277" s="1566"/>
      <c r="F277" s="1566"/>
      <c r="G277" s="1566"/>
      <c r="H277" s="1566"/>
      <c r="I277" s="1566"/>
      <c r="J277" s="1566"/>
      <c r="K277" s="1566"/>
      <c r="L277" s="1566"/>
      <c r="M277" s="1566"/>
      <c r="N277" s="1566"/>
      <c r="O277" s="1566"/>
      <c r="P277" s="1566"/>
      <c r="Q277" s="1566"/>
      <c r="R277" s="1566"/>
    </row>
    <row r="278" spans="1:18" ht="12" customHeight="1">
      <c r="A278" s="1566"/>
      <c r="B278" s="1566"/>
      <c r="C278" s="1566"/>
      <c r="D278" s="1566"/>
      <c r="E278" s="1566"/>
      <c r="F278" s="1566"/>
      <c r="G278" s="1566"/>
      <c r="H278" s="1566"/>
      <c r="I278" s="1566"/>
      <c r="J278" s="1566"/>
      <c r="K278" s="1566"/>
      <c r="L278" s="1566"/>
      <c r="M278" s="1566"/>
      <c r="N278" s="1566"/>
      <c r="O278" s="1566"/>
      <c r="P278" s="1566"/>
      <c r="Q278" s="1566"/>
      <c r="R278" s="1566"/>
    </row>
    <row r="279" spans="1:18" ht="12" customHeight="1">
      <c r="A279" s="1565" t="s">
        <v>2461</v>
      </c>
      <c r="B279" s="1570">
        <v>4915</v>
      </c>
      <c r="C279" s="1565" t="s">
        <v>217</v>
      </c>
      <c r="D279" s="1571">
        <v>27</v>
      </c>
      <c r="E279" s="1566" t="s">
        <v>2464</v>
      </c>
      <c r="F279" s="1571">
        <v>27.81</v>
      </c>
      <c r="G279" s="1571">
        <v>2.3199999999999998</v>
      </c>
      <c r="H279" s="1565" t="s">
        <v>1976</v>
      </c>
      <c r="I279" s="1565" t="s">
        <v>1976</v>
      </c>
      <c r="J279" s="1566"/>
      <c r="K279" s="1565" t="s">
        <v>462</v>
      </c>
      <c r="L279" s="1566"/>
      <c r="M279" s="1565" t="s">
        <v>539</v>
      </c>
      <c r="N279" s="1571">
        <v>18</v>
      </c>
      <c r="O279" s="1571">
        <v>8.5500000000000007</v>
      </c>
      <c r="P279" s="1566"/>
      <c r="Q279" s="1565"/>
      <c r="R279" s="1565" t="s">
        <v>2403</v>
      </c>
    </row>
    <row r="280" spans="1:18" ht="12" customHeight="1">
      <c r="A280" s="1565" t="s">
        <v>1990</v>
      </c>
      <c r="B280" s="1573">
        <v>0.123204572230717</v>
      </c>
      <c r="C280" s="1565" t="s">
        <v>1974</v>
      </c>
      <c r="D280" s="1572">
        <v>132705</v>
      </c>
      <c r="E280" s="1566" t="s">
        <v>2465</v>
      </c>
      <c r="F280" s="1571">
        <v>28.64</v>
      </c>
      <c r="G280" s="1571">
        <v>2.39</v>
      </c>
      <c r="H280" s="1565"/>
      <c r="I280" s="1566"/>
      <c r="J280" s="1566"/>
      <c r="K280" s="1566"/>
      <c r="L280" s="1566"/>
      <c r="M280" s="1566"/>
      <c r="N280" s="1572">
        <v>88470</v>
      </c>
      <c r="O280" s="1572">
        <v>42023</v>
      </c>
      <c r="P280" s="1566"/>
      <c r="Q280" s="1565"/>
      <c r="R280" s="1566"/>
    </row>
    <row r="281" spans="1:18" ht="12" customHeight="1">
      <c r="A281" s="1565" t="s">
        <v>2466</v>
      </c>
      <c r="B281" s="1566"/>
      <c r="C281" s="1565" t="s">
        <v>2463</v>
      </c>
      <c r="D281" s="1571">
        <v>2.25</v>
      </c>
      <c r="E281" s="1566" t="s">
        <v>2467</v>
      </c>
      <c r="F281" s="1571">
        <v>29.5</v>
      </c>
      <c r="G281" s="1571">
        <v>2.46</v>
      </c>
      <c r="H281" s="1566"/>
      <c r="I281" s="1566"/>
      <c r="J281" s="1566"/>
      <c r="K281" s="1566"/>
      <c r="L281" s="1566"/>
      <c r="M281" s="1566"/>
      <c r="N281" s="1566"/>
      <c r="O281" s="1566"/>
      <c r="P281" s="1566"/>
      <c r="Q281" s="1572"/>
      <c r="R281" s="1566"/>
    </row>
    <row r="282" spans="1:18" ht="12" customHeight="1">
      <c r="A282" s="1565" t="s">
        <v>1973</v>
      </c>
      <c r="B282" s="1566"/>
      <c r="C282" s="1565" t="s">
        <v>724</v>
      </c>
      <c r="D282" s="1572">
        <v>11059</v>
      </c>
      <c r="E282" s="1566" t="s">
        <v>2468</v>
      </c>
      <c r="F282" s="1571">
        <v>30.39</v>
      </c>
      <c r="G282" s="1571">
        <v>2.5299999999999998</v>
      </c>
      <c r="H282" s="1565"/>
      <c r="I282" s="1566"/>
      <c r="J282" s="1566"/>
      <c r="K282" s="1566"/>
      <c r="L282" s="1566"/>
      <c r="M282" s="1566"/>
      <c r="N282" s="1566"/>
      <c r="O282" s="1566"/>
      <c r="P282" s="1566"/>
      <c r="Q282" s="1566"/>
      <c r="R282" s="1566"/>
    </row>
    <row r="283" spans="1:18" ht="12" customHeight="1">
      <c r="A283" s="1565" t="s">
        <v>1972</v>
      </c>
      <c r="B283" s="1566"/>
      <c r="C283" s="1566"/>
      <c r="D283" s="1572">
        <v>132705</v>
      </c>
      <c r="E283" s="1566"/>
      <c r="F283" s="1566"/>
      <c r="G283" s="1566"/>
      <c r="H283" s="1566"/>
      <c r="I283" s="1566"/>
      <c r="J283" s="1566"/>
      <c r="K283" s="1566"/>
      <c r="L283" s="1566"/>
      <c r="M283" s="1566"/>
      <c r="N283" s="1566"/>
      <c r="O283" s="1566"/>
      <c r="P283" s="1566"/>
      <c r="Q283" s="1566"/>
      <c r="R283" s="1566"/>
    </row>
    <row r="284" spans="1:18" ht="12" customHeight="1">
      <c r="A284" s="1566"/>
      <c r="B284" s="1566"/>
      <c r="C284" s="1566"/>
      <c r="D284" s="1566"/>
      <c r="E284" s="1566"/>
      <c r="F284" s="1566"/>
      <c r="G284" s="1566"/>
      <c r="H284" s="1566"/>
      <c r="I284" s="1566"/>
      <c r="J284" s="1566"/>
      <c r="K284" s="1566"/>
      <c r="L284" s="1566"/>
      <c r="M284" s="1566"/>
      <c r="N284" s="1566"/>
      <c r="O284" s="1566"/>
      <c r="P284" s="1566"/>
      <c r="Q284" s="1566"/>
      <c r="R284" s="1566"/>
    </row>
    <row r="285" spans="1:18" ht="12" customHeight="1">
      <c r="A285" s="1565" t="s">
        <v>2469</v>
      </c>
      <c r="B285" s="1570">
        <v>775</v>
      </c>
      <c r="C285" s="1565" t="s">
        <v>1979</v>
      </c>
      <c r="D285" s="1571">
        <v>13.56</v>
      </c>
      <c r="E285" s="1566" t="s">
        <v>1076</v>
      </c>
      <c r="F285" s="1571">
        <v>13.97</v>
      </c>
      <c r="G285" s="1571">
        <v>1.1599999999999999</v>
      </c>
      <c r="H285" s="1565" t="s">
        <v>1976</v>
      </c>
      <c r="I285" s="1565" t="s">
        <v>1976</v>
      </c>
      <c r="J285" s="1566"/>
      <c r="K285" s="1565" t="s">
        <v>462</v>
      </c>
      <c r="L285" s="1566"/>
      <c r="M285" s="1565" t="s">
        <v>1983</v>
      </c>
      <c r="N285" s="1571">
        <v>0</v>
      </c>
      <c r="O285" s="1571">
        <v>4.29</v>
      </c>
      <c r="P285" s="1566"/>
      <c r="Q285" s="1565"/>
      <c r="R285" s="1565" t="s">
        <v>2403</v>
      </c>
    </row>
    <row r="286" spans="1:18" ht="12" customHeight="1">
      <c r="A286" s="1565" t="s">
        <v>1990</v>
      </c>
      <c r="B286" s="1573">
        <v>1.9800209498990799E-2</v>
      </c>
      <c r="C286" s="1565" t="s">
        <v>1974</v>
      </c>
      <c r="D286" s="1572">
        <v>10509</v>
      </c>
      <c r="E286" s="1566" t="s">
        <v>1088</v>
      </c>
      <c r="F286" s="1571">
        <v>14.39</v>
      </c>
      <c r="G286" s="1571">
        <v>1.2</v>
      </c>
      <c r="H286" s="1565"/>
      <c r="I286" s="1566"/>
      <c r="J286" s="1566"/>
      <c r="K286" s="1566"/>
      <c r="L286" s="1566"/>
      <c r="M286" s="1566"/>
      <c r="N286" s="1572">
        <v>0</v>
      </c>
      <c r="O286" s="1572">
        <v>3328</v>
      </c>
      <c r="P286" s="1566"/>
      <c r="Q286" s="1565"/>
      <c r="R286" s="1566"/>
    </row>
    <row r="287" spans="1:18" ht="12" customHeight="1">
      <c r="A287" s="1565" t="s">
        <v>2462</v>
      </c>
      <c r="B287" s="1566"/>
      <c r="C287" s="1565" t="s">
        <v>2470</v>
      </c>
      <c r="D287" s="1571">
        <v>1.1299999999999999</v>
      </c>
      <c r="E287" s="1566" t="s">
        <v>1100</v>
      </c>
      <c r="F287" s="1571">
        <v>14.82</v>
      </c>
      <c r="G287" s="1571">
        <v>1.23</v>
      </c>
      <c r="H287" s="1566"/>
      <c r="I287" s="1566"/>
      <c r="J287" s="1566"/>
      <c r="K287" s="1566"/>
      <c r="L287" s="1566"/>
      <c r="M287" s="1566"/>
      <c r="N287" s="1566"/>
      <c r="O287" s="1566"/>
      <c r="P287" s="1566"/>
      <c r="Q287" s="1572"/>
      <c r="R287" s="1566"/>
    </row>
    <row r="288" spans="1:18" ht="12" customHeight="1">
      <c r="A288" s="1565" t="s">
        <v>1973</v>
      </c>
      <c r="B288" s="1566"/>
      <c r="C288" s="1565" t="s">
        <v>724</v>
      </c>
      <c r="D288" s="1572">
        <v>876</v>
      </c>
      <c r="E288" s="1566" t="s">
        <v>1112</v>
      </c>
      <c r="F288" s="1571">
        <v>15.26</v>
      </c>
      <c r="G288" s="1571">
        <v>1.27</v>
      </c>
      <c r="H288" s="1565"/>
      <c r="I288" s="1566"/>
      <c r="J288" s="1566"/>
      <c r="K288" s="1566"/>
      <c r="L288" s="1566"/>
      <c r="M288" s="1566"/>
      <c r="N288" s="1566"/>
      <c r="O288" s="1566"/>
      <c r="P288" s="1566"/>
      <c r="Q288" s="1566"/>
      <c r="R288" s="1566"/>
    </row>
    <row r="289" spans="1:18" ht="12" customHeight="1">
      <c r="A289" s="1565" t="s">
        <v>1972</v>
      </c>
      <c r="B289" s="1566"/>
      <c r="C289" s="1566"/>
      <c r="D289" s="1572">
        <v>10509</v>
      </c>
      <c r="E289" s="1566"/>
      <c r="F289" s="1566"/>
      <c r="G289" s="1566"/>
      <c r="H289" s="1566"/>
      <c r="I289" s="1566"/>
      <c r="J289" s="1566"/>
      <c r="K289" s="1566"/>
      <c r="L289" s="1566"/>
      <c r="M289" s="1566"/>
      <c r="N289" s="1566"/>
      <c r="O289" s="1566"/>
      <c r="P289" s="1566"/>
      <c r="Q289" s="1566"/>
      <c r="R289" s="1566"/>
    </row>
    <row r="290" spans="1:18" ht="12" customHeight="1">
      <c r="A290" s="1566"/>
      <c r="B290" s="1566"/>
      <c r="C290" s="1566"/>
      <c r="D290" s="1566"/>
      <c r="E290" s="1566"/>
      <c r="F290" s="1566"/>
      <c r="G290" s="1566"/>
      <c r="H290" s="1566"/>
      <c r="I290" s="1566"/>
      <c r="J290" s="1566"/>
      <c r="K290" s="1566"/>
      <c r="L290" s="1566"/>
      <c r="M290" s="1566"/>
      <c r="N290" s="1566"/>
      <c r="O290" s="1566"/>
      <c r="P290" s="1566"/>
      <c r="Q290" s="1566"/>
      <c r="R290" s="1566"/>
    </row>
    <row r="291" spans="1:18" ht="12" customHeight="1">
      <c r="A291" s="1565" t="s">
        <v>2469</v>
      </c>
      <c r="B291" s="1570">
        <v>775</v>
      </c>
      <c r="C291" s="1565" t="s">
        <v>217</v>
      </c>
      <c r="D291" s="1571">
        <v>13.56</v>
      </c>
      <c r="E291" s="1566" t="s">
        <v>1138</v>
      </c>
      <c r="F291" s="1571">
        <v>13.97</v>
      </c>
      <c r="G291" s="1571">
        <v>1.1599999999999999</v>
      </c>
      <c r="H291" s="1565" t="s">
        <v>1976</v>
      </c>
      <c r="I291" s="1565" t="s">
        <v>1976</v>
      </c>
      <c r="J291" s="1566"/>
      <c r="K291" s="1565" t="s">
        <v>462</v>
      </c>
      <c r="L291" s="1566"/>
      <c r="M291" s="1565" t="s">
        <v>539</v>
      </c>
      <c r="N291" s="1571">
        <v>0</v>
      </c>
      <c r="O291" s="1571">
        <v>4.29</v>
      </c>
      <c r="P291" s="1566"/>
      <c r="Q291" s="1565"/>
      <c r="R291" s="1565" t="s">
        <v>2403</v>
      </c>
    </row>
    <row r="292" spans="1:18" ht="12" customHeight="1">
      <c r="A292" s="1565" t="s">
        <v>1990</v>
      </c>
      <c r="B292" s="1573">
        <v>1.95524383782829E-2</v>
      </c>
      <c r="C292" s="1565" t="s">
        <v>1974</v>
      </c>
      <c r="D292" s="1572">
        <v>10509</v>
      </c>
      <c r="E292" s="1566" t="s">
        <v>1150</v>
      </c>
      <c r="F292" s="1571">
        <v>14.39</v>
      </c>
      <c r="G292" s="1571">
        <v>1.2</v>
      </c>
      <c r="H292" s="1565"/>
      <c r="I292" s="1566"/>
      <c r="J292" s="1566"/>
      <c r="K292" s="1566"/>
      <c r="L292" s="1566"/>
      <c r="M292" s="1566"/>
      <c r="N292" s="1572">
        <v>0</v>
      </c>
      <c r="O292" s="1572">
        <v>3328</v>
      </c>
      <c r="P292" s="1566"/>
      <c r="Q292" s="1565"/>
      <c r="R292" s="1566"/>
    </row>
    <row r="293" spans="1:18" ht="12" customHeight="1">
      <c r="A293" s="1565" t="s">
        <v>2301</v>
      </c>
      <c r="B293" s="1566"/>
      <c r="C293" s="1565" t="s">
        <v>2470</v>
      </c>
      <c r="D293" s="1571">
        <v>1.1299999999999999</v>
      </c>
      <c r="E293" s="1566" t="s">
        <v>2281</v>
      </c>
      <c r="F293" s="1571">
        <v>14.82</v>
      </c>
      <c r="G293" s="1571">
        <v>1.23</v>
      </c>
      <c r="H293" s="1566"/>
      <c r="I293" s="1566"/>
      <c r="J293" s="1566"/>
      <c r="K293" s="1566"/>
      <c r="L293" s="1566"/>
      <c r="M293" s="1566"/>
      <c r="N293" s="1566"/>
      <c r="O293" s="1566"/>
      <c r="P293" s="1566"/>
      <c r="Q293" s="1572"/>
      <c r="R293" s="1566"/>
    </row>
    <row r="294" spans="1:18" ht="12" customHeight="1">
      <c r="A294" s="1565" t="s">
        <v>1973</v>
      </c>
      <c r="B294" s="1566"/>
      <c r="C294" s="1565" t="s">
        <v>724</v>
      </c>
      <c r="D294" s="1572">
        <v>876</v>
      </c>
      <c r="E294" s="1566" t="s">
        <v>2302</v>
      </c>
      <c r="F294" s="1571">
        <v>15.26</v>
      </c>
      <c r="G294" s="1571">
        <v>1.27</v>
      </c>
      <c r="H294" s="1565"/>
      <c r="I294" s="1566"/>
      <c r="J294" s="1566"/>
      <c r="K294" s="1566"/>
      <c r="L294" s="1566"/>
      <c r="M294" s="1566"/>
      <c r="N294" s="1566"/>
      <c r="O294" s="1566"/>
      <c r="P294" s="1566"/>
      <c r="Q294" s="1566"/>
      <c r="R294" s="1566"/>
    </row>
    <row r="295" spans="1:18" ht="12" customHeight="1">
      <c r="A295" s="1565" t="s">
        <v>1972</v>
      </c>
      <c r="B295" s="1566"/>
      <c r="C295" s="1566"/>
      <c r="D295" s="1572">
        <v>10509</v>
      </c>
      <c r="E295" s="1566"/>
      <c r="F295" s="1566"/>
      <c r="G295" s="1566"/>
      <c r="H295" s="1566"/>
      <c r="I295" s="1566"/>
      <c r="J295" s="1566"/>
      <c r="K295" s="1566"/>
      <c r="L295" s="1566"/>
      <c r="M295" s="1566"/>
      <c r="N295" s="1566"/>
      <c r="O295" s="1566"/>
      <c r="P295" s="1566"/>
      <c r="Q295" s="1566"/>
      <c r="R295" s="1566"/>
    </row>
    <row r="296" spans="1:18" ht="12" customHeight="1">
      <c r="A296" s="1566"/>
      <c r="B296" s="1566"/>
      <c r="C296" s="1566"/>
      <c r="D296" s="1566"/>
      <c r="E296" s="1566"/>
      <c r="F296" s="1566"/>
      <c r="G296" s="1566"/>
      <c r="H296" s="1566"/>
      <c r="I296" s="1566"/>
      <c r="J296" s="1566"/>
      <c r="K296" s="1566"/>
      <c r="L296" s="1566"/>
      <c r="M296" s="1566"/>
      <c r="N296" s="1566"/>
      <c r="O296" s="1566"/>
      <c r="P296" s="1566"/>
      <c r="Q296" s="1566"/>
      <c r="R296" s="1566"/>
    </row>
    <row r="297" spans="1:18" ht="12" customHeight="1">
      <c r="A297" s="1565" t="s">
        <v>2469</v>
      </c>
      <c r="B297" s="1570">
        <v>775</v>
      </c>
      <c r="C297" s="1565" t="s">
        <v>217</v>
      </c>
      <c r="D297" s="1571">
        <v>13.56</v>
      </c>
      <c r="E297" s="1566" t="s">
        <v>2464</v>
      </c>
      <c r="F297" s="1571">
        <v>13.97</v>
      </c>
      <c r="G297" s="1571">
        <v>1.1599999999999999</v>
      </c>
      <c r="H297" s="1565" t="s">
        <v>1976</v>
      </c>
      <c r="I297" s="1565" t="s">
        <v>1976</v>
      </c>
      <c r="J297" s="1566"/>
      <c r="K297" s="1565" t="s">
        <v>462</v>
      </c>
      <c r="L297" s="1566"/>
      <c r="M297" s="1565" t="s">
        <v>539</v>
      </c>
      <c r="N297" s="1571">
        <v>0</v>
      </c>
      <c r="O297" s="1571">
        <v>4.29</v>
      </c>
      <c r="P297" s="1566"/>
      <c r="Q297" s="1565"/>
      <c r="R297" s="1565" t="s">
        <v>2403</v>
      </c>
    </row>
    <row r="298" spans="1:18" ht="12" customHeight="1">
      <c r="A298" s="1565" t="s">
        <v>1990</v>
      </c>
      <c r="B298" s="1573">
        <v>1.9426967137091699E-2</v>
      </c>
      <c r="C298" s="1565" t="s">
        <v>1974</v>
      </c>
      <c r="D298" s="1572">
        <v>10509</v>
      </c>
      <c r="E298" s="1566" t="s">
        <v>2465</v>
      </c>
      <c r="F298" s="1571">
        <v>14.39</v>
      </c>
      <c r="G298" s="1571">
        <v>1.2</v>
      </c>
      <c r="H298" s="1565"/>
      <c r="I298" s="1566"/>
      <c r="J298" s="1566"/>
      <c r="K298" s="1566"/>
      <c r="L298" s="1566"/>
      <c r="M298" s="1566"/>
      <c r="N298" s="1572">
        <v>0</v>
      </c>
      <c r="O298" s="1572">
        <v>3328</v>
      </c>
      <c r="P298" s="1566"/>
      <c r="Q298" s="1565"/>
      <c r="R298" s="1566"/>
    </row>
    <row r="299" spans="1:18" ht="12" customHeight="1">
      <c r="A299" s="1565" t="s">
        <v>2466</v>
      </c>
      <c r="B299" s="1566"/>
      <c r="C299" s="1565" t="s">
        <v>2470</v>
      </c>
      <c r="D299" s="1571">
        <v>1.1299999999999999</v>
      </c>
      <c r="E299" s="1566" t="s">
        <v>2467</v>
      </c>
      <c r="F299" s="1571">
        <v>14.82</v>
      </c>
      <c r="G299" s="1571">
        <v>1.23</v>
      </c>
      <c r="H299" s="1566"/>
      <c r="I299" s="1566"/>
      <c r="J299" s="1566"/>
      <c r="K299" s="1566"/>
      <c r="L299" s="1566"/>
      <c r="M299" s="1566"/>
      <c r="N299" s="1566"/>
      <c r="O299" s="1566"/>
      <c r="P299" s="1566"/>
      <c r="Q299" s="1572"/>
      <c r="R299" s="1566"/>
    </row>
    <row r="300" spans="1:18" ht="12" customHeight="1">
      <c r="A300" s="1565" t="s">
        <v>1973</v>
      </c>
      <c r="B300" s="1566"/>
      <c r="C300" s="1565" t="s">
        <v>724</v>
      </c>
      <c r="D300" s="1572">
        <v>876</v>
      </c>
      <c r="E300" s="1566" t="s">
        <v>2468</v>
      </c>
      <c r="F300" s="1571">
        <v>15.26</v>
      </c>
      <c r="G300" s="1571">
        <v>1.27</v>
      </c>
      <c r="H300" s="1565"/>
      <c r="I300" s="1566"/>
      <c r="J300" s="1566"/>
      <c r="K300" s="1566"/>
      <c r="L300" s="1566"/>
      <c r="M300" s="1566"/>
      <c r="N300" s="1566"/>
      <c r="O300" s="1566"/>
      <c r="P300" s="1566"/>
      <c r="Q300" s="1566"/>
      <c r="R300" s="1566"/>
    </row>
    <row r="301" spans="1:18" ht="12" customHeight="1">
      <c r="A301" s="1565" t="s">
        <v>1972</v>
      </c>
      <c r="B301" s="1566"/>
      <c r="C301" s="1566"/>
      <c r="D301" s="1572">
        <v>10509</v>
      </c>
      <c r="E301" s="1566"/>
      <c r="F301" s="1566"/>
      <c r="G301" s="1566"/>
      <c r="H301" s="1566"/>
      <c r="I301" s="1566"/>
      <c r="J301" s="1566"/>
      <c r="K301" s="1566"/>
      <c r="L301" s="1566"/>
      <c r="M301" s="1566"/>
      <c r="N301" s="1566"/>
      <c r="O301" s="1566"/>
      <c r="P301" s="1566"/>
      <c r="Q301" s="1566"/>
      <c r="R301" s="1566"/>
    </row>
    <row r="302" spans="1:18" ht="12" customHeight="1">
      <c r="A302" s="1566"/>
      <c r="B302" s="1566"/>
      <c r="C302" s="1566"/>
      <c r="D302" s="1566"/>
      <c r="E302" s="1566"/>
      <c r="F302" s="1566"/>
      <c r="G302" s="1566"/>
      <c r="H302" s="1566"/>
      <c r="I302" s="1566"/>
      <c r="J302" s="1566"/>
      <c r="K302" s="1566"/>
      <c r="L302" s="1566"/>
      <c r="M302" s="1566"/>
      <c r="N302" s="1566"/>
      <c r="O302" s="1566"/>
      <c r="P302" s="1566"/>
      <c r="Q302" s="1566"/>
      <c r="R302" s="1566"/>
    </row>
    <row r="303" spans="1:18" ht="12" customHeight="1">
      <c r="A303" s="1565" t="s">
        <v>2471</v>
      </c>
      <c r="B303" s="1570">
        <v>550</v>
      </c>
      <c r="C303" s="1565" t="s">
        <v>1979</v>
      </c>
      <c r="D303" s="1571">
        <v>69</v>
      </c>
      <c r="E303" s="1566" t="s">
        <v>1103</v>
      </c>
      <c r="F303" s="1571">
        <v>75.959999999999994</v>
      </c>
      <c r="G303" s="1571">
        <v>6.33</v>
      </c>
      <c r="H303" s="1565" t="s">
        <v>1976</v>
      </c>
      <c r="I303" s="1565" t="s">
        <v>1976</v>
      </c>
      <c r="J303" s="1566"/>
      <c r="K303" s="1565" t="s">
        <v>462</v>
      </c>
      <c r="L303" s="1566"/>
      <c r="M303" s="1565" t="s">
        <v>1983</v>
      </c>
      <c r="N303" s="1571">
        <v>0</v>
      </c>
      <c r="O303" s="1571">
        <v>39.69</v>
      </c>
      <c r="P303" s="1566"/>
      <c r="Q303" s="1565"/>
      <c r="R303" s="1565" t="s">
        <v>2403</v>
      </c>
    </row>
    <row r="304" spans="1:18" ht="12" customHeight="1">
      <c r="A304" s="1565" t="s">
        <v>1987</v>
      </c>
      <c r="B304" s="1573">
        <v>1.40413581822824E-2</v>
      </c>
      <c r="C304" s="1565" t="s">
        <v>1977</v>
      </c>
      <c r="D304" s="1572">
        <v>37950</v>
      </c>
      <c r="E304" s="1566"/>
      <c r="F304" s="1566"/>
      <c r="G304" s="1566"/>
      <c r="H304" s="1565"/>
      <c r="I304" s="1566"/>
      <c r="J304" s="1566"/>
      <c r="K304" s="1566"/>
      <c r="L304" s="1566"/>
      <c r="M304" s="1566"/>
      <c r="N304" s="1572">
        <v>0</v>
      </c>
      <c r="O304" s="1572">
        <v>21830</v>
      </c>
      <c r="P304" s="1566"/>
      <c r="Q304" s="1565"/>
      <c r="R304" s="1566"/>
    </row>
    <row r="305" spans="1:18" ht="12" customHeight="1">
      <c r="A305" s="1565" t="s">
        <v>2472</v>
      </c>
      <c r="B305" s="1566"/>
      <c r="C305" s="1565" t="s">
        <v>2425</v>
      </c>
      <c r="D305" s="1571">
        <v>5.75</v>
      </c>
      <c r="E305" s="1566"/>
      <c r="F305" s="1566"/>
      <c r="G305" s="1566"/>
      <c r="H305" s="1566"/>
      <c r="I305" s="1566"/>
      <c r="J305" s="1566"/>
      <c r="K305" s="1566"/>
      <c r="L305" s="1566"/>
      <c r="M305" s="1566"/>
      <c r="N305" s="1566"/>
      <c r="O305" s="1566"/>
      <c r="P305" s="1566"/>
      <c r="Q305" s="1572"/>
      <c r="R305" s="1566"/>
    </row>
    <row r="306" spans="1:18" ht="12" customHeight="1">
      <c r="A306" s="1565" t="s">
        <v>1984</v>
      </c>
      <c r="B306" s="1566"/>
      <c r="C306" s="1565" t="s">
        <v>724</v>
      </c>
      <c r="D306" s="1572">
        <v>3163</v>
      </c>
      <c r="E306" s="1566"/>
      <c r="F306" s="1566"/>
      <c r="G306" s="1566"/>
      <c r="H306" s="1565"/>
      <c r="I306" s="1566"/>
      <c r="J306" s="1566"/>
      <c r="K306" s="1566"/>
      <c r="L306" s="1566"/>
      <c r="M306" s="1566"/>
      <c r="N306" s="1566"/>
      <c r="O306" s="1566"/>
      <c r="P306" s="1566"/>
      <c r="Q306" s="1566"/>
      <c r="R306" s="1566"/>
    </row>
    <row r="307" spans="1:18" ht="12" customHeight="1">
      <c r="A307" s="1565" t="s">
        <v>1972</v>
      </c>
      <c r="B307" s="1566"/>
      <c r="C307" s="1566"/>
      <c r="D307" s="1572">
        <v>37950</v>
      </c>
      <c r="E307" s="1566"/>
      <c r="F307" s="1566"/>
      <c r="G307" s="1566"/>
      <c r="H307" s="1566"/>
      <c r="I307" s="1566"/>
      <c r="J307" s="1566"/>
      <c r="K307" s="1566"/>
      <c r="L307" s="1566"/>
      <c r="M307" s="1566"/>
      <c r="N307" s="1566"/>
      <c r="O307" s="1566"/>
      <c r="P307" s="1566"/>
      <c r="Q307" s="1566"/>
      <c r="R307" s="1566"/>
    </row>
    <row r="308" spans="1:18" ht="12" customHeight="1">
      <c r="A308" s="1566"/>
      <c r="B308" s="1566"/>
      <c r="C308" s="1566"/>
      <c r="D308" s="1566"/>
      <c r="E308" s="1566"/>
      <c r="F308" s="1566"/>
      <c r="G308" s="1566"/>
      <c r="H308" s="1566"/>
      <c r="I308" s="1566"/>
      <c r="J308" s="1566"/>
      <c r="K308" s="1566"/>
      <c r="L308" s="1566"/>
      <c r="M308" s="1566"/>
      <c r="N308" s="1566"/>
      <c r="O308" s="1566"/>
      <c r="P308" s="1566"/>
      <c r="Q308" s="1566"/>
      <c r="R308" s="1566"/>
    </row>
    <row r="309" spans="1:18" ht="12" customHeight="1">
      <c r="A309" s="1565" t="s">
        <v>2471</v>
      </c>
      <c r="B309" s="1570">
        <v>550</v>
      </c>
      <c r="C309" s="1565" t="s">
        <v>217</v>
      </c>
      <c r="D309" s="1571">
        <v>69</v>
      </c>
      <c r="E309" s="1566" t="s">
        <v>2387</v>
      </c>
      <c r="F309" s="1571">
        <v>71.069999999999993</v>
      </c>
      <c r="G309" s="1571">
        <v>5.92</v>
      </c>
      <c r="H309" s="1565" t="s">
        <v>1976</v>
      </c>
      <c r="I309" s="1565" t="s">
        <v>1976</v>
      </c>
      <c r="J309" s="1566"/>
      <c r="K309" s="1565" t="s">
        <v>462</v>
      </c>
      <c r="L309" s="1566"/>
      <c r="M309" s="1565" t="s">
        <v>539</v>
      </c>
      <c r="N309" s="1571">
        <v>36</v>
      </c>
      <c r="O309" s="1571">
        <v>21.85</v>
      </c>
      <c r="P309" s="1566"/>
      <c r="Q309" s="1565"/>
      <c r="R309" s="1565" t="s">
        <v>2403</v>
      </c>
    </row>
    <row r="310" spans="1:18" ht="12" customHeight="1">
      <c r="A310" s="1565" t="s">
        <v>1987</v>
      </c>
      <c r="B310" s="1573">
        <v>1.3786879903742499E-2</v>
      </c>
      <c r="C310" s="1565" t="s">
        <v>1974</v>
      </c>
      <c r="D310" s="1572">
        <v>37950</v>
      </c>
      <c r="E310" s="1566" t="s">
        <v>2394</v>
      </c>
      <c r="F310" s="1571">
        <v>73.2</v>
      </c>
      <c r="G310" s="1571">
        <v>6.1</v>
      </c>
      <c r="H310" s="1565"/>
      <c r="I310" s="1566"/>
      <c r="J310" s="1566"/>
      <c r="K310" s="1566"/>
      <c r="L310" s="1566"/>
      <c r="M310" s="1566"/>
      <c r="N310" s="1572">
        <v>19800</v>
      </c>
      <c r="O310" s="1572">
        <v>12017</v>
      </c>
      <c r="P310" s="1566"/>
      <c r="Q310" s="1565"/>
      <c r="R310" s="1566"/>
    </row>
    <row r="311" spans="1:18" ht="12" customHeight="1">
      <c r="A311" s="1565" t="s">
        <v>2473</v>
      </c>
      <c r="B311" s="1566"/>
      <c r="C311" s="1565" t="s">
        <v>2425</v>
      </c>
      <c r="D311" s="1571">
        <v>5.75</v>
      </c>
      <c r="E311" s="1566" t="s">
        <v>2464</v>
      </c>
      <c r="F311" s="1571">
        <v>75.400000000000006</v>
      </c>
      <c r="G311" s="1571">
        <v>6.28</v>
      </c>
      <c r="H311" s="1566"/>
      <c r="I311" s="1566"/>
      <c r="J311" s="1566"/>
      <c r="K311" s="1566"/>
      <c r="L311" s="1566"/>
      <c r="M311" s="1566"/>
      <c r="N311" s="1566"/>
      <c r="O311" s="1566"/>
      <c r="P311" s="1566"/>
      <c r="Q311" s="1572"/>
      <c r="R311" s="1566"/>
    </row>
    <row r="312" spans="1:18" ht="12" customHeight="1">
      <c r="A312" s="1565" t="s">
        <v>1973</v>
      </c>
      <c r="B312" s="1566"/>
      <c r="C312" s="1565" t="s">
        <v>724</v>
      </c>
      <c r="D312" s="1572">
        <v>3163</v>
      </c>
      <c r="E312" s="1566" t="s">
        <v>2465</v>
      </c>
      <c r="F312" s="1571">
        <v>77.66</v>
      </c>
      <c r="G312" s="1571">
        <v>6.47</v>
      </c>
      <c r="H312" s="1565"/>
      <c r="I312" s="1566"/>
      <c r="J312" s="1566"/>
      <c r="K312" s="1566"/>
      <c r="L312" s="1566"/>
      <c r="M312" s="1566"/>
      <c r="N312" s="1566"/>
      <c r="O312" s="1566"/>
      <c r="P312" s="1566"/>
      <c r="Q312" s="1566"/>
      <c r="R312" s="1566"/>
    </row>
    <row r="313" spans="1:18" ht="12" customHeight="1">
      <c r="A313" s="1565" t="s">
        <v>1972</v>
      </c>
      <c r="B313" s="1566"/>
      <c r="C313" s="1566"/>
      <c r="D313" s="1572">
        <v>37950</v>
      </c>
      <c r="E313" s="1566"/>
      <c r="F313" s="1566"/>
      <c r="G313" s="1566"/>
      <c r="H313" s="1566"/>
      <c r="I313" s="1566"/>
      <c r="J313" s="1566"/>
      <c r="K313" s="1566"/>
      <c r="L313" s="1566"/>
      <c r="M313" s="1566"/>
      <c r="N313" s="1566"/>
      <c r="O313" s="1566"/>
      <c r="P313" s="1566"/>
      <c r="Q313" s="1566"/>
      <c r="R313" s="1566"/>
    </row>
    <row r="314" spans="1:18" ht="12" customHeight="1">
      <c r="A314" s="1566"/>
      <c r="B314" s="1566"/>
      <c r="C314" s="1566"/>
      <c r="D314" s="1566"/>
      <c r="E314" s="1566"/>
      <c r="F314" s="1566"/>
      <c r="G314" s="1566"/>
      <c r="H314" s="1566"/>
      <c r="I314" s="1566"/>
      <c r="J314" s="1566"/>
      <c r="K314" s="1566"/>
      <c r="L314" s="1566"/>
      <c r="M314" s="1566"/>
      <c r="N314" s="1566"/>
      <c r="O314" s="1566"/>
      <c r="P314" s="1566"/>
      <c r="Q314" s="1566"/>
      <c r="R314" s="1566"/>
    </row>
    <row r="315" spans="1:18" ht="12" customHeight="1">
      <c r="A315" s="1565" t="s">
        <v>2474</v>
      </c>
      <c r="B315" s="1570">
        <v>4936</v>
      </c>
      <c r="C315" s="1565" t="s">
        <v>1979</v>
      </c>
      <c r="D315" s="1571">
        <v>21</v>
      </c>
      <c r="E315" s="1566" t="s">
        <v>1075</v>
      </c>
      <c r="F315" s="1571">
        <v>22.2</v>
      </c>
      <c r="G315" s="1571">
        <v>1.85</v>
      </c>
      <c r="H315" s="1565" t="s">
        <v>1976</v>
      </c>
      <c r="I315" s="1565" t="s">
        <v>1976</v>
      </c>
      <c r="J315" s="1566"/>
      <c r="K315" s="1565" t="s">
        <v>462</v>
      </c>
      <c r="L315" s="1566"/>
      <c r="M315" s="1565" t="s">
        <v>1983</v>
      </c>
      <c r="N315" s="1571">
        <v>227.92</v>
      </c>
      <c r="O315" s="1571">
        <v>11.48</v>
      </c>
      <c r="P315" s="1566"/>
      <c r="Q315" s="1565"/>
      <c r="R315" s="1565" t="s">
        <v>2403</v>
      </c>
    </row>
    <row r="316" spans="1:18" ht="12" customHeight="1">
      <c r="A316" s="1565" t="s">
        <v>1985</v>
      </c>
      <c r="B316" s="1573">
        <v>0.126108173015508</v>
      </c>
      <c r="C316" s="1565" t="s">
        <v>1977</v>
      </c>
      <c r="D316" s="1572">
        <v>103656</v>
      </c>
      <c r="E316" s="1566" t="s">
        <v>1087</v>
      </c>
      <c r="F316" s="1571">
        <v>22.87</v>
      </c>
      <c r="G316" s="1571">
        <v>1.91</v>
      </c>
      <c r="H316" s="1565"/>
      <c r="I316" s="1566"/>
      <c r="J316" s="1566"/>
      <c r="K316" s="1566"/>
      <c r="L316" s="1566"/>
      <c r="M316" s="1566"/>
      <c r="N316" s="1572">
        <v>1125000</v>
      </c>
      <c r="O316" s="1572">
        <v>56643</v>
      </c>
      <c r="P316" s="1566"/>
      <c r="Q316" s="1565"/>
      <c r="R316" s="1566"/>
    </row>
    <row r="317" spans="1:18" ht="12" customHeight="1">
      <c r="A317" s="1565" t="s">
        <v>2475</v>
      </c>
      <c r="B317" s="1566"/>
      <c r="C317" s="1565" t="s">
        <v>2463</v>
      </c>
      <c r="D317" s="1571">
        <v>1.75</v>
      </c>
      <c r="E317" s="1566" t="s">
        <v>1099</v>
      </c>
      <c r="F317" s="1571">
        <v>23.55</v>
      </c>
      <c r="G317" s="1571">
        <v>1.96</v>
      </c>
      <c r="H317" s="1566"/>
      <c r="I317" s="1566"/>
      <c r="J317" s="1566"/>
      <c r="K317" s="1566"/>
      <c r="L317" s="1566"/>
      <c r="M317" s="1566"/>
      <c r="N317" s="1566"/>
      <c r="O317" s="1566"/>
      <c r="P317" s="1566"/>
      <c r="Q317" s="1572"/>
      <c r="R317" s="1566"/>
    </row>
    <row r="318" spans="1:18" ht="12" customHeight="1">
      <c r="A318" s="1565" t="s">
        <v>1984</v>
      </c>
      <c r="B318" s="1566"/>
      <c r="C318" s="1565" t="s">
        <v>724</v>
      </c>
      <c r="D318" s="1572">
        <v>8638</v>
      </c>
      <c r="E318" s="1566" t="s">
        <v>1111</v>
      </c>
      <c r="F318" s="1571">
        <v>24.26</v>
      </c>
      <c r="G318" s="1571">
        <v>2.02</v>
      </c>
      <c r="H318" s="1565"/>
      <c r="I318" s="1566"/>
      <c r="J318" s="1566"/>
      <c r="K318" s="1566"/>
      <c r="L318" s="1566"/>
      <c r="M318" s="1566"/>
      <c r="N318" s="1566"/>
      <c r="O318" s="1566"/>
      <c r="P318" s="1566"/>
      <c r="Q318" s="1566"/>
      <c r="R318" s="1566"/>
    </row>
    <row r="319" spans="1:18" ht="12" customHeight="1">
      <c r="A319" s="1565" t="s">
        <v>1972</v>
      </c>
      <c r="B319" s="1566"/>
      <c r="C319" s="1566"/>
      <c r="D319" s="1572">
        <v>133272</v>
      </c>
      <c r="E319" s="1566" t="s">
        <v>1123</v>
      </c>
      <c r="F319" s="1571">
        <v>24.99</v>
      </c>
      <c r="G319" s="1571">
        <v>2.08</v>
      </c>
      <c r="H319" s="1566"/>
      <c r="I319" s="1566"/>
      <c r="J319" s="1566"/>
      <c r="K319" s="1566"/>
      <c r="L319" s="1566"/>
      <c r="M319" s="1566"/>
      <c r="N319" s="1566"/>
      <c r="O319" s="1566"/>
      <c r="P319" s="1566"/>
      <c r="Q319" s="1566"/>
      <c r="R319" s="1566"/>
    </row>
    <row r="320" spans="1:18" ht="12" customHeight="1">
      <c r="A320" s="1566"/>
      <c r="B320" s="1566"/>
      <c r="C320" s="1566"/>
      <c r="D320" s="1566"/>
      <c r="E320" s="1566" t="s">
        <v>1135</v>
      </c>
      <c r="F320" s="1571">
        <v>25.74</v>
      </c>
      <c r="G320" s="1571">
        <v>2.14</v>
      </c>
      <c r="H320" s="1566"/>
      <c r="I320" s="1566"/>
      <c r="J320" s="1566"/>
      <c r="K320" s="1566"/>
      <c r="L320" s="1566"/>
      <c r="M320" s="1566"/>
      <c r="N320" s="1566"/>
      <c r="O320" s="1566"/>
      <c r="P320" s="1566"/>
      <c r="Q320" s="1566"/>
      <c r="R320" s="1566"/>
    </row>
    <row r="321" spans="1:18" ht="12" customHeight="1">
      <c r="A321" s="1566"/>
      <c r="B321" s="1566"/>
      <c r="C321" s="1566"/>
      <c r="D321" s="1566"/>
      <c r="E321" s="1566" t="s">
        <v>1147</v>
      </c>
      <c r="F321" s="1571">
        <v>26.51</v>
      </c>
      <c r="G321" s="1571">
        <v>2.21</v>
      </c>
      <c r="H321" s="1566"/>
      <c r="I321" s="1566"/>
      <c r="J321" s="1566"/>
      <c r="K321" s="1566"/>
      <c r="L321" s="1566"/>
      <c r="M321" s="1566"/>
      <c r="N321" s="1566"/>
      <c r="O321" s="1566"/>
      <c r="P321" s="1566"/>
      <c r="Q321" s="1566"/>
      <c r="R321" s="1566"/>
    </row>
    <row r="322" spans="1:18" ht="12" customHeight="1">
      <c r="A322" s="1566"/>
      <c r="B322" s="1566"/>
      <c r="C322" s="1566"/>
      <c r="D322" s="1566"/>
      <c r="E322" s="1566" t="s">
        <v>1992</v>
      </c>
      <c r="F322" s="1571">
        <v>27.3</v>
      </c>
      <c r="G322" s="1571">
        <v>2.2799999999999998</v>
      </c>
      <c r="H322" s="1566"/>
      <c r="I322" s="1566"/>
      <c r="J322" s="1566"/>
      <c r="K322" s="1566"/>
      <c r="L322" s="1566"/>
      <c r="M322" s="1566"/>
      <c r="N322" s="1566"/>
      <c r="O322" s="1566"/>
      <c r="P322" s="1566"/>
      <c r="Q322" s="1566"/>
      <c r="R322" s="1566"/>
    </row>
    <row r="323" spans="1:18" ht="12" customHeight="1">
      <c r="A323" s="1566"/>
      <c r="B323" s="1566"/>
      <c r="C323" s="1566"/>
      <c r="D323" s="1566"/>
      <c r="E323" s="1566" t="s">
        <v>2296</v>
      </c>
      <c r="F323" s="1571">
        <v>28.12</v>
      </c>
      <c r="G323" s="1571">
        <v>2.34</v>
      </c>
      <c r="H323" s="1566"/>
      <c r="I323" s="1566"/>
      <c r="J323" s="1566"/>
      <c r="K323" s="1566"/>
      <c r="L323" s="1566"/>
      <c r="M323" s="1566"/>
      <c r="N323" s="1566"/>
      <c r="O323" s="1566"/>
      <c r="P323" s="1566"/>
      <c r="Q323" s="1566"/>
      <c r="R323" s="1566"/>
    </row>
    <row r="324" spans="1:18" ht="12" customHeight="1">
      <c r="A324" s="1566"/>
      <c r="B324" s="1566"/>
      <c r="C324" s="1566"/>
      <c r="D324" s="1566"/>
      <c r="E324" s="1566"/>
      <c r="F324" s="1566"/>
      <c r="G324" s="1566"/>
      <c r="H324" s="1566"/>
      <c r="I324" s="1566"/>
      <c r="J324" s="1566"/>
      <c r="K324" s="1566"/>
      <c r="L324" s="1566"/>
      <c r="M324" s="1566"/>
      <c r="N324" s="1566"/>
      <c r="O324" s="1566"/>
      <c r="P324" s="1566"/>
      <c r="Q324" s="1566"/>
      <c r="R324" s="1566"/>
    </row>
    <row r="325" spans="1:18" ht="12" customHeight="1">
      <c r="A325" s="1565" t="s">
        <v>2474</v>
      </c>
      <c r="B325" s="1570">
        <v>4936</v>
      </c>
      <c r="C325" s="1565" t="s">
        <v>217</v>
      </c>
      <c r="D325" s="1571">
        <v>27</v>
      </c>
      <c r="E325" s="1566" t="s">
        <v>2420</v>
      </c>
      <c r="F325" s="1571">
        <v>27.81</v>
      </c>
      <c r="G325" s="1571">
        <v>2.3199999999999998</v>
      </c>
      <c r="H325" s="1565" t="s">
        <v>1976</v>
      </c>
      <c r="I325" s="1565" t="s">
        <v>1976</v>
      </c>
      <c r="J325" s="1566"/>
      <c r="K325" s="1565" t="s">
        <v>462</v>
      </c>
      <c r="L325" s="1566"/>
      <c r="M325" s="1565" t="s">
        <v>539</v>
      </c>
      <c r="N325" s="1571">
        <v>18</v>
      </c>
      <c r="O325" s="1571">
        <v>8.5500000000000007</v>
      </c>
      <c r="P325" s="1566"/>
      <c r="Q325" s="1565"/>
      <c r="R325" s="1565" t="s">
        <v>2403</v>
      </c>
    </row>
    <row r="326" spans="1:18" ht="12" customHeight="1">
      <c r="A326" s="1565" t="s">
        <v>1985</v>
      </c>
      <c r="B326" s="1573">
        <v>0.123730980372496</v>
      </c>
      <c r="C326" s="1565" t="s">
        <v>1974</v>
      </c>
      <c r="D326" s="1572">
        <v>133272</v>
      </c>
      <c r="E326" s="1566" t="s">
        <v>2422</v>
      </c>
      <c r="F326" s="1571">
        <v>28.64</v>
      </c>
      <c r="G326" s="1571">
        <v>2.39</v>
      </c>
      <c r="H326" s="1565"/>
      <c r="I326" s="1566"/>
      <c r="J326" s="1566"/>
      <c r="K326" s="1566"/>
      <c r="L326" s="1566"/>
      <c r="M326" s="1566"/>
      <c r="N326" s="1572">
        <v>88848</v>
      </c>
      <c r="O326" s="1572">
        <v>42203</v>
      </c>
      <c r="P326" s="1566"/>
      <c r="Q326" s="1565"/>
      <c r="R326" s="1566"/>
    </row>
    <row r="327" spans="1:18" ht="12" customHeight="1">
      <c r="A327" s="1565" t="s">
        <v>2476</v>
      </c>
      <c r="B327" s="1566"/>
      <c r="C327" s="1565" t="s">
        <v>2463</v>
      </c>
      <c r="D327" s="1571">
        <v>2.25</v>
      </c>
      <c r="E327" s="1566" t="s">
        <v>2423</v>
      </c>
      <c r="F327" s="1571">
        <v>29.5</v>
      </c>
      <c r="G327" s="1571">
        <v>2.46</v>
      </c>
      <c r="H327" s="1566"/>
      <c r="I327" s="1566"/>
      <c r="J327" s="1566"/>
      <c r="K327" s="1566"/>
      <c r="L327" s="1566"/>
      <c r="M327" s="1566"/>
      <c r="N327" s="1566"/>
      <c r="O327" s="1566"/>
      <c r="P327" s="1566"/>
      <c r="Q327" s="1572"/>
      <c r="R327" s="1566"/>
    </row>
    <row r="328" spans="1:18" ht="12" customHeight="1">
      <c r="A328" s="1565" t="s">
        <v>1973</v>
      </c>
      <c r="B328" s="1566"/>
      <c r="C328" s="1565" t="s">
        <v>724</v>
      </c>
      <c r="D328" s="1572">
        <v>11106</v>
      </c>
      <c r="E328" s="1566" t="s">
        <v>2477</v>
      </c>
      <c r="F328" s="1571">
        <v>30.39</v>
      </c>
      <c r="G328" s="1571">
        <v>2.5299999999999998</v>
      </c>
      <c r="H328" s="1565"/>
      <c r="I328" s="1566"/>
      <c r="J328" s="1566"/>
      <c r="K328" s="1566"/>
      <c r="L328" s="1566"/>
      <c r="M328" s="1566"/>
      <c r="N328" s="1566"/>
      <c r="O328" s="1566"/>
      <c r="P328" s="1566"/>
      <c r="Q328" s="1566"/>
      <c r="R328" s="1566"/>
    </row>
    <row r="329" spans="1:18" ht="12" customHeight="1">
      <c r="A329" s="1565" t="s">
        <v>1972</v>
      </c>
      <c r="B329" s="1566"/>
      <c r="C329" s="1566"/>
      <c r="D329" s="1572">
        <v>133272</v>
      </c>
      <c r="E329" s="1566"/>
      <c r="F329" s="1566"/>
      <c r="G329" s="1566"/>
      <c r="H329" s="1566"/>
      <c r="I329" s="1566"/>
      <c r="J329" s="1566"/>
      <c r="K329" s="1566"/>
      <c r="L329" s="1566"/>
      <c r="M329" s="1566"/>
      <c r="N329" s="1566"/>
      <c r="O329" s="1566"/>
      <c r="P329" s="1566"/>
      <c r="Q329" s="1566"/>
      <c r="R329" s="1566"/>
    </row>
    <row r="330" spans="1:18" ht="12" customHeight="1">
      <c r="A330" s="1566"/>
      <c r="B330" s="1566"/>
      <c r="C330" s="1566"/>
      <c r="D330" s="1566"/>
      <c r="E330" s="1566"/>
      <c r="F330" s="1566"/>
      <c r="G330" s="1566"/>
      <c r="H330" s="1566"/>
      <c r="I330" s="1566"/>
      <c r="J330" s="1566"/>
      <c r="K330" s="1566"/>
      <c r="L330" s="1566"/>
      <c r="M330" s="1566"/>
      <c r="N330" s="1566"/>
      <c r="O330" s="1566"/>
      <c r="P330" s="1566"/>
      <c r="Q330" s="1566"/>
      <c r="R330" s="1566"/>
    </row>
    <row r="331" spans="1:18" ht="12" customHeight="1">
      <c r="A331" s="1565" t="s">
        <v>2478</v>
      </c>
      <c r="B331" s="1570">
        <v>317</v>
      </c>
      <c r="C331" s="1565" t="s">
        <v>1979</v>
      </c>
      <c r="D331" s="1571">
        <v>21</v>
      </c>
      <c r="E331" s="1566" t="s">
        <v>1075</v>
      </c>
      <c r="F331" s="1571">
        <v>22.2</v>
      </c>
      <c r="G331" s="1571">
        <v>1.85</v>
      </c>
      <c r="H331" s="1565" t="s">
        <v>1976</v>
      </c>
      <c r="I331" s="1565" t="s">
        <v>1976</v>
      </c>
      <c r="J331" s="1566"/>
      <c r="K331" s="1565" t="s">
        <v>462</v>
      </c>
      <c r="L331" s="1566"/>
      <c r="M331" s="1565" t="s">
        <v>2313</v>
      </c>
      <c r="N331" s="1571">
        <v>0</v>
      </c>
      <c r="O331" s="1571">
        <v>0</v>
      </c>
      <c r="P331" s="1566"/>
      <c r="Q331" s="1565"/>
      <c r="R331" s="1565" t="s">
        <v>2403</v>
      </c>
    </row>
    <row r="332" spans="1:18" ht="12" customHeight="1">
      <c r="A332" s="1565" t="s">
        <v>2479</v>
      </c>
      <c r="B332" s="1573">
        <v>8.0989244015226992E-3</v>
      </c>
      <c r="C332" s="1565" t="s">
        <v>1977</v>
      </c>
      <c r="D332" s="1572">
        <v>6657</v>
      </c>
      <c r="E332" s="1566" t="s">
        <v>1087</v>
      </c>
      <c r="F332" s="1571">
        <v>22.87</v>
      </c>
      <c r="G332" s="1571">
        <v>1.91</v>
      </c>
      <c r="H332" s="1565"/>
      <c r="I332" s="1566"/>
      <c r="J332" s="1566"/>
      <c r="K332" s="1566"/>
      <c r="L332" s="1566"/>
      <c r="M332" s="1566"/>
      <c r="N332" s="1572">
        <v>0</v>
      </c>
      <c r="O332" s="1572">
        <v>0</v>
      </c>
      <c r="P332" s="1566"/>
      <c r="Q332" s="1565"/>
      <c r="R332" s="1566"/>
    </row>
    <row r="333" spans="1:18" ht="12" customHeight="1">
      <c r="A333" s="1565" t="s">
        <v>2475</v>
      </c>
      <c r="B333" s="1566"/>
      <c r="C333" s="1565" t="s">
        <v>2470</v>
      </c>
      <c r="D333" s="1571">
        <v>1.75</v>
      </c>
      <c r="E333" s="1566" t="s">
        <v>1099</v>
      </c>
      <c r="F333" s="1571">
        <v>23.55</v>
      </c>
      <c r="G333" s="1571">
        <v>1.96</v>
      </c>
      <c r="H333" s="1566"/>
      <c r="I333" s="1566"/>
      <c r="J333" s="1566"/>
      <c r="K333" s="1566"/>
      <c r="L333" s="1566"/>
      <c r="M333" s="1566"/>
      <c r="N333" s="1566"/>
      <c r="O333" s="1566"/>
      <c r="P333" s="1566"/>
      <c r="Q333" s="1572"/>
      <c r="R333" s="1566"/>
    </row>
    <row r="334" spans="1:18" ht="12" customHeight="1">
      <c r="A334" s="1565" t="s">
        <v>1984</v>
      </c>
      <c r="B334" s="1566"/>
      <c r="C334" s="1565" t="s">
        <v>724</v>
      </c>
      <c r="D334" s="1572">
        <v>555</v>
      </c>
      <c r="E334" s="1566" t="s">
        <v>1111</v>
      </c>
      <c r="F334" s="1571">
        <v>24.26</v>
      </c>
      <c r="G334" s="1571">
        <v>2.02</v>
      </c>
      <c r="H334" s="1565"/>
      <c r="I334" s="1566"/>
      <c r="J334" s="1566"/>
      <c r="K334" s="1566"/>
      <c r="L334" s="1566"/>
      <c r="M334" s="1566"/>
      <c r="N334" s="1566"/>
      <c r="O334" s="1566"/>
      <c r="P334" s="1566"/>
      <c r="Q334" s="1566"/>
      <c r="R334" s="1566"/>
    </row>
    <row r="335" spans="1:18" ht="12" customHeight="1">
      <c r="A335" s="1565" t="s">
        <v>1972</v>
      </c>
      <c r="B335" s="1566"/>
      <c r="C335" s="1566"/>
      <c r="D335" s="1572">
        <v>4299</v>
      </c>
      <c r="E335" s="1566" t="s">
        <v>1123</v>
      </c>
      <c r="F335" s="1571">
        <v>24.99</v>
      </c>
      <c r="G335" s="1571">
        <v>2.08</v>
      </c>
      <c r="H335" s="1566"/>
      <c r="I335" s="1566"/>
      <c r="J335" s="1566"/>
      <c r="K335" s="1566"/>
      <c r="L335" s="1566"/>
      <c r="M335" s="1566"/>
      <c r="N335" s="1566"/>
      <c r="O335" s="1566"/>
      <c r="P335" s="1566"/>
      <c r="Q335" s="1566"/>
      <c r="R335" s="1566"/>
    </row>
    <row r="336" spans="1:18" ht="12" customHeight="1">
      <c r="A336" s="1566"/>
      <c r="B336" s="1566"/>
      <c r="C336" s="1566"/>
      <c r="D336" s="1566"/>
      <c r="E336" s="1566" t="s">
        <v>1135</v>
      </c>
      <c r="F336" s="1571">
        <v>25.74</v>
      </c>
      <c r="G336" s="1571">
        <v>2.14</v>
      </c>
      <c r="H336" s="1566"/>
      <c r="I336" s="1566"/>
      <c r="J336" s="1566"/>
      <c r="K336" s="1566"/>
      <c r="L336" s="1566"/>
      <c r="M336" s="1566"/>
      <c r="N336" s="1566"/>
      <c r="O336" s="1566"/>
      <c r="P336" s="1566"/>
      <c r="Q336" s="1566"/>
      <c r="R336" s="1566"/>
    </row>
    <row r="337" spans="1:18" ht="12" customHeight="1">
      <c r="A337" s="1566"/>
      <c r="B337" s="1566"/>
      <c r="C337" s="1566"/>
      <c r="D337" s="1566"/>
      <c r="E337" s="1566" t="s">
        <v>1147</v>
      </c>
      <c r="F337" s="1571">
        <v>26.51</v>
      </c>
      <c r="G337" s="1571">
        <v>2.21</v>
      </c>
      <c r="H337" s="1566"/>
      <c r="I337" s="1566"/>
      <c r="J337" s="1566"/>
      <c r="K337" s="1566"/>
      <c r="L337" s="1566"/>
      <c r="M337" s="1566"/>
      <c r="N337" s="1566"/>
      <c r="O337" s="1566"/>
      <c r="P337" s="1566"/>
      <c r="Q337" s="1566"/>
      <c r="R337" s="1566"/>
    </row>
    <row r="338" spans="1:18" ht="12" customHeight="1">
      <c r="A338" s="1566"/>
      <c r="B338" s="1566"/>
      <c r="C338" s="1566"/>
      <c r="D338" s="1566"/>
      <c r="E338" s="1566" t="s">
        <v>1992</v>
      </c>
      <c r="F338" s="1571">
        <v>27.3</v>
      </c>
      <c r="G338" s="1571">
        <v>2.2799999999999998</v>
      </c>
      <c r="H338" s="1566"/>
      <c r="I338" s="1566"/>
      <c r="J338" s="1566"/>
      <c r="K338" s="1566"/>
      <c r="L338" s="1566"/>
      <c r="M338" s="1566"/>
      <c r="N338" s="1566"/>
      <c r="O338" s="1566"/>
      <c r="P338" s="1566"/>
      <c r="Q338" s="1566"/>
      <c r="R338" s="1566"/>
    </row>
    <row r="339" spans="1:18" ht="12" customHeight="1">
      <c r="A339" s="1566"/>
      <c r="B339" s="1566"/>
      <c r="C339" s="1566"/>
      <c r="D339" s="1566"/>
      <c r="E339" s="1566" t="s">
        <v>2296</v>
      </c>
      <c r="F339" s="1571">
        <v>28.12</v>
      </c>
      <c r="G339" s="1571">
        <v>2.34</v>
      </c>
      <c r="H339" s="1566"/>
      <c r="I339" s="1566"/>
      <c r="J339" s="1566"/>
      <c r="K339" s="1566"/>
      <c r="L339" s="1566"/>
      <c r="M339" s="1566"/>
      <c r="N339" s="1566"/>
      <c r="O339" s="1566"/>
      <c r="P339" s="1566"/>
      <c r="Q339" s="1566"/>
      <c r="R339" s="1566"/>
    </row>
    <row r="340" spans="1:18" ht="12" customHeight="1">
      <c r="A340" s="1566"/>
      <c r="B340" s="1566"/>
      <c r="C340" s="1566"/>
      <c r="D340" s="1566"/>
      <c r="E340" s="1566"/>
      <c r="F340" s="1566"/>
      <c r="G340" s="1566"/>
      <c r="H340" s="1566"/>
      <c r="I340" s="1566"/>
      <c r="J340" s="1566"/>
      <c r="K340" s="1566"/>
      <c r="L340" s="1566"/>
      <c r="M340" s="1566"/>
      <c r="N340" s="1566"/>
      <c r="O340" s="1566"/>
      <c r="P340" s="1566"/>
      <c r="Q340" s="1566"/>
      <c r="R340" s="1566"/>
    </row>
    <row r="341" spans="1:18" ht="12" customHeight="1">
      <c r="A341" s="1565" t="s">
        <v>2478</v>
      </c>
      <c r="B341" s="1570">
        <v>317</v>
      </c>
      <c r="C341" s="1565" t="s">
        <v>217</v>
      </c>
      <c r="D341" s="1571">
        <v>13.56</v>
      </c>
      <c r="E341" s="1566" t="s">
        <v>2420</v>
      </c>
      <c r="F341" s="1571">
        <v>13.97</v>
      </c>
      <c r="G341" s="1571">
        <v>1.1599999999999999</v>
      </c>
      <c r="H341" s="1565" t="s">
        <v>1976</v>
      </c>
      <c r="I341" s="1565" t="s">
        <v>1976</v>
      </c>
      <c r="J341" s="1566"/>
      <c r="K341" s="1565" t="s">
        <v>462</v>
      </c>
      <c r="L341" s="1566"/>
      <c r="M341" s="1565" t="s">
        <v>539</v>
      </c>
      <c r="N341" s="1571">
        <v>0</v>
      </c>
      <c r="O341" s="1571">
        <v>4.29</v>
      </c>
      <c r="P341" s="1566"/>
      <c r="Q341" s="1565"/>
      <c r="R341" s="1565" t="s">
        <v>2403</v>
      </c>
    </row>
    <row r="342" spans="1:18" ht="12" customHeight="1">
      <c r="A342" s="1565" t="s">
        <v>2479</v>
      </c>
      <c r="B342" s="1573">
        <v>7.9462562354297803E-3</v>
      </c>
      <c r="C342" s="1565" t="s">
        <v>1974</v>
      </c>
      <c r="D342" s="1572">
        <v>4299</v>
      </c>
      <c r="E342" s="1566" t="s">
        <v>2422</v>
      </c>
      <c r="F342" s="1571">
        <v>14.39</v>
      </c>
      <c r="G342" s="1571">
        <v>1.2</v>
      </c>
      <c r="H342" s="1565"/>
      <c r="I342" s="1566"/>
      <c r="J342" s="1566"/>
      <c r="K342" s="1566"/>
      <c r="L342" s="1566"/>
      <c r="M342" s="1566"/>
      <c r="N342" s="1572">
        <v>0</v>
      </c>
      <c r="O342" s="1572">
        <v>1361</v>
      </c>
      <c r="P342" s="1566"/>
      <c r="Q342" s="1565"/>
      <c r="R342" s="1566"/>
    </row>
    <row r="343" spans="1:18" ht="12" customHeight="1">
      <c r="A343" s="1565" t="s">
        <v>2476</v>
      </c>
      <c r="B343" s="1566"/>
      <c r="C343" s="1565" t="s">
        <v>2470</v>
      </c>
      <c r="D343" s="1571">
        <v>1.1299999999999999</v>
      </c>
      <c r="E343" s="1566" t="s">
        <v>2423</v>
      </c>
      <c r="F343" s="1571">
        <v>14.82</v>
      </c>
      <c r="G343" s="1571">
        <v>1.23</v>
      </c>
      <c r="H343" s="1566"/>
      <c r="I343" s="1566"/>
      <c r="J343" s="1566"/>
      <c r="K343" s="1566"/>
      <c r="L343" s="1566"/>
      <c r="M343" s="1566"/>
      <c r="N343" s="1566"/>
      <c r="O343" s="1566"/>
      <c r="P343" s="1566"/>
      <c r="Q343" s="1572"/>
      <c r="R343" s="1566"/>
    </row>
    <row r="344" spans="1:18" ht="12" customHeight="1">
      <c r="A344" s="1565" t="s">
        <v>1973</v>
      </c>
      <c r="B344" s="1566"/>
      <c r="C344" s="1565" t="s">
        <v>724</v>
      </c>
      <c r="D344" s="1572">
        <v>358</v>
      </c>
      <c r="E344" s="1566" t="s">
        <v>2477</v>
      </c>
      <c r="F344" s="1571">
        <v>15.26</v>
      </c>
      <c r="G344" s="1571">
        <v>1.27</v>
      </c>
      <c r="H344" s="1565"/>
      <c r="I344" s="1566"/>
      <c r="J344" s="1566"/>
      <c r="K344" s="1566"/>
      <c r="L344" s="1566"/>
      <c r="M344" s="1566"/>
      <c r="N344" s="1566"/>
      <c r="O344" s="1566"/>
      <c r="P344" s="1566"/>
      <c r="Q344" s="1566"/>
      <c r="R344" s="1566"/>
    </row>
    <row r="345" spans="1:18" ht="12" customHeight="1">
      <c r="A345" s="1565" t="s">
        <v>1972</v>
      </c>
      <c r="B345" s="1566"/>
      <c r="C345" s="1566"/>
      <c r="D345" s="1572">
        <v>4299</v>
      </c>
      <c r="E345" s="1566"/>
      <c r="F345" s="1566"/>
      <c r="G345" s="1566"/>
      <c r="H345" s="1566"/>
      <c r="I345" s="1566"/>
      <c r="J345" s="1566"/>
      <c r="K345" s="1566"/>
      <c r="L345" s="1566"/>
      <c r="M345" s="1566"/>
      <c r="N345" s="1566"/>
      <c r="O345" s="1566"/>
      <c r="P345" s="1566"/>
      <c r="Q345" s="1566"/>
      <c r="R345" s="1566"/>
    </row>
    <row r="346" spans="1:18" ht="12" customHeight="1">
      <c r="A346" s="1566"/>
      <c r="B346" s="1566"/>
      <c r="C346" s="1566"/>
      <c r="D346" s="1566"/>
      <c r="E346" s="1566"/>
      <c r="F346" s="1566"/>
      <c r="G346" s="1566"/>
      <c r="H346" s="1566"/>
      <c r="I346" s="1566"/>
      <c r="J346" s="1566"/>
      <c r="K346" s="1566"/>
      <c r="L346" s="1566"/>
      <c r="M346" s="1566"/>
      <c r="N346" s="1566"/>
      <c r="O346" s="1566"/>
      <c r="P346" s="1566"/>
      <c r="Q346" s="1566"/>
      <c r="R346" s="1566"/>
    </row>
    <row r="347" spans="1:18" ht="12" customHeight="1">
      <c r="A347" s="1565" t="s">
        <v>2480</v>
      </c>
      <c r="B347" s="1570">
        <v>1706</v>
      </c>
      <c r="C347" s="1565" t="s">
        <v>1979</v>
      </c>
      <c r="D347" s="1571">
        <v>63</v>
      </c>
      <c r="E347" s="1566" t="s">
        <v>1070</v>
      </c>
      <c r="F347" s="1571">
        <v>68.67</v>
      </c>
      <c r="G347" s="1571">
        <v>5.72</v>
      </c>
      <c r="H347" s="1565" t="s">
        <v>1976</v>
      </c>
      <c r="I347" s="1565" t="s">
        <v>1976</v>
      </c>
      <c r="J347" s="1566"/>
      <c r="K347" s="1565" t="s">
        <v>462</v>
      </c>
      <c r="L347" s="1566"/>
      <c r="M347" s="1565" t="s">
        <v>1983</v>
      </c>
      <c r="N347" s="1571">
        <v>60</v>
      </c>
      <c r="O347" s="1571">
        <v>32.700000000000003</v>
      </c>
      <c r="P347" s="1566"/>
      <c r="Q347" s="1565"/>
      <c r="R347" s="1565" t="s">
        <v>2403</v>
      </c>
    </row>
    <row r="348" spans="1:18" ht="12" customHeight="1">
      <c r="A348" s="1565" t="s">
        <v>1982</v>
      </c>
      <c r="B348" s="1573">
        <v>4.3553740107224903E-2</v>
      </c>
      <c r="C348" s="1565" t="s">
        <v>1977</v>
      </c>
      <c r="D348" s="1572">
        <v>107478</v>
      </c>
      <c r="E348" s="1566" t="s">
        <v>1106</v>
      </c>
      <c r="F348" s="1571">
        <v>74.849999999999994</v>
      </c>
      <c r="G348" s="1571">
        <v>6.24</v>
      </c>
      <c r="H348" s="1565"/>
      <c r="I348" s="1566"/>
      <c r="J348" s="1566"/>
      <c r="K348" s="1566"/>
      <c r="L348" s="1566"/>
      <c r="M348" s="1566"/>
      <c r="N348" s="1572">
        <v>102360</v>
      </c>
      <c r="O348" s="1572">
        <v>55784</v>
      </c>
      <c r="P348" s="1566"/>
      <c r="Q348" s="1565"/>
      <c r="R348" s="1566"/>
    </row>
    <row r="349" spans="1:18" ht="12" customHeight="1">
      <c r="A349" s="1565" t="s">
        <v>2308</v>
      </c>
      <c r="B349" s="1566"/>
      <c r="C349" s="1565" t="s">
        <v>2425</v>
      </c>
      <c r="D349" s="1571">
        <v>5.25</v>
      </c>
      <c r="E349" s="1566" t="s">
        <v>1142</v>
      </c>
      <c r="F349" s="1571">
        <v>81.59</v>
      </c>
      <c r="G349" s="1571">
        <v>6.8</v>
      </c>
      <c r="H349" s="1566"/>
      <c r="I349" s="1566"/>
      <c r="J349" s="1566"/>
      <c r="K349" s="1566"/>
      <c r="L349" s="1566"/>
      <c r="M349" s="1566"/>
      <c r="N349" s="1566"/>
      <c r="O349" s="1566"/>
      <c r="P349" s="1566"/>
      <c r="Q349" s="1572"/>
      <c r="R349" s="1566"/>
    </row>
    <row r="350" spans="1:18" ht="12" customHeight="1">
      <c r="A350" s="1565" t="s">
        <v>1981</v>
      </c>
      <c r="B350" s="1566"/>
      <c r="C350" s="1565" t="s">
        <v>724</v>
      </c>
      <c r="D350" s="1572">
        <v>8957</v>
      </c>
      <c r="E350" s="1566" t="s">
        <v>2309</v>
      </c>
      <c r="F350" s="1571">
        <v>88.93</v>
      </c>
      <c r="G350" s="1571">
        <v>7.41</v>
      </c>
      <c r="H350" s="1565"/>
      <c r="I350" s="1566"/>
      <c r="J350" s="1566"/>
      <c r="K350" s="1566"/>
      <c r="L350" s="1566"/>
      <c r="M350" s="1566"/>
      <c r="N350" s="1566"/>
      <c r="O350" s="1566"/>
      <c r="P350" s="1566"/>
      <c r="Q350" s="1566"/>
      <c r="R350" s="1566"/>
    </row>
    <row r="351" spans="1:18" ht="12" customHeight="1">
      <c r="A351" s="1565" t="s">
        <v>1972</v>
      </c>
      <c r="B351" s="1566"/>
      <c r="C351" s="1566"/>
      <c r="D351" s="1572">
        <v>117714</v>
      </c>
      <c r="E351" s="1566"/>
      <c r="F351" s="1566"/>
      <c r="G351" s="1566"/>
      <c r="H351" s="1566"/>
      <c r="I351" s="1566"/>
      <c r="J351" s="1566"/>
      <c r="K351" s="1566"/>
      <c r="L351" s="1566"/>
      <c r="M351" s="1566"/>
      <c r="N351" s="1566"/>
      <c r="O351" s="1566"/>
      <c r="P351" s="1566"/>
      <c r="Q351" s="1566"/>
      <c r="R351" s="1566"/>
    </row>
    <row r="352" spans="1:18" ht="12" customHeight="1">
      <c r="A352" s="1566"/>
      <c r="B352" s="1566"/>
      <c r="C352" s="1566"/>
      <c r="D352" s="1566"/>
      <c r="E352" s="1566"/>
      <c r="F352" s="1566"/>
      <c r="G352" s="1566"/>
      <c r="H352" s="1566"/>
      <c r="I352" s="1566"/>
      <c r="J352" s="1566"/>
      <c r="K352" s="1566"/>
      <c r="L352" s="1566"/>
      <c r="M352" s="1566"/>
      <c r="N352" s="1566"/>
      <c r="O352" s="1566"/>
      <c r="P352" s="1566"/>
      <c r="Q352" s="1566"/>
      <c r="R352" s="1566"/>
    </row>
    <row r="353" spans="1:18" ht="12" customHeight="1">
      <c r="A353" s="1565" t="s">
        <v>2481</v>
      </c>
      <c r="B353" s="1570">
        <v>2769</v>
      </c>
      <c r="C353" s="1565" t="s">
        <v>1979</v>
      </c>
      <c r="D353" s="1571">
        <v>45</v>
      </c>
      <c r="E353" s="1566" t="s">
        <v>1056</v>
      </c>
      <c r="F353" s="1571">
        <v>57</v>
      </c>
      <c r="G353" s="1571">
        <v>4.75</v>
      </c>
      <c r="H353" s="1565" t="s">
        <v>1976</v>
      </c>
      <c r="I353" s="1565" t="s">
        <v>1976</v>
      </c>
      <c r="J353" s="1566"/>
      <c r="K353" s="1565" t="s">
        <v>462</v>
      </c>
      <c r="L353" s="1566"/>
      <c r="M353" s="1565" t="s">
        <v>1978</v>
      </c>
      <c r="N353" s="1571">
        <v>35</v>
      </c>
      <c r="O353" s="1571">
        <v>15.68</v>
      </c>
      <c r="P353" s="1566"/>
      <c r="Q353" s="1565"/>
      <c r="R353" s="1565" t="s">
        <v>2403</v>
      </c>
    </row>
    <row r="354" spans="1:18" ht="12" customHeight="1">
      <c r="A354" s="1565" t="s">
        <v>1975</v>
      </c>
      <c r="B354" s="1573">
        <v>7.0691856012254306E-2</v>
      </c>
      <c r="C354" s="1565" t="s">
        <v>1977</v>
      </c>
      <c r="D354" s="1572">
        <v>124605</v>
      </c>
      <c r="E354" s="1566" t="s">
        <v>1068</v>
      </c>
      <c r="F354" s="1571">
        <v>58.71</v>
      </c>
      <c r="G354" s="1571">
        <v>4.8899999999999997</v>
      </c>
      <c r="H354" s="1565"/>
      <c r="I354" s="1566"/>
      <c r="J354" s="1566"/>
      <c r="K354" s="1566"/>
      <c r="L354" s="1566"/>
      <c r="M354" s="1566"/>
      <c r="N354" s="1572">
        <v>96915</v>
      </c>
      <c r="O354" s="1572">
        <v>43415</v>
      </c>
      <c r="P354" s="1566"/>
      <c r="Q354" s="1565"/>
      <c r="R354" s="1566"/>
    </row>
    <row r="355" spans="1:18" ht="12" customHeight="1">
      <c r="A355" s="1565" t="s">
        <v>1991</v>
      </c>
      <c r="B355" s="1566"/>
      <c r="C355" s="1565" t="s">
        <v>2425</v>
      </c>
      <c r="D355" s="1571">
        <v>3.75</v>
      </c>
      <c r="E355" s="1566" t="s">
        <v>1080</v>
      </c>
      <c r="F355" s="1571">
        <v>60.47</v>
      </c>
      <c r="G355" s="1571">
        <v>5.04</v>
      </c>
      <c r="H355" s="1566"/>
      <c r="I355" s="1566"/>
      <c r="J355" s="1566"/>
      <c r="K355" s="1566"/>
      <c r="L355" s="1566"/>
      <c r="M355" s="1566"/>
      <c r="N355" s="1566"/>
      <c r="O355" s="1566"/>
      <c r="P355" s="1566"/>
      <c r="Q355" s="1572"/>
      <c r="R355" s="1566"/>
    </row>
    <row r="356" spans="1:18" ht="12" customHeight="1">
      <c r="A356" s="1565" t="s">
        <v>1973</v>
      </c>
      <c r="B356" s="1566"/>
      <c r="C356" s="1565" t="s">
        <v>724</v>
      </c>
      <c r="D356" s="1572">
        <v>10384</v>
      </c>
      <c r="E356" s="1566"/>
      <c r="F356" s="1566"/>
      <c r="G356" s="1566"/>
      <c r="H356" s="1565"/>
      <c r="I356" s="1566"/>
      <c r="J356" s="1566"/>
      <c r="K356" s="1566"/>
      <c r="L356" s="1566"/>
      <c r="M356" s="1566"/>
      <c r="N356" s="1566"/>
      <c r="O356" s="1566"/>
      <c r="P356" s="1566"/>
      <c r="Q356" s="1566"/>
      <c r="R356" s="1566"/>
    </row>
    <row r="357" spans="1:18" ht="12" customHeight="1">
      <c r="A357" s="1565" t="s">
        <v>1972</v>
      </c>
      <c r="B357" s="1566"/>
      <c r="C357" s="1566"/>
      <c r="D357" s="1572">
        <v>191061</v>
      </c>
      <c r="E357" s="1566"/>
      <c r="F357" s="1566"/>
      <c r="G357" s="1566"/>
      <c r="H357" s="1566"/>
      <c r="I357" s="1566"/>
      <c r="J357" s="1566"/>
      <c r="K357" s="1566"/>
      <c r="L357" s="1566"/>
      <c r="M357" s="1566"/>
      <c r="N357" s="1566"/>
      <c r="O357" s="1566"/>
      <c r="P357" s="1566"/>
      <c r="Q357" s="1566"/>
      <c r="R357" s="1566"/>
    </row>
    <row r="358" spans="1:18" ht="12" customHeight="1">
      <c r="A358" s="1566"/>
      <c r="B358" s="1566"/>
      <c r="C358" s="1566"/>
      <c r="D358" s="1566"/>
      <c r="E358" s="1566"/>
      <c r="F358" s="1566"/>
      <c r="G358" s="1566"/>
      <c r="H358" s="1566"/>
      <c r="I358" s="1566"/>
      <c r="J358" s="1566"/>
      <c r="K358" s="1566"/>
      <c r="L358" s="1566"/>
      <c r="M358" s="1566"/>
      <c r="N358" s="1566"/>
      <c r="O358" s="1566"/>
      <c r="P358" s="1566"/>
      <c r="Q358" s="1566"/>
      <c r="R358" s="1566"/>
    </row>
    <row r="359" spans="1:18" ht="12" customHeight="1">
      <c r="A359" s="1565" t="s">
        <v>2481</v>
      </c>
      <c r="B359" s="1570">
        <v>2769</v>
      </c>
      <c r="C359" s="1565" t="s">
        <v>217</v>
      </c>
      <c r="D359" s="1571">
        <v>69</v>
      </c>
      <c r="E359" s="1566" t="s">
        <v>1105</v>
      </c>
      <c r="F359" s="1571">
        <v>71.069999999999993</v>
      </c>
      <c r="G359" s="1571">
        <v>5.92</v>
      </c>
      <c r="H359" s="1565" t="s">
        <v>1976</v>
      </c>
      <c r="I359" s="1565" t="s">
        <v>1976</v>
      </c>
      <c r="J359" s="1566"/>
      <c r="K359" s="1565" t="s">
        <v>462</v>
      </c>
      <c r="L359" s="1566"/>
      <c r="M359" s="1565" t="s">
        <v>539</v>
      </c>
      <c r="N359" s="1571">
        <v>36</v>
      </c>
      <c r="O359" s="1571">
        <v>21.85</v>
      </c>
      <c r="P359" s="1566"/>
      <c r="Q359" s="1565"/>
      <c r="R359" s="1565" t="s">
        <v>2403</v>
      </c>
    </row>
    <row r="360" spans="1:18" ht="12" customHeight="1">
      <c r="A360" s="1565" t="s">
        <v>1975</v>
      </c>
      <c r="B360" s="1573">
        <v>6.9858970154148894E-2</v>
      </c>
      <c r="C360" s="1565" t="s">
        <v>1974</v>
      </c>
      <c r="D360" s="1572">
        <v>191061</v>
      </c>
      <c r="E360" s="1566" t="s">
        <v>1117</v>
      </c>
      <c r="F360" s="1571">
        <v>73.2</v>
      </c>
      <c r="G360" s="1571">
        <v>6.1</v>
      </c>
      <c r="H360" s="1565"/>
      <c r="I360" s="1566"/>
      <c r="J360" s="1566"/>
      <c r="K360" s="1566"/>
      <c r="L360" s="1566"/>
      <c r="M360" s="1566"/>
      <c r="N360" s="1572">
        <v>99684</v>
      </c>
      <c r="O360" s="1572">
        <v>60502</v>
      </c>
      <c r="P360" s="1566"/>
      <c r="Q360" s="1565"/>
      <c r="R360" s="1566"/>
    </row>
    <row r="361" spans="1:18" ht="12" customHeight="1">
      <c r="A361" s="1565" t="s">
        <v>2482</v>
      </c>
      <c r="B361" s="1566"/>
      <c r="C361" s="1565" t="s">
        <v>2425</v>
      </c>
      <c r="D361" s="1571">
        <v>5.75</v>
      </c>
      <c r="E361" s="1566" t="s">
        <v>1129</v>
      </c>
      <c r="F361" s="1571">
        <v>75.400000000000006</v>
      </c>
      <c r="G361" s="1571">
        <v>6.28</v>
      </c>
      <c r="H361" s="1566"/>
      <c r="I361" s="1566"/>
      <c r="J361" s="1566"/>
      <c r="K361" s="1566"/>
      <c r="L361" s="1566"/>
      <c r="M361" s="1566"/>
      <c r="N361" s="1566"/>
      <c r="O361" s="1566"/>
      <c r="P361" s="1566"/>
      <c r="Q361" s="1572"/>
      <c r="R361" s="1566"/>
    </row>
    <row r="362" spans="1:18" ht="12" customHeight="1">
      <c r="A362" s="1565" t="s">
        <v>1973</v>
      </c>
      <c r="B362" s="1566"/>
      <c r="C362" s="1565" t="s">
        <v>724</v>
      </c>
      <c r="D362" s="1572">
        <v>15922</v>
      </c>
      <c r="E362" s="1566" t="s">
        <v>1141</v>
      </c>
      <c r="F362" s="1571">
        <v>77.66</v>
      </c>
      <c r="G362" s="1571">
        <v>6.47</v>
      </c>
      <c r="H362" s="1565"/>
      <c r="I362" s="1566"/>
      <c r="J362" s="1566"/>
      <c r="K362" s="1566"/>
      <c r="L362" s="1566"/>
      <c r="M362" s="1566"/>
      <c r="N362" s="1566"/>
      <c r="O362" s="1566"/>
      <c r="P362" s="1566"/>
      <c r="Q362" s="1566"/>
      <c r="R362" s="1566"/>
    </row>
    <row r="363" spans="1:18" ht="12" customHeight="1">
      <c r="A363" s="1565" t="s">
        <v>1972</v>
      </c>
      <c r="B363" s="1566"/>
      <c r="C363" s="1566"/>
      <c r="D363" s="1572">
        <v>191061</v>
      </c>
      <c r="E363" s="1566"/>
      <c r="F363" s="1566"/>
      <c r="G363" s="1566"/>
      <c r="H363" s="1566"/>
      <c r="I363" s="1566"/>
      <c r="J363" s="1566"/>
      <c r="K363" s="1566"/>
      <c r="L363" s="1566"/>
      <c r="M363" s="1566"/>
      <c r="N363" s="1566"/>
      <c r="O363" s="1566"/>
      <c r="P363" s="1566"/>
      <c r="Q363" s="1566"/>
      <c r="R363" s="1566"/>
    </row>
    <row r="364" spans="1:18" ht="12" customHeight="1">
      <c r="A364" s="1566"/>
      <c r="B364" s="1566"/>
      <c r="C364" s="1566"/>
      <c r="D364" s="1566"/>
      <c r="E364" s="1566"/>
      <c r="F364" s="1566"/>
      <c r="G364" s="1566"/>
      <c r="H364" s="1566"/>
      <c r="I364" s="1566"/>
      <c r="J364" s="1566"/>
      <c r="K364" s="1566"/>
      <c r="L364" s="1566"/>
      <c r="M364" s="1566"/>
      <c r="N364" s="1566"/>
      <c r="O364" s="1566"/>
      <c r="P364" s="1566"/>
      <c r="Q364" s="1566"/>
      <c r="R364" s="1566"/>
    </row>
    <row r="365" spans="1:18" ht="12" customHeight="1">
      <c r="A365" s="1565" t="s">
        <v>2481</v>
      </c>
      <c r="B365" s="1570">
        <v>2769</v>
      </c>
      <c r="C365" s="1565" t="s">
        <v>217</v>
      </c>
      <c r="D365" s="1571">
        <v>69</v>
      </c>
      <c r="E365" s="1566" t="s">
        <v>2303</v>
      </c>
      <c r="F365" s="1571">
        <v>71.069999999999993</v>
      </c>
      <c r="G365" s="1571">
        <v>5.92</v>
      </c>
      <c r="H365" s="1565" t="s">
        <v>1976</v>
      </c>
      <c r="I365" s="1565" t="s">
        <v>1976</v>
      </c>
      <c r="J365" s="1566"/>
      <c r="K365" s="1565" t="s">
        <v>462</v>
      </c>
      <c r="L365" s="1566"/>
      <c r="M365" s="1565" t="s">
        <v>539</v>
      </c>
      <c r="N365" s="1571">
        <v>36</v>
      </c>
      <c r="O365" s="1571">
        <v>21.85</v>
      </c>
      <c r="P365" s="1566"/>
      <c r="Q365" s="1565"/>
      <c r="R365" s="1565" t="s">
        <v>2403</v>
      </c>
    </row>
    <row r="366" spans="1:18" ht="12" customHeight="1">
      <c r="A366" s="1565" t="s">
        <v>1975</v>
      </c>
      <c r="B366" s="1573">
        <v>6.9858970154148894E-2</v>
      </c>
      <c r="C366" s="1565" t="s">
        <v>1974</v>
      </c>
      <c r="D366" s="1572">
        <v>191061</v>
      </c>
      <c r="E366" s="1566" t="s">
        <v>2309</v>
      </c>
      <c r="F366" s="1571">
        <v>73.2</v>
      </c>
      <c r="G366" s="1571">
        <v>6.1</v>
      </c>
      <c r="H366" s="1565"/>
      <c r="I366" s="1566"/>
      <c r="J366" s="1566"/>
      <c r="K366" s="1566"/>
      <c r="L366" s="1566"/>
      <c r="M366" s="1566"/>
      <c r="N366" s="1572">
        <v>99684</v>
      </c>
      <c r="O366" s="1572">
        <v>60502</v>
      </c>
      <c r="P366" s="1566"/>
      <c r="Q366" s="1565"/>
      <c r="R366" s="1566"/>
    </row>
    <row r="367" spans="1:18" ht="12" customHeight="1">
      <c r="A367" s="1565" t="s">
        <v>2483</v>
      </c>
      <c r="B367" s="1566"/>
      <c r="C367" s="1565" t="s">
        <v>2425</v>
      </c>
      <c r="D367" s="1571">
        <v>5.75</v>
      </c>
      <c r="E367" s="1566" t="s">
        <v>2396</v>
      </c>
      <c r="F367" s="1571">
        <v>75.400000000000006</v>
      </c>
      <c r="G367" s="1571">
        <v>6.28</v>
      </c>
      <c r="H367" s="1566"/>
      <c r="I367" s="1566"/>
      <c r="J367" s="1566"/>
      <c r="K367" s="1566"/>
      <c r="L367" s="1566"/>
      <c r="M367" s="1566"/>
      <c r="N367" s="1566"/>
      <c r="O367" s="1566"/>
      <c r="P367" s="1566"/>
      <c r="Q367" s="1572"/>
      <c r="R367" s="1566"/>
    </row>
    <row r="368" spans="1:18" ht="12" customHeight="1">
      <c r="A368" s="1565" t="s">
        <v>1973</v>
      </c>
      <c r="B368" s="1566"/>
      <c r="C368" s="1565" t="s">
        <v>724</v>
      </c>
      <c r="D368" s="1572">
        <v>15922</v>
      </c>
      <c r="E368" s="1566" t="s">
        <v>2440</v>
      </c>
      <c r="F368" s="1571">
        <v>77.66</v>
      </c>
      <c r="G368" s="1571">
        <v>6.47</v>
      </c>
      <c r="H368" s="1565"/>
      <c r="I368" s="1566"/>
      <c r="J368" s="1566"/>
      <c r="K368" s="1566"/>
      <c r="L368" s="1566"/>
      <c r="M368" s="1566"/>
      <c r="N368" s="1566"/>
      <c r="O368" s="1566"/>
      <c r="P368" s="1566"/>
      <c r="Q368" s="1566"/>
      <c r="R368" s="1566"/>
    </row>
    <row r="369" spans="1:18" ht="12" customHeight="1">
      <c r="A369" s="1565" t="s">
        <v>1972</v>
      </c>
      <c r="B369" s="1566"/>
      <c r="C369" s="1566"/>
      <c r="D369" s="1572">
        <v>191061</v>
      </c>
      <c r="E369" s="1566"/>
      <c r="F369" s="1566"/>
      <c r="G369" s="1566"/>
      <c r="H369" s="1566"/>
      <c r="I369" s="1566"/>
      <c r="J369" s="1566"/>
      <c r="K369" s="1566"/>
      <c r="L369" s="1566"/>
      <c r="M369" s="1566"/>
      <c r="N369" s="1566"/>
      <c r="O369" s="1566"/>
      <c r="P369" s="1566"/>
      <c r="Q369" s="1566"/>
      <c r="R369" s="1566"/>
    </row>
    <row r="370" spans="1:18" ht="12" customHeight="1">
      <c r="A370" s="1566"/>
      <c r="B370" s="1566"/>
      <c r="C370" s="1566"/>
      <c r="D370" s="1566"/>
      <c r="E370" s="1566"/>
      <c r="F370" s="1566"/>
      <c r="G370" s="1566"/>
      <c r="H370" s="1566"/>
      <c r="I370" s="1566"/>
      <c r="J370" s="1566"/>
      <c r="K370" s="1566"/>
      <c r="L370" s="1566"/>
      <c r="M370" s="1566"/>
      <c r="N370" s="1566"/>
      <c r="O370" s="1566"/>
      <c r="P370" s="1566"/>
      <c r="Q370" s="1566"/>
      <c r="R370" s="1566"/>
    </row>
    <row r="371" spans="1:18" ht="12" customHeight="1">
      <c r="A371" s="1565" t="s">
        <v>2484</v>
      </c>
      <c r="B371" s="1570">
        <v>2860</v>
      </c>
      <c r="C371" s="1565" t="s">
        <v>1979</v>
      </c>
      <c r="D371" s="1571">
        <v>32.659999999999997</v>
      </c>
      <c r="E371" s="1566" t="s">
        <v>2485</v>
      </c>
      <c r="F371" s="1571">
        <v>36</v>
      </c>
      <c r="G371" s="1571">
        <v>3</v>
      </c>
      <c r="H371" s="1565" t="s">
        <v>1976</v>
      </c>
      <c r="I371" s="1565" t="s">
        <v>1976</v>
      </c>
      <c r="J371" s="1566"/>
      <c r="K371" s="1565" t="s">
        <v>462</v>
      </c>
      <c r="L371" s="1566"/>
      <c r="M371" s="1565" t="s">
        <v>2313</v>
      </c>
      <c r="N371" s="1571">
        <v>50</v>
      </c>
      <c r="O371" s="1571">
        <v>20.3</v>
      </c>
      <c r="P371" s="1566"/>
      <c r="Q371" s="1565"/>
      <c r="R371" s="1565" t="s">
        <v>2403</v>
      </c>
    </row>
    <row r="372" spans="1:18" ht="12" customHeight="1">
      <c r="A372" s="1565" t="s">
        <v>2021</v>
      </c>
      <c r="B372" s="1573">
        <v>7.3015062547868298E-2</v>
      </c>
      <c r="C372" s="1565" t="s">
        <v>1977</v>
      </c>
      <c r="D372" s="1572">
        <v>93394</v>
      </c>
      <c r="E372" s="1566" t="s">
        <v>2486</v>
      </c>
      <c r="F372" s="1571">
        <v>37.11</v>
      </c>
      <c r="G372" s="1571">
        <v>3.09</v>
      </c>
      <c r="H372" s="1565"/>
      <c r="I372" s="1566"/>
      <c r="J372" s="1566"/>
      <c r="K372" s="1566"/>
      <c r="L372" s="1566"/>
      <c r="M372" s="1566"/>
      <c r="N372" s="1572">
        <v>143000</v>
      </c>
      <c r="O372" s="1572">
        <v>58070</v>
      </c>
      <c r="P372" s="1566"/>
      <c r="Q372" s="1565"/>
      <c r="R372" s="1566"/>
    </row>
    <row r="373" spans="1:18" ht="12" customHeight="1">
      <c r="A373" s="1565" t="s">
        <v>2022</v>
      </c>
      <c r="B373" s="1566"/>
      <c r="C373" s="1565" t="s">
        <v>2404</v>
      </c>
      <c r="D373" s="1571">
        <v>2.72</v>
      </c>
      <c r="E373" s="1566" t="s">
        <v>2487</v>
      </c>
      <c r="F373" s="1571">
        <v>38.229999999999997</v>
      </c>
      <c r="G373" s="1571">
        <v>3.19</v>
      </c>
      <c r="H373" s="1566"/>
      <c r="I373" s="1566"/>
      <c r="J373" s="1566"/>
      <c r="K373" s="1566"/>
      <c r="L373" s="1566"/>
      <c r="M373" s="1566"/>
      <c r="N373" s="1566"/>
      <c r="O373" s="1566"/>
      <c r="P373" s="1566"/>
      <c r="Q373" s="1572"/>
      <c r="R373" s="1566"/>
    </row>
    <row r="374" spans="1:18" ht="12" customHeight="1">
      <c r="A374" s="1565" t="s">
        <v>1984</v>
      </c>
      <c r="B374" s="1566"/>
      <c r="C374" s="1565" t="s">
        <v>724</v>
      </c>
      <c r="D374" s="1572">
        <v>7783</v>
      </c>
      <c r="E374" s="1566" t="s">
        <v>2488</v>
      </c>
      <c r="F374" s="1571">
        <v>39.369999999999997</v>
      </c>
      <c r="G374" s="1571">
        <v>3.28</v>
      </c>
      <c r="H374" s="1565"/>
      <c r="I374" s="1566"/>
      <c r="J374" s="1566"/>
      <c r="K374" s="1566"/>
      <c r="L374" s="1566"/>
      <c r="M374" s="1566"/>
      <c r="N374" s="1566"/>
      <c r="O374" s="1566"/>
      <c r="P374" s="1566"/>
      <c r="Q374" s="1566"/>
      <c r="R374" s="1566"/>
    </row>
    <row r="375" spans="1:18" ht="12" customHeight="1">
      <c r="A375" s="1565" t="s">
        <v>1972</v>
      </c>
      <c r="B375" s="1566"/>
      <c r="C375" s="1566"/>
      <c r="D375" s="1572">
        <v>223080</v>
      </c>
      <c r="E375" s="1566" t="s">
        <v>2489</v>
      </c>
      <c r="F375" s="1571">
        <v>41.34</v>
      </c>
      <c r="G375" s="1571">
        <v>3.44</v>
      </c>
      <c r="H375" s="1566"/>
      <c r="I375" s="1566"/>
      <c r="J375" s="1566"/>
      <c r="K375" s="1566"/>
      <c r="L375" s="1566"/>
      <c r="M375" s="1566"/>
      <c r="N375" s="1566"/>
      <c r="O375" s="1566"/>
      <c r="P375" s="1566"/>
      <c r="Q375" s="1566"/>
      <c r="R375" s="1566"/>
    </row>
    <row r="376" spans="1:18" ht="12" customHeight="1">
      <c r="A376" s="1566"/>
      <c r="B376" s="1566"/>
      <c r="C376" s="1566"/>
      <c r="D376" s="1566"/>
      <c r="E376" s="1566" t="s">
        <v>2490</v>
      </c>
      <c r="F376" s="1571">
        <v>43.4</v>
      </c>
      <c r="G376" s="1571">
        <v>3.62</v>
      </c>
      <c r="H376" s="1566"/>
      <c r="I376" s="1566"/>
      <c r="J376" s="1566"/>
      <c r="K376" s="1566"/>
      <c r="L376" s="1566"/>
      <c r="M376" s="1566"/>
      <c r="N376" s="1566"/>
      <c r="O376" s="1566"/>
      <c r="P376" s="1566"/>
      <c r="Q376" s="1566"/>
      <c r="R376" s="1566"/>
    </row>
    <row r="377" spans="1:18" ht="12" customHeight="1">
      <c r="A377" s="1566"/>
      <c r="B377" s="1566"/>
      <c r="C377" s="1566"/>
      <c r="D377" s="1566"/>
      <c r="E377" s="1566"/>
      <c r="F377" s="1566"/>
      <c r="G377" s="1566"/>
      <c r="H377" s="1566"/>
      <c r="I377" s="1566"/>
      <c r="J377" s="1566"/>
      <c r="K377" s="1566"/>
      <c r="L377" s="1566"/>
      <c r="M377" s="1566"/>
      <c r="N377" s="1566"/>
      <c r="O377" s="1566"/>
      <c r="P377" s="1566"/>
      <c r="Q377" s="1566"/>
      <c r="R377" s="1566"/>
    </row>
    <row r="378" spans="1:18" ht="12" customHeight="1">
      <c r="A378" s="1565" t="s">
        <v>2484</v>
      </c>
      <c r="B378" s="1570">
        <v>2860</v>
      </c>
      <c r="C378" s="1565" t="s">
        <v>217</v>
      </c>
      <c r="D378" s="1571">
        <v>78</v>
      </c>
      <c r="E378" s="1566" t="s">
        <v>1066</v>
      </c>
      <c r="F378" s="1571">
        <v>80.34</v>
      </c>
      <c r="G378" s="1571">
        <v>6.7</v>
      </c>
      <c r="H378" s="1565" t="s">
        <v>1976</v>
      </c>
      <c r="I378" s="1565" t="s">
        <v>1976</v>
      </c>
      <c r="J378" s="1566"/>
      <c r="K378" s="1565" t="s">
        <v>462</v>
      </c>
      <c r="L378" s="1566"/>
      <c r="M378" s="1565" t="s">
        <v>539</v>
      </c>
      <c r="N378" s="1571">
        <v>36</v>
      </c>
      <c r="O378" s="1571">
        <v>24.7</v>
      </c>
      <c r="P378" s="1566"/>
      <c r="Q378" s="1565"/>
      <c r="R378" s="1565" t="s">
        <v>2403</v>
      </c>
    </row>
    <row r="379" spans="1:18" ht="12" customHeight="1">
      <c r="A379" s="1565" t="s">
        <v>2021</v>
      </c>
      <c r="B379" s="1573">
        <v>7.3091568913082397E-2</v>
      </c>
      <c r="C379" s="1565" t="s">
        <v>1974</v>
      </c>
      <c r="D379" s="1572">
        <v>223080</v>
      </c>
      <c r="E379" s="1566" t="s">
        <v>1078</v>
      </c>
      <c r="F379" s="1571">
        <v>82.75</v>
      </c>
      <c r="G379" s="1571">
        <v>6.9</v>
      </c>
      <c r="H379" s="1565"/>
      <c r="I379" s="1566"/>
      <c r="J379" s="1566"/>
      <c r="K379" s="1566"/>
      <c r="L379" s="1566"/>
      <c r="M379" s="1566"/>
      <c r="N379" s="1572">
        <v>102960</v>
      </c>
      <c r="O379" s="1572">
        <v>70642</v>
      </c>
      <c r="P379" s="1566"/>
      <c r="Q379" s="1565"/>
      <c r="R379" s="1566"/>
    </row>
    <row r="380" spans="1:18" ht="12" customHeight="1">
      <c r="A380" s="1565" t="s">
        <v>2491</v>
      </c>
      <c r="B380" s="1566"/>
      <c r="C380" s="1565" t="s">
        <v>2404</v>
      </c>
      <c r="D380" s="1571">
        <v>6.5</v>
      </c>
      <c r="E380" s="1566" t="s">
        <v>1090</v>
      </c>
      <c r="F380" s="1571">
        <v>85.23</v>
      </c>
      <c r="G380" s="1571">
        <v>7.1</v>
      </c>
      <c r="H380" s="1566"/>
      <c r="I380" s="1566"/>
      <c r="J380" s="1566"/>
      <c r="K380" s="1566"/>
      <c r="L380" s="1566"/>
      <c r="M380" s="1566"/>
      <c r="N380" s="1566"/>
      <c r="O380" s="1566"/>
      <c r="P380" s="1566"/>
      <c r="Q380" s="1572"/>
      <c r="R380" s="1566"/>
    </row>
    <row r="381" spans="1:18" ht="12" customHeight="1">
      <c r="A381" s="1565" t="s">
        <v>1973</v>
      </c>
      <c r="B381" s="1566"/>
      <c r="C381" s="1565" t="s">
        <v>724</v>
      </c>
      <c r="D381" s="1572">
        <v>18590</v>
      </c>
      <c r="E381" s="1566" t="s">
        <v>1102</v>
      </c>
      <c r="F381" s="1571">
        <v>87.79</v>
      </c>
      <c r="G381" s="1571">
        <v>7.32</v>
      </c>
      <c r="H381" s="1565"/>
      <c r="I381" s="1566"/>
      <c r="J381" s="1566"/>
      <c r="K381" s="1566"/>
      <c r="L381" s="1566"/>
      <c r="M381" s="1566"/>
      <c r="N381" s="1566"/>
      <c r="O381" s="1566"/>
      <c r="P381" s="1566"/>
      <c r="Q381" s="1566"/>
      <c r="R381" s="1566"/>
    </row>
    <row r="382" spans="1:18" ht="12" customHeight="1">
      <c r="A382" s="1565" t="s">
        <v>1972</v>
      </c>
      <c r="B382" s="1566"/>
      <c r="C382" s="1566"/>
      <c r="D382" s="1572">
        <v>223080</v>
      </c>
      <c r="E382" s="1566"/>
      <c r="F382" s="1566"/>
      <c r="G382" s="1566"/>
      <c r="H382" s="1566"/>
      <c r="I382" s="1566"/>
      <c r="J382" s="1566"/>
      <c r="K382" s="1566"/>
      <c r="L382" s="1566"/>
      <c r="M382" s="1566"/>
      <c r="N382" s="1566"/>
      <c r="O382" s="1566"/>
      <c r="P382" s="1566"/>
      <c r="Q382" s="1566"/>
      <c r="R382" s="1566"/>
    </row>
    <row r="383" spans="1:18" ht="12" customHeight="1">
      <c r="A383" s="1566"/>
      <c r="B383" s="1566"/>
      <c r="C383" s="1566"/>
      <c r="D383" s="1566"/>
      <c r="E383" s="1566"/>
      <c r="F383" s="1566"/>
      <c r="G383" s="1566"/>
      <c r="H383" s="1566"/>
      <c r="I383" s="1566"/>
      <c r="J383" s="1566"/>
      <c r="K383" s="1566"/>
      <c r="L383" s="1566"/>
      <c r="M383" s="1566"/>
      <c r="N383" s="1566"/>
      <c r="O383" s="1566"/>
      <c r="P383" s="1566"/>
      <c r="Q383" s="1566"/>
      <c r="R383" s="1566"/>
    </row>
    <row r="384" spans="1:18" ht="12" customHeight="1">
      <c r="A384" s="1565" t="s">
        <v>2484</v>
      </c>
      <c r="B384" s="1570">
        <v>2860</v>
      </c>
      <c r="C384" s="1565" t="s">
        <v>217</v>
      </c>
      <c r="D384" s="1571">
        <v>78</v>
      </c>
      <c r="E384" s="1566" t="s">
        <v>1127</v>
      </c>
      <c r="F384" s="1571">
        <v>80.34</v>
      </c>
      <c r="G384" s="1571">
        <v>6.7</v>
      </c>
      <c r="H384" s="1565" t="s">
        <v>1976</v>
      </c>
      <c r="I384" s="1565" t="s">
        <v>1976</v>
      </c>
      <c r="J384" s="1566"/>
      <c r="K384" s="1565" t="s">
        <v>462</v>
      </c>
      <c r="L384" s="1566"/>
      <c r="M384" s="1565" t="s">
        <v>539</v>
      </c>
      <c r="N384" s="1571">
        <v>36</v>
      </c>
      <c r="O384" s="1571">
        <v>24.7</v>
      </c>
      <c r="P384" s="1566"/>
      <c r="Q384" s="1565"/>
      <c r="R384" s="1565" t="s">
        <v>2403</v>
      </c>
    </row>
    <row r="385" spans="1:18" ht="12" customHeight="1">
      <c r="A385" s="1565" t="s">
        <v>2021</v>
      </c>
      <c r="B385" s="1573">
        <v>7.21548048540505E-2</v>
      </c>
      <c r="C385" s="1565" t="s">
        <v>1974</v>
      </c>
      <c r="D385" s="1572">
        <v>223080</v>
      </c>
      <c r="E385" s="1566" t="s">
        <v>1139</v>
      </c>
      <c r="F385" s="1571">
        <v>82.75</v>
      </c>
      <c r="G385" s="1571">
        <v>6.9</v>
      </c>
      <c r="H385" s="1565"/>
      <c r="I385" s="1566"/>
      <c r="J385" s="1566"/>
      <c r="K385" s="1566"/>
      <c r="L385" s="1566"/>
      <c r="M385" s="1566"/>
      <c r="N385" s="1572">
        <v>102960</v>
      </c>
      <c r="O385" s="1572">
        <v>70642</v>
      </c>
      <c r="P385" s="1566"/>
      <c r="Q385" s="1565"/>
      <c r="R385" s="1566"/>
    </row>
    <row r="386" spans="1:18" ht="12" customHeight="1">
      <c r="A386" s="1565" t="s">
        <v>2492</v>
      </c>
      <c r="B386" s="1566"/>
      <c r="C386" s="1565" t="s">
        <v>2404</v>
      </c>
      <c r="D386" s="1571">
        <v>6.5</v>
      </c>
      <c r="E386" s="1566" t="s">
        <v>1151</v>
      </c>
      <c r="F386" s="1571">
        <v>85.23</v>
      </c>
      <c r="G386" s="1571">
        <v>7.1</v>
      </c>
      <c r="H386" s="1566"/>
      <c r="I386" s="1566"/>
      <c r="J386" s="1566"/>
      <c r="K386" s="1566"/>
      <c r="L386" s="1566"/>
      <c r="M386" s="1566"/>
      <c r="N386" s="1566"/>
      <c r="O386" s="1566"/>
      <c r="P386" s="1566"/>
      <c r="Q386" s="1572"/>
      <c r="R386" s="1566"/>
    </row>
    <row r="387" spans="1:18" ht="12" customHeight="1">
      <c r="A387" s="1565" t="s">
        <v>1973</v>
      </c>
      <c r="B387" s="1566"/>
      <c r="C387" s="1565" t="s">
        <v>724</v>
      </c>
      <c r="D387" s="1572">
        <v>18590</v>
      </c>
      <c r="E387" s="1566" t="s">
        <v>2020</v>
      </c>
      <c r="F387" s="1571">
        <v>87.79</v>
      </c>
      <c r="G387" s="1571">
        <v>7.32</v>
      </c>
      <c r="H387" s="1565"/>
      <c r="I387" s="1566"/>
      <c r="J387" s="1566"/>
      <c r="K387" s="1566"/>
      <c r="L387" s="1566"/>
      <c r="M387" s="1566"/>
      <c r="N387" s="1566"/>
      <c r="O387" s="1566"/>
      <c r="P387" s="1566"/>
      <c r="Q387" s="1566"/>
      <c r="R387" s="1566"/>
    </row>
    <row r="388" spans="1:18" ht="12" customHeight="1">
      <c r="A388" s="1565" t="s">
        <v>1972</v>
      </c>
      <c r="B388" s="1566"/>
      <c r="C388" s="1566"/>
      <c r="D388" s="1572">
        <v>223080</v>
      </c>
      <c r="E388" s="1566"/>
      <c r="F388" s="1566"/>
      <c r="G388" s="1566"/>
      <c r="H388" s="1566"/>
      <c r="I388" s="1566"/>
      <c r="J388" s="1566"/>
      <c r="K388" s="1566"/>
      <c r="L388" s="1566"/>
      <c r="M388" s="1566"/>
      <c r="N388" s="1566"/>
      <c r="O388" s="1566"/>
      <c r="P388" s="1566"/>
      <c r="Q388" s="1566"/>
      <c r="R388" s="1566"/>
    </row>
    <row r="389" spans="1:18" ht="12" customHeight="1">
      <c r="A389" s="1566"/>
      <c r="B389" s="1566"/>
      <c r="C389" s="1566"/>
      <c r="D389" s="1566"/>
      <c r="E389" s="1566"/>
      <c r="F389" s="1566"/>
      <c r="G389" s="1566"/>
      <c r="H389" s="1566"/>
      <c r="I389" s="1566"/>
      <c r="J389" s="1566"/>
      <c r="K389" s="1566"/>
      <c r="L389" s="1566"/>
      <c r="M389" s="1566"/>
      <c r="N389" s="1566"/>
      <c r="O389" s="1566"/>
      <c r="P389" s="1566"/>
      <c r="Q389" s="1566"/>
      <c r="R389" s="1566"/>
    </row>
    <row r="390" spans="1:18" ht="12" customHeight="1">
      <c r="A390" s="1565" t="s">
        <v>2484</v>
      </c>
      <c r="B390" s="1570">
        <v>2860</v>
      </c>
      <c r="C390" s="1565" t="s">
        <v>217</v>
      </c>
      <c r="D390" s="1571">
        <v>78</v>
      </c>
      <c r="E390" s="1566" t="s">
        <v>2394</v>
      </c>
      <c r="F390" s="1571">
        <v>80.34</v>
      </c>
      <c r="G390" s="1571">
        <v>6.7</v>
      </c>
      <c r="H390" s="1565" t="s">
        <v>1976</v>
      </c>
      <c r="I390" s="1565" t="s">
        <v>1976</v>
      </c>
      <c r="J390" s="1566"/>
      <c r="K390" s="1565" t="s">
        <v>462</v>
      </c>
      <c r="L390" s="1566"/>
      <c r="M390" s="1565" t="s">
        <v>539</v>
      </c>
      <c r="N390" s="1571">
        <v>36</v>
      </c>
      <c r="O390" s="1571">
        <v>24.7</v>
      </c>
      <c r="P390" s="1566"/>
      <c r="Q390" s="1565"/>
      <c r="R390" s="1565" t="s">
        <v>2403</v>
      </c>
    </row>
    <row r="391" spans="1:18" ht="12" customHeight="1">
      <c r="A391" s="1565" t="s">
        <v>2021</v>
      </c>
      <c r="B391" s="1573">
        <v>7.1691775499461097E-2</v>
      </c>
      <c r="C391" s="1565" t="s">
        <v>1974</v>
      </c>
      <c r="D391" s="1572">
        <v>223080</v>
      </c>
      <c r="E391" s="1566" t="s">
        <v>2464</v>
      </c>
      <c r="F391" s="1571">
        <v>82.75</v>
      </c>
      <c r="G391" s="1571">
        <v>6.9</v>
      </c>
      <c r="H391" s="1565"/>
      <c r="I391" s="1566"/>
      <c r="J391" s="1566"/>
      <c r="K391" s="1566"/>
      <c r="L391" s="1566"/>
      <c r="M391" s="1566"/>
      <c r="N391" s="1572">
        <v>102960</v>
      </c>
      <c r="O391" s="1572">
        <v>70642</v>
      </c>
      <c r="P391" s="1566"/>
      <c r="Q391" s="1565"/>
      <c r="R391" s="1566"/>
    </row>
    <row r="392" spans="1:18" ht="12" customHeight="1">
      <c r="A392" s="1565" t="s">
        <v>2493</v>
      </c>
      <c r="B392" s="1566"/>
      <c r="C392" s="1565" t="s">
        <v>2404</v>
      </c>
      <c r="D392" s="1571">
        <v>6.5</v>
      </c>
      <c r="E392" s="1566" t="s">
        <v>2465</v>
      </c>
      <c r="F392" s="1571">
        <v>85.23</v>
      </c>
      <c r="G392" s="1571">
        <v>7.1</v>
      </c>
      <c r="H392" s="1566"/>
      <c r="I392" s="1566"/>
      <c r="J392" s="1566"/>
      <c r="K392" s="1566"/>
      <c r="L392" s="1566"/>
      <c r="M392" s="1566"/>
      <c r="N392" s="1566"/>
      <c r="O392" s="1566"/>
      <c r="P392" s="1566"/>
      <c r="Q392" s="1572"/>
      <c r="R392" s="1566"/>
    </row>
    <row r="393" spans="1:18" ht="12" customHeight="1">
      <c r="A393" s="1565" t="s">
        <v>1973</v>
      </c>
      <c r="B393" s="1566"/>
      <c r="C393" s="1565" t="s">
        <v>724</v>
      </c>
      <c r="D393" s="1572">
        <v>18590</v>
      </c>
      <c r="E393" s="1566" t="s">
        <v>2467</v>
      </c>
      <c r="F393" s="1571">
        <v>87.79</v>
      </c>
      <c r="G393" s="1571">
        <v>7.32</v>
      </c>
      <c r="H393" s="1565"/>
      <c r="I393" s="1566"/>
      <c r="J393" s="1566"/>
      <c r="K393" s="1566"/>
      <c r="L393" s="1566"/>
      <c r="M393" s="1566"/>
      <c r="N393" s="1566"/>
      <c r="O393" s="1566"/>
      <c r="P393" s="1566"/>
      <c r="Q393" s="1566"/>
      <c r="R393" s="1566"/>
    </row>
    <row r="394" spans="1:18" ht="12" customHeight="1">
      <c r="A394" s="1565" t="s">
        <v>1972</v>
      </c>
      <c r="B394" s="1566"/>
      <c r="C394" s="1566"/>
      <c r="D394" s="1572">
        <v>223080</v>
      </c>
      <c r="E394" s="1566"/>
      <c r="F394" s="1566"/>
      <c r="G394" s="1566"/>
      <c r="H394" s="1566"/>
      <c r="I394" s="1566"/>
      <c r="J394" s="1566"/>
      <c r="K394" s="1566"/>
      <c r="L394" s="1566"/>
      <c r="M394" s="1566"/>
      <c r="N394" s="1566"/>
      <c r="O394" s="1566"/>
      <c r="P394" s="1566"/>
      <c r="Q394" s="1566"/>
      <c r="R394" s="1566"/>
    </row>
    <row r="395" spans="1:18" ht="12" customHeight="1">
      <c r="A395" s="1569"/>
      <c r="B395" s="1569"/>
      <c r="C395" s="1569"/>
      <c r="D395" s="1569"/>
      <c r="E395" s="1569"/>
      <c r="F395" s="1569"/>
      <c r="G395" s="1569"/>
      <c r="H395" s="1569"/>
      <c r="I395" s="1569"/>
      <c r="J395" s="1569"/>
      <c r="K395" s="1569"/>
      <c r="L395" s="1569"/>
      <c r="M395" s="1569"/>
      <c r="N395" s="1569"/>
      <c r="O395" s="1569"/>
      <c r="P395" s="1569"/>
      <c r="Q395" s="1569"/>
      <c r="R395" s="1569"/>
    </row>
    <row r="396" spans="1:18" ht="12" customHeight="1">
      <c r="A396" s="1635" t="s">
        <v>1971</v>
      </c>
      <c r="B396" s="1635"/>
      <c r="C396" s="1635"/>
      <c r="D396" s="1635"/>
    </row>
    <row r="397" spans="1:18" ht="12" customHeight="1">
      <c r="A397" s="1574" t="s">
        <v>141</v>
      </c>
    </row>
  </sheetData>
  <mergeCells count="9">
    <mergeCell ref="A396:D396"/>
    <mergeCell ref="I7:J7"/>
    <mergeCell ref="A7:C7"/>
    <mergeCell ref="D7:G7"/>
    <mergeCell ref="A1:D1"/>
    <mergeCell ref="A2:D2"/>
    <mergeCell ref="A3:D3"/>
    <mergeCell ref="A4:D4"/>
    <mergeCell ref="A5:D5"/>
  </mergeCells>
  <pageMargins left="0.15999999642372101" right="0.15999999642372101" top="0.40000000596046398" bottom="0.31999999284744302" header="0.3" footer="0.3"/>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Z178"/>
  <sheetViews>
    <sheetView showGridLines="0" topLeftCell="O1" zoomScale="70" zoomScaleNormal="70" workbookViewId="0">
      <selection activeCell="AH40" sqref="AH40"/>
    </sheetView>
  </sheetViews>
  <sheetFormatPr baseColWidth="10" defaultColWidth="8.83203125" defaultRowHeight="14"/>
  <cols>
    <col min="1" max="1" width="25" style="224" customWidth="1"/>
    <col min="2" max="2" width="19.83203125" style="224" customWidth="1"/>
    <col min="3" max="4" width="8.83203125" style="224"/>
    <col min="5" max="5" width="9" style="224" customWidth="1"/>
    <col min="6" max="10" width="8.83203125" style="224"/>
    <col min="11" max="11" width="13.83203125" style="224" customWidth="1"/>
    <col min="12" max="12" width="14.1640625" style="225" bestFit="1" customWidth="1"/>
    <col min="13" max="13" width="11.1640625" style="226" customWidth="1"/>
    <col min="14" max="14" width="14.83203125" style="224" bestFit="1" customWidth="1"/>
    <col min="15" max="18" width="8.83203125" style="224"/>
    <col min="19" max="19" width="13.6640625" style="224" customWidth="1"/>
    <col min="20" max="253" width="8.83203125" style="224"/>
    <col min="254" max="254" width="25" style="224" customWidth="1"/>
    <col min="255" max="255" width="19.83203125" style="224" customWidth="1"/>
    <col min="256" max="257" width="8.83203125" style="224"/>
    <col min="258" max="258" width="9" style="224" customWidth="1"/>
    <col min="259" max="263" width="8.83203125" style="224"/>
    <col min="264" max="264" width="13.83203125" style="224" customWidth="1"/>
    <col min="265" max="265" width="14.1640625" style="224" bestFit="1" customWidth="1"/>
    <col min="266" max="266" width="11.1640625" style="224" customWidth="1"/>
    <col min="267" max="509" width="8.83203125" style="224"/>
    <col min="510" max="510" width="25" style="224" customWidth="1"/>
    <col min="511" max="511" width="19.83203125" style="224" customWidth="1"/>
    <col min="512" max="513" width="8.83203125" style="224"/>
    <col min="514" max="514" width="9" style="224" customWidth="1"/>
    <col min="515" max="519" width="8.83203125" style="224"/>
    <col min="520" max="520" width="13.83203125" style="224" customWidth="1"/>
    <col min="521" max="521" width="14.1640625" style="224" bestFit="1" customWidth="1"/>
    <col min="522" max="522" width="11.1640625" style="224" customWidth="1"/>
    <col min="523" max="765" width="8.83203125" style="224"/>
    <col min="766" max="766" width="25" style="224" customWidth="1"/>
    <col min="767" max="767" width="19.83203125" style="224" customWidth="1"/>
    <col min="768" max="769" width="8.83203125" style="224"/>
    <col min="770" max="770" width="9" style="224" customWidth="1"/>
    <col min="771" max="775" width="8.83203125" style="224"/>
    <col min="776" max="776" width="13.83203125" style="224" customWidth="1"/>
    <col min="777" max="777" width="14.1640625" style="224" bestFit="1" customWidth="1"/>
    <col min="778" max="778" width="11.1640625" style="224" customWidth="1"/>
    <col min="779" max="1021" width="8.83203125" style="224"/>
    <col min="1022" max="1022" width="25" style="224" customWidth="1"/>
    <col min="1023" max="1023" width="19.83203125" style="224" customWidth="1"/>
    <col min="1024" max="1025" width="8.83203125" style="224"/>
    <col min="1026" max="1026" width="9" style="224" customWidth="1"/>
    <col min="1027" max="1031" width="8.83203125" style="224"/>
    <col min="1032" max="1032" width="13.83203125" style="224" customWidth="1"/>
    <col min="1033" max="1033" width="14.1640625" style="224" bestFit="1" customWidth="1"/>
    <col min="1034" max="1034" width="11.1640625" style="224" customWidth="1"/>
    <col min="1035" max="1277" width="8.83203125" style="224"/>
    <col min="1278" max="1278" width="25" style="224" customWidth="1"/>
    <col min="1279" max="1279" width="19.83203125" style="224" customWidth="1"/>
    <col min="1280" max="1281" width="8.83203125" style="224"/>
    <col min="1282" max="1282" width="9" style="224" customWidth="1"/>
    <col min="1283" max="1287" width="8.83203125" style="224"/>
    <col min="1288" max="1288" width="13.83203125" style="224" customWidth="1"/>
    <col min="1289" max="1289" width="14.1640625" style="224" bestFit="1" customWidth="1"/>
    <col min="1290" max="1290" width="11.1640625" style="224" customWidth="1"/>
    <col min="1291" max="1533" width="8.83203125" style="224"/>
    <col min="1534" max="1534" width="25" style="224" customWidth="1"/>
    <col min="1535" max="1535" width="19.83203125" style="224" customWidth="1"/>
    <col min="1536" max="1537" width="8.83203125" style="224"/>
    <col min="1538" max="1538" width="9" style="224" customWidth="1"/>
    <col min="1539" max="1543" width="8.83203125" style="224"/>
    <col min="1544" max="1544" width="13.83203125" style="224" customWidth="1"/>
    <col min="1545" max="1545" width="14.1640625" style="224" bestFit="1" customWidth="1"/>
    <col min="1546" max="1546" width="11.1640625" style="224" customWidth="1"/>
    <col min="1547" max="1789" width="8.83203125" style="224"/>
    <col min="1790" max="1790" width="25" style="224" customWidth="1"/>
    <col min="1791" max="1791" width="19.83203125" style="224" customWidth="1"/>
    <col min="1792" max="1793" width="8.83203125" style="224"/>
    <col min="1794" max="1794" width="9" style="224" customWidth="1"/>
    <col min="1795" max="1799" width="8.83203125" style="224"/>
    <col min="1800" max="1800" width="13.83203125" style="224" customWidth="1"/>
    <col min="1801" max="1801" width="14.1640625" style="224" bestFit="1" customWidth="1"/>
    <col min="1802" max="1802" width="11.1640625" style="224" customWidth="1"/>
    <col min="1803" max="2045" width="8.83203125" style="224"/>
    <col min="2046" max="2046" width="25" style="224" customWidth="1"/>
    <col min="2047" max="2047" width="19.83203125" style="224" customWidth="1"/>
    <col min="2048" max="2049" width="8.83203125" style="224"/>
    <col min="2050" max="2050" width="9" style="224" customWidth="1"/>
    <col min="2051" max="2055" width="8.83203125" style="224"/>
    <col min="2056" max="2056" width="13.83203125" style="224" customWidth="1"/>
    <col min="2057" max="2057" width="14.1640625" style="224" bestFit="1" customWidth="1"/>
    <col min="2058" max="2058" width="11.1640625" style="224" customWidth="1"/>
    <col min="2059" max="2301" width="8.83203125" style="224"/>
    <col min="2302" max="2302" width="25" style="224" customWidth="1"/>
    <col min="2303" max="2303" width="19.83203125" style="224" customWidth="1"/>
    <col min="2304" max="2305" width="8.83203125" style="224"/>
    <col min="2306" max="2306" width="9" style="224" customWidth="1"/>
    <col min="2307" max="2311" width="8.83203125" style="224"/>
    <col min="2312" max="2312" width="13.83203125" style="224" customWidth="1"/>
    <col min="2313" max="2313" width="14.1640625" style="224" bestFit="1" customWidth="1"/>
    <col min="2314" max="2314" width="11.1640625" style="224" customWidth="1"/>
    <col min="2315" max="2557" width="8.83203125" style="224"/>
    <col min="2558" max="2558" width="25" style="224" customWidth="1"/>
    <col min="2559" max="2559" width="19.83203125" style="224" customWidth="1"/>
    <col min="2560" max="2561" width="8.83203125" style="224"/>
    <col min="2562" max="2562" width="9" style="224" customWidth="1"/>
    <col min="2563" max="2567" width="8.83203125" style="224"/>
    <col min="2568" max="2568" width="13.83203125" style="224" customWidth="1"/>
    <col min="2569" max="2569" width="14.1640625" style="224" bestFit="1" customWidth="1"/>
    <col min="2570" max="2570" width="11.1640625" style="224" customWidth="1"/>
    <col min="2571" max="2813" width="8.83203125" style="224"/>
    <col min="2814" max="2814" width="25" style="224" customWidth="1"/>
    <col min="2815" max="2815" width="19.83203125" style="224" customWidth="1"/>
    <col min="2816" max="2817" width="8.83203125" style="224"/>
    <col min="2818" max="2818" width="9" style="224" customWidth="1"/>
    <col min="2819" max="2823" width="8.83203125" style="224"/>
    <col min="2824" max="2824" width="13.83203125" style="224" customWidth="1"/>
    <col min="2825" max="2825" width="14.1640625" style="224" bestFit="1" customWidth="1"/>
    <col min="2826" max="2826" width="11.1640625" style="224" customWidth="1"/>
    <col min="2827" max="3069" width="8.83203125" style="224"/>
    <col min="3070" max="3070" width="25" style="224" customWidth="1"/>
    <col min="3071" max="3071" width="19.83203125" style="224" customWidth="1"/>
    <col min="3072" max="3073" width="8.83203125" style="224"/>
    <col min="3074" max="3074" width="9" style="224" customWidth="1"/>
    <col min="3075" max="3079" width="8.83203125" style="224"/>
    <col min="3080" max="3080" width="13.83203125" style="224" customWidth="1"/>
    <col min="3081" max="3081" width="14.1640625" style="224" bestFit="1" customWidth="1"/>
    <col min="3082" max="3082" width="11.1640625" style="224" customWidth="1"/>
    <col min="3083" max="3325" width="8.83203125" style="224"/>
    <col min="3326" max="3326" width="25" style="224" customWidth="1"/>
    <col min="3327" max="3327" width="19.83203125" style="224" customWidth="1"/>
    <col min="3328" max="3329" width="8.83203125" style="224"/>
    <col min="3330" max="3330" width="9" style="224" customWidth="1"/>
    <col min="3331" max="3335" width="8.83203125" style="224"/>
    <col min="3336" max="3336" width="13.83203125" style="224" customWidth="1"/>
    <col min="3337" max="3337" width="14.1640625" style="224" bestFit="1" customWidth="1"/>
    <col min="3338" max="3338" width="11.1640625" style="224" customWidth="1"/>
    <col min="3339" max="3581" width="8.83203125" style="224"/>
    <col min="3582" max="3582" width="25" style="224" customWidth="1"/>
    <col min="3583" max="3583" width="19.83203125" style="224" customWidth="1"/>
    <col min="3584" max="3585" width="8.83203125" style="224"/>
    <col min="3586" max="3586" width="9" style="224" customWidth="1"/>
    <col min="3587" max="3591" width="8.83203125" style="224"/>
    <col min="3592" max="3592" width="13.83203125" style="224" customWidth="1"/>
    <col min="3593" max="3593" width="14.1640625" style="224" bestFit="1" customWidth="1"/>
    <col min="3594" max="3594" width="11.1640625" style="224" customWidth="1"/>
    <col min="3595" max="3837" width="8.83203125" style="224"/>
    <col min="3838" max="3838" width="25" style="224" customWidth="1"/>
    <col min="3839" max="3839" width="19.83203125" style="224" customWidth="1"/>
    <col min="3840" max="3841" width="8.83203125" style="224"/>
    <col min="3842" max="3842" width="9" style="224" customWidth="1"/>
    <col min="3843" max="3847" width="8.83203125" style="224"/>
    <col min="3848" max="3848" width="13.83203125" style="224" customWidth="1"/>
    <col min="3849" max="3849" width="14.1640625" style="224" bestFit="1" customWidth="1"/>
    <col min="3850" max="3850" width="11.1640625" style="224" customWidth="1"/>
    <col min="3851" max="4093" width="8.83203125" style="224"/>
    <col min="4094" max="4094" width="25" style="224" customWidth="1"/>
    <col min="4095" max="4095" width="19.83203125" style="224" customWidth="1"/>
    <col min="4096" max="4097" width="8.83203125" style="224"/>
    <col min="4098" max="4098" width="9" style="224" customWidth="1"/>
    <col min="4099" max="4103" width="8.83203125" style="224"/>
    <col min="4104" max="4104" width="13.83203125" style="224" customWidth="1"/>
    <col min="4105" max="4105" width="14.1640625" style="224" bestFit="1" customWidth="1"/>
    <col min="4106" max="4106" width="11.1640625" style="224" customWidth="1"/>
    <col min="4107" max="4349" width="8.83203125" style="224"/>
    <col min="4350" max="4350" width="25" style="224" customWidth="1"/>
    <col min="4351" max="4351" width="19.83203125" style="224" customWidth="1"/>
    <col min="4352" max="4353" width="8.83203125" style="224"/>
    <col min="4354" max="4354" width="9" style="224" customWidth="1"/>
    <col min="4355" max="4359" width="8.83203125" style="224"/>
    <col min="4360" max="4360" width="13.83203125" style="224" customWidth="1"/>
    <col min="4361" max="4361" width="14.1640625" style="224" bestFit="1" customWidth="1"/>
    <col min="4362" max="4362" width="11.1640625" style="224" customWidth="1"/>
    <col min="4363" max="4605" width="8.83203125" style="224"/>
    <col min="4606" max="4606" width="25" style="224" customWidth="1"/>
    <col min="4607" max="4607" width="19.83203125" style="224" customWidth="1"/>
    <col min="4608" max="4609" width="8.83203125" style="224"/>
    <col min="4610" max="4610" width="9" style="224" customWidth="1"/>
    <col min="4611" max="4615" width="8.83203125" style="224"/>
    <col min="4616" max="4616" width="13.83203125" style="224" customWidth="1"/>
    <col min="4617" max="4617" width="14.1640625" style="224" bestFit="1" customWidth="1"/>
    <col min="4618" max="4618" width="11.1640625" style="224" customWidth="1"/>
    <col min="4619" max="4861" width="8.83203125" style="224"/>
    <col min="4862" max="4862" width="25" style="224" customWidth="1"/>
    <col min="4863" max="4863" width="19.83203125" style="224" customWidth="1"/>
    <col min="4864" max="4865" width="8.83203125" style="224"/>
    <col min="4866" max="4866" width="9" style="224" customWidth="1"/>
    <col min="4867" max="4871" width="8.83203125" style="224"/>
    <col min="4872" max="4872" width="13.83203125" style="224" customWidth="1"/>
    <col min="4873" max="4873" width="14.1640625" style="224" bestFit="1" customWidth="1"/>
    <col min="4874" max="4874" width="11.1640625" style="224" customWidth="1"/>
    <col min="4875" max="5117" width="8.83203125" style="224"/>
    <col min="5118" max="5118" width="25" style="224" customWidth="1"/>
    <col min="5119" max="5119" width="19.83203125" style="224" customWidth="1"/>
    <col min="5120" max="5121" width="8.83203125" style="224"/>
    <col min="5122" max="5122" width="9" style="224" customWidth="1"/>
    <col min="5123" max="5127" width="8.83203125" style="224"/>
    <col min="5128" max="5128" width="13.83203125" style="224" customWidth="1"/>
    <col min="5129" max="5129" width="14.1640625" style="224" bestFit="1" customWidth="1"/>
    <col min="5130" max="5130" width="11.1640625" style="224" customWidth="1"/>
    <col min="5131" max="5373" width="8.83203125" style="224"/>
    <col min="5374" max="5374" width="25" style="224" customWidth="1"/>
    <col min="5375" max="5375" width="19.83203125" style="224" customWidth="1"/>
    <col min="5376" max="5377" width="8.83203125" style="224"/>
    <col min="5378" max="5378" width="9" style="224" customWidth="1"/>
    <col min="5379" max="5383" width="8.83203125" style="224"/>
    <col min="5384" max="5384" width="13.83203125" style="224" customWidth="1"/>
    <col min="5385" max="5385" width="14.1640625" style="224" bestFit="1" customWidth="1"/>
    <col min="5386" max="5386" width="11.1640625" style="224" customWidth="1"/>
    <col min="5387" max="5629" width="8.83203125" style="224"/>
    <col min="5630" max="5630" width="25" style="224" customWidth="1"/>
    <col min="5631" max="5631" width="19.83203125" style="224" customWidth="1"/>
    <col min="5632" max="5633" width="8.83203125" style="224"/>
    <col min="5634" max="5634" width="9" style="224" customWidth="1"/>
    <col min="5635" max="5639" width="8.83203125" style="224"/>
    <col min="5640" max="5640" width="13.83203125" style="224" customWidth="1"/>
    <col min="5641" max="5641" width="14.1640625" style="224" bestFit="1" customWidth="1"/>
    <col min="5642" max="5642" width="11.1640625" style="224" customWidth="1"/>
    <col min="5643" max="5885" width="8.83203125" style="224"/>
    <col min="5886" max="5886" width="25" style="224" customWidth="1"/>
    <col min="5887" max="5887" width="19.83203125" style="224" customWidth="1"/>
    <col min="5888" max="5889" width="8.83203125" style="224"/>
    <col min="5890" max="5890" width="9" style="224" customWidth="1"/>
    <col min="5891" max="5895" width="8.83203125" style="224"/>
    <col min="5896" max="5896" width="13.83203125" style="224" customWidth="1"/>
    <col min="5897" max="5897" width="14.1640625" style="224" bestFit="1" customWidth="1"/>
    <col min="5898" max="5898" width="11.1640625" style="224" customWidth="1"/>
    <col min="5899" max="6141" width="8.83203125" style="224"/>
    <col min="6142" max="6142" width="25" style="224" customWidth="1"/>
    <col min="6143" max="6143" width="19.83203125" style="224" customWidth="1"/>
    <col min="6144" max="6145" width="8.83203125" style="224"/>
    <col min="6146" max="6146" width="9" style="224" customWidth="1"/>
    <col min="6147" max="6151" width="8.83203125" style="224"/>
    <col min="6152" max="6152" width="13.83203125" style="224" customWidth="1"/>
    <col min="6153" max="6153" width="14.1640625" style="224" bestFit="1" customWidth="1"/>
    <col min="6154" max="6154" width="11.1640625" style="224" customWidth="1"/>
    <col min="6155" max="6397" width="8.83203125" style="224"/>
    <col min="6398" max="6398" width="25" style="224" customWidth="1"/>
    <col min="6399" max="6399" width="19.83203125" style="224" customWidth="1"/>
    <col min="6400" max="6401" width="8.83203125" style="224"/>
    <col min="6402" max="6402" width="9" style="224" customWidth="1"/>
    <col min="6403" max="6407" width="8.83203125" style="224"/>
    <col min="6408" max="6408" width="13.83203125" style="224" customWidth="1"/>
    <col min="6409" max="6409" width="14.1640625" style="224" bestFit="1" customWidth="1"/>
    <col min="6410" max="6410" width="11.1640625" style="224" customWidth="1"/>
    <col min="6411" max="6653" width="8.83203125" style="224"/>
    <col min="6654" max="6654" width="25" style="224" customWidth="1"/>
    <col min="6655" max="6655" width="19.83203125" style="224" customWidth="1"/>
    <col min="6656" max="6657" width="8.83203125" style="224"/>
    <col min="6658" max="6658" width="9" style="224" customWidth="1"/>
    <col min="6659" max="6663" width="8.83203125" style="224"/>
    <col min="6664" max="6664" width="13.83203125" style="224" customWidth="1"/>
    <col min="6665" max="6665" width="14.1640625" style="224" bestFit="1" customWidth="1"/>
    <col min="6666" max="6666" width="11.1640625" style="224" customWidth="1"/>
    <col min="6667" max="6909" width="8.83203125" style="224"/>
    <col min="6910" max="6910" width="25" style="224" customWidth="1"/>
    <col min="6911" max="6911" width="19.83203125" style="224" customWidth="1"/>
    <col min="6912" max="6913" width="8.83203125" style="224"/>
    <col min="6914" max="6914" width="9" style="224" customWidth="1"/>
    <col min="6915" max="6919" width="8.83203125" style="224"/>
    <col min="6920" max="6920" width="13.83203125" style="224" customWidth="1"/>
    <col min="6921" max="6921" width="14.1640625" style="224" bestFit="1" customWidth="1"/>
    <col min="6922" max="6922" width="11.1640625" style="224" customWidth="1"/>
    <col min="6923" max="7165" width="8.83203125" style="224"/>
    <col min="7166" max="7166" width="25" style="224" customWidth="1"/>
    <col min="7167" max="7167" width="19.83203125" style="224" customWidth="1"/>
    <col min="7168" max="7169" width="8.83203125" style="224"/>
    <col min="7170" max="7170" width="9" style="224" customWidth="1"/>
    <col min="7171" max="7175" width="8.83203125" style="224"/>
    <col min="7176" max="7176" width="13.83203125" style="224" customWidth="1"/>
    <col min="7177" max="7177" width="14.1640625" style="224" bestFit="1" customWidth="1"/>
    <col min="7178" max="7178" width="11.1640625" style="224" customWidth="1"/>
    <col min="7179" max="7421" width="8.83203125" style="224"/>
    <col min="7422" max="7422" width="25" style="224" customWidth="1"/>
    <col min="7423" max="7423" width="19.83203125" style="224" customWidth="1"/>
    <col min="7424" max="7425" width="8.83203125" style="224"/>
    <col min="7426" max="7426" width="9" style="224" customWidth="1"/>
    <col min="7427" max="7431" width="8.83203125" style="224"/>
    <col min="7432" max="7432" width="13.83203125" style="224" customWidth="1"/>
    <col min="7433" max="7433" width="14.1640625" style="224" bestFit="1" customWidth="1"/>
    <col min="7434" max="7434" width="11.1640625" style="224" customWidth="1"/>
    <col min="7435" max="7677" width="8.83203125" style="224"/>
    <col min="7678" max="7678" width="25" style="224" customWidth="1"/>
    <col min="7679" max="7679" width="19.83203125" style="224" customWidth="1"/>
    <col min="7680" max="7681" width="8.83203125" style="224"/>
    <col min="7682" max="7682" width="9" style="224" customWidth="1"/>
    <col min="7683" max="7687" width="8.83203125" style="224"/>
    <col min="7688" max="7688" width="13.83203125" style="224" customWidth="1"/>
    <col min="7689" max="7689" width="14.1640625" style="224" bestFit="1" customWidth="1"/>
    <col min="7690" max="7690" width="11.1640625" style="224" customWidth="1"/>
    <col min="7691" max="7933" width="8.83203125" style="224"/>
    <col min="7934" max="7934" width="25" style="224" customWidth="1"/>
    <col min="7935" max="7935" width="19.83203125" style="224" customWidth="1"/>
    <col min="7936" max="7937" width="8.83203125" style="224"/>
    <col min="7938" max="7938" width="9" style="224" customWidth="1"/>
    <col min="7939" max="7943" width="8.83203125" style="224"/>
    <col min="7944" max="7944" width="13.83203125" style="224" customWidth="1"/>
    <col min="7945" max="7945" width="14.1640625" style="224" bestFit="1" customWidth="1"/>
    <col min="7946" max="7946" width="11.1640625" style="224" customWidth="1"/>
    <col min="7947" max="8189" width="8.83203125" style="224"/>
    <col min="8190" max="8190" width="25" style="224" customWidth="1"/>
    <col min="8191" max="8191" width="19.83203125" style="224" customWidth="1"/>
    <col min="8192" max="8193" width="8.83203125" style="224"/>
    <col min="8194" max="8194" width="9" style="224" customWidth="1"/>
    <col min="8195" max="8199" width="8.83203125" style="224"/>
    <col min="8200" max="8200" width="13.83203125" style="224" customWidth="1"/>
    <col min="8201" max="8201" width="14.1640625" style="224" bestFit="1" customWidth="1"/>
    <col min="8202" max="8202" width="11.1640625" style="224" customWidth="1"/>
    <col min="8203" max="8445" width="8.83203125" style="224"/>
    <col min="8446" max="8446" width="25" style="224" customWidth="1"/>
    <col min="8447" max="8447" width="19.83203125" style="224" customWidth="1"/>
    <col min="8448" max="8449" width="8.83203125" style="224"/>
    <col min="8450" max="8450" width="9" style="224" customWidth="1"/>
    <col min="8451" max="8455" width="8.83203125" style="224"/>
    <col min="8456" max="8456" width="13.83203125" style="224" customWidth="1"/>
    <col min="8457" max="8457" width="14.1640625" style="224" bestFit="1" customWidth="1"/>
    <col min="8458" max="8458" width="11.1640625" style="224" customWidth="1"/>
    <col min="8459" max="8701" width="8.83203125" style="224"/>
    <col min="8702" max="8702" width="25" style="224" customWidth="1"/>
    <col min="8703" max="8703" width="19.83203125" style="224" customWidth="1"/>
    <col min="8704" max="8705" width="8.83203125" style="224"/>
    <col min="8706" max="8706" width="9" style="224" customWidth="1"/>
    <col min="8707" max="8711" width="8.83203125" style="224"/>
    <col min="8712" max="8712" width="13.83203125" style="224" customWidth="1"/>
    <col min="8713" max="8713" width="14.1640625" style="224" bestFit="1" customWidth="1"/>
    <col min="8714" max="8714" width="11.1640625" style="224" customWidth="1"/>
    <col min="8715" max="8957" width="8.83203125" style="224"/>
    <col min="8958" max="8958" width="25" style="224" customWidth="1"/>
    <col min="8959" max="8959" width="19.83203125" style="224" customWidth="1"/>
    <col min="8960" max="8961" width="8.83203125" style="224"/>
    <col min="8962" max="8962" width="9" style="224" customWidth="1"/>
    <col min="8963" max="8967" width="8.83203125" style="224"/>
    <col min="8968" max="8968" width="13.83203125" style="224" customWidth="1"/>
    <col min="8969" max="8969" width="14.1640625" style="224" bestFit="1" customWidth="1"/>
    <col min="8970" max="8970" width="11.1640625" style="224" customWidth="1"/>
    <col min="8971" max="9213" width="8.83203125" style="224"/>
    <col min="9214" max="9214" width="25" style="224" customWidth="1"/>
    <col min="9215" max="9215" width="19.83203125" style="224" customWidth="1"/>
    <col min="9216" max="9217" width="8.83203125" style="224"/>
    <col min="9218" max="9218" width="9" style="224" customWidth="1"/>
    <col min="9219" max="9223" width="8.83203125" style="224"/>
    <col min="9224" max="9224" width="13.83203125" style="224" customWidth="1"/>
    <col min="9225" max="9225" width="14.1640625" style="224" bestFit="1" customWidth="1"/>
    <col min="9226" max="9226" width="11.1640625" style="224" customWidth="1"/>
    <col min="9227" max="9469" width="8.83203125" style="224"/>
    <col min="9470" max="9470" width="25" style="224" customWidth="1"/>
    <col min="9471" max="9471" width="19.83203125" style="224" customWidth="1"/>
    <col min="9472" max="9473" width="8.83203125" style="224"/>
    <col min="9474" max="9474" width="9" style="224" customWidth="1"/>
    <col min="9475" max="9479" width="8.83203125" style="224"/>
    <col min="9480" max="9480" width="13.83203125" style="224" customWidth="1"/>
    <col min="9481" max="9481" width="14.1640625" style="224" bestFit="1" customWidth="1"/>
    <col min="9482" max="9482" width="11.1640625" style="224" customWidth="1"/>
    <col min="9483" max="9725" width="8.83203125" style="224"/>
    <col min="9726" max="9726" width="25" style="224" customWidth="1"/>
    <col min="9727" max="9727" width="19.83203125" style="224" customWidth="1"/>
    <col min="9728" max="9729" width="8.83203125" style="224"/>
    <col min="9730" max="9730" width="9" style="224" customWidth="1"/>
    <col min="9731" max="9735" width="8.83203125" style="224"/>
    <col min="9736" max="9736" width="13.83203125" style="224" customWidth="1"/>
    <col min="9737" max="9737" width="14.1640625" style="224" bestFit="1" customWidth="1"/>
    <col min="9738" max="9738" width="11.1640625" style="224" customWidth="1"/>
    <col min="9739" max="9981" width="8.83203125" style="224"/>
    <col min="9982" max="9982" width="25" style="224" customWidth="1"/>
    <col min="9983" max="9983" width="19.83203125" style="224" customWidth="1"/>
    <col min="9984" max="9985" width="8.83203125" style="224"/>
    <col min="9986" max="9986" width="9" style="224" customWidth="1"/>
    <col min="9987" max="9991" width="8.83203125" style="224"/>
    <col min="9992" max="9992" width="13.83203125" style="224" customWidth="1"/>
    <col min="9993" max="9993" width="14.1640625" style="224" bestFit="1" customWidth="1"/>
    <col min="9994" max="9994" width="11.1640625" style="224" customWidth="1"/>
    <col min="9995" max="10237" width="8.83203125" style="224"/>
    <col min="10238" max="10238" width="25" style="224" customWidth="1"/>
    <col min="10239" max="10239" width="19.83203125" style="224" customWidth="1"/>
    <col min="10240" max="10241" width="8.83203125" style="224"/>
    <col min="10242" max="10242" width="9" style="224" customWidth="1"/>
    <col min="10243" max="10247" width="8.83203125" style="224"/>
    <col min="10248" max="10248" width="13.83203125" style="224" customWidth="1"/>
    <col min="10249" max="10249" width="14.1640625" style="224" bestFit="1" customWidth="1"/>
    <col min="10250" max="10250" width="11.1640625" style="224" customWidth="1"/>
    <col min="10251" max="10493" width="8.83203125" style="224"/>
    <col min="10494" max="10494" width="25" style="224" customWidth="1"/>
    <col min="10495" max="10495" width="19.83203125" style="224" customWidth="1"/>
    <col min="10496" max="10497" width="8.83203125" style="224"/>
    <col min="10498" max="10498" width="9" style="224" customWidth="1"/>
    <col min="10499" max="10503" width="8.83203125" style="224"/>
    <col min="10504" max="10504" width="13.83203125" style="224" customWidth="1"/>
    <col min="10505" max="10505" width="14.1640625" style="224" bestFit="1" customWidth="1"/>
    <col min="10506" max="10506" width="11.1640625" style="224" customWidth="1"/>
    <col min="10507" max="10749" width="8.83203125" style="224"/>
    <col min="10750" max="10750" width="25" style="224" customWidth="1"/>
    <col min="10751" max="10751" width="19.83203125" style="224" customWidth="1"/>
    <col min="10752" max="10753" width="8.83203125" style="224"/>
    <col min="10754" max="10754" width="9" style="224" customWidth="1"/>
    <col min="10755" max="10759" width="8.83203125" style="224"/>
    <col min="10760" max="10760" width="13.83203125" style="224" customWidth="1"/>
    <col min="10761" max="10761" width="14.1640625" style="224" bestFit="1" customWidth="1"/>
    <col min="10762" max="10762" width="11.1640625" style="224" customWidth="1"/>
    <col min="10763" max="11005" width="8.83203125" style="224"/>
    <col min="11006" max="11006" width="25" style="224" customWidth="1"/>
    <col min="11007" max="11007" width="19.83203125" style="224" customWidth="1"/>
    <col min="11008" max="11009" width="8.83203125" style="224"/>
    <col min="11010" max="11010" width="9" style="224" customWidth="1"/>
    <col min="11011" max="11015" width="8.83203125" style="224"/>
    <col min="11016" max="11016" width="13.83203125" style="224" customWidth="1"/>
    <col min="11017" max="11017" width="14.1640625" style="224" bestFit="1" customWidth="1"/>
    <col min="11018" max="11018" width="11.1640625" style="224" customWidth="1"/>
    <col min="11019" max="11261" width="8.83203125" style="224"/>
    <col min="11262" max="11262" width="25" style="224" customWidth="1"/>
    <col min="11263" max="11263" width="19.83203125" style="224" customWidth="1"/>
    <col min="11264" max="11265" width="8.83203125" style="224"/>
    <col min="11266" max="11266" width="9" style="224" customWidth="1"/>
    <col min="11267" max="11271" width="8.83203125" style="224"/>
    <col min="11272" max="11272" width="13.83203125" style="224" customWidth="1"/>
    <col min="11273" max="11273" width="14.1640625" style="224" bestFit="1" customWidth="1"/>
    <col min="11274" max="11274" width="11.1640625" style="224" customWidth="1"/>
    <col min="11275" max="11517" width="8.83203125" style="224"/>
    <col min="11518" max="11518" width="25" style="224" customWidth="1"/>
    <col min="11519" max="11519" width="19.83203125" style="224" customWidth="1"/>
    <col min="11520" max="11521" width="8.83203125" style="224"/>
    <col min="11522" max="11522" width="9" style="224" customWidth="1"/>
    <col min="11523" max="11527" width="8.83203125" style="224"/>
    <col min="11528" max="11528" width="13.83203125" style="224" customWidth="1"/>
    <col min="11529" max="11529" width="14.1640625" style="224" bestFit="1" customWidth="1"/>
    <col min="11530" max="11530" width="11.1640625" style="224" customWidth="1"/>
    <col min="11531" max="11773" width="8.83203125" style="224"/>
    <col min="11774" max="11774" width="25" style="224" customWidth="1"/>
    <col min="11775" max="11775" width="19.83203125" style="224" customWidth="1"/>
    <col min="11776" max="11777" width="8.83203125" style="224"/>
    <col min="11778" max="11778" width="9" style="224" customWidth="1"/>
    <col min="11779" max="11783" width="8.83203125" style="224"/>
    <col min="11784" max="11784" width="13.83203125" style="224" customWidth="1"/>
    <col min="11785" max="11785" width="14.1640625" style="224" bestFit="1" customWidth="1"/>
    <col min="11786" max="11786" width="11.1640625" style="224" customWidth="1"/>
    <col min="11787" max="12029" width="8.83203125" style="224"/>
    <col min="12030" max="12030" width="25" style="224" customWidth="1"/>
    <col min="12031" max="12031" width="19.83203125" style="224" customWidth="1"/>
    <col min="12032" max="12033" width="8.83203125" style="224"/>
    <col min="12034" max="12034" width="9" style="224" customWidth="1"/>
    <col min="12035" max="12039" width="8.83203125" style="224"/>
    <col min="12040" max="12040" width="13.83203125" style="224" customWidth="1"/>
    <col min="12041" max="12041" width="14.1640625" style="224" bestFit="1" customWidth="1"/>
    <col min="12042" max="12042" width="11.1640625" style="224" customWidth="1"/>
    <col min="12043" max="12285" width="8.83203125" style="224"/>
    <col min="12286" max="12286" width="25" style="224" customWidth="1"/>
    <col min="12287" max="12287" width="19.83203125" style="224" customWidth="1"/>
    <col min="12288" max="12289" width="8.83203125" style="224"/>
    <col min="12290" max="12290" width="9" style="224" customWidth="1"/>
    <col min="12291" max="12295" width="8.83203125" style="224"/>
    <col min="12296" max="12296" width="13.83203125" style="224" customWidth="1"/>
    <col min="12297" max="12297" width="14.1640625" style="224" bestFit="1" customWidth="1"/>
    <col min="12298" max="12298" width="11.1640625" style="224" customWidth="1"/>
    <col min="12299" max="12541" width="8.83203125" style="224"/>
    <col min="12542" max="12542" width="25" style="224" customWidth="1"/>
    <col min="12543" max="12543" width="19.83203125" style="224" customWidth="1"/>
    <col min="12544" max="12545" width="8.83203125" style="224"/>
    <col min="12546" max="12546" width="9" style="224" customWidth="1"/>
    <col min="12547" max="12551" width="8.83203125" style="224"/>
    <col min="12552" max="12552" width="13.83203125" style="224" customWidth="1"/>
    <col min="12553" max="12553" width="14.1640625" style="224" bestFit="1" customWidth="1"/>
    <col min="12554" max="12554" width="11.1640625" style="224" customWidth="1"/>
    <col min="12555" max="12797" width="8.83203125" style="224"/>
    <col min="12798" max="12798" width="25" style="224" customWidth="1"/>
    <col min="12799" max="12799" width="19.83203125" style="224" customWidth="1"/>
    <col min="12800" max="12801" width="8.83203125" style="224"/>
    <col min="12802" max="12802" width="9" style="224" customWidth="1"/>
    <col min="12803" max="12807" width="8.83203125" style="224"/>
    <col min="12808" max="12808" width="13.83203125" style="224" customWidth="1"/>
    <col min="12809" max="12809" width="14.1640625" style="224" bestFit="1" customWidth="1"/>
    <col min="12810" max="12810" width="11.1640625" style="224" customWidth="1"/>
    <col min="12811" max="13053" width="8.83203125" style="224"/>
    <col min="13054" max="13054" width="25" style="224" customWidth="1"/>
    <col min="13055" max="13055" width="19.83203125" style="224" customWidth="1"/>
    <col min="13056" max="13057" width="8.83203125" style="224"/>
    <col min="13058" max="13058" width="9" style="224" customWidth="1"/>
    <col min="13059" max="13063" width="8.83203125" style="224"/>
    <col min="13064" max="13064" width="13.83203125" style="224" customWidth="1"/>
    <col min="13065" max="13065" width="14.1640625" style="224" bestFit="1" customWidth="1"/>
    <col min="13066" max="13066" width="11.1640625" style="224" customWidth="1"/>
    <col min="13067" max="13309" width="8.83203125" style="224"/>
    <col min="13310" max="13310" width="25" style="224" customWidth="1"/>
    <col min="13311" max="13311" width="19.83203125" style="224" customWidth="1"/>
    <col min="13312" max="13313" width="8.83203125" style="224"/>
    <col min="13314" max="13314" width="9" style="224" customWidth="1"/>
    <col min="13315" max="13319" width="8.83203125" style="224"/>
    <col min="13320" max="13320" width="13.83203125" style="224" customWidth="1"/>
    <col min="13321" max="13321" width="14.1640625" style="224" bestFit="1" customWidth="1"/>
    <col min="13322" max="13322" width="11.1640625" style="224" customWidth="1"/>
    <col min="13323" max="13565" width="8.83203125" style="224"/>
    <col min="13566" max="13566" width="25" style="224" customWidth="1"/>
    <col min="13567" max="13567" width="19.83203125" style="224" customWidth="1"/>
    <col min="13568" max="13569" width="8.83203125" style="224"/>
    <col min="13570" max="13570" width="9" style="224" customWidth="1"/>
    <col min="13571" max="13575" width="8.83203125" style="224"/>
    <col min="13576" max="13576" width="13.83203125" style="224" customWidth="1"/>
    <col min="13577" max="13577" width="14.1640625" style="224" bestFit="1" customWidth="1"/>
    <col min="13578" max="13578" width="11.1640625" style="224" customWidth="1"/>
    <col min="13579" max="13821" width="8.83203125" style="224"/>
    <col min="13822" max="13822" width="25" style="224" customWidth="1"/>
    <col min="13823" max="13823" width="19.83203125" style="224" customWidth="1"/>
    <col min="13824" max="13825" width="8.83203125" style="224"/>
    <col min="13826" max="13826" width="9" style="224" customWidth="1"/>
    <col min="13827" max="13831" width="8.83203125" style="224"/>
    <col min="13832" max="13832" width="13.83203125" style="224" customWidth="1"/>
    <col min="13833" max="13833" width="14.1640625" style="224" bestFit="1" customWidth="1"/>
    <col min="13834" max="13834" width="11.1640625" style="224" customWidth="1"/>
    <col min="13835" max="14077" width="8.83203125" style="224"/>
    <col min="14078" max="14078" width="25" style="224" customWidth="1"/>
    <col min="14079" max="14079" width="19.83203125" style="224" customWidth="1"/>
    <col min="14080" max="14081" width="8.83203125" style="224"/>
    <col min="14082" max="14082" width="9" style="224" customWidth="1"/>
    <col min="14083" max="14087" width="8.83203125" style="224"/>
    <col min="14088" max="14088" width="13.83203125" style="224" customWidth="1"/>
    <col min="14089" max="14089" width="14.1640625" style="224" bestFit="1" customWidth="1"/>
    <col min="14090" max="14090" width="11.1640625" style="224" customWidth="1"/>
    <col min="14091" max="14333" width="8.83203125" style="224"/>
    <col min="14334" max="14334" width="25" style="224" customWidth="1"/>
    <col min="14335" max="14335" width="19.83203125" style="224" customWidth="1"/>
    <col min="14336" max="14337" width="8.83203125" style="224"/>
    <col min="14338" max="14338" width="9" style="224" customWidth="1"/>
    <col min="14339" max="14343" width="8.83203125" style="224"/>
    <col min="14344" max="14344" width="13.83203125" style="224" customWidth="1"/>
    <col min="14345" max="14345" width="14.1640625" style="224" bestFit="1" customWidth="1"/>
    <col min="14346" max="14346" width="11.1640625" style="224" customWidth="1"/>
    <col min="14347" max="14589" width="8.83203125" style="224"/>
    <col min="14590" max="14590" width="25" style="224" customWidth="1"/>
    <col min="14591" max="14591" width="19.83203125" style="224" customWidth="1"/>
    <col min="14592" max="14593" width="8.83203125" style="224"/>
    <col min="14594" max="14594" width="9" style="224" customWidth="1"/>
    <col min="14595" max="14599" width="8.83203125" style="224"/>
    <col min="14600" max="14600" width="13.83203125" style="224" customWidth="1"/>
    <col min="14601" max="14601" width="14.1640625" style="224" bestFit="1" customWidth="1"/>
    <col min="14602" max="14602" width="11.1640625" style="224" customWidth="1"/>
    <col min="14603" max="14845" width="8.83203125" style="224"/>
    <col min="14846" max="14846" width="25" style="224" customWidth="1"/>
    <col min="14847" max="14847" width="19.83203125" style="224" customWidth="1"/>
    <col min="14848" max="14849" width="8.83203125" style="224"/>
    <col min="14850" max="14850" width="9" style="224" customWidth="1"/>
    <col min="14851" max="14855" width="8.83203125" style="224"/>
    <col min="14856" max="14856" width="13.83203125" style="224" customWidth="1"/>
    <col min="14857" max="14857" width="14.1640625" style="224" bestFit="1" customWidth="1"/>
    <col min="14858" max="14858" width="11.1640625" style="224" customWidth="1"/>
    <col min="14859" max="15101" width="8.83203125" style="224"/>
    <col min="15102" max="15102" width="25" style="224" customWidth="1"/>
    <col min="15103" max="15103" width="19.83203125" style="224" customWidth="1"/>
    <col min="15104" max="15105" width="8.83203125" style="224"/>
    <col min="15106" max="15106" width="9" style="224" customWidth="1"/>
    <col min="15107" max="15111" width="8.83203125" style="224"/>
    <col min="15112" max="15112" width="13.83203125" style="224" customWidth="1"/>
    <col min="15113" max="15113" width="14.1640625" style="224" bestFit="1" customWidth="1"/>
    <col min="15114" max="15114" width="11.1640625" style="224" customWidth="1"/>
    <col min="15115" max="15357" width="8.83203125" style="224"/>
    <col min="15358" max="15358" width="25" style="224" customWidth="1"/>
    <col min="15359" max="15359" width="19.83203125" style="224" customWidth="1"/>
    <col min="15360" max="15361" width="8.83203125" style="224"/>
    <col min="15362" max="15362" width="9" style="224" customWidth="1"/>
    <col min="15363" max="15367" width="8.83203125" style="224"/>
    <col min="15368" max="15368" width="13.83203125" style="224" customWidth="1"/>
    <col min="15369" max="15369" width="14.1640625" style="224" bestFit="1" customWidth="1"/>
    <col min="15370" max="15370" width="11.1640625" style="224" customWidth="1"/>
    <col min="15371" max="15613" width="8.83203125" style="224"/>
    <col min="15614" max="15614" width="25" style="224" customWidth="1"/>
    <col min="15615" max="15615" width="19.83203125" style="224" customWidth="1"/>
    <col min="15616" max="15617" width="8.83203125" style="224"/>
    <col min="15618" max="15618" width="9" style="224" customWidth="1"/>
    <col min="15619" max="15623" width="8.83203125" style="224"/>
    <col min="15624" max="15624" width="13.83203125" style="224" customWidth="1"/>
    <col min="15625" max="15625" width="14.1640625" style="224" bestFit="1" customWidth="1"/>
    <col min="15626" max="15626" width="11.1640625" style="224" customWidth="1"/>
    <col min="15627" max="15869" width="8.83203125" style="224"/>
    <col min="15870" max="15870" width="25" style="224" customWidth="1"/>
    <col min="15871" max="15871" width="19.83203125" style="224" customWidth="1"/>
    <col min="15872" max="15873" width="8.83203125" style="224"/>
    <col min="15874" max="15874" width="9" style="224" customWidth="1"/>
    <col min="15875" max="15879" width="8.83203125" style="224"/>
    <col min="15880" max="15880" width="13.83203125" style="224" customWidth="1"/>
    <col min="15881" max="15881" width="14.1640625" style="224" bestFit="1" customWidth="1"/>
    <col min="15882" max="15882" width="11.1640625" style="224" customWidth="1"/>
    <col min="15883" max="16125" width="8.83203125" style="224"/>
    <col min="16126" max="16126" width="25" style="224" customWidth="1"/>
    <col min="16127" max="16127" width="19.83203125" style="224" customWidth="1"/>
    <col min="16128" max="16129" width="8.83203125" style="224"/>
    <col min="16130" max="16130" width="9" style="224" customWidth="1"/>
    <col min="16131" max="16135" width="8.83203125" style="224"/>
    <col min="16136" max="16136" width="13.83203125" style="224" customWidth="1"/>
    <col min="16137" max="16137" width="14.1640625" style="224" bestFit="1" customWidth="1"/>
    <col min="16138" max="16138" width="11.1640625" style="224" customWidth="1"/>
    <col min="16139" max="16384" width="8.83203125" style="224"/>
  </cols>
  <sheetData>
    <row r="1" spans="1:156" ht="15" thickBot="1"/>
    <row r="2" spans="1:156" ht="13">
      <c r="A2" s="224">
        <v>0</v>
      </c>
      <c r="L2" s="227" t="s">
        <v>138</v>
      </c>
      <c r="M2" s="228" t="s">
        <v>81</v>
      </c>
      <c r="N2" s="360" t="s">
        <v>139</v>
      </c>
    </row>
    <row r="3" spans="1:156" ht="13">
      <c r="L3" s="464">
        <v>43220</v>
      </c>
      <c r="M3" s="408">
        <v>1.93459371509354E-2</v>
      </c>
      <c r="N3" s="359">
        <f>EOMONTH(L3,0)</f>
        <v>43220</v>
      </c>
      <c r="O3" s="229"/>
      <c r="P3" s="229"/>
      <c r="S3" s="1447" t="s">
        <v>138</v>
      </c>
      <c r="T3" s="1448">
        <v>44378</v>
      </c>
      <c r="U3" s="1448">
        <v>44409</v>
      </c>
      <c r="V3" s="1448">
        <v>44440</v>
      </c>
      <c r="W3" s="1448">
        <v>44484</v>
      </c>
      <c r="X3" s="1448">
        <v>44515</v>
      </c>
      <c r="Y3" s="1448">
        <v>44545</v>
      </c>
      <c r="Z3" s="1448">
        <v>44578</v>
      </c>
      <c r="AA3" s="1448">
        <v>44607</v>
      </c>
      <c r="AB3" s="1448">
        <v>44635</v>
      </c>
      <c r="AC3" s="1448">
        <v>44666</v>
      </c>
      <c r="AD3" s="1448">
        <v>44697</v>
      </c>
      <c r="AE3" s="1448">
        <v>44727</v>
      </c>
      <c r="AF3" s="1448">
        <v>44757</v>
      </c>
      <c r="AG3" s="1448">
        <v>44788</v>
      </c>
      <c r="AH3" s="1448">
        <v>44819</v>
      </c>
      <c r="AI3" s="1448">
        <v>44851</v>
      </c>
      <c r="AJ3" s="1448">
        <v>44880</v>
      </c>
      <c r="AK3" s="1448">
        <v>44910</v>
      </c>
      <c r="AL3" s="1448">
        <v>44942</v>
      </c>
      <c r="AM3" s="1448">
        <v>44972</v>
      </c>
      <c r="AN3" s="1448">
        <v>45000</v>
      </c>
      <c r="AO3" s="1448">
        <v>45033</v>
      </c>
      <c r="AP3" s="1448">
        <v>45061</v>
      </c>
      <c r="AQ3" s="1448">
        <v>45092</v>
      </c>
      <c r="AR3" s="1448">
        <v>45124</v>
      </c>
      <c r="AS3" s="1448">
        <v>45153</v>
      </c>
      <c r="AT3" s="1448">
        <v>45184</v>
      </c>
      <c r="AU3" s="1448">
        <v>45215</v>
      </c>
      <c r="AV3" s="1448">
        <v>45245</v>
      </c>
      <c r="AW3" s="1448">
        <v>45275</v>
      </c>
      <c r="AX3" s="1448">
        <v>45306</v>
      </c>
      <c r="AY3" s="1448">
        <v>45337</v>
      </c>
      <c r="AZ3" s="1448">
        <v>45366</v>
      </c>
      <c r="BA3" s="1448">
        <v>45397</v>
      </c>
      <c r="BB3" s="1448">
        <v>45427</v>
      </c>
      <c r="BC3" s="1448">
        <v>45460</v>
      </c>
      <c r="BD3" s="1448">
        <v>45488</v>
      </c>
      <c r="BE3" s="1448">
        <v>45519</v>
      </c>
      <c r="BF3" s="1448">
        <v>45551</v>
      </c>
      <c r="BG3" s="1448">
        <v>45580</v>
      </c>
      <c r="BH3" s="1448">
        <v>45611</v>
      </c>
      <c r="BI3" s="1448">
        <v>45642</v>
      </c>
      <c r="BJ3" s="1448">
        <v>45672</v>
      </c>
      <c r="BK3" s="1448">
        <v>45705</v>
      </c>
      <c r="BL3" s="1448">
        <v>45733</v>
      </c>
      <c r="BM3" s="1448">
        <v>45762</v>
      </c>
      <c r="BN3" s="1448">
        <v>45792</v>
      </c>
      <c r="BO3" s="1448">
        <v>45824</v>
      </c>
      <c r="BP3" s="1448">
        <v>45853</v>
      </c>
      <c r="BQ3" s="1448">
        <v>45884</v>
      </c>
      <c r="BR3" s="1448">
        <v>45915</v>
      </c>
      <c r="BS3" s="1448">
        <v>45945</v>
      </c>
      <c r="BT3" s="1448">
        <v>45978</v>
      </c>
      <c r="BU3" s="1448">
        <v>46006</v>
      </c>
      <c r="BV3" s="1448">
        <v>46037</v>
      </c>
      <c r="BW3" s="1448">
        <v>46069</v>
      </c>
      <c r="BX3" s="1448">
        <v>46097</v>
      </c>
      <c r="BY3" s="1448">
        <v>46127</v>
      </c>
      <c r="BZ3" s="1448">
        <v>46157</v>
      </c>
      <c r="CA3" s="1448">
        <v>46188</v>
      </c>
      <c r="CB3" s="1448">
        <v>46218</v>
      </c>
      <c r="CC3" s="1448">
        <v>46251</v>
      </c>
      <c r="CD3" s="1448">
        <v>46280</v>
      </c>
      <c r="CE3" s="1448">
        <v>46310</v>
      </c>
      <c r="CF3" s="1448">
        <v>46342</v>
      </c>
      <c r="CG3" s="1448">
        <v>46371</v>
      </c>
      <c r="CH3" s="1448">
        <v>46402</v>
      </c>
      <c r="CI3" s="1448">
        <v>46433</v>
      </c>
      <c r="CJ3" s="1448">
        <v>46461</v>
      </c>
      <c r="CK3" s="1448">
        <v>46492</v>
      </c>
      <c r="CL3" s="1448">
        <v>46524</v>
      </c>
      <c r="CM3" s="1448">
        <v>46553</v>
      </c>
      <c r="CN3" s="1448">
        <v>46583</v>
      </c>
      <c r="CO3" s="1448">
        <v>46615</v>
      </c>
      <c r="CP3" s="1448">
        <v>46645</v>
      </c>
      <c r="CQ3" s="1448">
        <v>46675</v>
      </c>
      <c r="CR3" s="1448">
        <v>46706</v>
      </c>
      <c r="CS3" s="1448">
        <v>46736</v>
      </c>
      <c r="CT3" s="1448">
        <v>46769</v>
      </c>
      <c r="CU3" s="1448">
        <v>46798</v>
      </c>
      <c r="CV3" s="1448">
        <v>46827</v>
      </c>
      <c r="CW3" s="1448">
        <v>46860</v>
      </c>
      <c r="CX3" s="1448">
        <v>46888</v>
      </c>
      <c r="CY3" s="1448">
        <v>46919</v>
      </c>
      <c r="CZ3" s="1448">
        <v>46951</v>
      </c>
      <c r="DA3" s="1448">
        <v>46980</v>
      </c>
      <c r="DB3" s="1448">
        <v>47011</v>
      </c>
      <c r="DC3" s="1448">
        <v>47042</v>
      </c>
      <c r="DD3" s="1448">
        <v>47072</v>
      </c>
      <c r="DE3" s="1448">
        <v>47102</v>
      </c>
      <c r="DF3" s="1448">
        <v>47133</v>
      </c>
      <c r="DG3" s="1448">
        <v>47164</v>
      </c>
      <c r="DH3" s="1448">
        <v>47192</v>
      </c>
      <c r="DI3" s="1448">
        <v>47224</v>
      </c>
      <c r="DJ3" s="1448">
        <v>47253</v>
      </c>
      <c r="DK3" s="1448">
        <v>47284</v>
      </c>
      <c r="DL3" s="1448">
        <v>47315</v>
      </c>
      <c r="DM3" s="1448">
        <v>47345</v>
      </c>
      <c r="DN3" s="1448">
        <v>47378</v>
      </c>
      <c r="DO3" s="1448">
        <v>47406</v>
      </c>
      <c r="DP3" s="1448">
        <v>47437</v>
      </c>
      <c r="DQ3" s="1448">
        <v>47469</v>
      </c>
      <c r="DR3" s="1448">
        <v>47498</v>
      </c>
      <c r="DS3" s="1448">
        <v>47529</v>
      </c>
      <c r="DT3" s="1448">
        <v>47557</v>
      </c>
      <c r="DU3" s="1448">
        <v>47588</v>
      </c>
      <c r="DV3" s="1448">
        <v>47618</v>
      </c>
      <c r="DW3" s="1448">
        <v>47651</v>
      </c>
      <c r="DX3" s="1448">
        <v>47679</v>
      </c>
      <c r="DY3" s="1448">
        <v>47710</v>
      </c>
      <c r="DZ3" s="1448">
        <v>47742</v>
      </c>
      <c r="EA3" s="1448">
        <v>47771</v>
      </c>
      <c r="EB3" s="1448">
        <v>47802</v>
      </c>
      <c r="EC3" s="1448">
        <v>47833</v>
      </c>
      <c r="ED3" s="1448">
        <v>47863</v>
      </c>
      <c r="EE3" s="1448">
        <v>47896</v>
      </c>
      <c r="EF3" s="1448">
        <v>47924</v>
      </c>
      <c r="EG3" s="1448">
        <v>47953</v>
      </c>
      <c r="EH3" s="1448">
        <v>47983</v>
      </c>
      <c r="EI3" s="1448">
        <v>48015</v>
      </c>
      <c r="EJ3" s="1448">
        <v>48044</v>
      </c>
      <c r="EK3" s="1448">
        <v>48075</v>
      </c>
      <c r="EL3" s="1448">
        <v>48106</v>
      </c>
      <c r="EM3" s="1448">
        <v>48136</v>
      </c>
    </row>
    <row r="4" spans="1:156" ht="13">
      <c r="L4" s="464">
        <v>43251</v>
      </c>
      <c r="M4" s="408">
        <v>2.02779018683127E-2</v>
      </c>
      <c r="N4" s="359">
        <f t="shared" ref="N4:N18" si="0">EOMONTH(L4,0)</f>
        <v>43251</v>
      </c>
      <c r="O4" s="229"/>
      <c r="P4" s="229"/>
      <c r="S4" s="1447" t="s">
        <v>2291</v>
      </c>
      <c r="T4" s="359">
        <f>EOMONTH(T3,0)</f>
        <v>44408</v>
      </c>
      <c r="U4" s="359">
        <f t="shared" ref="U4:CF4" si="1">EOMONTH(U3,0)</f>
        <v>44439</v>
      </c>
      <c r="V4" s="359">
        <f t="shared" si="1"/>
        <v>44469</v>
      </c>
      <c r="W4" s="359">
        <f t="shared" si="1"/>
        <v>44500</v>
      </c>
      <c r="X4" s="359">
        <f t="shared" si="1"/>
        <v>44530</v>
      </c>
      <c r="Y4" s="359">
        <f t="shared" si="1"/>
        <v>44561</v>
      </c>
      <c r="Z4" s="359">
        <f t="shared" si="1"/>
        <v>44592</v>
      </c>
      <c r="AA4" s="359">
        <f t="shared" si="1"/>
        <v>44620</v>
      </c>
      <c r="AB4" s="359">
        <f t="shared" si="1"/>
        <v>44651</v>
      </c>
      <c r="AC4" s="359">
        <f t="shared" si="1"/>
        <v>44681</v>
      </c>
      <c r="AD4" s="359">
        <f t="shared" si="1"/>
        <v>44712</v>
      </c>
      <c r="AE4" s="359">
        <f t="shared" si="1"/>
        <v>44742</v>
      </c>
      <c r="AF4" s="359">
        <f t="shared" si="1"/>
        <v>44773</v>
      </c>
      <c r="AG4" s="359">
        <f t="shared" si="1"/>
        <v>44804</v>
      </c>
      <c r="AH4" s="359">
        <f t="shared" si="1"/>
        <v>44834</v>
      </c>
      <c r="AI4" s="359">
        <f t="shared" si="1"/>
        <v>44865</v>
      </c>
      <c r="AJ4" s="359">
        <f t="shared" si="1"/>
        <v>44895</v>
      </c>
      <c r="AK4" s="359">
        <f t="shared" si="1"/>
        <v>44926</v>
      </c>
      <c r="AL4" s="359">
        <f t="shared" si="1"/>
        <v>44957</v>
      </c>
      <c r="AM4" s="359">
        <f t="shared" si="1"/>
        <v>44985</v>
      </c>
      <c r="AN4" s="359">
        <f t="shared" si="1"/>
        <v>45016</v>
      </c>
      <c r="AO4" s="359">
        <f t="shared" si="1"/>
        <v>45046</v>
      </c>
      <c r="AP4" s="359">
        <f t="shared" si="1"/>
        <v>45077</v>
      </c>
      <c r="AQ4" s="359">
        <f t="shared" si="1"/>
        <v>45107</v>
      </c>
      <c r="AR4" s="359">
        <f t="shared" si="1"/>
        <v>45138</v>
      </c>
      <c r="AS4" s="359">
        <f t="shared" si="1"/>
        <v>45169</v>
      </c>
      <c r="AT4" s="359">
        <f t="shared" si="1"/>
        <v>45199</v>
      </c>
      <c r="AU4" s="359">
        <f t="shared" si="1"/>
        <v>45230</v>
      </c>
      <c r="AV4" s="359">
        <f t="shared" si="1"/>
        <v>45260</v>
      </c>
      <c r="AW4" s="359">
        <f t="shared" si="1"/>
        <v>45291</v>
      </c>
      <c r="AX4" s="359">
        <f t="shared" si="1"/>
        <v>45322</v>
      </c>
      <c r="AY4" s="359">
        <f t="shared" si="1"/>
        <v>45351</v>
      </c>
      <c r="AZ4" s="359">
        <f t="shared" si="1"/>
        <v>45382</v>
      </c>
      <c r="BA4" s="359">
        <f t="shared" si="1"/>
        <v>45412</v>
      </c>
      <c r="BB4" s="359">
        <f t="shared" si="1"/>
        <v>45443</v>
      </c>
      <c r="BC4" s="359">
        <f t="shared" si="1"/>
        <v>45473</v>
      </c>
      <c r="BD4" s="359">
        <f t="shared" si="1"/>
        <v>45504</v>
      </c>
      <c r="BE4" s="359">
        <f t="shared" si="1"/>
        <v>45535</v>
      </c>
      <c r="BF4" s="359">
        <f t="shared" si="1"/>
        <v>45565</v>
      </c>
      <c r="BG4" s="359">
        <f t="shared" si="1"/>
        <v>45596</v>
      </c>
      <c r="BH4" s="359">
        <f t="shared" si="1"/>
        <v>45626</v>
      </c>
      <c r="BI4" s="359">
        <f t="shared" si="1"/>
        <v>45657</v>
      </c>
      <c r="BJ4" s="359">
        <f t="shared" si="1"/>
        <v>45688</v>
      </c>
      <c r="BK4" s="359">
        <f t="shared" si="1"/>
        <v>45716</v>
      </c>
      <c r="BL4" s="359">
        <f t="shared" si="1"/>
        <v>45747</v>
      </c>
      <c r="BM4" s="359">
        <f t="shared" si="1"/>
        <v>45777</v>
      </c>
      <c r="BN4" s="359">
        <f t="shared" si="1"/>
        <v>45808</v>
      </c>
      <c r="BO4" s="359">
        <f t="shared" si="1"/>
        <v>45838</v>
      </c>
      <c r="BP4" s="359">
        <f t="shared" si="1"/>
        <v>45869</v>
      </c>
      <c r="BQ4" s="359">
        <f t="shared" si="1"/>
        <v>45900</v>
      </c>
      <c r="BR4" s="359">
        <f t="shared" si="1"/>
        <v>45930</v>
      </c>
      <c r="BS4" s="359">
        <f t="shared" si="1"/>
        <v>45961</v>
      </c>
      <c r="BT4" s="359">
        <f t="shared" si="1"/>
        <v>45991</v>
      </c>
      <c r="BU4" s="359">
        <f t="shared" si="1"/>
        <v>46022</v>
      </c>
      <c r="BV4" s="359">
        <f t="shared" si="1"/>
        <v>46053</v>
      </c>
      <c r="BW4" s="359">
        <f t="shared" si="1"/>
        <v>46081</v>
      </c>
      <c r="BX4" s="359">
        <f t="shared" si="1"/>
        <v>46112</v>
      </c>
      <c r="BY4" s="359">
        <f t="shared" si="1"/>
        <v>46142</v>
      </c>
      <c r="BZ4" s="359">
        <f t="shared" si="1"/>
        <v>46173</v>
      </c>
      <c r="CA4" s="359">
        <f t="shared" si="1"/>
        <v>46203</v>
      </c>
      <c r="CB4" s="359">
        <f t="shared" si="1"/>
        <v>46234</v>
      </c>
      <c r="CC4" s="359">
        <f t="shared" si="1"/>
        <v>46265</v>
      </c>
      <c r="CD4" s="359">
        <f t="shared" si="1"/>
        <v>46295</v>
      </c>
      <c r="CE4" s="359">
        <f t="shared" si="1"/>
        <v>46326</v>
      </c>
      <c r="CF4" s="359">
        <f t="shared" si="1"/>
        <v>46356</v>
      </c>
      <c r="CG4" s="359">
        <f t="shared" ref="CG4:EM4" si="2">EOMONTH(CG3,0)</f>
        <v>46387</v>
      </c>
      <c r="CH4" s="359">
        <f t="shared" si="2"/>
        <v>46418</v>
      </c>
      <c r="CI4" s="359">
        <f t="shared" si="2"/>
        <v>46446</v>
      </c>
      <c r="CJ4" s="359">
        <f t="shared" si="2"/>
        <v>46477</v>
      </c>
      <c r="CK4" s="359">
        <f t="shared" si="2"/>
        <v>46507</v>
      </c>
      <c r="CL4" s="359">
        <f t="shared" si="2"/>
        <v>46538</v>
      </c>
      <c r="CM4" s="359">
        <f t="shared" si="2"/>
        <v>46568</v>
      </c>
      <c r="CN4" s="359">
        <f t="shared" si="2"/>
        <v>46599</v>
      </c>
      <c r="CO4" s="359">
        <f t="shared" si="2"/>
        <v>46630</v>
      </c>
      <c r="CP4" s="359">
        <f t="shared" si="2"/>
        <v>46660</v>
      </c>
      <c r="CQ4" s="359">
        <f t="shared" si="2"/>
        <v>46691</v>
      </c>
      <c r="CR4" s="359">
        <f t="shared" si="2"/>
        <v>46721</v>
      </c>
      <c r="CS4" s="359">
        <f t="shared" si="2"/>
        <v>46752</v>
      </c>
      <c r="CT4" s="359">
        <f t="shared" si="2"/>
        <v>46783</v>
      </c>
      <c r="CU4" s="359">
        <f t="shared" si="2"/>
        <v>46812</v>
      </c>
      <c r="CV4" s="359">
        <f t="shared" si="2"/>
        <v>46843</v>
      </c>
      <c r="CW4" s="359">
        <f t="shared" si="2"/>
        <v>46873</v>
      </c>
      <c r="CX4" s="359">
        <f t="shared" si="2"/>
        <v>46904</v>
      </c>
      <c r="CY4" s="359">
        <f t="shared" si="2"/>
        <v>46934</v>
      </c>
      <c r="CZ4" s="359">
        <f t="shared" si="2"/>
        <v>46965</v>
      </c>
      <c r="DA4" s="359">
        <f t="shared" si="2"/>
        <v>46996</v>
      </c>
      <c r="DB4" s="359">
        <f t="shared" si="2"/>
        <v>47026</v>
      </c>
      <c r="DC4" s="359">
        <f t="shared" si="2"/>
        <v>47057</v>
      </c>
      <c r="DD4" s="359">
        <f t="shared" si="2"/>
        <v>47087</v>
      </c>
      <c r="DE4" s="359">
        <f t="shared" si="2"/>
        <v>47118</v>
      </c>
      <c r="DF4" s="359">
        <f t="shared" si="2"/>
        <v>47149</v>
      </c>
      <c r="DG4" s="359">
        <f t="shared" si="2"/>
        <v>47177</v>
      </c>
      <c r="DH4" s="359">
        <f t="shared" si="2"/>
        <v>47208</v>
      </c>
      <c r="DI4" s="359">
        <f t="shared" si="2"/>
        <v>47238</v>
      </c>
      <c r="DJ4" s="359">
        <f t="shared" si="2"/>
        <v>47269</v>
      </c>
      <c r="DK4" s="359">
        <f t="shared" si="2"/>
        <v>47299</v>
      </c>
      <c r="DL4" s="359">
        <f t="shared" si="2"/>
        <v>47330</v>
      </c>
      <c r="DM4" s="359">
        <f t="shared" si="2"/>
        <v>47361</v>
      </c>
      <c r="DN4" s="359">
        <f t="shared" si="2"/>
        <v>47391</v>
      </c>
      <c r="DO4" s="359">
        <f t="shared" si="2"/>
        <v>47422</v>
      </c>
      <c r="DP4" s="359">
        <f t="shared" si="2"/>
        <v>47452</v>
      </c>
      <c r="DQ4" s="359">
        <f t="shared" si="2"/>
        <v>47483</v>
      </c>
      <c r="DR4" s="359">
        <f t="shared" si="2"/>
        <v>47514</v>
      </c>
      <c r="DS4" s="359">
        <f t="shared" si="2"/>
        <v>47542</v>
      </c>
      <c r="DT4" s="359">
        <f t="shared" si="2"/>
        <v>47573</v>
      </c>
      <c r="DU4" s="359">
        <f t="shared" si="2"/>
        <v>47603</v>
      </c>
      <c r="DV4" s="359">
        <f t="shared" si="2"/>
        <v>47634</v>
      </c>
      <c r="DW4" s="359">
        <f t="shared" si="2"/>
        <v>47664</v>
      </c>
      <c r="DX4" s="359">
        <f t="shared" si="2"/>
        <v>47695</v>
      </c>
      <c r="DY4" s="359">
        <f t="shared" si="2"/>
        <v>47726</v>
      </c>
      <c r="DZ4" s="359">
        <f t="shared" si="2"/>
        <v>47756</v>
      </c>
      <c r="EA4" s="359">
        <f t="shared" si="2"/>
        <v>47787</v>
      </c>
      <c r="EB4" s="359">
        <f t="shared" si="2"/>
        <v>47817</v>
      </c>
      <c r="EC4" s="359">
        <f t="shared" si="2"/>
        <v>47848</v>
      </c>
      <c r="ED4" s="359">
        <f t="shared" si="2"/>
        <v>47879</v>
      </c>
      <c r="EE4" s="359">
        <f t="shared" si="2"/>
        <v>47907</v>
      </c>
      <c r="EF4" s="359">
        <f t="shared" si="2"/>
        <v>47938</v>
      </c>
      <c r="EG4" s="359">
        <f t="shared" si="2"/>
        <v>47968</v>
      </c>
      <c r="EH4" s="359">
        <f t="shared" si="2"/>
        <v>47999</v>
      </c>
      <c r="EI4" s="359">
        <f t="shared" si="2"/>
        <v>48029</v>
      </c>
      <c r="EJ4" s="359">
        <f t="shared" si="2"/>
        <v>48060</v>
      </c>
      <c r="EK4" s="359">
        <f t="shared" si="2"/>
        <v>48091</v>
      </c>
      <c r="EL4" s="359">
        <f t="shared" si="2"/>
        <v>48121</v>
      </c>
      <c r="EM4" s="359">
        <f t="shared" si="2"/>
        <v>48152</v>
      </c>
    </row>
    <row r="5" spans="1:156">
      <c r="A5" s="224">
        <v>7</v>
      </c>
      <c r="L5" s="464">
        <v>43270</v>
      </c>
      <c r="M5" s="408">
        <v>2.0878799999999999E-2</v>
      </c>
      <c r="N5" s="359">
        <f t="shared" si="0"/>
        <v>43281</v>
      </c>
      <c r="O5" s="229"/>
      <c r="P5" s="229"/>
      <c r="S5" s="1449" t="s">
        <v>81</v>
      </c>
      <c r="T5" s="1450">
        <v>9.2400000000000002E-4</v>
      </c>
      <c r="U5" s="1450">
        <v>9.5600000000000004E-4</v>
      </c>
      <c r="V5" s="1450">
        <v>9.6500000000000004E-4</v>
      </c>
      <c r="W5" s="1450">
        <v>9.0249999999999998E-4</v>
      </c>
      <c r="X5" s="1450">
        <v>9.8879999999999997E-4</v>
      </c>
      <c r="Y5" s="1450">
        <v>1.0658E-3</v>
      </c>
      <c r="Z5" s="1450">
        <v>1.1402000000000001E-3</v>
      </c>
      <c r="AA5" s="1450">
        <v>1.2133000000000001E-3</v>
      </c>
      <c r="AB5" s="1450">
        <v>1.2846000000000001E-3</v>
      </c>
      <c r="AC5" s="1450">
        <v>1.3839E-3</v>
      </c>
      <c r="AD5" s="1450">
        <v>1.5901000000000001E-3</v>
      </c>
      <c r="AE5" s="1450">
        <v>1.8730000000000001E-3</v>
      </c>
      <c r="AF5" s="1450">
        <v>2.2566000000000001E-3</v>
      </c>
      <c r="AG5" s="1450">
        <v>2.7160999999999999E-3</v>
      </c>
      <c r="AH5" s="1450">
        <v>3.2206000000000001E-3</v>
      </c>
      <c r="AI5" s="1450">
        <v>3.7682000000000002E-3</v>
      </c>
      <c r="AJ5" s="1608">
        <v>3.90987E-2</v>
      </c>
      <c r="AK5" s="1608">
        <v>4.44781E-2</v>
      </c>
      <c r="AL5" s="1608">
        <v>4.8152599999999997E-2</v>
      </c>
      <c r="AM5" s="1608">
        <v>5.02318E-2</v>
      </c>
      <c r="AN5" s="1608">
        <v>5.0998799999999997E-2</v>
      </c>
      <c r="AO5" s="1608">
        <v>5.1074399999999999E-2</v>
      </c>
      <c r="AP5" s="1608">
        <v>5.08242E-2</v>
      </c>
      <c r="AQ5" s="1608">
        <v>5.02967E-2</v>
      </c>
      <c r="AR5" s="1608">
        <v>4.9586600000000002E-2</v>
      </c>
      <c r="AS5" s="1608">
        <v>4.8841200000000001E-2</v>
      </c>
      <c r="AT5" s="1608">
        <v>4.7955400000000002E-2</v>
      </c>
      <c r="AU5" s="1608">
        <v>4.7155799999999998E-2</v>
      </c>
      <c r="AV5" s="1608">
        <v>4.6134599999999998E-2</v>
      </c>
      <c r="AW5" s="1608">
        <v>4.50652E-2</v>
      </c>
      <c r="AX5" s="1608">
        <v>4.4078199999999998E-2</v>
      </c>
      <c r="AY5" s="1608">
        <v>4.2911199999999997E-2</v>
      </c>
      <c r="AZ5" s="1608">
        <v>4.1686899999999999E-2</v>
      </c>
      <c r="BA5" s="1608">
        <v>4.05943E-2</v>
      </c>
      <c r="BB5" s="1608">
        <v>3.9406200000000002E-2</v>
      </c>
      <c r="BC5" s="1608">
        <v>3.83253E-2</v>
      </c>
      <c r="BD5" s="1608">
        <v>3.7435400000000001E-2</v>
      </c>
      <c r="BE5" s="1608">
        <v>3.6636299999999997E-2</v>
      </c>
      <c r="BF5" s="1608">
        <v>3.6059899999999999E-2</v>
      </c>
      <c r="BG5" s="1608">
        <v>3.5537199999999998E-2</v>
      </c>
      <c r="BH5" s="1608">
        <v>3.5163899999999998E-2</v>
      </c>
      <c r="BI5" s="1608">
        <v>3.4929399999999999E-2</v>
      </c>
      <c r="BJ5" s="1608">
        <v>3.4659599999999999E-2</v>
      </c>
      <c r="BK5" s="1608">
        <v>3.4436300000000003E-2</v>
      </c>
      <c r="BL5" s="1608">
        <v>3.4244200000000002E-2</v>
      </c>
      <c r="BM5" s="1608">
        <v>3.40349E-2</v>
      </c>
      <c r="BN5" s="1608">
        <v>3.3835299999999999E-2</v>
      </c>
      <c r="BO5" s="1608">
        <v>3.3660700000000002E-2</v>
      </c>
      <c r="BP5" s="1608">
        <v>3.3436599999999997E-2</v>
      </c>
      <c r="BQ5" s="1608">
        <v>3.3233100000000002E-2</v>
      </c>
      <c r="BR5" s="1608">
        <v>3.3073999999999999E-2</v>
      </c>
      <c r="BS5" s="1608">
        <v>3.2877499999999997E-2</v>
      </c>
      <c r="BT5" s="1608">
        <v>3.2710000000000003E-2</v>
      </c>
      <c r="BU5" s="1608">
        <v>3.25854E-2</v>
      </c>
      <c r="BV5" s="1608">
        <v>3.24447E-2</v>
      </c>
      <c r="BW5" s="1608">
        <v>3.2349000000000003E-2</v>
      </c>
      <c r="BX5" s="1608">
        <v>3.2280299999999998E-2</v>
      </c>
      <c r="BY5" s="1608">
        <v>3.2198200000000003E-2</v>
      </c>
      <c r="BZ5" s="1608">
        <v>3.2153300000000003E-2</v>
      </c>
      <c r="CA5" s="1608">
        <v>3.2140799999999997E-2</v>
      </c>
      <c r="CB5" s="1608">
        <v>3.2116800000000001E-2</v>
      </c>
      <c r="CC5" s="1608">
        <v>3.2124899999999998E-2</v>
      </c>
      <c r="CD5" s="1608">
        <v>3.2156799999999999E-2</v>
      </c>
      <c r="CE5" s="1608">
        <v>3.2176099999999999E-2</v>
      </c>
      <c r="CF5" s="1608">
        <v>3.22162E-2</v>
      </c>
      <c r="CG5" s="1608">
        <v>3.2280999999999997E-2</v>
      </c>
      <c r="CH5" s="1608">
        <v>3.2321700000000002E-2</v>
      </c>
      <c r="CI5" s="1608">
        <v>3.2369599999999998E-2</v>
      </c>
      <c r="CJ5" s="1608">
        <v>3.2431799999999997E-2</v>
      </c>
      <c r="CK5" s="1608">
        <v>3.2464E-2</v>
      </c>
      <c r="CL5" s="1608">
        <v>3.2507300000000003E-2</v>
      </c>
      <c r="CM5" s="1608">
        <v>3.2555800000000003E-2</v>
      </c>
      <c r="CN5" s="1608">
        <v>3.2577000000000002E-2</v>
      </c>
      <c r="CO5" s="1608">
        <v>3.2608400000000003E-2</v>
      </c>
      <c r="CP5" s="1608">
        <v>3.2653399999999999E-2</v>
      </c>
      <c r="CQ5" s="1608">
        <v>3.2668099999999999E-2</v>
      </c>
      <c r="CR5" s="1608">
        <v>3.26918E-2</v>
      </c>
      <c r="CS5" s="1608">
        <v>3.2729800000000003E-2</v>
      </c>
      <c r="CT5" s="1608">
        <v>3.2742300000000002E-2</v>
      </c>
      <c r="CU5" s="1608">
        <v>3.2769300000000001E-2</v>
      </c>
      <c r="CV5" s="1608">
        <v>3.2809699999999997E-2</v>
      </c>
      <c r="CW5" s="1608">
        <v>3.2825500000000001E-2</v>
      </c>
      <c r="CX5" s="1608">
        <v>3.2857699999999997E-2</v>
      </c>
      <c r="CY5" s="1608">
        <v>3.2901E-2</v>
      </c>
      <c r="CZ5" s="1608">
        <v>3.29184E-2</v>
      </c>
      <c r="DA5" s="1608">
        <v>3.2949600000000002E-2</v>
      </c>
      <c r="DB5" s="1608">
        <v>3.2996900000000003E-2</v>
      </c>
      <c r="DC5" s="1608">
        <v>3.3015999999999997E-2</v>
      </c>
      <c r="DD5" s="1608">
        <v>3.3055500000000002E-2</v>
      </c>
      <c r="DE5" s="1608">
        <v>3.31054E-2</v>
      </c>
      <c r="DF5" s="1608">
        <v>3.3126900000000001E-2</v>
      </c>
      <c r="DG5" s="1608">
        <v>3.3164800000000001E-2</v>
      </c>
      <c r="DH5" s="1608">
        <v>3.32094E-2</v>
      </c>
      <c r="DI5" s="1608">
        <v>3.3226400000000003E-2</v>
      </c>
      <c r="DJ5" s="1608">
        <v>3.3257399999999999E-2</v>
      </c>
      <c r="DK5" s="1608">
        <v>3.3295600000000002E-2</v>
      </c>
      <c r="DL5" s="1608">
        <v>3.3304100000000003E-2</v>
      </c>
      <c r="DM5" s="1608">
        <v>3.3325800000000003E-2</v>
      </c>
      <c r="DN5" s="1608">
        <v>3.3354300000000003E-2</v>
      </c>
      <c r="DO5" s="1608">
        <v>3.3355000000000003E-2</v>
      </c>
      <c r="DP5" s="1608">
        <v>3.3371600000000001E-2</v>
      </c>
      <c r="DQ5" s="1608">
        <v>3.3404400000000001E-2</v>
      </c>
      <c r="DR5" s="1608">
        <v>3.3418200000000002E-2</v>
      </c>
      <c r="DS5" s="1608">
        <v>3.3460200000000002E-2</v>
      </c>
      <c r="DT5" s="1608">
        <v>3.3514200000000001E-2</v>
      </c>
      <c r="DU5" s="1608">
        <v>3.3547899999999999E-2</v>
      </c>
      <c r="DV5" s="1608">
        <v>3.3609399999999998E-2</v>
      </c>
      <c r="DW5" s="1608">
        <v>3.36908E-2</v>
      </c>
      <c r="DX5" s="1608">
        <v>3.3746400000000003E-2</v>
      </c>
      <c r="DY5" s="1608">
        <v>3.3830199999999998E-2</v>
      </c>
      <c r="DZ5" s="1608">
        <v>3.3926199999999997E-2</v>
      </c>
      <c r="EA5" s="1608">
        <v>3.4008200000000002E-2</v>
      </c>
      <c r="EB5" s="1608">
        <v>3.41102E-2</v>
      </c>
      <c r="EC5" s="1608">
        <v>3.4208000000000002E-2</v>
      </c>
      <c r="ED5" s="1608">
        <v>3.4296599999999997E-2</v>
      </c>
      <c r="EE5" s="1608">
        <v>3.43983E-2</v>
      </c>
      <c r="EF5" s="1608">
        <v>3.45028E-2</v>
      </c>
      <c r="EG5" s="1608">
        <v>3.4578100000000001E-2</v>
      </c>
      <c r="EH5" s="1608">
        <v>3.46751E-2</v>
      </c>
      <c r="EI5" s="1608">
        <v>3.4777599999999999E-2</v>
      </c>
      <c r="EJ5" s="1608">
        <v>3.4863199999999997E-2</v>
      </c>
      <c r="EK5" s="1608">
        <v>3.4965499999999997E-2</v>
      </c>
      <c r="EL5" s="1608">
        <v>3.50648E-2</v>
      </c>
      <c r="EM5" s="1608">
        <v>3.5149800000000002E-2</v>
      </c>
      <c r="EN5" s="1608">
        <v>3.5250799999999999E-2</v>
      </c>
      <c r="EO5" s="1608">
        <v>3.5354099999999999E-2</v>
      </c>
      <c r="EP5" s="1608">
        <v>3.5439999999999999E-2</v>
      </c>
      <c r="EQ5" s="1608">
        <v>3.5530800000000001E-2</v>
      </c>
      <c r="ER5" s="1608">
        <v>3.5640199999999997E-2</v>
      </c>
      <c r="ES5" s="1608">
        <v>3.5718300000000001E-2</v>
      </c>
      <c r="ET5" s="1608">
        <v>3.5806699999999997E-2</v>
      </c>
      <c r="EU5" s="1608">
        <v>3.5896999999999998E-2</v>
      </c>
      <c r="EV5" s="1608">
        <v>3.5961100000000003E-2</v>
      </c>
      <c r="EW5" s="1608">
        <v>3.6031599999999997E-2</v>
      </c>
      <c r="EX5" s="1608">
        <v>3.6118600000000001E-2</v>
      </c>
      <c r="EY5" s="1608">
        <v>3.6173400000000001E-2</v>
      </c>
      <c r="EZ5" s="1608">
        <v>3.62303E-2</v>
      </c>
    </row>
    <row r="6" spans="1:156" ht="13">
      <c r="L6" s="464">
        <v>43300</v>
      </c>
      <c r="M6" s="408">
        <v>2.0964679095913302E-2</v>
      </c>
      <c r="N6" s="359">
        <f t="shared" si="0"/>
        <v>43312</v>
      </c>
      <c r="O6" s="229"/>
      <c r="P6" s="229"/>
    </row>
    <row r="7" spans="1:156" ht="15" customHeight="1">
      <c r="A7" s="230" t="s">
        <v>140</v>
      </c>
      <c r="B7" s="231"/>
      <c r="C7" s="232"/>
      <c r="J7" s="224" t="s">
        <v>141</v>
      </c>
      <c r="L7" s="464">
        <v>43329</v>
      </c>
      <c r="M7" s="408">
        <v>2.1362736865347998E-2</v>
      </c>
      <c r="N7" s="359">
        <f t="shared" si="0"/>
        <v>43343</v>
      </c>
      <c r="O7" s="229"/>
      <c r="P7" s="229"/>
    </row>
    <row r="8" spans="1:156" ht="13">
      <c r="A8" s="233">
        <v>42989</v>
      </c>
      <c r="C8" s="234"/>
      <c r="L8" s="464">
        <v>43362</v>
      </c>
      <c r="M8" s="408">
        <v>2.2173289783933299E-2</v>
      </c>
      <c r="N8" s="359">
        <f t="shared" si="0"/>
        <v>43373</v>
      </c>
      <c r="O8" s="229"/>
      <c r="P8" s="229"/>
    </row>
    <row r="9" spans="1:156" ht="13">
      <c r="L9" s="464">
        <v>43391</v>
      </c>
      <c r="M9" s="408">
        <v>2.3061997608283001E-2</v>
      </c>
      <c r="N9" s="359">
        <f t="shared" si="0"/>
        <v>43404</v>
      </c>
      <c r="O9" s="229"/>
      <c r="P9" s="229"/>
    </row>
    <row r="10" spans="1:156" ht="12.75" customHeight="1">
      <c r="A10" s="1639" t="s">
        <v>142</v>
      </c>
      <c r="B10" s="1639"/>
      <c r="C10" s="1639"/>
      <c r="D10" s="1639"/>
      <c r="E10" s="1639"/>
      <c r="F10" s="1639"/>
      <c r="G10" s="1639"/>
      <c r="H10" s="1639"/>
      <c r="I10" s="1639"/>
      <c r="J10" s="235"/>
      <c r="K10" s="235"/>
      <c r="L10" s="464">
        <v>43423</v>
      </c>
      <c r="M10" s="408">
        <v>2.3797887774857199E-2</v>
      </c>
      <c r="N10" s="359">
        <f t="shared" si="0"/>
        <v>43434</v>
      </c>
      <c r="O10" s="229"/>
      <c r="P10" s="229"/>
    </row>
    <row r="11" spans="1:156" ht="13">
      <c r="A11" s="1640" t="s">
        <v>143</v>
      </c>
      <c r="B11" s="1640"/>
      <c r="C11" s="1640"/>
      <c r="D11" s="1640"/>
      <c r="E11" s="1640"/>
      <c r="F11" s="1640"/>
      <c r="G11" s="1640"/>
      <c r="H11" s="1640"/>
      <c r="I11" s="1640"/>
      <c r="L11" s="464">
        <v>43453</v>
      </c>
      <c r="M11" s="408">
        <v>2.4381140155075299E-2</v>
      </c>
      <c r="N11" s="359">
        <f t="shared" si="0"/>
        <v>43465</v>
      </c>
      <c r="O11" s="229"/>
      <c r="P11" s="229"/>
    </row>
    <row r="12" spans="1:156" ht="13">
      <c r="L12" s="464">
        <v>43482</v>
      </c>
      <c r="M12" s="408">
        <v>2.49276744061948E-2</v>
      </c>
      <c r="N12" s="359">
        <f t="shared" si="0"/>
        <v>43496</v>
      </c>
      <c r="O12" s="229"/>
      <c r="P12" s="229"/>
    </row>
    <row r="13" spans="1:156" ht="13">
      <c r="L13" s="464">
        <v>43515</v>
      </c>
      <c r="M13" s="408">
        <v>2.5399075799926299E-2</v>
      </c>
      <c r="N13" s="359">
        <f t="shared" si="0"/>
        <v>43524</v>
      </c>
      <c r="O13" s="229"/>
      <c r="P13" s="229"/>
    </row>
    <row r="14" spans="1:156" ht="13">
      <c r="L14" s="464">
        <v>43543</v>
      </c>
      <c r="M14" s="408">
        <v>2.58906754648245E-2</v>
      </c>
      <c r="N14" s="359">
        <f t="shared" si="0"/>
        <v>43555</v>
      </c>
      <c r="O14" s="229"/>
      <c r="P14" s="229"/>
    </row>
    <row r="15" spans="1:156" ht="13">
      <c r="L15" s="464">
        <v>43572</v>
      </c>
      <c r="M15" s="408">
        <v>2.6352311637041301E-2</v>
      </c>
      <c r="N15" s="359">
        <f t="shared" si="0"/>
        <v>43585</v>
      </c>
      <c r="O15" s="229"/>
      <c r="P15" s="229"/>
    </row>
    <row r="16" spans="1:156" ht="13">
      <c r="L16" s="464">
        <v>43607</v>
      </c>
      <c r="M16" s="408">
        <v>2.4416500000000001E-2</v>
      </c>
      <c r="N16" s="359">
        <f t="shared" si="0"/>
        <v>43616</v>
      </c>
      <c r="O16" s="229"/>
      <c r="P16" s="229"/>
    </row>
    <row r="17" spans="12:16" ht="13">
      <c r="L17" s="464">
        <v>43640</v>
      </c>
      <c r="M17" s="408">
        <v>2.4323299999999999E-2</v>
      </c>
      <c r="N17" s="359">
        <f t="shared" si="0"/>
        <v>43646</v>
      </c>
      <c r="O17" s="229"/>
      <c r="P17" s="229"/>
    </row>
    <row r="18" spans="12:16" ht="13">
      <c r="L18" s="464">
        <v>43668</v>
      </c>
      <c r="M18" s="408">
        <v>2.4096900000000001E-2</v>
      </c>
      <c r="N18" s="359">
        <f t="shared" si="0"/>
        <v>43677</v>
      </c>
      <c r="O18" s="229"/>
      <c r="P18" s="229"/>
    </row>
    <row r="19" spans="12:16" ht="13">
      <c r="L19" s="464">
        <v>43704</v>
      </c>
      <c r="M19" s="408">
        <v>2.1452499999999999E-2</v>
      </c>
      <c r="N19" s="359">
        <v>43708</v>
      </c>
      <c r="O19" s="933" t="s">
        <v>603</v>
      </c>
      <c r="P19" s="229"/>
    </row>
    <row r="20" spans="12:16" ht="13">
      <c r="L20" s="464">
        <v>43733</v>
      </c>
      <c r="M20" s="408">
        <v>2.0299999999999999E-2</v>
      </c>
      <c r="N20" s="359">
        <v>43738</v>
      </c>
      <c r="O20" s="933" t="s">
        <v>712</v>
      </c>
      <c r="P20" s="229"/>
    </row>
    <row r="21" spans="12:16" ht="13">
      <c r="L21" s="464">
        <v>43763</v>
      </c>
      <c r="M21" s="408">
        <v>1.8200000000000001E-2</v>
      </c>
      <c r="N21" s="359">
        <v>43769</v>
      </c>
      <c r="O21" s="933" t="s">
        <v>739</v>
      </c>
      <c r="P21" s="229"/>
    </row>
    <row r="22" spans="12:16" ht="13">
      <c r="L22" s="464">
        <v>43798</v>
      </c>
      <c r="M22" s="408">
        <v>1.7000000000000001E-2</v>
      </c>
      <c r="N22" s="359">
        <v>43799</v>
      </c>
      <c r="O22" s="933" t="s">
        <v>741</v>
      </c>
      <c r="P22" s="229"/>
    </row>
    <row r="23" spans="12:16" ht="13">
      <c r="L23" s="464">
        <v>43817</v>
      </c>
      <c r="M23" s="408">
        <v>1.7399999999999999E-2</v>
      </c>
      <c r="N23" s="359">
        <v>43830</v>
      </c>
      <c r="O23" s="933" t="s">
        <v>748</v>
      </c>
      <c r="P23" s="229"/>
    </row>
    <row r="24" spans="12:16" ht="13">
      <c r="L24" s="464">
        <v>43838</v>
      </c>
      <c r="M24" s="408">
        <v>1.7131500000000001E-2</v>
      </c>
      <c r="N24" s="359">
        <v>43861</v>
      </c>
      <c r="O24" s="933" t="s">
        <v>992</v>
      </c>
      <c r="P24" s="229"/>
    </row>
    <row r="25" spans="12:16" ht="13">
      <c r="L25" s="464">
        <v>43866</v>
      </c>
      <c r="M25" s="408">
        <v>1.6607299999999998E-2</v>
      </c>
      <c r="N25" s="359">
        <v>43890</v>
      </c>
      <c r="O25" s="933" t="s">
        <v>993</v>
      </c>
      <c r="P25" s="229"/>
    </row>
    <row r="26" spans="12:16" ht="13">
      <c r="L26" s="464">
        <v>43894</v>
      </c>
      <c r="M26" s="408">
        <v>1.50869E-2</v>
      </c>
      <c r="N26" s="359">
        <v>43921</v>
      </c>
      <c r="O26" s="933" t="s">
        <v>994</v>
      </c>
      <c r="P26" s="229"/>
    </row>
    <row r="27" spans="12:16" ht="13">
      <c r="L27" s="464">
        <v>43937</v>
      </c>
      <c r="M27" s="408">
        <v>8.0453E-3</v>
      </c>
      <c r="N27" s="359">
        <v>43951</v>
      </c>
      <c r="O27" s="934" t="s">
        <v>995</v>
      </c>
      <c r="P27" s="229"/>
    </row>
    <row r="28" spans="12:16" ht="13">
      <c r="L28" s="464">
        <v>43957</v>
      </c>
      <c r="M28" s="408">
        <v>3.0087999999999998E-3</v>
      </c>
      <c r="N28" s="359">
        <v>43982</v>
      </c>
      <c r="O28" s="934" t="s">
        <v>996</v>
      </c>
      <c r="P28" s="229"/>
    </row>
    <row r="29" spans="12:16" ht="13">
      <c r="L29" s="464">
        <v>43985</v>
      </c>
      <c r="M29" s="408">
        <v>1.8273E-3</v>
      </c>
      <c r="N29" s="359">
        <v>44012</v>
      </c>
      <c r="O29" s="934" t="s">
        <v>997</v>
      </c>
      <c r="P29" s="229"/>
    </row>
    <row r="30" spans="12:16" ht="13">
      <c r="L30" s="464">
        <v>44020</v>
      </c>
      <c r="M30" s="408">
        <v>1.6302000000000001E-3</v>
      </c>
      <c r="N30" s="359">
        <v>44043</v>
      </c>
      <c r="O30" s="934" t="s">
        <v>998</v>
      </c>
      <c r="P30" s="229"/>
    </row>
    <row r="31" spans="12:16" ht="13">
      <c r="L31" s="464">
        <v>44048</v>
      </c>
      <c r="M31" s="408">
        <v>1.5483999999999999E-3</v>
      </c>
      <c r="N31" s="359">
        <v>44074</v>
      </c>
      <c r="O31" s="934" t="s">
        <v>999</v>
      </c>
      <c r="P31" s="229"/>
    </row>
    <row r="32" spans="12:16" ht="13">
      <c r="L32" s="464">
        <v>44084</v>
      </c>
      <c r="M32" s="408">
        <v>1.5449000000000001E-3</v>
      </c>
      <c r="N32" s="359">
        <v>44104</v>
      </c>
      <c r="O32" s="934" t="s">
        <v>1000</v>
      </c>
      <c r="P32" s="229"/>
    </row>
    <row r="33" spans="12:16" ht="13">
      <c r="L33" s="464">
        <v>44111</v>
      </c>
      <c r="M33" s="408">
        <v>1.4044000000000001E-3</v>
      </c>
      <c r="N33" s="359">
        <v>44135</v>
      </c>
      <c r="O33" s="934" t="s">
        <v>1001</v>
      </c>
      <c r="P33" s="229"/>
    </row>
    <row r="34" spans="12:16" ht="13">
      <c r="L34" s="464">
        <v>44147</v>
      </c>
      <c r="M34" s="408">
        <v>1.2929E-3</v>
      </c>
      <c r="N34" s="359">
        <v>44165</v>
      </c>
      <c r="O34" s="934" t="s">
        <v>1002</v>
      </c>
      <c r="P34" s="229"/>
    </row>
    <row r="35" spans="12:16" ht="13">
      <c r="L35" s="464">
        <v>44179</v>
      </c>
      <c r="M35" s="408">
        <v>1.5277999999999999E-3</v>
      </c>
      <c r="N35" s="359">
        <v>44196</v>
      </c>
      <c r="O35" s="934"/>
      <c r="P35" s="229"/>
    </row>
    <row r="36" spans="12:16" ht="13">
      <c r="L36" s="464">
        <v>44208</v>
      </c>
      <c r="M36" s="408">
        <v>1.6647999999999999E-3</v>
      </c>
      <c r="N36" s="359">
        <v>44227</v>
      </c>
      <c r="O36" s="934"/>
      <c r="P36" s="229"/>
    </row>
    <row r="37" spans="12:16" ht="13">
      <c r="L37" s="464">
        <v>44239</v>
      </c>
      <c r="M37" s="408">
        <v>1.7277E-3</v>
      </c>
      <c r="N37" s="359">
        <v>44255</v>
      </c>
      <c r="O37" s="934"/>
      <c r="P37" s="229"/>
    </row>
    <row r="38" spans="12:16" ht="13">
      <c r="L38" s="464">
        <v>44267</v>
      </c>
      <c r="M38" s="408">
        <v>1.709E-3</v>
      </c>
      <c r="N38" s="359">
        <v>44286</v>
      </c>
      <c r="O38" s="934"/>
      <c r="P38" s="229"/>
    </row>
    <row r="39" spans="12:16" ht="13">
      <c r="L39" s="464">
        <v>44298</v>
      </c>
      <c r="M39" s="408">
        <v>1.6251E-3</v>
      </c>
      <c r="N39" s="359">
        <v>44316</v>
      </c>
      <c r="O39" s="934"/>
      <c r="P39" s="229"/>
    </row>
    <row r="40" spans="12:16" ht="13">
      <c r="L40" s="464">
        <v>44328</v>
      </c>
      <c r="M40" s="408">
        <v>1.5034E-3</v>
      </c>
      <c r="N40" s="359">
        <v>44347</v>
      </c>
      <c r="O40" s="934"/>
      <c r="P40" s="229"/>
    </row>
    <row r="41" spans="12:16" ht="13">
      <c r="L41" s="464">
        <v>44361</v>
      </c>
      <c r="M41" s="408">
        <v>1.4061E-3</v>
      </c>
      <c r="N41" s="359">
        <v>44377</v>
      </c>
      <c r="O41" s="934"/>
      <c r="P41" s="229"/>
    </row>
    <row r="42" spans="12:16" ht="13">
      <c r="L42" s="464">
        <v>44389</v>
      </c>
      <c r="M42" s="408">
        <v>1.3485000000000001E-3</v>
      </c>
      <c r="N42" s="359">
        <v>44408</v>
      </c>
      <c r="O42" s="934"/>
      <c r="P42" s="229"/>
    </row>
    <row r="43" spans="12:16" ht="13">
      <c r="L43" s="464">
        <v>44420</v>
      </c>
      <c r="M43" s="408">
        <v>1.3358000000000001E-3</v>
      </c>
      <c r="N43" s="359">
        <v>44439</v>
      </c>
      <c r="O43" s="934"/>
      <c r="P43" s="229"/>
    </row>
    <row r="44" spans="12:16" ht="13">
      <c r="L44" s="464">
        <v>44452</v>
      </c>
      <c r="M44" s="408">
        <v>1.3621E-3</v>
      </c>
      <c r="N44" s="359">
        <v>44469</v>
      </c>
      <c r="O44" s="934"/>
      <c r="P44" s="229"/>
    </row>
    <row r="45" spans="12:16" ht="13">
      <c r="L45" s="464">
        <v>44481</v>
      </c>
      <c r="M45" s="408">
        <v>1.3944999999999999E-3</v>
      </c>
      <c r="N45" s="359">
        <v>44500</v>
      </c>
      <c r="O45" s="934"/>
      <c r="P45" s="229"/>
    </row>
    <row r="46" spans="12:16" ht="13">
      <c r="L46" s="464">
        <v>44512</v>
      </c>
      <c r="M46" s="408">
        <v>1.4476999999999999E-3</v>
      </c>
      <c r="N46" s="359">
        <v>44530</v>
      </c>
      <c r="O46" s="934"/>
      <c r="P46" s="229"/>
    </row>
    <row r="47" spans="12:16" ht="13">
      <c r="L47" s="464">
        <v>44543</v>
      </c>
      <c r="M47" s="408">
        <v>1.5070999999999999E-3</v>
      </c>
      <c r="N47" s="359">
        <v>44561</v>
      </c>
      <c r="O47" s="934"/>
      <c r="P47" s="229"/>
    </row>
    <row r="48" spans="12:16" ht="13">
      <c r="L48" s="464">
        <v>44573</v>
      </c>
      <c r="M48" s="408">
        <v>1.5459E-3</v>
      </c>
      <c r="N48" s="359">
        <v>44592</v>
      </c>
      <c r="O48" s="934"/>
      <c r="P48" s="229"/>
    </row>
    <row r="49" spans="12:16" ht="13">
      <c r="L49" s="464">
        <v>44606</v>
      </c>
      <c r="M49" s="408">
        <v>1.5776E-3</v>
      </c>
      <c r="N49" s="359">
        <v>44620</v>
      </c>
      <c r="O49" s="934"/>
      <c r="P49" s="229"/>
    </row>
    <row r="50" spans="12:16" ht="13">
      <c r="L50" s="464">
        <v>44634</v>
      </c>
      <c r="M50" s="408">
        <v>1.5849E-3</v>
      </c>
      <c r="N50" s="359">
        <v>44651</v>
      </c>
      <c r="O50" s="934"/>
      <c r="P50" s="229"/>
    </row>
    <row r="51" spans="12:16" ht="13">
      <c r="L51" s="464">
        <v>44663</v>
      </c>
      <c r="M51" s="408">
        <v>1.5552000000000001E-3</v>
      </c>
      <c r="N51" s="359">
        <v>44681</v>
      </c>
      <c r="O51" s="934"/>
      <c r="P51" s="229"/>
    </row>
    <row r="52" spans="12:16" ht="13">
      <c r="L52" s="464">
        <v>44693</v>
      </c>
      <c r="M52" s="408">
        <v>1.5169999999999999E-3</v>
      </c>
      <c r="N52" s="359">
        <v>44712</v>
      </c>
      <c r="O52" s="934"/>
      <c r="P52" s="229"/>
    </row>
    <row r="53" spans="12:16" ht="13">
      <c r="L53" s="464">
        <v>44725</v>
      </c>
      <c r="M53" s="408">
        <v>1.4938E-3</v>
      </c>
      <c r="N53" s="359">
        <v>44742</v>
      </c>
      <c r="O53" s="934"/>
      <c r="P53" s="229"/>
    </row>
    <row r="54" spans="12:16" ht="13">
      <c r="L54" s="464">
        <v>44754</v>
      </c>
      <c r="M54" s="408">
        <v>1.4702000000000001E-3</v>
      </c>
      <c r="N54" s="359">
        <v>44773</v>
      </c>
      <c r="O54" s="934"/>
      <c r="P54" s="229"/>
    </row>
    <row r="55" spans="12:16" ht="13">
      <c r="L55" s="464">
        <v>44785</v>
      </c>
      <c r="M55" s="408">
        <v>1.4851E-3</v>
      </c>
      <c r="N55" s="359">
        <v>44804</v>
      </c>
      <c r="O55" s="934"/>
      <c r="P55" s="229"/>
    </row>
    <row r="56" spans="12:16" ht="13">
      <c r="L56" s="464">
        <v>44816</v>
      </c>
      <c r="M56" s="408">
        <v>1.5347E-3</v>
      </c>
      <c r="N56" s="359">
        <v>44834</v>
      </c>
      <c r="O56" s="934"/>
      <c r="P56" s="229"/>
    </row>
    <row r="57" spans="12:16" ht="13">
      <c r="L57" s="464">
        <v>44846</v>
      </c>
      <c r="M57" s="408">
        <v>1.5907E-3</v>
      </c>
      <c r="N57" s="359">
        <v>44865</v>
      </c>
      <c r="O57" s="934"/>
      <c r="P57" s="229"/>
    </row>
    <row r="58" spans="12:16">
      <c r="L58" s="1604">
        <v>44881</v>
      </c>
      <c r="M58" s="1605">
        <v>3.90987E-2</v>
      </c>
      <c r="N58" s="1603">
        <v>44895</v>
      </c>
      <c r="O58" s="934" t="s">
        <v>2501</v>
      </c>
      <c r="P58" s="229"/>
    </row>
    <row r="59" spans="12:16">
      <c r="L59" s="1604">
        <v>44911</v>
      </c>
      <c r="M59" s="1605">
        <v>4.44781E-2</v>
      </c>
      <c r="N59" s="359">
        <v>44926</v>
      </c>
      <c r="O59" s="934"/>
      <c r="P59" s="229"/>
    </row>
    <row r="60" spans="12:16">
      <c r="L60" s="1604">
        <v>44942</v>
      </c>
      <c r="M60" s="1605">
        <v>4.8152599999999997E-2</v>
      </c>
      <c r="N60" s="359">
        <v>44957</v>
      </c>
      <c r="O60" s="934"/>
      <c r="P60" s="229"/>
    </row>
    <row r="61" spans="12:16">
      <c r="L61" s="1604">
        <v>44973</v>
      </c>
      <c r="M61" s="1605">
        <v>5.02318E-2</v>
      </c>
      <c r="N61" s="359">
        <v>44985</v>
      </c>
      <c r="O61" s="934"/>
      <c r="P61" s="229"/>
    </row>
    <row r="62" spans="12:16">
      <c r="L62" s="1604">
        <v>45001</v>
      </c>
      <c r="M62" s="1605">
        <v>5.0998799999999997E-2</v>
      </c>
      <c r="N62" s="359">
        <v>45016</v>
      </c>
      <c r="O62" s="934"/>
      <c r="P62" s="229"/>
    </row>
    <row r="63" spans="12:16">
      <c r="L63" s="1604">
        <v>45033</v>
      </c>
      <c r="M63" s="1605">
        <v>5.1074399999999999E-2</v>
      </c>
      <c r="N63" s="359">
        <v>45046</v>
      </c>
      <c r="O63" s="934"/>
      <c r="P63" s="229"/>
    </row>
    <row r="64" spans="12:16">
      <c r="L64" s="1604">
        <v>45062</v>
      </c>
      <c r="M64" s="1605">
        <v>5.08242E-2</v>
      </c>
      <c r="N64" s="359">
        <v>45077</v>
      </c>
      <c r="O64" s="934"/>
      <c r="P64" s="229"/>
    </row>
    <row r="65" spans="12:16">
      <c r="L65" s="1604">
        <v>45093</v>
      </c>
      <c r="M65" s="1605">
        <v>5.02967E-2</v>
      </c>
      <c r="N65" s="359">
        <v>45107</v>
      </c>
      <c r="O65" s="934"/>
      <c r="P65" s="229"/>
    </row>
    <row r="66" spans="12:16">
      <c r="L66" s="1604">
        <v>45124</v>
      </c>
      <c r="M66" s="1605">
        <v>4.9586600000000002E-2</v>
      </c>
      <c r="N66" s="359">
        <v>45138</v>
      </c>
      <c r="O66" s="934"/>
      <c r="P66" s="229"/>
    </row>
    <row r="67" spans="12:16">
      <c r="L67" s="1604">
        <v>45154</v>
      </c>
      <c r="M67" s="1605">
        <v>4.8841200000000001E-2</v>
      </c>
      <c r="N67" s="359">
        <v>45169</v>
      </c>
      <c r="O67" s="934"/>
      <c r="P67" s="229"/>
    </row>
    <row r="68" spans="12:16">
      <c r="L68" s="1604">
        <v>45187</v>
      </c>
      <c r="M68" s="1605">
        <v>4.7955400000000002E-2</v>
      </c>
      <c r="N68" s="359">
        <v>45199</v>
      </c>
      <c r="O68" s="934"/>
      <c r="P68" s="229"/>
    </row>
    <row r="69" spans="12:16">
      <c r="L69" s="1604">
        <v>45215</v>
      </c>
      <c r="M69" s="1605">
        <v>4.7155799999999998E-2</v>
      </c>
      <c r="N69" s="359">
        <v>45230</v>
      </c>
      <c r="O69" s="934"/>
      <c r="P69" s="229"/>
    </row>
    <row r="70" spans="12:16">
      <c r="L70" s="1604">
        <v>45246</v>
      </c>
      <c r="M70" s="1605">
        <v>4.6134599999999998E-2</v>
      </c>
      <c r="N70" s="359">
        <v>45260</v>
      </c>
      <c r="O70" s="934"/>
      <c r="P70" s="229"/>
    </row>
    <row r="71" spans="12:16">
      <c r="L71" s="1604">
        <v>45278</v>
      </c>
      <c r="M71" s="1605">
        <v>4.50652E-2</v>
      </c>
      <c r="N71" s="359">
        <v>45291</v>
      </c>
      <c r="O71" s="934"/>
      <c r="P71" s="229"/>
    </row>
    <row r="72" spans="12:16">
      <c r="L72" s="1604">
        <v>45307</v>
      </c>
      <c r="M72" s="1605">
        <v>4.4078199999999998E-2</v>
      </c>
      <c r="N72" s="359">
        <v>45322</v>
      </c>
      <c r="O72" s="934"/>
      <c r="P72" s="229"/>
    </row>
    <row r="73" spans="12:16">
      <c r="L73" s="1604">
        <v>45338</v>
      </c>
      <c r="M73" s="1605">
        <v>4.2911199999999997E-2</v>
      </c>
      <c r="N73" s="359">
        <v>45351</v>
      </c>
      <c r="O73" s="934"/>
      <c r="P73" s="229"/>
    </row>
    <row r="74" spans="12:16">
      <c r="L74" s="1604">
        <v>45369</v>
      </c>
      <c r="M74" s="1605">
        <v>4.1686899999999999E-2</v>
      </c>
      <c r="N74" s="359">
        <v>45382</v>
      </c>
      <c r="O74" s="934"/>
      <c r="P74" s="229"/>
    </row>
    <row r="75" spans="12:16">
      <c r="L75" s="1604">
        <v>45398</v>
      </c>
      <c r="M75" s="1605">
        <v>4.05943E-2</v>
      </c>
      <c r="N75" s="359">
        <v>45412</v>
      </c>
      <c r="O75" s="934"/>
      <c r="P75" s="229"/>
    </row>
    <row r="76" spans="12:16">
      <c r="L76" s="1604">
        <v>45428</v>
      </c>
      <c r="M76" s="1605">
        <v>3.9406200000000002E-2</v>
      </c>
      <c r="N76" s="359">
        <v>45443</v>
      </c>
      <c r="O76" s="934"/>
      <c r="P76" s="229"/>
    </row>
    <row r="77" spans="12:16">
      <c r="L77" s="1604">
        <v>45460</v>
      </c>
      <c r="M77" s="1605">
        <v>3.83253E-2</v>
      </c>
      <c r="N77" s="359">
        <v>45473</v>
      </c>
      <c r="O77" s="934"/>
      <c r="P77" s="229"/>
    </row>
    <row r="78" spans="12:16">
      <c r="L78" s="1604">
        <v>45489</v>
      </c>
      <c r="M78" s="1605">
        <v>3.7435400000000001E-2</v>
      </c>
      <c r="N78" s="359">
        <v>45504</v>
      </c>
      <c r="O78" s="934"/>
      <c r="P78" s="229"/>
    </row>
    <row r="79" spans="12:16">
      <c r="L79" s="1604">
        <v>45520</v>
      </c>
      <c r="M79" s="1605">
        <v>3.6636299999999997E-2</v>
      </c>
      <c r="N79" s="359">
        <v>45535</v>
      </c>
      <c r="O79" s="934"/>
      <c r="P79" s="229"/>
    </row>
    <row r="80" spans="12:16">
      <c r="L80" s="1604">
        <v>45551</v>
      </c>
      <c r="M80" s="1605">
        <v>3.6059899999999999E-2</v>
      </c>
      <c r="N80" s="359">
        <v>45565</v>
      </c>
      <c r="O80" s="934"/>
      <c r="P80" s="229"/>
    </row>
    <row r="81" spans="12:16">
      <c r="L81" s="1604">
        <v>45581</v>
      </c>
      <c r="M81" s="1605">
        <v>3.5537199999999998E-2</v>
      </c>
      <c r="N81" s="359">
        <v>45596</v>
      </c>
      <c r="O81" s="934"/>
      <c r="P81" s="229"/>
    </row>
    <row r="82" spans="12:16">
      <c r="L82" s="1604">
        <v>45614</v>
      </c>
      <c r="M82" s="1605">
        <v>3.5163899999999998E-2</v>
      </c>
      <c r="N82" s="359">
        <v>45626</v>
      </c>
      <c r="O82" s="934"/>
      <c r="P82" s="229"/>
    </row>
    <row r="83" spans="12:16">
      <c r="L83" s="1604">
        <v>45642</v>
      </c>
      <c r="M83" s="1605">
        <v>3.4929399999999999E-2</v>
      </c>
      <c r="N83" s="359">
        <v>45657</v>
      </c>
      <c r="O83" s="934"/>
      <c r="P83" s="229"/>
    </row>
    <row r="84" spans="12:16">
      <c r="L84" s="1604">
        <v>45673</v>
      </c>
      <c r="M84" s="1605">
        <v>3.4659599999999999E-2</v>
      </c>
      <c r="N84" s="359">
        <v>45688</v>
      </c>
      <c r="O84" s="934"/>
      <c r="P84" s="229"/>
    </row>
    <row r="85" spans="12:16">
      <c r="L85" s="1604">
        <v>45705</v>
      </c>
      <c r="M85" s="1605">
        <v>3.4436300000000003E-2</v>
      </c>
      <c r="N85" s="359">
        <v>45716</v>
      </c>
      <c r="O85" s="934"/>
      <c r="P85" s="229"/>
    </row>
    <row r="86" spans="12:16">
      <c r="L86" s="1604">
        <v>45733</v>
      </c>
      <c r="M86" s="1605">
        <v>3.4244200000000002E-2</v>
      </c>
      <c r="N86" s="359">
        <v>45747</v>
      </c>
      <c r="O86" s="934"/>
      <c r="P86" s="229"/>
    </row>
    <row r="87" spans="12:16">
      <c r="L87" s="1604">
        <v>45763</v>
      </c>
      <c r="M87" s="1605">
        <v>3.40349E-2</v>
      </c>
      <c r="N87" s="359">
        <v>45777</v>
      </c>
      <c r="O87" s="934"/>
      <c r="P87" s="229"/>
    </row>
    <row r="88" spans="12:16">
      <c r="L88" s="1604">
        <v>45793</v>
      </c>
      <c r="M88" s="1605">
        <v>3.3835299999999999E-2</v>
      </c>
      <c r="N88" s="359">
        <v>45808</v>
      </c>
      <c r="O88" s="934"/>
      <c r="P88" s="229"/>
    </row>
    <row r="89" spans="12:16">
      <c r="L89" s="1604">
        <v>45824</v>
      </c>
      <c r="M89" s="1605">
        <v>3.3660700000000002E-2</v>
      </c>
      <c r="N89" s="359">
        <v>45838</v>
      </c>
      <c r="O89" s="934"/>
      <c r="P89" s="229"/>
    </row>
    <row r="90" spans="12:16">
      <c r="L90" s="1604">
        <v>45854</v>
      </c>
      <c r="M90" s="1605">
        <v>3.3436599999999997E-2</v>
      </c>
      <c r="N90" s="359">
        <v>45869</v>
      </c>
      <c r="O90" s="934"/>
      <c r="P90" s="229"/>
    </row>
    <row r="91" spans="12:16">
      <c r="L91" s="1604">
        <v>45887</v>
      </c>
      <c r="M91" s="1605">
        <v>3.3233100000000002E-2</v>
      </c>
      <c r="N91" s="359">
        <v>45900</v>
      </c>
      <c r="O91" s="934"/>
      <c r="P91" s="229"/>
    </row>
    <row r="92" spans="12:16">
      <c r="L92" s="1604">
        <v>45916</v>
      </c>
      <c r="M92" s="1605">
        <v>3.3073999999999999E-2</v>
      </c>
      <c r="N92" s="359">
        <v>45930</v>
      </c>
      <c r="O92" s="934"/>
      <c r="P92" s="229"/>
    </row>
    <row r="93" spans="12:16">
      <c r="L93" s="1604">
        <v>45946</v>
      </c>
      <c r="M93" s="1605">
        <v>3.2877499999999997E-2</v>
      </c>
      <c r="N93" s="359">
        <v>45961</v>
      </c>
      <c r="O93" s="934"/>
      <c r="P93" s="229"/>
    </row>
    <row r="94" spans="12:16">
      <c r="L94" s="1604">
        <v>45978</v>
      </c>
      <c r="M94" s="1605">
        <v>3.2710000000000003E-2</v>
      </c>
      <c r="N94" s="359">
        <v>45991</v>
      </c>
      <c r="O94" s="934"/>
      <c r="P94" s="229"/>
    </row>
    <row r="95" spans="12:16">
      <c r="L95" s="1604">
        <v>46007</v>
      </c>
      <c r="M95" s="1605">
        <v>3.25854E-2</v>
      </c>
      <c r="N95" s="359">
        <v>46022</v>
      </c>
      <c r="O95" s="934"/>
      <c r="P95" s="229"/>
    </row>
    <row r="96" spans="12:16">
      <c r="L96" s="1604">
        <v>46038</v>
      </c>
      <c r="M96" s="1605">
        <v>3.24447E-2</v>
      </c>
      <c r="N96" s="359">
        <v>46053</v>
      </c>
      <c r="O96" s="934"/>
      <c r="P96" s="229"/>
    </row>
    <row r="97" spans="12:16">
      <c r="L97" s="1604">
        <v>46069</v>
      </c>
      <c r="M97" s="1605">
        <v>3.2349000000000003E-2</v>
      </c>
      <c r="N97" s="359">
        <v>46081</v>
      </c>
      <c r="O97" s="934"/>
      <c r="P97" s="229"/>
    </row>
    <row r="98" spans="12:16">
      <c r="L98" s="1604">
        <v>46097</v>
      </c>
      <c r="M98" s="1605">
        <v>3.2280299999999998E-2</v>
      </c>
      <c r="N98" s="359">
        <v>46112</v>
      </c>
      <c r="O98" s="934"/>
      <c r="P98" s="229"/>
    </row>
    <row r="99" spans="12:16">
      <c r="L99" s="1604">
        <v>46128</v>
      </c>
      <c r="M99" s="1605">
        <v>3.2198200000000003E-2</v>
      </c>
      <c r="N99" s="359">
        <v>46142</v>
      </c>
      <c r="O99" s="934"/>
      <c r="P99" s="229"/>
    </row>
    <row r="100" spans="12:16">
      <c r="L100" s="1604">
        <v>46160</v>
      </c>
      <c r="M100" s="1605">
        <v>3.2153300000000003E-2</v>
      </c>
      <c r="N100" s="359">
        <v>46173</v>
      </c>
      <c r="O100" s="934"/>
      <c r="P100" s="229"/>
    </row>
    <row r="101" spans="12:16">
      <c r="L101" s="1604">
        <v>46189</v>
      </c>
      <c r="M101" s="1605">
        <v>3.2140799999999997E-2</v>
      </c>
      <c r="N101" s="359">
        <v>46203</v>
      </c>
      <c r="O101" s="934"/>
      <c r="P101" s="229"/>
    </row>
    <row r="102" spans="12:16">
      <c r="L102" s="1604">
        <v>46219</v>
      </c>
      <c r="M102" s="1605">
        <v>3.2116800000000001E-2</v>
      </c>
      <c r="N102" s="359">
        <v>46234</v>
      </c>
      <c r="O102" s="934"/>
      <c r="P102" s="229"/>
    </row>
    <row r="103" spans="12:16">
      <c r="L103" s="1604">
        <v>46251</v>
      </c>
      <c r="M103" s="1605">
        <v>3.2124899999999998E-2</v>
      </c>
      <c r="N103" s="359">
        <v>46265</v>
      </c>
      <c r="O103" s="934"/>
      <c r="P103" s="229"/>
    </row>
    <row r="104" spans="12:16">
      <c r="L104" s="1604">
        <v>46281</v>
      </c>
      <c r="M104" s="1605">
        <v>3.2156799999999999E-2</v>
      </c>
      <c r="N104" s="359">
        <v>46295</v>
      </c>
      <c r="O104" s="934"/>
      <c r="P104" s="229"/>
    </row>
    <row r="105" spans="12:16">
      <c r="L105" s="1604">
        <v>46311</v>
      </c>
      <c r="M105" s="1605">
        <v>3.2176099999999999E-2</v>
      </c>
      <c r="N105" s="359">
        <v>46326</v>
      </c>
      <c r="O105" s="934"/>
      <c r="P105" s="229"/>
    </row>
    <row r="106" spans="12:16">
      <c r="L106" s="1604">
        <v>46342</v>
      </c>
      <c r="M106" s="1605">
        <v>3.22162E-2</v>
      </c>
      <c r="N106" s="359">
        <v>46356</v>
      </c>
      <c r="O106" s="934"/>
      <c r="P106" s="229"/>
    </row>
    <row r="107" spans="12:16">
      <c r="L107" s="1604">
        <v>46372</v>
      </c>
      <c r="M107" s="1605">
        <v>3.2280999999999997E-2</v>
      </c>
      <c r="N107" s="359">
        <v>46387</v>
      </c>
      <c r="O107" s="934"/>
      <c r="P107" s="229"/>
    </row>
    <row r="108" spans="12:16">
      <c r="L108" s="1604">
        <v>46405</v>
      </c>
      <c r="M108" s="1605">
        <v>3.2321700000000002E-2</v>
      </c>
      <c r="N108" s="359">
        <v>46418</v>
      </c>
      <c r="O108" s="934"/>
      <c r="P108" s="229"/>
    </row>
    <row r="109" spans="12:16">
      <c r="L109" s="1604">
        <v>46434</v>
      </c>
      <c r="M109" s="1605">
        <v>3.2369599999999998E-2</v>
      </c>
      <c r="N109" s="359">
        <v>46446</v>
      </c>
      <c r="O109" s="934"/>
      <c r="P109" s="229"/>
    </row>
    <row r="110" spans="12:16">
      <c r="L110" s="1604">
        <v>46462</v>
      </c>
      <c r="M110" s="1605">
        <v>3.2431799999999997E-2</v>
      </c>
      <c r="N110" s="359">
        <v>46477</v>
      </c>
      <c r="O110" s="934"/>
      <c r="P110" s="229"/>
    </row>
    <row r="111" spans="12:16">
      <c r="L111" s="1604">
        <v>46493</v>
      </c>
      <c r="M111" s="1605">
        <v>3.2464E-2</v>
      </c>
      <c r="N111" s="359">
        <v>46507</v>
      </c>
      <c r="O111" s="934"/>
      <c r="P111" s="229"/>
    </row>
    <row r="112" spans="12:16">
      <c r="L112" s="1604">
        <v>46524</v>
      </c>
      <c r="M112" s="1605">
        <v>3.2507300000000003E-2</v>
      </c>
      <c r="N112" s="359">
        <v>46538</v>
      </c>
      <c r="O112" s="934"/>
      <c r="P112" s="229"/>
    </row>
    <row r="113" spans="12:16">
      <c r="L113" s="1604">
        <v>46554</v>
      </c>
      <c r="M113" s="1605">
        <v>3.2555800000000003E-2</v>
      </c>
      <c r="N113" s="359">
        <v>46568</v>
      </c>
      <c r="O113" s="934"/>
      <c r="P113" s="229"/>
    </row>
    <row r="114" spans="12:16">
      <c r="L114" s="1604">
        <v>46584</v>
      </c>
      <c r="M114" s="1605">
        <v>3.2577000000000002E-2</v>
      </c>
      <c r="N114" s="359">
        <v>46599</v>
      </c>
      <c r="O114" s="934"/>
      <c r="P114" s="229"/>
    </row>
    <row r="115" spans="12:16">
      <c r="L115" s="1604">
        <v>46615</v>
      </c>
      <c r="M115" s="1605">
        <v>3.2608400000000003E-2</v>
      </c>
      <c r="N115" s="359">
        <v>46630</v>
      </c>
      <c r="O115" s="934"/>
      <c r="P115" s="229"/>
    </row>
    <row r="116" spans="12:16">
      <c r="L116" s="1604">
        <v>46646</v>
      </c>
      <c r="M116" s="1605">
        <v>3.2653399999999999E-2</v>
      </c>
      <c r="N116" s="359">
        <v>46660</v>
      </c>
      <c r="O116" s="934"/>
      <c r="P116" s="229"/>
    </row>
    <row r="117" spans="12:16">
      <c r="L117" s="1604">
        <v>46678</v>
      </c>
      <c r="M117" s="1605">
        <v>3.2668099999999999E-2</v>
      </c>
      <c r="N117" s="359">
        <v>46691</v>
      </c>
      <c r="O117" s="934"/>
      <c r="P117" s="229"/>
    </row>
    <row r="118" spans="12:16">
      <c r="L118" s="1604">
        <v>46707</v>
      </c>
      <c r="M118" s="1605">
        <v>3.26918E-2</v>
      </c>
      <c r="N118" s="359">
        <v>46721</v>
      </c>
      <c r="O118" s="934"/>
      <c r="P118" s="229"/>
    </row>
    <row r="119" spans="12:16">
      <c r="L119" s="1604">
        <v>46737</v>
      </c>
      <c r="M119" s="1605">
        <v>3.2729800000000003E-2</v>
      </c>
      <c r="N119" s="359">
        <v>46752</v>
      </c>
      <c r="O119" s="934"/>
      <c r="P119" s="229"/>
    </row>
    <row r="120" spans="12:16">
      <c r="L120" s="1604">
        <v>46769</v>
      </c>
      <c r="M120" s="1605">
        <v>3.2742300000000002E-2</v>
      </c>
      <c r="N120" s="359">
        <v>46783</v>
      </c>
      <c r="O120" s="934"/>
      <c r="P120" s="229"/>
    </row>
    <row r="121" spans="12:16">
      <c r="L121" s="1604">
        <v>46799</v>
      </c>
      <c r="M121" s="1605">
        <v>3.2769300000000001E-2</v>
      </c>
      <c r="N121" s="359">
        <v>46812</v>
      </c>
      <c r="O121" s="934"/>
      <c r="P121" s="229"/>
    </row>
    <row r="122" spans="12:16">
      <c r="L122" s="1604">
        <v>46828</v>
      </c>
      <c r="M122" s="1605">
        <v>3.2809699999999997E-2</v>
      </c>
      <c r="N122" s="359">
        <v>46843</v>
      </c>
      <c r="O122" s="934"/>
      <c r="P122" s="229"/>
    </row>
    <row r="123" spans="12:16" ht="15">
      <c r="L123" s="1604">
        <v>46860</v>
      </c>
      <c r="M123" s="1605">
        <v>3.2825500000000001E-2</v>
      </c>
      <c r="N123" s="359">
        <v>46873</v>
      </c>
      <c r="O123"/>
    </row>
    <row r="124" spans="12:16" ht="15">
      <c r="L124" s="1604">
        <v>46889</v>
      </c>
      <c r="M124" s="1605">
        <v>3.2857699999999997E-2</v>
      </c>
      <c r="N124" s="359">
        <v>46904</v>
      </c>
      <c r="O124"/>
    </row>
    <row r="125" spans="12:16" ht="15">
      <c r="L125" s="1604">
        <v>46920</v>
      </c>
      <c r="M125" s="1605">
        <v>3.2901E-2</v>
      </c>
      <c r="N125" s="359">
        <v>46934</v>
      </c>
      <c r="O125"/>
    </row>
    <row r="126" spans="12:16">
      <c r="L126" s="1604">
        <v>46951</v>
      </c>
      <c r="M126" s="1605">
        <v>3.29184E-2</v>
      </c>
      <c r="N126" s="359">
        <v>46965</v>
      </c>
    </row>
    <row r="127" spans="12:16">
      <c r="L127" s="1604">
        <v>46981</v>
      </c>
      <c r="M127" s="1605">
        <v>3.2949600000000002E-2</v>
      </c>
      <c r="N127" s="359">
        <v>46996</v>
      </c>
    </row>
    <row r="128" spans="12:16">
      <c r="L128" s="1604">
        <v>47014</v>
      </c>
      <c r="M128" s="1605">
        <v>3.2996900000000003E-2</v>
      </c>
      <c r="N128" s="359">
        <v>47026</v>
      </c>
    </row>
    <row r="129" spans="12:14">
      <c r="L129" s="1604">
        <v>47042</v>
      </c>
      <c r="M129" s="1605">
        <v>3.3015999999999997E-2</v>
      </c>
      <c r="N129" s="359">
        <v>47057</v>
      </c>
    </row>
    <row r="130" spans="12:14">
      <c r="L130" s="1604">
        <v>47073</v>
      </c>
      <c r="M130" s="1605">
        <v>3.3055500000000002E-2</v>
      </c>
      <c r="N130" s="359">
        <v>47087</v>
      </c>
    </row>
    <row r="131" spans="12:14">
      <c r="L131" s="1604">
        <v>47105</v>
      </c>
      <c r="M131" s="1605">
        <v>3.31054E-2</v>
      </c>
      <c r="N131" s="359">
        <v>47118</v>
      </c>
    </row>
    <row r="132" spans="12:14">
      <c r="L132" s="1604">
        <v>47134</v>
      </c>
      <c r="M132" s="1605">
        <v>3.3126900000000001E-2</v>
      </c>
      <c r="N132" s="359">
        <v>47149</v>
      </c>
    </row>
    <row r="133" spans="12:14">
      <c r="L133" s="1604">
        <v>47165</v>
      </c>
      <c r="M133" s="1605">
        <v>3.3164800000000001E-2</v>
      </c>
      <c r="N133" s="359">
        <v>47177</v>
      </c>
    </row>
    <row r="134" spans="12:14">
      <c r="L134" s="1604">
        <v>47193</v>
      </c>
      <c r="M134" s="1605">
        <v>3.32094E-2</v>
      </c>
      <c r="N134" s="359">
        <v>47208</v>
      </c>
    </row>
    <row r="135" spans="12:14">
      <c r="L135" s="1604">
        <v>47224</v>
      </c>
      <c r="M135" s="1605">
        <v>3.3226400000000003E-2</v>
      </c>
      <c r="N135" s="359">
        <v>47238</v>
      </c>
    </row>
    <row r="136" spans="12:14">
      <c r="L136" s="1604">
        <v>47254</v>
      </c>
      <c r="M136" s="1605">
        <v>3.3257399999999999E-2</v>
      </c>
      <c r="N136" s="359">
        <v>47269</v>
      </c>
    </row>
    <row r="137" spans="12:14">
      <c r="L137" s="1604">
        <v>47287</v>
      </c>
      <c r="M137" s="1605">
        <v>3.3295600000000002E-2</v>
      </c>
      <c r="N137" s="359">
        <v>47299</v>
      </c>
    </row>
    <row r="138" spans="12:14">
      <c r="L138" s="1604">
        <v>47315</v>
      </c>
      <c r="M138" s="1605">
        <v>3.3304100000000003E-2</v>
      </c>
      <c r="N138" s="359">
        <v>47330</v>
      </c>
    </row>
    <row r="139" spans="12:14">
      <c r="L139" s="1604">
        <v>47346</v>
      </c>
      <c r="M139" s="1605">
        <v>3.3325800000000003E-2</v>
      </c>
      <c r="N139" s="359">
        <v>47361</v>
      </c>
    </row>
    <row r="140" spans="12:14">
      <c r="L140" s="1604">
        <v>47378</v>
      </c>
      <c r="M140" s="1605">
        <v>3.3354300000000003E-2</v>
      </c>
      <c r="N140" s="359">
        <v>47391</v>
      </c>
    </row>
    <row r="141" spans="12:14">
      <c r="L141" s="1604">
        <v>47407</v>
      </c>
      <c r="M141" s="1605">
        <v>3.3355000000000003E-2</v>
      </c>
      <c r="N141" s="359">
        <v>47422</v>
      </c>
    </row>
    <row r="142" spans="12:14">
      <c r="L142" s="1604">
        <v>47438</v>
      </c>
      <c r="M142" s="1605">
        <v>3.3371600000000001E-2</v>
      </c>
      <c r="N142" s="359">
        <v>47452</v>
      </c>
    </row>
    <row r="143" spans="12:14">
      <c r="L143" s="1604">
        <v>47469</v>
      </c>
      <c r="M143" s="1605">
        <v>3.3404400000000001E-2</v>
      </c>
      <c r="N143" s="359">
        <v>47483</v>
      </c>
    </row>
    <row r="144" spans="12:14">
      <c r="L144" s="1604">
        <v>47499</v>
      </c>
      <c r="M144" s="1605">
        <v>3.3418200000000002E-2</v>
      </c>
      <c r="N144" s="359">
        <v>47514</v>
      </c>
    </row>
    <row r="145" spans="12:14">
      <c r="L145" s="1604">
        <v>47532</v>
      </c>
      <c r="M145" s="1605">
        <v>3.3460200000000002E-2</v>
      </c>
      <c r="N145" s="359">
        <v>47542</v>
      </c>
    </row>
    <row r="146" spans="12:14">
      <c r="L146" s="1604">
        <v>47560</v>
      </c>
      <c r="M146" s="1605">
        <v>3.3514200000000001E-2</v>
      </c>
      <c r="N146" s="359">
        <v>47573</v>
      </c>
    </row>
    <row r="147" spans="12:14">
      <c r="L147" s="1604">
        <v>47589</v>
      </c>
      <c r="M147" s="1605">
        <v>3.3547899999999999E-2</v>
      </c>
      <c r="N147" s="359">
        <v>47603</v>
      </c>
    </row>
    <row r="148" spans="12:14">
      <c r="L148" s="1604">
        <v>47619</v>
      </c>
      <c r="M148" s="1605">
        <v>3.3609399999999998E-2</v>
      </c>
      <c r="N148" s="359">
        <v>47634</v>
      </c>
    </row>
    <row r="149" spans="12:14">
      <c r="L149" s="1604">
        <v>47651</v>
      </c>
      <c r="M149" s="1605">
        <v>3.36908E-2</v>
      </c>
      <c r="N149" s="359">
        <v>47664</v>
      </c>
    </row>
    <row r="150" spans="12:14">
      <c r="L150" s="1604">
        <v>47680</v>
      </c>
      <c r="M150" s="1605">
        <v>3.3746400000000003E-2</v>
      </c>
      <c r="N150" s="359">
        <v>47695</v>
      </c>
    </row>
    <row r="151" spans="12:14">
      <c r="L151" s="1604">
        <v>47711</v>
      </c>
      <c r="M151" s="1605">
        <v>3.3830199999999998E-2</v>
      </c>
      <c r="N151" s="359">
        <v>47726</v>
      </c>
    </row>
    <row r="152" spans="12:14">
      <c r="L152" s="1604">
        <v>47742</v>
      </c>
      <c r="M152" s="1605">
        <v>3.3926199999999997E-2</v>
      </c>
      <c r="N152" s="359">
        <v>47756</v>
      </c>
    </row>
    <row r="153" spans="12:14">
      <c r="L153" s="1604">
        <v>47772</v>
      </c>
      <c r="M153" s="1605">
        <v>3.4008200000000002E-2</v>
      </c>
      <c r="N153" s="359">
        <v>47787</v>
      </c>
    </row>
    <row r="154" spans="12:14">
      <c r="L154" s="1604">
        <v>47805</v>
      </c>
      <c r="M154" s="1605">
        <v>3.41102E-2</v>
      </c>
    </row>
    <row r="155" spans="12:14">
      <c r="L155" s="1604">
        <v>47833</v>
      </c>
      <c r="M155" s="1605">
        <v>3.4208000000000002E-2</v>
      </c>
    </row>
    <row r="156" spans="12:14">
      <c r="L156" s="1604">
        <v>47864</v>
      </c>
      <c r="M156" s="1605">
        <v>3.4296599999999997E-2</v>
      </c>
    </row>
    <row r="157" spans="12:14">
      <c r="L157" s="1604">
        <v>47896</v>
      </c>
      <c r="M157" s="1605">
        <v>3.43983E-2</v>
      </c>
    </row>
    <row r="158" spans="12:14">
      <c r="L158" s="1604">
        <v>47924</v>
      </c>
      <c r="M158" s="1605">
        <v>3.45028E-2</v>
      </c>
    </row>
    <row r="159" spans="12:14">
      <c r="L159" s="1604">
        <v>47954</v>
      </c>
      <c r="M159" s="1605">
        <v>3.4578100000000001E-2</v>
      </c>
    </row>
    <row r="160" spans="12:14">
      <c r="L160" s="1604">
        <v>47984</v>
      </c>
      <c r="M160" s="1605">
        <v>3.46751E-2</v>
      </c>
    </row>
    <row r="161" spans="12:13">
      <c r="L161" s="1604">
        <v>48015</v>
      </c>
      <c r="M161" s="1605">
        <v>3.4777599999999999E-2</v>
      </c>
    </row>
    <row r="162" spans="12:13">
      <c r="L162" s="1604">
        <v>48045</v>
      </c>
      <c r="M162" s="1605">
        <v>3.4863199999999997E-2</v>
      </c>
    </row>
    <row r="163" spans="12:13">
      <c r="L163" s="1604">
        <v>48078</v>
      </c>
      <c r="M163" s="1605">
        <v>3.4965499999999997E-2</v>
      </c>
    </row>
    <row r="164" spans="12:13">
      <c r="L164" s="1604">
        <v>48107</v>
      </c>
      <c r="M164" s="1605">
        <v>3.50648E-2</v>
      </c>
    </row>
    <row r="165" spans="12:13">
      <c r="L165" s="1604">
        <v>48137</v>
      </c>
      <c r="M165" s="1605">
        <v>3.5149800000000002E-2</v>
      </c>
    </row>
    <row r="166" spans="12:13">
      <c r="L166" s="1604">
        <v>48169</v>
      </c>
      <c r="M166" s="1605">
        <v>3.5250799999999999E-2</v>
      </c>
    </row>
    <row r="167" spans="12:13">
      <c r="L167" s="1604">
        <v>48198</v>
      </c>
      <c r="M167" s="1605">
        <v>3.5354099999999999E-2</v>
      </c>
    </row>
    <row r="168" spans="12:13">
      <c r="L168" s="1604">
        <v>48229</v>
      </c>
      <c r="M168" s="1605">
        <v>3.5439999999999999E-2</v>
      </c>
    </row>
    <row r="169" spans="12:13">
      <c r="L169" s="1604">
        <v>48260</v>
      </c>
      <c r="M169" s="1605">
        <v>3.5530800000000001E-2</v>
      </c>
    </row>
    <row r="170" spans="12:13">
      <c r="L170" s="1604">
        <v>48289</v>
      </c>
      <c r="M170" s="1605">
        <v>3.5640199999999997E-2</v>
      </c>
    </row>
    <row r="171" spans="12:13">
      <c r="L171" s="1604">
        <v>48320</v>
      </c>
      <c r="M171" s="1605">
        <v>3.5718300000000001E-2</v>
      </c>
    </row>
    <row r="172" spans="12:13">
      <c r="L172" s="1604">
        <v>48351</v>
      </c>
      <c r="M172" s="1605">
        <v>3.5806699999999997E-2</v>
      </c>
    </row>
    <row r="173" spans="12:13">
      <c r="L173" s="1604">
        <v>48381</v>
      </c>
      <c r="M173" s="1605">
        <v>3.5896999999999998E-2</v>
      </c>
    </row>
    <row r="174" spans="12:13">
      <c r="L174" s="1604">
        <v>48411</v>
      </c>
      <c r="M174" s="1605">
        <v>3.5961100000000003E-2</v>
      </c>
    </row>
    <row r="175" spans="12:13">
      <c r="L175" s="1604">
        <v>48442</v>
      </c>
      <c r="M175" s="1605">
        <v>3.6031599999999997E-2</v>
      </c>
    </row>
    <row r="176" spans="12:13">
      <c r="L176" s="1604">
        <v>48473</v>
      </c>
      <c r="M176" s="1605">
        <v>3.6118600000000001E-2</v>
      </c>
    </row>
    <row r="177" spans="12:13">
      <c r="L177" s="1604">
        <v>48505</v>
      </c>
      <c r="M177" s="1605">
        <v>3.6173400000000001E-2</v>
      </c>
    </row>
    <row r="178" spans="12:13" ht="15" thickBot="1">
      <c r="L178" s="1606">
        <v>48534</v>
      </c>
      <c r="M178" s="1607">
        <v>3.62303E-2</v>
      </c>
    </row>
  </sheetData>
  <mergeCells count="2">
    <mergeCell ref="A10:I10"/>
    <mergeCell ref="A11:I1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EF221"/>
  <sheetViews>
    <sheetView showGridLines="0" zoomScaleNormal="100" workbookViewId="0">
      <pane xSplit="7" ySplit="8" topLeftCell="H57" activePane="bottomRight" state="frozen"/>
      <selection activeCell="C179" sqref="C179"/>
      <selection pane="topRight" activeCell="C179" sqref="C179"/>
      <selection pane="bottomLeft" activeCell="C179" sqref="C179"/>
      <selection pane="bottomRight" activeCell="C179" sqref="C179"/>
    </sheetView>
  </sheetViews>
  <sheetFormatPr baseColWidth="10" defaultColWidth="8.83203125" defaultRowHeight="14"/>
  <cols>
    <col min="1" max="1" width="2.5" style="265" customWidth="1"/>
    <col min="2" max="2" width="14.1640625" style="265" customWidth="1"/>
    <col min="3" max="3" width="10" style="265" bestFit="1" customWidth="1"/>
    <col min="4" max="4" width="11" style="265" customWidth="1"/>
    <col min="5" max="5" width="8.1640625" style="265" bestFit="1" customWidth="1"/>
    <col min="6" max="6" width="8.5" style="265" bestFit="1" customWidth="1"/>
    <col min="7" max="7" width="9.1640625" style="265" bestFit="1" customWidth="1"/>
    <col min="8" max="8" width="9.1640625" style="265" customWidth="1"/>
    <col min="9" max="9" width="10.1640625" style="265" bestFit="1" customWidth="1"/>
    <col min="10" max="25" width="9.5" style="265" bestFit="1" customWidth="1"/>
    <col min="26" max="135" width="9.1640625" style="265" bestFit="1" customWidth="1"/>
    <col min="136" max="16384" width="8.83203125" style="265"/>
  </cols>
  <sheetData>
    <row r="1" spans="2:136">
      <c r="C1" s="266"/>
      <c r="D1" s="267"/>
      <c r="F1" s="268"/>
      <c r="G1" s="269"/>
      <c r="H1" s="269"/>
    </row>
    <row r="2" spans="2:136" ht="19">
      <c r="B2" s="260" t="str">
        <f>Assumptions!B2</f>
        <v>Chapman Plaza</v>
      </c>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c r="AE2" s="270"/>
      <c r="AF2" s="270"/>
      <c r="AG2" s="270"/>
      <c r="AH2" s="270"/>
      <c r="AI2" s="270"/>
      <c r="AJ2" s="270"/>
      <c r="AK2" s="270"/>
      <c r="AL2" s="270"/>
      <c r="AM2" s="270"/>
      <c r="AN2" s="270"/>
      <c r="AO2" s="270"/>
      <c r="AP2" s="270"/>
      <c r="AQ2" s="270"/>
      <c r="AR2" s="270"/>
      <c r="AS2" s="270"/>
      <c r="AT2" s="270"/>
      <c r="AU2" s="270"/>
      <c r="AV2" s="270"/>
      <c r="AW2" s="270"/>
      <c r="AX2" s="270"/>
      <c r="AY2" s="270"/>
      <c r="AZ2" s="270"/>
      <c r="BA2" s="270"/>
      <c r="BB2" s="270"/>
      <c r="BC2" s="270"/>
      <c r="BD2" s="270"/>
      <c r="BE2" s="270"/>
      <c r="BF2" s="270"/>
      <c r="BG2" s="270"/>
      <c r="BH2" s="270"/>
      <c r="BI2" s="270"/>
      <c r="BJ2" s="270"/>
      <c r="BK2" s="270"/>
      <c r="BL2" s="270"/>
      <c r="BM2" s="270"/>
      <c r="BN2" s="270"/>
      <c r="BO2" s="270"/>
      <c r="BP2" s="270"/>
      <c r="BQ2" s="270"/>
      <c r="BR2" s="270"/>
      <c r="BS2" s="270"/>
      <c r="BT2" s="270"/>
      <c r="BU2" s="270"/>
      <c r="BV2" s="270"/>
      <c r="BW2" s="270"/>
      <c r="BX2" s="270"/>
      <c r="BY2" s="270"/>
      <c r="BZ2" s="270"/>
      <c r="CA2" s="270"/>
      <c r="CB2" s="270"/>
      <c r="CC2" s="270"/>
      <c r="CD2" s="270"/>
      <c r="CE2" s="270"/>
      <c r="CF2" s="270"/>
      <c r="CG2" s="270"/>
      <c r="CH2" s="270"/>
      <c r="CI2" s="270"/>
      <c r="CJ2" s="270"/>
      <c r="CK2" s="270"/>
      <c r="CL2" s="270"/>
      <c r="CM2" s="270"/>
      <c r="CN2" s="270"/>
      <c r="CO2" s="270"/>
      <c r="CP2" s="270"/>
      <c r="CQ2" s="270"/>
      <c r="CR2" s="270"/>
      <c r="CS2" s="270"/>
      <c r="CT2" s="270"/>
      <c r="CU2" s="270"/>
      <c r="CV2" s="270"/>
      <c r="CW2" s="270"/>
      <c r="CX2" s="270"/>
      <c r="CY2" s="270"/>
      <c r="CZ2" s="270"/>
      <c r="DA2" s="270"/>
      <c r="DB2" s="270"/>
      <c r="DC2" s="270"/>
      <c r="DD2" s="270"/>
      <c r="DE2" s="270"/>
      <c r="DF2" s="270"/>
      <c r="DG2" s="270"/>
      <c r="DH2" s="270"/>
      <c r="DI2" s="270"/>
      <c r="DJ2" s="270"/>
      <c r="DK2" s="270"/>
      <c r="DL2" s="270"/>
      <c r="DM2" s="270"/>
      <c r="DN2" s="270"/>
      <c r="DO2" s="270"/>
      <c r="DP2" s="270"/>
      <c r="DQ2" s="270"/>
      <c r="DR2" s="270"/>
      <c r="DS2" s="270"/>
      <c r="DT2" s="270"/>
      <c r="DU2" s="270"/>
      <c r="DV2" s="270"/>
      <c r="DW2" s="270"/>
      <c r="DX2" s="270"/>
      <c r="DY2" s="270"/>
      <c r="DZ2" s="270"/>
      <c r="EA2" s="270"/>
      <c r="EB2" s="270"/>
      <c r="EC2" s="270"/>
      <c r="ED2" s="270"/>
      <c r="EE2" s="270"/>
      <c r="EF2" s="270"/>
    </row>
    <row r="3" spans="2:136">
      <c r="B3" s="271" t="s">
        <v>148</v>
      </c>
    </row>
    <row r="5" spans="2:136">
      <c r="B5" s="265" t="s">
        <v>149</v>
      </c>
      <c r="G5" s="272"/>
      <c r="H5" s="272"/>
      <c r="I5" s="273">
        <v>0</v>
      </c>
      <c r="J5" s="271">
        <f>I5+1</f>
        <v>1</v>
      </c>
      <c r="K5" s="271">
        <f t="shared" ref="K5:BV5" si="0">J5+1</f>
        <v>2</v>
      </c>
      <c r="L5" s="271">
        <f t="shared" si="0"/>
        <v>3</v>
      </c>
      <c r="M5" s="271">
        <f t="shared" si="0"/>
        <v>4</v>
      </c>
      <c r="N5" s="271">
        <f t="shared" si="0"/>
        <v>5</v>
      </c>
      <c r="O5" s="271">
        <f t="shared" si="0"/>
        <v>6</v>
      </c>
      <c r="P5" s="271">
        <f t="shared" si="0"/>
        <v>7</v>
      </c>
      <c r="Q5" s="271">
        <f t="shared" si="0"/>
        <v>8</v>
      </c>
      <c r="R5" s="271">
        <f t="shared" si="0"/>
        <v>9</v>
      </c>
      <c r="S5" s="271">
        <f t="shared" si="0"/>
        <v>10</v>
      </c>
      <c r="T5" s="271">
        <f t="shared" si="0"/>
        <v>11</v>
      </c>
      <c r="U5" s="271">
        <f t="shared" si="0"/>
        <v>12</v>
      </c>
      <c r="V5" s="271">
        <f t="shared" si="0"/>
        <v>13</v>
      </c>
      <c r="W5" s="271">
        <f t="shared" si="0"/>
        <v>14</v>
      </c>
      <c r="X5" s="271">
        <f t="shared" si="0"/>
        <v>15</v>
      </c>
      <c r="Y5" s="271">
        <f t="shared" si="0"/>
        <v>16</v>
      </c>
      <c r="Z5" s="271">
        <f t="shared" si="0"/>
        <v>17</v>
      </c>
      <c r="AA5" s="271">
        <f t="shared" si="0"/>
        <v>18</v>
      </c>
      <c r="AB5" s="271">
        <f t="shared" si="0"/>
        <v>19</v>
      </c>
      <c r="AC5" s="271">
        <f t="shared" si="0"/>
        <v>20</v>
      </c>
      <c r="AD5" s="271">
        <f t="shared" si="0"/>
        <v>21</v>
      </c>
      <c r="AE5" s="271">
        <f t="shared" si="0"/>
        <v>22</v>
      </c>
      <c r="AF5" s="271">
        <f t="shared" si="0"/>
        <v>23</v>
      </c>
      <c r="AG5" s="271">
        <f t="shared" si="0"/>
        <v>24</v>
      </c>
      <c r="AH5" s="271">
        <f t="shared" si="0"/>
        <v>25</v>
      </c>
      <c r="AI5" s="271">
        <f t="shared" si="0"/>
        <v>26</v>
      </c>
      <c r="AJ5" s="271">
        <f t="shared" si="0"/>
        <v>27</v>
      </c>
      <c r="AK5" s="271">
        <f t="shared" si="0"/>
        <v>28</v>
      </c>
      <c r="AL5" s="271">
        <f t="shared" si="0"/>
        <v>29</v>
      </c>
      <c r="AM5" s="271">
        <f t="shared" si="0"/>
        <v>30</v>
      </c>
      <c r="AN5" s="271">
        <f t="shared" si="0"/>
        <v>31</v>
      </c>
      <c r="AO5" s="271">
        <f t="shared" si="0"/>
        <v>32</v>
      </c>
      <c r="AP5" s="271">
        <f t="shared" si="0"/>
        <v>33</v>
      </c>
      <c r="AQ5" s="271">
        <f t="shared" si="0"/>
        <v>34</v>
      </c>
      <c r="AR5" s="271">
        <f t="shared" si="0"/>
        <v>35</v>
      </c>
      <c r="AS5" s="271">
        <f t="shared" si="0"/>
        <v>36</v>
      </c>
      <c r="AT5" s="271">
        <f t="shared" si="0"/>
        <v>37</v>
      </c>
      <c r="AU5" s="271">
        <f t="shared" si="0"/>
        <v>38</v>
      </c>
      <c r="AV5" s="271">
        <f t="shared" si="0"/>
        <v>39</v>
      </c>
      <c r="AW5" s="271">
        <f t="shared" si="0"/>
        <v>40</v>
      </c>
      <c r="AX5" s="271">
        <f t="shared" si="0"/>
        <v>41</v>
      </c>
      <c r="AY5" s="271">
        <f t="shared" si="0"/>
        <v>42</v>
      </c>
      <c r="AZ5" s="271">
        <f t="shared" si="0"/>
        <v>43</v>
      </c>
      <c r="BA5" s="271">
        <f t="shared" si="0"/>
        <v>44</v>
      </c>
      <c r="BB5" s="271">
        <f t="shared" si="0"/>
        <v>45</v>
      </c>
      <c r="BC5" s="271">
        <f t="shared" si="0"/>
        <v>46</v>
      </c>
      <c r="BD5" s="271">
        <f t="shared" si="0"/>
        <v>47</v>
      </c>
      <c r="BE5" s="271">
        <f t="shared" si="0"/>
        <v>48</v>
      </c>
      <c r="BF5" s="271">
        <f t="shared" si="0"/>
        <v>49</v>
      </c>
      <c r="BG5" s="271">
        <f t="shared" si="0"/>
        <v>50</v>
      </c>
      <c r="BH5" s="271">
        <f t="shared" si="0"/>
        <v>51</v>
      </c>
      <c r="BI5" s="271">
        <f t="shared" si="0"/>
        <v>52</v>
      </c>
      <c r="BJ5" s="271">
        <f t="shared" si="0"/>
        <v>53</v>
      </c>
      <c r="BK5" s="271">
        <f t="shared" si="0"/>
        <v>54</v>
      </c>
      <c r="BL5" s="271">
        <f t="shared" si="0"/>
        <v>55</v>
      </c>
      <c r="BM5" s="271">
        <f t="shared" si="0"/>
        <v>56</v>
      </c>
      <c r="BN5" s="271">
        <f t="shared" si="0"/>
        <v>57</v>
      </c>
      <c r="BO5" s="271">
        <f t="shared" si="0"/>
        <v>58</v>
      </c>
      <c r="BP5" s="271">
        <f t="shared" si="0"/>
        <v>59</v>
      </c>
      <c r="BQ5" s="271">
        <f t="shared" si="0"/>
        <v>60</v>
      </c>
      <c r="BR5" s="271">
        <f t="shared" si="0"/>
        <v>61</v>
      </c>
      <c r="BS5" s="271">
        <f t="shared" si="0"/>
        <v>62</v>
      </c>
      <c r="BT5" s="271">
        <f t="shared" si="0"/>
        <v>63</v>
      </c>
      <c r="BU5" s="271">
        <f t="shared" si="0"/>
        <v>64</v>
      </c>
      <c r="BV5" s="271">
        <f t="shared" si="0"/>
        <v>65</v>
      </c>
      <c r="BW5" s="271">
        <f t="shared" ref="BW5:CZ5" si="1">BV5+1</f>
        <v>66</v>
      </c>
      <c r="BX5" s="271">
        <f t="shared" si="1"/>
        <v>67</v>
      </c>
      <c r="BY5" s="271">
        <f t="shared" si="1"/>
        <v>68</v>
      </c>
      <c r="BZ5" s="271">
        <f t="shared" si="1"/>
        <v>69</v>
      </c>
      <c r="CA5" s="271">
        <f t="shared" si="1"/>
        <v>70</v>
      </c>
      <c r="CB5" s="271">
        <f t="shared" si="1"/>
        <v>71</v>
      </c>
      <c r="CC5" s="271">
        <f t="shared" si="1"/>
        <v>72</v>
      </c>
      <c r="CD5" s="271">
        <f t="shared" si="1"/>
        <v>73</v>
      </c>
      <c r="CE5" s="271">
        <f t="shared" si="1"/>
        <v>74</v>
      </c>
      <c r="CF5" s="271">
        <f t="shared" si="1"/>
        <v>75</v>
      </c>
      <c r="CG5" s="271">
        <f t="shared" si="1"/>
        <v>76</v>
      </c>
      <c r="CH5" s="271">
        <f t="shared" si="1"/>
        <v>77</v>
      </c>
      <c r="CI5" s="271">
        <f t="shared" si="1"/>
        <v>78</v>
      </c>
      <c r="CJ5" s="271">
        <f t="shared" si="1"/>
        <v>79</v>
      </c>
      <c r="CK5" s="271">
        <f t="shared" si="1"/>
        <v>80</v>
      </c>
      <c r="CL5" s="271">
        <f t="shared" si="1"/>
        <v>81</v>
      </c>
      <c r="CM5" s="271">
        <f t="shared" si="1"/>
        <v>82</v>
      </c>
      <c r="CN5" s="271">
        <f t="shared" si="1"/>
        <v>83</v>
      </c>
      <c r="CO5" s="271">
        <f t="shared" si="1"/>
        <v>84</v>
      </c>
      <c r="CP5" s="271">
        <f t="shared" si="1"/>
        <v>85</v>
      </c>
      <c r="CQ5" s="271">
        <f t="shared" si="1"/>
        <v>86</v>
      </c>
      <c r="CR5" s="271">
        <f t="shared" si="1"/>
        <v>87</v>
      </c>
      <c r="CS5" s="271">
        <f t="shared" si="1"/>
        <v>88</v>
      </c>
      <c r="CT5" s="271">
        <f t="shared" si="1"/>
        <v>89</v>
      </c>
      <c r="CU5" s="271">
        <f t="shared" si="1"/>
        <v>90</v>
      </c>
      <c r="CV5" s="271">
        <f t="shared" si="1"/>
        <v>91</v>
      </c>
      <c r="CW5" s="271">
        <f t="shared" si="1"/>
        <v>92</v>
      </c>
      <c r="CX5" s="271">
        <f t="shared" si="1"/>
        <v>93</v>
      </c>
      <c r="CY5" s="271">
        <f t="shared" si="1"/>
        <v>94</v>
      </c>
      <c r="CZ5" s="271">
        <f t="shared" si="1"/>
        <v>95</v>
      </c>
      <c r="DA5" s="271">
        <f t="shared" ref="DA5" si="2">CZ5+1</f>
        <v>96</v>
      </c>
      <c r="DB5" s="271">
        <f t="shared" ref="DB5" si="3">DA5+1</f>
        <v>97</v>
      </c>
      <c r="DC5" s="271">
        <f t="shared" ref="DC5" si="4">DB5+1</f>
        <v>98</v>
      </c>
      <c r="DD5" s="271">
        <f t="shared" ref="DD5" si="5">DC5+1</f>
        <v>99</v>
      </c>
      <c r="DE5" s="271">
        <f t="shared" ref="DE5" si="6">DD5+1</f>
        <v>100</v>
      </c>
      <c r="DF5" s="271">
        <f t="shared" ref="DF5" si="7">DE5+1</f>
        <v>101</v>
      </c>
      <c r="DG5" s="271">
        <f t="shared" ref="DG5" si="8">DF5+1</f>
        <v>102</v>
      </c>
      <c r="DH5" s="271">
        <f t="shared" ref="DH5" si="9">DG5+1</f>
        <v>103</v>
      </c>
      <c r="DI5" s="271">
        <f t="shared" ref="DI5" si="10">DH5+1</f>
        <v>104</v>
      </c>
      <c r="DJ5" s="271">
        <f t="shared" ref="DJ5" si="11">DI5+1</f>
        <v>105</v>
      </c>
      <c r="DK5" s="271">
        <f t="shared" ref="DK5" si="12">DJ5+1</f>
        <v>106</v>
      </c>
      <c r="DL5" s="271">
        <f t="shared" ref="DL5" si="13">DK5+1</f>
        <v>107</v>
      </c>
      <c r="DM5" s="271">
        <f t="shared" ref="DM5" si="14">DL5+1</f>
        <v>108</v>
      </c>
      <c r="DN5" s="271">
        <f t="shared" ref="DN5" si="15">DM5+1</f>
        <v>109</v>
      </c>
      <c r="DO5" s="271">
        <f t="shared" ref="DO5" si="16">DN5+1</f>
        <v>110</v>
      </c>
      <c r="DP5" s="271">
        <f t="shared" ref="DP5" si="17">DO5+1</f>
        <v>111</v>
      </c>
      <c r="DQ5" s="271">
        <f t="shared" ref="DQ5" si="18">DP5+1</f>
        <v>112</v>
      </c>
      <c r="DR5" s="271">
        <f t="shared" ref="DR5" si="19">DQ5+1</f>
        <v>113</v>
      </c>
      <c r="DS5" s="271">
        <f t="shared" ref="DS5" si="20">DR5+1</f>
        <v>114</v>
      </c>
      <c r="DT5" s="271">
        <f t="shared" ref="DT5" si="21">DS5+1</f>
        <v>115</v>
      </c>
      <c r="DU5" s="271">
        <f t="shared" ref="DU5" si="22">DT5+1</f>
        <v>116</v>
      </c>
      <c r="DV5" s="271">
        <f t="shared" ref="DV5" si="23">DU5+1</f>
        <v>117</v>
      </c>
      <c r="DW5" s="271">
        <f t="shared" ref="DW5" si="24">DV5+1</f>
        <v>118</v>
      </c>
      <c r="DX5" s="271">
        <f t="shared" ref="DX5" si="25">DW5+1</f>
        <v>119</v>
      </c>
      <c r="DY5" s="271">
        <f t="shared" ref="DY5" si="26">DX5+1</f>
        <v>120</v>
      </c>
      <c r="DZ5" s="271">
        <f t="shared" ref="DZ5" si="27">DY5+1</f>
        <v>121</v>
      </c>
      <c r="EA5" s="271">
        <f t="shared" ref="EA5" si="28">DZ5+1</f>
        <v>122</v>
      </c>
      <c r="EB5" s="271">
        <f t="shared" ref="EB5" si="29">EA5+1</f>
        <v>123</v>
      </c>
      <c r="EC5" s="271">
        <f t="shared" ref="EC5" si="30">EB5+1</f>
        <v>124</v>
      </c>
      <c r="ED5" s="271">
        <f t="shared" ref="ED5" si="31">EC5+1</f>
        <v>125</v>
      </c>
      <c r="EE5" s="271">
        <f t="shared" ref="EE5" si="32">ED5+1</f>
        <v>126</v>
      </c>
    </row>
    <row r="6" spans="2:136">
      <c r="B6" s="265" t="s">
        <v>150</v>
      </c>
      <c r="I6" s="274">
        <f>ROUNDUP(I5/3, 0)</f>
        <v>0</v>
      </c>
      <c r="J6" s="274">
        <f t="shared" ref="J6:BU6" si="33">ROUNDUP(J5/3, 0)</f>
        <v>1</v>
      </c>
      <c r="K6" s="274">
        <f t="shared" si="33"/>
        <v>1</v>
      </c>
      <c r="L6" s="274">
        <f t="shared" si="33"/>
        <v>1</v>
      </c>
      <c r="M6" s="274">
        <f t="shared" si="33"/>
        <v>2</v>
      </c>
      <c r="N6" s="274">
        <f t="shared" si="33"/>
        <v>2</v>
      </c>
      <c r="O6" s="274">
        <f t="shared" si="33"/>
        <v>2</v>
      </c>
      <c r="P6" s="274">
        <f t="shared" si="33"/>
        <v>3</v>
      </c>
      <c r="Q6" s="274">
        <f t="shared" si="33"/>
        <v>3</v>
      </c>
      <c r="R6" s="274">
        <f t="shared" si="33"/>
        <v>3</v>
      </c>
      <c r="S6" s="274">
        <f t="shared" si="33"/>
        <v>4</v>
      </c>
      <c r="T6" s="274">
        <f t="shared" si="33"/>
        <v>4</v>
      </c>
      <c r="U6" s="274">
        <f t="shared" si="33"/>
        <v>4</v>
      </c>
      <c r="V6" s="274">
        <f t="shared" si="33"/>
        <v>5</v>
      </c>
      <c r="W6" s="274">
        <f t="shared" si="33"/>
        <v>5</v>
      </c>
      <c r="X6" s="274">
        <f t="shared" si="33"/>
        <v>5</v>
      </c>
      <c r="Y6" s="274">
        <f t="shared" si="33"/>
        <v>6</v>
      </c>
      <c r="Z6" s="274">
        <f t="shared" si="33"/>
        <v>6</v>
      </c>
      <c r="AA6" s="274">
        <f t="shared" si="33"/>
        <v>6</v>
      </c>
      <c r="AB6" s="274">
        <f t="shared" si="33"/>
        <v>7</v>
      </c>
      <c r="AC6" s="274">
        <f t="shared" si="33"/>
        <v>7</v>
      </c>
      <c r="AD6" s="274">
        <f t="shared" si="33"/>
        <v>7</v>
      </c>
      <c r="AE6" s="274">
        <f t="shared" si="33"/>
        <v>8</v>
      </c>
      <c r="AF6" s="274">
        <f t="shared" si="33"/>
        <v>8</v>
      </c>
      <c r="AG6" s="274">
        <f t="shared" si="33"/>
        <v>8</v>
      </c>
      <c r="AH6" s="274">
        <f t="shared" si="33"/>
        <v>9</v>
      </c>
      <c r="AI6" s="274">
        <f t="shared" si="33"/>
        <v>9</v>
      </c>
      <c r="AJ6" s="274">
        <f t="shared" si="33"/>
        <v>9</v>
      </c>
      <c r="AK6" s="274">
        <f t="shared" si="33"/>
        <v>10</v>
      </c>
      <c r="AL6" s="274">
        <f t="shared" si="33"/>
        <v>10</v>
      </c>
      <c r="AM6" s="274">
        <f t="shared" si="33"/>
        <v>10</v>
      </c>
      <c r="AN6" s="274">
        <f t="shared" si="33"/>
        <v>11</v>
      </c>
      <c r="AO6" s="274">
        <f t="shared" si="33"/>
        <v>11</v>
      </c>
      <c r="AP6" s="274">
        <f t="shared" si="33"/>
        <v>11</v>
      </c>
      <c r="AQ6" s="274">
        <f t="shared" si="33"/>
        <v>12</v>
      </c>
      <c r="AR6" s="274">
        <f t="shared" si="33"/>
        <v>12</v>
      </c>
      <c r="AS6" s="274">
        <f t="shared" si="33"/>
        <v>12</v>
      </c>
      <c r="AT6" s="274">
        <f t="shared" si="33"/>
        <v>13</v>
      </c>
      <c r="AU6" s="274">
        <f t="shared" si="33"/>
        <v>13</v>
      </c>
      <c r="AV6" s="274">
        <f t="shared" si="33"/>
        <v>13</v>
      </c>
      <c r="AW6" s="274">
        <f t="shared" si="33"/>
        <v>14</v>
      </c>
      <c r="AX6" s="274">
        <f t="shared" si="33"/>
        <v>14</v>
      </c>
      <c r="AY6" s="274">
        <f t="shared" si="33"/>
        <v>14</v>
      </c>
      <c r="AZ6" s="274">
        <f t="shared" si="33"/>
        <v>15</v>
      </c>
      <c r="BA6" s="274">
        <f t="shared" si="33"/>
        <v>15</v>
      </c>
      <c r="BB6" s="274">
        <f t="shared" si="33"/>
        <v>15</v>
      </c>
      <c r="BC6" s="274">
        <f t="shared" si="33"/>
        <v>16</v>
      </c>
      <c r="BD6" s="274">
        <f t="shared" si="33"/>
        <v>16</v>
      </c>
      <c r="BE6" s="274">
        <f t="shared" si="33"/>
        <v>16</v>
      </c>
      <c r="BF6" s="274">
        <f t="shared" si="33"/>
        <v>17</v>
      </c>
      <c r="BG6" s="274">
        <f t="shared" si="33"/>
        <v>17</v>
      </c>
      <c r="BH6" s="274">
        <f t="shared" si="33"/>
        <v>17</v>
      </c>
      <c r="BI6" s="274">
        <f t="shared" si="33"/>
        <v>18</v>
      </c>
      <c r="BJ6" s="274">
        <f t="shared" si="33"/>
        <v>18</v>
      </c>
      <c r="BK6" s="274">
        <f t="shared" si="33"/>
        <v>18</v>
      </c>
      <c r="BL6" s="274">
        <f t="shared" si="33"/>
        <v>19</v>
      </c>
      <c r="BM6" s="274">
        <f t="shared" si="33"/>
        <v>19</v>
      </c>
      <c r="BN6" s="274">
        <f t="shared" si="33"/>
        <v>19</v>
      </c>
      <c r="BO6" s="274">
        <f t="shared" si="33"/>
        <v>20</v>
      </c>
      <c r="BP6" s="274">
        <f t="shared" si="33"/>
        <v>20</v>
      </c>
      <c r="BQ6" s="274">
        <f t="shared" si="33"/>
        <v>20</v>
      </c>
      <c r="BR6" s="274">
        <f t="shared" si="33"/>
        <v>21</v>
      </c>
      <c r="BS6" s="274">
        <f t="shared" si="33"/>
        <v>21</v>
      </c>
      <c r="BT6" s="274">
        <f t="shared" si="33"/>
        <v>21</v>
      </c>
      <c r="BU6" s="274">
        <f t="shared" si="33"/>
        <v>22</v>
      </c>
      <c r="BV6" s="274">
        <f t="shared" ref="BV6:CZ6" si="34">ROUNDUP(BV5/3, 0)</f>
        <v>22</v>
      </c>
      <c r="BW6" s="274">
        <f t="shared" si="34"/>
        <v>22</v>
      </c>
      <c r="BX6" s="274">
        <f t="shared" si="34"/>
        <v>23</v>
      </c>
      <c r="BY6" s="274">
        <f t="shared" si="34"/>
        <v>23</v>
      </c>
      <c r="BZ6" s="274">
        <f t="shared" si="34"/>
        <v>23</v>
      </c>
      <c r="CA6" s="274">
        <f t="shared" si="34"/>
        <v>24</v>
      </c>
      <c r="CB6" s="274">
        <f t="shared" si="34"/>
        <v>24</v>
      </c>
      <c r="CC6" s="274">
        <f t="shared" si="34"/>
        <v>24</v>
      </c>
      <c r="CD6" s="274">
        <f t="shared" si="34"/>
        <v>25</v>
      </c>
      <c r="CE6" s="274">
        <f t="shared" si="34"/>
        <v>25</v>
      </c>
      <c r="CF6" s="274">
        <f t="shared" si="34"/>
        <v>25</v>
      </c>
      <c r="CG6" s="274">
        <f t="shared" si="34"/>
        <v>26</v>
      </c>
      <c r="CH6" s="274">
        <f t="shared" si="34"/>
        <v>26</v>
      </c>
      <c r="CI6" s="274">
        <f t="shared" si="34"/>
        <v>26</v>
      </c>
      <c r="CJ6" s="274">
        <f t="shared" si="34"/>
        <v>27</v>
      </c>
      <c r="CK6" s="274">
        <f t="shared" si="34"/>
        <v>27</v>
      </c>
      <c r="CL6" s="274">
        <f t="shared" si="34"/>
        <v>27</v>
      </c>
      <c r="CM6" s="274">
        <f t="shared" si="34"/>
        <v>28</v>
      </c>
      <c r="CN6" s="274">
        <f t="shared" si="34"/>
        <v>28</v>
      </c>
      <c r="CO6" s="274">
        <f t="shared" si="34"/>
        <v>28</v>
      </c>
      <c r="CP6" s="274">
        <f t="shared" si="34"/>
        <v>29</v>
      </c>
      <c r="CQ6" s="274">
        <f t="shared" si="34"/>
        <v>29</v>
      </c>
      <c r="CR6" s="274">
        <f t="shared" si="34"/>
        <v>29</v>
      </c>
      <c r="CS6" s="274">
        <f t="shared" si="34"/>
        <v>30</v>
      </c>
      <c r="CT6" s="274">
        <f t="shared" si="34"/>
        <v>30</v>
      </c>
      <c r="CU6" s="274">
        <f t="shared" si="34"/>
        <v>30</v>
      </c>
      <c r="CV6" s="274">
        <f t="shared" si="34"/>
        <v>31</v>
      </c>
      <c r="CW6" s="274">
        <f t="shared" si="34"/>
        <v>31</v>
      </c>
      <c r="CX6" s="274">
        <f t="shared" si="34"/>
        <v>31</v>
      </c>
      <c r="CY6" s="274">
        <f t="shared" si="34"/>
        <v>32</v>
      </c>
      <c r="CZ6" s="274">
        <f t="shared" si="34"/>
        <v>32</v>
      </c>
      <c r="DA6" s="274">
        <f t="shared" ref="DA6:EE6" si="35">ROUNDUP(DA5/3, 0)</f>
        <v>32</v>
      </c>
      <c r="DB6" s="274">
        <f t="shared" si="35"/>
        <v>33</v>
      </c>
      <c r="DC6" s="274">
        <f t="shared" si="35"/>
        <v>33</v>
      </c>
      <c r="DD6" s="274">
        <f t="shared" si="35"/>
        <v>33</v>
      </c>
      <c r="DE6" s="274">
        <f t="shared" si="35"/>
        <v>34</v>
      </c>
      <c r="DF6" s="274">
        <f t="shared" si="35"/>
        <v>34</v>
      </c>
      <c r="DG6" s="274">
        <f t="shared" si="35"/>
        <v>34</v>
      </c>
      <c r="DH6" s="274">
        <f t="shared" si="35"/>
        <v>35</v>
      </c>
      <c r="DI6" s="274">
        <f t="shared" si="35"/>
        <v>35</v>
      </c>
      <c r="DJ6" s="274">
        <f t="shared" si="35"/>
        <v>35</v>
      </c>
      <c r="DK6" s="274">
        <f t="shared" si="35"/>
        <v>36</v>
      </c>
      <c r="DL6" s="274">
        <f t="shared" si="35"/>
        <v>36</v>
      </c>
      <c r="DM6" s="274">
        <f t="shared" si="35"/>
        <v>36</v>
      </c>
      <c r="DN6" s="274">
        <f t="shared" si="35"/>
        <v>37</v>
      </c>
      <c r="DO6" s="274">
        <f t="shared" si="35"/>
        <v>37</v>
      </c>
      <c r="DP6" s="274">
        <f t="shared" si="35"/>
        <v>37</v>
      </c>
      <c r="DQ6" s="274">
        <f t="shared" si="35"/>
        <v>38</v>
      </c>
      <c r="DR6" s="274">
        <f t="shared" si="35"/>
        <v>38</v>
      </c>
      <c r="DS6" s="274">
        <f t="shared" si="35"/>
        <v>38</v>
      </c>
      <c r="DT6" s="274">
        <f t="shared" si="35"/>
        <v>39</v>
      </c>
      <c r="DU6" s="274">
        <f t="shared" si="35"/>
        <v>39</v>
      </c>
      <c r="DV6" s="274">
        <f t="shared" si="35"/>
        <v>39</v>
      </c>
      <c r="DW6" s="274">
        <f t="shared" si="35"/>
        <v>40</v>
      </c>
      <c r="DX6" s="274">
        <f t="shared" si="35"/>
        <v>40</v>
      </c>
      <c r="DY6" s="274">
        <f t="shared" si="35"/>
        <v>40</v>
      </c>
      <c r="DZ6" s="274">
        <f t="shared" si="35"/>
        <v>41</v>
      </c>
      <c r="EA6" s="274">
        <f t="shared" si="35"/>
        <v>41</v>
      </c>
      <c r="EB6" s="274">
        <f t="shared" si="35"/>
        <v>41</v>
      </c>
      <c r="EC6" s="274">
        <f t="shared" si="35"/>
        <v>42</v>
      </c>
      <c r="ED6" s="274">
        <f t="shared" si="35"/>
        <v>42</v>
      </c>
      <c r="EE6" s="274">
        <f t="shared" si="35"/>
        <v>42</v>
      </c>
    </row>
    <row r="7" spans="2:136">
      <c r="B7" s="265" t="s">
        <v>151</v>
      </c>
      <c r="I7" s="275">
        <f t="shared" ref="I7:BT7" si="36">ROUNDUP(I5/12, 0)</f>
        <v>0</v>
      </c>
      <c r="J7" s="275">
        <f t="shared" si="36"/>
        <v>1</v>
      </c>
      <c r="K7" s="275">
        <f t="shared" si="36"/>
        <v>1</v>
      </c>
      <c r="L7" s="275">
        <f t="shared" si="36"/>
        <v>1</v>
      </c>
      <c r="M7" s="275">
        <f t="shared" si="36"/>
        <v>1</v>
      </c>
      <c r="N7" s="275">
        <f t="shared" si="36"/>
        <v>1</v>
      </c>
      <c r="O7" s="275">
        <f t="shared" si="36"/>
        <v>1</v>
      </c>
      <c r="P7" s="275">
        <f t="shared" si="36"/>
        <v>1</v>
      </c>
      <c r="Q7" s="275">
        <f t="shared" si="36"/>
        <v>1</v>
      </c>
      <c r="R7" s="275">
        <f t="shared" si="36"/>
        <v>1</v>
      </c>
      <c r="S7" s="275">
        <f t="shared" si="36"/>
        <v>1</v>
      </c>
      <c r="T7" s="275">
        <f t="shared" si="36"/>
        <v>1</v>
      </c>
      <c r="U7" s="275">
        <f t="shared" si="36"/>
        <v>1</v>
      </c>
      <c r="V7" s="275">
        <f t="shared" si="36"/>
        <v>2</v>
      </c>
      <c r="W7" s="275">
        <f t="shared" si="36"/>
        <v>2</v>
      </c>
      <c r="X7" s="275">
        <f t="shared" si="36"/>
        <v>2</v>
      </c>
      <c r="Y7" s="275">
        <f t="shared" si="36"/>
        <v>2</v>
      </c>
      <c r="Z7" s="275">
        <f t="shared" si="36"/>
        <v>2</v>
      </c>
      <c r="AA7" s="275">
        <f t="shared" si="36"/>
        <v>2</v>
      </c>
      <c r="AB7" s="275">
        <f t="shared" si="36"/>
        <v>2</v>
      </c>
      <c r="AC7" s="275">
        <f t="shared" si="36"/>
        <v>2</v>
      </c>
      <c r="AD7" s="275">
        <f t="shared" si="36"/>
        <v>2</v>
      </c>
      <c r="AE7" s="275">
        <f t="shared" si="36"/>
        <v>2</v>
      </c>
      <c r="AF7" s="275">
        <f t="shared" si="36"/>
        <v>2</v>
      </c>
      <c r="AG7" s="275">
        <f t="shared" si="36"/>
        <v>2</v>
      </c>
      <c r="AH7" s="275">
        <f t="shared" si="36"/>
        <v>3</v>
      </c>
      <c r="AI7" s="275">
        <f t="shared" si="36"/>
        <v>3</v>
      </c>
      <c r="AJ7" s="275">
        <f t="shared" si="36"/>
        <v>3</v>
      </c>
      <c r="AK7" s="275">
        <f t="shared" si="36"/>
        <v>3</v>
      </c>
      <c r="AL7" s="275">
        <f t="shared" si="36"/>
        <v>3</v>
      </c>
      <c r="AM7" s="275">
        <f t="shared" si="36"/>
        <v>3</v>
      </c>
      <c r="AN7" s="275">
        <f t="shared" si="36"/>
        <v>3</v>
      </c>
      <c r="AO7" s="275">
        <f t="shared" si="36"/>
        <v>3</v>
      </c>
      <c r="AP7" s="275">
        <f t="shared" si="36"/>
        <v>3</v>
      </c>
      <c r="AQ7" s="275">
        <f t="shared" si="36"/>
        <v>3</v>
      </c>
      <c r="AR7" s="275">
        <f t="shared" si="36"/>
        <v>3</v>
      </c>
      <c r="AS7" s="275">
        <f t="shared" si="36"/>
        <v>3</v>
      </c>
      <c r="AT7" s="275">
        <f t="shared" si="36"/>
        <v>4</v>
      </c>
      <c r="AU7" s="275">
        <f t="shared" si="36"/>
        <v>4</v>
      </c>
      <c r="AV7" s="275">
        <f t="shared" si="36"/>
        <v>4</v>
      </c>
      <c r="AW7" s="275">
        <f t="shared" si="36"/>
        <v>4</v>
      </c>
      <c r="AX7" s="275">
        <f t="shared" si="36"/>
        <v>4</v>
      </c>
      <c r="AY7" s="275">
        <f t="shared" si="36"/>
        <v>4</v>
      </c>
      <c r="AZ7" s="275">
        <f t="shared" si="36"/>
        <v>4</v>
      </c>
      <c r="BA7" s="275">
        <f t="shared" si="36"/>
        <v>4</v>
      </c>
      <c r="BB7" s="275">
        <f t="shared" si="36"/>
        <v>4</v>
      </c>
      <c r="BC7" s="275">
        <f t="shared" si="36"/>
        <v>4</v>
      </c>
      <c r="BD7" s="275">
        <f t="shared" si="36"/>
        <v>4</v>
      </c>
      <c r="BE7" s="275">
        <f t="shared" si="36"/>
        <v>4</v>
      </c>
      <c r="BF7" s="275">
        <f t="shared" si="36"/>
        <v>5</v>
      </c>
      <c r="BG7" s="275">
        <f t="shared" si="36"/>
        <v>5</v>
      </c>
      <c r="BH7" s="275">
        <f t="shared" si="36"/>
        <v>5</v>
      </c>
      <c r="BI7" s="275">
        <f t="shared" si="36"/>
        <v>5</v>
      </c>
      <c r="BJ7" s="275">
        <f t="shared" si="36"/>
        <v>5</v>
      </c>
      <c r="BK7" s="275">
        <f t="shared" si="36"/>
        <v>5</v>
      </c>
      <c r="BL7" s="275">
        <f t="shared" si="36"/>
        <v>5</v>
      </c>
      <c r="BM7" s="275">
        <f t="shared" si="36"/>
        <v>5</v>
      </c>
      <c r="BN7" s="275">
        <f t="shared" si="36"/>
        <v>5</v>
      </c>
      <c r="BO7" s="275">
        <f t="shared" si="36"/>
        <v>5</v>
      </c>
      <c r="BP7" s="275">
        <f t="shared" si="36"/>
        <v>5</v>
      </c>
      <c r="BQ7" s="275">
        <f t="shared" si="36"/>
        <v>5</v>
      </c>
      <c r="BR7" s="275">
        <f t="shared" si="36"/>
        <v>6</v>
      </c>
      <c r="BS7" s="275">
        <f t="shared" si="36"/>
        <v>6</v>
      </c>
      <c r="BT7" s="275">
        <f t="shared" si="36"/>
        <v>6</v>
      </c>
      <c r="BU7" s="275">
        <f t="shared" ref="BU7:CZ7" si="37">ROUNDUP(BU5/12, 0)</f>
        <v>6</v>
      </c>
      <c r="BV7" s="275">
        <f t="shared" si="37"/>
        <v>6</v>
      </c>
      <c r="BW7" s="275">
        <f t="shared" si="37"/>
        <v>6</v>
      </c>
      <c r="BX7" s="275">
        <f t="shared" si="37"/>
        <v>6</v>
      </c>
      <c r="BY7" s="275">
        <f t="shared" si="37"/>
        <v>6</v>
      </c>
      <c r="BZ7" s="275">
        <f t="shared" si="37"/>
        <v>6</v>
      </c>
      <c r="CA7" s="275">
        <f t="shared" si="37"/>
        <v>6</v>
      </c>
      <c r="CB7" s="275">
        <f t="shared" si="37"/>
        <v>6</v>
      </c>
      <c r="CC7" s="275">
        <f t="shared" si="37"/>
        <v>6</v>
      </c>
      <c r="CD7" s="275">
        <f t="shared" si="37"/>
        <v>7</v>
      </c>
      <c r="CE7" s="275">
        <f t="shared" si="37"/>
        <v>7</v>
      </c>
      <c r="CF7" s="275">
        <f t="shared" si="37"/>
        <v>7</v>
      </c>
      <c r="CG7" s="275">
        <f t="shared" si="37"/>
        <v>7</v>
      </c>
      <c r="CH7" s="275">
        <f t="shared" si="37"/>
        <v>7</v>
      </c>
      <c r="CI7" s="275">
        <f t="shared" si="37"/>
        <v>7</v>
      </c>
      <c r="CJ7" s="275">
        <f t="shared" si="37"/>
        <v>7</v>
      </c>
      <c r="CK7" s="275">
        <f t="shared" si="37"/>
        <v>7</v>
      </c>
      <c r="CL7" s="275">
        <f t="shared" si="37"/>
        <v>7</v>
      </c>
      <c r="CM7" s="275">
        <f t="shared" si="37"/>
        <v>7</v>
      </c>
      <c r="CN7" s="275">
        <f t="shared" si="37"/>
        <v>7</v>
      </c>
      <c r="CO7" s="275">
        <f t="shared" si="37"/>
        <v>7</v>
      </c>
      <c r="CP7" s="275">
        <f t="shared" si="37"/>
        <v>8</v>
      </c>
      <c r="CQ7" s="275">
        <f t="shared" si="37"/>
        <v>8</v>
      </c>
      <c r="CR7" s="275">
        <f t="shared" si="37"/>
        <v>8</v>
      </c>
      <c r="CS7" s="275">
        <f t="shared" si="37"/>
        <v>8</v>
      </c>
      <c r="CT7" s="275">
        <f t="shared" si="37"/>
        <v>8</v>
      </c>
      <c r="CU7" s="275">
        <f t="shared" si="37"/>
        <v>8</v>
      </c>
      <c r="CV7" s="275">
        <f t="shared" si="37"/>
        <v>8</v>
      </c>
      <c r="CW7" s="275">
        <f t="shared" si="37"/>
        <v>8</v>
      </c>
      <c r="CX7" s="275">
        <f t="shared" si="37"/>
        <v>8</v>
      </c>
      <c r="CY7" s="275">
        <f t="shared" si="37"/>
        <v>8</v>
      </c>
      <c r="CZ7" s="275">
        <f t="shared" si="37"/>
        <v>8</v>
      </c>
      <c r="DA7" s="275">
        <f t="shared" ref="DA7:EE7" si="38">ROUNDUP(DA5/12, 0)</f>
        <v>8</v>
      </c>
      <c r="DB7" s="275">
        <f t="shared" si="38"/>
        <v>9</v>
      </c>
      <c r="DC7" s="275">
        <f t="shared" si="38"/>
        <v>9</v>
      </c>
      <c r="DD7" s="275">
        <f t="shared" si="38"/>
        <v>9</v>
      </c>
      <c r="DE7" s="275">
        <f t="shared" si="38"/>
        <v>9</v>
      </c>
      <c r="DF7" s="275">
        <f t="shared" si="38"/>
        <v>9</v>
      </c>
      <c r="DG7" s="275">
        <f t="shared" si="38"/>
        <v>9</v>
      </c>
      <c r="DH7" s="275">
        <f t="shared" si="38"/>
        <v>9</v>
      </c>
      <c r="DI7" s="275">
        <f t="shared" si="38"/>
        <v>9</v>
      </c>
      <c r="DJ7" s="275">
        <f t="shared" si="38"/>
        <v>9</v>
      </c>
      <c r="DK7" s="275">
        <f t="shared" si="38"/>
        <v>9</v>
      </c>
      <c r="DL7" s="275">
        <f t="shared" si="38"/>
        <v>9</v>
      </c>
      <c r="DM7" s="275">
        <f t="shared" si="38"/>
        <v>9</v>
      </c>
      <c r="DN7" s="275">
        <f t="shared" si="38"/>
        <v>10</v>
      </c>
      <c r="DO7" s="275">
        <f t="shared" si="38"/>
        <v>10</v>
      </c>
      <c r="DP7" s="275">
        <f t="shared" si="38"/>
        <v>10</v>
      </c>
      <c r="DQ7" s="275">
        <f t="shared" si="38"/>
        <v>10</v>
      </c>
      <c r="DR7" s="275">
        <f t="shared" si="38"/>
        <v>10</v>
      </c>
      <c r="DS7" s="275">
        <f t="shared" si="38"/>
        <v>10</v>
      </c>
      <c r="DT7" s="275">
        <f t="shared" si="38"/>
        <v>10</v>
      </c>
      <c r="DU7" s="275">
        <f t="shared" si="38"/>
        <v>10</v>
      </c>
      <c r="DV7" s="275">
        <f t="shared" si="38"/>
        <v>10</v>
      </c>
      <c r="DW7" s="275">
        <f t="shared" si="38"/>
        <v>10</v>
      </c>
      <c r="DX7" s="275">
        <f t="shared" si="38"/>
        <v>10</v>
      </c>
      <c r="DY7" s="275">
        <f t="shared" si="38"/>
        <v>10</v>
      </c>
      <c r="DZ7" s="275">
        <f t="shared" si="38"/>
        <v>11</v>
      </c>
      <c r="EA7" s="275">
        <f t="shared" si="38"/>
        <v>11</v>
      </c>
      <c r="EB7" s="275">
        <f t="shared" si="38"/>
        <v>11</v>
      </c>
      <c r="EC7" s="275">
        <f t="shared" si="38"/>
        <v>11</v>
      </c>
      <c r="ED7" s="275">
        <f t="shared" si="38"/>
        <v>11</v>
      </c>
      <c r="EE7" s="275">
        <f t="shared" si="38"/>
        <v>11</v>
      </c>
    </row>
    <row r="8" spans="2:136" s="271" customFormat="1">
      <c r="B8" s="276" t="s">
        <v>138</v>
      </c>
      <c r="C8" s="276"/>
      <c r="D8" s="276"/>
      <c r="E8" s="277">
        <f>EOMONTH(I8,Assumptions!$L$17)</f>
        <v>45688</v>
      </c>
      <c r="F8" s="278">
        <f>E8</f>
        <v>45688</v>
      </c>
      <c r="G8" s="279" t="s">
        <v>84</v>
      </c>
      <c r="H8" s="279"/>
      <c r="I8" s="280">
        <f>+'Monthly Cash Flow'!K15</f>
        <v>42552</v>
      </c>
      <c r="J8" s="281">
        <f>EOMONTH(I8, 0)</f>
        <v>42582</v>
      </c>
      <c r="K8" s="281">
        <f t="shared" ref="K8:BV8" si="39">EOMONTH(J8, 1)</f>
        <v>42613</v>
      </c>
      <c r="L8" s="281">
        <f t="shared" si="39"/>
        <v>42643</v>
      </c>
      <c r="M8" s="281">
        <f t="shared" si="39"/>
        <v>42674</v>
      </c>
      <c r="N8" s="281">
        <f t="shared" si="39"/>
        <v>42704</v>
      </c>
      <c r="O8" s="281">
        <f t="shared" si="39"/>
        <v>42735</v>
      </c>
      <c r="P8" s="281">
        <f t="shared" si="39"/>
        <v>42766</v>
      </c>
      <c r="Q8" s="281">
        <f t="shared" si="39"/>
        <v>42794</v>
      </c>
      <c r="R8" s="281">
        <f t="shared" si="39"/>
        <v>42825</v>
      </c>
      <c r="S8" s="281">
        <f t="shared" si="39"/>
        <v>42855</v>
      </c>
      <c r="T8" s="281">
        <f t="shared" si="39"/>
        <v>42886</v>
      </c>
      <c r="U8" s="281">
        <f t="shared" si="39"/>
        <v>42916</v>
      </c>
      <c r="V8" s="281">
        <f t="shared" si="39"/>
        <v>42947</v>
      </c>
      <c r="W8" s="281">
        <f t="shared" si="39"/>
        <v>42978</v>
      </c>
      <c r="X8" s="281">
        <f t="shared" si="39"/>
        <v>43008</v>
      </c>
      <c r="Y8" s="281">
        <f t="shared" si="39"/>
        <v>43039</v>
      </c>
      <c r="Z8" s="281">
        <f t="shared" si="39"/>
        <v>43069</v>
      </c>
      <c r="AA8" s="281">
        <f t="shared" si="39"/>
        <v>43100</v>
      </c>
      <c r="AB8" s="281">
        <f t="shared" si="39"/>
        <v>43131</v>
      </c>
      <c r="AC8" s="281">
        <f t="shared" si="39"/>
        <v>43159</v>
      </c>
      <c r="AD8" s="281">
        <f t="shared" si="39"/>
        <v>43190</v>
      </c>
      <c r="AE8" s="281">
        <f t="shared" si="39"/>
        <v>43220</v>
      </c>
      <c r="AF8" s="281">
        <f t="shared" si="39"/>
        <v>43251</v>
      </c>
      <c r="AG8" s="281">
        <f t="shared" si="39"/>
        <v>43281</v>
      </c>
      <c r="AH8" s="281">
        <f t="shared" si="39"/>
        <v>43312</v>
      </c>
      <c r="AI8" s="281">
        <f t="shared" si="39"/>
        <v>43343</v>
      </c>
      <c r="AJ8" s="281">
        <f t="shared" si="39"/>
        <v>43373</v>
      </c>
      <c r="AK8" s="281">
        <f t="shared" si="39"/>
        <v>43404</v>
      </c>
      <c r="AL8" s="281">
        <f t="shared" si="39"/>
        <v>43434</v>
      </c>
      <c r="AM8" s="281">
        <f t="shared" si="39"/>
        <v>43465</v>
      </c>
      <c r="AN8" s="281">
        <f t="shared" si="39"/>
        <v>43496</v>
      </c>
      <c r="AO8" s="281">
        <f t="shared" si="39"/>
        <v>43524</v>
      </c>
      <c r="AP8" s="281">
        <f t="shared" si="39"/>
        <v>43555</v>
      </c>
      <c r="AQ8" s="281">
        <f t="shared" si="39"/>
        <v>43585</v>
      </c>
      <c r="AR8" s="281">
        <f t="shared" si="39"/>
        <v>43616</v>
      </c>
      <c r="AS8" s="281">
        <f t="shared" si="39"/>
        <v>43646</v>
      </c>
      <c r="AT8" s="281">
        <f t="shared" si="39"/>
        <v>43677</v>
      </c>
      <c r="AU8" s="281">
        <f t="shared" si="39"/>
        <v>43708</v>
      </c>
      <c r="AV8" s="281">
        <f t="shared" si="39"/>
        <v>43738</v>
      </c>
      <c r="AW8" s="281">
        <f t="shared" si="39"/>
        <v>43769</v>
      </c>
      <c r="AX8" s="281">
        <f t="shared" si="39"/>
        <v>43799</v>
      </c>
      <c r="AY8" s="281">
        <f t="shared" si="39"/>
        <v>43830</v>
      </c>
      <c r="AZ8" s="281">
        <f t="shared" si="39"/>
        <v>43861</v>
      </c>
      <c r="BA8" s="281">
        <f t="shared" si="39"/>
        <v>43890</v>
      </c>
      <c r="BB8" s="281">
        <f t="shared" si="39"/>
        <v>43921</v>
      </c>
      <c r="BC8" s="281">
        <f t="shared" si="39"/>
        <v>43951</v>
      </c>
      <c r="BD8" s="281">
        <f t="shared" si="39"/>
        <v>43982</v>
      </c>
      <c r="BE8" s="281">
        <f t="shared" si="39"/>
        <v>44012</v>
      </c>
      <c r="BF8" s="281">
        <f t="shared" si="39"/>
        <v>44043</v>
      </c>
      <c r="BG8" s="281">
        <f t="shared" si="39"/>
        <v>44074</v>
      </c>
      <c r="BH8" s="281">
        <f t="shared" si="39"/>
        <v>44104</v>
      </c>
      <c r="BI8" s="281">
        <f t="shared" si="39"/>
        <v>44135</v>
      </c>
      <c r="BJ8" s="281">
        <f t="shared" si="39"/>
        <v>44165</v>
      </c>
      <c r="BK8" s="281">
        <f t="shared" si="39"/>
        <v>44196</v>
      </c>
      <c r="BL8" s="281">
        <f t="shared" si="39"/>
        <v>44227</v>
      </c>
      <c r="BM8" s="281">
        <f t="shared" si="39"/>
        <v>44255</v>
      </c>
      <c r="BN8" s="281">
        <f t="shared" si="39"/>
        <v>44286</v>
      </c>
      <c r="BO8" s="281">
        <f t="shared" si="39"/>
        <v>44316</v>
      </c>
      <c r="BP8" s="281">
        <f t="shared" si="39"/>
        <v>44347</v>
      </c>
      <c r="BQ8" s="281">
        <f t="shared" si="39"/>
        <v>44377</v>
      </c>
      <c r="BR8" s="281">
        <f t="shared" si="39"/>
        <v>44408</v>
      </c>
      <c r="BS8" s="281">
        <f t="shared" si="39"/>
        <v>44439</v>
      </c>
      <c r="BT8" s="281">
        <f t="shared" si="39"/>
        <v>44469</v>
      </c>
      <c r="BU8" s="281">
        <f t="shared" si="39"/>
        <v>44500</v>
      </c>
      <c r="BV8" s="281">
        <f t="shared" si="39"/>
        <v>44530</v>
      </c>
      <c r="BW8" s="281">
        <f t="shared" ref="BW8:CZ8" si="40">EOMONTH(BV8, 1)</f>
        <v>44561</v>
      </c>
      <c r="BX8" s="281">
        <f t="shared" si="40"/>
        <v>44592</v>
      </c>
      <c r="BY8" s="281">
        <f t="shared" si="40"/>
        <v>44620</v>
      </c>
      <c r="BZ8" s="281">
        <f t="shared" si="40"/>
        <v>44651</v>
      </c>
      <c r="CA8" s="281">
        <f t="shared" si="40"/>
        <v>44681</v>
      </c>
      <c r="CB8" s="281">
        <f t="shared" si="40"/>
        <v>44712</v>
      </c>
      <c r="CC8" s="281">
        <f t="shared" si="40"/>
        <v>44742</v>
      </c>
      <c r="CD8" s="281">
        <f t="shared" si="40"/>
        <v>44773</v>
      </c>
      <c r="CE8" s="281">
        <f t="shared" si="40"/>
        <v>44804</v>
      </c>
      <c r="CF8" s="281">
        <f t="shared" si="40"/>
        <v>44834</v>
      </c>
      <c r="CG8" s="281">
        <f t="shared" si="40"/>
        <v>44865</v>
      </c>
      <c r="CH8" s="281">
        <f t="shared" si="40"/>
        <v>44895</v>
      </c>
      <c r="CI8" s="281">
        <f t="shared" si="40"/>
        <v>44926</v>
      </c>
      <c r="CJ8" s="281">
        <f t="shared" si="40"/>
        <v>44957</v>
      </c>
      <c r="CK8" s="281">
        <f t="shared" si="40"/>
        <v>44985</v>
      </c>
      <c r="CL8" s="281">
        <f t="shared" si="40"/>
        <v>45016</v>
      </c>
      <c r="CM8" s="281">
        <f t="shared" si="40"/>
        <v>45046</v>
      </c>
      <c r="CN8" s="281">
        <f t="shared" si="40"/>
        <v>45077</v>
      </c>
      <c r="CO8" s="281">
        <f t="shared" si="40"/>
        <v>45107</v>
      </c>
      <c r="CP8" s="281">
        <f t="shared" si="40"/>
        <v>45138</v>
      </c>
      <c r="CQ8" s="281">
        <f t="shared" si="40"/>
        <v>45169</v>
      </c>
      <c r="CR8" s="281">
        <f t="shared" si="40"/>
        <v>45199</v>
      </c>
      <c r="CS8" s="281">
        <f t="shared" si="40"/>
        <v>45230</v>
      </c>
      <c r="CT8" s="281">
        <f t="shared" si="40"/>
        <v>45260</v>
      </c>
      <c r="CU8" s="281">
        <f t="shared" si="40"/>
        <v>45291</v>
      </c>
      <c r="CV8" s="281">
        <f t="shared" si="40"/>
        <v>45322</v>
      </c>
      <c r="CW8" s="281">
        <f t="shared" si="40"/>
        <v>45351</v>
      </c>
      <c r="CX8" s="281">
        <f t="shared" si="40"/>
        <v>45382</v>
      </c>
      <c r="CY8" s="281">
        <f t="shared" si="40"/>
        <v>45412</v>
      </c>
      <c r="CZ8" s="281">
        <f t="shared" si="40"/>
        <v>45443</v>
      </c>
      <c r="DA8" s="281">
        <f t="shared" ref="DA8" si="41">EOMONTH(CZ8, 1)</f>
        <v>45473</v>
      </c>
      <c r="DB8" s="281">
        <f t="shared" ref="DB8" si="42">EOMONTH(DA8, 1)</f>
        <v>45504</v>
      </c>
      <c r="DC8" s="281">
        <f t="shared" ref="DC8" si="43">EOMONTH(DB8, 1)</f>
        <v>45535</v>
      </c>
      <c r="DD8" s="281">
        <f t="shared" ref="DD8" si="44">EOMONTH(DC8, 1)</f>
        <v>45565</v>
      </c>
      <c r="DE8" s="281">
        <f t="shared" ref="DE8" si="45">EOMONTH(DD8, 1)</f>
        <v>45596</v>
      </c>
      <c r="DF8" s="281">
        <f t="shared" ref="DF8" si="46">EOMONTH(DE8, 1)</f>
        <v>45626</v>
      </c>
      <c r="DG8" s="281">
        <f t="shared" ref="DG8" si="47">EOMONTH(DF8, 1)</f>
        <v>45657</v>
      </c>
      <c r="DH8" s="281">
        <f t="shared" ref="DH8" si="48">EOMONTH(DG8, 1)</f>
        <v>45688</v>
      </c>
      <c r="DI8" s="281">
        <f t="shared" ref="DI8" si="49">EOMONTH(DH8, 1)</f>
        <v>45716</v>
      </c>
      <c r="DJ8" s="281">
        <f t="shared" ref="DJ8" si="50">EOMONTH(DI8, 1)</f>
        <v>45747</v>
      </c>
      <c r="DK8" s="281">
        <f t="shared" ref="DK8" si="51">EOMONTH(DJ8, 1)</f>
        <v>45777</v>
      </c>
      <c r="DL8" s="281">
        <f t="shared" ref="DL8" si="52">EOMONTH(DK8, 1)</f>
        <v>45808</v>
      </c>
      <c r="DM8" s="281">
        <f t="shared" ref="DM8" si="53">EOMONTH(DL8, 1)</f>
        <v>45838</v>
      </c>
      <c r="DN8" s="281">
        <f t="shared" ref="DN8" si="54">EOMONTH(DM8, 1)</f>
        <v>45869</v>
      </c>
      <c r="DO8" s="281">
        <f t="shared" ref="DO8" si="55">EOMONTH(DN8, 1)</f>
        <v>45900</v>
      </c>
      <c r="DP8" s="281">
        <f t="shared" ref="DP8" si="56">EOMONTH(DO8, 1)</f>
        <v>45930</v>
      </c>
      <c r="DQ8" s="281">
        <f t="shared" ref="DQ8" si="57">EOMONTH(DP8, 1)</f>
        <v>45961</v>
      </c>
      <c r="DR8" s="281">
        <f t="shared" ref="DR8" si="58">EOMONTH(DQ8, 1)</f>
        <v>45991</v>
      </c>
      <c r="DS8" s="281">
        <f t="shared" ref="DS8" si="59">EOMONTH(DR8, 1)</f>
        <v>46022</v>
      </c>
      <c r="DT8" s="281">
        <f t="shared" ref="DT8" si="60">EOMONTH(DS8, 1)</f>
        <v>46053</v>
      </c>
      <c r="DU8" s="281">
        <f t="shared" ref="DU8" si="61">EOMONTH(DT8, 1)</f>
        <v>46081</v>
      </c>
      <c r="DV8" s="281">
        <f t="shared" ref="DV8" si="62">EOMONTH(DU8, 1)</f>
        <v>46112</v>
      </c>
      <c r="DW8" s="281">
        <f t="shared" ref="DW8" si="63">EOMONTH(DV8, 1)</f>
        <v>46142</v>
      </c>
      <c r="DX8" s="281">
        <f t="shared" ref="DX8" si="64">EOMONTH(DW8, 1)</f>
        <v>46173</v>
      </c>
      <c r="DY8" s="281">
        <f t="shared" ref="DY8" si="65">EOMONTH(DX8, 1)</f>
        <v>46203</v>
      </c>
      <c r="DZ8" s="281">
        <f t="shared" ref="DZ8" si="66">EOMONTH(DY8, 1)</f>
        <v>46234</v>
      </c>
      <c r="EA8" s="281">
        <f t="shared" ref="EA8" si="67">EOMONTH(DZ8, 1)</f>
        <v>46265</v>
      </c>
      <c r="EB8" s="281">
        <f t="shared" ref="EB8" si="68">EOMONTH(EA8, 1)</f>
        <v>46295</v>
      </c>
      <c r="EC8" s="281">
        <f t="shared" ref="EC8" si="69">EOMONTH(EB8, 1)</f>
        <v>46326</v>
      </c>
      <c r="ED8" s="281">
        <f t="shared" ref="ED8" si="70">EOMONTH(EC8, 1)</f>
        <v>46356</v>
      </c>
      <c r="EE8" s="281">
        <f t="shared" ref="EE8" si="71">EOMONTH(ED8, 1)</f>
        <v>46387</v>
      </c>
      <c r="EF8" s="276"/>
    </row>
    <row r="9" spans="2:136" s="271" customFormat="1">
      <c r="E9" s="282"/>
      <c r="F9" s="278"/>
      <c r="G9" s="272"/>
      <c r="H9" s="272"/>
      <c r="I9" s="283"/>
      <c r="J9" s="284"/>
      <c r="K9" s="284"/>
      <c r="L9" s="284"/>
      <c r="M9" s="284"/>
      <c r="N9" s="284"/>
      <c r="O9" s="284"/>
      <c r="P9" s="284"/>
      <c r="Q9" s="284"/>
      <c r="R9" s="284"/>
      <c r="S9" s="284"/>
      <c r="T9" s="284"/>
      <c r="U9" s="284"/>
      <c r="V9" s="284"/>
      <c r="W9" s="284"/>
      <c r="X9" s="284"/>
      <c r="Y9" s="284"/>
      <c r="Z9" s="284"/>
      <c r="AA9" s="284"/>
      <c r="AB9" s="284"/>
      <c r="AC9" s="284"/>
      <c r="AD9" s="284"/>
      <c r="AE9" s="284"/>
      <c r="AF9" s="284"/>
      <c r="AG9" s="284"/>
      <c r="AH9" s="284"/>
      <c r="AI9" s="284"/>
      <c r="AJ9" s="284"/>
      <c r="AK9" s="284"/>
      <c r="AL9" s="284"/>
      <c r="AM9" s="284"/>
      <c r="AN9" s="284"/>
      <c r="AO9" s="284"/>
      <c r="AP9" s="284"/>
      <c r="AQ9" s="284"/>
      <c r="AR9" s="284"/>
      <c r="AS9" s="284"/>
      <c r="AT9" s="284"/>
      <c r="AU9" s="284"/>
      <c r="AV9" s="284"/>
      <c r="AW9" s="284"/>
      <c r="AX9" s="284"/>
      <c r="AY9" s="284"/>
      <c r="AZ9" s="284"/>
      <c r="BA9" s="284"/>
      <c r="BB9" s="284"/>
      <c r="BC9" s="284"/>
      <c r="BD9" s="284"/>
      <c r="BE9" s="284"/>
      <c r="BF9" s="284"/>
      <c r="BG9" s="284"/>
      <c r="BH9" s="284"/>
      <c r="BI9" s="284"/>
      <c r="BJ9" s="284"/>
      <c r="BK9" s="284"/>
      <c r="BL9" s="284"/>
      <c r="BM9" s="284"/>
      <c r="BN9" s="284"/>
      <c r="BO9" s="284"/>
      <c r="BP9" s="284"/>
      <c r="BQ9" s="284"/>
      <c r="BR9" s="284"/>
      <c r="BS9" s="284"/>
      <c r="BT9" s="284"/>
      <c r="BU9" s="284"/>
      <c r="BV9" s="284"/>
      <c r="BW9" s="284"/>
      <c r="BX9" s="284"/>
      <c r="BY9" s="284"/>
      <c r="BZ9" s="284"/>
      <c r="CA9" s="284"/>
      <c r="CB9" s="284"/>
      <c r="CC9" s="284"/>
      <c r="CD9" s="284"/>
      <c r="CE9" s="284"/>
      <c r="CF9" s="284"/>
      <c r="CG9" s="284"/>
      <c r="CH9" s="284"/>
      <c r="CI9" s="284"/>
      <c r="CJ9" s="284"/>
      <c r="CK9" s="284"/>
      <c r="CL9" s="284"/>
      <c r="CM9" s="284"/>
      <c r="CN9" s="284"/>
      <c r="CO9" s="284"/>
      <c r="CP9" s="284"/>
      <c r="CQ9" s="284"/>
      <c r="CR9" s="284"/>
      <c r="CS9" s="284"/>
      <c r="CT9" s="284"/>
      <c r="CU9" s="284"/>
      <c r="CV9" s="284"/>
      <c r="CW9" s="284"/>
      <c r="CX9" s="284"/>
      <c r="CY9" s="284"/>
      <c r="CZ9" s="284"/>
      <c r="DA9" s="284"/>
      <c r="DB9" s="284"/>
      <c r="DC9" s="284"/>
      <c r="DD9" s="284"/>
      <c r="DE9" s="284"/>
      <c r="DF9" s="284"/>
      <c r="DG9" s="284"/>
      <c r="DH9" s="284"/>
      <c r="DI9" s="284"/>
      <c r="DJ9" s="284"/>
      <c r="DK9" s="284"/>
      <c r="DL9" s="284"/>
      <c r="DM9" s="284"/>
      <c r="DN9" s="284"/>
      <c r="DO9" s="284"/>
      <c r="DP9" s="284"/>
      <c r="DQ9" s="284"/>
      <c r="DR9" s="284"/>
      <c r="DS9" s="284"/>
      <c r="DT9" s="284"/>
      <c r="DU9" s="284"/>
      <c r="DV9" s="284"/>
      <c r="DW9" s="284"/>
      <c r="DX9" s="284"/>
      <c r="DY9" s="284"/>
      <c r="DZ9" s="284"/>
      <c r="EA9" s="284"/>
      <c r="EB9" s="284"/>
      <c r="EC9" s="284"/>
      <c r="ED9" s="284"/>
      <c r="EE9" s="284"/>
    </row>
    <row r="10" spans="2:136" s="271" customFormat="1" ht="18">
      <c r="B10" s="285" t="s">
        <v>152</v>
      </c>
      <c r="C10" s="286"/>
      <c r="D10" s="286"/>
      <c r="E10" s="286"/>
      <c r="F10" s="286"/>
      <c r="G10" s="287"/>
      <c r="H10"/>
      <c r="L10" s="284"/>
      <c r="M10" s="284"/>
      <c r="N10" s="284"/>
      <c r="O10" s="284"/>
      <c r="P10" s="284"/>
      <c r="Q10" s="284"/>
      <c r="R10" s="284"/>
      <c r="S10" s="284"/>
      <c r="T10" s="284"/>
      <c r="U10" s="284"/>
      <c r="V10" s="284"/>
      <c r="W10" s="284"/>
      <c r="X10" s="284"/>
      <c r="Y10" s="284"/>
      <c r="Z10" s="284"/>
      <c r="AA10" s="284"/>
      <c r="AB10" s="284"/>
      <c r="AC10" s="284"/>
      <c r="AD10" s="284"/>
      <c r="AE10" s="284"/>
      <c r="AF10" s="284"/>
      <c r="AG10" s="284"/>
      <c r="AH10" s="284"/>
      <c r="AI10" s="284"/>
      <c r="AJ10" s="284"/>
      <c r="AK10" s="284"/>
      <c r="AL10" s="284"/>
      <c r="AM10" s="284"/>
      <c r="AN10" s="284"/>
      <c r="AO10" s="284"/>
      <c r="AP10" s="284"/>
      <c r="AQ10" s="284"/>
      <c r="AR10" s="284"/>
      <c r="AS10" s="284"/>
      <c r="AT10" s="284"/>
      <c r="AU10" s="284"/>
      <c r="AV10" s="284"/>
      <c r="AW10" s="284"/>
      <c r="AX10" s="284"/>
      <c r="AY10" s="284"/>
      <c r="AZ10" s="284"/>
      <c r="BA10" s="284"/>
      <c r="BB10" s="284"/>
      <c r="BC10" s="284"/>
      <c r="BD10" s="284"/>
      <c r="BE10" s="284"/>
      <c r="BF10" s="284"/>
      <c r="BG10" s="284"/>
      <c r="BH10" s="284"/>
      <c r="BI10" s="284"/>
      <c r="BJ10" s="284"/>
      <c r="BK10" s="284"/>
      <c r="BL10" s="284"/>
      <c r="BM10" s="284"/>
      <c r="BN10" s="284"/>
      <c r="BO10" s="284"/>
      <c r="BP10" s="284"/>
      <c r="BQ10" s="284"/>
      <c r="BR10" s="284"/>
      <c r="BS10" s="284"/>
      <c r="BT10" s="284"/>
      <c r="BU10" s="284"/>
      <c r="BV10" s="284"/>
      <c r="BW10" s="284"/>
      <c r="BX10" s="284"/>
      <c r="BY10" s="284"/>
      <c r="BZ10" s="284"/>
      <c r="CA10" s="284"/>
      <c r="CB10" s="284"/>
      <c r="CC10" s="284"/>
      <c r="CD10" s="284"/>
      <c r="CE10" s="284"/>
      <c r="CF10" s="284"/>
      <c r="CG10" s="284"/>
      <c r="CH10" s="284"/>
      <c r="CI10" s="284"/>
      <c r="CJ10" s="284"/>
      <c r="CK10" s="284"/>
      <c r="CL10" s="284"/>
      <c r="CM10" s="284"/>
      <c r="CN10" s="284"/>
      <c r="CO10" s="284"/>
      <c r="CP10" s="284"/>
      <c r="CQ10" s="284"/>
      <c r="CR10" s="284"/>
      <c r="CS10" s="284"/>
      <c r="CT10" s="284"/>
      <c r="CU10" s="284"/>
      <c r="CV10" s="284"/>
      <c r="CW10" s="284"/>
      <c r="CX10" s="284"/>
      <c r="CY10" s="284"/>
      <c r="CZ10" s="284"/>
      <c r="DA10" s="284"/>
      <c r="DB10" s="284"/>
      <c r="DC10" s="284"/>
      <c r="DD10" s="284"/>
      <c r="DE10" s="284"/>
      <c r="DF10" s="284"/>
      <c r="DG10" s="284"/>
      <c r="DH10" s="284"/>
      <c r="DI10" s="284"/>
      <c r="DJ10" s="284"/>
      <c r="DK10" s="284"/>
      <c r="DL10" s="284"/>
      <c r="DM10" s="284"/>
      <c r="DN10" s="284"/>
      <c r="DO10" s="284"/>
      <c r="DP10" s="284"/>
      <c r="DQ10" s="284"/>
      <c r="DR10" s="284"/>
      <c r="DS10" s="284"/>
      <c r="DT10" s="284"/>
      <c r="DU10" s="284"/>
      <c r="DV10" s="284"/>
      <c r="DW10" s="284"/>
      <c r="DX10" s="284"/>
      <c r="DY10" s="284"/>
      <c r="DZ10" s="284"/>
      <c r="EA10" s="284"/>
      <c r="EB10" s="284"/>
      <c r="EC10" s="284"/>
      <c r="ED10" s="284"/>
      <c r="EE10" s="284"/>
    </row>
    <row r="11" spans="2:136" s="271" customFormat="1" ht="15">
      <c r="B11" s="265" t="s">
        <v>153</v>
      </c>
      <c r="C11" s="265"/>
      <c r="D11" s="265"/>
      <c r="E11" s="265"/>
      <c r="F11" s="265"/>
      <c r="G11" s="288">
        <f>+Assumptions!R6</f>
        <v>0.98</v>
      </c>
      <c r="H11"/>
      <c r="L11" s="284"/>
      <c r="M11" s="284"/>
      <c r="N11" s="284"/>
      <c r="O11" s="284"/>
      <c r="P11" s="284"/>
      <c r="Q11" s="284"/>
      <c r="R11" s="284"/>
      <c r="S11" s="284"/>
      <c r="T11" s="284"/>
      <c r="U11" s="284"/>
      <c r="V11" s="284"/>
      <c r="W11" s="284"/>
      <c r="X11" s="284"/>
      <c r="Y11" s="284"/>
      <c r="Z11" s="284"/>
      <c r="AA11" s="284"/>
      <c r="AB11" s="284"/>
      <c r="AC11" s="284"/>
      <c r="AD11" s="284"/>
      <c r="AE11" s="284"/>
      <c r="AF11" s="284"/>
      <c r="AG11" s="284"/>
      <c r="AH11" s="284"/>
      <c r="AI11" s="284"/>
      <c r="AJ11" s="284"/>
      <c r="AK11" s="284"/>
      <c r="AL11" s="284"/>
      <c r="AM11" s="284"/>
      <c r="AN11" s="284"/>
      <c r="AO11" s="284"/>
      <c r="AP11" s="284"/>
      <c r="AQ11" s="284"/>
      <c r="AR11" s="284"/>
      <c r="AS11" s="284"/>
      <c r="AT11" s="284"/>
      <c r="AU11" s="284"/>
      <c r="AV11" s="284"/>
      <c r="AW11" s="284"/>
      <c r="AX11" s="284"/>
      <c r="AY11" s="284"/>
      <c r="AZ11" s="284"/>
      <c r="BA11" s="284"/>
      <c r="BB11" s="284"/>
      <c r="BC11" s="284"/>
      <c r="BD11" s="284"/>
      <c r="BE11" s="284"/>
      <c r="BF11" s="284"/>
      <c r="BG11" s="284"/>
      <c r="BH11" s="284"/>
      <c r="BI11" s="284"/>
      <c r="BJ11" s="284"/>
      <c r="BK11" s="284"/>
      <c r="BL11" s="284"/>
      <c r="BM11" s="284"/>
      <c r="BN11" s="284"/>
      <c r="BO11" s="284"/>
      <c r="BP11" s="284"/>
      <c r="BQ11" s="284"/>
      <c r="BR11" s="284"/>
      <c r="BS11" s="284"/>
      <c r="BT11" s="284"/>
      <c r="BU11" s="284"/>
      <c r="BV11" s="284"/>
      <c r="BW11" s="284"/>
      <c r="BX11" s="284"/>
      <c r="BY11" s="284"/>
      <c r="BZ11" s="284"/>
      <c r="CA11" s="284"/>
      <c r="CB11" s="284"/>
      <c r="CC11" s="284"/>
      <c r="CD11" s="284"/>
      <c r="CE11" s="284"/>
      <c r="CF11" s="284"/>
      <c r="CG11" s="284"/>
      <c r="CH11" s="284"/>
      <c r="CI11" s="284"/>
      <c r="CJ11" s="284"/>
      <c r="CK11" s="284"/>
      <c r="CL11" s="284"/>
      <c r="CM11" s="284"/>
      <c r="CN11" s="284"/>
      <c r="CO11" s="284"/>
      <c r="CP11" s="284"/>
      <c r="CQ11" s="284"/>
      <c r="CR11" s="284"/>
      <c r="CS11" s="284"/>
      <c r="CT11" s="284"/>
      <c r="CU11" s="284"/>
      <c r="CV11" s="284"/>
      <c r="CW11" s="284"/>
      <c r="CX11" s="284"/>
      <c r="CY11" s="284"/>
      <c r="CZ11" s="284"/>
      <c r="DA11" s="284"/>
      <c r="DB11" s="284"/>
      <c r="DC11" s="284"/>
      <c r="DD11" s="284"/>
      <c r="DE11" s="284"/>
      <c r="DF11" s="284"/>
      <c r="DG11" s="284"/>
      <c r="DH11" s="284"/>
      <c r="DI11" s="284"/>
      <c r="DJ11" s="284"/>
      <c r="DK11" s="284"/>
      <c r="DL11" s="284"/>
      <c r="DM11" s="284"/>
      <c r="DN11" s="284"/>
      <c r="DO11" s="284"/>
      <c r="DP11" s="284"/>
      <c r="DQ11" s="284"/>
      <c r="DR11" s="284"/>
      <c r="DS11" s="284"/>
      <c r="DT11" s="284"/>
      <c r="DU11" s="284"/>
      <c r="DV11" s="284"/>
      <c r="DW11" s="284"/>
      <c r="DX11" s="284"/>
      <c r="DY11" s="284"/>
      <c r="DZ11" s="284"/>
      <c r="EA11" s="284"/>
      <c r="EB11" s="284"/>
      <c r="EC11" s="284"/>
      <c r="ED11" s="284"/>
      <c r="EE11" s="284"/>
    </row>
    <row r="12" spans="2:136" s="271" customFormat="1" ht="18">
      <c r="B12" s="265"/>
      <c r="C12" s="265"/>
      <c r="D12" s="289" t="s">
        <v>90</v>
      </c>
      <c r="E12" s="289" t="s">
        <v>154</v>
      </c>
      <c r="F12" s="290" t="s">
        <v>155</v>
      </c>
      <c r="G12" s="290"/>
      <c r="H12"/>
      <c r="L12" s="284"/>
      <c r="M12" s="284"/>
      <c r="N12" s="284"/>
      <c r="O12" s="284"/>
      <c r="P12" s="284"/>
      <c r="Q12" s="284"/>
      <c r="R12" s="284"/>
      <c r="S12" s="284"/>
      <c r="T12" s="284"/>
      <c r="U12" s="284"/>
      <c r="V12" s="284"/>
      <c r="W12" s="284"/>
      <c r="X12" s="284"/>
      <c r="Y12" s="284"/>
      <c r="Z12" s="284"/>
      <c r="AA12" s="284"/>
      <c r="AB12" s="284"/>
      <c r="AC12" s="284"/>
      <c r="AD12" s="284"/>
      <c r="AE12" s="284"/>
      <c r="AF12" s="284"/>
      <c r="AG12" s="284"/>
      <c r="AH12" s="284"/>
      <c r="AI12" s="284"/>
      <c r="AJ12" s="284"/>
      <c r="AK12" s="284"/>
      <c r="AL12" s="284"/>
      <c r="AM12" s="284"/>
      <c r="AN12" s="284"/>
      <c r="AO12" s="284"/>
      <c r="AP12" s="284"/>
      <c r="AQ12" s="284"/>
      <c r="AR12" s="284"/>
      <c r="AS12" s="284"/>
      <c r="AT12" s="284"/>
      <c r="AU12" s="284"/>
      <c r="AV12" s="284"/>
      <c r="AW12" s="284"/>
      <c r="AX12" s="284"/>
      <c r="AY12" s="284"/>
      <c r="AZ12" s="284"/>
      <c r="BA12" s="284"/>
      <c r="BB12" s="284"/>
      <c r="BC12" s="284"/>
      <c r="BD12" s="284"/>
      <c r="BE12" s="284"/>
      <c r="BF12" s="284"/>
      <c r="BG12" s="284"/>
      <c r="BH12" s="284"/>
      <c r="BI12" s="284"/>
      <c r="BJ12" s="284"/>
      <c r="BK12" s="284"/>
      <c r="BL12" s="284"/>
      <c r="BM12" s="284"/>
      <c r="BN12" s="284"/>
      <c r="BO12" s="284"/>
      <c r="BP12" s="284"/>
      <c r="BQ12" s="284"/>
      <c r="BR12" s="284"/>
      <c r="BS12" s="284"/>
      <c r="BT12" s="284"/>
      <c r="BU12" s="284"/>
      <c r="BV12" s="284"/>
      <c r="BW12" s="284"/>
      <c r="BX12" s="284"/>
      <c r="BY12" s="284"/>
      <c r="BZ12" s="284"/>
      <c r="CA12" s="284"/>
      <c r="CB12" s="284"/>
      <c r="CC12" s="284"/>
      <c r="CD12" s="284"/>
      <c r="CE12" s="284"/>
      <c r="CF12" s="284"/>
      <c r="CG12" s="284"/>
      <c r="CH12" s="284"/>
      <c r="CI12" s="284"/>
      <c r="CJ12" s="284"/>
      <c r="CK12" s="284"/>
      <c r="CL12" s="284"/>
      <c r="CM12" s="284"/>
      <c r="CN12" s="284"/>
      <c r="CO12" s="284"/>
      <c r="CP12" s="284"/>
      <c r="CQ12" s="284"/>
      <c r="CR12" s="284"/>
      <c r="CS12" s="284"/>
      <c r="CT12" s="284"/>
      <c r="CU12" s="284"/>
      <c r="CV12" s="284"/>
      <c r="CW12" s="284"/>
      <c r="CX12" s="284"/>
      <c r="CY12" s="284"/>
      <c r="CZ12" s="284"/>
      <c r="DA12" s="284"/>
      <c r="DB12" s="284"/>
      <c r="DC12" s="284"/>
      <c r="DD12" s="284"/>
      <c r="DE12" s="284"/>
      <c r="DF12" s="284"/>
      <c r="DG12" s="284"/>
      <c r="DH12" s="284"/>
      <c r="DI12" s="284"/>
      <c r="DJ12" s="284"/>
      <c r="DK12" s="284"/>
      <c r="DL12" s="284"/>
      <c r="DM12" s="284"/>
      <c r="DN12" s="284"/>
      <c r="DO12" s="284"/>
      <c r="DP12" s="284"/>
      <c r="DQ12" s="284"/>
      <c r="DR12" s="284"/>
      <c r="DS12" s="284"/>
      <c r="DT12" s="284"/>
      <c r="DU12" s="284"/>
      <c r="DV12" s="284"/>
      <c r="DW12" s="284"/>
      <c r="DX12" s="284"/>
      <c r="DY12" s="284"/>
      <c r="DZ12" s="284"/>
      <c r="EA12" s="284"/>
      <c r="EB12" s="284"/>
      <c r="EC12" s="284"/>
      <c r="ED12" s="284"/>
      <c r="EE12" s="284"/>
    </row>
    <row r="13" spans="2:136" s="271" customFormat="1" ht="18">
      <c r="B13" s="291"/>
      <c r="C13" s="265"/>
      <c r="D13" s="290" t="s">
        <v>9</v>
      </c>
      <c r="E13" s="290" t="s">
        <v>81</v>
      </c>
      <c r="F13" s="290" t="s">
        <v>156</v>
      </c>
      <c r="G13" s="290" t="s">
        <v>157</v>
      </c>
      <c r="H13"/>
      <c r="L13" s="284"/>
      <c r="M13" s="284"/>
      <c r="N13" s="284"/>
      <c r="O13" s="284"/>
      <c r="P13" s="284"/>
      <c r="Q13" s="284"/>
      <c r="R13" s="284"/>
      <c r="S13" s="284"/>
      <c r="T13" s="284"/>
      <c r="U13" s="284"/>
      <c r="V13" s="284"/>
      <c r="W13" s="284"/>
      <c r="X13" s="284"/>
      <c r="Y13" s="284"/>
      <c r="Z13" s="284"/>
      <c r="AA13" s="284"/>
      <c r="AB13" s="284"/>
      <c r="AC13" s="284"/>
      <c r="AD13" s="284"/>
      <c r="AE13" s="284"/>
      <c r="AF13" s="284"/>
      <c r="AG13" s="284"/>
      <c r="AH13" s="284"/>
      <c r="AI13" s="284"/>
      <c r="AJ13" s="284"/>
      <c r="AK13" s="284"/>
      <c r="AL13" s="284"/>
      <c r="AM13" s="284"/>
      <c r="AN13" s="284"/>
      <c r="AO13" s="284"/>
      <c r="AP13" s="284"/>
      <c r="AQ13" s="284"/>
      <c r="AR13" s="284"/>
      <c r="AS13" s="284"/>
      <c r="AT13" s="284"/>
      <c r="AU13" s="284"/>
      <c r="AV13" s="284"/>
      <c r="AW13" s="284"/>
      <c r="AX13" s="284"/>
      <c r="AY13" s="284"/>
      <c r="AZ13" s="284"/>
      <c r="BA13" s="284"/>
      <c r="BB13" s="284"/>
      <c r="BC13" s="284"/>
      <c r="BD13" s="284"/>
      <c r="BE13" s="284"/>
      <c r="BF13" s="284"/>
      <c r="BG13" s="284"/>
      <c r="BH13" s="284"/>
      <c r="BI13" s="284"/>
      <c r="BJ13" s="284"/>
      <c r="BK13" s="284"/>
      <c r="BL13" s="284"/>
      <c r="BM13" s="284"/>
      <c r="BN13" s="284"/>
      <c r="BO13" s="284"/>
      <c r="BP13" s="284"/>
      <c r="BQ13" s="284"/>
      <c r="BR13" s="284"/>
      <c r="BS13" s="284"/>
      <c r="BT13" s="284"/>
      <c r="BU13" s="284"/>
      <c r="BV13" s="284"/>
      <c r="BW13" s="284"/>
      <c r="BX13" s="284"/>
      <c r="BY13" s="284"/>
      <c r="BZ13" s="284"/>
      <c r="CA13" s="284"/>
      <c r="CB13" s="284"/>
      <c r="CC13" s="284"/>
      <c r="CD13" s="284"/>
      <c r="CE13" s="284"/>
      <c r="CF13" s="284"/>
      <c r="CG13" s="284"/>
      <c r="CH13" s="284"/>
      <c r="CI13" s="284"/>
      <c r="CJ13" s="284"/>
      <c r="CK13" s="284"/>
      <c r="CL13" s="284"/>
      <c r="CM13" s="284"/>
      <c r="CN13" s="284"/>
      <c r="CO13" s="284"/>
      <c r="CP13" s="284"/>
      <c r="CQ13" s="284"/>
      <c r="CR13" s="284"/>
      <c r="CS13" s="284"/>
      <c r="CT13" s="284"/>
      <c r="CU13" s="284"/>
      <c r="CV13" s="284"/>
      <c r="CW13" s="284"/>
      <c r="CX13" s="284"/>
      <c r="CY13" s="284"/>
      <c r="CZ13" s="284"/>
      <c r="DA13" s="284"/>
      <c r="DB13" s="284"/>
      <c r="DC13" s="284"/>
      <c r="DD13" s="284"/>
      <c r="DE13" s="284"/>
      <c r="DF13" s="284"/>
      <c r="DG13" s="284"/>
      <c r="DH13" s="284"/>
      <c r="DI13" s="284"/>
      <c r="DJ13" s="284"/>
      <c r="DK13" s="284"/>
      <c r="DL13" s="284"/>
      <c r="DM13" s="284"/>
      <c r="DN13" s="284"/>
      <c r="DO13" s="284"/>
      <c r="DP13" s="284"/>
      <c r="DQ13" s="284"/>
      <c r="DR13" s="284"/>
      <c r="DS13" s="284"/>
      <c r="DT13" s="284"/>
      <c r="DU13" s="284"/>
      <c r="DV13" s="284"/>
      <c r="DW13" s="284"/>
      <c r="DX13" s="284"/>
      <c r="DY13" s="284"/>
      <c r="DZ13" s="284"/>
      <c r="EA13" s="284"/>
      <c r="EB13" s="284"/>
      <c r="EC13" s="284"/>
      <c r="ED13" s="284"/>
      <c r="EE13" s="284"/>
    </row>
    <row r="14" spans="2:136" s="271" customFormat="1" ht="12.75" customHeight="1">
      <c r="B14" s="265" t="s">
        <v>158</v>
      </c>
      <c r="C14" s="265"/>
      <c r="D14" s="265"/>
      <c r="E14" s="265"/>
      <c r="F14" s="292">
        <f>+Assumptions!Q9</f>
        <v>1</v>
      </c>
      <c r="G14" s="293">
        <f t="shared" ref="G14" si="72">1-F14</f>
        <v>0</v>
      </c>
      <c r="H14" s="293"/>
      <c r="L14" s="284"/>
      <c r="M14" s="284"/>
      <c r="N14" s="284"/>
      <c r="O14" s="284"/>
      <c r="P14" s="284"/>
      <c r="Q14" s="284"/>
      <c r="R14" s="284"/>
      <c r="S14" s="284"/>
      <c r="T14" s="284"/>
      <c r="U14" s="284"/>
      <c r="V14" s="284"/>
      <c r="W14" s="284"/>
      <c r="X14" s="284"/>
      <c r="Y14" s="284"/>
      <c r="Z14" s="284"/>
      <c r="AA14" s="284"/>
      <c r="AB14" s="284"/>
      <c r="AC14" s="284"/>
      <c r="AD14" s="284"/>
      <c r="AE14" s="284"/>
      <c r="AF14" s="284"/>
      <c r="AG14" s="284"/>
      <c r="AH14" s="284"/>
      <c r="AI14" s="284"/>
      <c r="AJ14" s="284"/>
      <c r="AK14" s="284"/>
      <c r="AL14" s="284"/>
      <c r="AM14" s="284"/>
      <c r="AN14" s="284"/>
      <c r="AO14" s="284"/>
      <c r="AP14" s="284"/>
      <c r="AQ14" s="284"/>
      <c r="AR14" s="284"/>
      <c r="AS14" s="284"/>
      <c r="AT14" s="284"/>
      <c r="AU14" s="284"/>
      <c r="AV14" s="284"/>
      <c r="AW14" s="284"/>
      <c r="AX14" s="284"/>
      <c r="AY14" s="284"/>
      <c r="AZ14" s="284"/>
      <c r="BA14" s="284"/>
      <c r="BB14" s="284"/>
      <c r="BC14" s="284"/>
      <c r="BD14" s="284"/>
      <c r="BE14" s="284"/>
      <c r="BF14" s="284"/>
      <c r="BG14" s="284"/>
      <c r="BH14" s="284"/>
      <c r="BI14" s="284"/>
      <c r="BJ14" s="284"/>
      <c r="BK14" s="284"/>
      <c r="BL14" s="284"/>
      <c r="BM14" s="284"/>
      <c r="BN14" s="284"/>
      <c r="BO14" s="284"/>
      <c r="BP14" s="284"/>
      <c r="BQ14" s="284"/>
      <c r="BR14" s="284"/>
      <c r="BS14" s="284"/>
      <c r="BT14" s="284"/>
      <c r="BU14" s="284"/>
      <c r="BV14" s="284"/>
      <c r="BW14" s="284"/>
      <c r="BX14" s="284"/>
      <c r="BY14" s="284"/>
      <c r="BZ14" s="284"/>
      <c r="CA14" s="284"/>
      <c r="CB14" s="284"/>
      <c r="CC14" s="284"/>
      <c r="CD14" s="284"/>
      <c r="CE14" s="284"/>
      <c r="CF14" s="284"/>
      <c r="CG14" s="284"/>
      <c r="CH14" s="284"/>
      <c r="CI14" s="284"/>
      <c r="CJ14" s="284"/>
      <c r="CK14" s="284"/>
      <c r="CL14" s="284"/>
      <c r="CM14" s="284"/>
      <c r="CN14" s="284"/>
      <c r="CO14" s="284"/>
      <c r="CP14" s="284"/>
      <c r="CQ14" s="284"/>
      <c r="CR14" s="284"/>
      <c r="CS14" s="284"/>
      <c r="CT14" s="284"/>
      <c r="CU14" s="284"/>
      <c r="CV14" s="284"/>
      <c r="CW14" s="284"/>
      <c r="CX14" s="284"/>
      <c r="CY14" s="284"/>
      <c r="CZ14" s="284"/>
      <c r="DA14" s="284"/>
      <c r="DB14" s="284"/>
      <c r="DC14" s="284"/>
      <c r="DD14" s="284"/>
      <c r="DE14" s="284"/>
      <c r="DF14" s="284"/>
      <c r="DG14" s="284"/>
      <c r="DH14" s="284"/>
      <c r="DI14" s="284"/>
      <c r="DJ14" s="284"/>
      <c r="DK14" s="284"/>
      <c r="DL14" s="284"/>
      <c r="DM14" s="284"/>
      <c r="DN14" s="284"/>
      <c r="DO14" s="284"/>
      <c r="DP14" s="284"/>
      <c r="DQ14" s="284"/>
      <c r="DR14" s="284"/>
      <c r="DS14" s="284"/>
      <c r="DT14" s="284"/>
      <c r="DU14" s="284"/>
      <c r="DV14" s="284"/>
      <c r="DW14" s="284"/>
      <c r="DX14" s="284"/>
      <c r="DY14" s="284"/>
      <c r="DZ14" s="284"/>
      <c r="EA14" s="284"/>
      <c r="EB14" s="284"/>
      <c r="EC14" s="284"/>
      <c r="ED14" s="284"/>
      <c r="EE14" s="284"/>
    </row>
    <row r="15" spans="2:136" s="271" customFormat="1">
      <c r="B15" s="265" t="s">
        <v>159</v>
      </c>
      <c r="C15" s="265"/>
      <c r="D15" s="265"/>
      <c r="E15" s="265"/>
      <c r="F15" s="265"/>
      <c r="G15" s="265"/>
      <c r="H15" s="265"/>
      <c r="L15" s="284"/>
      <c r="M15" s="284"/>
      <c r="N15" s="284"/>
      <c r="O15" s="284"/>
      <c r="P15" s="284"/>
      <c r="Q15" s="284"/>
      <c r="R15" s="284"/>
      <c r="S15" s="284"/>
      <c r="T15" s="284"/>
      <c r="U15" s="284"/>
      <c r="V15" s="284"/>
      <c r="W15" s="284"/>
      <c r="X15" s="284"/>
      <c r="Y15" s="284"/>
      <c r="Z15" s="284"/>
      <c r="AA15" s="284"/>
      <c r="AB15" s="284"/>
      <c r="AC15" s="284"/>
      <c r="AD15" s="284"/>
      <c r="AE15" s="284"/>
      <c r="AF15" s="284"/>
      <c r="AG15" s="284"/>
      <c r="AH15" s="284"/>
      <c r="AI15" s="284"/>
      <c r="AJ15" s="284"/>
      <c r="AK15" s="284"/>
      <c r="AL15" s="284"/>
      <c r="AM15" s="284"/>
      <c r="AN15" s="284"/>
      <c r="AO15" s="284"/>
      <c r="AP15" s="284"/>
      <c r="AQ15" s="284"/>
      <c r="AR15" s="284"/>
      <c r="AS15" s="284"/>
      <c r="AT15" s="284"/>
      <c r="AU15" s="284"/>
      <c r="AV15" s="284"/>
      <c r="AW15" s="284"/>
      <c r="AX15" s="284"/>
      <c r="AY15" s="284"/>
      <c r="AZ15" s="284"/>
      <c r="BA15" s="284"/>
      <c r="BB15" s="284"/>
      <c r="BC15" s="284"/>
      <c r="BD15" s="284"/>
      <c r="BE15" s="284"/>
      <c r="BF15" s="284"/>
      <c r="BG15" s="284"/>
      <c r="BH15" s="284"/>
      <c r="BI15" s="284"/>
      <c r="BJ15" s="284"/>
      <c r="BK15" s="284"/>
      <c r="BL15" s="284"/>
      <c r="BM15" s="284"/>
      <c r="BN15" s="284"/>
      <c r="BO15" s="284"/>
      <c r="BP15" s="284"/>
      <c r="BQ15" s="284"/>
      <c r="BR15" s="284"/>
      <c r="BS15" s="284"/>
      <c r="BT15" s="284"/>
      <c r="BU15" s="284"/>
      <c r="BV15" s="284"/>
      <c r="BW15" s="284"/>
      <c r="BX15" s="284"/>
      <c r="BY15" s="284"/>
      <c r="BZ15" s="284"/>
      <c r="CA15" s="284"/>
      <c r="CB15" s="284"/>
      <c r="CC15" s="284"/>
      <c r="CD15" s="284"/>
      <c r="CE15" s="284"/>
      <c r="CF15" s="284"/>
      <c r="CG15" s="284"/>
      <c r="CH15" s="284"/>
      <c r="CI15" s="284"/>
      <c r="CJ15" s="284"/>
      <c r="CK15" s="284"/>
      <c r="CL15" s="284"/>
      <c r="CM15" s="284"/>
      <c r="CN15" s="284"/>
      <c r="CO15" s="284"/>
      <c r="CP15" s="284"/>
      <c r="CQ15" s="284"/>
      <c r="CR15" s="284"/>
      <c r="CS15" s="284"/>
      <c r="CT15" s="284"/>
      <c r="CU15" s="284"/>
      <c r="CV15" s="284"/>
      <c r="CW15" s="284"/>
      <c r="CX15" s="284"/>
      <c r="CY15" s="284"/>
      <c r="CZ15" s="284"/>
      <c r="DA15" s="284"/>
      <c r="DB15" s="284"/>
      <c r="DC15" s="284"/>
      <c r="DD15" s="284"/>
      <c r="DE15" s="284"/>
      <c r="DF15" s="284"/>
      <c r="DG15" s="284"/>
      <c r="DH15" s="284"/>
      <c r="DI15" s="284"/>
      <c r="DJ15" s="284"/>
      <c r="DK15" s="284"/>
      <c r="DL15" s="284"/>
      <c r="DM15" s="284"/>
      <c r="DN15" s="284"/>
      <c r="DO15" s="284"/>
      <c r="DP15" s="284"/>
      <c r="DQ15" s="284"/>
      <c r="DR15" s="284"/>
      <c r="DS15" s="284"/>
      <c r="DT15" s="284"/>
      <c r="DU15" s="284"/>
      <c r="DV15" s="284"/>
      <c r="DW15" s="284"/>
      <c r="DX15" s="284"/>
      <c r="DY15" s="284"/>
      <c r="DZ15" s="284"/>
      <c r="EA15" s="284"/>
      <c r="EB15" s="284"/>
      <c r="EC15" s="284"/>
      <c r="ED15" s="284"/>
      <c r="EE15" s="284"/>
    </row>
    <row r="16" spans="2:136" s="271" customFormat="1">
      <c r="B16" s="294" t="s">
        <v>160</v>
      </c>
      <c r="C16" s="265"/>
      <c r="D16" s="265"/>
      <c r="E16" s="288">
        <f>+Assumptions!P10</f>
        <v>0.09</v>
      </c>
      <c r="F16" s="288">
        <f>+Assumptions!Q10</f>
        <v>1</v>
      </c>
      <c r="G16" s="293">
        <f>1-F16</f>
        <v>0</v>
      </c>
      <c r="H16" s="293"/>
      <c r="L16" s="284"/>
      <c r="M16" s="284"/>
      <c r="N16" s="284"/>
      <c r="O16" s="284"/>
      <c r="P16" s="284"/>
      <c r="Q16" s="284"/>
      <c r="R16" s="284"/>
      <c r="S16" s="284"/>
      <c r="T16" s="284"/>
      <c r="U16" s="284"/>
      <c r="V16" s="284"/>
      <c r="W16" s="284"/>
      <c r="X16" s="284"/>
      <c r="Y16" s="284"/>
      <c r="Z16" s="284"/>
      <c r="AA16" s="284"/>
      <c r="AB16" s="284"/>
      <c r="AC16" s="284"/>
      <c r="AD16" s="284"/>
      <c r="AE16" s="284"/>
      <c r="AF16" s="284"/>
      <c r="AG16" s="284"/>
      <c r="AH16" s="284"/>
      <c r="AI16" s="284"/>
      <c r="AJ16" s="284"/>
      <c r="AK16" s="284"/>
      <c r="AL16" s="284"/>
      <c r="AM16" s="284"/>
      <c r="AN16" s="284"/>
      <c r="AO16" s="284"/>
      <c r="AP16" s="284"/>
      <c r="AQ16" s="284"/>
      <c r="AR16" s="284"/>
      <c r="AS16" s="284"/>
      <c r="AT16" s="284"/>
      <c r="AU16" s="284"/>
      <c r="AV16" s="284"/>
      <c r="AW16" s="284"/>
      <c r="AX16" s="284"/>
      <c r="AY16" s="284"/>
      <c r="AZ16" s="284"/>
      <c r="BA16" s="284"/>
      <c r="BB16" s="284"/>
      <c r="BC16" s="284"/>
      <c r="BD16" s="284"/>
      <c r="BE16" s="284"/>
      <c r="BF16" s="284"/>
      <c r="BG16" s="284"/>
      <c r="BH16" s="284"/>
      <c r="BI16" s="284"/>
      <c r="BJ16" s="284"/>
      <c r="BK16" s="284"/>
      <c r="BL16" s="284"/>
      <c r="BM16" s="284"/>
      <c r="BN16" s="284"/>
      <c r="BO16" s="284"/>
      <c r="BP16" s="284"/>
      <c r="BQ16" s="284"/>
      <c r="BR16" s="284"/>
      <c r="BS16" s="284"/>
      <c r="BT16" s="284"/>
      <c r="BU16" s="284"/>
      <c r="BV16" s="284"/>
      <c r="BW16" s="284"/>
      <c r="BX16" s="284"/>
      <c r="BY16" s="284"/>
      <c r="BZ16" s="284"/>
      <c r="CA16" s="284"/>
      <c r="CB16" s="284"/>
      <c r="CC16" s="284"/>
      <c r="CD16" s="284"/>
      <c r="CE16" s="284"/>
      <c r="CF16" s="284"/>
      <c r="CG16" s="284"/>
      <c r="CH16" s="284"/>
      <c r="CI16" s="284"/>
      <c r="CJ16" s="284"/>
      <c r="CK16" s="284"/>
      <c r="CL16" s="284"/>
      <c r="CM16" s="284"/>
      <c r="CN16" s="284"/>
      <c r="CO16" s="284"/>
      <c r="CP16" s="284"/>
      <c r="CQ16" s="284"/>
      <c r="CR16" s="284"/>
      <c r="CS16" s="284"/>
      <c r="CT16" s="284"/>
      <c r="CU16" s="284"/>
      <c r="CV16" s="284"/>
      <c r="CW16" s="284"/>
      <c r="CX16" s="284"/>
      <c r="CY16" s="284"/>
      <c r="CZ16" s="284"/>
      <c r="DA16" s="284"/>
      <c r="DB16" s="284"/>
      <c r="DC16" s="284"/>
      <c r="DD16" s="284"/>
      <c r="DE16" s="284"/>
      <c r="DF16" s="284"/>
      <c r="DG16" s="284"/>
      <c r="DH16" s="284"/>
      <c r="DI16" s="284"/>
      <c r="DJ16" s="284"/>
      <c r="DK16" s="284"/>
      <c r="DL16" s="284"/>
      <c r="DM16" s="284"/>
      <c r="DN16" s="284"/>
      <c r="DO16" s="284"/>
      <c r="DP16" s="284"/>
      <c r="DQ16" s="284"/>
      <c r="DR16" s="284"/>
      <c r="DS16" s="284"/>
      <c r="DT16" s="284"/>
      <c r="DU16" s="284"/>
      <c r="DV16" s="284"/>
      <c r="DW16" s="284"/>
      <c r="DX16" s="284"/>
      <c r="DY16" s="284"/>
      <c r="DZ16" s="284"/>
      <c r="EA16" s="284"/>
      <c r="EB16" s="284"/>
      <c r="EC16" s="284"/>
      <c r="ED16" s="284"/>
      <c r="EE16" s="284"/>
    </row>
    <row r="17" spans="2:135" s="271" customFormat="1">
      <c r="B17" s="294" t="s">
        <v>161</v>
      </c>
      <c r="C17" s="265"/>
      <c r="D17" s="295"/>
      <c r="E17" s="288">
        <f>+Assumptions!P11</f>
        <v>0.09</v>
      </c>
      <c r="F17" s="296">
        <f>1-G17</f>
        <v>1</v>
      </c>
      <c r="G17" s="297">
        <f>+Assumptions!R11</f>
        <v>0</v>
      </c>
      <c r="H17" s="297"/>
      <c r="L17" s="284"/>
      <c r="M17" s="284"/>
      <c r="N17" s="284"/>
      <c r="O17" s="284"/>
      <c r="P17" s="284"/>
      <c r="Q17" s="284"/>
      <c r="R17" s="284"/>
      <c r="S17" s="284"/>
      <c r="T17" s="284"/>
      <c r="U17" s="284"/>
      <c r="V17" s="284"/>
      <c r="W17" s="284"/>
      <c r="X17" s="284"/>
      <c r="Y17" s="284"/>
      <c r="Z17" s="284"/>
      <c r="AA17" s="284"/>
      <c r="AB17" s="284"/>
      <c r="AC17" s="284"/>
      <c r="AD17" s="284"/>
      <c r="AE17" s="284"/>
      <c r="AF17" s="284"/>
      <c r="AG17" s="284"/>
      <c r="AH17" s="284"/>
      <c r="AI17" s="284"/>
      <c r="AJ17" s="284"/>
      <c r="AK17" s="284"/>
      <c r="AL17" s="284"/>
      <c r="AM17" s="284"/>
      <c r="AN17" s="284"/>
      <c r="AO17" s="284"/>
      <c r="AP17" s="284"/>
      <c r="AQ17" s="284"/>
      <c r="AR17" s="284"/>
      <c r="AS17" s="284"/>
      <c r="AT17" s="284"/>
      <c r="AU17" s="284"/>
      <c r="AV17" s="284"/>
      <c r="AW17" s="284"/>
      <c r="AX17" s="284"/>
      <c r="AY17" s="284"/>
      <c r="AZ17" s="284"/>
      <c r="BA17" s="284"/>
      <c r="BB17" s="284"/>
      <c r="BC17" s="284"/>
      <c r="BD17" s="284"/>
      <c r="BE17" s="284"/>
      <c r="BF17" s="284"/>
      <c r="BG17" s="284"/>
      <c r="BH17" s="284"/>
      <c r="BI17" s="284"/>
      <c r="BJ17" s="284"/>
      <c r="BK17" s="284"/>
      <c r="BL17" s="284"/>
      <c r="BM17" s="284"/>
      <c r="BN17" s="284"/>
      <c r="BO17" s="284"/>
      <c r="BP17" s="284"/>
      <c r="BQ17" s="284"/>
      <c r="BR17" s="284"/>
      <c r="BS17" s="284"/>
      <c r="BT17" s="284"/>
      <c r="BU17" s="284"/>
      <c r="BV17" s="284"/>
      <c r="BW17" s="284"/>
      <c r="BX17" s="284"/>
      <c r="BY17" s="284"/>
      <c r="BZ17" s="284"/>
      <c r="CA17" s="284"/>
      <c r="CB17" s="284"/>
      <c r="CC17" s="284"/>
      <c r="CD17" s="284"/>
      <c r="CE17" s="284"/>
      <c r="CF17" s="284"/>
      <c r="CG17" s="284"/>
      <c r="CH17" s="284"/>
      <c r="CI17" s="284"/>
      <c r="CJ17" s="284"/>
      <c r="CK17" s="284"/>
      <c r="CL17" s="284"/>
      <c r="CM17" s="284"/>
      <c r="CN17" s="284"/>
      <c r="CO17" s="284"/>
      <c r="CP17" s="284"/>
      <c r="CQ17" s="284"/>
      <c r="CR17" s="284"/>
      <c r="CS17" s="284"/>
      <c r="CT17" s="284"/>
      <c r="CU17" s="284"/>
      <c r="CV17" s="284"/>
      <c r="CW17" s="284"/>
      <c r="CX17" s="284"/>
      <c r="CY17" s="284"/>
      <c r="CZ17" s="284"/>
      <c r="DA17" s="284"/>
      <c r="DB17" s="284"/>
      <c r="DC17" s="284"/>
      <c r="DD17" s="284"/>
      <c r="DE17" s="284"/>
      <c r="DF17" s="284"/>
      <c r="DG17" s="284"/>
      <c r="DH17" s="284"/>
      <c r="DI17" s="284"/>
      <c r="DJ17" s="284"/>
      <c r="DK17" s="284"/>
      <c r="DL17" s="284"/>
      <c r="DM17" s="284"/>
      <c r="DN17" s="284"/>
      <c r="DO17" s="284"/>
      <c r="DP17" s="284"/>
      <c r="DQ17" s="284"/>
      <c r="DR17" s="284"/>
      <c r="DS17" s="284"/>
      <c r="DT17" s="284"/>
      <c r="DU17" s="284"/>
      <c r="DV17" s="284"/>
      <c r="DW17" s="284"/>
      <c r="DX17" s="284"/>
      <c r="DY17" s="284"/>
      <c r="DZ17" s="284"/>
      <c r="EA17" s="284"/>
      <c r="EB17" s="284"/>
      <c r="EC17" s="284"/>
      <c r="ED17" s="284"/>
      <c r="EE17" s="284"/>
    </row>
    <row r="18" spans="2:135">
      <c r="B18" s="265" t="s">
        <v>162</v>
      </c>
    </row>
    <row r="19" spans="2:135">
      <c r="B19" s="294" t="s">
        <v>163</v>
      </c>
      <c r="E19" s="292">
        <f>+Assumptions!P13</f>
        <v>0.09</v>
      </c>
      <c r="F19" s="292">
        <f>+Assumptions!Q13</f>
        <v>1</v>
      </c>
      <c r="G19" s="293">
        <f>1-F19</f>
        <v>0</v>
      </c>
      <c r="H19" s="293"/>
    </row>
    <row r="20" spans="2:135">
      <c r="B20" s="294" t="s">
        <v>164</v>
      </c>
      <c r="F20" s="292">
        <f>+Assumptions!Q14</f>
        <v>1</v>
      </c>
      <c r="G20" s="293">
        <f>1-F20</f>
        <v>0</v>
      </c>
      <c r="H20" s="293"/>
    </row>
    <row r="21" spans="2:135">
      <c r="B21" s="294" t="s">
        <v>165</v>
      </c>
      <c r="D21" s="295"/>
      <c r="E21" s="292">
        <f>+Assumptions!P15</f>
        <v>0.12</v>
      </c>
      <c r="F21" s="296">
        <f>1-G21</f>
        <v>0.9</v>
      </c>
      <c r="G21" s="297">
        <f>+Assumptions!R15</f>
        <v>9.9999999999999978E-2</v>
      </c>
      <c r="H21" s="297"/>
    </row>
    <row r="22" spans="2:135">
      <c r="B22" s="294" t="s">
        <v>166</v>
      </c>
      <c r="E22" s="292">
        <f>+Assumptions!P16</f>
        <v>0.15</v>
      </c>
      <c r="F22" s="296">
        <f>1-G22</f>
        <v>0.7</v>
      </c>
      <c r="G22" s="297">
        <f>+Assumptions!R16</f>
        <v>0.30000000000000004</v>
      </c>
      <c r="H22" s="297"/>
    </row>
    <row r="23" spans="2:135">
      <c r="B23" s="298" t="s">
        <v>167</v>
      </c>
      <c r="C23" s="270"/>
      <c r="D23" s="270"/>
      <c r="E23" s="270"/>
      <c r="F23" s="299">
        <f>1-G23</f>
        <v>0.6</v>
      </c>
      <c r="G23" s="300">
        <f>+Assumptions!R17</f>
        <v>0.4</v>
      </c>
      <c r="H23" s="288"/>
    </row>
    <row r="25" spans="2:135">
      <c r="B25" s="271" t="s">
        <v>148</v>
      </c>
      <c r="G25" s="301"/>
      <c r="H25" s="301"/>
      <c r="I25" s="301"/>
      <c r="J25" s="301"/>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1"/>
      <c r="AV25" s="301"/>
      <c r="AW25" s="301"/>
      <c r="AX25" s="301"/>
      <c r="AY25" s="301"/>
      <c r="AZ25" s="301"/>
      <c r="BA25" s="301"/>
      <c r="BB25" s="301"/>
      <c r="BC25" s="301"/>
      <c r="BD25" s="301"/>
      <c r="BE25" s="301"/>
      <c r="BF25" s="301"/>
      <c r="BG25" s="301"/>
      <c r="BH25" s="301"/>
      <c r="BI25" s="301"/>
      <c r="BJ25" s="301"/>
      <c r="BK25" s="301"/>
      <c r="BL25" s="301"/>
      <c r="BM25" s="301"/>
      <c r="BN25" s="301"/>
      <c r="BO25" s="301"/>
      <c r="BP25" s="301"/>
      <c r="BQ25" s="301"/>
      <c r="BR25" s="301"/>
      <c r="BS25" s="301"/>
      <c r="BT25" s="301"/>
      <c r="BU25" s="301"/>
      <c r="BV25" s="301"/>
      <c r="BW25" s="301"/>
      <c r="BX25" s="301"/>
      <c r="BY25" s="301"/>
      <c r="BZ25" s="301"/>
      <c r="CA25" s="301"/>
      <c r="CB25" s="301"/>
      <c r="CC25" s="301"/>
      <c r="CD25" s="301"/>
      <c r="CE25" s="301"/>
      <c r="CF25" s="301"/>
      <c r="CG25" s="301"/>
      <c r="CH25" s="301"/>
      <c r="CI25" s="301"/>
      <c r="CJ25" s="301"/>
      <c r="CK25" s="301"/>
      <c r="CL25" s="301"/>
      <c r="CM25" s="301"/>
      <c r="CN25" s="301"/>
      <c r="CO25" s="301"/>
      <c r="CP25" s="301"/>
      <c r="CQ25" s="301"/>
      <c r="CR25" s="301"/>
      <c r="CS25" s="301"/>
      <c r="CT25" s="301"/>
      <c r="CU25" s="301"/>
      <c r="CV25" s="301"/>
      <c r="CW25" s="301"/>
      <c r="CX25" s="301"/>
      <c r="CY25" s="301"/>
      <c r="CZ25" s="301"/>
      <c r="DA25" s="301"/>
      <c r="DB25" s="301"/>
      <c r="DC25" s="301"/>
      <c r="DD25" s="301"/>
      <c r="DE25" s="301"/>
      <c r="DF25" s="301"/>
      <c r="DG25" s="301"/>
      <c r="DH25" s="301"/>
      <c r="DI25" s="301"/>
      <c r="DJ25" s="301"/>
      <c r="DK25" s="301"/>
      <c r="DL25" s="301"/>
      <c r="DM25" s="301"/>
      <c r="DN25" s="301"/>
      <c r="DO25" s="301"/>
      <c r="DP25" s="301"/>
      <c r="DQ25" s="301"/>
      <c r="DR25" s="301"/>
      <c r="DS25" s="301"/>
      <c r="DT25" s="301"/>
      <c r="DU25" s="301"/>
      <c r="DV25" s="301"/>
      <c r="DW25" s="301"/>
      <c r="DX25" s="301"/>
      <c r="DY25" s="301"/>
      <c r="DZ25" s="301"/>
      <c r="EA25" s="301"/>
      <c r="EB25" s="301"/>
      <c r="EC25" s="301"/>
      <c r="ED25" s="301"/>
      <c r="EE25" s="301"/>
    </row>
    <row r="26" spans="2:135">
      <c r="B26" s="271" t="s">
        <v>168</v>
      </c>
      <c r="G26" s="302">
        <f ca="1">SUMIF($I$8:$EE$8, "&lt;="&amp;$E$8, $I26:$EE26)</f>
        <v>-15882.232</v>
      </c>
      <c r="H26" s="302"/>
      <c r="I26" s="303">
        <f>'Monthly Cash Flow'!K$196*('Monthly Cash Flow'!K196&lt;0)</f>
        <v>-13708</v>
      </c>
      <c r="J26" s="303">
        <f ca="1">'Monthly Cash Flow'!L$196*('Monthly Cash Flow'!L196&lt;0)</f>
        <v>0</v>
      </c>
      <c r="K26" s="303">
        <f ca="1">'Monthly Cash Flow'!M$196*('Monthly Cash Flow'!M196&lt;0)</f>
        <v>0</v>
      </c>
      <c r="L26" s="303">
        <f ca="1">'Monthly Cash Flow'!N$196*('Monthly Cash Flow'!N196&lt;0)</f>
        <v>0</v>
      </c>
      <c r="M26" s="303">
        <f ca="1">'Monthly Cash Flow'!O$196*('Monthly Cash Flow'!O196&lt;0)</f>
        <v>0</v>
      </c>
      <c r="N26" s="303">
        <f ca="1">'Monthly Cash Flow'!P$196*('Monthly Cash Flow'!P196&lt;0)</f>
        <v>-150.82499999999999</v>
      </c>
      <c r="O26" s="303">
        <f ca="1">'Monthly Cash Flow'!Q$196*('Monthly Cash Flow'!Q196&lt;0)</f>
        <v>0</v>
      </c>
      <c r="P26" s="303">
        <f ca="1">'Monthly Cash Flow'!R$196*('Monthly Cash Flow'!R196&lt;0)</f>
        <v>0</v>
      </c>
      <c r="Q26" s="303">
        <f ca="1">'Monthly Cash Flow'!S$196*('Monthly Cash Flow'!S196&lt;0)</f>
        <v>0</v>
      </c>
      <c r="R26" s="303">
        <f ca="1">'Monthly Cash Flow'!T$196*('Monthly Cash Flow'!T196&lt;0)</f>
        <v>0</v>
      </c>
      <c r="S26" s="303">
        <f ca="1">'Monthly Cash Flow'!U$196*('Monthly Cash Flow'!U196&lt;0)</f>
        <v>0</v>
      </c>
      <c r="T26" s="303">
        <f ca="1">'Monthly Cash Flow'!V$196*('Monthly Cash Flow'!V196&lt;0)</f>
        <v>0</v>
      </c>
      <c r="U26" s="303">
        <f ca="1">'Monthly Cash Flow'!W$196*('Monthly Cash Flow'!W196&lt;0)</f>
        <v>0</v>
      </c>
      <c r="V26" s="303">
        <f ca="1">'Monthly Cash Flow'!X$196*('Monthly Cash Flow'!X196&lt;0)</f>
        <v>-79.174999999999997</v>
      </c>
      <c r="W26" s="303">
        <f ca="1">'Monthly Cash Flow'!Y$196*('Monthly Cash Flow'!Y196&lt;0)</f>
        <v>0</v>
      </c>
      <c r="X26" s="303">
        <f ca="1">'Monthly Cash Flow'!Z$196*('Monthly Cash Flow'!Z196&lt;0)</f>
        <v>0</v>
      </c>
      <c r="Y26" s="303">
        <f ca="1">'Monthly Cash Flow'!AA$196*('Monthly Cash Flow'!AA196&lt;0)</f>
        <v>0</v>
      </c>
      <c r="Z26" s="303">
        <f ca="1">'Monthly Cash Flow'!AB$196*('Monthly Cash Flow'!AB196&lt;0)</f>
        <v>0</v>
      </c>
      <c r="AA26" s="303">
        <f ca="1">'Monthly Cash Flow'!AC$196*('Monthly Cash Flow'!AC196&lt;0)</f>
        <v>0</v>
      </c>
      <c r="AB26" s="303">
        <f ca="1">'Monthly Cash Flow'!AD$196*('Monthly Cash Flow'!AD196&lt;0)</f>
        <v>0</v>
      </c>
      <c r="AC26" s="303">
        <f ca="1">'Monthly Cash Flow'!AE$196*('Monthly Cash Flow'!AE196&lt;0)</f>
        <v>0</v>
      </c>
      <c r="AD26" s="303">
        <f ca="1">'Monthly Cash Flow'!AF$196*('Monthly Cash Flow'!AF196&lt;0)</f>
        <v>0</v>
      </c>
      <c r="AE26" s="303">
        <f ca="1">'Monthly Cash Flow'!AG$196*('Monthly Cash Flow'!AG196&lt;0)</f>
        <v>-310</v>
      </c>
      <c r="AF26" s="303">
        <f ca="1">'Monthly Cash Flow'!AH$196*('Monthly Cash Flow'!AH196&lt;0)</f>
        <v>0</v>
      </c>
      <c r="AG26" s="303">
        <f ca="1">'Monthly Cash Flow'!AI$196*('Monthly Cash Flow'!AI196&lt;0)</f>
        <v>0</v>
      </c>
      <c r="AH26" s="303">
        <f ca="1">'Monthly Cash Flow'!AJ$196*('Monthly Cash Flow'!AJ196&lt;0)</f>
        <v>0</v>
      </c>
      <c r="AI26" s="303">
        <f ca="1">'Monthly Cash Flow'!AK$196*('Monthly Cash Flow'!AK196&lt;0)</f>
        <v>0</v>
      </c>
      <c r="AJ26" s="303">
        <f ca="1">'Monthly Cash Flow'!AL$196*('Monthly Cash Flow'!AL196&lt;0)</f>
        <v>0</v>
      </c>
      <c r="AK26" s="303">
        <f ca="1">'Monthly Cash Flow'!AM$196*('Monthly Cash Flow'!AM196&lt;0)</f>
        <v>0</v>
      </c>
      <c r="AL26" s="303">
        <f ca="1">'Monthly Cash Flow'!AN$196*('Monthly Cash Flow'!AN196&lt;0)</f>
        <v>0</v>
      </c>
      <c r="AM26" s="303">
        <f ca="1">'Monthly Cash Flow'!AO$196*('Monthly Cash Flow'!AO196&lt;0)</f>
        <v>0</v>
      </c>
      <c r="AN26" s="303">
        <f ca="1">'Monthly Cash Flow'!AP$196*('Monthly Cash Flow'!AP196&lt;0)</f>
        <v>0</v>
      </c>
      <c r="AO26" s="303">
        <f ca="1">'Monthly Cash Flow'!AQ$196*('Monthly Cash Flow'!AQ196&lt;0)</f>
        <v>0</v>
      </c>
      <c r="AP26" s="303">
        <f ca="1">'Monthly Cash Flow'!AR$196*('Monthly Cash Flow'!AR196&lt;0)</f>
        <v>0</v>
      </c>
      <c r="AQ26" s="303">
        <f ca="1">'Monthly Cash Flow'!AS$196*('Monthly Cash Flow'!AS196&lt;0)</f>
        <v>0</v>
      </c>
      <c r="AR26" s="303">
        <f ca="1">'Monthly Cash Flow'!AT$196*('Monthly Cash Flow'!AT196&lt;0)</f>
        <v>0</v>
      </c>
      <c r="AS26" s="303">
        <f ca="1">'Monthly Cash Flow'!AU$196*('Monthly Cash Flow'!AU196&lt;0)</f>
        <v>0</v>
      </c>
      <c r="AT26" s="303">
        <f ca="1">'Monthly Cash Flow'!AV$196*('Monthly Cash Flow'!AV196&lt;0)</f>
        <v>0</v>
      </c>
      <c r="AU26" s="303">
        <f ca="1">'Monthly Cash Flow'!AW$196*('Monthly Cash Flow'!AW196&lt;0)</f>
        <v>0</v>
      </c>
      <c r="AV26" s="303">
        <f ca="1">'Monthly Cash Flow'!AX$196*('Monthly Cash Flow'!AX196&lt;0)</f>
        <v>0</v>
      </c>
      <c r="AW26" s="303">
        <f ca="1">'Monthly Cash Flow'!AY$196*('Monthly Cash Flow'!AY196&lt;0)</f>
        <v>0</v>
      </c>
      <c r="AX26" s="303">
        <f ca="1">'Monthly Cash Flow'!AZ$196*('Monthly Cash Flow'!AZ196&lt;0)</f>
        <v>0</v>
      </c>
      <c r="AY26" s="303">
        <f ca="1">'Monthly Cash Flow'!BA$196*('Monthly Cash Flow'!BA196&lt;0)</f>
        <v>-141.08000000000001</v>
      </c>
      <c r="AZ26" s="303">
        <f ca="1">'Monthly Cash Flow'!BB$196*('Monthly Cash Flow'!BB196&lt;0)</f>
        <v>0</v>
      </c>
      <c r="BA26" s="303">
        <f ca="1">'Monthly Cash Flow'!BC$196*('Monthly Cash Flow'!BC196&lt;0)</f>
        <v>-248.2</v>
      </c>
      <c r="BB26" s="303">
        <f ca="1">'Monthly Cash Flow'!BD$196*('Monthly Cash Flow'!BD196&lt;0)</f>
        <v>-320</v>
      </c>
      <c r="BC26" s="303">
        <f ca="1">'Monthly Cash Flow'!BE$196*('Monthly Cash Flow'!BE196&lt;0)</f>
        <v>0</v>
      </c>
      <c r="BD26" s="303">
        <f ca="1">'Monthly Cash Flow'!BF$196*('Monthly Cash Flow'!BF196&lt;0)</f>
        <v>0</v>
      </c>
      <c r="BE26" s="303">
        <f ca="1">'Monthly Cash Flow'!BG$196*('Monthly Cash Flow'!BG196&lt;0)</f>
        <v>-617</v>
      </c>
      <c r="BF26" s="303">
        <f ca="1">'Monthly Cash Flow'!BH$196*('Monthly Cash Flow'!BH196&lt;0)</f>
        <v>0</v>
      </c>
      <c r="BG26" s="303">
        <f ca="1">'Monthly Cash Flow'!BI$196*('Monthly Cash Flow'!BI196&lt;0)</f>
        <v>0</v>
      </c>
      <c r="BH26" s="303">
        <f ca="1">'Monthly Cash Flow'!BJ$196*('Monthly Cash Flow'!BJ196&lt;0)</f>
        <v>0</v>
      </c>
      <c r="BI26" s="303">
        <f ca="1">'Monthly Cash Flow'!BK$196*('Monthly Cash Flow'!BK196&lt;0)</f>
        <v>0</v>
      </c>
      <c r="BJ26" s="303">
        <f ca="1">'Monthly Cash Flow'!BL$196*('Monthly Cash Flow'!BL196&lt;0)</f>
        <v>0</v>
      </c>
      <c r="BK26" s="303">
        <f ca="1">'Monthly Cash Flow'!BM$196*('Monthly Cash Flow'!BM196&lt;0)</f>
        <v>0</v>
      </c>
      <c r="BL26" s="303">
        <f ca="1">'Monthly Cash Flow'!BN$196*('Monthly Cash Flow'!BN196&lt;0)</f>
        <v>-219.452</v>
      </c>
      <c r="BM26" s="303">
        <f ca="1">'Monthly Cash Flow'!BO$196*('Monthly Cash Flow'!BO196&lt;0)</f>
        <v>0</v>
      </c>
      <c r="BN26" s="303">
        <f ca="1">'Monthly Cash Flow'!BP$196*('Monthly Cash Flow'!BP196&lt;0)</f>
        <v>0</v>
      </c>
      <c r="BO26" s="303">
        <f ca="1">'Monthly Cash Flow'!BQ$196*('Monthly Cash Flow'!BQ196&lt;0)</f>
        <v>0</v>
      </c>
      <c r="BP26" s="303">
        <f ca="1">'Monthly Cash Flow'!BR$196*('Monthly Cash Flow'!BR196&lt;0)</f>
        <v>-88.5</v>
      </c>
      <c r="BQ26" s="303">
        <f ca="1">'Monthly Cash Flow'!BS$196*('Monthly Cash Flow'!BS196&lt;0)</f>
        <v>0</v>
      </c>
      <c r="BR26" s="303">
        <f ca="1">'Monthly Cash Flow'!BT$196*('Monthly Cash Flow'!BT196&lt;0)</f>
        <v>0</v>
      </c>
      <c r="BS26" s="303">
        <f ca="1">'Monthly Cash Flow'!BU$196*('Monthly Cash Flow'!BU196&lt;0)</f>
        <v>0</v>
      </c>
      <c r="BT26" s="303">
        <f ca="1">'Monthly Cash Flow'!BV$196*('Monthly Cash Flow'!BV196&lt;0)</f>
        <v>0</v>
      </c>
      <c r="BU26" s="303">
        <f ca="1">'Monthly Cash Flow'!BW$196*('Monthly Cash Flow'!BW196&lt;0)</f>
        <v>0</v>
      </c>
      <c r="BV26" s="303">
        <f ca="1">'Monthly Cash Flow'!BX$196*('Monthly Cash Flow'!BX196&lt;0)</f>
        <v>0</v>
      </c>
      <c r="BW26" s="303">
        <f ca="1">'Monthly Cash Flow'!BY$196*('Monthly Cash Flow'!BY196&lt;0)</f>
        <v>0</v>
      </c>
      <c r="BX26" s="303">
        <f ca="1">'Monthly Cash Flow'!BZ$196*('Monthly Cash Flow'!BZ196&lt;0)</f>
        <v>0</v>
      </c>
      <c r="BY26" s="303">
        <f ca="1">'Monthly Cash Flow'!CA$196*('Monthly Cash Flow'!CA196&lt;0)</f>
        <v>0</v>
      </c>
      <c r="BZ26" s="303">
        <f ca="1">'Monthly Cash Flow'!CB$196*('Monthly Cash Flow'!CB196&lt;0)</f>
        <v>0</v>
      </c>
      <c r="CA26" s="303">
        <f ca="1">'Monthly Cash Flow'!CC$196*('Monthly Cash Flow'!CC196&lt;0)</f>
        <v>0</v>
      </c>
      <c r="CB26" s="303">
        <f ca="1">'Monthly Cash Flow'!CD$196*('Monthly Cash Flow'!CD196&lt;0)</f>
        <v>0</v>
      </c>
      <c r="CC26" s="303">
        <f ca="1">'Monthly Cash Flow'!CE$196*('Monthly Cash Flow'!CE196&lt;0)</f>
        <v>0</v>
      </c>
      <c r="CD26" s="303">
        <f ca="1">'Monthly Cash Flow'!CF$196*('Monthly Cash Flow'!CF196&lt;0)</f>
        <v>0</v>
      </c>
      <c r="CE26" s="303">
        <f ca="1">'Monthly Cash Flow'!CG$196*('Monthly Cash Flow'!CG196&lt;0)</f>
        <v>0</v>
      </c>
      <c r="CF26" s="303">
        <f ca="1">'Monthly Cash Flow'!CH$196*('Monthly Cash Flow'!CH196&lt;0)</f>
        <v>0</v>
      </c>
      <c r="CG26" s="303">
        <f ca="1">'Monthly Cash Flow'!CI$196*('Monthly Cash Flow'!CI196&lt;0)</f>
        <v>0</v>
      </c>
      <c r="CH26" s="303">
        <f ca="1">'Monthly Cash Flow'!CJ$196*('Monthly Cash Flow'!CJ196&lt;0)</f>
        <v>0</v>
      </c>
      <c r="CI26" s="303">
        <f ca="1">'Monthly Cash Flow'!CK$196*('Monthly Cash Flow'!CK196&lt;0)</f>
        <v>0</v>
      </c>
      <c r="CJ26" s="303">
        <f ca="1">'Monthly Cash Flow'!CL$196*('Monthly Cash Flow'!CL196&lt;0)</f>
        <v>0</v>
      </c>
      <c r="CK26" s="303">
        <f ca="1">'Monthly Cash Flow'!CM$196*('Monthly Cash Flow'!CM196&lt;0)</f>
        <v>0</v>
      </c>
      <c r="CL26" s="303">
        <f ca="1">'Monthly Cash Flow'!CN$196*('Monthly Cash Flow'!CN196&lt;0)</f>
        <v>0</v>
      </c>
      <c r="CM26" s="303">
        <f ca="1">'Monthly Cash Flow'!CO$196*('Monthly Cash Flow'!CO196&lt;0)</f>
        <v>0</v>
      </c>
      <c r="CN26" s="303">
        <f ca="1">'Monthly Cash Flow'!CP$196*('Monthly Cash Flow'!CP196&lt;0)</f>
        <v>0</v>
      </c>
      <c r="CO26" s="303">
        <f ca="1">'Monthly Cash Flow'!CQ$196*('Monthly Cash Flow'!CQ196&lt;0)</f>
        <v>0</v>
      </c>
      <c r="CP26" s="303">
        <f ca="1">'Monthly Cash Flow'!CR$196*('Monthly Cash Flow'!CR196&lt;0)</f>
        <v>0</v>
      </c>
      <c r="CQ26" s="303">
        <f ca="1">'Monthly Cash Flow'!CS$196*('Monthly Cash Flow'!CS196&lt;0)</f>
        <v>0</v>
      </c>
      <c r="CR26" s="303">
        <f ca="1">'Monthly Cash Flow'!CT$196*('Monthly Cash Flow'!CT196&lt;0)</f>
        <v>0</v>
      </c>
      <c r="CS26" s="303">
        <f ca="1">'Monthly Cash Flow'!CU$196*('Monthly Cash Flow'!CU196&lt;0)</f>
        <v>0</v>
      </c>
      <c r="CT26" s="303">
        <f ca="1">'Monthly Cash Flow'!CV$196*('Monthly Cash Flow'!CV196&lt;0)</f>
        <v>0</v>
      </c>
      <c r="CU26" s="303">
        <f ca="1">'Monthly Cash Flow'!CW$196*('Monthly Cash Flow'!CW196&lt;0)</f>
        <v>0</v>
      </c>
      <c r="CV26" s="303">
        <f ca="1">'Monthly Cash Flow'!CX$196*('Monthly Cash Flow'!CX196&lt;0)</f>
        <v>0</v>
      </c>
      <c r="CW26" s="303">
        <f ca="1">'Monthly Cash Flow'!CY$196*('Monthly Cash Flow'!CY196&lt;0)</f>
        <v>0</v>
      </c>
      <c r="CX26" s="303">
        <f ca="1">'Monthly Cash Flow'!CZ$196*('Monthly Cash Flow'!CZ196&lt;0)</f>
        <v>0</v>
      </c>
      <c r="CY26" s="303">
        <f ca="1">'Monthly Cash Flow'!DA$196*('Monthly Cash Flow'!DA196&lt;0)</f>
        <v>0</v>
      </c>
      <c r="CZ26" s="303">
        <f ca="1">'Monthly Cash Flow'!DB$196*('Monthly Cash Flow'!DB196&lt;0)</f>
        <v>0</v>
      </c>
      <c r="DA26" s="303">
        <f ca="1">'Monthly Cash Flow'!DC$196*('Monthly Cash Flow'!DC196&lt;0)</f>
        <v>0</v>
      </c>
      <c r="DB26" s="303">
        <f ca="1">'Monthly Cash Flow'!DD$196*('Monthly Cash Flow'!DD196&lt;0)</f>
        <v>0</v>
      </c>
      <c r="DC26" s="303">
        <f ca="1">'Monthly Cash Flow'!DE$196*('Monthly Cash Flow'!DE196&lt;0)</f>
        <v>0</v>
      </c>
      <c r="DD26" s="303">
        <f ca="1">'Monthly Cash Flow'!DF$196*('Monthly Cash Flow'!DF196&lt;0)</f>
        <v>0</v>
      </c>
      <c r="DE26" s="303">
        <f ca="1">'Monthly Cash Flow'!DG$196*('Monthly Cash Flow'!DG196&lt;0)</f>
        <v>0</v>
      </c>
      <c r="DF26" s="303">
        <f ca="1">'Monthly Cash Flow'!DH$196*('Monthly Cash Flow'!DH196&lt;0)</f>
        <v>0</v>
      </c>
      <c r="DG26" s="303">
        <f ca="1">'Monthly Cash Flow'!DI$196*('Monthly Cash Flow'!DI196&lt;0)</f>
        <v>0</v>
      </c>
      <c r="DH26" s="303">
        <f>'Monthly Cash Flow'!DJ$196*('Monthly Cash Flow'!DJ196&lt;0)</f>
        <v>0</v>
      </c>
      <c r="DI26" s="303">
        <f>'Monthly Cash Flow'!DK$196*('Monthly Cash Flow'!DK196&lt;0)</f>
        <v>0</v>
      </c>
      <c r="DJ26" s="303">
        <f>'Monthly Cash Flow'!DL$196*('Monthly Cash Flow'!DL196&lt;0)</f>
        <v>0</v>
      </c>
      <c r="DK26" s="303">
        <f>'Monthly Cash Flow'!DM$196*('Monthly Cash Flow'!DM196&lt;0)</f>
        <v>0</v>
      </c>
      <c r="DL26" s="303">
        <f>'Monthly Cash Flow'!DN$196*('Monthly Cash Flow'!DN196&lt;0)</f>
        <v>0</v>
      </c>
      <c r="DM26" s="303">
        <f>'Monthly Cash Flow'!DO$196*('Monthly Cash Flow'!DO196&lt;0)</f>
        <v>0</v>
      </c>
      <c r="DN26" s="303">
        <f>'Monthly Cash Flow'!DP$196*('Monthly Cash Flow'!DP196&lt;0)</f>
        <v>0</v>
      </c>
      <c r="DO26" s="303">
        <f>'Monthly Cash Flow'!DQ$196*('Monthly Cash Flow'!DQ196&lt;0)</f>
        <v>0</v>
      </c>
      <c r="DP26" s="303">
        <f>'Monthly Cash Flow'!DR$196*('Monthly Cash Flow'!DR196&lt;0)</f>
        <v>0</v>
      </c>
      <c r="DQ26" s="303">
        <f>'Monthly Cash Flow'!DS$196*('Monthly Cash Flow'!DS196&lt;0)</f>
        <v>0</v>
      </c>
      <c r="DR26" s="303">
        <f>'Monthly Cash Flow'!DT$196*('Monthly Cash Flow'!DT196&lt;0)</f>
        <v>0</v>
      </c>
      <c r="DS26" s="303">
        <f>'Monthly Cash Flow'!DU$196*('Monthly Cash Flow'!DU196&lt;0)</f>
        <v>0</v>
      </c>
      <c r="DT26" s="303">
        <f>'Monthly Cash Flow'!DV$196*('Monthly Cash Flow'!DV196&lt;0)</f>
        <v>0</v>
      </c>
      <c r="DU26" s="303">
        <f>'Monthly Cash Flow'!DW$196*('Monthly Cash Flow'!DW196&lt;0)</f>
        <v>0</v>
      </c>
      <c r="DV26" s="303">
        <f>'Monthly Cash Flow'!DX$196*('Monthly Cash Flow'!DX196&lt;0)</f>
        <v>0</v>
      </c>
      <c r="DW26" s="303">
        <f>'Monthly Cash Flow'!DY$196*('Monthly Cash Flow'!DY196&lt;0)</f>
        <v>0</v>
      </c>
      <c r="DX26" s="303">
        <f>'Monthly Cash Flow'!DZ$196*('Monthly Cash Flow'!DZ196&lt;0)</f>
        <v>0</v>
      </c>
      <c r="DY26" s="303">
        <f>'Monthly Cash Flow'!EA$196*('Monthly Cash Flow'!EA196&lt;0)</f>
        <v>0</v>
      </c>
      <c r="DZ26" s="303">
        <f>'Monthly Cash Flow'!EB$196*('Monthly Cash Flow'!EB196&lt;0)</f>
        <v>0</v>
      </c>
      <c r="EA26" s="303">
        <f>'Monthly Cash Flow'!EC$196*('Monthly Cash Flow'!EC196&lt;0)</f>
        <v>0</v>
      </c>
      <c r="EB26" s="303">
        <f>'Monthly Cash Flow'!ED$196*('Monthly Cash Flow'!ED196&lt;0)</f>
        <v>0</v>
      </c>
      <c r="EC26" s="303">
        <f>'Monthly Cash Flow'!EE$196*('Monthly Cash Flow'!EE196&lt;0)</f>
        <v>0</v>
      </c>
      <c r="ED26" s="303">
        <f>'Monthly Cash Flow'!EF$196*('Monthly Cash Flow'!EF196&lt;0)</f>
        <v>0</v>
      </c>
      <c r="EE26" s="303">
        <f>'Monthly Cash Flow'!EG$196*('Monthly Cash Flow'!EG196&lt;0)</f>
        <v>0</v>
      </c>
    </row>
    <row r="27" spans="2:135">
      <c r="B27" s="271" t="s">
        <v>169</v>
      </c>
      <c r="C27" s="271"/>
      <c r="D27" s="271"/>
      <c r="E27" s="271"/>
      <c r="F27" s="271"/>
      <c r="G27" s="302">
        <f>SUMIF($I$8:$EE$8, "&lt;="&amp;$E$8, $I27:$EE27)</f>
        <v>0</v>
      </c>
      <c r="H27" s="302"/>
      <c r="I27" s="304">
        <v>0</v>
      </c>
      <c r="J27" s="304">
        <v>0</v>
      </c>
      <c r="K27" s="304">
        <v>0</v>
      </c>
      <c r="L27" s="304">
        <v>0</v>
      </c>
      <c r="M27" s="304">
        <v>0</v>
      </c>
      <c r="N27" s="304">
        <v>0</v>
      </c>
      <c r="O27" s="304">
        <v>0</v>
      </c>
      <c r="P27" s="304">
        <v>0</v>
      </c>
      <c r="Q27" s="304">
        <v>0</v>
      </c>
      <c r="R27" s="304">
        <v>0</v>
      </c>
      <c r="S27" s="304">
        <v>0</v>
      </c>
      <c r="T27" s="304">
        <v>0</v>
      </c>
      <c r="U27" s="304">
        <v>0</v>
      </c>
      <c r="V27" s="304">
        <v>0</v>
      </c>
      <c r="W27" s="304">
        <v>0</v>
      </c>
      <c r="X27" s="304">
        <v>0</v>
      </c>
      <c r="Y27" s="304">
        <v>0</v>
      </c>
      <c r="Z27" s="304">
        <v>0</v>
      </c>
      <c r="AA27" s="304">
        <v>0</v>
      </c>
      <c r="AB27" s="304">
        <v>0</v>
      </c>
      <c r="AC27" s="304">
        <v>0</v>
      </c>
      <c r="AD27" s="304">
        <v>0</v>
      </c>
      <c r="AE27" s="304">
        <v>0</v>
      </c>
      <c r="AF27" s="304">
        <v>0</v>
      </c>
      <c r="AG27" s="304">
        <v>0</v>
      </c>
      <c r="AH27" s="304">
        <v>0</v>
      </c>
      <c r="AI27" s="304">
        <v>0</v>
      </c>
      <c r="AJ27" s="304">
        <v>0</v>
      </c>
      <c r="AK27" s="304">
        <v>0</v>
      </c>
      <c r="AL27" s="304">
        <v>0</v>
      </c>
      <c r="AM27" s="304">
        <v>0</v>
      </c>
      <c r="AN27" s="304">
        <v>0</v>
      </c>
      <c r="AO27" s="304">
        <v>0</v>
      </c>
      <c r="AP27" s="304">
        <v>0</v>
      </c>
      <c r="AQ27" s="304">
        <v>0</v>
      </c>
      <c r="AR27" s="304">
        <v>0</v>
      </c>
      <c r="AS27" s="304">
        <v>0</v>
      </c>
      <c r="AT27" s="304">
        <v>0</v>
      </c>
      <c r="AU27" s="304">
        <v>0</v>
      </c>
      <c r="AV27" s="304">
        <v>0</v>
      </c>
      <c r="AW27" s="304">
        <v>0</v>
      </c>
      <c r="AX27" s="304">
        <v>0</v>
      </c>
      <c r="AY27" s="304">
        <v>0</v>
      </c>
      <c r="AZ27" s="304">
        <v>0</v>
      </c>
      <c r="BA27" s="304">
        <v>0</v>
      </c>
      <c r="BB27" s="304">
        <v>0</v>
      </c>
      <c r="BC27" s="304">
        <v>0</v>
      </c>
      <c r="BD27" s="304">
        <v>0</v>
      </c>
      <c r="BE27" s="304">
        <v>0</v>
      </c>
      <c r="BF27" s="304">
        <v>0</v>
      </c>
      <c r="BG27" s="304">
        <v>0</v>
      </c>
      <c r="BH27" s="304">
        <v>0</v>
      </c>
      <c r="BI27" s="304">
        <v>0</v>
      </c>
      <c r="BJ27" s="304">
        <v>0</v>
      </c>
      <c r="BK27" s="304">
        <v>0</v>
      </c>
      <c r="BL27" s="304">
        <v>0</v>
      </c>
      <c r="BM27" s="304">
        <v>0</v>
      </c>
      <c r="BN27" s="304">
        <v>0</v>
      </c>
      <c r="BO27" s="304">
        <v>0</v>
      </c>
      <c r="BP27" s="304">
        <v>0</v>
      </c>
      <c r="BQ27" s="304">
        <v>0</v>
      </c>
      <c r="BR27" s="304">
        <v>0</v>
      </c>
      <c r="BS27" s="304">
        <v>0</v>
      </c>
      <c r="BT27" s="304">
        <v>0</v>
      </c>
      <c r="BU27" s="304">
        <v>0</v>
      </c>
      <c r="BV27" s="304">
        <v>0</v>
      </c>
      <c r="BW27" s="304">
        <v>0</v>
      </c>
      <c r="BX27" s="304">
        <v>0</v>
      </c>
      <c r="BY27" s="304">
        <v>0</v>
      </c>
      <c r="BZ27" s="304">
        <v>0</v>
      </c>
      <c r="CA27" s="304">
        <v>0</v>
      </c>
      <c r="CB27" s="304">
        <v>0</v>
      </c>
      <c r="CC27" s="304">
        <v>0</v>
      </c>
      <c r="CD27" s="304">
        <v>0</v>
      </c>
      <c r="CE27" s="304">
        <v>0</v>
      </c>
      <c r="CF27" s="304">
        <v>0</v>
      </c>
      <c r="CG27" s="304">
        <v>0</v>
      </c>
      <c r="CH27" s="304">
        <v>0</v>
      </c>
      <c r="CI27" s="304">
        <v>0</v>
      </c>
      <c r="CJ27" s="304">
        <v>0</v>
      </c>
      <c r="CK27" s="304">
        <v>0</v>
      </c>
      <c r="CL27" s="304">
        <v>0</v>
      </c>
      <c r="CM27" s="304">
        <v>0</v>
      </c>
      <c r="CN27" s="304">
        <v>0</v>
      </c>
      <c r="CO27" s="304">
        <v>0</v>
      </c>
      <c r="CP27" s="304">
        <v>0</v>
      </c>
      <c r="CQ27" s="304">
        <v>0</v>
      </c>
      <c r="CR27" s="304">
        <v>0</v>
      </c>
      <c r="CS27" s="304">
        <v>0</v>
      </c>
      <c r="CT27" s="304">
        <v>0</v>
      </c>
      <c r="CU27" s="304">
        <v>0</v>
      </c>
      <c r="CV27" s="304">
        <v>0</v>
      </c>
      <c r="CW27" s="304">
        <v>0</v>
      </c>
      <c r="CX27" s="304">
        <v>0</v>
      </c>
      <c r="CY27" s="304">
        <v>0</v>
      </c>
      <c r="CZ27" s="304">
        <v>0</v>
      </c>
      <c r="DA27" s="304">
        <v>0</v>
      </c>
      <c r="DB27" s="304">
        <v>0</v>
      </c>
      <c r="DC27" s="304">
        <v>0</v>
      </c>
      <c r="DD27" s="304">
        <v>0</v>
      </c>
      <c r="DE27" s="304">
        <v>0</v>
      </c>
      <c r="DF27" s="304">
        <v>0</v>
      </c>
      <c r="DG27" s="304">
        <v>0</v>
      </c>
      <c r="DH27" s="304">
        <v>0</v>
      </c>
      <c r="DI27" s="304">
        <v>0</v>
      </c>
      <c r="DJ27" s="304">
        <v>0</v>
      </c>
      <c r="DK27" s="304">
        <v>0</v>
      </c>
      <c r="DL27" s="304">
        <v>0</v>
      </c>
      <c r="DM27" s="304">
        <v>0</v>
      </c>
      <c r="DN27" s="304">
        <v>0</v>
      </c>
      <c r="DO27" s="304">
        <v>0</v>
      </c>
      <c r="DP27" s="304">
        <v>0</v>
      </c>
      <c r="DQ27" s="304">
        <v>0</v>
      </c>
      <c r="DR27" s="304">
        <v>0</v>
      </c>
      <c r="DS27" s="304">
        <v>0</v>
      </c>
      <c r="DT27" s="304">
        <v>0</v>
      </c>
      <c r="DU27" s="304">
        <v>0</v>
      </c>
      <c r="DV27" s="304">
        <v>0</v>
      </c>
      <c r="DW27" s="304">
        <v>0</v>
      </c>
      <c r="DX27" s="304">
        <v>0</v>
      </c>
      <c r="DY27" s="304">
        <v>0</v>
      </c>
      <c r="DZ27" s="304">
        <v>0</v>
      </c>
      <c r="EA27" s="304">
        <v>0</v>
      </c>
      <c r="EB27" s="304">
        <v>0</v>
      </c>
      <c r="EC27" s="304">
        <v>0</v>
      </c>
      <c r="ED27" s="304">
        <v>0</v>
      </c>
      <c r="EE27" s="304">
        <v>0</v>
      </c>
    </row>
    <row r="28" spans="2:135">
      <c r="B28" s="271" t="s">
        <v>170</v>
      </c>
      <c r="C28" s="271"/>
      <c r="D28" s="271"/>
      <c r="E28" s="271"/>
      <c r="F28" s="271"/>
      <c r="G28" s="302">
        <f ca="1">SUMIF($I$8:$EE$8, "&lt;="&amp;$E$8, $I28:$EE28)</f>
        <v>27810.627823956129</v>
      </c>
      <c r="H28" s="302"/>
      <c r="I28" s="303">
        <f>'Monthly Cash Flow'!K$196*('Monthly Cash Flow'!K$196&gt;0)</f>
        <v>0</v>
      </c>
      <c r="J28" s="303">
        <f ca="1">'Monthly Cash Flow'!L$196*('Monthly Cash Flow'!L$196&gt;0)</f>
        <v>0</v>
      </c>
      <c r="K28" s="303">
        <f ca="1">'Monthly Cash Flow'!M$196*('Monthly Cash Flow'!M$196&gt;0)</f>
        <v>0</v>
      </c>
      <c r="L28" s="303">
        <f ca="1">'Monthly Cash Flow'!N$196*('Monthly Cash Flow'!N$196&gt;0)</f>
        <v>0</v>
      </c>
      <c r="M28" s="303">
        <f ca="1">'Monthly Cash Flow'!O$196*('Monthly Cash Flow'!O$196&gt;0)</f>
        <v>0</v>
      </c>
      <c r="N28" s="303">
        <f ca="1">'Monthly Cash Flow'!P$196*('Monthly Cash Flow'!P$196&gt;0)</f>
        <v>0</v>
      </c>
      <c r="O28" s="303">
        <f ca="1">'Monthly Cash Flow'!Q$196*('Monthly Cash Flow'!Q$196&gt;0)</f>
        <v>0</v>
      </c>
      <c r="P28" s="303">
        <f ca="1">'Monthly Cash Flow'!R$196*('Monthly Cash Flow'!R$196&gt;0)</f>
        <v>0</v>
      </c>
      <c r="Q28" s="303">
        <f ca="1">'Monthly Cash Flow'!S$196*('Monthly Cash Flow'!S$196&gt;0)</f>
        <v>0</v>
      </c>
      <c r="R28" s="303">
        <f ca="1">'Monthly Cash Flow'!T$196*('Monthly Cash Flow'!T$196&gt;0)</f>
        <v>0</v>
      </c>
      <c r="S28" s="303">
        <f ca="1">'Monthly Cash Flow'!U$196*('Monthly Cash Flow'!U$196&gt;0)</f>
        <v>0</v>
      </c>
      <c r="T28" s="303">
        <f ca="1">'Monthly Cash Flow'!V$196*('Monthly Cash Flow'!V$196&gt;0)</f>
        <v>0</v>
      </c>
      <c r="U28" s="303">
        <f ca="1">'Monthly Cash Flow'!W$196*('Monthly Cash Flow'!W$196&gt;0)</f>
        <v>0</v>
      </c>
      <c r="V28" s="303">
        <f ca="1">'Monthly Cash Flow'!X$196*('Monthly Cash Flow'!X$196&gt;0)</f>
        <v>0</v>
      </c>
      <c r="W28" s="303">
        <f ca="1">'Monthly Cash Flow'!Y$196*('Monthly Cash Flow'!Y$196&gt;0)</f>
        <v>0</v>
      </c>
      <c r="X28" s="303">
        <f ca="1">'Monthly Cash Flow'!Z$196*('Monthly Cash Flow'!Z$196&gt;0)</f>
        <v>0</v>
      </c>
      <c r="Y28" s="303">
        <f ca="1">'Monthly Cash Flow'!AA$196*('Monthly Cash Flow'!AA$196&gt;0)</f>
        <v>0</v>
      </c>
      <c r="Z28" s="303">
        <f ca="1">'Monthly Cash Flow'!AB$196*('Monthly Cash Flow'!AB$196&gt;0)</f>
        <v>0</v>
      </c>
      <c r="AA28" s="303">
        <f ca="1">'Monthly Cash Flow'!AC$196*('Monthly Cash Flow'!AC$196&gt;0)</f>
        <v>0</v>
      </c>
      <c r="AB28" s="303">
        <f ca="1">'Monthly Cash Flow'!AD$196*('Monthly Cash Flow'!AD$196&gt;0)</f>
        <v>0</v>
      </c>
      <c r="AC28" s="303">
        <f ca="1">'Monthly Cash Flow'!AE$196*('Monthly Cash Flow'!AE$196&gt;0)</f>
        <v>0</v>
      </c>
      <c r="AD28" s="303">
        <f ca="1">'Monthly Cash Flow'!AF$196*('Monthly Cash Flow'!AF$196&gt;0)</f>
        <v>0</v>
      </c>
      <c r="AE28" s="303">
        <f ca="1">'Monthly Cash Flow'!AG$196*('Monthly Cash Flow'!AG$196&gt;0)</f>
        <v>0</v>
      </c>
      <c r="AF28" s="303">
        <f ca="1">'Monthly Cash Flow'!AH$196*('Monthly Cash Flow'!AH$196&gt;0)</f>
        <v>0</v>
      </c>
      <c r="AG28" s="303">
        <f ca="1">'Monthly Cash Flow'!AI$196*('Monthly Cash Flow'!AI$196&gt;0)</f>
        <v>0</v>
      </c>
      <c r="AH28" s="303">
        <f ca="1">'Monthly Cash Flow'!AJ$196*('Monthly Cash Flow'!AJ$196&gt;0)</f>
        <v>0</v>
      </c>
      <c r="AI28" s="303">
        <f ca="1">'Monthly Cash Flow'!AK$196*('Monthly Cash Flow'!AK$196&gt;0)</f>
        <v>0</v>
      </c>
      <c r="AJ28" s="303">
        <f ca="1">'Monthly Cash Flow'!AL$196*('Monthly Cash Flow'!AL$196&gt;0)</f>
        <v>0</v>
      </c>
      <c r="AK28" s="303">
        <f ca="1">'Monthly Cash Flow'!AM$196*('Monthly Cash Flow'!AM$196&gt;0)</f>
        <v>0</v>
      </c>
      <c r="AL28" s="303">
        <f ca="1">'Monthly Cash Flow'!AN$196*('Monthly Cash Flow'!AN$196&gt;0)</f>
        <v>0</v>
      </c>
      <c r="AM28" s="303">
        <f ca="1">'Monthly Cash Flow'!AO$196*('Monthly Cash Flow'!AO$196&gt;0)</f>
        <v>0</v>
      </c>
      <c r="AN28" s="303">
        <f ca="1">'Monthly Cash Flow'!AP$196*('Monthly Cash Flow'!AP$196&gt;0)</f>
        <v>0</v>
      </c>
      <c r="AO28" s="303">
        <f ca="1">'Monthly Cash Flow'!AQ$196*('Monthly Cash Flow'!AQ$196&gt;0)</f>
        <v>0</v>
      </c>
      <c r="AP28" s="303">
        <f ca="1">'Monthly Cash Flow'!AR$196*('Monthly Cash Flow'!AR$196&gt;0)</f>
        <v>0</v>
      </c>
      <c r="AQ28" s="303">
        <f ca="1">'Monthly Cash Flow'!AS$196*('Monthly Cash Flow'!AS$196&gt;0)</f>
        <v>0</v>
      </c>
      <c r="AR28" s="303">
        <f ca="1">'Monthly Cash Flow'!AT$196*('Monthly Cash Flow'!AT$196&gt;0)</f>
        <v>0</v>
      </c>
      <c r="AS28" s="303">
        <f ca="1">'Monthly Cash Flow'!AU$196*('Monthly Cash Flow'!AU$196&gt;0)</f>
        <v>0</v>
      </c>
      <c r="AT28" s="303">
        <f ca="1">'Monthly Cash Flow'!AV$196*('Monthly Cash Flow'!AV$196&gt;0)</f>
        <v>0</v>
      </c>
      <c r="AU28" s="303">
        <f ca="1">'Monthly Cash Flow'!AW$196*('Monthly Cash Flow'!AW$196&gt;0)</f>
        <v>0</v>
      </c>
      <c r="AV28" s="303">
        <f ca="1">'Monthly Cash Flow'!AX$196*('Monthly Cash Flow'!AX$196&gt;0)</f>
        <v>0</v>
      </c>
      <c r="AW28" s="303">
        <f ca="1">'Monthly Cash Flow'!AY$196*('Monthly Cash Flow'!AY$196&gt;0)</f>
        <v>0</v>
      </c>
      <c r="AX28" s="303">
        <f ca="1">'Monthly Cash Flow'!AZ$196*('Monthly Cash Flow'!AZ$196&gt;0)</f>
        <v>0</v>
      </c>
      <c r="AY28" s="303">
        <f ca="1">'Monthly Cash Flow'!BA$196*('Monthly Cash Flow'!BA$196&gt;0)</f>
        <v>0</v>
      </c>
      <c r="AZ28" s="303">
        <f ca="1">'Monthly Cash Flow'!BB$196*('Monthly Cash Flow'!BB$196&gt;0)</f>
        <v>0</v>
      </c>
      <c r="BA28" s="303">
        <f ca="1">'Monthly Cash Flow'!BC$196*('Monthly Cash Flow'!BC$196&gt;0)</f>
        <v>0</v>
      </c>
      <c r="BB28" s="303">
        <f ca="1">'Monthly Cash Flow'!BD$196*('Monthly Cash Flow'!BD$196&gt;0)</f>
        <v>0</v>
      </c>
      <c r="BC28" s="303">
        <f ca="1">'Monthly Cash Flow'!BE$196*('Monthly Cash Flow'!BE$196&gt;0)</f>
        <v>0</v>
      </c>
      <c r="BD28" s="303">
        <f ca="1">'Monthly Cash Flow'!BF$196*('Monthly Cash Flow'!BF$196&gt;0)</f>
        <v>0</v>
      </c>
      <c r="BE28" s="303">
        <f ca="1">'Monthly Cash Flow'!BG$196*('Monthly Cash Flow'!BG$196&gt;0)</f>
        <v>0</v>
      </c>
      <c r="BF28" s="303">
        <f ca="1">'Monthly Cash Flow'!BH$196*('Monthly Cash Flow'!BH$196&gt;0)</f>
        <v>0</v>
      </c>
      <c r="BG28" s="303">
        <f ca="1">'Monthly Cash Flow'!BI$196*('Monthly Cash Flow'!BI$196&gt;0)</f>
        <v>0</v>
      </c>
      <c r="BH28" s="303">
        <f ca="1">'Monthly Cash Flow'!BJ$196*('Monthly Cash Flow'!BJ$196&gt;0)</f>
        <v>0</v>
      </c>
      <c r="BI28" s="303">
        <f ca="1">'Monthly Cash Flow'!BK$196*('Monthly Cash Flow'!BK$196&gt;0)</f>
        <v>0</v>
      </c>
      <c r="BJ28" s="303">
        <f ca="1">'Monthly Cash Flow'!BL$196*('Monthly Cash Flow'!BL$196&gt;0)</f>
        <v>0</v>
      </c>
      <c r="BK28" s="303">
        <f ca="1">'Monthly Cash Flow'!BM$196*('Monthly Cash Flow'!BM$196&gt;0)</f>
        <v>0</v>
      </c>
      <c r="BL28" s="303">
        <f ca="1">'Monthly Cash Flow'!BN$196*('Monthly Cash Flow'!BN$196&gt;0)</f>
        <v>0</v>
      </c>
      <c r="BM28" s="303">
        <f ca="1">'Monthly Cash Flow'!BO$196*('Monthly Cash Flow'!BO$196&gt;0)</f>
        <v>0</v>
      </c>
      <c r="BN28" s="303">
        <f ca="1">'Monthly Cash Flow'!BP$196*('Monthly Cash Flow'!BP$196&gt;0)</f>
        <v>0</v>
      </c>
      <c r="BO28" s="303">
        <f ca="1">'Monthly Cash Flow'!BQ$196*('Monthly Cash Flow'!BQ$196&gt;0)</f>
        <v>0</v>
      </c>
      <c r="BP28" s="303">
        <f ca="1">'Monthly Cash Flow'!BR$196*('Monthly Cash Flow'!BR$196&gt;0)</f>
        <v>0</v>
      </c>
      <c r="BQ28" s="303">
        <f ca="1">'Monthly Cash Flow'!BS$196*('Monthly Cash Flow'!BS$196&gt;0)</f>
        <v>0</v>
      </c>
      <c r="BR28" s="303">
        <f ca="1">'Monthly Cash Flow'!BT$196*('Monthly Cash Flow'!BT$196&gt;0)</f>
        <v>0</v>
      </c>
      <c r="BS28" s="303">
        <f ca="1">'Monthly Cash Flow'!BU$196*('Monthly Cash Flow'!BU$196&gt;0)</f>
        <v>0</v>
      </c>
      <c r="BT28" s="303">
        <f ca="1">'Monthly Cash Flow'!BV$196*('Monthly Cash Flow'!BV$196&gt;0)</f>
        <v>0</v>
      </c>
      <c r="BU28" s="303">
        <f ca="1">'Monthly Cash Flow'!BW$196*('Monthly Cash Flow'!BW$196&gt;0)</f>
        <v>0</v>
      </c>
      <c r="BV28" s="303">
        <f ca="1">'Monthly Cash Flow'!BX$196*('Monthly Cash Flow'!BX$196&gt;0)</f>
        <v>0</v>
      </c>
      <c r="BW28" s="303">
        <f ca="1">'Monthly Cash Flow'!BY$196*('Monthly Cash Flow'!BY$196&gt;0)</f>
        <v>0</v>
      </c>
      <c r="BX28" s="303">
        <f ca="1">'Monthly Cash Flow'!BZ$196*('Monthly Cash Flow'!BZ$196&gt;0)</f>
        <v>0</v>
      </c>
      <c r="BY28" s="303">
        <f ca="1">'Monthly Cash Flow'!CA$196*('Monthly Cash Flow'!CA$196&gt;0)</f>
        <v>0</v>
      </c>
      <c r="BZ28" s="303">
        <f ca="1">'Monthly Cash Flow'!CB$196*('Monthly Cash Flow'!CB$196&gt;0)</f>
        <v>0</v>
      </c>
      <c r="CA28" s="303">
        <f ca="1">'Monthly Cash Flow'!CC$196*('Monthly Cash Flow'!CC$196&gt;0)</f>
        <v>0</v>
      </c>
      <c r="CB28" s="303">
        <f ca="1">'Monthly Cash Flow'!CD$196*('Monthly Cash Flow'!CD$196&gt;0)</f>
        <v>0</v>
      </c>
      <c r="CC28" s="303">
        <f ca="1">'Monthly Cash Flow'!CE$196*('Monthly Cash Flow'!CE$196&gt;0)</f>
        <v>0</v>
      </c>
      <c r="CD28" s="303">
        <f ca="1">'Monthly Cash Flow'!CF$196*('Monthly Cash Flow'!CF$196&gt;0)</f>
        <v>0</v>
      </c>
      <c r="CE28" s="303">
        <f ca="1">'Monthly Cash Flow'!CG$196*('Monthly Cash Flow'!CG$196&gt;0)</f>
        <v>0</v>
      </c>
      <c r="CF28" s="303">
        <f ca="1">'Monthly Cash Flow'!CH$196*('Monthly Cash Flow'!CH$196&gt;0)</f>
        <v>0</v>
      </c>
      <c r="CG28" s="303">
        <f ca="1">'Monthly Cash Flow'!CI$196*('Monthly Cash Flow'!CI$196&gt;0)</f>
        <v>0</v>
      </c>
      <c r="CH28" s="303">
        <f ca="1">'Monthly Cash Flow'!CJ$196*('Monthly Cash Flow'!CJ$196&gt;0)</f>
        <v>0</v>
      </c>
      <c r="CI28" s="303">
        <f ca="1">'Monthly Cash Flow'!CK$196*('Monthly Cash Flow'!CK$196&gt;0)</f>
        <v>0</v>
      </c>
      <c r="CJ28" s="303">
        <f ca="1">'Monthly Cash Flow'!CL$196*('Monthly Cash Flow'!CL$196&gt;0)</f>
        <v>0</v>
      </c>
      <c r="CK28" s="303">
        <f ca="1">'Monthly Cash Flow'!CM$196*('Monthly Cash Flow'!CM$196&gt;0)</f>
        <v>0</v>
      </c>
      <c r="CL28" s="303">
        <f ca="1">'Monthly Cash Flow'!CN$196*('Monthly Cash Flow'!CN$196&gt;0)</f>
        <v>0</v>
      </c>
      <c r="CM28" s="303">
        <f ca="1">'Monthly Cash Flow'!CO$196*('Monthly Cash Flow'!CO$196&gt;0)</f>
        <v>0</v>
      </c>
      <c r="CN28" s="303">
        <f ca="1">'Monthly Cash Flow'!CP$196*('Monthly Cash Flow'!CP$196&gt;0)</f>
        <v>0</v>
      </c>
      <c r="CO28" s="303">
        <f ca="1">'Monthly Cash Flow'!CQ$196*('Monthly Cash Flow'!CQ$196&gt;0)</f>
        <v>0</v>
      </c>
      <c r="CP28" s="303">
        <f ca="1">'Monthly Cash Flow'!CR$196*('Monthly Cash Flow'!CR$196&gt;0)</f>
        <v>0</v>
      </c>
      <c r="CQ28" s="303">
        <f ca="1">'Monthly Cash Flow'!CS$196*('Monthly Cash Flow'!CS$196&gt;0)</f>
        <v>0</v>
      </c>
      <c r="CR28" s="303">
        <f ca="1">'Monthly Cash Flow'!CT$196*('Monthly Cash Flow'!CT$196&gt;0)</f>
        <v>0</v>
      </c>
      <c r="CS28" s="303">
        <f ca="1">'Monthly Cash Flow'!CU$196*('Monthly Cash Flow'!CU$196&gt;0)</f>
        <v>0</v>
      </c>
      <c r="CT28" s="303">
        <f ca="1">'Monthly Cash Flow'!CV$196*('Monthly Cash Flow'!CV$196&gt;0)</f>
        <v>0</v>
      </c>
      <c r="CU28" s="303">
        <f ca="1">'Monthly Cash Flow'!CW$196*('Monthly Cash Flow'!CW$196&gt;0)</f>
        <v>0</v>
      </c>
      <c r="CV28" s="303">
        <f ca="1">'Monthly Cash Flow'!CX$196*('Monthly Cash Flow'!CX$196&gt;0)</f>
        <v>0</v>
      </c>
      <c r="CW28" s="303">
        <f ca="1">'Monthly Cash Flow'!CY$196*('Monthly Cash Flow'!CY$196&gt;0)</f>
        <v>0</v>
      </c>
      <c r="CX28" s="303">
        <f ca="1">'Monthly Cash Flow'!CZ$196*('Monthly Cash Flow'!CZ$196&gt;0)</f>
        <v>0</v>
      </c>
      <c r="CY28" s="303">
        <f ca="1">'Monthly Cash Flow'!DA$196*('Monthly Cash Flow'!DA$196&gt;0)</f>
        <v>0</v>
      </c>
      <c r="CZ28" s="303">
        <f ca="1">'Monthly Cash Flow'!DB$196*('Monthly Cash Flow'!DB$196&gt;0)</f>
        <v>0</v>
      </c>
      <c r="DA28" s="303">
        <f ca="1">'Monthly Cash Flow'!DC$196*('Monthly Cash Flow'!DC$196&gt;0)</f>
        <v>0</v>
      </c>
      <c r="DB28" s="303">
        <f ca="1">'Monthly Cash Flow'!DD$196*('Monthly Cash Flow'!DD$196&gt;0)</f>
        <v>0</v>
      </c>
      <c r="DC28" s="303">
        <f ca="1">'Monthly Cash Flow'!DE$196*('Monthly Cash Flow'!DE$196&gt;0)</f>
        <v>0</v>
      </c>
      <c r="DD28" s="303">
        <f ca="1">'Monthly Cash Flow'!DF$196*('Monthly Cash Flow'!DF$196&gt;0)</f>
        <v>0</v>
      </c>
      <c r="DE28" s="303">
        <f ca="1">'Monthly Cash Flow'!DG$196*('Monthly Cash Flow'!DG$196&gt;0)</f>
        <v>0</v>
      </c>
      <c r="DF28" s="303">
        <f ca="1">'Monthly Cash Flow'!DH$196*('Monthly Cash Flow'!DH$196&gt;0)</f>
        <v>0</v>
      </c>
      <c r="DG28" s="303">
        <f ca="1">'Monthly Cash Flow'!DI$196*('Monthly Cash Flow'!DI$196&gt;0)</f>
        <v>27810.627823956129</v>
      </c>
      <c r="DH28" s="303">
        <f>'Monthly Cash Flow'!DJ$196*('Monthly Cash Flow'!DJ$196&gt;0)</f>
        <v>0</v>
      </c>
      <c r="DI28" s="303">
        <f>'Monthly Cash Flow'!DK$196*('Monthly Cash Flow'!DK$196&gt;0)</f>
        <v>0</v>
      </c>
      <c r="DJ28" s="303">
        <f>'Monthly Cash Flow'!DL$196*('Monthly Cash Flow'!DL$196&gt;0)</f>
        <v>0</v>
      </c>
      <c r="DK28" s="303">
        <f>'Monthly Cash Flow'!DM$196*('Monthly Cash Flow'!DM$196&gt;0)</f>
        <v>0</v>
      </c>
      <c r="DL28" s="303">
        <f>'Monthly Cash Flow'!DN$196*('Monthly Cash Flow'!DN$196&gt;0)</f>
        <v>0</v>
      </c>
      <c r="DM28" s="303">
        <f>'Monthly Cash Flow'!DO$196*('Monthly Cash Flow'!DO$196&gt;0)</f>
        <v>0</v>
      </c>
      <c r="DN28" s="303">
        <f>'Monthly Cash Flow'!DP$196*('Monthly Cash Flow'!DP$196&gt;0)</f>
        <v>0</v>
      </c>
      <c r="DO28" s="303">
        <f>'Monthly Cash Flow'!DQ$196*('Monthly Cash Flow'!DQ$196&gt;0)</f>
        <v>0</v>
      </c>
      <c r="DP28" s="303">
        <f>'Monthly Cash Flow'!DR$196*('Monthly Cash Flow'!DR$196&gt;0)</f>
        <v>0</v>
      </c>
      <c r="DQ28" s="303">
        <f>'Monthly Cash Flow'!DS$196*('Monthly Cash Flow'!DS$196&gt;0)</f>
        <v>0</v>
      </c>
      <c r="DR28" s="303">
        <f>'Monthly Cash Flow'!DT$196*('Monthly Cash Flow'!DT$196&gt;0)</f>
        <v>0</v>
      </c>
      <c r="DS28" s="303">
        <f>'Monthly Cash Flow'!DU$196*('Monthly Cash Flow'!DU$196&gt;0)</f>
        <v>0</v>
      </c>
      <c r="DT28" s="303">
        <f>'Monthly Cash Flow'!DV$196*('Monthly Cash Flow'!DV$196&gt;0)</f>
        <v>0</v>
      </c>
      <c r="DU28" s="303">
        <f>'Monthly Cash Flow'!DW$196*('Monthly Cash Flow'!DW$196&gt;0)</f>
        <v>0</v>
      </c>
      <c r="DV28" s="303">
        <f>'Monthly Cash Flow'!DX$196*('Monthly Cash Flow'!DX$196&gt;0)</f>
        <v>0</v>
      </c>
      <c r="DW28" s="303">
        <f>'Monthly Cash Flow'!DY$196*('Monthly Cash Flow'!DY$196&gt;0)</f>
        <v>0</v>
      </c>
      <c r="DX28" s="303">
        <f>'Monthly Cash Flow'!DZ$196*('Monthly Cash Flow'!DZ$196&gt;0)</f>
        <v>0</v>
      </c>
      <c r="DY28" s="303">
        <f>'Monthly Cash Flow'!EA$196*('Monthly Cash Flow'!EA$196&gt;0)</f>
        <v>0</v>
      </c>
      <c r="DZ28" s="303">
        <f>'Monthly Cash Flow'!EB$196*('Monthly Cash Flow'!EB$196&gt;0)</f>
        <v>0</v>
      </c>
      <c r="EA28" s="303">
        <f>'Monthly Cash Flow'!EC$196*('Monthly Cash Flow'!EC$196&gt;0)</f>
        <v>0</v>
      </c>
      <c r="EB28" s="303">
        <f>'Monthly Cash Flow'!ED$196*('Monthly Cash Flow'!ED$196&gt;0)</f>
        <v>0</v>
      </c>
      <c r="EC28" s="303">
        <f>'Monthly Cash Flow'!EE$196*('Monthly Cash Flow'!EE$196&gt;0)</f>
        <v>0</v>
      </c>
      <c r="ED28" s="303">
        <f>'Monthly Cash Flow'!EF$196*('Monthly Cash Flow'!EF$196&gt;0)</f>
        <v>0</v>
      </c>
      <c r="EE28" s="303">
        <f>'Monthly Cash Flow'!EG$196*('Monthly Cash Flow'!EG$196&gt;0)</f>
        <v>0</v>
      </c>
    </row>
    <row r="29" spans="2:135">
      <c r="B29" s="305" t="s">
        <v>171</v>
      </c>
      <c r="C29" s="305"/>
      <c r="D29" s="305"/>
      <c r="E29" s="305"/>
      <c r="F29" s="305"/>
      <c r="G29" s="306">
        <f t="shared" ref="G29:AM29" ca="1" si="73">SUM(G26:G28)</f>
        <v>11928.395823956129</v>
      </c>
      <c r="H29" s="306"/>
      <c r="I29" s="307">
        <f t="shared" si="73"/>
        <v>-13708</v>
      </c>
      <c r="J29" s="307">
        <f t="shared" ca="1" si="73"/>
        <v>0</v>
      </c>
      <c r="K29" s="307">
        <f t="shared" ca="1" si="73"/>
        <v>0</v>
      </c>
      <c r="L29" s="307">
        <f t="shared" ca="1" si="73"/>
        <v>0</v>
      </c>
      <c r="M29" s="307">
        <f t="shared" ca="1" si="73"/>
        <v>0</v>
      </c>
      <c r="N29" s="307">
        <f t="shared" ca="1" si="73"/>
        <v>-150.82499999999999</v>
      </c>
      <c r="O29" s="307">
        <f t="shared" ca="1" si="73"/>
        <v>0</v>
      </c>
      <c r="P29" s="307">
        <f t="shared" ca="1" si="73"/>
        <v>0</v>
      </c>
      <c r="Q29" s="307">
        <f t="shared" ca="1" si="73"/>
        <v>0</v>
      </c>
      <c r="R29" s="307">
        <f t="shared" ca="1" si="73"/>
        <v>0</v>
      </c>
      <c r="S29" s="307">
        <f t="shared" ca="1" si="73"/>
        <v>0</v>
      </c>
      <c r="T29" s="307">
        <f t="shared" ca="1" si="73"/>
        <v>0</v>
      </c>
      <c r="U29" s="307">
        <f t="shared" ca="1" si="73"/>
        <v>0</v>
      </c>
      <c r="V29" s="307">
        <f t="shared" ca="1" si="73"/>
        <v>-79.174999999999997</v>
      </c>
      <c r="W29" s="307">
        <f t="shared" ca="1" si="73"/>
        <v>0</v>
      </c>
      <c r="X29" s="307">
        <f t="shared" ca="1" si="73"/>
        <v>0</v>
      </c>
      <c r="Y29" s="307">
        <f t="shared" ca="1" si="73"/>
        <v>0</v>
      </c>
      <c r="Z29" s="307">
        <f t="shared" ca="1" si="73"/>
        <v>0</v>
      </c>
      <c r="AA29" s="307">
        <f t="shared" ca="1" si="73"/>
        <v>0</v>
      </c>
      <c r="AB29" s="307">
        <f t="shared" ca="1" si="73"/>
        <v>0</v>
      </c>
      <c r="AC29" s="307">
        <f t="shared" ca="1" si="73"/>
        <v>0</v>
      </c>
      <c r="AD29" s="307">
        <f t="shared" ca="1" si="73"/>
        <v>0</v>
      </c>
      <c r="AE29" s="307">
        <f t="shared" ca="1" si="73"/>
        <v>-310</v>
      </c>
      <c r="AF29" s="307">
        <f t="shared" ca="1" si="73"/>
        <v>0</v>
      </c>
      <c r="AG29" s="307">
        <f t="shared" ca="1" si="73"/>
        <v>0</v>
      </c>
      <c r="AH29" s="307">
        <f t="shared" ca="1" si="73"/>
        <v>0</v>
      </c>
      <c r="AI29" s="307">
        <f t="shared" ca="1" si="73"/>
        <v>0</v>
      </c>
      <c r="AJ29" s="307">
        <f t="shared" ca="1" si="73"/>
        <v>0</v>
      </c>
      <c r="AK29" s="307">
        <f t="shared" ca="1" si="73"/>
        <v>0</v>
      </c>
      <c r="AL29" s="307">
        <f t="shared" ca="1" si="73"/>
        <v>0</v>
      </c>
      <c r="AM29" s="307">
        <f t="shared" ca="1" si="73"/>
        <v>0</v>
      </c>
      <c r="AN29" s="307">
        <f t="shared" ref="AN29:CY29" ca="1" si="74">SUM(AN26:AN28)</f>
        <v>0</v>
      </c>
      <c r="AO29" s="307">
        <f t="shared" ca="1" si="74"/>
        <v>0</v>
      </c>
      <c r="AP29" s="307">
        <f t="shared" ca="1" si="74"/>
        <v>0</v>
      </c>
      <c r="AQ29" s="307">
        <f t="shared" ca="1" si="74"/>
        <v>0</v>
      </c>
      <c r="AR29" s="307">
        <f t="shared" ca="1" si="74"/>
        <v>0</v>
      </c>
      <c r="AS29" s="307">
        <f t="shared" ca="1" si="74"/>
        <v>0</v>
      </c>
      <c r="AT29" s="307">
        <f t="shared" ca="1" si="74"/>
        <v>0</v>
      </c>
      <c r="AU29" s="307">
        <f t="shared" ca="1" si="74"/>
        <v>0</v>
      </c>
      <c r="AV29" s="307">
        <f t="shared" ca="1" si="74"/>
        <v>0</v>
      </c>
      <c r="AW29" s="307">
        <f t="shared" ca="1" si="74"/>
        <v>0</v>
      </c>
      <c r="AX29" s="307">
        <f t="shared" ca="1" si="74"/>
        <v>0</v>
      </c>
      <c r="AY29" s="307">
        <f t="shared" ca="1" si="74"/>
        <v>-141.08000000000001</v>
      </c>
      <c r="AZ29" s="307">
        <f t="shared" ca="1" si="74"/>
        <v>0</v>
      </c>
      <c r="BA29" s="307">
        <f t="shared" ca="1" si="74"/>
        <v>-248.2</v>
      </c>
      <c r="BB29" s="307">
        <f t="shared" ca="1" si="74"/>
        <v>-320</v>
      </c>
      <c r="BC29" s="307">
        <f t="shared" ca="1" si="74"/>
        <v>0</v>
      </c>
      <c r="BD29" s="307">
        <f t="shared" ca="1" si="74"/>
        <v>0</v>
      </c>
      <c r="BE29" s="307">
        <f t="shared" ca="1" si="74"/>
        <v>-617</v>
      </c>
      <c r="BF29" s="307">
        <f t="shared" ca="1" si="74"/>
        <v>0</v>
      </c>
      <c r="BG29" s="307">
        <f t="shared" ca="1" si="74"/>
        <v>0</v>
      </c>
      <c r="BH29" s="307">
        <f t="shared" ca="1" si="74"/>
        <v>0</v>
      </c>
      <c r="BI29" s="307">
        <f t="shared" ca="1" si="74"/>
        <v>0</v>
      </c>
      <c r="BJ29" s="307">
        <f t="shared" ca="1" si="74"/>
        <v>0</v>
      </c>
      <c r="BK29" s="307">
        <f t="shared" ca="1" si="74"/>
        <v>0</v>
      </c>
      <c r="BL29" s="307">
        <f t="shared" ca="1" si="74"/>
        <v>-219.452</v>
      </c>
      <c r="BM29" s="307">
        <f t="shared" ca="1" si="74"/>
        <v>0</v>
      </c>
      <c r="BN29" s="307">
        <f t="shared" ca="1" si="74"/>
        <v>0</v>
      </c>
      <c r="BO29" s="307">
        <f t="shared" ca="1" si="74"/>
        <v>0</v>
      </c>
      <c r="BP29" s="307">
        <f t="shared" ca="1" si="74"/>
        <v>-88.5</v>
      </c>
      <c r="BQ29" s="307">
        <f t="shared" ca="1" si="74"/>
        <v>0</v>
      </c>
      <c r="BR29" s="307">
        <f t="shared" ca="1" si="74"/>
        <v>0</v>
      </c>
      <c r="BS29" s="307">
        <f t="shared" ca="1" si="74"/>
        <v>0</v>
      </c>
      <c r="BT29" s="307">
        <f t="shared" ca="1" si="74"/>
        <v>0</v>
      </c>
      <c r="BU29" s="307">
        <f t="shared" ca="1" si="74"/>
        <v>0</v>
      </c>
      <c r="BV29" s="307">
        <f t="shared" ca="1" si="74"/>
        <v>0</v>
      </c>
      <c r="BW29" s="307">
        <f t="shared" ca="1" si="74"/>
        <v>0</v>
      </c>
      <c r="BX29" s="307">
        <f t="shared" ca="1" si="74"/>
        <v>0</v>
      </c>
      <c r="BY29" s="307">
        <f t="shared" ca="1" si="74"/>
        <v>0</v>
      </c>
      <c r="BZ29" s="307">
        <f t="shared" ca="1" si="74"/>
        <v>0</v>
      </c>
      <c r="CA29" s="307">
        <f t="shared" ca="1" si="74"/>
        <v>0</v>
      </c>
      <c r="CB29" s="307">
        <f t="shared" ca="1" si="74"/>
        <v>0</v>
      </c>
      <c r="CC29" s="307">
        <f t="shared" ca="1" si="74"/>
        <v>0</v>
      </c>
      <c r="CD29" s="307">
        <f t="shared" ca="1" si="74"/>
        <v>0</v>
      </c>
      <c r="CE29" s="307">
        <f t="shared" ca="1" si="74"/>
        <v>0</v>
      </c>
      <c r="CF29" s="307">
        <f t="shared" ca="1" si="74"/>
        <v>0</v>
      </c>
      <c r="CG29" s="307">
        <f t="shared" ca="1" si="74"/>
        <v>0</v>
      </c>
      <c r="CH29" s="307">
        <f t="shared" ca="1" si="74"/>
        <v>0</v>
      </c>
      <c r="CI29" s="307">
        <f t="shared" ca="1" si="74"/>
        <v>0</v>
      </c>
      <c r="CJ29" s="307">
        <f t="shared" ca="1" si="74"/>
        <v>0</v>
      </c>
      <c r="CK29" s="307">
        <f t="shared" ca="1" si="74"/>
        <v>0</v>
      </c>
      <c r="CL29" s="307">
        <f t="shared" ca="1" si="74"/>
        <v>0</v>
      </c>
      <c r="CM29" s="307">
        <f t="shared" ca="1" si="74"/>
        <v>0</v>
      </c>
      <c r="CN29" s="307">
        <f t="shared" ca="1" si="74"/>
        <v>0</v>
      </c>
      <c r="CO29" s="307">
        <f t="shared" ca="1" si="74"/>
        <v>0</v>
      </c>
      <c r="CP29" s="307">
        <f t="shared" ca="1" si="74"/>
        <v>0</v>
      </c>
      <c r="CQ29" s="307">
        <f t="shared" ca="1" si="74"/>
        <v>0</v>
      </c>
      <c r="CR29" s="307">
        <f t="shared" ca="1" si="74"/>
        <v>0</v>
      </c>
      <c r="CS29" s="307">
        <f t="shared" ca="1" si="74"/>
        <v>0</v>
      </c>
      <c r="CT29" s="307">
        <f t="shared" ca="1" si="74"/>
        <v>0</v>
      </c>
      <c r="CU29" s="307">
        <f t="shared" ca="1" si="74"/>
        <v>0</v>
      </c>
      <c r="CV29" s="307">
        <f t="shared" ca="1" si="74"/>
        <v>0</v>
      </c>
      <c r="CW29" s="307">
        <f t="shared" ca="1" si="74"/>
        <v>0</v>
      </c>
      <c r="CX29" s="307">
        <f t="shared" ca="1" si="74"/>
        <v>0</v>
      </c>
      <c r="CY29" s="307">
        <f t="shared" ca="1" si="74"/>
        <v>0</v>
      </c>
      <c r="CZ29" s="307">
        <f t="shared" ref="CZ29" ca="1" si="75">SUM(CZ26:CZ28)</f>
        <v>0</v>
      </c>
      <c r="DA29" s="307">
        <f t="shared" ref="DA29:EE29" ca="1" si="76">SUM(DA26:DA28)</f>
        <v>0</v>
      </c>
      <c r="DB29" s="307">
        <f t="shared" ca="1" si="76"/>
        <v>0</v>
      </c>
      <c r="DC29" s="307">
        <f t="shared" ca="1" si="76"/>
        <v>0</v>
      </c>
      <c r="DD29" s="307">
        <f t="shared" ca="1" si="76"/>
        <v>0</v>
      </c>
      <c r="DE29" s="307">
        <f t="shared" ca="1" si="76"/>
        <v>0</v>
      </c>
      <c r="DF29" s="307">
        <f t="shared" ca="1" si="76"/>
        <v>0</v>
      </c>
      <c r="DG29" s="307">
        <f t="shared" ca="1" si="76"/>
        <v>27810.627823956129</v>
      </c>
      <c r="DH29" s="307">
        <f t="shared" si="76"/>
        <v>0</v>
      </c>
      <c r="DI29" s="307">
        <f t="shared" si="76"/>
        <v>0</v>
      </c>
      <c r="DJ29" s="307">
        <f t="shared" si="76"/>
        <v>0</v>
      </c>
      <c r="DK29" s="307">
        <f t="shared" si="76"/>
        <v>0</v>
      </c>
      <c r="DL29" s="307">
        <f t="shared" si="76"/>
        <v>0</v>
      </c>
      <c r="DM29" s="307">
        <f t="shared" si="76"/>
        <v>0</v>
      </c>
      <c r="DN29" s="307">
        <f t="shared" si="76"/>
        <v>0</v>
      </c>
      <c r="DO29" s="307">
        <f t="shared" si="76"/>
        <v>0</v>
      </c>
      <c r="DP29" s="307">
        <f t="shared" si="76"/>
        <v>0</v>
      </c>
      <c r="DQ29" s="307">
        <f t="shared" si="76"/>
        <v>0</v>
      </c>
      <c r="DR29" s="307">
        <f t="shared" si="76"/>
        <v>0</v>
      </c>
      <c r="DS29" s="307">
        <f t="shared" si="76"/>
        <v>0</v>
      </c>
      <c r="DT29" s="307">
        <f t="shared" si="76"/>
        <v>0</v>
      </c>
      <c r="DU29" s="307">
        <f t="shared" si="76"/>
        <v>0</v>
      </c>
      <c r="DV29" s="307">
        <f t="shared" si="76"/>
        <v>0</v>
      </c>
      <c r="DW29" s="307">
        <f t="shared" si="76"/>
        <v>0</v>
      </c>
      <c r="DX29" s="307">
        <f t="shared" si="76"/>
        <v>0</v>
      </c>
      <c r="DY29" s="307">
        <f t="shared" si="76"/>
        <v>0</v>
      </c>
      <c r="DZ29" s="307">
        <f t="shared" si="76"/>
        <v>0</v>
      </c>
      <c r="EA29" s="307">
        <f t="shared" si="76"/>
        <v>0</v>
      </c>
      <c r="EB29" s="307">
        <f t="shared" si="76"/>
        <v>0</v>
      </c>
      <c r="EC29" s="307">
        <f t="shared" si="76"/>
        <v>0</v>
      </c>
      <c r="ED29" s="307">
        <f t="shared" si="76"/>
        <v>0</v>
      </c>
      <c r="EE29" s="307">
        <f t="shared" si="76"/>
        <v>0</v>
      </c>
    </row>
    <row r="30" spans="2:135">
      <c r="B30" s="271"/>
      <c r="C30" s="271"/>
      <c r="D30" s="271"/>
      <c r="E30" s="271"/>
      <c r="F30" s="271"/>
      <c r="G30" s="308">
        <f ca="1">IFERROR(XIRR(I29:EE29, $I$8:$EE$8, ), "n/a")</f>
        <v>7.1606448292732258E-2</v>
      </c>
      <c r="H30" s="308"/>
      <c r="I30" s="304"/>
      <c r="J30" s="304"/>
      <c r="K30" s="304"/>
      <c r="L30" s="304"/>
      <c r="M30" s="304"/>
      <c r="N30" s="304"/>
      <c r="O30" s="304"/>
      <c r="P30" s="304"/>
      <c r="Q30" s="304"/>
      <c r="R30" s="304"/>
      <c r="S30" s="304"/>
      <c r="T30" s="304"/>
      <c r="U30" s="304"/>
      <c r="V30" s="304"/>
      <c r="W30" s="304"/>
      <c r="X30" s="304"/>
      <c r="Y30" s="304"/>
      <c r="Z30" s="304"/>
      <c r="AA30" s="304"/>
      <c r="AB30" s="304"/>
      <c r="AC30" s="304"/>
      <c r="AD30" s="304"/>
      <c r="AE30" s="304"/>
      <c r="AF30" s="304"/>
      <c r="AG30" s="304"/>
      <c r="AH30" s="304"/>
      <c r="AI30" s="304"/>
      <c r="AJ30" s="304"/>
      <c r="AK30" s="304"/>
      <c r="AL30" s="304"/>
      <c r="AM30" s="304"/>
      <c r="AN30" s="304"/>
      <c r="AO30" s="304"/>
      <c r="AP30" s="304"/>
      <c r="AQ30" s="304"/>
      <c r="AR30" s="304"/>
      <c r="AS30" s="304"/>
      <c r="AT30" s="304"/>
      <c r="AU30" s="304"/>
      <c r="AV30" s="304"/>
      <c r="AW30" s="304"/>
      <c r="AX30" s="304"/>
      <c r="AY30" s="304"/>
      <c r="AZ30" s="304"/>
      <c r="BA30" s="304"/>
      <c r="BB30" s="304"/>
      <c r="BC30" s="304"/>
      <c r="BD30" s="304"/>
      <c r="BE30" s="304"/>
      <c r="BF30" s="304"/>
      <c r="BG30" s="304"/>
      <c r="BH30" s="304"/>
      <c r="BI30" s="304"/>
      <c r="BJ30" s="304"/>
      <c r="BK30" s="304"/>
      <c r="BL30" s="304"/>
      <c r="BM30" s="304"/>
      <c r="BN30" s="304"/>
      <c r="BO30" s="304"/>
      <c r="BP30" s="304"/>
      <c r="BQ30" s="304"/>
      <c r="BR30" s="304"/>
      <c r="BS30" s="304"/>
      <c r="BT30" s="304"/>
      <c r="BU30" s="304"/>
      <c r="BV30" s="304"/>
      <c r="BW30" s="304"/>
      <c r="BX30" s="304"/>
      <c r="BY30" s="304"/>
      <c r="BZ30" s="304"/>
      <c r="CA30" s="304"/>
      <c r="CB30" s="304"/>
      <c r="CC30" s="304"/>
      <c r="CD30" s="304"/>
      <c r="CE30" s="304"/>
      <c r="CF30" s="304"/>
      <c r="CG30" s="304"/>
      <c r="CH30" s="304"/>
      <c r="CI30" s="304"/>
      <c r="CJ30" s="304"/>
      <c r="CK30" s="304"/>
      <c r="CL30" s="304"/>
      <c r="CM30" s="304"/>
      <c r="CN30" s="304"/>
      <c r="CO30" s="304"/>
      <c r="CP30" s="304"/>
      <c r="CQ30" s="304"/>
      <c r="CR30" s="304"/>
      <c r="CS30" s="304"/>
      <c r="CT30" s="304"/>
      <c r="CU30" s="304"/>
      <c r="CV30" s="304"/>
      <c r="CW30" s="304"/>
      <c r="CX30" s="304"/>
      <c r="CY30" s="304"/>
      <c r="CZ30" s="304"/>
      <c r="DA30" s="304"/>
      <c r="DB30" s="304"/>
      <c r="DC30" s="304"/>
      <c r="DD30" s="304"/>
      <c r="DE30" s="304"/>
      <c r="DF30" s="304"/>
      <c r="DG30" s="304"/>
      <c r="DH30" s="304"/>
      <c r="DI30" s="304"/>
      <c r="DJ30" s="304"/>
      <c r="DK30" s="304"/>
      <c r="DL30" s="304"/>
      <c r="DM30" s="304"/>
      <c r="DN30" s="304"/>
      <c r="DO30" s="304"/>
      <c r="DP30" s="304"/>
      <c r="DQ30" s="304"/>
      <c r="DR30" s="304"/>
      <c r="DS30" s="304"/>
      <c r="DT30" s="304"/>
      <c r="DU30" s="304"/>
      <c r="DV30" s="304"/>
      <c r="DW30" s="304"/>
      <c r="DX30" s="304"/>
      <c r="DY30" s="304"/>
      <c r="DZ30" s="304"/>
      <c r="EA30" s="304"/>
      <c r="EB30" s="304"/>
      <c r="EC30" s="304"/>
      <c r="ED30" s="304"/>
      <c r="EE30" s="304"/>
    </row>
    <row r="31" spans="2:135">
      <c r="G31" s="301"/>
      <c r="H31" s="301"/>
      <c r="I31" s="301"/>
      <c r="J31" s="301"/>
      <c r="K31" s="301"/>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c r="AP31" s="301"/>
      <c r="AQ31" s="301"/>
      <c r="AR31" s="301"/>
      <c r="AS31" s="301"/>
      <c r="AT31" s="301"/>
      <c r="AU31" s="301"/>
      <c r="AV31" s="301"/>
      <c r="AW31" s="301"/>
      <c r="AX31" s="301"/>
      <c r="AY31" s="301"/>
      <c r="AZ31" s="301"/>
      <c r="BA31" s="301"/>
      <c r="BB31" s="301"/>
      <c r="BC31" s="301"/>
      <c r="BD31" s="301"/>
      <c r="BE31" s="301"/>
      <c r="BF31" s="301"/>
      <c r="BG31" s="301"/>
      <c r="BH31" s="301"/>
      <c r="BI31" s="301"/>
      <c r="BJ31" s="301"/>
      <c r="BK31" s="301"/>
      <c r="BL31" s="301"/>
      <c r="BM31" s="301"/>
      <c r="BN31" s="301"/>
      <c r="BO31" s="301"/>
      <c r="BP31" s="301"/>
      <c r="BQ31" s="301"/>
      <c r="BR31" s="301"/>
      <c r="BS31" s="301"/>
      <c r="BT31" s="301"/>
      <c r="BU31" s="301"/>
      <c r="BV31" s="301"/>
      <c r="BW31" s="301"/>
      <c r="BX31" s="301"/>
      <c r="BY31" s="301"/>
      <c r="BZ31" s="301"/>
      <c r="CA31" s="301"/>
      <c r="CB31" s="301"/>
      <c r="CC31" s="301"/>
      <c r="CD31" s="301"/>
      <c r="CE31" s="301"/>
      <c r="CF31" s="301"/>
      <c r="CG31" s="301"/>
      <c r="CH31" s="301"/>
      <c r="CI31" s="301"/>
      <c r="CJ31" s="301"/>
      <c r="CK31" s="301"/>
      <c r="CL31" s="301"/>
      <c r="CM31" s="301"/>
      <c r="CN31" s="301"/>
      <c r="CO31" s="301"/>
      <c r="CP31" s="301"/>
      <c r="CQ31" s="301"/>
      <c r="CR31" s="301"/>
      <c r="CS31" s="301"/>
      <c r="CT31" s="301"/>
      <c r="CU31" s="301"/>
      <c r="CV31" s="301"/>
      <c r="CW31" s="301"/>
      <c r="CX31" s="301"/>
      <c r="CY31" s="301"/>
      <c r="CZ31" s="301"/>
      <c r="DA31" s="301"/>
      <c r="DB31" s="301"/>
      <c r="DC31" s="301"/>
      <c r="DD31" s="301"/>
      <c r="DE31" s="301"/>
      <c r="DF31" s="301"/>
      <c r="DG31" s="301"/>
      <c r="DH31" s="301"/>
      <c r="DI31" s="301"/>
      <c r="DJ31" s="301"/>
      <c r="DK31" s="301"/>
      <c r="DL31" s="301"/>
      <c r="DM31" s="301"/>
      <c r="DN31" s="301"/>
      <c r="DO31" s="301"/>
      <c r="DP31" s="301"/>
      <c r="DQ31" s="301"/>
      <c r="DR31" s="301"/>
      <c r="DS31" s="301"/>
      <c r="DT31" s="301"/>
      <c r="DU31" s="301"/>
      <c r="DV31" s="301"/>
      <c r="DW31" s="301"/>
      <c r="DX31" s="301"/>
      <c r="DY31" s="301"/>
      <c r="DZ31" s="301"/>
      <c r="EA31" s="301"/>
      <c r="EB31" s="301"/>
      <c r="EC31" s="301"/>
      <c r="ED31" s="301"/>
      <c r="EE31" s="301"/>
    </row>
    <row r="32" spans="2:135">
      <c r="B32" s="265" t="s">
        <v>160</v>
      </c>
      <c r="G32" s="301"/>
      <c r="H32" s="301"/>
      <c r="I32" s="301"/>
      <c r="J32" s="301"/>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c r="AP32" s="301"/>
      <c r="AQ32" s="301"/>
      <c r="AR32" s="301"/>
      <c r="AS32" s="301"/>
      <c r="AT32" s="301"/>
      <c r="AU32" s="301"/>
      <c r="AV32" s="301"/>
      <c r="AW32" s="301"/>
      <c r="AX32" s="301"/>
      <c r="AY32" s="301"/>
      <c r="AZ32" s="301"/>
      <c r="BA32" s="301"/>
      <c r="BB32" s="301"/>
      <c r="BC32" s="301"/>
      <c r="BD32" s="301"/>
      <c r="BE32" s="301"/>
      <c r="BF32" s="301"/>
      <c r="BG32" s="301"/>
      <c r="BH32" s="301"/>
      <c r="BI32" s="301"/>
      <c r="BJ32" s="301"/>
      <c r="BK32" s="301"/>
      <c r="BL32" s="301"/>
      <c r="BM32" s="301"/>
      <c r="BN32" s="301"/>
      <c r="BO32" s="301"/>
      <c r="BP32" s="301"/>
      <c r="BQ32" s="301"/>
      <c r="BR32" s="301"/>
      <c r="BS32" s="301"/>
      <c r="BT32" s="301"/>
      <c r="BU32" s="301"/>
      <c r="BV32" s="301"/>
      <c r="BW32" s="301"/>
      <c r="BX32" s="301"/>
      <c r="BY32" s="301"/>
      <c r="BZ32" s="301"/>
      <c r="CA32" s="301"/>
      <c r="CB32" s="301"/>
      <c r="CC32" s="301"/>
      <c r="CD32" s="301"/>
      <c r="CE32" s="301"/>
      <c r="CF32" s="301"/>
      <c r="CG32" s="301"/>
      <c r="CH32" s="301"/>
      <c r="CI32" s="301"/>
      <c r="CJ32" s="301"/>
      <c r="CK32" s="301"/>
      <c r="CL32" s="301"/>
      <c r="CM32" s="301"/>
      <c r="CN32" s="301"/>
      <c r="CO32" s="301"/>
      <c r="CP32" s="301"/>
      <c r="CQ32" s="301"/>
      <c r="CR32" s="301"/>
      <c r="CS32" s="301"/>
      <c r="CT32" s="301"/>
      <c r="CU32" s="301"/>
      <c r="CV32" s="301"/>
      <c r="CW32" s="301"/>
      <c r="CX32" s="301"/>
      <c r="CY32" s="301"/>
      <c r="CZ32" s="301"/>
      <c r="DA32" s="301"/>
      <c r="DB32" s="301"/>
      <c r="DC32" s="301"/>
      <c r="DD32" s="301"/>
      <c r="DE32" s="301"/>
      <c r="DF32" s="301"/>
      <c r="DG32" s="301"/>
      <c r="DH32" s="301"/>
      <c r="DI32" s="301"/>
      <c r="DJ32" s="301"/>
      <c r="DK32" s="301"/>
      <c r="DL32" s="301"/>
      <c r="DM32" s="301"/>
      <c r="DN32" s="301"/>
      <c r="DO32" s="301"/>
      <c r="DP32" s="301"/>
      <c r="DQ32" s="301"/>
      <c r="DR32" s="301"/>
      <c r="DS32" s="301"/>
      <c r="DT32" s="301"/>
      <c r="DU32" s="301"/>
      <c r="DV32" s="301"/>
      <c r="DW32" s="301"/>
      <c r="DX32" s="301"/>
      <c r="DY32" s="301"/>
      <c r="DZ32" s="301"/>
      <c r="EA32" s="301"/>
      <c r="EB32" s="301"/>
      <c r="EC32" s="301"/>
      <c r="ED32" s="301"/>
      <c r="EE32" s="301"/>
    </row>
    <row r="33" spans="2:135">
      <c r="C33" s="309" t="s">
        <v>172</v>
      </c>
      <c r="G33" s="301"/>
      <c r="H33" s="301"/>
      <c r="I33" s="301">
        <v>0</v>
      </c>
      <c r="J33" s="301">
        <f t="shared" ref="J33:BU33" si="77">I37</f>
        <v>13708</v>
      </c>
      <c r="K33" s="301">
        <f t="shared" ca="1" si="77"/>
        <v>13805.439792219633</v>
      </c>
      <c r="L33" s="301">
        <f t="shared" ca="1" si="77"/>
        <v>13906.855276662289</v>
      </c>
      <c r="M33" s="301">
        <f t="shared" ca="1" si="77"/>
        <v>14005.708580469298</v>
      </c>
      <c r="N33" s="301">
        <f t="shared" ca="1" si="77"/>
        <v>14108.59524992922</v>
      </c>
      <c r="O33" s="301">
        <f t="shared" ca="1" si="77"/>
        <v>14359.707570447459</v>
      </c>
      <c r="P33" s="301">
        <f t="shared" ca="1" si="77"/>
        <v>14465.194735045616</v>
      </c>
      <c r="Q33" s="301">
        <f t="shared" ca="1" si="77"/>
        <v>14571.456813884914</v>
      </c>
      <c r="R33" s="301">
        <f t="shared" ca="1" si="77"/>
        <v>14668.10625526281</v>
      </c>
      <c r="S33" s="301">
        <f t="shared" ca="1" si="77"/>
        <v>14775.858932766949</v>
      </c>
      <c r="T33" s="301">
        <f t="shared" ca="1" si="77"/>
        <v>14880.889325550392</v>
      </c>
      <c r="U33" s="301">
        <f t="shared" ca="1" si="77"/>
        <v>14990.205118643689</v>
      </c>
      <c r="V33" s="301">
        <f t="shared" ca="1" si="77"/>
        <v>15096.759136158304</v>
      </c>
      <c r="W33" s="301">
        <f t="shared" ca="1" si="77"/>
        <v>15286.835720196968</v>
      </c>
      <c r="X33" s="301">
        <f t="shared" ca="1" si="77"/>
        <v>15399.133616786456</v>
      </c>
      <c r="Y33" s="301">
        <f t="shared" ca="1" si="77"/>
        <v>15508.594397351239</v>
      </c>
      <c r="Z33" s="301">
        <f t="shared" ca="1" si="77"/>
        <v>15622.52134480846</v>
      </c>
      <c r="AA33" s="301">
        <f t="shared" ca="1" si="77"/>
        <v>15733.570019581215</v>
      </c>
      <c r="AB33" s="301">
        <f t="shared" ca="1" si="77"/>
        <v>15849.149649753341</v>
      </c>
      <c r="AC33" s="301">
        <f t="shared" ca="1" si="77"/>
        <v>15965.578333947795</v>
      </c>
      <c r="AD33" s="301">
        <f t="shared" ca="1" si="77"/>
        <v>16071.474693313918</v>
      </c>
      <c r="AE33" s="301">
        <f t="shared" ca="1" si="77"/>
        <v>16189.536588933417</v>
      </c>
      <c r="AF33" s="301">
        <f t="shared" ca="1" si="77"/>
        <v>16614.61574572929</v>
      </c>
      <c r="AG33" s="301">
        <f t="shared" ca="1" si="77"/>
        <v>16736.66758399317</v>
      </c>
      <c r="AH33" s="301">
        <f t="shared" ca="1" si="77"/>
        <v>16855.635880742029</v>
      </c>
      <c r="AI33" s="301">
        <f t="shared" ca="1" si="77"/>
        <v>16979.458265552825</v>
      </c>
      <c r="AJ33" s="301">
        <f t="shared" ca="1" si="77"/>
        <v>17104.19025609364</v>
      </c>
      <c r="AK33" s="301">
        <f t="shared" ca="1" si="77"/>
        <v>17225.770993228074</v>
      </c>
      <c r="AL33" s="301">
        <f t="shared" ca="1" si="77"/>
        <v>17352.312409978957</v>
      </c>
      <c r="AM33" s="301">
        <f t="shared" ca="1" si="77"/>
        <v>17475.656859625771</v>
      </c>
      <c r="AN33" s="301">
        <f t="shared" ca="1" si="77"/>
        <v>17604.033951051093</v>
      </c>
      <c r="AO33" s="301">
        <f t="shared" ca="1" si="77"/>
        <v>17733.354107319999</v>
      </c>
      <c r="AP33" s="301">
        <f t="shared" ca="1" si="77"/>
        <v>17850.975755595809</v>
      </c>
      <c r="AQ33" s="301">
        <f t="shared" ca="1" si="77"/>
        <v>17982.109959306446</v>
      </c>
      <c r="AR33" s="301">
        <f t="shared" ca="1" si="77"/>
        <v>18109.931162844921</v>
      </c>
      <c r="AS33" s="301">
        <f t="shared" ca="1" si="77"/>
        <v>18242.967666552551</v>
      </c>
      <c r="AT33" s="301">
        <f t="shared" ca="1" si="77"/>
        <v>18372.643110008808</v>
      </c>
      <c r="AU33" s="301">
        <f t="shared" ca="1" si="77"/>
        <v>18507.609509452574</v>
      </c>
      <c r="AV33" s="301">
        <f t="shared" ca="1" si="77"/>
        <v>18643.56737914206</v>
      </c>
      <c r="AW33" s="301">
        <f t="shared" ca="1" si="77"/>
        <v>18776.090382618593</v>
      </c>
      <c r="AX33" s="301">
        <f t="shared" ca="1" si="77"/>
        <v>18914.020526877055</v>
      </c>
      <c r="AY33" s="301">
        <f t="shared" ca="1" si="77"/>
        <v>19048.46597699208</v>
      </c>
      <c r="AZ33" s="301">
        <f t="shared" ca="1" si="77"/>
        <v>19329.477006645684</v>
      </c>
      <c r="BA33" s="301">
        <f t="shared" ca="1" si="77"/>
        <v>19471.472358054692</v>
      </c>
      <c r="BB33" s="301">
        <f t="shared" ca="1" si="77"/>
        <v>19853.450900652322</v>
      </c>
      <c r="BC33" s="301">
        <f t="shared" ca="1" si="77"/>
        <v>20319.295391755233</v>
      </c>
      <c r="BD33" s="301">
        <f t="shared" ca="1" si="77"/>
        <v>20463.729876802066</v>
      </c>
      <c r="BE33" s="301">
        <f t="shared" ca="1" si="77"/>
        <v>20614.057509256712</v>
      </c>
      <c r="BF33" s="301">
        <f t="shared" ca="1" si="77"/>
        <v>21377.587235001207</v>
      </c>
      <c r="BG33" s="301">
        <f t="shared" ca="1" si="77"/>
        <v>21534.628111516755</v>
      </c>
      <c r="BH33" s="301">
        <f t="shared" ca="1" si="77"/>
        <v>21692.822618543814</v>
      </c>
      <c r="BI33" s="301">
        <f t="shared" ca="1" si="77"/>
        <v>21847.020468602779</v>
      </c>
      <c r="BJ33" s="301">
        <f t="shared" ca="1" si="77"/>
        <v>22007.509826261681</v>
      </c>
      <c r="BK33" s="301">
        <f t="shared" ca="1" si="77"/>
        <v>22163.944549397256</v>
      </c>
      <c r="BL33" s="301">
        <f t="shared" ca="1" si="77"/>
        <v>22326.762047967935</v>
      </c>
      <c r="BM33" s="301">
        <f t="shared" ca="1" si="77"/>
        <v>22710.227612418574</v>
      </c>
      <c r="BN33" s="301">
        <f t="shared" ca="1" si="77"/>
        <v>22860.859827188866</v>
      </c>
      <c r="BO33" s="301">
        <f t="shared" ca="1" si="77"/>
        <v>23028.796901924914</v>
      </c>
      <c r="BP33" s="301">
        <f t="shared" ca="1" si="77"/>
        <v>23192.491181556641</v>
      </c>
      <c r="BQ33" s="301">
        <f t="shared" ca="1" si="77"/>
        <v>23451.364437607142</v>
      </c>
      <c r="BR33" s="301">
        <f t="shared" ca="1" si="77"/>
        <v>23618.062429879345</v>
      </c>
      <c r="BS33" s="301">
        <f t="shared" ca="1" si="77"/>
        <v>23791.561954629942</v>
      </c>
      <c r="BT33" s="301">
        <f t="shared" ca="1" si="77"/>
        <v>23966.336015984805</v>
      </c>
      <c r="BU33" s="301">
        <f t="shared" ca="1" si="77"/>
        <v>24136.694551268105</v>
      </c>
      <c r="BV33" s="301">
        <f t="shared" ref="BV33:CZ33" ca="1" si="78">BU37</f>
        <v>24314.00397477092</v>
      </c>
      <c r="BW33" s="301">
        <f t="shared" ca="1" si="78"/>
        <v>24486.833818316951</v>
      </c>
      <c r="BX33" s="301">
        <f t="shared" ca="1" si="78"/>
        <v>24666.715383231021</v>
      </c>
      <c r="BY33" s="301">
        <f t="shared" ca="1" si="78"/>
        <v>24847.918367550963</v>
      </c>
      <c r="BZ33" s="301">
        <f t="shared" ca="1" si="78"/>
        <v>25012.729440342187</v>
      </c>
      <c r="CA33" s="301">
        <f t="shared" ca="1" si="78"/>
        <v>25196.474262064927</v>
      </c>
      <c r="CB33" s="301">
        <f t="shared" ca="1" si="78"/>
        <v>25375.576918671504</v>
      </c>
      <c r="CC33" s="301">
        <f t="shared" ca="1" si="78"/>
        <v>25561.987236991772</v>
      </c>
      <c r="CD33" s="301">
        <f t="shared" ca="1" si="78"/>
        <v>25743.688048568471</v>
      </c>
      <c r="CE33" s="301">
        <f t="shared" ca="1" si="78"/>
        <v>25932.802530546622</v>
      </c>
      <c r="CF33" s="301">
        <f t="shared" ca="1" si="78"/>
        <v>26123.306257423421</v>
      </c>
      <c r="CG33" s="301">
        <f t="shared" ca="1" si="78"/>
        <v>26308.997060882219</v>
      </c>
      <c r="CH33" s="301">
        <f t="shared" ca="1" si="78"/>
        <v>26502.264332500286</v>
      </c>
      <c r="CI33" s="301">
        <f t="shared" ca="1" si="78"/>
        <v>26690.648861965463</v>
      </c>
      <c r="CJ33" s="301">
        <f t="shared" ca="1" si="78"/>
        <v>26886.719767721799</v>
      </c>
      <c r="CK33" s="301">
        <f t="shared" ca="1" si="78"/>
        <v>27084.231020630537</v>
      </c>
      <c r="CL33" s="301">
        <f t="shared" ca="1" si="78"/>
        <v>27263.875089972971</v>
      </c>
      <c r="CM33" s="301">
        <f t="shared" ca="1" si="78"/>
        <v>27464.156945650757</v>
      </c>
      <c r="CN33" s="301">
        <f t="shared" ca="1" si="78"/>
        <v>27659.378841351925</v>
      </c>
      <c r="CO33" s="301">
        <f t="shared" ca="1" si="78"/>
        <v>27862.566088321018</v>
      </c>
      <c r="CP33" s="301">
        <f t="shared" ca="1" si="78"/>
        <v>28060.619972939621</v>
      </c>
      <c r="CQ33" s="301">
        <f t="shared" ca="1" si="78"/>
        <v>28266.754758295807</v>
      </c>
      <c r="CR33" s="301">
        <f t="shared" ca="1" si="78"/>
        <v>28474.40382059152</v>
      </c>
      <c r="CS33" s="301">
        <f t="shared" ca="1" si="78"/>
        <v>28676.806796361609</v>
      </c>
      <c r="CT33" s="301">
        <f t="shared" ca="1" si="78"/>
        <v>28887.468122425304</v>
      </c>
      <c r="CU33" s="301">
        <f t="shared" ca="1" si="78"/>
        <v>29092.807259542344</v>
      </c>
      <c r="CV33" s="301">
        <f t="shared" ca="1" si="78"/>
        <v>29306.524546816749</v>
      </c>
      <c r="CW33" s="301">
        <f t="shared" ca="1" si="78"/>
        <v>29521.811812487274</v>
      </c>
      <c r="CX33" s="301">
        <f t="shared" ca="1" si="78"/>
        <v>29724.641104822851</v>
      </c>
      <c r="CY33" s="301">
        <f t="shared" ca="1" si="78"/>
        <v>29942.999876647609</v>
      </c>
      <c r="CZ33" s="301">
        <f t="shared" ca="1" si="78"/>
        <v>30155.841989750399</v>
      </c>
      <c r="DA33" s="301">
        <f t="shared" ref="DA33" ca="1" si="79">CZ37</f>
        <v>30377.36838588088</v>
      </c>
      <c r="DB33" s="301">
        <f t="shared" ref="DB33" ca="1" si="80">DA37</f>
        <v>30593.29809580935</v>
      </c>
      <c r="DC33" s="301">
        <f t="shared" ref="DC33" ca="1" si="81">DB37</f>
        <v>30818.038067427904</v>
      </c>
      <c r="DD33" s="301">
        <f t="shared" ref="DD33" ca="1" si="82">DC37</f>
        <v>31044.428990659617</v>
      </c>
      <c r="DE33" s="301">
        <f t="shared" ref="DE33" ca="1" si="83">DD37</f>
        <v>31265.100329325142</v>
      </c>
      <c r="DF33" s="301">
        <f t="shared" ref="DF33" ca="1" si="84">DE37</f>
        <v>31494.775395369306</v>
      </c>
      <c r="DG33" s="301">
        <f t="shared" ref="DG33" ca="1" si="85">DF37</f>
        <v>31718.647905620895</v>
      </c>
      <c r="DH33" s="301">
        <f t="shared" ref="DH33" ca="1" si="86">DG37</f>
        <v>31951.654755937063</v>
      </c>
      <c r="DI33" s="301">
        <f t="shared" ref="DI33" ca="1" si="87">DH37</f>
        <v>32186.37328679068</v>
      </c>
      <c r="DJ33" s="301">
        <f t="shared" ref="DJ33" ca="1" si="88">DI37</f>
        <v>32186.37328679068</v>
      </c>
      <c r="DK33" s="301">
        <f t="shared" ref="DK33" ca="1" si="89">DJ37</f>
        <v>32186.37328679068</v>
      </c>
      <c r="DL33" s="301">
        <f t="shared" ref="DL33" ca="1" si="90">DK37</f>
        <v>32186.37328679068</v>
      </c>
      <c r="DM33" s="301">
        <f t="shared" ref="DM33" ca="1" si="91">DL37</f>
        <v>32186.37328679068</v>
      </c>
      <c r="DN33" s="301">
        <f t="shared" ref="DN33" ca="1" si="92">DM37</f>
        <v>32186.37328679068</v>
      </c>
      <c r="DO33" s="301">
        <f t="shared" ref="DO33" ca="1" si="93">DN37</f>
        <v>32186.37328679068</v>
      </c>
      <c r="DP33" s="301">
        <f t="shared" ref="DP33" ca="1" si="94">DO37</f>
        <v>32186.37328679068</v>
      </c>
      <c r="DQ33" s="301">
        <f t="shared" ref="DQ33" ca="1" si="95">DP37</f>
        <v>32186.37328679068</v>
      </c>
      <c r="DR33" s="301">
        <f t="shared" ref="DR33" ca="1" si="96">DQ37</f>
        <v>32186.37328679068</v>
      </c>
      <c r="DS33" s="301">
        <f t="shared" ref="DS33" ca="1" si="97">DR37</f>
        <v>32186.37328679068</v>
      </c>
      <c r="DT33" s="301">
        <f t="shared" ref="DT33" ca="1" si="98">DS37</f>
        <v>32186.37328679068</v>
      </c>
      <c r="DU33" s="301">
        <f t="shared" ref="DU33" ca="1" si="99">DT37</f>
        <v>32186.37328679068</v>
      </c>
      <c r="DV33" s="301">
        <f t="shared" ref="DV33" ca="1" si="100">DU37</f>
        <v>32186.37328679068</v>
      </c>
      <c r="DW33" s="301">
        <f t="shared" ref="DW33" ca="1" si="101">DV37</f>
        <v>32186.37328679068</v>
      </c>
      <c r="DX33" s="301">
        <f t="shared" ref="DX33" ca="1" si="102">DW37</f>
        <v>32186.37328679068</v>
      </c>
      <c r="DY33" s="301">
        <f t="shared" ref="DY33" ca="1" si="103">DX37</f>
        <v>32186.37328679068</v>
      </c>
      <c r="DZ33" s="301">
        <f t="shared" ref="DZ33" ca="1" si="104">DY37</f>
        <v>32186.37328679068</v>
      </c>
      <c r="EA33" s="301">
        <f t="shared" ref="EA33" ca="1" si="105">DZ37</f>
        <v>32186.37328679068</v>
      </c>
      <c r="EB33" s="301">
        <f t="shared" ref="EB33" ca="1" si="106">EA37</f>
        <v>32186.37328679068</v>
      </c>
      <c r="EC33" s="301">
        <f t="shared" ref="EC33" ca="1" si="107">EB37</f>
        <v>32186.37328679068</v>
      </c>
      <c r="ED33" s="301">
        <f t="shared" ref="ED33" ca="1" si="108">EC37</f>
        <v>32186.37328679068</v>
      </c>
      <c r="EE33" s="301">
        <f t="shared" ref="EE33" ca="1" si="109">ED37</f>
        <v>32186.37328679068</v>
      </c>
    </row>
    <row r="34" spans="2:135">
      <c r="C34" s="309" t="s">
        <v>173</v>
      </c>
      <c r="E34" s="266"/>
      <c r="F34" s="310">
        <f>E16</f>
        <v>0.09</v>
      </c>
      <c r="G34" s="301">
        <f ca="1">SUMIF($I$8:$EE$8, "&lt;="&amp;$E$8, $I34:$EE34)</f>
        <v>16304.141286790667</v>
      </c>
      <c r="H34" s="301"/>
      <c r="I34" s="301">
        <v>0</v>
      </c>
      <c r="J34" s="301">
        <f t="shared" ref="J34:BU34" si="110">IF(J$8&lt;=$F$8, J33*((1+$F34)^((J$8-I$8)/365) - 1), 0)</f>
        <v>97.439792219633304</v>
      </c>
      <c r="K34" s="301">
        <f t="shared" ca="1" si="110"/>
        <v>101.41548444265632</v>
      </c>
      <c r="L34" s="301">
        <f t="shared" ca="1" si="110"/>
        <v>98.853303807009368</v>
      </c>
      <c r="M34" s="301">
        <f t="shared" ca="1" si="110"/>
        <v>102.88666945992247</v>
      </c>
      <c r="N34" s="301">
        <f t="shared" ca="1" si="110"/>
        <v>100.28732051823815</v>
      </c>
      <c r="O34" s="301">
        <f t="shared" ca="1" si="110"/>
        <v>105.48716459815626</v>
      </c>
      <c r="P34" s="301">
        <f t="shared" ca="1" si="110"/>
        <v>106.26207883929716</v>
      </c>
      <c r="Q34" s="301">
        <f t="shared" ca="1" si="110"/>
        <v>96.649441377896736</v>
      </c>
      <c r="R34" s="301">
        <f t="shared" ca="1" si="110"/>
        <v>107.75267750413795</v>
      </c>
      <c r="S34" s="301">
        <f t="shared" ca="1" si="110"/>
        <v>105.03039278344208</v>
      </c>
      <c r="T34" s="301">
        <f t="shared" ca="1" si="110"/>
        <v>109.31579309329669</v>
      </c>
      <c r="U34" s="301">
        <f t="shared" ca="1" si="110"/>
        <v>106.5540175146137</v>
      </c>
      <c r="V34" s="301">
        <f t="shared" ca="1" si="110"/>
        <v>110.9015840386662</v>
      </c>
      <c r="W34" s="301">
        <f t="shared" ca="1" si="110"/>
        <v>112.29789658948768</v>
      </c>
      <c r="X34" s="301">
        <f t="shared" ca="1" si="110"/>
        <v>109.46078056478278</v>
      </c>
      <c r="Y34" s="301">
        <f t="shared" ca="1" si="110"/>
        <v>113.92694745722153</v>
      </c>
      <c r="Z34" s="301">
        <f t="shared" ca="1" si="110"/>
        <v>111.04867477275478</v>
      </c>
      <c r="AA34" s="301">
        <f t="shared" ca="1" si="110"/>
        <v>115.57963017212495</v>
      </c>
      <c r="AB34" s="301">
        <f t="shared" ca="1" si="110"/>
        <v>116.42868419445426</v>
      </c>
      <c r="AC34" s="301">
        <f t="shared" ca="1" si="110"/>
        <v>105.89635936612349</v>
      </c>
      <c r="AD34" s="301">
        <f t="shared" ca="1" si="110"/>
        <v>118.06189561949974</v>
      </c>
      <c r="AE34" s="301">
        <f t="shared" ca="1" si="110"/>
        <v>115.07915679587271</v>
      </c>
      <c r="AF34" s="301">
        <f t="shared" ca="1" si="110"/>
        <v>122.05183826387984</v>
      </c>
      <c r="AG34" s="301">
        <f t="shared" ca="1" si="110"/>
        <v>118.96829674885954</v>
      </c>
      <c r="AH34" s="301">
        <f t="shared" ca="1" si="110"/>
        <v>123.8223848107944</v>
      </c>
      <c r="AI34" s="301">
        <f t="shared" ca="1" si="110"/>
        <v>124.73199054081316</v>
      </c>
      <c r="AJ34" s="301">
        <f t="shared" ca="1" si="110"/>
        <v>121.58073713443542</v>
      </c>
      <c r="AK34" s="301">
        <f t="shared" ca="1" si="110"/>
        <v>126.54141675088258</v>
      </c>
      <c r="AL34" s="301">
        <f t="shared" ca="1" si="110"/>
        <v>123.34444964681309</v>
      </c>
      <c r="AM34" s="301">
        <f t="shared" ca="1" si="110"/>
        <v>128.37709142532341</v>
      </c>
      <c r="AN34" s="301">
        <f t="shared" ca="1" si="110"/>
        <v>129.32015626890598</v>
      </c>
      <c r="AO34" s="301">
        <f t="shared" ca="1" si="110"/>
        <v>117.62164827580878</v>
      </c>
      <c r="AP34" s="301">
        <f t="shared" ca="1" si="110"/>
        <v>131.13420371063688</v>
      </c>
      <c r="AQ34" s="301">
        <f t="shared" ca="1" si="110"/>
        <v>127.82120353847525</v>
      </c>
      <c r="AR34" s="301">
        <f t="shared" ca="1" si="110"/>
        <v>133.03650370762898</v>
      </c>
      <c r="AS34" s="301">
        <f t="shared" ca="1" si="110"/>
        <v>129.67544345625686</v>
      </c>
      <c r="AT34" s="301">
        <f t="shared" ca="1" si="110"/>
        <v>134.96639944376588</v>
      </c>
      <c r="AU34" s="301">
        <f t="shared" ca="1" si="110"/>
        <v>135.9578696894863</v>
      </c>
      <c r="AV34" s="301">
        <f t="shared" ca="1" si="110"/>
        <v>132.52300347653454</v>
      </c>
      <c r="AW34" s="301">
        <f t="shared" ca="1" si="110"/>
        <v>137.93014425846195</v>
      </c>
      <c r="AX34" s="301">
        <f t="shared" ca="1" si="110"/>
        <v>134.4454501150262</v>
      </c>
      <c r="AY34" s="301">
        <f t="shared" ca="1" si="110"/>
        <v>139.93102965360245</v>
      </c>
      <c r="AZ34" s="301">
        <f t="shared" ca="1" si="110"/>
        <v>141.99535140901011</v>
      </c>
      <c r="BA34" s="301">
        <f t="shared" ca="1" si="110"/>
        <v>133.77854259762825</v>
      </c>
      <c r="BB34" s="301">
        <f t="shared" ca="1" si="110"/>
        <v>145.84449110291078</v>
      </c>
      <c r="BC34" s="301">
        <f t="shared" ca="1" si="110"/>
        <v>144.43448504683266</v>
      </c>
      <c r="BD34" s="301">
        <f t="shared" ca="1" si="110"/>
        <v>150.32763245464628</v>
      </c>
      <c r="BE34" s="301">
        <f t="shared" ca="1" si="110"/>
        <v>146.52972574449558</v>
      </c>
      <c r="BF34" s="301">
        <f t="shared" ca="1" si="110"/>
        <v>157.04087651554781</v>
      </c>
      <c r="BG34" s="301">
        <f t="shared" ca="1" si="110"/>
        <v>158.19450702705817</v>
      </c>
      <c r="BH34" s="301">
        <f t="shared" ca="1" si="110"/>
        <v>154.19785005896344</v>
      </c>
      <c r="BI34" s="301">
        <f t="shared" ca="1" si="110"/>
        <v>160.48935765890235</v>
      </c>
      <c r="BJ34" s="301">
        <f t="shared" ca="1" si="110"/>
        <v>156.43472313557604</v>
      </c>
      <c r="BK34" s="301">
        <f t="shared" ca="1" si="110"/>
        <v>162.81749857067754</v>
      </c>
      <c r="BL34" s="301">
        <f t="shared" ca="1" si="110"/>
        <v>164.01356445063544</v>
      </c>
      <c r="BM34" s="301">
        <f t="shared" ca="1" si="110"/>
        <v>150.63221477029154</v>
      </c>
      <c r="BN34" s="301">
        <f t="shared" ca="1" si="110"/>
        <v>167.93707473604942</v>
      </c>
      <c r="BO34" s="301">
        <f t="shared" ca="1" si="110"/>
        <v>163.69427963172589</v>
      </c>
      <c r="BP34" s="301">
        <f t="shared" ca="1" si="110"/>
        <v>170.37325605050032</v>
      </c>
      <c r="BQ34" s="301">
        <f t="shared" ca="1" si="110"/>
        <v>166.69799227220145</v>
      </c>
      <c r="BR34" s="301">
        <f t="shared" ca="1" si="110"/>
        <v>173.49952475059899</v>
      </c>
      <c r="BS34" s="301">
        <f t="shared" ca="1" si="110"/>
        <v>174.77406135486342</v>
      </c>
      <c r="BT34" s="301">
        <f t="shared" ca="1" si="110"/>
        <v>170.3585352832998</v>
      </c>
      <c r="BU34" s="301">
        <f t="shared" ca="1" si="110"/>
        <v>177.3094235028145</v>
      </c>
      <c r="BV34" s="301">
        <f t="shared" ref="BV34:CZ34" ca="1" si="111">IF(BV$8&lt;=$F$8, BV33*((1+$F34)^((BV$8-BU$8)/365) - 1), 0)</f>
        <v>172.82984354603272</v>
      </c>
      <c r="BW34" s="301">
        <f t="shared" ca="1" si="111"/>
        <v>179.88156491406946</v>
      </c>
      <c r="BX34" s="301">
        <f t="shared" ca="1" si="111"/>
        <v>181.20298431994343</v>
      </c>
      <c r="BY34" s="301">
        <f t="shared" ca="1" si="111"/>
        <v>164.81107279122514</v>
      </c>
      <c r="BZ34" s="301">
        <f t="shared" ca="1" si="111"/>
        <v>183.74482172273838</v>
      </c>
      <c r="CA34" s="301">
        <f t="shared" ca="1" si="111"/>
        <v>179.10265660657606</v>
      </c>
      <c r="CB34" s="301">
        <f t="shared" ca="1" si="111"/>
        <v>186.41031832026817</v>
      </c>
      <c r="CC34" s="301">
        <f t="shared" ca="1" si="111"/>
        <v>181.70081157669949</v>
      </c>
      <c r="CD34" s="301">
        <f t="shared" ca="1" si="111"/>
        <v>189.11448197815278</v>
      </c>
      <c r="CE34" s="301">
        <f t="shared" ca="1" si="111"/>
        <v>190.50372687680101</v>
      </c>
      <c r="CF34" s="301">
        <f t="shared" ca="1" si="111"/>
        <v>185.69080345879667</v>
      </c>
      <c r="CG34" s="301">
        <f t="shared" ca="1" si="111"/>
        <v>193.26727161806767</v>
      </c>
      <c r="CH34" s="301">
        <f t="shared" ca="1" si="111"/>
        <v>188.38452946517555</v>
      </c>
      <c r="CI34" s="301">
        <f t="shared" ca="1" si="111"/>
        <v>196.07090575633561</v>
      </c>
      <c r="CJ34" s="301">
        <f t="shared" ca="1" si="111"/>
        <v>197.51125290873821</v>
      </c>
      <c r="CK34" s="301">
        <f t="shared" ca="1" si="111"/>
        <v>179.64406934243533</v>
      </c>
      <c r="CL34" s="301">
        <f t="shared" ca="1" si="111"/>
        <v>200.28185567778473</v>
      </c>
      <c r="CM34" s="301">
        <f t="shared" ca="1" si="111"/>
        <v>195.22189570116782</v>
      </c>
      <c r="CN34" s="301">
        <f t="shared" ca="1" si="111"/>
        <v>203.1872469690922</v>
      </c>
      <c r="CO34" s="301">
        <f t="shared" ca="1" si="111"/>
        <v>198.05388461860235</v>
      </c>
      <c r="CP34" s="301">
        <f t="shared" ca="1" si="111"/>
        <v>206.13478535618646</v>
      </c>
      <c r="CQ34" s="301">
        <f t="shared" ca="1" si="111"/>
        <v>207.64906229571301</v>
      </c>
      <c r="CR34" s="301">
        <f t="shared" ca="1" si="111"/>
        <v>202.40297577008829</v>
      </c>
      <c r="CS34" s="301">
        <f t="shared" ca="1" si="111"/>
        <v>210.66132606369371</v>
      </c>
      <c r="CT34" s="301">
        <f t="shared" ca="1" si="111"/>
        <v>205.3391371170413</v>
      </c>
      <c r="CU34" s="301">
        <f t="shared" ca="1" si="111"/>
        <v>213.71728727440572</v>
      </c>
      <c r="CV34" s="301">
        <f t="shared" ca="1" si="111"/>
        <v>215.28726567052456</v>
      </c>
      <c r="CW34" s="301">
        <f t="shared" ca="1" si="111"/>
        <v>202.82929233557758</v>
      </c>
      <c r="CX34" s="301">
        <f t="shared" ca="1" si="111"/>
        <v>218.35877182475679</v>
      </c>
      <c r="CY34" s="301">
        <f t="shared" ca="1" si="111"/>
        <v>212.84211310279022</v>
      </c>
      <c r="CZ34" s="301">
        <f t="shared" ca="1" si="111"/>
        <v>221.5263961304797</v>
      </c>
      <c r="DA34" s="301">
        <f t="shared" ref="DA34" ca="1" si="112">IF(DA$8&lt;=$F$8, DA33*((1+$F34)^((DA$8-CZ$8)/365) - 1), 0)</f>
        <v>215.92970992847171</v>
      </c>
      <c r="DB34" s="301">
        <f t="shared" ref="DB34" ca="1" si="113">IF(DB$8&lt;=$F$8, DB33*((1+$F34)^((DB$8-DA$8)/365) - 1), 0)</f>
        <v>224.73997161855431</v>
      </c>
      <c r="DC34" s="301">
        <f t="shared" ref="DC34" ca="1" si="114">IF(DC$8&lt;=$F$8, DC33*((1+$F34)^((DC$8-DB$8)/365) - 1), 0)</f>
        <v>226.39092323171258</v>
      </c>
      <c r="DD34" s="301">
        <f t="shared" ref="DD34" ca="1" si="115">IF(DD$8&lt;=$F$8, DD33*((1+$F34)^((DD$8-DC$8)/365) - 1), 0)</f>
        <v>220.67133866552621</v>
      </c>
      <c r="DE34" s="301">
        <f t="shared" ref="DE34" ca="1" si="116">IF(DE$8&lt;=$F$8, DE33*((1+$F34)^((DE$8-DD$8)/365) - 1), 0)</f>
        <v>229.6750660441632</v>
      </c>
      <c r="DF34" s="301">
        <f t="shared" ref="DF34" ca="1" si="117">IF(DF$8&lt;=$F$8, DF33*((1+$F34)^((DF$8-DE$8)/365) - 1), 0)</f>
        <v>223.87251025159063</v>
      </c>
      <c r="DG34" s="301">
        <f t="shared" ref="DG34" ca="1" si="118">IF(DG$8&lt;=$F$8, DG33*((1+$F34)^((DG$8-DF$8)/365) - 1), 0)</f>
        <v>233.006850316168</v>
      </c>
      <c r="DH34" s="301">
        <f t="shared" ref="DH34" ca="1" si="119">IF(DH$8&lt;=$F$8, DH33*((1+$F34)^((DH$8-DG$8)/365) - 1), 0)</f>
        <v>234.71853085361738</v>
      </c>
      <c r="DI34" s="301">
        <f t="shared" ref="DI34" si="120">IF(DI$8&lt;=$F$8, DI33*((1+$F34)^((DI$8-DH$8)/365) - 1), 0)</f>
        <v>0</v>
      </c>
      <c r="DJ34" s="301">
        <f t="shared" ref="DJ34" si="121">IF(DJ$8&lt;=$F$8, DJ33*((1+$F34)^((DJ$8-DI$8)/365) - 1), 0)</f>
        <v>0</v>
      </c>
      <c r="DK34" s="301">
        <f t="shared" ref="DK34" si="122">IF(DK$8&lt;=$F$8, DK33*((1+$F34)^((DK$8-DJ$8)/365) - 1), 0)</f>
        <v>0</v>
      </c>
      <c r="DL34" s="301">
        <f t="shared" ref="DL34" si="123">IF(DL$8&lt;=$F$8, DL33*((1+$F34)^((DL$8-DK$8)/365) - 1), 0)</f>
        <v>0</v>
      </c>
      <c r="DM34" s="301">
        <f t="shared" ref="DM34" si="124">IF(DM$8&lt;=$F$8, DM33*((1+$F34)^((DM$8-DL$8)/365) - 1), 0)</f>
        <v>0</v>
      </c>
      <c r="DN34" s="301">
        <f t="shared" ref="DN34" si="125">IF(DN$8&lt;=$F$8, DN33*((1+$F34)^((DN$8-DM$8)/365) - 1), 0)</f>
        <v>0</v>
      </c>
      <c r="DO34" s="301">
        <f t="shared" ref="DO34" si="126">IF(DO$8&lt;=$F$8, DO33*((1+$F34)^((DO$8-DN$8)/365) - 1), 0)</f>
        <v>0</v>
      </c>
      <c r="DP34" s="301">
        <f t="shared" ref="DP34" si="127">IF(DP$8&lt;=$F$8, DP33*((1+$F34)^((DP$8-DO$8)/365) - 1), 0)</f>
        <v>0</v>
      </c>
      <c r="DQ34" s="301">
        <f t="shared" ref="DQ34" si="128">IF(DQ$8&lt;=$F$8, DQ33*((1+$F34)^((DQ$8-DP$8)/365) - 1), 0)</f>
        <v>0</v>
      </c>
      <c r="DR34" s="301">
        <f t="shared" ref="DR34" si="129">IF(DR$8&lt;=$F$8, DR33*((1+$F34)^((DR$8-DQ$8)/365) - 1), 0)</f>
        <v>0</v>
      </c>
      <c r="DS34" s="301">
        <f t="shared" ref="DS34" si="130">IF(DS$8&lt;=$F$8, DS33*((1+$F34)^((DS$8-DR$8)/365) - 1), 0)</f>
        <v>0</v>
      </c>
      <c r="DT34" s="301">
        <f t="shared" ref="DT34" si="131">IF(DT$8&lt;=$F$8, DT33*((1+$F34)^((DT$8-DS$8)/365) - 1), 0)</f>
        <v>0</v>
      </c>
      <c r="DU34" s="301">
        <f t="shared" ref="DU34" si="132">IF(DU$8&lt;=$F$8, DU33*((1+$F34)^((DU$8-DT$8)/365) - 1), 0)</f>
        <v>0</v>
      </c>
      <c r="DV34" s="301">
        <f t="shared" ref="DV34" si="133">IF(DV$8&lt;=$F$8, DV33*((1+$F34)^((DV$8-DU$8)/365) - 1), 0)</f>
        <v>0</v>
      </c>
      <c r="DW34" s="301">
        <f t="shared" ref="DW34" si="134">IF(DW$8&lt;=$F$8, DW33*((1+$F34)^((DW$8-DV$8)/365) - 1), 0)</f>
        <v>0</v>
      </c>
      <c r="DX34" s="301">
        <f t="shared" ref="DX34" si="135">IF(DX$8&lt;=$F$8, DX33*((1+$F34)^((DX$8-DW$8)/365) - 1), 0)</f>
        <v>0</v>
      </c>
      <c r="DY34" s="301">
        <f t="shared" ref="DY34" si="136">IF(DY$8&lt;=$F$8, DY33*((1+$F34)^((DY$8-DX$8)/365) - 1), 0)</f>
        <v>0</v>
      </c>
      <c r="DZ34" s="301">
        <f t="shared" ref="DZ34" si="137">IF(DZ$8&lt;=$F$8, DZ33*((1+$F34)^((DZ$8-DY$8)/365) - 1), 0)</f>
        <v>0</v>
      </c>
      <c r="EA34" s="301">
        <f t="shared" ref="EA34" si="138">IF(EA$8&lt;=$F$8, EA33*((1+$F34)^((EA$8-DZ$8)/365) - 1), 0)</f>
        <v>0</v>
      </c>
      <c r="EB34" s="301">
        <f t="shared" ref="EB34" si="139">IF(EB$8&lt;=$F$8, EB33*((1+$F34)^((EB$8-EA$8)/365) - 1), 0)</f>
        <v>0</v>
      </c>
      <c r="EC34" s="301">
        <f t="shared" ref="EC34" si="140">IF(EC$8&lt;=$F$8, EC33*((1+$F34)^((EC$8-EB$8)/365) - 1), 0)</f>
        <v>0</v>
      </c>
      <c r="ED34" s="301">
        <f t="shared" ref="ED34" si="141">IF(ED$8&lt;=$F$8, ED33*((1+$F34)^((ED$8-EC$8)/365) - 1), 0)</f>
        <v>0</v>
      </c>
      <c r="EE34" s="301">
        <f t="shared" ref="EE34" si="142">IF(EE$8&lt;=$F$8, EE33*((1+$F34)^((EE$8-ED$8)/365) - 1), 0)</f>
        <v>0</v>
      </c>
    </row>
    <row r="35" spans="2:135">
      <c r="C35" s="309" t="s">
        <v>174</v>
      </c>
      <c r="E35" s="311"/>
      <c r="F35" s="310">
        <f>F16</f>
        <v>1</v>
      </c>
      <c r="G35" s="301">
        <f ca="1">SUMIF($I$8:$EE$8, "&lt;="&amp;$E$8, $I35:$EE35)</f>
        <v>0</v>
      </c>
      <c r="H35" s="301"/>
      <c r="I35" s="312">
        <v>0</v>
      </c>
      <c r="J35" s="301">
        <f>-MIN(J27*$F$35, MAX(SUM($I34:J34)+SUM($I35:I35), 0))</f>
        <v>0</v>
      </c>
      <c r="K35" s="301">
        <f ca="1">-MIN(K27*$F$35, MAX(SUM($I34:K34)+SUM($I35:J35), 0))</f>
        <v>0</v>
      </c>
      <c r="L35" s="301">
        <f ca="1">-MIN(L27*$F$35, MAX(SUM($I34:L34)+SUM($I35:K35), 0))</f>
        <v>0</v>
      </c>
      <c r="M35" s="301">
        <f ca="1">-MIN(M27*$F$35, MAX(SUM($I34:M34)+SUM($I35:L35), 0))</f>
        <v>0</v>
      </c>
      <c r="N35" s="301">
        <f ca="1">-MIN(N27*$F$35, MAX(SUM($I34:N34)+SUM($I35:M35), 0))</f>
        <v>0</v>
      </c>
      <c r="O35" s="301">
        <f ca="1">-MIN(O27*$F$35, MAX(SUM($I34:O34)+SUM($I35:N35), 0))</f>
        <v>0</v>
      </c>
      <c r="P35" s="301">
        <f ca="1">-MIN(P27*$F$35, MAX(SUM($I34:P34)+SUM($I35:O35), 0))</f>
        <v>0</v>
      </c>
      <c r="Q35" s="301">
        <f ca="1">-MIN(Q27*$F$35, MAX(SUM($I34:Q34)+SUM($I35:P35), 0))</f>
        <v>0</v>
      </c>
      <c r="R35" s="301">
        <f ca="1">-MIN(R27*$F$35, MAX(SUM($I34:R34)+SUM($I35:Q35), 0))</f>
        <v>0</v>
      </c>
      <c r="S35" s="301">
        <f ca="1">-MIN(S27*$F$35, MAX(SUM($I34:S34)+SUM($I35:R35), 0))</f>
        <v>0</v>
      </c>
      <c r="T35" s="301">
        <f ca="1">-MIN(T27*$F$35, MAX(SUM($I34:T34)+SUM($I35:S35), 0))</f>
        <v>0</v>
      </c>
      <c r="U35" s="301">
        <f ca="1">-MIN(U27*$F$35, MAX(SUM($I34:U34)+SUM($I35:T35), 0))</f>
        <v>0</v>
      </c>
      <c r="V35" s="301">
        <f ca="1">-MIN(V27*$F$35, MAX(SUM($I34:V34)+SUM($I35:U35), 0))</f>
        <v>0</v>
      </c>
      <c r="W35" s="301">
        <f ca="1">-MIN(W27*$F$35, MAX(SUM($I34:W34)+SUM($I35:V35), 0))</f>
        <v>0</v>
      </c>
      <c r="X35" s="301">
        <f ca="1">-MIN(X27*$F$35, MAX(SUM($I34:X34)+SUM($I35:W35), 0))</f>
        <v>0</v>
      </c>
      <c r="Y35" s="301">
        <f ca="1">-MIN(Y27*$F$35, MAX(SUM($I34:Y34)+SUM($I35:X35), 0))</f>
        <v>0</v>
      </c>
      <c r="Z35" s="301">
        <f ca="1">-MIN(Z27*$F$35, MAX(SUM($I34:Z34)+SUM($I35:Y35), 0))</f>
        <v>0</v>
      </c>
      <c r="AA35" s="301">
        <f ca="1">-MIN(AA27*$F$35, MAX(SUM($I34:AA34)+SUM($I35:Z35), 0))</f>
        <v>0</v>
      </c>
      <c r="AB35" s="301">
        <f ca="1">-MIN(AB27*$F$35, MAX(SUM($I34:AB34)+SUM($I35:AA35), 0))</f>
        <v>0</v>
      </c>
      <c r="AC35" s="301">
        <f ca="1">-MIN(AC27*$F$35, MAX(SUM($I34:AC34)+SUM($I35:AB35), 0))</f>
        <v>0</v>
      </c>
      <c r="AD35" s="301">
        <f ca="1">-MIN(AD27*$F$35, MAX(SUM($I34:AD34)+SUM($I35:AC35), 0))</f>
        <v>0</v>
      </c>
      <c r="AE35" s="301">
        <f ca="1">-MIN(AE27*$F$35, MAX(SUM($I34:AE34)+SUM($I35:AD35), 0))</f>
        <v>0</v>
      </c>
      <c r="AF35" s="301">
        <f ca="1">-MIN(AF27*$F$35, MAX(SUM($I34:AF34)+SUM($I35:AE35), 0))</f>
        <v>0</v>
      </c>
      <c r="AG35" s="301">
        <f ca="1">-MIN(AG27*$F$35, MAX(SUM($I34:AG34)+SUM($I35:AF35), 0))</f>
        <v>0</v>
      </c>
      <c r="AH35" s="301">
        <f ca="1">-MIN(AH27*$F$35, MAX(SUM($I34:AH34)+SUM($I35:AG35), 0))</f>
        <v>0</v>
      </c>
      <c r="AI35" s="301">
        <f ca="1">-MIN(AI27*$F$35, MAX(SUM($I34:AI34)+SUM($I35:AH35), 0))</f>
        <v>0</v>
      </c>
      <c r="AJ35" s="301">
        <f ca="1">-MIN(AJ27*$F$35, MAX(SUM($I34:AJ34)+SUM($I35:AI35), 0))</f>
        <v>0</v>
      </c>
      <c r="AK35" s="301">
        <f ca="1">-MIN(AK27*$F$35, MAX(SUM($I34:AK34)+SUM($I35:AJ35), 0))</f>
        <v>0</v>
      </c>
      <c r="AL35" s="301">
        <f ca="1">-MIN(AL27*$F$35, MAX(SUM($I34:AL34)+SUM($I35:AK35), 0))</f>
        <v>0</v>
      </c>
      <c r="AM35" s="301">
        <f ca="1">-MIN(AM27*$F$35, MAX(SUM($I34:AM34)+SUM($I35:AL35), 0))</f>
        <v>0</v>
      </c>
      <c r="AN35" s="301">
        <f ca="1">-MIN(AN27*$F$35, MAX(SUM($I34:AN34)+SUM($I35:AM35), 0))</f>
        <v>0</v>
      </c>
      <c r="AO35" s="301">
        <f ca="1">-MIN(AO27*$F$35, MAX(SUM($I34:AO34)+SUM($I35:AN35), 0))</f>
        <v>0</v>
      </c>
      <c r="AP35" s="301">
        <f ca="1">-MIN(AP27*$F$35, MAX(SUM($I34:AP34)+SUM($I35:AO35), 0))</f>
        <v>0</v>
      </c>
      <c r="AQ35" s="301">
        <f ca="1">-MIN(AQ27*$F$35, MAX(SUM($I34:AQ34)+SUM($I35:AP35), 0))</f>
        <v>0</v>
      </c>
      <c r="AR35" s="301">
        <f ca="1">-MIN(AR27*$F$35, MAX(SUM($I34:AR34)+SUM($I35:AQ35), 0))</f>
        <v>0</v>
      </c>
      <c r="AS35" s="301">
        <f ca="1">-MIN(AS27*$F$35, MAX(SUM($I34:AS34)+SUM($I35:AR35), 0))</f>
        <v>0</v>
      </c>
      <c r="AT35" s="301">
        <f ca="1">-MIN(AT27*$F$35, MAX(SUM($I34:AT34)+SUM($I35:AS35), 0))</f>
        <v>0</v>
      </c>
      <c r="AU35" s="301">
        <f ca="1">-MIN(AU27*$F$35, MAX(SUM($I34:AU34)+SUM($I35:AT35), 0))</f>
        <v>0</v>
      </c>
      <c r="AV35" s="301">
        <f ca="1">-MIN(AV27*$F$35, MAX(SUM($I34:AV34)+SUM($I35:AU35), 0))</f>
        <v>0</v>
      </c>
      <c r="AW35" s="301">
        <f ca="1">-MIN(AW27*$F$35, MAX(SUM($I34:AW34)+SUM($I35:AV35), 0))</f>
        <v>0</v>
      </c>
      <c r="AX35" s="301">
        <f ca="1">-MIN(AX27*$F$35, MAX(SUM($I34:AX34)+SUM($I35:AW35), 0))</f>
        <v>0</v>
      </c>
      <c r="AY35" s="301">
        <f ca="1">-MIN(AY27*$F$35, MAX(SUM($I34:AY34)+SUM($I35:AX35), 0))</f>
        <v>0</v>
      </c>
      <c r="AZ35" s="301">
        <f ca="1">-MIN(AZ27*$F$35, MAX(SUM($I34:AZ34)+SUM($I35:AY35), 0))</f>
        <v>0</v>
      </c>
      <c r="BA35" s="301">
        <f ca="1">-MIN(BA27*$F$35, MAX(SUM($I34:BA34)+SUM($I35:AZ35), 0))</f>
        <v>0</v>
      </c>
      <c r="BB35" s="301">
        <f ca="1">-MIN(BB27*$F$35, MAX(SUM($I34:BB34)+SUM($I35:BA35), 0))</f>
        <v>0</v>
      </c>
      <c r="BC35" s="301">
        <f ca="1">-MIN(BC27*$F$35, MAX(SUM($I34:BC34)+SUM($I35:BB35), 0))</f>
        <v>0</v>
      </c>
      <c r="BD35" s="301">
        <f ca="1">-MIN(BD27*$F$35, MAX(SUM($I34:BD34)+SUM($I35:BC35), 0))</f>
        <v>0</v>
      </c>
      <c r="BE35" s="301">
        <f ca="1">-MIN(BE27*$F$35, MAX(SUM($I34:BE34)+SUM($I35:BD35), 0))</f>
        <v>0</v>
      </c>
      <c r="BF35" s="301">
        <f ca="1">-MIN(BF27*$F$35, MAX(SUM($I34:BF34)+SUM($I35:BE35), 0))</f>
        <v>0</v>
      </c>
      <c r="BG35" s="301">
        <f ca="1">-MIN(BG27*$F$35, MAX(SUM($I34:BG34)+SUM($I35:BF35), 0))</f>
        <v>0</v>
      </c>
      <c r="BH35" s="301">
        <f ca="1">-MIN(BH27*$F$35, MAX(SUM($I34:BH34)+SUM($I35:BG35), 0))</f>
        <v>0</v>
      </c>
      <c r="BI35" s="301">
        <f ca="1">-MIN(BI27*$F$35, MAX(SUM($I34:BI34)+SUM($I35:BH35), 0))</f>
        <v>0</v>
      </c>
      <c r="BJ35" s="301">
        <f ca="1">-MIN(BJ27*$F$35, MAX(SUM($I34:BJ34)+SUM($I35:BI35), 0))</f>
        <v>0</v>
      </c>
      <c r="BK35" s="301">
        <f ca="1">-MIN(BK27*$F$35, MAX(SUM($I34:BK34)+SUM($I35:BJ35), 0))</f>
        <v>0</v>
      </c>
      <c r="BL35" s="301">
        <f ca="1">-MIN(BL27*$F$35, MAX(SUM($I34:BL34)+SUM($I35:BK35), 0))</f>
        <v>0</v>
      </c>
      <c r="BM35" s="301">
        <f ca="1">-MIN(BM27*$F$35, MAX(SUM($I34:BM34)+SUM($I35:BL35), 0))</f>
        <v>0</v>
      </c>
      <c r="BN35" s="301">
        <f ca="1">-MIN(BN27*$F$35, MAX(SUM($I34:BN34)+SUM($I35:BM35), 0))</f>
        <v>0</v>
      </c>
      <c r="BO35" s="301">
        <f ca="1">-MIN(BO27*$F$35, MAX(SUM($I34:BO34)+SUM($I35:BN35), 0))</f>
        <v>0</v>
      </c>
      <c r="BP35" s="301">
        <f ca="1">-MIN(BP27*$F$35, MAX(SUM($I34:BP34)+SUM($I35:BO35), 0))</f>
        <v>0</v>
      </c>
      <c r="BQ35" s="301">
        <f ca="1">-MIN(BQ27*$F$35, MAX(SUM($I34:BQ34)+SUM($I35:BP35), 0))</f>
        <v>0</v>
      </c>
      <c r="BR35" s="301">
        <f ca="1">-MIN(BR27*$F$35, MAX(SUM($I34:BR34)+SUM($I35:BQ35), 0))</f>
        <v>0</v>
      </c>
      <c r="BS35" s="301">
        <f ca="1">-MIN(BS27*$F$35, MAX(SUM($I34:BS34)+SUM($I35:BR35), 0))</f>
        <v>0</v>
      </c>
      <c r="BT35" s="301">
        <f ca="1">-MIN(BT27*$F$35, MAX(SUM($I34:BT34)+SUM($I35:BS35), 0))</f>
        <v>0</v>
      </c>
      <c r="BU35" s="301">
        <f ca="1">-MIN(BU27*$F$35, MAX(SUM($I34:BU34)+SUM($I35:BT35), 0))</f>
        <v>0</v>
      </c>
      <c r="BV35" s="301">
        <f ca="1">-MIN(BV27*$F$35, MAX(SUM($I34:BV34)+SUM($I35:BU35), 0))</f>
        <v>0</v>
      </c>
      <c r="BW35" s="301">
        <f ca="1">-MIN(BW27*$F$35, MAX(SUM($I34:BW34)+SUM($I35:BV35), 0))</f>
        <v>0</v>
      </c>
      <c r="BX35" s="301">
        <f ca="1">-MIN(BX27*$F$35, MAX(SUM($I34:BX34)+SUM($I35:BW35), 0))</f>
        <v>0</v>
      </c>
      <c r="BY35" s="301">
        <f ca="1">-MIN(BY27*$F$35, MAX(SUM($I34:BY34)+SUM($I35:BX35), 0))</f>
        <v>0</v>
      </c>
      <c r="BZ35" s="301">
        <f ca="1">-MIN(BZ27*$F$35, MAX(SUM($I34:BZ34)+SUM($I35:BY35), 0))</f>
        <v>0</v>
      </c>
      <c r="CA35" s="301">
        <f ca="1">-MIN(CA27*$F$35, MAX(SUM($I34:CA34)+SUM($I35:BZ35), 0))</f>
        <v>0</v>
      </c>
      <c r="CB35" s="301">
        <f ca="1">-MIN(CB27*$F$35, MAX(SUM($I34:CB34)+SUM($I35:CA35), 0))</f>
        <v>0</v>
      </c>
      <c r="CC35" s="301">
        <f ca="1">-MIN(CC27*$F$35, MAX(SUM($I34:CC34)+SUM($I35:CB35), 0))</f>
        <v>0</v>
      </c>
      <c r="CD35" s="301">
        <f ca="1">-MIN(CD27*$F$35, MAX(SUM($I34:CD34)+SUM($I35:CC35), 0))</f>
        <v>0</v>
      </c>
      <c r="CE35" s="301">
        <f ca="1">-MIN(CE27*$F$35, MAX(SUM($I34:CE34)+SUM($I35:CD35), 0))</f>
        <v>0</v>
      </c>
      <c r="CF35" s="301">
        <f ca="1">-MIN(CF27*$F$35, MAX(SUM($I34:CF34)+SUM($I35:CE35), 0))</f>
        <v>0</v>
      </c>
      <c r="CG35" s="301">
        <f ca="1">-MIN(CG27*$F$35, MAX(SUM($I34:CG34)+SUM($I35:CF35), 0))</f>
        <v>0</v>
      </c>
      <c r="CH35" s="301">
        <f ca="1">-MIN(CH27*$F$35, MAX(SUM($I34:CH34)+SUM($I35:CG35), 0))</f>
        <v>0</v>
      </c>
      <c r="CI35" s="301">
        <f ca="1">-MIN(CI27*$F$35, MAX(SUM($I34:CI34)+SUM($I35:CH35), 0))</f>
        <v>0</v>
      </c>
      <c r="CJ35" s="301">
        <f ca="1">-MIN(CJ27*$F$35, MAX(SUM($I34:CJ34)+SUM($I35:CI35), 0))</f>
        <v>0</v>
      </c>
      <c r="CK35" s="301">
        <f ca="1">-MIN(CK27*$F$35, MAX(SUM($I34:CK34)+SUM($I35:CJ35), 0))</f>
        <v>0</v>
      </c>
      <c r="CL35" s="301">
        <f ca="1">-MIN(CL27*$F$35, MAX(SUM($I34:CL34)+SUM($I35:CK35), 0))</f>
        <v>0</v>
      </c>
      <c r="CM35" s="301">
        <f ca="1">-MIN(CM27*$F$35, MAX(SUM($I34:CM34)+SUM($I35:CL35), 0))</f>
        <v>0</v>
      </c>
      <c r="CN35" s="301">
        <f ca="1">-MIN(CN27*$F$35, MAX(SUM($I34:CN34)+SUM($I35:CM35), 0))</f>
        <v>0</v>
      </c>
      <c r="CO35" s="301">
        <f ca="1">-MIN(CO27*$F$35, MAX(SUM($I34:CO34)+SUM($I35:CN35), 0))</f>
        <v>0</v>
      </c>
      <c r="CP35" s="301">
        <f ca="1">-MIN(CP27*$F$35, MAX(SUM($I34:CP34)+SUM($I35:CO35), 0))</f>
        <v>0</v>
      </c>
      <c r="CQ35" s="301">
        <f ca="1">-MIN(CQ27*$F$35, MAX(SUM($I34:CQ34)+SUM($I35:CP35), 0))</f>
        <v>0</v>
      </c>
      <c r="CR35" s="301">
        <f ca="1">-MIN(CR27*$F$35, MAX(SUM($I34:CR34)+SUM($I35:CQ35), 0))</f>
        <v>0</v>
      </c>
      <c r="CS35" s="301">
        <f ca="1">-MIN(CS27*$F$35, MAX(SUM($I34:CS34)+SUM($I35:CR35), 0))</f>
        <v>0</v>
      </c>
      <c r="CT35" s="301">
        <f ca="1">-MIN(CT27*$F$35, MAX(SUM($I34:CT34)+SUM($I35:CS35), 0))</f>
        <v>0</v>
      </c>
      <c r="CU35" s="301">
        <f ca="1">-MIN(CU27*$F$35, MAX(SUM($I34:CU34)+SUM($I35:CT35), 0))</f>
        <v>0</v>
      </c>
      <c r="CV35" s="301">
        <f ca="1">-MIN(CV27*$F$35, MAX(SUM($I34:CV34)+SUM($I35:CU35), 0))</f>
        <v>0</v>
      </c>
      <c r="CW35" s="301">
        <f ca="1">-MIN(CW27*$F$35, MAX(SUM($I34:CW34)+SUM($I35:CV35), 0))</f>
        <v>0</v>
      </c>
      <c r="CX35" s="301">
        <f ca="1">-MIN(CX27*$F$35, MAX(SUM($I34:CX34)+SUM($I35:CW35), 0))</f>
        <v>0</v>
      </c>
      <c r="CY35" s="301">
        <f ca="1">-MIN(CY27*$F$35, MAX(SUM($I34:CY34)+SUM($I35:CX35), 0))</f>
        <v>0</v>
      </c>
      <c r="CZ35" s="301">
        <f ca="1">-MIN(CZ27*$F$35, MAX(SUM($I34:CZ34)+SUM($I35:CY35), 0))</f>
        <v>0</v>
      </c>
      <c r="DA35" s="301">
        <f ca="1">-MIN(DA27*$F$35, MAX(SUM($I34:DA34)+SUM($I35:CZ35), 0))</f>
        <v>0</v>
      </c>
      <c r="DB35" s="301">
        <f ca="1">-MIN(DB27*$F$35, MAX(SUM($I34:DB34)+SUM($I35:DA35), 0))</f>
        <v>0</v>
      </c>
      <c r="DC35" s="301">
        <f ca="1">-MIN(DC27*$F$35, MAX(SUM($I34:DC34)+SUM($I35:DB35), 0))</f>
        <v>0</v>
      </c>
      <c r="DD35" s="301">
        <f ca="1">-MIN(DD27*$F$35, MAX(SUM($I34:DD34)+SUM($I35:DC35), 0))</f>
        <v>0</v>
      </c>
      <c r="DE35" s="301">
        <f ca="1">-MIN(DE27*$F$35, MAX(SUM($I34:DE34)+SUM($I35:DD35), 0))</f>
        <v>0</v>
      </c>
      <c r="DF35" s="301">
        <f ca="1">-MIN(DF27*$F$35, MAX(SUM($I34:DF34)+SUM($I35:DE35), 0))</f>
        <v>0</v>
      </c>
      <c r="DG35" s="301">
        <f ca="1">-MIN(DG27*$F$35, MAX(SUM($I34:DG34)+SUM($I35:DF35), 0))</f>
        <v>0</v>
      </c>
      <c r="DH35" s="301">
        <f ca="1">-MIN(DH27*$F$35, MAX(SUM($I34:DH34)+SUM($I35:DG35), 0))</f>
        <v>0</v>
      </c>
      <c r="DI35" s="301">
        <f ca="1">-MIN(DI27*$F$35, MAX(SUM($I34:DI34)+SUM($I35:DH35), 0))</f>
        <v>0</v>
      </c>
      <c r="DJ35" s="301">
        <f ca="1">-MIN(DJ27*$F$35, MAX(SUM($I34:DJ34)+SUM($I35:DI35), 0))</f>
        <v>0</v>
      </c>
      <c r="DK35" s="301">
        <f ca="1">-MIN(DK27*$F$35, MAX(SUM($I34:DK34)+SUM($I35:DJ35), 0))</f>
        <v>0</v>
      </c>
      <c r="DL35" s="301">
        <f ca="1">-MIN(DL27*$F$35, MAX(SUM($I34:DL34)+SUM($I35:DK35), 0))</f>
        <v>0</v>
      </c>
      <c r="DM35" s="301">
        <f ca="1">-MIN(DM27*$F$35, MAX(SUM($I34:DM34)+SUM($I35:DL35), 0))</f>
        <v>0</v>
      </c>
      <c r="DN35" s="301">
        <f ca="1">-MIN(DN27*$F$35, MAX(SUM($I34:DN34)+SUM($I35:DM35), 0))</f>
        <v>0</v>
      </c>
      <c r="DO35" s="301">
        <f ca="1">-MIN(DO27*$F$35, MAX(SUM($I34:DO34)+SUM($I35:DN35), 0))</f>
        <v>0</v>
      </c>
      <c r="DP35" s="301">
        <f ca="1">-MIN(DP27*$F$35, MAX(SUM($I34:DP34)+SUM($I35:DO35), 0))</f>
        <v>0</v>
      </c>
      <c r="DQ35" s="301">
        <f ca="1">-MIN(DQ27*$F$35, MAX(SUM($I34:DQ34)+SUM($I35:DP35), 0))</f>
        <v>0</v>
      </c>
      <c r="DR35" s="301">
        <f ca="1">-MIN(DR27*$F$35, MAX(SUM($I34:DR34)+SUM($I35:DQ35), 0))</f>
        <v>0</v>
      </c>
      <c r="DS35" s="301">
        <f ca="1">-MIN(DS27*$F$35, MAX(SUM($I34:DS34)+SUM($I35:DR35), 0))</f>
        <v>0</v>
      </c>
      <c r="DT35" s="301">
        <f ca="1">-MIN(DT27*$F$35, MAX(SUM($I34:DT34)+SUM($I35:DS35), 0))</f>
        <v>0</v>
      </c>
      <c r="DU35" s="301">
        <f ca="1">-MIN(DU27*$F$35, MAX(SUM($I34:DU34)+SUM($I35:DT35), 0))</f>
        <v>0</v>
      </c>
      <c r="DV35" s="301">
        <f ca="1">-MIN(DV27*$F$35, MAX(SUM($I34:DV34)+SUM($I35:DU35), 0))</f>
        <v>0</v>
      </c>
      <c r="DW35" s="301">
        <f ca="1">-MIN(DW27*$F$35, MAX(SUM($I34:DW34)+SUM($I35:DV35), 0))</f>
        <v>0</v>
      </c>
      <c r="DX35" s="301">
        <f ca="1">-MIN(DX27*$F$35, MAX(SUM($I34:DX34)+SUM($I35:DW35), 0))</f>
        <v>0</v>
      </c>
      <c r="DY35" s="301">
        <f ca="1">-MIN(DY27*$F$35, MAX(SUM($I34:DY34)+SUM($I35:DX35), 0))</f>
        <v>0</v>
      </c>
      <c r="DZ35" s="301">
        <f ca="1">-MIN(DZ27*$F$35, MAX(SUM($I34:DZ34)+SUM($I35:DY35), 0))</f>
        <v>0</v>
      </c>
      <c r="EA35" s="301">
        <f ca="1">-MIN(EA27*$F$35, MAX(SUM($I34:EA34)+SUM($I35:DZ35), 0))</f>
        <v>0</v>
      </c>
      <c r="EB35" s="301">
        <f ca="1">-MIN(EB27*$F$35, MAX(SUM($I34:EB34)+SUM($I35:EA35), 0))</f>
        <v>0</v>
      </c>
      <c r="EC35" s="301">
        <f ca="1">-MIN(EC27*$F$35, MAX(SUM($I34:EC34)+SUM($I35:EB35), 0))</f>
        <v>0</v>
      </c>
      <c r="ED35" s="301">
        <f ca="1">-MIN(ED27*$F$35, MAX(SUM($I34:ED34)+SUM($I35:EC35), 0))</f>
        <v>0</v>
      </c>
      <c r="EE35" s="301">
        <f ca="1">-MIN(EE27*$F$35, MAX(SUM($I34:EE34)+SUM($I35:ED35), 0))</f>
        <v>0</v>
      </c>
    </row>
    <row r="36" spans="2:135">
      <c r="C36" s="309" t="s">
        <v>168</v>
      </c>
      <c r="G36" s="301">
        <f ca="1">SUMIF($I$8:$EE$8, "&lt;="&amp;$E$8, $I36:$EE36)</f>
        <v>15882.232</v>
      </c>
      <c r="H36" s="301"/>
      <c r="I36" s="301">
        <f t="shared" ref="I36:BT36" si="143">-I26</f>
        <v>13708</v>
      </c>
      <c r="J36" s="301">
        <f t="shared" ca="1" si="143"/>
        <v>0</v>
      </c>
      <c r="K36" s="301">
        <f t="shared" ca="1" si="143"/>
        <v>0</v>
      </c>
      <c r="L36" s="301">
        <f t="shared" ca="1" si="143"/>
        <v>0</v>
      </c>
      <c r="M36" s="301">
        <f t="shared" ca="1" si="143"/>
        <v>0</v>
      </c>
      <c r="N36" s="301">
        <f t="shared" ca="1" si="143"/>
        <v>150.82499999999999</v>
      </c>
      <c r="O36" s="301">
        <f t="shared" ca="1" si="143"/>
        <v>0</v>
      </c>
      <c r="P36" s="301">
        <f t="shared" ca="1" si="143"/>
        <v>0</v>
      </c>
      <c r="Q36" s="301">
        <f t="shared" ca="1" si="143"/>
        <v>0</v>
      </c>
      <c r="R36" s="301">
        <f t="shared" ca="1" si="143"/>
        <v>0</v>
      </c>
      <c r="S36" s="301">
        <f t="shared" ca="1" si="143"/>
        <v>0</v>
      </c>
      <c r="T36" s="301">
        <f t="shared" ca="1" si="143"/>
        <v>0</v>
      </c>
      <c r="U36" s="301">
        <f t="shared" ca="1" si="143"/>
        <v>0</v>
      </c>
      <c r="V36" s="301">
        <f t="shared" ca="1" si="143"/>
        <v>79.174999999999997</v>
      </c>
      <c r="W36" s="301">
        <f t="shared" ca="1" si="143"/>
        <v>0</v>
      </c>
      <c r="X36" s="301">
        <f t="shared" ca="1" si="143"/>
        <v>0</v>
      </c>
      <c r="Y36" s="301">
        <f t="shared" ca="1" si="143"/>
        <v>0</v>
      </c>
      <c r="Z36" s="301">
        <f t="shared" ca="1" si="143"/>
        <v>0</v>
      </c>
      <c r="AA36" s="301">
        <f t="shared" ca="1" si="143"/>
        <v>0</v>
      </c>
      <c r="AB36" s="301">
        <f t="shared" ca="1" si="143"/>
        <v>0</v>
      </c>
      <c r="AC36" s="301">
        <f t="shared" ca="1" si="143"/>
        <v>0</v>
      </c>
      <c r="AD36" s="301">
        <f t="shared" ca="1" si="143"/>
        <v>0</v>
      </c>
      <c r="AE36" s="301">
        <f t="shared" ca="1" si="143"/>
        <v>310</v>
      </c>
      <c r="AF36" s="301">
        <f t="shared" ca="1" si="143"/>
        <v>0</v>
      </c>
      <c r="AG36" s="301">
        <f t="shared" ca="1" si="143"/>
        <v>0</v>
      </c>
      <c r="AH36" s="301">
        <f t="shared" ca="1" si="143"/>
        <v>0</v>
      </c>
      <c r="AI36" s="301">
        <f t="shared" ca="1" si="143"/>
        <v>0</v>
      </c>
      <c r="AJ36" s="301">
        <f t="shared" ca="1" si="143"/>
        <v>0</v>
      </c>
      <c r="AK36" s="301">
        <f t="shared" ca="1" si="143"/>
        <v>0</v>
      </c>
      <c r="AL36" s="301">
        <f t="shared" ca="1" si="143"/>
        <v>0</v>
      </c>
      <c r="AM36" s="301">
        <f t="shared" ca="1" si="143"/>
        <v>0</v>
      </c>
      <c r="AN36" s="301">
        <f t="shared" ca="1" si="143"/>
        <v>0</v>
      </c>
      <c r="AO36" s="301">
        <f t="shared" ca="1" si="143"/>
        <v>0</v>
      </c>
      <c r="AP36" s="301">
        <f t="shared" ca="1" si="143"/>
        <v>0</v>
      </c>
      <c r="AQ36" s="301">
        <f t="shared" ca="1" si="143"/>
        <v>0</v>
      </c>
      <c r="AR36" s="301">
        <f t="shared" ca="1" si="143"/>
        <v>0</v>
      </c>
      <c r="AS36" s="301">
        <f t="shared" ca="1" si="143"/>
        <v>0</v>
      </c>
      <c r="AT36" s="301">
        <f t="shared" ca="1" si="143"/>
        <v>0</v>
      </c>
      <c r="AU36" s="301">
        <f t="shared" ca="1" si="143"/>
        <v>0</v>
      </c>
      <c r="AV36" s="301">
        <f t="shared" ca="1" si="143"/>
        <v>0</v>
      </c>
      <c r="AW36" s="301">
        <f t="shared" ca="1" si="143"/>
        <v>0</v>
      </c>
      <c r="AX36" s="301">
        <f t="shared" ca="1" si="143"/>
        <v>0</v>
      </c>
      <c r="AY36" s="301">
        <f t="shared" ca="1" si="143"/>
        <v>141.08000000000001</v>
      </c>
      <c r="AZ36" s="301">
        <f t="shared" ca="1" si="143"/>
        <v>0</v>
      </c>
      <c r="BA36" s="301">
        <f t="shared" ca="1" si="143"/>
        <v>248.2</v>
      </c>
      <c r="BB36" s="301">
        <f t="shared" ca="1" si="143"/>
        <v>320</v>
      </c>
      <c r="BC36" s="301">
        <f t="shared" ca="1" si="143"/>
        <v>0</v>
      </c>
      <c r="BD36" s="301">
        <f t="shared" ca="1" si="143"/>
        <v>0</v>
      </c>
      <c r="BE36" s="301">
        <f t="shared" ca="1" si="143"/>
        <v>617</v>
      </c>
      <c r="BF36" s="301">
        <f t="shared" ca="1" si="143"/>
        <v>0</v>
      </c>
      <c r="BG36" s="301">
        <f t="shared" ca="1" si="143"/>
        <v>0</v>
      </c>
      <c r="BH36" s="301">
        <f t="shared" ca="1" si="143"/>
        <v>0</v>
      </c>
      <c r="BI36" s="301">
        <f t="shared" ca="1" si="143"/>
        <v>0</v>
      </c>
      <c r="BJ36" s="301">
        <f t="shared" ca="1" si="143"/>
        <v>0</v>
      </c>
      <c r="BK36" s="301">
        <f t="shared" ca="1" si="143"/>
        <v>0</v>
      </c>
      <c r="BL36" s="301">
        <f t="shared" ca="1" si="143"/>
        <v>219.452</v>
      </c>
      <c r="BM36" s="301">
        <f t="shared" ca="1" si="143"/>
        <v>0</v>
      </c>
      <c r="BN36" s="301">
        <f t="shared" ca="1" si="143"/>
        <v>0</v>
      </c>
      <c r="BO36" s="301">
        <f t="shared" ca="1" si="143"/>
        <v>0</v>
      </c>
      <c r="BP36" s="301">
        <f t="shared" ca="1" si="143"/>
        <v>88.5</v>
      </c>
      <c r="BQ36" s="301">
        <f t="shared" ca="1" si="143"/>
        <v>0</v>
      </c>
      <c r="BR36" s="301">
        <f t="shared" ca="1" si="143"/>
        <v>0</v>
      </c>
      <c r="BS36" s="301">
        <f t="shared" ca="1" si="143"/>
        <v>0</v>
      </c>
      <c r="BT36" s="301">
        <f t="shared" ca="1" si="143"/>
        <v>0</v>
      </c>
      <c r="BU36" s="301">
        <f t="shared" ref="BU36:CZ36" ca="1" si="144">-BU26</f>
        <v>0</v>
      </c>
      <c r="BV36" s="301">
        <f t="shared" ca="1" si="144"/>
        <v>0</v>
      </c>
      <c r="BW36" s="301">
        <f t="shared" ca="1" si="144"/>
        <v>0</v>
      </c>
      <c r="BX36" s="301">
        <f t="shared" ca="1" si="144"/>
        <v>0</v>
      </c>
      <c r="BY36" s="301">
        <f t="shared" ca="1" si="144"/>
        <v>0</v>
      </c>
      <c r="BZ36" s="301">
        <f t="shared" ca="1" si="144"/>
        <v>0</v>
      </c>
      <c r="CA36" s="301">
        <f t="shared" ca="1" si="144"/>
        <v>0</v>
      </c>
      <c r="CB36" s="301">
        <f t="shared" ca="1" si="144"/>
        <v>0</v>
      </c>
      <c r="CC36" s="301">
        <f t="shared" ca="1" si="144"/>
        <v>0</v>
      </c>
      <c r="CD36" s="301">
        <f t="shared" ca="1" si="144"/>
        <v>0</v>
      </c>
      <c r="CE36" s="301">
        <f t="shared" ca="1" si="144"/>
        <v>0</v>
      </c>
      <c r="CF36" s="301">
        <f t="shared" ca="1" si="144"/>
        <v>0</v>
      </c>
      <c r="CG36" s="301">
        <f t="shared" ca="1" si="144"/>
        <v>0</v>
      </c>
      <c r="CH36" s="301">
        <f t="shared" ca="1" si="144"/>
        <v>0</v>
      </c>
      <c r="CI36" s="301">
        <f t="shared" ca="1" si="144"/>
        <v>0</v>
      </c>
      <c r="CJ36" s="301">
        <f t="shared" ca="1" si="144"/>
        <v>0</v>
      </c>
      <c r="CK36" s="301">
        <f t="shared" ca="1" si="144"/>
        <v>0</v>
      </c>
      <c r="CL36" s="301">
        <f t="shared" ca="1" si="144"/>
        <v>0</v>
      </c>
      <c r="CM36" s="301">
        <f t="shared" ca="1" si="144"/>
        <v>0</v>
      </c>
      <c r="CN36" s="301">
        <f t="shared" ca="1" si="144"/>
        <v>0</v>
      </c>
      <c r="CO36" s="301">
        <f t="shared" ca="1" si="144"/>
        <v>0</v>
      </c>
      <c r="CP36" s="301">
        <f t="shared" ca="1" si="144"/>
        <v>0</v>
      </c>
      <c r="CQ36" s="301">
        <f t="shared" ca="1" si="144"/>
        <v>0</v>
      </c>
      <c r="CR36" s="301">
        <f t="shared" ca="1" si="144"/>
        <v>0</v>
      </c>
      <c r="CS36" s="301">
        <f t="shared" ca="1" si="144"/>
        <v>0</v>
      </c>
      <c r="CT36" s="301">
        <f t="shared" ca="1" si="144"/>
        <v>0</v>
      </c>
      <c r="CU36" s="301">
        <f t="shared" ca="1" si="144"/>
        <v>0</v>
      </c>
      <c r="CV36" s="301">
        <f t="shared" ca="1" si="144"/>
        <v>0</v>
      </c>
      <c r="CW36" s="301">
        <f t="shared" ca="1" si="144"/>
        <v>0</v>
      </c>
      <c r="CX36" s="301">
        <f t="shared" ca="1" si="144"/>
        <v>0</v>
      </c>
      <c r="CY36" s="301">
        <f t="shared" ca="1" si="144"/>
        <v>0</v>
      </c>
      <c r="CZ36" s="301">
        <f t="shared" ca="1" si="144"/>
        <v>0</v>
      </c>
      <c r="DA36" s="301">
        <f t="shared" ref="DA36:EE36" ca="1" si="145">-DA26</f>
        <v>0</v>
      </c>
      <c r="DB36" s="301">
        <f t="shared" ca="1" si="145"/>
        <v>0</v>
      </c>
      <c r="DC36" s="301">
        <f t="shared" ca="1" si="145"/>
        <v>0</v>
      </c>
      <c r="DD36" s="301">
        <f t="shared" ca="1" si="145"/>
        <v>0</v>
      </c>
      <c r="DE36" s="301">
        <f t="shared" ca="1" si="145"/>
        <v>0</v>
      </c>
      <c r="DF36" s="301">
        <f t="shared" ca="1" si="145"/>
        <v>0</v>
      </c>
      <c r="DG36" s="301">
        <f t="shared" ca="1" si="145"/>
        <v>0</v>
      </c>
      <c r="DH36" s="301">
        <f t="shared" si="145"/>
        <v>0</v>
      </c>
      <c r="DI36" s="301">
        <f t="shared" si="145"/>
        <v>0</v>
      </c>
      <c r="DJ36" s="301">
        <f t="shared" si="145"/>
        <v>0</v>
      </c>
      <c r="DK36" s="301">
        <f t="shared" si="145"/>
        <v>0</v>
      </c>
      <c r="DL36" s="301">
        <f t="shared" si="145"/>
        <v>0</v>
      </c>
      <c r="DM36" s="301">
        <f t="shared" si="145"/>
        <v>0</v>
      </c>
      <c r="DN36" s="301">
        <f t="shared" si="145"/>
        <v>0</v>
      </c>
      <c r="DO36" s="301">
        <f t="shared" si="145"/>
        <v>0</v>
      </c>
      <c r="DP36" s="301">
        <f t="shared" si="145"/>
        <v>0</v>
      </c>
      <c r="DQ36" s="301">
        <f t="shared" si="145"/>
        <v>0</v>
      </c>
      <c r="DR36" s="301">
        <f t="shared" si="145"/>
        <v>0</v>
      </c>
      <c r="DS36" s="301">
        <f t="shared" si="145"/>
        <v>0</v>
      </c>
      <c r="DT36" s="301">
        <f t="shared" si="145"/>
        <v>0</v>
      </c>
      <c r="DU36" s="301">
        <f t="shared" si="145"/>
        <v>0</v>
      </c>
      <c r="DV36" s="301">
        <f t="shared" si="145"/>
        <v>0</v>
      </c>
      <c r="DW36" s="301">
        <f t="shared" si="145"/>
        <v>0</v>
      </c>
      <c r="DX36" s="301">
        <f t="shared" si="145"/>
        <v>0</v>
      </c>
      <c r="DY36" s="301">
        <f t="shared" si="145"/>
        <v>0</v>
      </c>
      <c r="DZ36" s="301">
        <f t="shared" si="145"/>
        <v>0</v>
      </c>
      <c r="EA36" s="301">
        <f t="shared" si="145"/>
        <v>0</v>
      </c>
      <c r="EB36" s="301">
        <f t="shared" si="145"/>
        <v>0</v>
      </c>
      <c r="EC36" s="301">
        <f t="shared" si="145"/>
        <v>0</v>
      </c>
      <c r="ED36" s="301">
        <f t="shared" si="145"/>
        <v>0</v>
      </c>
      <c r="EE36" s="301">
        <f t="shared" si="145"/>
        <v>0</v>
      </c>
    </row>
    <row r="37" spans="2:135">
      <c r="C37" s="313" t="s">
        <v>175</v>
      </c>
      <c r="D37" s="314"/>
      <c r="E37" s="314"/>
      <c r="F37" s="314"/>
      <c r="G37" s="315"/>
      <c r="H37" s="315"/>
      <c r="I37" s="315">
        <f t="shared" ref="I37:AN37" si="146">SUM(I33:I36)</f>
        <v>13708</v>
      </c>
      <c r="J37" s="315">
        <f t="shared" ca="1" si="146"/>
        <v>13805.439792219633</v>
      </c>
      <c r="K37" s="315">
        <f t="shared" ca="1" si="146"/>
        <v>13906.855276662289</v>
      </c>
      <c r="L37" s="315">
        <f t="shared" ca="1" si="146"/>
        <v>14005.708580469298</v>
      </c>
      <c r="M37" s="315">
        <f t="shared" ca="1" si="146"/>
        <v>14108.59524992922</v>
      </c>
      <c r="N37" s="315">
        <f t="shared" ca="1" si="146"/>
        <v>14359.707570447459</v>
      </c>
      <c r="O37" s="315">
        <f t="shared" ca="1" si="146"/>
        <v>14465.194735045616</v>
      </c>
      <c r="P37" s="315">
        <f t="shared" ca="1" si="146"/>
        <v>14571.456813884914</v>
      </c>
      <c r="Q37" s="315">
        <f t="shared" ca="1" si="146"/>
        <v>14668.10625526281</v>
      </c>
      <c r="R37" s="315">
        <f t="shared" ca="1" si="146"/>
        <v>14775.858932766949</v>
      </c>
      <c r="S37" s="315">
        <f t="shared" ca="1" si="146"/>
        <v>14880.889325550392</v>
      </c>
      <c r="T37" s="315">
        <f t="shared" ca="1" si="146"/>
        <v>14990.205118643689</v>
      </c>
      <c r="U37" s="315">
        <f t="shared" ca="1" si="146"/>
        <v>15096.759136158304</v>
      </c>
      <c r="V37" s="315">
        <f t="shared" ca="1" si="146"/>
        <v>15286.835720196968</v>
      </c>
      <c r="W37" s="315">
        <f t="shared" ca="1" si="146"/>
        <v>15399.133616786456</v>
      </c>
      <c r="X37" s="315">
        <f t="shared" ca="1" si="146"/>
        <v>15508.594397351239</v>
      </c>
      <c r="Y37" s="315">
        <f t="shared" ca="1" si="146"/>
        <v>15622.52134480846</v>
      </c>
      <c r="Z37" s="315">
        <f t="shared" ca="1" si="146"/>
        <v>15733.570019581215</v>
      </c>
      <c r="AA37" s="315">
        <f t="shared" ca="1" si="146"/>
        <v>15849.149649753341</v>
      </c>
      <c r="AB37" s="315">
        <f t="shared" ca="1" si="146"/>
        <v>15965.578333947795</v>
      </c>
      <c r="AC37" s="315">
        <f t="shared" ca="1" si="146"/>
        <v>16071.474693313918</v>
      </c>
      <c r="AD37" s="315">
        <f t="shared" ca="1" si="146"/>
        <v>16189.536588933417</v>
      </c>
      <c r="AE37" s="315">
        <f t="shared" ca="1" si="146"/>
        <v>16614.61574572929</v>
      </c>
      <c r="AF37" s="315">
        <f t="shared" ca="1" si="146"/>
        <v>16736.66758399317</v>
      </c>
      <c r="AG37" s="315">
        <f t="shared" ca="1" si="146"/>
        <v>16855.635880742029</v>
      </c>
      <c r="AH37" s="315">
        <f t="shared" ca="1" si="146"/>
        <v>16979.458265552825</v>
      </c>
      <c r="AI37" s="315">
        <f t="shared" ca="1" si="146"/>
        <v>17104.19025609364</v>
      </c>
      <c r="AJ37" s="315">
        <f t="shared" ca="1" si="146"/>
        <v>17225.770993228074</v>
      </c>
      <c r="AK37" s="315">
        <f t="shared" ca="1" si="146"/>
        <v>17352.312409978957</v>
      </c>
      <c r="AL37" s="315">
        <f t="shared" ca="1" si="146"/>
        <v>17475.656859625771</v>
      </c>
      <c r="AM37" s="315">
        <f t="shared" ca="1" si="146"/>
        <v>17604.033951051093</v>
      </c>
      <c r="AN37" s="315">
        <f t="shared" ca="1" si="146"/>
        <v>17733.354107319999</v>
      </c>
      <c r="AO37" s="315">
        <f t="shared" ref="AO37:CZ37" ca="1" si="147">SUM(AO33:AO36)</f>
        <v>17850.975755595809</v>
      </c>
      <c r="AP37" s="315">
        <f t="shared" ca="1" si="147"/>
        <v>17982.109959306446</v>
      </c>
      <c r="AQ37" s="315">
        <f t="shared" ca="1" si="147"/>
        <v>18109.931162844921</v>
      </c>
      <c r="AR37" s="315">
        <f t="shared" ca="1" si="147"/>
        <v>18242.967666552551</v>
      </c>
      <c r="AS37" s="315">
        <f t="shared" ca="1" si="147"/>
        <v>18372.643110008808</v>
      </c>
      <c r="AT37" s="315">
        <f t="shared" ca="1" si="147"/>
        <v>18507.609509452574</v>
      </c>
      <c r="AU37" s="315">
        <f t="shared" ca="1" si="147"/>
        <v>18643.56737914206</v>
      </c>
      <c r="AV37" s="315">
        <f t="shared" ca="1" si="147"/>
        <v>18776.090382618593</v>
      </c>
      <c r="AW37" s="315">
        <f t="shared" ca="1" si="147"/>
        <v>18914.020526877055</v>
      </c>
      <c r="AX37" s="315">
        <f t="shared" ca="1" si="147"/>
        <v>19048.46597699208</v>
      </c>
      <c r="AY37" s="315">
        <f t="shared" ca="1" si="147"/>
        <v>19329.477006645684</v>
      </c>
      <c r="AZ37" s="315">
        <f t="shared" ca="1" si="147"/>
        <v>19471.472358054692</v>
      </c>
      <c r="BA37" s="315">
        <f t="shared" ca="1" si="147"/>
        <v>19853.450900652322</v>
      </c>
      <c r="BB37" s="315">
        <f t="shared" ca="1" si="147"/>
        <v>20319.295391755233</v>
      </c>
      <c r="BC37" s="315">
        <f t="shared" ca="1" si="147"/>
        <v>20463.729876802066</v>
      </c>
      <c r="BD37" s="315">
        <f t="shared" ca="1" si="147"/>
        <v>20614.057509256712</v>
      </c>
      <c r="BE37" s="315">
        <f t="shared" ca="1" si="147"/>
        <v>21377.587235001207</v>
      </c>
      <c r="BF37" s="315">
        <f t="shared" ca="1" si="147"/>
        <v>21534.628111516755</v>
      </c>
      <c r="BG37" s="315">
        <f t="shared" ca="1" si="147"/>
        <v>21692.822618543814</v>
      </c>
      <c r="BH37" s="315">
        <f t="shared" ca="1" si="147"/>
        <v>21847.020468602779</v>
      </c>
      <c r="BI37" s="315">
        <f t="shared" ca="1" si="147"/>
        <v>22007.509826261681</v>
      </c>
      <c r="BJ37" s="315">
        <f t="shared" ca="1" si="147"/>
        <v>22163.944549397256</v>
      </c>
      <c r="BK37" s="315">
        <f t="shared" ca="1" si="147"/>
        <v>22326.762047967935</v>
      </c>
      <c r="BL37" s="315">
        <f t="shared" ca="1" si="147"/>
        <v>22710.227612418574</v>
      </c>
      <c r="BM37" s="315">
        <f t="shared" ca="1" si="147"/>
        <v>22860.859827188866</v>
      </c>
      <c r="BN37" s="315">
        <f t="shared" ca="1" si="147"/>
        <v>23028.796901924914</v>
      </c>
      <c r="BO37" s="315">
        <f t="shared" ca="1" si="147"/>
        <v>23192.491181556641</v>
      </c>
      <c r="BP37" s="315">
        <f t="shared" ca="1" si="147"/>
        <v>23451.364437607142</v>
      </c>
      <c r="BQ37" s="315">
        <f t="shared" ca="1" si="147"/>
        <v>23618.062429879345</v>
      </c>
      <c r="BR37" s="315">
        <f t="shared" ca="1" si="147"/>
        <v>23791.561954629942</v>
      </c>
      <c r="BS37" s="315">
        <f t="shared" ca="1" si="147"/>
        <v>23966.336015984805</v>
      </c>
      <c r="BT37" s="315">
        <f t="shared" ca="1" si="147"/>
        <v>24136.694551268105</v>
      </c>
      <c r="BU37" s="315">
        <f t="shared" ca="1" si="147"/>
        <v>24314.00397477092</v>
      </c>
      <c r="BV37" s="315">
        <f t="shared" ca="1" si="147"/>
        <v>24486.833818316951</v>
      </c>
      <c r="BW37" s="315">
        <f t="shared" ca="1" si="147"/>
        <v>24666.715383231021</v>
      </c>
      <c r="BX37" s="315">
        <f t="shared" ca="1" si="147"/>
        <v>24847.918367550963</v>
      </c>
      <c r="BY37" s="315">
        <f t="shared" ca="1" si="147"/>
        <v>25012.729440342187</v>
      </c>
      <c r="BZ37" s="315">
        <f t="shared" ca="1" si="147"/>
        <v>25196.474262064927</v>
      </c>
      <c r="CA37" s="315">
        <f t="shared" ca="1" si="147"/>
        <v>25375.576918671504</v>
      </c>
      <c r="CB37" s="315">
        <f t="shared" ca="1" si="147"/>
        <v>25561.987236991772</v>
      </c>
      <c r="CC37" s="315">
        <f t="shared" ca="1" si="147"/>
        <v>25743.688048568471</v>
      </c>
      <c r="CD37" s="315">
        <f t="shared" ca="1" si="147"/>
        <v>25932.802530546622</v>
      </c>
      <c r="CE37" s="315">
        <f t="shared" ca="1" si="147"/>
        <v>26123.306257423421</v>
      </c>
      <c r="CF37" s="315">
        <f t="shared" ca="1" si="147"/>
        <v>26308.997060882219</v>
      </c>
      <c r="CG37" s="315">
        <f t="shared" ca="1" si="147"/>
        <v>26502.264332500286</v>
      </c>
      <c r="CH37" s="315">
        <f t="shared" ca="1" si="147"/>
        <v>26690.648861965463</v>
      </c>
      <c r="CI37" s="315">
        <f t="shared" ca="1" si="147"/>
        <v>26886.719767721799</v>
      </c>
      <c r="CJ37" s="315">
        <f t="shared" ca="1" si="147"/>
        <v>27084.231020630537</v>
      </c>
      <c r="CK37" s="315">
        <f t="shared" ca="1" si="147"/>
        <v>27263.875089972971</v>
      </c>
      <c r="CL37" s="315">
        <f t="shared" ca="1" si="147"/>
        <v>27464.156945650757</v>
      </c>
      <c r="CM37" s="315">
        <f t="shared" ca="1" si="147"/>
        <v>27659.378841351925</v>
      </c>
      <c r="CN37" s="315">
        <f t="shared" ca="1" si="147"/>
        <v>27862.566088321018</v>
      </c>
      <c r="CO37" s="315">
        <f t="shared" ca="1" si="147"/>
        <v>28060.619972939621</v>
      </c>
      <c r="CP37" s="315">
        <f t="shared" ca="1" si="147"/>
        <v>28266.754758295807</v>
      </c>
      <c r="CQ37" s="315">
        <f t="shared" ca="1" si="147"/>
        <v>28474.40382059152</v>
      </c>
      <c r="CR37" s="315">
        <f t="shared" ca="1" si="147"/>
        <v>28676.806796361609</v>
      </c>
      <c r="CS37" s="315">
        <f t="shared" ca="1" si="147"/>
        <v>28887.468122425304</v>
      </c>
      <c r="CT37" s="315">
        <f t="shared" ca="1" si="147"/>
        <v>29092.807259542344</v>
      </c>
      <c r="CU37" s="315">
        <f t="shared" ca="1" si="147"/>
        <v>29306.524546816749</v>
      </c>
      <c r="CV37" s="315">
        <f t="shared" ca="1" si="147"/>
        <v>29521.811812487274</v>
      </c>
      <c r="CW37" s="315">
        <f t="shared" ca="1" si="147"/>
        <v>29724.641104822851</v>
      </c>
      <c r="CX37" s="315">
        <f t="shared" ca="1" si="147"/>
        <v>29942.999876647609</v>
      </c>
      <c r="CY37" s="315">
        <f t="shared" ca="1" si="147"/>
        <v>30155.841989750399</v>
      </c>
      <c r="CZ37" s="315">
        <f t="shared" ca="1" si="147"/>
        <v>30377.36838588088</v>
      </c>
      <c r="DA37" s="315">
        <f t="shared" ref="DA37:EE37" ca="1" si="148">SUM(DA33:DA36)</f>
        <v>30593.29809580935</v>
      </c>
      <c r="DB37" s="315">
        <f t="shared" ca="1" si="148"/>
        <v>30818.038067427904</v>
      </c>
      <c r="DC37" s="315">
        <f t="shared" ca="1" si="148"/>
        <v>31044.428990659617</v>
      </c>
      <c r="DD37" s="315">
        <f t="shared" ca="1" si="148"/>
        <v>31265.100329325142</v>
      </c>
      <c r="DE37" s="315">
        <f t="shared" ca="1" si="148"/>
        <v>31494.775395369306</v>
      </c>
      <c r="DF37" s="315">
        <f t="shared" ca="1" si="148"/>
        <v>31718.647905620895</v>
      </c>
      <c r="DG37" s="315">
        <f t="shared" ca="1" si="148"/>
        <v>31951.654755937063</v>
      </c>
      <c r="DH37" s="315">
        <f t="shared" ca="1" si="148"/>
        <v>32186.37328679068</v>
      </c>
      <c r="DI37" s="315">
        <f t="shared" ca="1" si="148"/>
        <v>32186.37328679068</v>
      </c>
      <c r="DJ37" s="315">
        <f t="shared" ca="1" si="148"/>
        <v>32186.37328679068</v>
      </c>
      <c r="DK37" s="315">
        <f t="shared" ca="1" si="148"/>
        <v>32186.37328679068</v>
      </c>
      <c r="DL37" s="315">
        <f t="shared" ca="1" si="148"/>
        <v>32186.37328679068</v>
      </c>
      <c r="DM37" s="315">
        <f t="shared" ca="1" si="148"/>
        <v>32186.37328679068</v>
      </c>
      <c r="DN37" s="315">
        <f t="shared" ca="1" si="148"/>
        <v>32186.37328679068</v>
      </c>
      <c r="DO37" s="315">
        <f t="shared" ca="1" si="148"/>
        <v>32186.37328679068</v>
      </c>
      <c r="DP37" s="315">
        <f t="shared" ca="1" si="148"/>
        <v>32186.37328679068</v>
      </c>
      <c r="DQ37" s="315">
        <f t="shared" ca="1" si="148"/>
        <v>32186.37328679068</v>
      </c>
      <c r="DR37" s="315">
        <f t="shared" ca="1" si="148"/>
        <v>32186.37328679068</v>
      </c>
      <c r="DS37" s="315">
        <f t="shared" ca="1" si="148"/>
        <v>32186.37328679068</v>
      </c>
      <c r="DT37" s="315">
        <f t="shared" ca="1" si="148"/>
        <v>32186.37328679068</v>
      </c>
      <c r="DU37" s="315">
        <f t="shared" ca="1" si="148"/>
        <v>32186.37328679068</v>
      </c>
      <c r="DV37" s="315">
        <f t="shared" ca="1" si="148"/>
        <v>32186.37328679068</v>
      </c>
      <c r="DW37" s="315">
        <f t="shared" ca="1" si="148"/>
        <v>32186.37328679068</v>
      </c>
      <c r="DX37" s="315">
        <f t="shared" ca="1" si="148"/>
        <v>32186.37328679068</v>
      </c>
      <c r="DY37" s="315">
        <f t="shared" ca="1" si="148"/>
        <v>32186.37328679068</v>
      </c>
      <c r="DZ37" s="315">
        <f t="shared" ca="1" si="148"/>
        <v>32186.37328679068</v>
      </c>
      <c r="EA37" s="315">
        <f t="shared" ca="1" si="148"/>
        <v>32186.37328679068</v>
      </c>
      <c r="EB37" s="315">
        <f t="shared" ca="1" si="148"/>
        <v>32186.37328679068</v>
      </c>
      <c r="EC37" s="315">
        <f t="shared" ca="1" si="148"/>
        <v>32186.37328679068</v>
      </c>
      <c r="ED37" s="315">
        <f t="shared" ca="1" si="148"/>
        <v>32186.37328679068</v>
      </c>
      <c r="EE37" s="315">
        <f t="shared" ca="1" si="148"/>
        <v>32186.37328679068</v>
      </c>
    </row>
    <row r="38" spans="2:135">
      <c r="G38" s="301"/>
      <c r="H38" s="301"/>
      <c r="I38" s="301"/>
      <c r="J38" s="301"/>
      <c r="K38" s="301"/>
      <c r="L38" s="301"/>
      <c r="M38" s="301"/>
      <c r="N38" s="301"/>
      <c r="O38" s="301"/>
      <c r="P38" s="301"/>
      <c r="Q38" s="301"/>
      <c r="R38" s="301"/>
      <c r="S38" s="301"/>
      <c r="T38" s="301"/>
      <c r="U38" s="301"/>
      <c r="V38" s="301"/>
      <c r="W38" s="301"/>
      <c r="X38" s="301"/>
      <c r="Y38" s="301"/>
      <c r="Z38" s="301"/>
      <c r="AA38" s="301"/>
      <c r="AB38" s="301"/>
      <c r="AC38" s="301"/>
      <c r="AD38" s="301"/>
      <c r="AE38" s="301"/>
      <c r="AF38" s="301"/>
      <c r="AG38" s="301"/>
      <c r="AH38" s="301"/>
      <c r="AI38" s="301"/>
      <c r="AJ38" s="301"/>
      <c r="AK38" s="301"/>
      <c r="AL38" s="301"/>
      <c r="AM38" s="301"/>
      <c r="AN38" s="301"/>
      <c r="AO38" s="301"/>
      <c r="AP38" s="301"/>
      <c r="AQ38" s="301"/>
      <c r="AR38" s="301"/>
      <c r="AS38" s="301"/>
      <c r="AT38" s="301"/>
      <c r="AU38" s="301"/>
      <c r="AV38" s="301"/>
      <c r="AW38" s="301"/>
      <c r="AX38" s="301"/>
      <c r="AY38" s="301"/>
      <c r="AZ38" s="301"/>
      <c r="BA38" s="301"/>
      <c r="BB38" s="301"/>
      <c r="BC38" s="301"/>
      <c r="BD38" s="301"/>
      <c r="BE38" s="301"/>
      <c r="BF38" s="301"/>
      <c r="BG38" s="301"/>
      <c r="BH38" s="301"/>
      <c r="BI38" s="301"/>
      <c r="BJ38" s="301"/>
      <c r="BK38" s="301"/>
      <c r="BL38" s="301"/>
      <c r="BM38" s="301"/>
      <c r="BN38" s="301"/>
      <c r="BO38" s="301"/>
      <c r="BP38" s="301"/>
      <c r="BQ38" s="301"/>
      <c r="BR38" s="301"/>
      <c r="BS38" s="301"/>
      <c r="BT38" s="301"/>
      <c r="BU38" s="301"/>
      <c r="BV38" s="301"/>
      <c r="BW38" s="301"/>
      <c r="BX38" s="301"/>
      <c r="BY38" s="301"/>
      <c r="BZ38" s="301"/>
      <c r="CA38" s="301"/>
      <c r="CB38" s="301"/>
      <c r="CC38" s="301"/>
      <c r="CD38" s="301"/>
      <c r="CE38" s="301"/>
      <c r="CF38" s="301"/>
      <c r="CG38" s="301"/>
      <c r="CH38" s="301"/>
      <c r="CI38" s="301"/>
      <c r="CJ38" s="301"/>
      <c r="CK38" s="301"/>
      <c r="CL38" s="301"/>
      <c r="CM38" s="301"/>
      <c r="CN38" s="301"/>
      <c r="CO38" s="301"/>
      <c r="CP38" s="301"/>
      <c r="CQ38" s="301"/>
      <c r="CR38" s="301"/>
      <c r="CS38" s="301"/>
      <c r="CT38" s="301"/>
      <c r="CU38" s="301"/>
      <c r="CV38" s="301"/>
      <c r="CW38" s="301"/>
      <c r="CX38" s="301"/>
      <c r="CY38" s="301"/>
      <c r="CZ38" s="301"/>
      <c r="DA38" s="301"/>
      <c r="DB38" s="301"/>
      <c r="DC38" s="301"/>
      <c r="DD38" s="301"/>
      <c r="DE38" s="301"/>
      <c r="DF38" s="301"/>
      <c r="DG38" s="301"/>
      <c r="DH38" s="301"/>
      <c r="DI38" s="301"/>
      <c r="DJ38" s="301"/>
      <c r="DK38" s="301"/>
      <c r="DL38" s="301"/>
      <c r="DM38" s="301"/>
      <c r="DN38" s="301"/>
      <c r="DO38" s="301"/>
      <c r="DP38" s="301"/>
      <c r="DQ38" s="301"/>
      <c r="DR38" s="301"/>
      <c r="DS38" s="301"/>
      <c r="DT38" s="301"/>
      <c r="DU38" s="301"/>
      <c r="DV38" s="301"/>
      <c r="DW38" s="301"/>
      <c r="DX38" s="301"/>
      <c r="DY38" s="301"/>
      <c r="DZ38" s="301"/>
      <c r="EA38" s="301"/>
      <c r="EB38" s="301"/>
      <c r="EC38" s="301"/>
      <c r="ED38" s="301"/>
      <c r="EE38" s="301"/>
    </row>
    <row r="39" spans="2:135">
      <c r="C39" s="265" t="s">
        <v>176</v>
      </c>
      <c r="G39" s="301">
        <f ca="1">SUMIF($I$8:$EE$8, "&lt;="&amp;$E$8, $I39:$EE39)</f>
        <v>0</v>
      </c>
      <c r="H39" s="301"/>
      <c r="I39" s="301">
        <f t="shared" ref="I39:BT39" si="149">I27 +I35</f>
        <v>0</v>
      </c>
      <c r="J39" s="301">
        <f t="shared" si="149"/>
        <v>0</v>
      </c>
      <c r="K39" s="301">
        <f t="shared" ca="1" si="149"/>
        <v>0</v>
      </c>
      <c r="L39" s="301">
        <f t="shared" ca="1" si="149"/>
        <v>0</v>
      </c>
      <c r="M39" s="301">
        <f t="shared" ca="1" si="149"/>
        <v>0</v>
      </c>
      <c r="N39" s="301">
        <f t="shared" ca="1" si="149"/>
        <v>0</v>
      </c>
      <c r="O39" s="301">
        <f t="shared" ca="1" si="149"/>
        <v>0</v>
      </c>
      <c r="P39" s="301">
        <f t="shared" ca="1" si="149"/>
        <v>0</v>
      </c>
      <c r="Q39" s="301">
        <f t="shared" ca="1" si="149"/>
        <v>0</v>
      </c>
      <c r="R39" s="301">
        <f t="shared" ca="1" si="149"/>
        <v>0</v>
      </c>
      <c r="S39" s="301">
        <f t="shared" ca="1" si="149"/>
        <v>0</v>
      </c>
      <c r="T39" s="301">
        <f t="shared" ca="1" si="149"/>
        <v>0</v>
      </c>
      <c r="U39" s="301">
        <f t="shared" ca="1" si="149"/>
        <v>0</v>
      </c>
      <c r="V39" s="301">
        <f t="shared" ca="1" si="149"/>
        <v>0</v>
      </c>
      <c r="W39" s="301">
        <f t="shared" ca="1" si="149"/>
        <v>0</v>
      </c>
      <c r="X39" s="301">
        <f t="shared" ca="1" si="149"/>
        <v>0</v>
      </c>
      <c r="Y39" s="301">
        <f t="shared" ca="1" si="149"/>
        <v>0</v>
      </c>
      <c r="Z39" s="301">
        <f t="shared" ca="1" si="149"/>
        <v>0</v>
      </c>
      <c r="AA39" s="301">
        <f t="shared" ca="1" si="149"/>
        <v>0</v>
      </c>
      <c r="AB39" s="301">
        <f t="shared" ca="1" si="149"/>
        <v>0</v>
      </c>
      <c r="AC39" s="301">
        <f t="shared" ca="1" si="149"/>
        <v>0</v>
      </c>
      <c r="AD39" s="301">
        <f t="shared" ca="1" si="149"/>
        <v>0</v>
      </c>
      <c r="AE39" s="301">
        <f t="shared" ca="1" si="149"/>
        <v>0</v>
      </c>
      <c r="AF39" s="301">
        <f t="shared" ca="1" si="149"/>
        <v>0</v>
      </c>
      <c r="AG39" s="301">
        <f t="shared" ca="1" si="149"/>
        <v>0</v>
      </c>
      <c r="AH39" s="301">
        <f t="shared" ca="1" si="149"/>
        <v>0</v>
      </c>
      <c r="AI39" s="301">
        <f t="shared" ca="1" si="149"/>
        <v>0</v>
      </c>
      <c r="AJ39" s="301">
        <f t="shared" ca="1" si="149"/>
        <v>0</v>
      </c>
      <c r="AK39" s="301">
        <f t="shared" ca="1" si="149"/>
        <v>0</v>
      </c>
      <c r="AL39" s="301">
        <f t="shared" ca="1" si="149"/>
        <v>0</v>
      </c>
      <c r="AM39" s="301">
        <f t="shared" ca="1" si="149"/>
        <v>0</v>
      </c>
      <c r="AN39" s="301">
        <f t="shared" ca="1" si="149"/>
        <v>0</v>
      </c>
      <c r="AO39" s="301">
        <f t="shared" ca="1" si="149"/>
        <v>0</v>
      </c>
      <c r="AP39" s="301">
        <f t="shared" ca="1" si="149"/>
        <v>0</v>
      </c>
      <c r="AQ39" s="301">
        <f t="shared" ca="1" si="149"/>
        <v>0</v>
      </c>
      <c r="AR39" s="301">
        <f t="shared" ca="1" si="149"/>
        <v>0</v>
      </c>
      <c r="AS39" s="301">
        <f t="shared" ca="1" si="149"/>
        <v>0</v>
      </c>
      <c r="AT39" s="301">
        <f t="shared" ca="1" si="149"/>
        <v>0</v>
      </c>
      <c r="AU39" s="301">
        <f t="shared" ca="1" si="149"/>
        <v>0</v>
      </c>
      <c r="AV39" s="301">
        <f t="shared" ca="1" si="149"/>
        <v>0</v>
      </c>
      <c r="AW39" s="301">
        <f t="shared" ca="1" si="149"/>
        <v>0</v>
      </c>
      <c r="AX39" s="301">
        <f t="shared" ca="1" si="149"/>
        <v>0</v>
      </c>
      <c r="AY39" s="301">
        <f t="shared" ca="1" si="149"/>
        <v>0</v>
      </c>
      <c r="AZ39" s="301">
        <f t="shared" ca="1" si="149"/>
        <v>0</v>
      </c>
      <c r="BA39" s="301">
        <f t="shared" ca="1" si="149"/>
        <v>0</v>
      </c>
      <c r="BB39" s="301">
        <f t="shared" ca="1" si="149"/>
        <v>0</v>
      </c>
      <c r="BC39" s="301">
        <f t="shared" ca="1" si="149"/>
        <v>0</v>
      </c>
      <c r="BD39" s="301">
        <f t="shared" ca="1" si="149"/>
        <v>0</v>
      </c>
      <c r="BE39" s="301">
        <f t="shared" ca="1" si="149"/>
        <v>0</v>
      </c>
      <c r="BF39" s="301">
        <f t="shared" ca="1" si="149"/>
        <v>0</v>
      </c>
      <c r="BG39" s="301">
        <f t="shared" ca="1" si="149"/>
        <v>0</v>
      </c>
      <c r="BH39" s="301">
        <f t="shared" ca="1" si="149"/>
        <v>0</v>
      </c>
      <c r="BI39" s="301">
        <f t="shared" ca="1" si="149"/>
        <v>0</v>
      </c>
      <c r="BJ39" s="301">
        <f t="shared" ca="1" si="149"/>
        <v>0</v>
      </c>
      <c r="BK39" s="301">
        <f t="shared" ca="1" si="149"/>
        <v>0</v>
      </c>
      <c r="BL39" s="301">
        <f t="shared" ca="1" si="149"/>
        <v>0</v>
      </c>
      <c r="BM39" s="301">
        <f t="shared" ca="1" si="149"/>
        <v>0</v>
      </c>
      <c r="BN39" s="301">
        <f t="shared" ca="1" si="149"/>
        <v>0</v>
      </c>
      <c r="BO39" s="301">
        <f t="shared" ca="1" si="149"/>
        <v>0</v>
      </c>
      <c r="BP39" s="301">
        <f t="shared" ca="1" si="149"/>
        <v>0</v>
      </c>
      <c r="BQ39" s="301">
        <f t="shared" ca="1" si="149"/>
        <v>0</v>
      </c>
      <c r="BR39" s="301">
        <f t="shared" ca="1" si="149"/>
        <v>0</v>
      </c>
      <c r="BS39" s="301">
        <f t="shared" ca="1" si="149"/>
        <v>0</v>
      </c>
      <c r="BT39" s="301">
        <f t="shared" ca="1" si="149"/>
        <v>0</v>
      </c>
      <c r="BU39" s="301">
        <f t="shared" ref="BU39:CZ39" ca="1" si="150">BU27 +BU35</f>
        <v>0</v>
      </c>
      <c r="BV39" s="301">
        <f t="shared" ca="1" si="150"/>
        <v>0</v>
      </c>
      <c r="BW39" s="301">
        <f t="shared" ca="1" si="150"/>
        <v>0</v>
      </c>
      <c r="BX39" s="301">
        <f t="shared" ca="1" si="150"/>
        <v>0</v>
      </c>
      <c r="BY39" s="301">
        <f t="shared" ca="1" si="150"/>
        <v>0</v>
      </c>
      <c r="BZ39" s="301">
        <f t="shared" ca="1" si="150"/>
        <v>0</v>
      </c>
      <c r="CA39" s="301">
        <f t="shared" ca="1" si="150"/>
        <v>0</v>
      </c>
      <c r="CB39" s="301">
        <f t="shared" ca="1" si="150"/>
        <v>0</v>
      </c>
      <c r="CC39" s="301">
        <f t="shared" ca="1" si="150"/>
        <v>0</v>
      </c>
      <c r="CD39" s="301">
        <f t="shared" ca="1" si="150"/>
        <v>0</v>
      </c>
      <c r="CE39" s="301">
        <f t="shared" ca="1" si="150"/>
        <v>0</v>
      </c>
      <c r="CF39" s="301">
        <f t="shared" ca="1" si="150"/>
        <v>0</v>
      </c>
      <c r="CG39" s="301">
        <f t="shared" ca="1" si="150"/>
        <v>0</v>
      </c>
      <c r="CH39" s="301">
        <f t="shared" ca="1" si="150"/>
        <v>0</v>
      </c>
      <c r="CI39" s="301">
        <f t="shared" ca="1" si="150"/>
        <v>0</v>
      </c>
      <c r="CJ39" s="301">
        <f t="shared" ca="1" si="150"/>
        <v>0</v>
      </c>
      <c r="CK39" s="301">
        <f t="shared" ca="1" si="150"/>
        <v>0</v>
      </c>
      <c r="CL39" s="301">
        <f t="shared" ca="1" si="150"/>
        <v>0</v>
      </c>
      <c r="CM39" s="301">
        <f t="shared" ca="1" si="150"/>
        <v>0</v>
      </c>
      <c r="CN39" s="301">
        <f t="shared" ca="1" si="150"/>
        <v>0</v>
      </c>
      <c r="CO39" s="301">
        <f t="shared" ca="1" si="150"/>
        <v>0</v>
      </c>
      <c r="CP39" s="301">
        <f t="shared" ca="1" si="150"/>
        <v>0</v>
      </c>
      <c r="CQ39" s="301">
        <f t="shared" ca="1" si="150"/>
        <v>0</v>
      </c>
      <c r="CR39" s="301">
        <f t="shared" ca="1" si="150"/>
        <v>0</v>
      </c>
      <c r="CS39" s="301">
        <f t="shared" ca="1" si="150"/>
        <v>0</v>
      </c>
      <c r="CT39" s="301">
        <f t="shared" ca="1" si="150"/>
        <v>0</v>
      </c>
      <c r="CU39" s="301">
        <f t="shared" ca="1" si="150"/>
        <v>0</v>
      </c>
      <c r="CV39" s="301">
        <f t="shared" ca="1" si="150"/>
        <v>0</v>
      </c>
      <c r="CW39" s="301">
        <f t="shared" ca="1" si="150"/>
        <v>0</v>
      </c>
      <c r="CX39" s="301">
        <f t="shared" ca="1" si="150"/>
        <v>0</v>
      </c>
      <c r="CY39" s="301">
        <f t="shared" ca="1" si="150"/>
        <v>0</v>
      </c>
      <c r="CZ39" s="301">
        <f t="shared" ca="1" si="150"/>
        <v>0</v>
      </c>
      <c r="DA39" s="301">
        <f t="shared" ref="DA39:EE39" ca="1" si="151">DA27 +DA35</f>
        <v>0</v>
      </c>
      <c r="DB39" s="301">
        <f t="shared" ca="1" si="151"/>
        <v>0</v>
      </c>
      <c r="DC39" s="301">
        <f t="shared" ca="1" si="151"/>
        <v>0</v>
      </c>
      <c r="DD39" s="301">
        <f t="shared" ca="1" si="151"/>
        <v>0</v>
      </c>
      <c r="DE39" s="301">
        <f t="shared" ca="1" si="151"/>
        <v>0</v>
      </c>
      <c r="DF39" s="301">
        <f t="shared" ca="1" si="151"/>
        <v>0</v>
      </c>
      <c r="DG39" s="301">
        <f t="shared" ca="1" si="151"/>
        <v>0</v>
      </c>
      <c r="DH39" s="301">
        <f t="shared" ca="1" si="151"/>
        <v>0</v>
      </c>
      <c r="DI39" s="301">
        <f t="shared" ca="1" si="151"/>
        <v>0</v>
      </c>
      <c r="DJ39" s="301">
        <f t="shared" ca="1" si="151"/>
        <v>0</v>
      </c>
      <c r="DK39" s="301">
        <f t="shared" ca="1" si="151"/>
        <v>0</v>
      </c>
      <c r="DL39" s="301">
        <f t="shared" ca="1" si="151"/>
        <v>0</v>
      </c>
      <c r="DM39" s="301">
        <f t="shared" ca="1" si="151"/>
        <v>0</v>
      </c>
      <c r="DN39" s="301">
        <f t="shared" ca="1" si="151"/>
        <v>0</v>
      </c>
      <c r="DO39" s="301">
        <f t="shared" ca="1" si="151"/>
        <v>0</v>
      </c>
      <c r="DP39" s="301">
        <f t="shared" ca="1" si="151"/>
        <v>0</v>
      </c>
      <c r="DQ39" s="301">
        <f t="shared" ca="1" si="151"/>
        <v>0</v>
      </c>
      <c r="DR39" s="301">
        <f t="shared" ca="1" si="151"/>
        <v>0</v>
      </c>
      <c r="DS39" s="301">
        <f t="shared" ca="1" si="151"/>
        <v>0</v>
      </c>
      <c r="DT39" s="301">
        <f t="shared" ca="1" si="151"/>
        <v>0</v>
      </c>
      <c r="DU39" s="301">
        <f t="shared" ca="1" si="151"/>
        <v>0</v>
      </c>
      <c r="DV39" s="301">
        <f t="shared" ca="1" si="151"/>
        <v>0</v>
      </c>
      <c r="DW39" s="301">
        <f t="shared" ca="1" si="151"/>
        <v>0</v>
      </c>
      <c r="DX39" s="301">
        <f t="shared" ca="1" si="151"/>
        <v>0</v>
      </c>
      <c r="DY39" s="301">
        <f t="shared" ca="1" si="151"/>
        <v>0</v>
      </c>
      <c r="DZ39" s="301">
        <f t="shared" ca="1" si="151"/>
        <v>0</v>
      </c>
      <c r="EA39" s="301">
        <f t="shared" ca="1" si="151"/>
        <v>0</v>
      </c>
      <c r="EB39" s="301">
        <f t="shared" ca="1" si="151"/>
        <v>0</v>
      </c>
      <c r="EC39" s="301">
        <f t="shared" ca="1" si="151"/>
        <v>0</v>
      </c>
      <c r="ED39" s="301">
        <f t="shared" ca="1" si="151"/>
        <v>0</v>
      </c>
      <c r="EE39" s="301">
        <f t="shared" ca="1" si="151"/>
        <v>0</v>
      </c>
    </row>
    <row r="40" spans="2:135">
      <c r="G40" s="301"/>
      <c r="H40" s="301"/>
      <c r="I40" s="301"/>
      <c r="J40" s="301"/>
      <c r="K40" s="301"/>
      <c r="L40" s="301"/>
      <c r="M40" s="301"/>
      <c r="N40" s="301"/>
      <c r="O40" s="301"/>
      <c r="P40" s="301"/>
      <c r="Q40" s="301"/>
      <c r="R40" s="301"/>
      <c r="S40" s="301"/>
      <c r="T40" s="301"/>
      <c r="U40" s="301"/>
      <c r="V40" s="301"/>
      <c r="W40" s="301"/>
      <c r="X40" s="301"/>
      <c r="Y40" s="301"/>
      <c r="Z40" s="301"/>
      <c r="AA40" s="301"/>
      <c r="AB40" s="301"/>
      <c r="AC40" s="301"/>
      <c r="AD40" s="301"/>
      <c r="AE40" s="301"/>
      <c r="AF40" s="301"/>
      <c r="AG40" s="301"/>
      <c r="AH40" s="301"/>
      <c r="AI40" s="301"/>
      <c r="AJ40" s="301"/>
      <c r="AK40" s="301"/>
      <c r="AL40" s="301"/>
      <c r="AM40" s="301"/>
      <c r="AN40" s="301"/>
      <c r="AO40" s="301"/>
      <c r="AP40" s="301"/>
      <c r="AQ40" s="301"/>
      <c r="AR40" s="301"/>
      <c r="AS40" s="301"/>
      <c r="AT40" s="301"/>
      <c r="AU40" s="301"/>
      <c r="AV40" s="301"/>
      <c r="AW40" s="301"/>
      <c r="AX40" s="301"/>
      <c r="AY40" s="301"/>
      <c r="AZ40" s="301"/>
      <c r="BA40" s="301"/>
      <c r="BB40" s="301"/>
      <c r="BC40" s="301"/>
      <c r="BD40" s="301"/>
      <c r="BE40" s="301"/>
      <c r="BF40" s="301"/>
      <c r="BG40" s="301"/>
      <c r="BH40" s="301"/>
      <c r="BI40" s="301"/>
      <c r="BJ40" s="301"/>
      <c r="BK40" s="301"/>
      <c r="BL40" s="301"/>
      <c r="BM40" s="301"/>
      <c r="BN40" s="301"/>
      <c r="BO40" s="301"/>
      <c r="BP40" s="301"/>
      <c r="BQ40" s="301"/>
      <c r="BR40" s="301"/>
      <c r="BS40" s="301"/>
      <c r="BT40" s="301"/>
      <c r="BU40" s="301"/>
      <c r="BV40" s="301"/>
      <c r="BW40" s="301"/>
      <c r="BX40" s="301"/>
      <c r="BY40" s="301"/>
      <c r="BZ40" s="301"/>
      <c r="CA40" s="301"/>
      <c r="CB40" s="301"/>
      <c r="CC40" s="301"/>
      <c r="CD40" s="301"/>
      <c r="CE40" s="301"/>
      <c r="CF40" s="301"/>
      <c r="CG40" s="301"/>
      <c r="CH40" s="301"/>
      <c r="CI40" s="301"/>
      <c r="CJ40" s="301"/>
      <c r="CK40" s="301"/>
      <c r="CL40" s="301"/>
      <c r="CM40" s="301"/>
      <c r="CN40" s="301"/>
      <c r="CO40" s="301"/>
      <c r="CP40" s="301"/>
      <c r="CQ40" s="301"/>
      <c r="CR40" s="301"/>
      <c r="CS40" s="301"/>
      <c r="CT40" s="301"/>
      <c r="CU40" s="301"/>
      <c r="CV40" s="301"/>
      <c r="CW40" s="301"/>
      <c r="CX40" s="301"/>
      <c r="CY40" s="301"/>
      <c r="CZ40" s="301"/>
      <c r="DA40" s="301"/>
      <c r="DB40" s="301"/>
      <c r="DC40" s="301"/>
      <c r="DD40" s="301"/>
      <c r="DE40" s="301"/>
      <c r="DF40" s="301"/>
      <c r="DG40" s="301"/>
      <c r="DH40" s="301"/>
      <c r="DI40" s="301"/>
      <c r="DJ40" s="301"/>
      <c r="DK40" s="301"/>
      <c r="DL40" s="301"/>
      <c r="DM40" s="301"/>
      <c r="DN40" s="301"/>
      <c r="DO40" s="301"/>
      <c r="DP40" s="301"/>
      <c r="DQ40" s="301"/>
      <c r="DR40" s="301"/>
      <c r="DS40" s="301"/>
      <c r="DT40" s="301"/>
      <c r="DU40" s="301"/>
      <c r="DV40" s="301"/>
      <c r="DW40" s="301"/>
      <c r="DX40" s="301"/>
      <c r="DY40" s="301"/>
      <c r="DZ40" s="301"/>
      <c r="EA40" s="301"/>
      <c r="EB40" s="301"/>
      <c r="EC40" s="301"/>
      <c r="ED40" s="301"/>
      <c r="EE40" s="301"/>
    </row>
    <row r="41" spans="2:135">
      <c r="B41" s="265" t="s">
        <v>161</v>
      </c>
      <c r="G41" s="301"/>
      <c r="H41" s="301"/>
      <c r="I41" s="301"/>
      <c r="J41" s="301"/>
      <c r="K41" s="301"/>
      <c r="L41" s="301"/>
      <c r="M41" s="301"/>
      <c r="N41" s="301"/>
      <c r="O41" s="301"/>
      <c r="P41" s="301"/>
      <c r="Q41" s="301"/>
      <c r="R41" s="301"/>
      <c r="S41" s="301"/>
      <c r="T41" s="301"/>
      <c r="U41" s="301"/>
      <c r="V41" s="301"/>
      <c r="W41" s="301"/>
      <c r="X41" s="301"/>
      <c r="Y41" s="301"/>
      <c r="Z41" s="301"/>
      <c r="AA41" s="301"/>
      <c r="AB41" s="301"/>
      <c r="AC41" s="301"/>
      <c r="AD41" s="301"/>
      <c r="AE41" s="301"/>
      <c r="AF41" s="301"/>
      <c r="AG41" s="301"/>
      <c r="AH41" s="301"/>
      <c r="AI41" s="301"/>
      <c r="AJ41" s="301"/>
      <c r="AK41" s="301"/>
      <c r="AL41" s="301"/>
      <c r="AM41" s="301"/>
      <c r="AN41" s="301"/>
      <c r="AO41" s="301"/>
      <c r="AP41" s="301"/>
      <c r="AQ41" s="301"/>
      <c r="AR41" s="301"/>
      <c r="AS41" s="301"/>
      <c r="AT41" s="301"/>
      <c r="AU41" s="301"/>
      <c r="AV41" s="301"/>
      <c r="AW41" s="301"/>
      <c r="AX41" s="301"/>
      <c r="AY41" s="301"/>
      <c r="AZ41" s="301"/>
      <c r="BA41" s="301"/>
      <c r="BB41" s="301"/>
      <c r="BC41" s="301"/>
      <c r="BD41" s="301"/>
      <c r="BE41" s="301"/>
      <c r="BF41" s="301"/>
      <c r="BG41" s="301"/>
      <c r="BH41" s="301"/>
      <c r="BI41" s="301"/>
      <c r="BJ41" s="301"/>
      <c r="BK41" s="301"/>
      <c r="BL41" s="301"/>
      <c r="BM41" s="301"/>
      <c r="BN41" s="301"/>
      <c r="BO41" s="301"/>
      <c r="BP41" s="301"/>
      <c r="BQ41" s="301"/>
      <c r="BR41" s="301"/>
      <c r="BS41" s="301"/>
      <c r="BT41" s="301"/>
      <c r="BU41" s="301"/>
      <c r="BV41" s="301"/>
      <c r="BW41" s="301"/>
      <c r="BX41" s="301"/>
      <c r="BY41" s="301"/>
      <c r="BZ41" s="301"/>
      <c r="CA41" s="301"/>
      <c r="CB41" s="301"/>
      <c r="CC41" s="301"/>
      <c r="CD41" s="301"/>
      <c r="CE41" s="301"/>
      <c r="CF41" s="301"/>
      <c r="CG41" s="301"/>
      <c r="CH41" s="301"/>
      <c r="CI41" s="301"/>
      <c r="CJ41" s="301"/>
      <c r="CK41" s="301"/>
      <c r="CL41" s="301"/>
      <c r="CM41" s="301"/>
      <c r="CN41" s="301"/>
      <c r="CO41" s="301"/>
      <c r="CP41" s="301"/>
      <c r="CQ41" s="301"/>
      <c r="CR41" s="301"/>
      <c r="CS41" s="301"/>
      <c r="CT41" s="301"/>
      <c r="CU41" s="301"/>
      <c r="CV41" s="301"/>
      <c r="CW41" s="301"/>
      <c r="CX41" s="301"/>
      <c r="CY41" s="301"/>
      <c r="CZ41" s="301"/>
      <c r="DA41" s="301"/>
      <c r="DB41" s="301"/>
      <c r="DC41" s="301"/>
      <c r="DD41" s="301"/>
      <c r="DE41" s="301"/>
      <c r="DF41" s="301"/>
      <c r="DG41" s="301"/>
      <c r="DH41" s="301"/>
      <c r="DI41" s="301"/>
      <c r="DJ41" s="301"/>
      <c r="DK41" s="301"/>
      <c r="DL41" s="301"/>
      <c r="DM41" s="301"/>
      <c r="DN41" s="301"/>
      <c r="DO41" s="301"/>
      <c r="DP41" s="301"/>
      <c r="DQ41" s="301"/>
      <c r="DR41" s="301"/>
      <c r="DS41" s="301"/>
      <c r="DT41" s="301"/>
      <c r="DU41" s="301"/>
      <c r="DV41" s="301"/>
      <c r="DW41" s="301"/>
      <c r="DX41" s="301"/>
      <c r="DY41" s="301"/>
      <c r="DZ41" s="301"/>
      <c r="EA41" s="301"/>
      <c r="EB41" s="301"/>
      <c r="EC41" s="301"/>
      <c r="ED41" s="301"/>
      <c r="EE41" s="301"/>
    </row>
    <row r="42" spans="2:135">
      <c r="C42" s="265" t="str">
        <f>C33</f>
        <v>Beginning Capital Balance</v>
      </c>
      <c r="G42" s="301"/>
      <c r="H42" s="301"/>
      <c r="I42" s="312">
        <v>0</v>
      </c>
      <c r="J42" s="301">
        <f t="shared" ref="J42:BU42" si="152">I47</f>
        <v>13708</v>
      </c>
      <c r="K42" s="301">
        <f t="shared" ca="1" si="152"/>
        <v>13805.439792219633</v>
      </c>
      <c r="L42" s="301">
        <f t="shared" ca="1" si="152"/>
        <v>13906.855276662289</v>
      </c>
      <c r="M42" s="301">
        <f t="shared" ca="1" si="152"/>
        <v>14005.708580469298</v>
      </c>
      <c r="N42" s="301">
        <f t="shared" ca="1" si="152"/>
        <v>14108.59524992922</v>
      </c>
      <c r="O42" s="301">
        <f t="shared" ca="1" si="152"/>
        <v>14359.707570447459</v>
      </c>
      <c r="P42" s="301">
        <f t="shared" ca="1" si="152"/>
        <v>14465.194735045616</v>
      </c>
      <c r="Q42" s="301">
        <f t="shared" ca="1" si="152"/>
        <v>14571.456813884914</v>
      </c>
      <c r="R42" s="301">
        <f t="shared" ca="1" si="152"/>
        <v>14668.10625526281</v>
      </c>
      <c r="S42" s="301">
        <f t="shared" ca="1" si="152"/>
        <v>14775.858932766949</v>
      </c>
      <c r="T42" s="301">
        <f t="shared" ca="1" si="152"/>
        <v>14880.889325550392</v>
      </c>
      <c r="U42" s="301">
        <f t="shared" ca="1" si="152"/>
        <v>14990.205118643689</v>
      </c>
      <c r="V42" s="301">
        <f t="shared" ca="1" si="152"/>
        <v>15096.759136158304</v>
      </c>
      <c r="W42" s="301">
        <f t="shared" ca="1" si="152"/>
        <v>15286.835720196968</v>
      </c>
      <c r="X42" s="301">
        <f t="shared" ca="1" si="152"/>
        <v>15399.133616786456</v>
      </c>
      <c r="Y42" s="301">
        <f t="shared" ca="1" si="152"/>
        <v>15508.594397351239</v>
      </c>
      <c r="Z42" s="301">
        <f t="shared" ca="1" si="152"/>
        <v>15622.52134480846</v>
      </c>
      <c r="AA42" s="301">
        <f t="shared" ca="1" si="152"/>
        <v>15733.570019581215</v>
      </c>
      <c r="AB42" s="301">
        <f t="shared" ca="1" si="152"/>
        <v>15849.149649753341</v>
      </c>
      <c r="AC42" s="301">
        <f t="shared" ca="1" si="152"/>
        <v>15965.578333947795</v>
      </c>
      <c r="AD42" s="301">
        <f t="shared" ca="1" si="152"/>
        <v>16071.474693313918</v>
      </c>
      <c r="AE42" s="301">
        <f t="shared" ca="1" si="152"/>
        <v>16189.536588933417</v>
      </c>
      <c r="AF42" s="301">
        <f t="shared" ca="1" si="152"/>
        <v>16614.61574572929</v>
      </c>
      <c r="AG42" s="301">
        <f t="shared" ca="1" si="152"/>
        <v>16736.66758399317</v>
      </c>
      <c r="AH42" s="301">
        <f t="shared" ca="1" si="152"/>
        <v>16855.635880742029</v>
      </c>
      <c r="AI42" s="301">
        <f t="shared" ca="1" si="152"/>
        <v>16979.458265552825</v>
      </c>
      <c r="AJ42" s="301">
        <f t="shared" ca="1" si="152"/>
        <v>17104.19025609364</v>
      </c>
      <c r="AK42" s="301">
        <f t="shared" ca="1" si="152"/>
        <v>17225.770993228074</v>
      </c>
      <c r="AL42" s="301">
        <f t="shared" ca="1" si="152"/>
        <v>17352.312409978957</v>
      </c>
      <c r="AM42" s="301">
        <f t="shared" ca="1" si="152"/>
        <v>17475.656859625771</v>
      </c>
      <c r="AN42" s="301">
        <f t="shared" ca="1" si="152"/>
        <v>17604.033951051093</v>
      </c>
      <c r="AO42" s="301">
        <f t="shared" ca="1" si="152"/>
        <v>17733.354107319999</v>
      </c>
      <c r="AP42" s="301">
        <f t="shared" ca="1" si="152"/>
        <v>17850.975755595809</v>
      </c>
      <c r="AQ42" s="301">
        <f t="shared" ca="1" si="152"/>
        <v>17982.109959306446</v>
      </c>
      <c r="AR42" s="301">
        <f t="shared" ca="1" si="152"/>
        <v>18109.931162844921</v>
      </c>
      <c r="AS42" s="301">
        <f t="shared" ca="1" si="152"/>
        <v>18242.967666552551</v>
      </c>
      <c r="AT42" s="301">
        <f t="shared" ca="1" si="152"/>
        <v>18372.643110008808</v>
      </c>
      <c r="AU42" s="301">
        <f t="shared" ca="1" si="152"/>
        <v>18507.609509452574</v>
      </c>
      <c r="AV42" s="301">
        <f t="shared" ca="1" si="152"/>
        <v>18643.56737914206</v>
      </c>
      <c r="AW42" s="301">
        <f t="shared" ca="1" si="152"/>
        <v>18776.090382618593</v>
      </c>
      <c r="AX42" s="301">
        <f t="shared" ca="1" si="152"/>
        <v>18914.020526877055</v>
      </c>
      <c r="AY42" s="301">
        <f t="shared" ca="1" si="152"/>
        <v>19048.46597699208</v>
      </c>
      <c r="AZ42" s="301">
        <f t="shared" ca="1" si="152"/>
        <v>19329.477006645684</v>
      </c>
      <c r="BA42" s="301">
        <f t="shared" ca="1" si="152"/>
        <v>19471.472358054692</v>
      </c>
      <c r="BB42" s="301">
        <f t="shared" ca="1" si="152"/>
        <v>19853.450900652322</v>
      </c>
      <c r="BC42" s="301">
        <f t="shared" ca="1" si="152"/>
        <v>20319.295391755233</v>
      </c>
      <c r="BD42" s="301">
        <f t="shared" ca="1" si="152"/>
        <v>20463.729876802066</v>
      </c>
      <c r="BE42" s="301">
        <f t="shared" ca="1" si="152"/>
        <v>20614.057509256712</v>
      </c>
      <c r="BF42" s="301">
        <f t="shared" ca="1" si="152"/>
        <v>21377.587235001207</v>
      </c>
      <c r="BG42" s="301">
        <f t="shared" ca="1" si="152"/>
        <v>21534.628111516755</v>
      </c>
      <c r="BH42" s="301">
        <f t="shared" ca="1" si="152"/>
        <v>21692.822618543814</v>
      </c>
      <c r="BI42" s="301">
        <f t="shared" ca="1" si="152"/>
        <v>21847.020468602779</v>
      </c>
      <c r="BJ42" s="301">
        <f t="shared" ca="1" si="152"/>
        <v>22007.509826261681</v>
      </c>
      <c r="BK42" s="301">
        <f t="shared" ca="1" si="152"/>
        <v>22163.944549397256</v>
      </c>
      <c r="BL42" s="301">
        <f t="shared" ca="1" si="152"/>
        <v>22326.762047967935</v>
      </c>
      <c r="BM42" s="301">
        <f t="shared" ca="1" si="152"/>
        <v>22710.227612418574</v>
      </c>
      <c r="BN42" s="301">
        <f t="shared" ca="1" si="152"/>
        <v>22860.859827188866</v>
      </c>
      <c r="BO42" s="301">
        <f t="shared" ca="1" si="152"/>
        <v>23028.796901924914</v>
      </c>
      <c r="BP42" s="301">
        <f t="shared" ca="1" si="152"/>
        <v>23192.491181556641</v>
      </c>
      <c r="BQ42" s="301">
        <f t="shared" ca="1" si="152"/>
        <v>23451.364437607142</v>
      </c>
      <c r="BR42" s="301">
        <f t="shared" ca="1" si="152"/>
        <v>23618.062429879345</v>
      </c>
      <c r="BS42" s="301">
        <f t="shared" ca="1" si="152"/>
        <v>23791.561954629942</v>
      </c>
      <c r="BT42" s="301">
        <f t="shared" ca="1" si="152"/>
        <v>23966.336015984805</v>
      </c>
      <c r="BU42" s="301">
        <f t="shared" ca="1" si="152"/>
        <v>24136.694551268105</v>
      </c>
      <c r="BV42" s="301">
        <f t="shared" ref="BV42:CZ42" ca="1" si="153">BU47</f>
        <v>24314.00397477092</v>
      </c>
      <c r="BW42" s="301">
        <f t="shared" ca="1" si="153"/>
        <v>24486.833818316951</v>
      </c>
      <c r="BX42" s="301">
        <f t="shared" ca="1" si="153"/>
        <v>24666.715383231021</v>
      </c>
      <c r="BY42" s="301">
        <f t="shared" ca="1" si="153"/>
        <v>24847.918367550963</v>
      </c>
      <c r="BZ42" s="301">
        <f t="shared" ca="1" si="153"/>
        <v>25012.729440342187</v>
      </c>
      <c r="CA42" s="301">
        <f t="shared" ca="1" si="153"/>
        <v>25196.474262064927</v>
      </c>
      <c r="CB42" s="301">
        <f t="shared" ca="1" si="153"/>
        <v>25375.576918671504</v>
      </c>
      <c r="CC42" s="301">
        <f t="shared" ca="1" si="153"/>
        <v>25561.987236991772</v>
      </c>
      <c r="CD42" s="301">
        <f t="shared" ca="1" si="153"/>
        <v>25743.688048568471</v>
      </c>
      <c r="CE42" s="301">
        <f t="shared" ca="1" si="153"/>
        <v>25932.802530546622</v>
      </c>
      <c r="CF42" s="301">
        <f t="shared" ca="1" si="153"/>
        <v>26123.306257423421</v>
      </c>
      <c r="CG42" s="301">
        <f t="shared" ca="1" si="153"/>
        <v>26308.997060882219</v>
      </c>
      <c r="CH42" s="301">
        <f t="shared" ca="1" si="153"/>
        <v>26502.264332500286</v>
      </c>
      <c r="CI42" s="301">
        <f t="shared" ca="1" si="153"/>
        <v>26690.648861965463</v>
      </c>
      <c r="CJ42" s="301">
        <f t="shared" ca="1" si="153"/>
        <v>26886.719767721799</v>
      </c>
      <c r="CK42" s="301">
        <f t="shared" ca="1" si="153"/>
        <v>27084.231020630537</v>
      </c>
      <c r="CL42" s="301">
        <f t="shared" ca="1" si="153"/>
        <v>27263.875089972971</v>
      </c>
      <c r="CM42" s="301">
        <f t="shared" ca="1" si="153"/>
        <v>27464.156945650757</v>
      </c>
      <c r="CN42" s="301">
        <f t="shared" ca="1" si="153"/>
        <v>27659.378841351925</v>
      </c>
      <c r="CO42" s="301">
        <f t="shared" ca="1" si="153"/>
        <v>27862.566088321018</v>
      </c>
      <c r="CP42" s="301">
        <f t="shared" ca="1" si="153"/>
        <v>28060.619972939621</v>
      </c>
      <c r="CQ42" s="301">
        <f t="shared" ca="1" si="153"/>
        <v>28266.754758295807</v>
      </c>
      <c r="CR42" s="301">
        <f t="shared" ca="1" si="153"/>
        <v>28474.40382059152</v>
      </c>
      <c r="CS42" s="301">
        <f t="shared" ca="1" si="153"/>
        <v>28676.806796361609</v>
      </c>
      <c r="CT42" s="301">
        <f t="shared" ca="1" si="153"/>
        <v>28887.468122425304</v>
      </c>
      <c r="CU42" s="301">
        <f t="shared" ca="1" si="153"/>
        <v>29092.807259542344</v>
      </c>
      <c r="CV42" s="301">
        <f t="shared" ca="1" si="153"/>
        <v>29306.524546816749</v>
      </c>
      <c r="CW42" s="301">
        <f t="shared" ca="1" si="153"/>
        <v>29521.811812487274</v>
      </c>
      <c r="CX42" s="301">
        <f t="shared" ca="1" si="153"/>
        <v>29724.641104822851</v>
      </c>
      <c r="CY42" s="301">
        <f t="shared" ca="1" si="153"/>
        <v>29942.999876647609</v>
      </c>
      <c r="CZ42" s="301">
        <f t="shared" ca="1" si="153"/>
        <v>30155.841989750399</v>
      </c>
      <c r="DA42" s="301">
        <f t="shared" ref="DA42" ca="1" si="154">CZ47</f>
        <v>30377.36838588088</v>
      </c>
      <c r="DB42" s="301">
        <f t="shared" ref="DB42" ca="1" si="155">DA47</f>
        <v>30593.29809580935</v>
      </c>
      <c r="DC42" s="301">
        <f t="shared" ref="DC42" ca="1" si="156">DB47</f>
        <v>30818.038067427904</v>
      </c>
      <c r="DD42" s="301">
        <f t="shared" ref="DD42" ca="1" si="157">DC47</f>
        <v>31044.428990659617</v>
      </c>
      <c r="DE42" s="301">
        <f t="shared" ref="DE42" ca="1" si="158">DD47</f>
        <v>31265.100329325142</v>
      </c>
      <c r="DF42" s="301">
        <f t="shared" ref="DF42" ca="1" si="159">DE47</f>
        <v>31494.775395369306</v>
      </c>
      <c r="DG42" s="301">
        <f t="shared" ref="DG42" ca="1" si="160">DF47</f>
        <v>31718.647905620895</v>
      </c>
      <c r="DH42" s="301">
        <f t="shared" ref="DH42" ca="1" si="161">DG47</f>
        <v>31951.654755937063</v>
      </c>
      <c r="DI42" s="301">
        <f t="shared" ref="DI42" ca="1" si="162">DH47</f>
        <v>32186.37328679068</v>
      </c>
      <c r="DJ42" s="301">
        <f t="shared" ref="DJ42" ca="1" si="163">DI47</f>
        <v>32186.37328679068</v>
      </c>
      <c r="DK42" s="301">
        <f t="shared" ref="DK42" ca="1" si="164">DJ47</f>
        <v>32186.37328679068</v>
      </c>
      <c r="DL42" s="301">
        <f t="shared" ref="DL42" ca="1" si="165">DK47</f>
        <v>32186.37328679068</v>
      </c>
      <c r="DM42" s="301">
        <f t="shared" ref="DM42" ca="1" si="166">DL47</f>
        <v>32186.37328679068</v>
      </c>
      <c r="DN42" s="301">
        <f t="shared" ref="DN42" ca="1" si="167">DM47</f>
        <v>32186.37328679068</v>
      </c>
      <c r="DO42" s="301">
        <f t="shared" ref="DO42" ca="1" si="168">DN47</f>
        <v>32186.37328679068</v>
      </c>
      <c r="DP42" s="301">
        <f t="shared" ref="DP42" ca="1" si="169">DO47</f>
        <v>32186.37328679068</v>
      </c>
      <c r="DQ42" s="301">
        <f t="shared" ref="DQ42" ca="1" si="170">DP47</f>
        <v>32186.37328679068</v>
      </c>
      <c r="DR42" s="301">
        <f t="shared" ref="DR42" ca="1" si="171">DQ47</f>
        <v>32186.37328679068</v>
      </c>
      <c r="DS42" s="301">
        <f t="shared" ref="DS42" ca="1" si="172">DR47</f>
        <v>32186.37328679068</v>
      </c>
      <c r="DT42" s="301">
        <f t="shared" ref="DT42" ca="1" si="173">DS47</f>
        <v>32186.37328679068</v>
      </c>
      <c r="DU42" s="301">
        <f t="shared" ref="DU42" ca="1" si="174">DT47</f>
        <v>32186.37328679068</v>
      </c>
      <c r="DV42" s="301">
        <f t="shared" ref="DV42" ca="1" si="175">DU47</f>
        <v>32186.37328679068</v>
      </c>
      <c r="DW42" s="301">
        <f t="shared" ref="DW42" ca="1" si="176">DV47</f>
        <v>32186.37328679068</v>
      </c>
      <c r="DX42" s="301">
        <f t="shared" ref="DX42" ca="1" si="177">DW47</f>
        <v>32186.37328679068</v>
      </c>
      <c r="DY42" s="301">
        <f t="shared" ref="DY42" ca="1" si="178">DX47</f>
        <v>32186.37328679068</v>
      </c>
      <c r="DZ42" s="301">
        <f t="shared" ref="DZ42" ca="1" si="179">DY47</f>
        <v>32186.37328679068</v>
      </c>
      <c r="EA42" s="301">
        <f t="shared" ref="EA42" ca="1" si="180">DZ47</f>
        <v>32186.37328679068</v>
      </c>
      <c r="EB42" s="301">
        <f t="shared" ref="EB42" ca="1" si="181">EA47</f>
        <v>32186.37328679068</v>
      </c>
      <c r="EC42" s="301">
        <f t="shared" ref="EC42" ca="1" si="182">EB47</f>
        <v>32186.37328679068</v>
      </c>
      <c r="ED42" s="301">
        <f t="shared" ref="ED42" ca="1" si="183">EC47</f>
        <v>32186.37328679068</v>
      </c>
      <c r="EE42" s="301">
        <f t="shared" ref="EE42" ca="1" si="184">ED47</f>
        <v>32186.37328679068</v>
      </c>
    </row>
    <row r="43" spans="2:135">
      <c r="C43" s="265" t="str">
        <f>C34</f>
        <v>Accrued Preference</v>
      </c>
      <c r="E43" s="316"/>
      <c r="F43" s="310">
        <f>E17</f>
        <v>0.09</v>
      </c>
      <c r="G43" s="301">
        <f ca="1">SUMIF($I$8:$EE$8, "&lt;="&amp;$E$8, $I43:$EE43)</f>
        <v>16304.141286790667</v>
      </c>
      <c r="H43" s="301"/>
      <c r="I43" s="301">
        <v>0</v>
      </c>
      <c r="J43" s="301">
        <f t="shared" ref="J43:BU43" si="185">IF(J$8&lt;=$F$8, J42*((1+$F43)^((J$8-I$8)/365) - 1), 0)</f>
        <v>97.439792219633304</v>
      </c>
      <c r="K43" s="301">
        <f t="shared" ca="1" si="185"/>
        <v>101.41548444265632</v>
      </c>
      <c r="L43" s="301">
        <f t="shared" ca="1" si="185"/>
        <v>98.853303807009368</v>
      </c>
      <c r="M43" s="301">
        <f t="shared" ca="1" si="185"/>
        <v>102.88666945992247</v>
      </c>
      <c r="N43" s="301">
        <f t="shared" ca="1" si="185"/>
        <v>100.28732051823815</v>
      </c>
      <c r="O43" s="301">
        <f t="shared" ca="1" si="185"/>
        <v>105.48716459815626</v>
      </c>
      <c r="P43" s="301">
        <f t="shared" ca="1" si="185"/>
        <v>106.26207883929716</v>
      </c>
      <c r="Q43" s="301">
        <f t="shared" ca="1" si="185"/>
        <v>96.649441377896736</v>
      </c>
      <c r="R43" s="301">
        <f t="shared" ca="1" si="185"/>
        <v>107.75267750413795</v>
      </c>
      <c r="S43" s="301">
        <f t="shared" ca="1" si="185"/>
        <v>105.03039278344208</v>
      </c>
      <c r="T43" s="301">
        <f t="shared" ca="1" si="185"/>
        <v>109.31579309329669</v>
      </c>
      <c r="U43" s="301">
        <f t="shared" ca="1" si="185"/>
        <v>106.5540175146137</v>
      </c>
      <c r="V43" s="301">
        <f t="shared" ca="1" si="185"/>
        <v>110.9015840386662</v>
      </c>
      <c r="W43" s="301">
        <f t="shared" ca="1" si="185"/>
        <v>112.29789658948768</v>
      </c>
      <c r="X43" s="301">
        <f t="shared" ca="1" si="185"/>
        <v>109.46078056478278</v>
      </c>
      <c r="Y43" s="301">
        <f t="shared" ca="1" si="185"/>
        <v>113.92694745722153</v>
      </c>
      <c r="Z43" s="301">
        <f t="shared" ca="1" si="185"/>
        <v>111.04867477275478</v>
      </c>
      <c r="AA43" s="301">
        <f t="shared" ca="1" si="185"/>
        <v>115.57963017212495</v>
      </c>
      <c r="AB43" s="301">
        <f t="shared" ca="1" si="185"/>
        <v>116.42868419445426</v>
      </c>
      <c r="AC43" s="301">
        <f t="shared" ca="1" si="185"/>
        <v>105.89635936612349</v>
      </c>
      <c r="AD43" s="301">
        <f t="shared" ca="1" si="185"/>
        <v>118.06189561949974</v>
      </c>
      <c r="AE43" s="301">
        <f t="shared" ca="1" si="185"/>
        <v>115.07915679587271</v>
      </c>
      <c r="AF43" s="301">
        <f t="shared" ca="1" si="185"/>
        <v>122.05183826387984</v>
      </c>
      <c r="AG43" s="301">
        <f t="shared" ca="1" si="185"/>
        <v>118.96829674885954</v>
      </c>
      <c r="AH43" s="301">
        <f t="shared" ca="1" si="185"/>
        <v>123.8223848107944</v>
      </c>
      <c r="AI43" s="301">
        <f t="shared" ca="1" si="185"/>
        <v>124.73199054081316</v>
      </c>
      <c r="AJ43" s="301">
        <f t="shared" ca="1" si="185"/>
        <v>121.58073713443542</v>
      </c>
      <c r="AK43" s="301">
        <f t="shared" ca="1" si="185"/>
        <v>126.54141675088258</v>
      </c>
      <c r="AL43" s="301">
        <f t="shared" ca="1" si="185"/>
        <v>123.34444964681309</v>
      </c>
      <c r="AM43" s="301">
        <f t="shared" ca="1" si="185"/>
        <v>128.37709142532341</v>
      </c>
      <c r="AN43" s="301">
        <f t="shared" ca="1" si="185"/>
        <v>129.32015626890598</v>
      </c>
      <c r="AO43" s="301">
        <f t="shared" ca="1" si="185"/>
        <v>117.62164827580878</v>
      </c>
      <c r="AP43" s="301">
        <f t="shared" ca="1" si="185"/>
        <v>131.13420371063688</v>
      </c>
      <c r="AQ43" s="301">
        <f t="shared" ca="1" si="185"/>
        <v>127.82120353847525</v>
      </c>
      <c r="AR43" s="301">
        <f t="shared" ca="1" si="185"/>
        <v>133.03650370762898</v>
      </c>
      <c r="AS43" s="301">
        <f t="shared" ca="1" si="185"/>
        <v>129.67544345625686</v>
      </c>
      <c r="AT43" s="301">
        <f t="shared" ca="1" si="185"/>
        <v>134.96639944376588</v>
      </c>
      <c r="AU43" s="301">
        <f t="shared" ca="1" si="185"/>
        <v>135.9578696894863</v>
      </c>
      <c r="AV43" s="301">
        <f t="shared" ca="1" si="185"/>
        <v>132.52300347653454</v>
      </c>
      <c r="AW43" s="301">
        <f t="shared" ca="1" si="185"/>
        <v>137.93014425846195</v>
      </c>
      <c r="AX43" s="301">
        <f t="shared" ca="1" si="185"/>
        <v>134.4454501150262</v>
      </c>
      <c r="AY43" s="301">
        <f t="shared" ca="1" si="185"/>
        <v>139.93102965360245</v>
      </c>
      <c r="AZ43" s="301">
        <f t="shared" ca="1" si="185"/>
        <v>141.99535140901011</v>
      </c>
      <c r="BA43" s="301">
        <f t="shared" ca="1" si="185"/>
        <v>133.77854259762825</v>
      </c>
      <c r="BB43" s="301">
        <f t="shared" ca="1" si="185"/>
        <v>145.84449110291078</v>
      </c>
      <c r="BC43" s="301">
        <f t="shared" ca="1" si="185"/>
        <v>144.43448504683266</v>
      </c>
      <c r="BD43" s="301">
        <f t="shared" ca="1" si="185"/>
        <v>150.32763245464628</v>
      </c>
      <c r="BE43" s="301">
        <f t="shared" ca="1" si="185"/>
        <v>146.52972574449558</v>
      </c>
      <c r="BF43" s="301">
        <f t="shared" ca="1" si="185"/>
        <v>157.04087651554781</v>
      </c>
      <c r="BG43" s="301">
        <f t="shared" ca="1" si="185"/>
        <v>158.19450702705817</v>
      </c>
      <c r="BH43" s="301">
        <f t="shared" ca="1" si="185"/>
        <v>154.19785005896344</v>
      </c>
      <c r="BI43" s="301">
        <f t="shared" ca="1" si="185"/>
        <v>160.48935765890235</v>
      </c>
      <c r="BJ43" s="301">
        <f t="shared" ca="1" si="185"/>
        <v>156.43472313557604</v>
      </c>
      <c r="BK43" s="301">
        <f t="shared" ca="1" si="185"/>
        <v>162.81749857067754</v>
      </c>
      <c r="BL43" s="301">
        <f t="shared" ca="1" si="185"/>
        <v>164.01356445063544</v>
      </c>
      <c r="BM43" s="301">
        <f t="shared" ca="1" si="185"/>
        <v>150.63221477029154</v>
      </c>
      <c r="BN43" s="301">
        <f t="shared" ca="1" si="185"/>
        <v>167.93707473604942</v>
      </c>
      <c r="BO43" s="301">
        <f t="shared" ca="1" si="185"/>
        <v>163.69427963172589</v>
      </c>
      <c r="BP43" s="301">
        <f t="shared" ca="1" si="185"/>
        <v>170.37325605050032</v>
      </c>
      <c r="BQ43" s="301">
        <f t="shared" ca="1" si="185"/>
        <v>166.69799227220145</v>
      </c>
      <c r="BR43" s="301">
        <f t="shared" ca="1" si="185"/>
        <v>173.49952475059899</v>
      </c>
      <c r="BS43" s="301">
        <f t="shared" ca="1" si="185"/>
        <v>174.77406135486342</v>
      </c>
      <c r="BT43" s="301">
        <f t="shared" ca="1" si="185"/>
        <v>170.3585352832998</v>
      </c>
      <c r="BU43" s="301">
        <f t="shared" ca="1" si="185"/>
        <v>177.3094235028145</v>
      </c>
      <c r="BV43" s="301">
        <f t="shared" ref="BV43:CZ43" ca="1" si="186">IF(BV$8&lt;=$F$8, BV42*((1+$F43)^((BV$8-BU$8)/365) - 1), 0)</f>
        <v>172.82984354603272</v>
      </c>
      <c r="BW43" s="301">
        <f t="shared" ca="1" si="186"/>
        <v>179.88156491406946</v>
      </c>
      <c r="BX43" s="301">
        <f t="shared" ca="1" si="186"/>
        <v>181.20298431994343</v>
      </c>
      <c r="BY43" s="301">
        <f t="shared" ca="1" si="186"/>
        <v>164.81107279122514</v>
      </c>
      <c r="BZ43" s="301">
        <f t="shared" ca="1" si="186"/>
        <v>183.74482172273838</v>
      </c>
      <c r="CA43" s="301">
        <f t="shared" ca="1" si="186"/>
        <v>179.10265660657606</v>
      </c>
      <c r="CB43" s="301">
        <f t="shared" ca="1" si="186"/>
        <v>186.41031832026817</v>
      </c>
      <c r="CC43" s="301">
        <f t="shared" ca="1" si="186"/>
        <v>181.70081157669949</v>
      </c>
      <c r="CD43" s="301">
        <f t="shared" ca="1" si="186"/>
        <v>189.11448197815278</v>
      </c>
      <c r="CE43" s="301">
        <f t="shared" ca="1" si="186"/>
        <v>190.50372687680101</v>
      </c>
      <c r="CF43" s="301">
        <f t="shared" ca="1" si="186"/>
        <v>185.69080345879667</v>
      </c>
      <c r="CG43" s="301">
        <f t="shared" ca="1" si="186"/>
        <v>193.26727161806767</v>
      </c>
      <c r="CH43" s="301">
        <f t="shared" ca="1" si="186"/>
        <v>188.38452946517555</v>
      </c>
      <c r="CI43" s="301">
        <f t="shared" ca="1" si="186"/>
        <v>196.07090575633561</v>
      </c>
      <c r="CJ43" s="301">
        <f t="shared" ca="1" si="186"/>
        <v>197.51125290873821</v>
      </c>
      <c r="CK43" s="301">
        <f t="shared" ca="1" si="186"/>
        <v>179.64406934243533</v>
      </c>
      <c r="CL43" s="301">
        <f t="shared" ca="1" si="186"/>
        <v>200.28185567778473</v>
      </c>
      <c r="CM43" s="301">
        <f t="shared" ca="1" si="186"/>
        <v>195.22189570116782</v>
      </c>
      <c r="CN43" s="301">
        <f t="shared" ca="1" si="186"/>
        <v>203.1872469690922</v>
      </c>
      <c r="CO43" s="301">
        <f t="shared" ca="1" si="186"/>
        <v>198.05388461860235</v>
      </c>
      <c r="CP43" s="301">
        <f t="shared" ca="1" si="186"/>
        <v>206.13478535618646</v>
      </c>
      <c r="CQ43" s="301">
        <f t="shared" ca="1" si="186"/>
        <v>207.64906229571301</v>
      </c>
      <c r="CR43" s="301">
        <f t="shared" ca="1" si="186"/>
        <v>202.40297577008829</v>
      </c>
      <c r="CS43" s="301">
        <f t="shared" ca="1" si="186"/>
        <v>210.66132606369371</v>
      </c>
      <c r="CT43" s="301">
        <f t="shared" ca="1" si="186"/>
        <v>205.3391371170413</v>
      </c>
      <c r="CU43" s="301">
        <f t="shared" ca="1" si="186"/>
        <v>213.71728727440572</v>
      </c>
      <c r="CV43" s="301">
        <f t="shared" ca="1" si="186"/>
        <v>215.28726567052456</v>
      </c>
      <c r="CW43" s="301">
        <f t="shared" ca="1" si="186"/>
        <v>202.82929233557758</v>
      </c>
      <c r="CX43" s="301">
        <f t="shared" ca="1" si="186"/>
        <v>218.35877182475679</v>
      </c>
      <c r="CY43" s="301">
        <f t="shared" ca="1" si="186"/>
        <v>212.84211310279022</v>
      </c>
      <c r="CZ43" s="301">
        <f t="shared" ca="1" si="186"/>
        <v>221.5263961304797</v>
      </c>
      <c r="DA43" s="301">
        <f t="shared" ref="DA43" ca="1" si="187">IF(DA$8&lt;=$F$8, DA42*((1+$F43)^((DA$8-CZ$8)/365) - 1), 0)</f>
        <v>215.92970992847171</v>
      </c>
      <c r="DB43" s="301">
        <f t="shared" ref="DB43" ca="1" si="188">IF(DB$8&lt;=$F$8, DB42*((1+$F43)^((DB$8-DA$8)/365) - 1), 0)</f>
        <v>224.73997161855431</v>
      </c>
      <c r="DC43" s="301">
        <f t="shared" ref="DC43" ca="1" si="189">IF(DC$8&lt;=$F$8, DC42*((1+$F43)^((DC$8-DB$8)/365) - 1), 0)</f>
        <v>226.39092323171258</v>
      </c>
      <c r="DD43" s="301">
        <f t="shared" ref="DD43" ca="1" si="190">IF(DD$8&lt;=$F$8, DD42*((1+$F43)^((DD$8-DC$8)/365) - 1), 0)</f>
        <v>220.67133866552621</v>
      </c>
      <c r="DE43" s="301">
        <f t="shared" ref="DE43" ca="1" si="191">IF(DE$8&lt;=$F$8, DE42*((1+$F43)^((DE$8-DD$8)/365) - 1), 0)</f>
        <v>229.6750660441632</v>
      </c>
      <c r="DF43" s="301">
        <f t="shared" ref="DF43" ca="1" si="192">IF(DF$8&lt;=$F$8, DF42*((1+$F43)^((DF$8-DE$8)/365) - 1), 0)</f>
        <v>223.87251025159063</v>
      </c>
      <c r="DG43" s="301">
        <f t="shared" ref="DG43" ca="1" si="193">IF(DG$8&lt;=$F$8, DG42*((1+$F43)^((DG$8-DF$8)/365) - 1), 0)</f>
        <v>233.006850316168</v>
      </c>
      <c r="DH43" s="301">
        <f t="shared" ref="DH43" ca="1" si="194">IF(DH$8&lt;=$F$8, DH42*((1+$F43)^((DH$8-DG$8)/365) - 1), 0)</f>
        <v>234.71853085361738</v>
      </c>
      <c r="DI43" s="301">
        <f t="shared" ref="DI43" si="195">IF(DI$8&lt;=$F$8, DI42*((1+$F43)^((DI$8-DH$8)/365) - 1), 0)</f>
        <v>0</v>
      </c>
      <c r="DJ43" s="301">
        <f t="shared" ref="DJ43" si="196">IF(DJ$8&lt;=$F$8, DJ42*((1+$F43)^((DJ$8-DI$8)/365) - 1), 0)</f>
        <v>0</v>
      </c>
      <c r="DK43" s="301">
        <f t="shared" ref="DK43" si="197">IF(DK$8&lt;=$F$8, DK42*((1+$F43)^((DK$8-DJ$8)/365) - 1), 0)</f>
        <v>0</v>
      </c>
      <c r="DL43" s="301">
        <f t="shared" ref="DL43" si="198">IF(DL$8&lt;=$F$8, DL42*((1+$F43)^((DL$8-DK$8)/365) - 1), 0)</f>
        <v>0</v>
      </c>
      <c r="DM43" s="301">
        <f t="shared" ref="DM43" si="199">IF(DM$8&lt;=$F$8, DM42*((1+$F43)^((DM$8-DL$8)/365) - 1), 0)</f>
        <v>0</v>
      </c>
      <c r="DN43" s="301">
        <f t="shared" ref="DN43" si="200">IF(DN$8&lt;=$F$8, DN42*((1+$F43)^((DN$8-DM$8)/365) - 1), 0)</f>
        <v>0</v>
      </c>
      <c r="DO43" s="301">
        <f t="shared" ref="DO43" si="201">IF(DO$8&lt;=$F$8, DO42*((1+$F43)^((DO$8-DN$8)/365) - 1), 0)</f>
        <v>0</v>
      </c>
      <c r="DP43" s="301">
        <f t="shared" ref="DP43" si="202">IF(DP$8&lt;=$F$8, DP42*((1+$F43)^((DP$8-DO$8)/365) - 1), 0)</f>
        <v>0</v>
      </c>
      <c r="DQ43" s="301">
        <f t="shared" ref="DQ43" si="203">IF(DQ$8&lt;=$F$8, DQ42*((1+$F43)^((DQ$8-DP$8)/365) - 1), 0)</f>
        <v>0</v>
      </c>
      <c r="DR43" s="301">
        <f t="shared" ref="DR43" si="204">IF(DR$8&lt;=$F$8, DR42*((1+$F43)^((DR$8-DQ$8)/365) - 1), 0)</f>
        <v>0</v>
      </c>
      <c r="DS43" s="301">
        <f t="shared" ref="DS43" si="205">IF(DS$8&lt;=$F$8, DS42*((1+$F43)^((DS$8-DR$8)/365) - 1), 0)</f>
        <v>0</v>
      </c>
      <c r="DT43" s="301">
        <f t="shared" ref="DT43" si="206">IF(DT$8&lt;=$F$8, DT42*((1+$F43)^((DT$8-DS$8)/365) - 1), 0)</f>
        <v>0</v>
      </c>
      <c r="DU43" s="301">
        <f t="shared" ref="DU43" si="207">IF(DU$8&lt;=$F$8, DU42*((1+$F43)^((DU$8-DT$8)/365) - 1), 0)</f>
        <v>0</v>
      </c>
      <c r="DV43" s="301">
        <f t="shared" ref="DV43" si="208">IF(DV$8&lt;=$F$8, DV42*((1+$F43)^((DV$8-DU$8)/365) - 1), 0)</f>
        <v>0</v>
      </c>
      <c r="DW43" s="301">
        <f t="shared" ref="DW43" si="209">IF(DW$8&lt;=$F$8, DW42*((1+$F43)^((DW$8-DV$8)/365) - 1), 0)</f>
        <v>0</v>
      </c>
      <c r="DX43" s="301">
        <f t="shared" ref="DX43" si="210">IF(DX$8&lt;=$F$8, DX42*((1+$F43)^((DX$8-DW$8)/365) - 1), 0)</f>
        <v>0</v>
      </c>
      <c r="DY43" s="301">
        <f t="shared" ref="DY43" si="211">IF(DY$8&lt;=$F$8, DY42*((1+$F43)^((DY$8-DX$8)/365) - 1), 0)</f>
        <v>0</v>
      </c>
      <c r="DZ43" s="301">
        <f t="shared" ref="DZ43" si="212">IF(DZ$8&lt;=$F$8, DZ42*((1+$F43)^((DZ$8-DY$8)/365) - 1), 0)</f>
        <v>0</v>
      </c>
      <c r="EA43" s="301">
        <f t="shared" ref="EA43" si="213">IF(EA$8&lt;=$F$8, EA42*((1+$F43)^((EA$8-DZ$8)/365) - 1), 0)</f>
        <v>0</v>
      </c>
      <c r="EB43" s="301">
        <f t="shared" ref="EB43" si="214">IF(EB$8&lt;=$F$8, EB42*((1+$F43)^((EB$8-EA$8)/365) - 1), 0)</f>
        <v>0</v>
      </c>
      <c r="EC43" s="301">
        <f t="shared" ref="EC43" si="215">IF(EC$8&lt;=$F$8, EC42*((1+$F43)^((EC$8-EB$8)/365) - 1), 0)</f>
        <v>0</v>
      </c>
      <c r="ED43" s="301">
        <f t="shared" ref="ED43" si="216">IF(ED$8&lt;=$F$8, ED42*((1+$F43)^((ED$8-EC$8)/365) - 1), 0)</f>
        <v>0</v>
      </c>
      <c r="EE43" s="301">
        <f t="shared" ref="EE43" si="217">IF(EE$8&lt;=$F$8, EE42*((1+$F43)^((EE$8-ED$8)/365) - 1), 0)</f>
        <v>0</v>
      </c>
    </row>
    <row r="44" spans="2:135">
      <c r="C44" s="265" t="str">
        <f>C35</f>
        <v>Paid Preference - Tier 1</v>
      </c>
      <c r="F44" s="268"/>
      <c r="G44" s="301">
        <f ca="1">SUMIF($I$8:$EE$8, "&lt;="&amp;$E$8, $I44:$EE44)</f>
        <v>0</v>
      </c>
      <c r="H44" s="301"/>
      <c r="I44" s="301">
        <f t="shared" ref="I44:BT44" si="218">I35</f>
        <v>0</v>
      </c>
      <c r="J44" s="301">
        <f t="shared" si="218"/>
        <v>0</v>
      </c>
      <c r="K44" s="301">
        <f t="shared" ca="1" si="218"/>
        <v>0</v>
      </c>
      <c r="L44" s="301">
        <f t="shared" ca="1" si="218"/>
        <v>0</v>
      </c>
      <c r="M44" s="301">
        <f t="shared" ca="1" si="218"/>
        <v>0</v>
      </c>
      <c r="N44" s="301">
        <f t="shared" ca="1" si="218"/>
        <v>0</v>
      </c>
      <c r="O44" s="301">
        <f t="shared" ca="1" si="218"/>
        <v>0</v>
      </c>
      <c r="P44" s="301">
        <f t="shared" ca="1" si="218"/>
        <v>0</v>
      </c>
      <c r="Q44" s="301">
        <f t="shared" ca="1" si="218"/>
        <v>0</v>
      </c>
      <c r="R44" s="301">
        <f t="shared" ca="1" si="218"/>
        <v>0</v>
      </c>
      <c r="S44" s="301">
        <f t="shared" ca="1" si="218"/>
        <v>0</v>
      </c>
      <c r="T44" s="301">
        <f t="shared" ca="1" si="218"/>
        <v>0</v>
      </c>
      <c r="U44" s="301">
        <f t="shared" ca="1" si="218"/>
        <v>0</v>
      </c>
      <c r="V44" s="301">
        <f t="shared" ca="1" si="218"/>
        <v>0</v>
      </c>
      <c r="W44" s="301">
        <f t="shared" ca="1" si="218"/>
        <v>0</v>
      </c>
      <c r="X44" s="301">
        <f t="shared" ca="1" si="218"/>
        <v>0</v>
      </c>
      <c r="Y44" s="301">
        <f t="shared" ca="1" si="218"/>
        <v>0</v>
      </c>
      <c r="Z44" s="301">
        <f t="shared" ca="1" si="218"/>
        <v>0</v>
      </c>
      <c r="AA44" s="301">
        <f t="shared" ca="1" si="218"/>
        <v>0</v>
      </c>
      <c r="AB44" s="301">
        <f t="shared" ca="1" si="218"/>
        <v>0</v>
      </c>
      <c r="AC44" s="301">
        <f t="shared" ca="1" si="218"/>
        <v>0</v>
      </c>
      <c r="AD44" s="301">
        <f t="shared" ca="1" si="218"/>
        <v>0</v>
      </c>
      <c r="AE44" s="301">
        <f t="shared" ca="1" si="218"/>
        <v>0</v>
      </c>
      <c r="AF44" s="301">
        <f t="shared" ca="1" si="218"/>
        <v>0</v>
      </c>
      <c r="AG44" s="301">
        <f t="shared" ca="1" si="218"/>
        <v>0</v>
      </c>
      <c r="AH44" s="301">
        <f t="shared" ca="1" si="218"/>
        <v>0</v>
      </c>
      <c r="AI44" s="301">
        <f t="shared" ca="1" si="218"/>
        <v>0</v>
      </c>
      <c r="AJ44" s="301">
        <f t="shared" ca="1" si="218"/>
        <v>0</v>
      </c>
      <c r="AK44" s="301">
        <f t="shared" ca="1" si="218"/>
        <v>0</v>
      </c>
      <c r="AL44" s="301">
        <f t="shared" ca="1" si="218"/>
        <v>0</v>
      </c>
      <c r="AM44" s="301">
        <f t="shared" ca="1" si="218"/>
        <v>0</v>
      </c>
      <c r="AN44" s="301">
        <f t="shared" ca="1" si="218"/>
        <v>0</v>
      </c>
      <c r="AO44" s="301">
        <f t="shared" ca="1" si="218"/>
        <v>0</v>
      </c>
      <c r="AP44" s="301">
        <f t="shared" ca="1" si="218"/>
        <v>0</v>
      </c>
      <c r="AQ44" s="301">
        <f t="shared" ca="1" si="218"/>
        <v>0</v>
      </c>
      <c r="AR44" s="301">
        <f t="shared" ca="1" si="218"/>
        <v>0</v>
      </c>
      <c r="AS44" s="301">
        <f t="shared" ca="1" si="218"/>
        <v>0</v>
      </c>
      <c r="AT44" s="301">
        <f t="shared" ca="1" si="218"/>
        <v>0</v>
      </c>
      <c r="AU44" s="301">
        <f t="shared" ca="1" si="218"/>
        <v>0</v>
      </c>
      <c r="AV44" s="301">
        <f t="shared" ca="1" si="218"/>
        <v>0</v>
      </c>
      <c r="AW44" s="301">
        <f t="shared" ca="1" si="218"/>
        <v>0</v>
      </c>
      <c r="AX44" s="301">
        <f t="shared" ca="1" si="218"/>
        <v>0</v>
      </c>
      <c r="AY44" s="301">
        <f t="shared" ca="1" si="218"/>
        <v>0</v>
      </c>
      <c r="AZ44" s="301">
        <f t="shared" ca="1" si="218"/>
        <v>0</v>
      </c>
      <c r="BA44" s="301">
        <f t="shared" ca="1" si="218"/>
        <v>0</v>
      </c>
      <c r="BB44" s="301">
        <f t="shared" ca="1" si="218"/>
        <v>0</v>
      </c>
      <c r="BC44" s="301">
        <f t="shared" ca="1" si="218"/>
        <v>0</v>
      </c>
      <c r="BD44" s="301">
        <f t="shared" ca="1" si="218"/>
        <v>0</v>
      </c>
      <c r="BE44" s="301">
        <f t="shared" ca="1" si="218"/>
        <v>0</v>
      </c>
      <c r="BF44" s="301">
        <f t="shared" ca="1" si="218"/>
        <v>0</v>
      </c>
      <c r="BG44" s="301">
        <f t="shared" ca="1" si="218"/>
        <v>0</v>
      </c>
      <c r="BH44" s="301">
        <f t="shared" ca="1" si="218"/>
        <v>0</v>
      </c>
      <c r="BI44" s="301">
        <f t="shared" ca="1" si="218"/>
        <v>0</v>
      </c>
      <c r="BJ44" s="301">
        <f t="shared" ca="1" si="218"/>
        <v>0</v>
      </c>
      <c r="BK44" s="301">
        <f t="shared" ca="1" si="218"/>
        <v>0</v>
      </c>
      <c r="BL44" s="301">
        <f t="shared" ca="1" si="218"/>
        <v>0</v>
      </c>
      <c r="BM44" s="301">
        <f t="shared" ca="1" si="218"/>
        <v>0</v>
      </c>
      <c r="BN44" s="301">
        <f t="shared" ca="1" si="218"/>
        <v>0</v>
      </c>
      <c r="BO44" s="301">
        <f t="shared" ca="1" si="218"/>
        <v>0</v>
      </c>
      <c r="BP44" s="301">
        <f t="shared" ca="1" si="218"/>
        <v>0</v>
      </c>
      <c r="BQ44" s="301">
        <f t="shared" ca="1" si="218"/>
        <v>0</v>
      </c>
      <c r="BR44" s="301">
        <f t="shared" ca="1" si="218"/>
        <v>0</v>
      </c>
      <c r="BS44" s="301">
        <f t="shared" ca="1" si="218"/>
        <v>0</v>
      </c>
      <c r="BT44" s="301">
        <f t="shared" ca="1" si="218"/>
        <v>0</v>
      </c>
      <c r="BU44" s="301">
        <f t="shared" ref="BU44:CZ44" ca="1" si="219">BU35</f>
        <v>0</v>
      </c>
      <c r="BV44" s="301">
        <f t="shared" ca="1" si="219"/>
        <v>0</v>
      </c>
      <c r="BW44" s="301">
        <f t="shared" ca="1" si="219"/>
        <v>0</v>
      </c>
      <c r="BX44" s="301">
        <f t="shared" ca="1" si="219"/>
        <v>0</v>
      </c>
      <c r="BY44" s="301">
        <f t="shared" ca="1" si="219"/>
        <v>0</v>
      </c>
      <c r="BZ44" s="301">
        <f t="shared" ca="1" si="219"/>
        <v>0</v>
      </c>
      <c r="CA44" s="301">
        <f t="shared" ca="1" si="219"/>
        <v>0</v>
      </c>
      <c r="CB44" s="301">
        <f t="shared" ca="1" si="219"/>
        <v>0</v>
      </c>
      <c r="CC44" s="301">
        <f t="shared" ca="1" si="219"/>
        <v>0</v>
      </c>
      <c r="CD44" s="301">
        <f t="shared" ca="1" si="219"/>
        <v>0</v>
      </c>
      <c r="CE44" s="301">
        <f t="shared" ca="1" si="219"/>
        <v>0</v>
      </c>
      <c r="CF44" s="301">
        <f t="shared" ca="1" si="219"/>
        <v>0</v>
      </c>
      <c r="CG44" s="301">
        <f t="shared" ca="1" si="219"/>
        <v>0</v>
      </c>
      <c r="CH44" s="301">
        <f t="shared" ca="1" si="219"/>
        <v>0</v>
      </c>
      <c r="CI44" s="301">
        <f t="shared" ca="1" si="219"/>
        <v>0</v>
      </c>
      <c r="CJ44" s="301">
        <f t="shared" ca="1" si="219"/>
        <v>0</v>
      </c>
      <c r="CK44" s="301">
        <f t="shared" ca="1" si="219"/>
        <v>0</v>
      </c>
      <c r="CL44" s="301">
        <f t="shared" ca="1" si="219"/>
        <v>0</v>
      </c>
      <c r="CM44" s="301">
        <f t="shared" ca="1" si="219"/>
        <v>0</v>
      </c>
      <c r="CN44" s="301">
        <f t="shared" ca="1" si="219"/>
        <v>0</v>
      </c>
      <c r="CO44" s="301">
        <f t="shared" ca="1" si="219"/>
        <v>0</v>
      </c>
      <c r="CP44" s="301">
        <f t="shared" ca="1" si="219"/>
        <v>0</v>
      </c>
      <c r="CQ44" s="301">
        <f t="shared" ca="1" si="219"/>
        <v>0</v>
      </c>
      <c r="CR44" s="301">
        <f t="shared" ca="1" si="219"/>
        <v>0</v>
      </c>
      <c r="CS44" s="301">
        <f t="shared" ca="1" si="219"/>
        <v>0</v>
      </c>
      <c r="CT44" s="301">
        <f t="shared" ca="1" si="219"/>
        <v>0</v>
      </c>
      <c r="CU44" s="301">
        <f t="shared" ca="1" si="219"/>
        <v>0</v>
      </c>
      <c r="CV44" s="301">
        <f t="shared" ca="1" si="219"/>
        <v>0</v>
      </c>
      <c r="CW44" s="301">
        <f t="shared" ca="1" si="219"/>
        <v>0</v>
      </c>
      <c r="CX44" s="301">
        <f t="shared" ca="1" si="219"/>
        <v>0</v>
      </c>
      <c r="CY44" s="301">
        <f t="shared" ca="1" si="219"/>
        <v>0</v>
      </c>
      <c r="CZ44" s="301">
        <f t="shared" ca="1" si="219"/>
        <v>0</v>
      </c>
      <c r="DA44" s="301">
        <f t="shared" ref="DA44:EE44" ca="1" si="220">DA35</f>
        <v>0</v>
      </c>
      <c r="DB44" s="301">
        <f t="shared" ca="1" si="220"/>
        <v>0</v>
      </c>
      <c r="DC44" s="301">
        <f t="shared" ca="1" si="220"/>
        <v>0</v>
      </c>
      <c r="DD44" s="301">
        <f t="shared" ca="1" si="220"/>
        <v>0</v>
      </c>
      <c r="DE44" s="301">
        <f t="shared" ca="1" si="220"/>
        <v>0</v>
      </c>
      <c r="DF44" s="301">
        <f t="shared" ca="1" si="220"/>
        <v>0</v>
      </c>
      <c r="DG44" s="301">
        <f t="shared" ca="1" si="220"/>
        <v>0</v>
      </c>
      <c r="DH44" s="301">
        <f t="shared" ca="1" si="220"/>
        <v>0</v>
      </c>
      <c r="DI44" s="301">
        <f t="shared" ca="1" si="220"/>
        <v>0</v>
      </c>
      <c r="DJ44" s="301">
        <f t="shared" ca="1" si="220"/>
        <v>0</v>
      </c>
      <c r="DK44" s="301">
        <f t="shared" ca="1" si="220"/>
        <v>0</v>
      </c>
      <c r="DL44" s="301">
        <f t="shared" ca="1" si="220"/>
        <v>0</v>
      </c>
      <c r="DM44" s="301">
        <f t="shared" ca="1" si="220"/>
        <v>0</v>
      </c>
      <c r="DN44" s="301">
        <f t="shared" ca="1" si="220"/>
        <v>0</v>
      </c>
      <c r="DO44" s="301">
        <f t="shared" ca="1" si="220"/>
        <v>0</v>
      </c>
      <c r="DP44" s="301">
        <f t="shared" ca="1" si="220"/>
        <v>0</v>
      </c>
      <c r="DQ44" s="301">
        <f t="shared" ca="1" si="220"/>
        <v>0</v>
      </c>
      <c r="DR44" s="301">
        <f t="shared" ca="1" si="220"/>
        <v>0</v>
      </c>
      <c r="DS44" s="301">
        <f t="shared" ca="1" si="220"/>
        <v>0</v>
      </c>
      <c r="DT44" s="301">
        <f t="shared" ca="1" si="220"/>
        <v>0</v>
      </c>
      <c r="DU44" s="301">
        <f t="shared" ca="1" si="220"/>
        <v>0</v>
      </c>
      <c r="DV44" s="301">
        <f t="shared" ca="1" si="220"/>
        <v>0</v>
      </c>
      <c r="DW44" s="301">
        <f t="shared" ca="1" si="220"/>
        <v>0</v>
      </c>
      <c r="DX44" s="301">
        <f t="shared" ca="1" si="220"/>
        <v>0</v>
      </c>
      <c r="DY44" s="301">
        <f t="shared" ca="1" si="220"/>
        <v>0</v>
      </c>
      <c r="DZ44" s="301">
        <f t="shared" ca="1" si="220"/>
        <v>0</v>
      </c>
      <c r="EA44" s="301">
        <f t="shared" ca="1" si="220"/>
        <v>0</v>
      </c>
      <c r="EB44" s="301">
        <f t="shared" ca="1" si="220"/>
        <v>0</v>
      </c>
      <c r="EC44" s="301">
        <f t="shared" ca="1" si="220"/>
        <v>0</v>
      </c>
      <c r="ED44" s="301">
        <f t="shared" ca="1" si="220"/>
        <v>0</v>
      </c>
      <c r="EE44" s="301">
        <f t="shared" ca="1" si="220"/>
        <v>0</v>
      </c>
    </row>
    <row r="45" spans="2:135">
      <c r="C45" s="265" t="s">
        <v>177</v>
      </c>
      <c r="E45" s="301"/>
      <c r="F45" s="317">
        <f>F17</f>
        <v>1</v>
      </c>
      <c r="G45" s="301">
        <f ca="1">SUMIF($I$8:$EE$8, "&lt;="&amp;$E$8, $I45:$EE45)</f>
        <v>0</v>
      </c>
      <c r="H45" s="301"/>
      <c r="I45" s="312">
        <v>0</v>
      </c>
      <c r="J45" s="318">
        <f>-MIN(J39*$F$45, MAX(SUM($I$43:J44, $I45:I45), 0))</f>
        <v>0</v>
      </c>
      <c r="K45" s="318">
        <f ca="1">-MIN(K39*$F$45, MAX(SUM($I$43:K44, $I45:J45), 0))</f>
        <v>0</v>
      </c>
      <c r="L45" s="318">
        <f ca="1">-MIN(L39*$F$45, MAX(SUM($I$43:L44, $I45:K45), 0))</f>
        <v>0</v>
      </c>
      <c r="M45" s="318">
        <f ca="1">-MIN(M39*$F$45, MAX(SUM($I$43:M44, $I45:L45), 0))</f>
        <v>0</v>
      </c>
      <c r="N45" s="318">
        <f ca="1">-MIN(N39*$F$45, MAX(SUM($I$43:N44, $I45:M45), 0))</f>
        <v>0</v>
      </c>
      <c r="O45" s="318">
        <f ca="1">-MIN(O39*$F$45, MAX(SUM($I$43:O44, $I45:N45), 0))</f>
        <v>0</v>
      </c>
      <c r="P45" s="318">
        <f ca="1">-MIN(P39*$F$45, MAX(SUM($I$43:P44, $I45:O45), 0))</f>
        <v>0</v>
      </c>
      <c r="Q45" s="318">
        <f ca="1">-MIN(Q39*$F$45, MAX(SUM($I$43:Q44, $I45:P45), 0))</f>
        <v>0</v>
      </c>
      <c r="R45" s="318">
        <f ca="1">-MIN(R39*$F$45, MAX(SUM($I$43:R44, $I45:Q45), 0))</f>
        <v>0</v>
      </c>
      <c r="S45" s="318">
        <f ca="1">-MIN(S39*$F$45, MAX(SUM($I$43:S44, $I45:R45), 0))</f>
        <v>0</v>
      </c>
      <c r="T45" s="318">
        <f ca="1">-MIN(T39*$F$45, MAX(SUM($I$43:T44, $I45:S45), 0))</f>
        <v>0</v>
      </c>
      <c r="U45" s="318">
        <f ca="1">-MIN(U39*$F$45, MAX(SUM($I$43:U44, $I45:T45), 0))</f>
        <v>0</v>
      </c>
      <c r="V45" s="318">
        <f ca="1">-MIN(V39*$F$45, MAX(SUM($I$43:V44, $I45:U45), 0))</f>
        <v>0</v>
      </c>
      <c r="W45" s="318">
        <f ca="1">-MIN(W39*$F$45, MAX(SUM($I$43:W44, $I45:V45), 0))</f>
        <v>0</v>
      </c>
      <c r="X45" s="318">
        <f ca="1">-MIN(X39*$F$45, MAX(SUM($I$43:X44, $I45:W45), 0))</f>
        <v>0</v>
      </c>
      <c r="Y45" s="318">
        <f ca="1">-MIN(Y39*$F$45, MAX(SUM($I$43:Y44, $I45:X45), 0))</f>
        <v>0</v>
      </c>
      <c r="Z45" s="318">
        <f ca="1">-MIN(Z39*$F$45, MAX(SUM($I$43:Z44, $I45:Y45), 0))</f>
        <v>0</v>
      </c>
      <c r="AA45" s="318">
        <f ca="1">-MIN(AA39*$F$45, MAX(SUM($I$43:AA44, $I45:Z45), 0))</f>
        <v>0</v>
      </c>
      <c r="AB45" s="318">
        <f ca="1">-MIN(AB39*$F$45, MAX(SUM($I$43:AB44, $I45:AA45), 0))</f>
        <v>0</v>
      </c>
      <c r="AC45" s="318">
        <f ca="1">-MIN(AC39*$F$45, MAX(SUM($I$43:AC44, $I45:AB45), 0))</f>
        <v>0</v>
      </c>
      <c r="AD45" s="318">
        <f ca="1">-MIN(AD39*$F$45, MAX(SUM($I$43:AD44, $I45:AC45), 0))</f>
        <v>0</v>
      </c>
      <c r="AE45" s="318">
        <f ca="1">-MIN(AE39*$F$45, MAX(SUM($I$43:AE44, $I45:AD45), 0))</f>
        <v>0</v>
      </c>
      <c r="AF45" s="318">
        <f ca="1">-MIN(AF39*$F$45, MAX(SUM($I$43:AF44, $I45:AE45), 0))</f>
        <v>0</v>
      </c>
      <c r="AG45" s="318">
        <f ca="1">-MIN(AG39*$F$45, MAX(SUM($I$43:AG44, $I45:AF45), 0))</f>
        <v>0</v>
      </c>
      <c r="AH45" s="318">
        <f ca="1">-MIN(AH39*$F$45, MAX(SUM($I$43:AH44, $I45:AG45), 0))</f>
        <v>0</v>
      </c>
      <c r="AI45" s="318">
        <f ca="1">-MIN(AI39*$F$45, MAX(SUM($I$43:AI44, $I45:AH45), 0))</f>
        <v>0</v>
      </c>
      <c r="AJ45" s="318">
        <f ca="1">-MIN(AJ39*$F$45, MAX(SUM($I$43:AJ44, $I45:AI45), 0))</f>
        <v>0</v>
      </c>
      <c r="AK45" s="318">
        <f ca="1">-MIN(AK39*$F$45, MAX(SUM($I$43:AK44, $I45:AJ45), 0))</f>
        <v>0</v>
      </c>
      <c r="AL45" s="318">
        <f ca="1">-MIN(AL39*$F$45, MAX(SUM($I$43:AL44, $I45:AK45), 0))</f>
        <v>0</v>
      </c>
      <c r="AM45" s="318">
        <f ca="1">-MIN(AM39*$F$45, MAX(SUM($I$43:AM44, $I45:AL45), 0))</f>
        <v>0</v>
      </c>
      <c r="AN45" s="318">
        <f ca="1">-MIN(AN39*$F$45, MAX(SUM($I$43:AN44, $I45:AM45), 0))</f>
        <v>0</v>
      </c>
      <c r="AO45" s="318">
        <f ca="1">-MIN(AO39*$F$45, MAX(SUM($I$43:AO44, $I45:AN45), 0))</f>
        <v>0</v>
      </c>
      <c r="AP45" s="318">
        <f ca="1">-MIN(AP39*$F$45, MAX(SUM($I$43:AP44, $I45:AO45), 0))</f>
        <v>0</v>
      </c>
      <c r="AQ45" s="318">
        <f ca="1">-MIN(AQ39*$F$45, MAX(SUM($I$43:AQ44, $I45:AP45), 0))</f>
        <v>0</v>
      </c>
      <c r="AR45" s="318">
        <f ca="1">-MIN(AR39*$F$45, MAX(SUM($I$43:AR44, $I45:AQ45), 0))</f>
        <v>0</v>
      </c>
      <c r="AS45" s="318">
        <f ca="1">-MIN(AS39*$F$45, MAX(SUM($I$43:AS44, $I45:AR45), 0))</f>
        <v>0</v>
      </c>
      <c r="AT45" s="318">
        <f ca="1">-MIN(AT39*$F$45, MAX(SUM($I$43:AT44, $I45:AS45), 0))</f>
        <v>0</v>
      </c>
      <c r="AU45" s="318">
        <f ca="1">-MIN(AU39*$F$45, MAX(SUM($I$43:AU44, $I45:AT45), 0))</f>
        <v>0</v>
      </c>
      <c r="AV45" s="318">
        <f ca="1">-MIN(AV39*$F$45, MAX(SUM($I$43:AV44, $I45:AU45), 0))</f>
        <v>0</v>
      </c>
      <c r="AW45" s="318">
        <f ca="1">-MIN(AW39*$F$45, MAX(SUM($I$43:AW44, $I45:AV45), 0))</f>
        <v>0</v>
      </c>
      <c r="AX45" s="318">
        <f ca="1">-MIN(AX39*$F$45, MAX(SUM($I$43:AX44, $I45:AW45), 0))</f>
        <v>0</v>
      </c>
      <c r="AY45" s="318">
        <f ca="1">-MIN(AY39*$F$45, MAX(SUM($I$43:AY44, $I45:AX45), 0))</f>
        <v>0</v>
      </c>
      <c r="AZ45" s="318">
        <f ca="1">-MIN(AZ39*$F$45, MAX(SUM($I$43:AZ44, $I45:AY45), 0))</f>
        <v>0</v>
      </c>
      <c r="BA45" s="318">
        <f ca="1">-MIN(BA39*$F$45, MAX(SUM($I$43:BA44, $I45:AZ45), 0))</f>
        <v>0</v>
      </c>
      <c r="BB45" s="318">
        <f ca="1">-MIN(BB39*$F$45, MAX(SUM($I$43:BB44, $I45:BA45), 0))</f>
        <v>0</v>
      </c>
      <c r="BC45" s="318">
        <f ca="1">-MIN(BC39*$F$45, MAX(SUM($I$43:BC44, $I45:BB45), 0))</f>
        <v>0</v>
      </c>
      <c r="BD45" s="318">
        <f ca="1">-MIN(BD39*$F$45, MAX(SUM($I$43:BD44, $I45:BC45), 0))</f>
        <v>0</v>
      </c>
      <c r="BE45" s="318">
        <f ca="1">-MIN(BE39*$F$45, MAX(SUM($I$43:BE44, $I45:BD45), 0))</f>
        <v>0</v>
      </c>
      <c r="BF45" s="318">
        <f ca="1">-MIN(BF39*$F$45, MAX(SUM($I$43:BF44, $I45:BE45), 0))</f>
        <v>0</v>
      </c>
      <c r="BG45" s="318">
        <f ca="1">-MIN(BG39*$F$45, MAX(SUM($I$43:BG44, $I45:BF45), 0))</f>
        <v>0</v>
      </c>
      <c r="BH45" s="318">
        <f ca="1">-MIN(BH39*$F$45, MAX(SUM($I$43:BH44, $I45:BG45), 0))</f>
        <v>0</v>
      </c>
      <c r="BI45" s="318">
        <f ca="1">-MIN(BI39*$F$45, MAX(SUM($I$43:BI44, $I45:BH45), 0))</f>
        <v>0</v>
      </c>
      <c r="BJ45" s="318">
        <f ca="1">-MIN(BJ39*$F$45, MAX(SUM($I$43:BJ44, $I45:BI45), 0))</f>
        <v>0</v>
      </c>
      <c r="BK45" s="318">
        <f ca="1">-MIN(BK39*$F$45, MAX(SUM($I$43:BK44, $I45:BJ45), 0))</f>
        <v>0</v>
      </c>
      <c r="BL45" s="318">
        <f ca="1">-MIN(BL39*$F$45, MAX(SUM($I$43:BL44, $I45:BK45), 0))</f>
        <v>0</v>
      </c>
      <c r="BM45" s="318">
        <f ca="1">-MIN(BM39*$F$45, MAX(SUM($I$43:BM44, $I45:BL45), 0))</f>
        <v>0</v>
      </c>
      <c r="BN45" s="318">
        <f ca="1">-MIN(BN39*$F$45, MAX(SUM($I$43:BN44, $I45:BM45), 0))</f>
        <v>0</v>
      </c>
      <c r="BO45" s="318">
        <f ca="1">-MIN(BO39*$F$45, MAX(SUM($I$43:BO44, $I45:BN45), 0))</f>
        <v>0</v>
      </c>
      <c r="BP45" s="318">
        <f ca="1">-MIN(BP39*$F$45, MAX(SUM($I$43:BP44, $I45:BO45), 0))</f>
        <v>0</v>
      </c>
      <c r="BQ45" s="318">
        <f ca="1">-MIN(BQ39*$F$45, MAX(SUM($I$43:BQ44, $I45:BP45), 0))</f>
        <v>0</v>
      </c>
      <c r="BR45" s="318">
        <f ca="1">-MIN(BR39*$F$45, MAX(SUM($I$43:BR44, $I45:BQ45), 0))</f>
        <v>0</v>
      </c>
      <c r="BS45" s="318">
        <f ca="1">-MIN(BS39*$F$45, MAX(SUM($I$43:BS44, $I45:BR45), 0))</f>
        <v>0</v>
      </c>
      <c r="BT45" s="318">
        <f ca="1">-MIN(BT39*$F$45, MAX(SUM($I$43:BT44, $I45:BS45), 0))</f>
        <v>0</v>
      </c>
      <c r="BU45" s="318">
        <f ca="1">-MIN(BU39*$F$45, MAX(SUM($I$43:BU44, $I45:BT45), 0))</f>
        <v>0</v>
      </c>
      <c r="BV45" s="318">
        <f ca="1">-MIN(BV39*$F$45, MAX(SUM($I$43:BV44, $I45:BU45), 0))</f>
        <v>0</v>
      </c>
      <c r="BW45" s="318">
        <f ca="1">-MIN(BW39*$F$45, MAX(SUM($I$43:BW44, $I45:BV45), 0))</f>
        <v>0</v>
      </c>
      <c r="BX45" s="318">
        <f ca="1">-MIN(BX39*$F$45, MAX(SUM($I$43:BX44, $I45:BW45), 0))</f>
        <v>0</v>
      </c>
      <c r="BY45" s="318">
        <f ca="1">-MIN(BY39*$F$45, MAX(SUM($I$43:BY44, $I45:BX45), 0))</f>
        <v>0</v>
      </c>
      <c r="BZ45" s="318">
        <f ca="1">-MIN(BZ39*$F$45, MAX(SUM($I$43:BZ44, $I45:BY45), 0))</f>
        <v>0</v>
      </c>
      <c r="CA45" s="318">
        <f ca="1">-MIN(CA39*$F$45, MAX(SUM($I$43:CA44, $I45:BZ45), 0))</f>
        <v>0</v>
      </c>
      <c r="CB45" s="318">
        <f ca="1">-MIN(CB39*$F$45, MAX(SUM($I$43:CB44, $I45:CA45), 0))</f>
        <v>0</v>
      </c>
      <c r="CC45" s="318">
        <f ca="1">-MIN(CC39*$F$45, MAX(SUM($I$43:CC44, $I45:CB45), 0))</f>
        <v>0</v>
      </c>
      <c r="CD45" s="318">
        <f ca="1">-MIN(CD39*$F$45, MAX(SUM($I$43:CD44, $I45:CC45), 0))</f>
        <v>0</v>
      </c>
      <c r="CE45" s="318">
        <f ca="1">-MIN(CE39*$F$45, MAX(SUM($I$43:CE44, $I45:CD45), 0))</f>
        <v>0</v>
      </c>
      <c r="CF45" s="318">
        <f ca="1">-MIN(CF39*$F$45, MAX(SUM($I$43:CF44, $I45:CE45), 0))</f>
        <v>0</v>
      </c>
      <c r="CG45" s="318">
        <f ca="1">-MIN(CG39*$F$45, MAX(SUM($I$43:CG44, $I45:CF45), 0))</f>
        <v>0</v>
      </c>
      <c r="CH45" s="318">
        <f ca="1">-MIN(CH39*$F$45, MAX(SUM($I$43:CH44, $I45:CG45), 0))</f>
        <v>0</v>
      </c>
      <c r="CI45" s="318">
        <f ca="1">-MIN(CI39*$F$45, MAX(SUM($I$43:CI44, $I45:CH45), 0))</f>
        <v>0</v>
      </c>
      <c r="CJ45" s="318">
        <f ca="1">-MIN(CJ39*$F$45, MAX(SUM($I$43:CJ44, $I45:CI45), 0))</f>
        <v>0</v>
      </c>
      <c r="CK45" s="318">
        <f ca="1">-MIN(CK39*$F$45, MAX(SUM($I$43:CK44, $I45:CJ45), 0))</f>
        <v>0</v>
      </c>
      <c r="CL45" s="318">
        <f ca="1">-MIN(CL39*$F$45, MAX(SUM($I$43:CL44, $I45:CK45), 0))</f>
        <v>0</v>
      </c>
      <c r="CM45" s="318">
        <f ca="1">-MIN(CM39*$F$45, MAX(SUM($I$43:CM44, $I45:CL45), 0))</f>
        <v>0</v>
      </c>
      <c r="CN45" s="318">
        <f ca="1">-MIN(CN39*$F$45, MAX(SUM($I$43:CN44, $I45:CM45), 0))</f>
        <v>0</v>
      </c>
      <c r="CO45" s="318">
        <f ca="1">-MIN(CO39*$F$45, MAX(SUM($I$43:CO44, $I45:CN45), 0))</f>
        <v>0</v>
      </c>
      <c r="CP45" s="318">
        <f ca="1">-MIN(CP39*$F$45, MAX(SUM($I$43:CP44, $I45:CO45), 0))</f>
        <v>0</v>
      </c>
      <c r="CQ45" s="318">
        <f ca="1">-MIN(CQ39*$F$45, MAX(SUM($I$43:CQ44, $I45:CP45), 0))</f>
        <v>0</v>
      </c>
      <c r="CR45" s="318">
        <f ca="1">-MIN(CR39*$F$45, MAX(SUM($I$43:CR44, $I45:CQ45), 0))</f>
        <v>0</v>
      </c>
      <c r="CS45" s="318">
        <f ca="1">-MIN(CS39*$F$45, MAX(SUM($I$43:CS44, $I45:CR45), 0))</f>
        <v>0</v>
      </c>
      <c r="CT45" s="318">
        <f ca="1">-MIN(CT39*$F$45, MAX(SUM($I$43:CT44, $I45:CS45), 0))</f>
        <v>0</v>
      </c>
      <c r="CU45" s="318">
        <f ca="1">-MIN(CU39*$F$45, MAX(SUM($I$43:CU44, $I45:CT45), 0))</f>
        <v>0</v>
      </c>
      <c r="CV45" s="318">
        <f ca="1">-MIN(CV39*$F$45, MAX(SUM($I$43:CV44, $I45:CU45), 0))</f>
        <v>0</v>
      </c>
      <c r="CW45" s="318">
        <f ca="1">-MIN(CW39*$F$45, MAX(SUM($I$43:CW44, $I45:CV45), 0))</f>
        <v>0</v>
      </c>
      <c r="CX45" s="318">
        <f ca="1">-MIN(CX39*$F$45, MAX(SUM($I$43:CX44, $I45:CW45), 0))</f>
        <v>0</v>
      </c>
      <c r="CY45" s="318">
        <f ca="1">-MIN(CY39*$F$45, MAX(SUM($I$43:CY44, $I45:CX45), 0))</f>
        <v>0</v>
      </c>
      <c r="CZ45" s="318">
        <f ca="1">-MIN(CZ39*$F$45, MAX(SUM($I$43:CZ44, $I45:CY45), 0))</f>
        <v>0</v>
      </c>
      <c r="DA45" s="318">
        <f ca="1">-MIN(DA39*$F$45, MAX(SUM($I$43:DA44, $I45:CZ45), 0))</f>
        <v>0</v>
      </c>
      <c r="DB45" s="318">
        <f ca="1">-MIN(DB39*$F$45, MAX(SUM($I$43:DB44, $I45:DA45), 0))</f>
        <v>0</v>
      </c>
      <c r="DC45" s="318">
        <f ca="1">-MIN(DC39*$F$45, MAX(SUM($I$43:DC44, $I45:DB45), 0))</f>
        <v>0</v>
      </c>
      <c r="DD45" s="318">
        <f ca="1">-MIN(DD39*$F$45, MAX(SUM($I$43:DD44, $I45:DC45), 0))</f>
        <v>0</v>
      </c>
      <c r="DE45" s="318">
        <f ca="1">-MIN(DE39*$F$45, MAX(SUM($I$43:DE44, $I45:DD45), 0))</f>
        <v>0</v>
      </c>
      <c r="DF45" s="318">
        <f ca="1">-MIN(DF39*$F$45, MAX(SUM($I$43:DF44, $I45:DE45), 0))</f>
        <v>0</v>
      </c>
      <c r="DG45" s="318">
        <f ca="1">-MIN(DG39*$F$45, MAX(SUM($I$43:DG44, $I45:DF45), 0))</f>
        <v>0</v>
      </c>
      <c r="DH45" s="318">
        <f ca="1">-MIN(DH39*$F$45, MAX(SUM($I$43:DH44, $I45:DG45), 0))</f>
        <v>0</v>
      </c>
      <c r="DI45" s="318">
        <f ca="1">-MIN(DI39*$F$45, MAX(SUM($I$43:DI44, $I45:DH45), 0))</f>
        <v>0</v>
      </c>
      <c r="DJ45" s="318">
        <f ca="1">-MIN(DJ39*$F$45, MAX(SUM($I$43:DJ44, $I45:DI45), 0))</f>
        <v>0</v>
      </c>
      <c r="DK45" s="318">
        <f ca="1">-MIN(DK39*$F$45, MAX(SUM($I$43:DK44, $I45:DJ45), 0))</f>
        <v>0</v>
      </c>
      <c r="DL45" s="318">
        <f ca="1">-MIN(DL39*$F$45, MAX(SUM($I$43:DL44, $I45:DK45), 0))</f>
        <v>0</v>
      </c>
      <c r="DM45" s="318">
        <f ca="1">-MIN(DM39*$F$45, MAX(SUM($I$43:DM44, $I45:DL45), 0))</f>
        <v>0</v>
      </c>
      <c r="DN45" s="318">
        <f ca="1">-MIN(DN39*$F$45, MAX(SUM($I$43:DN44, $I45:DM45), 0))</f>
        <v>0</v>
      </c>
      <c r="DO45" s="318">
        <f ca="1">-MIN(DO39*$F$45, MAX(SUM($I$43:DO44, $I45:DN45), 0))</f>
        <v>0</v>
      </c>
      <c r="DP45" s="318">
        <f ca="1">-MIN(DP39*$F$45, MAX(SUM($I$43:DP44, $I45:DO45), 0))</f>
        <v>0</v>
      </c>
      <c r="DQ45" s="318">
        <f ca="1">-MIN(DQ39*$F$45, MAX(SUM($I$43:DQ44, $I45:DP45), 0))</f>
        <v>0</v>
      </c>
      <c r="DR45" s="318">
        <f ca="1">-MIN(DR39*$F$45, MAX(SUM($I$43:DR44, $I45:DQ45), 0))</f>
        <v>0</v>
      </c>
      <c r="DS45" s="318">
        <f ca="1">-MIN(DS39*$F$45, MAX(SUM($I$43:DS44, $I45:DR45), 0))</f>
        <v>0</v>
      </c>
      <c r="DT45" s="318">
        <f ca="1">-MIN(DT39*$F$45, MAX(SUM($I$43:DT44, $I45:DS45), 0))</f>
        <v>0</v>
      </c>
      <c r="DU45" s="318">
        <f ca="1">-MIN(DU39*$F$45, MAX(SUM($I$43:DU44, $I45:DT45), 0))</f>
        <v>0</v>
      </c>
      <c r="DV45" s="318">
        <f ca="1">-MIN(DV39*$F$45, MAX(SUM($I$43:DV44, $I45:DU45), 0))</f>
        <v>0</v>
      </c>
      <c r="DW45" s="318">
        <f ca="1">-MIN(DW39*$F$45, MAX(SUM($I$43:DW44, $I45:DV45), 0))</f>
        <v>0</v>
      </c>
      <c r="DX45" s="318">
        <f ca="1">-MIN(DX39*$F$45, MAX(SUM($I$43:DX44, $I45:DW45), 0))</f>
        <v>0</v>
      </c>
      <c r="DY45" s="318">
        <f ca="1">-MIN(DY39*$F$45, MAX(SUM($I$43:DY44, $I45:DX45), 0))</f>
        <v>0</v>
      </c>
      <c r="DZ45" s="318">
        <f ca="1">-MIN(DZ39*$F$45, MAX(SUM($I$43:DZ44, $I45:DY45), 0))</f>
        <v>0</v>
      </c>
      <c r="EA45" s="318">
        <f ca="1">-MIN(EA39*$F$45, MAX(SUM($I$43:EA44, $I45:DZ45), 0))</f>
        <v>0</v>
      </c>
      <c r="EB45" s="318">
        <f ca="1">-MIN(EB39*$F$45, MAX(SUM($I$43:EB44, $I45:EA45), 0))</f>
        <v>0</v>
      </c>
      <c r="EC45" s="318">
        <f ca="1">-MIN(EC39*$F$45, MAX(SUM($I$43:EC44, $I45:EB45), 0))</f>
        <v>0</v>
      </c>
      <c r="ED45" s="318">
        <f ca="1">-MIN(ED39*$F$45, MAX(SUM($I$43:ED44, $I45:EC45), 0))</f>
        <v>0</v>
      </c>
      <c r="EE45" s="318">
        <f ca="1">-MIN(EE39*$F$45, MAX(SUM($I$43:EE44, $I45:ED45), 0))</f>
        <v>0</v>
      </c>
    </row>
    <row r="46" spans="2:135">
      <c r="C46" s="265" t="str">
        <f>C36</f>
        <v>Capital Contributions</v>
      </c>
      <c r="G46" s="301">
        <f ca="1">SUMIF($I$8:$EE$8, "&lt;="&amp;$E$8, $I46:$EE46)</f>
        <v>15882.232</v>
      </c>
      <c r="H46" s="301"/>
      <c r="I46" s="301">
        <f t="shared" ref="I46:BT46" si="221">I36</f>
        <v>13708</v>
      </c>
      <c r="J46" s="301">
        <f t="shared" ca="1" si="221"/>
        <v>0</v>
      </c>
      <c r="K46" s="301">
        <f t="shared" ca="1" si="221"/>
        <v>0</v>
      </c>
      <c r="L46" s="301">
        <f t="shared" ca="1" si="221"/>
        <v>0</v>
      </c>
      <c r="M46" s="301">
        <f t="shared" ca="1" si="221"/>
        <v>0</v>
      </c>
      <c r="N46" s="301">
        <f t="shared" ca="1" si="221"/>
        <v>150.82499999999999</v>
      </c>
      <c r="O46" s="301">
        <f t="shared" ca="1" si="221"/>
        <v>0</v>
      </c>
      <c r="P46" s="301">
        <f t="shared" ca="1" si="221"/>
        <v>0</v>
      </c>
      <c r="Q46" s="301">
        <f t="shared" ca="1" si="221"/>
        <v>0</v>
      </c>
      <c r="R46" s="301">
        <f t="shared" ca="1" si="221"/>
        <v>0</v>
      </c>
      <c r="S46" s="301">
        <f t="shared" ca="1" si="221"/>
        <v>0</v>
      </c>
      <c r="T46" s="301">
        <f t="shared" ca="1" si="221"/>
        <v>0</v>
      </c>
      <c r="U46" s="301">
        <f t="shared" ca="1" si="221"/>
        <v>0</v>
      </c>
      <c r="V46" s="301">
        <f t="shared" ca="1" si="221"/>
        <v>79.174999999999997</v>
      </c>
      <c r="W46" s="301">
        <f t="shared" ca="1" si="221"/>
        <v>0</v>
      </c>
      <c r="X46" s="301">
        <f t="shared" ca="1" si="221"/>
        <v>0</v>
      </c>
      <c r="Y46" s="301">
        <f t="shared" ca="1" si="221"/>
        <v>0</v>
      </c>
      <c r="Z46" s="301">
        <f t="shared" ca="1" si="221"/>
        <v>0</v>
      </c>
      <c r="AA46" s="301">
        <f t="shared" ca="1" si="221"/>
        <v>0</v>
      </c>
      <c r="AB46" s="301">
        <f t="shared" ca="1" si="221"/>
        <v>0</v>
      </c>
      <c r="AC46" s="301">
        <f t="shared" ca="1" si="221"/>
        <v>0</v>
      </c>
      <c r="AD46" s="301">
        <f t="shared" ca="1" si="221"/>
        <v>0</v>
      </c>
      <c r="AE46" s="301">
        <f t="shared" ca="1" si="221"/>
        <v>310</v>
      </c>
      <c r="AF46" s="301">
        <f t="shared" ca="1" si="221"/>
        <v>0</v>
      </c>
      <c r="AG46" s="301">
        <f t="shared" ca="1" si="221"/>
        <v>0</v>
      </c>
      <c r="AH46" s="301">
        <f t="shared" ca="1" si="221"/>
        <v>0</v>
      </c>
      <c r="AI46" s="301">
        <f t="shared" ca="1" si="221"/>
        <v>0</v>
      </c>
      <c r="AJ46" s="301">
        <f t="shared" ca="1" si="221"/>
        <v>0</v>
      </c>
      <c r="AK46" s="301">
        <f t="shared" ca="1" si="221"/>
        <v>0</v>
      </c>
      <c r="AL46" s="301">
        <f t="shared" ca="1" si="221"/>
        <v>0</v>
      </c>
      <c r="AM46" s="301">
        <f t="shared" ca="1" si="221"/>
        <v>0</v>
      </c>
      <c r="AN46" s="301">
        <f t="shared" ca="1" si="221"/>
        <v>0</v>
      </c>
      <c r="AO46" s="301">
        <f t="shared" ca="1" si="221"/>
        <v>0</v>
      </c>
      <c r="AP46" s="301">
        <f t="shared" ca="1" si="221"/>
        <v>0</v>
      </c>
      <c r="AQ46" s="301">
        <f t="shared" ca="1" si="221"/>
        <v>0</v>
      </c>
      <c r="AR46" s="301">
        <f t="shared" ca="1" si="221"/>
        <v>0</v>
      </c>
      <c r="AS46" s="301">
        <f t="shared" ca="1" si="221"/>
        <v>0</v>
      </c>
      <c r="AT46" s="301">
        <f t="shared" ca="1" si="221"/>
        <v>0</v>
      </c>
      <c r="AU46" s="301">
        <f t="shared" ca="1" si="221"/>
        <v>0</v>
      </c>
      <c r="AV46" s="301">
        <f t="shared" ca="1" si="221"/>
        <v>0</v>
      </c>
      <c r="AW46" s="301">
        <f t="shared" ca="1" si="221"/>
        <v>0</v>
      </c>
      <c r="AX46" s="301">
        <f t="shared" ca="1" si="221"/>
        <v>0</v>
      </c>
      <c r="AY46" s="301">
        <f t="shared" ca="1" si="221"/>
        <v>141.08000000000001</v>
      </c>
      <c r="AZ46" s="301">
        <f t="shared" ca="1" si="221"/>
        <v>0</v>
      </c>
      <c r="BA46" s="301">
        <f t="shared" ca="1" si="221"/>
        <v>248.2</v>
      </c>
      <c r="BB46" s="301">
        <f t="shared" ca="1" si="221"/>
        <v>320</v>
      </c>
      <c r="BC46" s="301">
        <f t="shared" ca="1" si="221"/>
        <v>0</v>
      </c>
      <c r="BD46" s="301">
        <f t="shared" ca="1" si="221"/>
        <v>0</v>
      </c>
      <c r="BE46" s="301">
        <f t="shared" ca="1" si="221"/>
        <v>617</v>
      </c>
      <c r="BF46" s="301">
        <f t="shared" ca="1" si="221"/>
        <v>0</v>
      </c>
      <c r="BG46" s="301">
        <f t="shared" ca="1" si="221"/>
        <v>0</v>
      </c>
      <c r="BH46" s="301">
        <f t="shared" ca="1" si="221"/>
        <v>0</v>
      </c>
      <c r="BI46" s="301">
        <f t="shared" ca="1" si="221"/>
        <v>0</v>
      </c>
      <c r="BJ46" s="301">
        <f t="shared" ca="1" si="221"/>
        <v>0</v>
      </c>
      <c r="BK46" s="301">
        <f t="shared" ca="1" si="221"/>
        <v>0</v>
      </c>
      <c r="BL46" s="301">
        <f t="shared" ca="1" si="221"/>
        <v>219.452</v>
      </c>
      <c r="BM46" s="301">
        <f t="shared" ca="1" si="221"/>
        <v>0</v>
      </c>
      <c r="BN46" s="301">
        <f t="shared" ca="1" si="221"/>
        <v>0</v>
      </c>
      <c r="BO46" s="301">
        <f t="shared" ca="1" si="221"/>
        <v>0</v>
      </c>
      <c r="BP46" s="301">
        <f t="shared" ca="1" si="221"/>
        <v>88.5</v>
      </c>
      <c r="BQ46" s="301">
        <f t="shared" ca="1" si="221"/>
        <v>0</v>
      </c>
      <c r="BR46" s="301">
        <f t="shared" ca="1" si="221"/>
        <v>0</v>
      </c>
      <c r="BS46" s="301">
        <f t="shared" ca="1" si="221"/>
        <v>0</v>
      </c>
      <c r="BT46" s="301">
        <f t="shared" ca="1" si="221"/>
        <v>0</v>
      </c>
      <c r="BU46" s="301">
        <f t="shared" ref="BU46:CZ46" ca="1" si="222">BU36</f>
        <v>0</v>
      </c>
      <c r="BV46" s="301">
        <f t="shared" ca="1" si="222"/>
        <v>0</v>
      </c>
      <c r="BW46" s="301">
        <f t="shared" ca="1" si="222"/>
        <v>0</v>
      </c>
      <c r="BX46" s="301">
        <f t="shared" ca="1" si="222"/>
        <v>0</v>
      </c>
      <c r="BY46" s="301">
        <f t="shared" ca="1" si="222"/>
        <v>0</v>
      </c>
      <c r="BZ46" s="301">
        <f t="shared" ca="1" si="222"/>
        <v>0</v>
      </c>
      <c r="CA46" s="301">
        <f t="shared" ca="1" si="222"/>
        <v>0</v>
      </c>
      <c r="CB46" s="301">
        <f t="shared" ca="1" si="222"/>
        <v>0</v>
      </c>
      <c r="CC46" s="301">
        <f t="shared" ca="1" si="222"/>
        <v>0</v>
      </c>
      <c r="CD46" s="301">
        <f t="shared" ca="1" si="222"/>
        <v>0</v>
      </c>
      <c r="CE46" s="301">
        <f t="shared" ca="1" si="222"/>
        <v>0</v>
      </c>
      <c r="CF46" s="301">
        <f t="shared" ca="1" si="222"/>
        <v>0</v>
      </c>
      <c r="CG46" s="301">
        <f t="shared" ca="1" si="222"/>
        <v>0</v>
      </c>
      <c r="CH46" s="301">
        <f t="shared" ca="1" si="222"/>
        <v>0</v>
      </c>
      <c r="CI46" s="301">
        <f t="shared" ca="1" si="222"/>
        <v>0</v>
      </c>
      <c r="CJ46" s="301">
        <f t="shared" ca="1" si="222"/>
        <v>0</v>
      </c>
      <c r="CK46" s="301">
        <f t="shared" ca="1" si="222"/>
        <v>0</v>
      </c>
      <c r="CL46" s="301">
        <f t="shared" ca="1" si="222"/>
        <v>0</v>
      </c>
      <c r="CM46" s="301">
        <f t="shared" ca="1" si="222"/>
        <v>0</v>
      </c>
      <c r="CN46" s="301">
        <f t="shared" ca="1" si="222"/>
        <v>0</v>
      </c>
      <c r="CO46" s="301">
        <f t="shared" ca="1" si="222"/>
        <v>0</v>
      </c>
      <c r="CP46" s="301">
        <f t="shared" ca="1" si="222"/>
        <v>0</v>
      </c>
      <c r="CQ46" s="301">
        <f t="shared" ca="1" si="222"/>
        <v>0</v>
      </c>
      <c r="CR46" s="301">
        <f t="shared" ca="1" si="222"/>
        <v>0</v>
      </c>
      <c r="CS46" s="301">
        <f t="shared" ca="1" si="222"/>
        <v>0</v>
      </c>
      <c r="CT46" s="301">
        <f t="shared" ca="1" si="222"/>
        <v>0</v>
      </c>
      <c r="CU46" s="301">
        <f t="shared" ca="1" si="222"/>
        <v>0</v>
      </c>
      <c r="CV46" s="301">
        <f t="shared" ca="1" si="222"/>
        <v>0</v>
      </c>
      <c r="CW46" s="301">
        <f t="shared" ca="1" si="222"/>
        <v>0</v>
      </c>
      <c r="CX46" s="301">
        <f t="shared" ca="1" si="222"/>
        <v>0</v>
      </c>
      <c r="CY46" s="301">
        <f t="shared" ca="1" si="222"/>
        <v>0</v>
      </c>
      <c r="CZ46" s="301">
        <f t="shared" ca="1" si="222"/>
        <v>0</v>
      </c>
      <c r="DA46" s="301">
        <f t="shared" ref="DA46:EE46" ca="1" si="223">DA36</f>
        <v>0</v>
      </c>
      <c r="DB46" s="301">
        <f t="shared" ca="1" si="223"/>
        <v>0</v>
      </c>
      <c r="DC46" s="301">
        <f t="shared" ca="1" si="223"/>
        <v>0</v>
      </c>
      <c r="DD46" s="301">
        <f t="shared" ca="1" si="223"/>
        <v>0</v>
      </c>
      <c r="DE46" s="301">
        <f t="shared" ca="1" si="223"/>
        <v>0</v>
      </c>
      <c r="DF46" s="301">
        <f t="shared" ca="1" si="223"/>
        <v>0</v>
      </c>
      <c r="DG46" s="301">
        <f t="shared" ca="1" si="223"/>
        <v>0</v>
      </c>
      <c r="DH46" s="301">
        <f t="shared" si="223"/>
        <v>0</v>
      </c>
      <c r="DI46" s="301">
        <f t="shared" si="223"/>
        <v>0</v>
      </c>
      <c r="DJ46" s="301">
        <f t="shared" si="223"/>
        <v>0</v>
      </c>
      <c r="DK46" s="301">
        <f t="shared" si="223"/>
        <v>0</v>
      </c>
      <c r="DL46" s="301">
        <f t="shared" si="223"/>
        <v>0</v>
      </c>
      <c r="DM46" s="301">
        <f t="shared" si="223"/>
        <v>0</v>
      </c>
      <c r="DN46" s="301">
        <f t="shared" si="223"/>
        <v>0</v>
      </c>
      <c r="DO46" s="301">
        <f t="shared" si="223"/>
        <v>0</v>
      </c>
      <c r="DP46" s="301">
        <f t="shared" si="223"/>
        <v>0</v>
      </c>
      <c r="DQ46" s="301">
        <f t="shared" si="223"/>
        <v>0</v>
      </c>
      <c r="DR46" s="301">
        <f t="shared" si="223"/>
        <v>0</v>
      </c>
      <c r="DS46" s="301">
        <f t="shared" si="223"/>
        <v>0</v>
      </c>
      <c r="DT46" s="301">
        <f t="shared" si="223"/>
        <v>0</v>
      </c>
      <c r="DU46" s="301">
        <f t="shared" si="223"/>
        <v>0</v>
      </c>
      <c r="DV46" s="301">
        <f t="shared" si="223"/>
        <v>0</v>
      </c>
      <c r="DW46" s="301">
        <f t="shared" si="223"/>
        <v>0</v>
      </c>
      <c r="DX46" s="301">
        <f t="shared" si="223"/>
        <v>0</v>
      </c>
      <c r="DY46" s="301">
        <f t="shared" si="223"/>
        <v>0</v>
      </c>
      <c r="DZ46" s="301">
        <f t="shared" si="223"/>
        <v>0</v>
      </c>
      <c r="EA46" s="301">
        <f t="shared" si="223"/>
        <v>0</v>
      </c>
      <c r="EB46" s="301">
        <f t="shared" si="223"/>
        <v>0</v>
      </c>
      <c r="EC46" s="301">
        <f t="shared" si="223"/>
        <v>0</v>
      </c>
      <c r="ED46" s="301">
        <f t="shared" si="223"/>
        <v>0</v>
      </c>
      <c r="EE46" s="301">
        <f t="shared" si="223"/>
        <v>0</v>
      </c>
    </row>
    <row r="47" spans="2:135">
      <c r="C47" s="314" t="str">
        <f>C37</f>
        <v>Ending Capital Balance</v>
      </c>
      <c r="D47" s="314"/>
      <c r="E47" s="314"/>
      <c r="F47" s="314"/>
      <c r="G47" s="315"/>
      <c r="H47" s="315"/>
      <c r="I47" s="315">
        <f t="shared" ref="I47:AN47" si="224">SUM(I42:I46)</f>
        <v>13708</v>
      </c>
      <c r="J47" s="315">
        <f t="shared" ca="1" si="224"/>
        <v>13805.439792219633</v>
      </c>
      <c r="K47" s="315">
        <f t="shared" ca="1" si="224"/>
        <v>13906.855276662289</v>
      </c>
      <c r="L47" s="315">
        <f t="shared" ca="1" si="224"/>
        <v>14005.708580469298</v>
      </c>
      <c r="M47" s="315">
        <f t="shared" ca="1" si="224"/>
        <v>14108.59524992922</v>
      </c>
      <c r="N47" s="315">
        <f t="shared" ca="1" si="224"/>
        <v>14359.707570447459</v>
      </c>
      <c r="O47" s="315">
        <f t="shared" ca="1" si="224"/>
        <v>14465.194735045616</v>
      </c>
      <c r="P47" s="315">
        <f t="shared" ca="1" si="224"/>
        <v>14571.456813884914</v>
      </c>
      <c r="Q47" s="315">
        <f t="shared" ca="1" si="224"/>
        <v>14668.10625526281</v>
      </c>
      <c r="R47" s="315">
        <f t="shared" ca="1" si="224"/>
        <v>14775.858932766949</v>
      </c>
      <c r="S47" s="315">
        <f t="shared" ca="1" si="224"/>
        <v>14880.889325550392</v>
      </c>
      <c r="T47" s="315">
        <f t="shared" ca="1" si="224"/>
        <v>14990.205118643689</v>
      </c>
      <c r="U47" s="315">
        <f t="shared" ca="1" si="224"/>
        <v>15096.759136158304</v>
      </c>
      <c r="V47" s="315">
        <f t="shared" ca="1" si="224"/>
        <v>15286.835720196968</v>
      </c>
      <c r="W47" s="315">
        <f t="shared" ca="1" si="224"/>
        <v>15399.133616786456</v>
      </c>
      <c r="X47" s="315">
        <f t="shared" ca="1" si="224"/>
        <v>15508.594397351239</v>
      </c>
      <c r="Y47" s="315">
        <f t="shared" ca="1" si="224"/>
        <v>15622.52134480846</v>
      </c>
      <c r="Z47" s="315">
        <f t="shared" ca="1" si="224"/>
        <v>15733.570019581215</v>
      </c>
      <c r="AA47" s="315">
        <f t="shared" ca="1" si="224"/>
        <v>15849.149649753341</v>
      </c>
      <c r="AB47" s="315">
        <f t="shared" ca="1" si="224"/>
        <v>15965.578333947795</v>
      </c>
      <c r="AC47" s="315">
        <f t="shared" ca="1" si="224"/>
        <v>16071.474693313918</v>
      </c>
      <c r="AD47" s="315">
        <f t="shared" ca="1" si="224"/>
        <v>16189.536588933417</v>
      </c>
      <c r="AE47" s="315">
        <f t="shared" ca="1" si="224"/>
        <v>16614.61574572929</v>
      </c>
      <c r="AF47" s="315">
        <f t="shared" ca="1" si="224"/>
        <v>16736.66758399317</v>
      </c>
      <c r="AG47" s="315">
        <f t="shared" ca="1" si="224"/>
        <v>16855.635880742029</v>
      </c>
      <c r="AH47" s="315">
        <f t="shared" ca="1" si="224"/>
        <v>16979.458265552825</v>
      </c>
      <c r="AI47" s="315">
        <f t="shared" ca="1" si="224"/>
        <v>17104.19025609364</v>
      </c>
      <c r="AJ47" s="315">
        <f t="shared" ca="1" si="224"/>
        <v>17225.770993228074</v>
      </c>
      <c r="AK47" s="315">
        <f t="shared" ca="1" si="224"/>
        <v>17352.312409978957</v>
      </c>
      <c r="AL47" s="315">
        <f t="shared" ca="1" si="224"/>
        <v>17475.656859625771</v>
      </c>
      <c r="AM47" s="315">
        <f t="shared" ca="1" si="224"/>
        <v>17604.033951051093</v>
      </c>
      <c r="AN47" s="315">
        <f t="shared" ca="1" si="224"/>
        <v>17733.354107319999</v>
      </c>
      <c r="AO47" s="315">
        <f t="shared" ref="AO47:CZ47" ca="1" si="225">SUM(AO42:AO46)</f>
        <v>17850.975755595809</v>
      </c>
      <c r="AP47" s="315">
        <f t="shared" ca="1" si="225"/>
        <v>17982.109959306446</v>
      </c>
      <c r="AQ47" s="315">
        <f t="shared" ca="1" si="225"/>
        <v>18109.931162844921</v>
      </c>
      <c r="AR47" s="315">
        <f t="shared" ca="1" si="225"/>
        <v>18242.967666552551</v>
      </c>
      <c r="AS47" s="315">
        <f t="shared" ca="1" si="225"/>
        <v>18372.643110008808</v>
      </c>
      <c r="AT47" s="315">
        <f t="shared" ca="1" si="225"/>
        <v>18507.609509452574</v>
      </c>
      <c r="AU47" s="315">
        <f t="shared" ca="1" si="225"/>
        <v>18643.56737914206</v>
      </c>
      <c r="AV47" s="315">
        <f t="shared" ca="1" si="225"/>
        <v>18776.090382618593</v>
      </c>
      <c r="AW47" s="315">
        <f t="shared" ca="1" si="225"/>
        <v>18914.020526877055</v>
      </c>
      <c r="AX47" s="315">
        <f t="shared" ca="1" si="225"/>
        <v>19048.46597699208</v>
      </c>
      <c r="AY47" s="315">
        <f t="shared" ca="1" si="225"/>
        <v>19329.477006645684</v>
      </c>
      <c r="AZ47" s="315">
        <f t="shared" ca="1" si="225"/>
        <v>19471.472358054692</v>
      </c>
      <c r="BA47" s="315">
        <f t="shared" ca="1" si="225"/>
        <v>19853.450900652322</v>
      </c>
      <c r="BB47" s="315">
        <f t="shared" ca="1" si="225"/>
        <v>20319.295391755233</v>
      </c>
      <c r="BC47" s="315">
        <f t="shared" ca="1" si="225"/>
        <v>20463.729876802066</v>
      </c>
      <c r="BD47" s="315">
        <f t="shared" ca="1" si="225"/>
        <v>20614.057509256712</v>
      </c>
      <c r="BE47" s="315">
        <f t="shared" ca="1" si="225"/>
        <v>21377.587235001207</v>
      </c>
      <c r="BF47" s="315">
        <f t="shared" ca="1" si="225"/>
        <v>21534.628111516755</v>
      </c>
      <c r="BG47" s="315">
        <f t="shared" ca="1" si="225"/>
        <v>21692.822618543814</v>
      </c>
      <c r="BH47" s="315">
        <f t="shared" ca="1" si="225"/>
        <v>21847.020468602779</v>
      </c>
      <c r="BI47" s="315">
        <f t="shared" ca="1" si="225"/>
        <v>22007.509826261681</v>
      </c>
      <c r="BJ47" s="315">
        <f t="shared" ca="1" si="225"/>
        <v>22163.944549397256</v>
      </c>
      <c r="BK47" s="315">
        <f t="shared" ca="1" si="225"/>
        <v>22326.762047967935</v>
      </c>
      <c r="BL47" s="315">
        <f t="shared" ca="1" si="225"/>
        <v>22710.227612418574</v>
      </c>
      <c r="BM47" s="315">
        <f t="shared" ca="1" si="225"/>
        <v>22860.859827188866</v>
      </c>
      <c r="BN47" s="315">
        <f t="shared" ca="1" si="225"/>
        <v>23028.796901924914</v>
      </c>
      <c r="BO47" s="315">
        <f t="shared" ca="1" si="225"/>
        <v>23192.491181556641</v>
      </c>
      <c r="BP47" s="315">
        <f t="shared" ca="1" si="225"/>
        <v>23451.364437607142</v>
      </c>
      <c r="BQ47" s="315">
        <f t="shared" ca="1" si="225"/>
        <v>23618.062429879345</v>
      </c>
      <c r="BR47" s="315">
        <f t="shared" ca="1" si="225"/>
        <v>23791.561954629942</v>
      </c>
      <c r="BS47" s="315">
        <f t="shared" ca="1" si="225"/>
        <v>23966.336015984805</v>
      </c>
      <c r="BT47" s="315">
        <f t="shared" ca="1" si="225"/>
        <v>24136.694551268105</v>
      </c>
      <c r="BU47" s="315">
        <f t="shared" ca="1" si="225"/>
        <v>24314.00397477092</v>
      </c>
      <c r="BV47" s="315">
        <f t="shared" ca="1" si="225"/>
        <v>24486.833818316951</v>
      </c>
      <c r="BW47" s="315">
        <f t="shared" ca="1" si="225"/>
        <v>24666.715383231021</v>
      </c>
      <c r="BX47" s="315">
        <f t="shared" ca="1" si="225"/>
        <v>24847.918367550963</v>
      </c>
      <c r="BY47" s="315">
        <f t="shared" ca="1" si="225"/>
        <v>25012.729440342187</v>
      </c>
      <c r="BZ47" s="315">
        <f t="shared" ca="1" si="225"/>
        <v>25196.474262064927</v>
      </c>
      <c r="CA47" s="315">
        <f t="shared" ca="1" si="225"/>
        <v>25375.576918671504</v>
      </c>
      <c r="CB47" s="315">
        <f t="shared" ca="1" si="225"/>
        <v>25561.987236991772</v>
      </c>
      <c r="CC47" s="315">
        <f t="shared" ca="1" si="225"/>
        <v>25743.688048568471</v>
      </c>
      <c r="CD47" s="315">
        <f t="shared" ca="1" si="225"/>
        <v>25932.802530546622</v>
      </c>
      <c r="CE47" s="315">
        <f t="shared" ca="1" si="225"/>
        <v>26123.306257423421</v>
      </c>
      <c r="CF47" s="315">
        <f t="shared" ca="1" si="225"/>
        <v>26308.997060882219</v>
      </c>
      <c r="CG47" s="315">
        <f t="shared" ca="1" si="225"/>
        <v>26502.264332500286</v>
      </c>
      <c r="CH47" s="315">
        <f t="shared" ca="1" si="225"/>
        <v>26690.648861965463</v>
      </c>
      <c r="CI47" s="315">
        <f t="shared" ca="1" si="225"/>
        <v>26886.719767721799</v>
      </c>
      <c r="CJ47" s="315">
        <f t="shared" ca="1" si="225"/>
        <v>27084.231020630537</v>
      </c>
      <c r="CK47" s="315">
        <f t="shared" ca="1" si="225"/>
        <v>27263.875089972971</v>
      </c>
      <c r="CL47" s="315">
        <f t="shared" ca="1" si="225"/>
        <v>27464.156945650757</v>
      </c>
      <c r="CM47" s="315">
        <f t="shared" ca="1" si="225"/>
        <v>27659.378841351925</v>
      </c>
      <c r="CN47" s="315">
        <f t="shared" ca="1" si="225"/>
        <v>27862.566088321018</v>
      </c>
      <c r="CO47" s="315">
        <f t="shared" ca="1" si="225"/>
        <v>28060.619972939621</v>
      </c>
      <c r="CP47" s="315">
        <f t="shared" ca="1" si="225"/>
        <v>28266.754758295807</v>
      </c>
      <c r="CQ47" s="315">
        <f t="shared" ca="1" si="225"/>
        <v>28474.40382059152</v>
      </c>
      <c r="CR47" s="315">
        <f t="shared" ca="1" si="225"/>
        <v>28676.806796361609</v>
      </c>
      <c r="CS47" s="315">
        <f t="shared" ca="1" si="225"/>
        <v>28887.468122425304</v>
      </c>
      <c r="CT47" s="315">
        <f t="shared" ca="1" si="225"/>
        <v>29092.807259542344</v>
      </c>
      <c r="CU47" s="315">
        <f t="shared" ca="1" si="225"/>
        <v>29306.524546816749</v>
      </c>
      <c r="CV47" s="315">
        <f t="shared" ca="1" si="225"/>
        <v>29521.811812487274</v>
      </c>
      <c r="CW47" s="315">
        <f t="shared" ca="1" si="225"/>
        <v>29724.641104822851</v>
      </c>
      <c r="CX47" s="315">
        <f t="shared" ca="1" si="225"/>
        <v>29942.999876647609</v>
      </c>
      <c r="CY47" s="315">
        <f t="shared" ca="1" si="225"/>
        <v>30155.841989750399</v>
      </c>
      <c r="CZ47" s="315">
        <f t="shared" ca="1" si="225"/>
        <v>30377.36838588088</v>
      </c>
      <c r="DA47" s="315">
        <f t="shared" ref="DA47:EE47" ca="1" si="226">SUM(DA42:DA46)</f>
        <v>30593.29809580935</v>
      </c>
      <c r="DB47" s="315">
        <f t="shared" ca="1" si="226"/>
        <v>30818.038067427904</v>
      </c>
      <c r="DC47" s="315">
        <f t="shared" ca="1" si="226"/>
        <v>31044.428990659617</v>
      </c>
      <c r="DD47" s="315">
        <f t="shared" ca="1" si="226"/>
        <v>31265.100329325142</v>
      </c>
      <c r="DE47" s="315">
        <f t="shared" ca="1" si="226"/>
        <v>31494.775395369306</v>
      </c>
      <c r="DF47" s="315">
        <f t="shared" ca="1" si="226"/>
        <v>31718.647905620895</v>
      </c>
      <c r="DG47" s="315">
        <f t="shared" ca="1" si="226"/>
        <v>31951.654755937063</v>
      </c>
      <c r="DH47" s="315">
        <f t="shared" ca="1" si="226"/>
        <v>32186.37328679068</v>
      </c>
      <c r="DI47" s="315">
        <f t="shared" ca="1" si="226"/>
        <v>32186.37328679068</v>
      </c>
      <c r="DJ47" s="315">
        <f t="shared" ca="1" si="226"/>
        <v>32186.37328679068</v>
      </c>
      <c r="DK47" s="315">
        <f t="shared" ca="1" si="226"/>
        <v>32186.37328679068</v>
      </c>
      <c r="DL47" s="315">
        <f t="shared" ca="1" si="226"/>
        <v>32186.37328679068</v>
      </c>
      <c r="DM47" s="315">
        <f t="shared" ca="1" si="226"/>
        <v>32186.37328679068</v>
      </c>
      <c r="DN47" s="315">
        <f t="shared" ca="1" si="226"/>
        <v>32186.37328679068</v>
      </c>
      <c r="DO47" s="315">
        <f t="shared" ca="1" si="226"/>
        <v>32186.37328679068</v>
      </c>
      <c r="DP47" s="315">
        <f t="shared" ca="1" si="226"/>
        <v>32186.37328679068</v>
      </c>
      <c r="DQ47" s="315">
        <f t="shared" ca="1" si="226"/>
        <v>32186.37328679068</v>
      </c>
      <c r="DR47" s="315">
        <f t="shared" ca="1" si="226"/>
        <v>32186.37328679068</v>
      </c>
      <c r="DS47" s="315">
        <f t="shared" ca="1" si="226"/>
        <v>32186.37328679068</v>
      </c>
      <c r="DT47" s="315">
        <f t="shared" ca="1" si="226"/>
        <v>32186.37328679068</v>
      </c>
      <c r="DU47" s="315">
        <f t="shared" ca="1" si="226"/>
        <v>32186.37328679068</v>
      </c>
      <c r="DV47" s="315">
        <f t="shared" ca="1" si="226"/>
        <v>32186.37328679068</v>
      </c>
      <c r="DW47" s="315">
        <f t="shared" ca="1" si="226"/>
        <v>32186.37328679068</v>
      </c>
      <c r="DX47" s="315">
        <f t="shared" ca="1" si="226"/>
        <v>32186.37328679068</v>
      </c>
      <c r="DY47" s="315">
        <f t="shared" ca="1" si="226"/>
        <v>32186.37328679068</v>
      </c>
      <c r="DZ47" s="315">
        <f t="shared" ca="1" si="226"/>
        <v>32186.37328679068</v>
      </c>
      <c r="EA47" s="315">
        <f t="shared" ca="1" si="226"/>
        <v>32186.37328679068</v>
      </c>
      <c r="EB47" s="315">
        <f t="shared" ca="1" si="226"/>
        <v>32186.37328679068</v>
      </c>
      <c r="EC47" s="315">
        <f t="shared" ca="1" si="226"/>
        <v>32186.37328679068</v>
      </c>
      <c r="ED47" s="315">
        <f t="shared" ca="1" si="226"/>
        <v>32186.37328679068</v>
      </c>
      <c r="EE47" s="315">
        <f t="shared" ca="1" si="226"/>
        <v>32186.37328679068</v>
      </c>
    </row>
    <row r="48" spans="2:135">
      <c r="G48" s="266"/>
      <c r="H48" s="266"/>
      <c r="I48" s="301"/>
      <c r="J48" s="301"/>
      <c r="K48" s="301"/>
      <c r="L48" s="301"/>
      <c r="M48" s="301"/>
      <c r="N48" s="301"/>
      <c r="O48" s="301"/>
      <c r="P48" s="301"/>
      <c r="Q48" s="301"/>
      <c r="R48" s="301"/>
      <c r="S48" s="301"/>
      <c r="T48" s="301"/>
      <c r="U48" s="301"/>
      <c r="V48" s="301"/>
      <c r="W48" s="301"/>
      <c r="X48" s="301"/>
      <c r="Y48" s="301"/>
      <c r="Z48" s="301"/>
      <c r="AA48" s="301"/>
      <c r="AB48" s="301"/>
      <c r="AC48" s="301"/>
      <c r="AD48" s="301"/>
      <c r="AE48" s="301"/>
      <c r="AF48" s="301"/>
      <c r="AG48" s="301"/>
      <c r="AH48" s="301"/>
      <c r="AI48" s="301"/>
      <c r="AJ48" s="301"/>
      <c r="AK48" s="301"/>
      <c r="AL48" s="301"/>
      <c r="AM48" s="301"/>
      <c r="AN48" s="301"/>
      <c r="AO48" s="301"/>
      <c r="AP48" s="301"/>
      <c r="AQ48" s="301"/>
      <c r="AR48" s="301"/>
      <c r="AS48" s="301"/>
      <c r="AT48" s="301"/>
      <c r="AU48" s="301"/>
      <c r="AV48" s="301"/>
      <c r="AW48" s="301"/>
      <c r="AX48" s="301"/>
      <c r="AY48" s="301"/>
      <c r="AZ48" s="301"/>
      <c r="BA48" s="301"/>
      <c r="BB48" s="301"/>
      <c r="BC48" s="301"/>
      <c r="BD48" s="301"/>
      <c r="BE48" s="301"/>
      <c r="BF48" s="301"/>
      <c r="BG48" s="301"/>
      <c r="BH48" s="301"/>
      <c r="BI48" s="301"/>
      <c r="BJ48" s="301"/>
      <c r="BK48" s="301"/>
      <c r="BL48" s="301"/>
      <c r="BM48" s="301"/>
      <c r="BN48" s="301"/>
      <c r="BO48" s="301"/>
      <c r="BP48" s="301"/>
      <c r="BQ48" s="301"/>
      <c r="BR48" s="301"/>
      <c r="BS48" s="301"/>
      <c r="BT48" s="301"/>
      <c r="BU48" s="301"/>
      <c r="BV48" s="301"/>
      <c r="BW48" s="301"/>
      <c r="BX48" s="301"/>
      <c r="BY48" s="301"/>
      <c r="BZ48" s="301"/>
      <c r="CA48" s="301"/>
      <c r="CB48" s="301"/>
      <c r="CC48" s="301"/>
      <c r="CD48" s="301"/>
      <c r="CE48" s="301"/>
      <c r="CF48" s="301"/>
      <c r="CG48" s="301"/>
      <c r="CH48" s="301"/>
      <c r="CI48" s="301"/>
      <c r="CJ48" s="301"/>
      <c r="CK48" s="301"/>
      <c r="CL48" s="301"/>
      <c r="CM48" s="301"/>
      <c r="CN48" s="301"/>
      <c r="CO48" s="301"/>
      <c r="CP48" s="301"/>
      <c r="CQ48" s="301"/>
      <c r="CR48" s="301"/>
      <c r="CS48" s="301"/>
      <c r="CT48" s="301"/>
      <c r="CU48" s="301"/>
      <c r="CV48" s="301"/>
      <c r="CW48" s="301"/>
      <c r="CX48" s="301"/>
      <c r="CY48" s="301"/>
      <c r="CZ48" s="301"/>
      <c r="DA48" s="301"/>
      <c r="DB48" s="301"/>
      <c r="DC48" s="301"/>
      <c r="DD48" s="301"/>
      <c r="DE48" s="301"/>
      <c r="DF48" s="301"/>
      <c r="DG48" s="301"/>
      <c r="DH48" s="301"/>
      <c r="DI48" s="301"/>
      <c r="DJ48" s="301"/>
      <c r="DK48" s="301"/>
      <c r="DL48" s="301"/>
      <c r="DM48" s="301"/>
      <c r="DN48" s="301"/>
      <c r="DO48" s="301"/>
      <c r="DP48" s="301"/>
      <c r="DQ48" s="301"/>
      <c r="DR48" s="301"/>
      <c r="DS48" s="301"/>
      <c r="DT48" s="301"/>
      <c r="DU48" s="301"/>
      <c r="DV48" s="301"/>
      <c r="DW48" s="301"/>
      <c r="DX48" s="301"/>
      <c r="DY48" s="301"/>
      <c r="DZ48" s="301"/>
      <c r="EA48" s="301"/>
      <c r="EB48" s="301"/>
      <c r="EC48" s="301"/>
      <c r="ED48" s="301"/>
      <c r="EE48" s="301"/>
    </row>
    <row r="49" spans="2:135">
      <c r="C49" s="265" t="s">
        <v>178</v>
      </c>
      <c r="F49" s="317">
        <f>G17</f>
        <v>0</v>
      </c>
      <c r="G49" s="301">
        <f ca="1">SUMIF($I$8:$EE$8, "&lt;="&amp;$E$8, $I49:$EE49)</f>
        <v>0</v>
      </c>
      <c r="H49" s="301"/>
      <c r="I49" s="301">
        <f>(I45/$F$45)*$F$49</f>
        <v>0</v>
      </c>
      <c r="J49" s="301">
        <f t="shared" ref="J49:BT49" si="227">(J45/$F$45)*$F$49</f>
        <v>0</v>
      </c>
      <c r="K49" s="301">
        <f t="shared" ca="1" si="227"/>
        <v>0</v>
      </c>
      <c r="L49" s="301">
        <f t="shared" ca="1" si="227"/>
        <v>0</v>
      </c>
      <c r="M49" s="301">
        <f t="shared" ca="1" si="227"/>
        <v>0</v>
      </c>
      <c r="N49" s="301">
        <f t="shared" ca="1" si="227"/>
        <v>0</v>
      </c>
      <c r="O49" s="301">
        <f t="shared" ca="1" si="227"/>
        <v>0</v>
      </c>
      <c r="P49" s="301">
        <f t="shared" ca="1" si="227"/>
        <v>0</v>
      </c>
      <c r="Q49" s="301">
        <f t="shared" ca="1" si="227"/>
        <v>0</v>
      </c>
      <c r="R49" s="301">
        <f t="shared" ca="1" si="227"/>
        <v>0</v>
      </c>
      <c r="S49" s="301">
        <f t="shared" ca="1" si="227"/>
        <v>0</v>
      </c>
      <c r="T49" s="301">
        <f t="shared" ca="1" si="227"/>
        <v>0</v>
      </c>
      <c r="U49" s="301">
        <f t="shared" ca="1" si="227"/>
        <v>0</v>
      </c>
      <c r="V49" s="301">
        <f t="shared" ca="1" si="227"/>
        <v>0</v>
      </c>
      <c r="W49" s="301">
        <f t="shared" ca="1" si="227"/>
        <v>0</v>
      </c>
      <c r="X49" s="301">
        <f t="shared" ca="1" si="227"/>
        <v>0</v>
      </c>
      <c r="Y49" s="301">
        <f t="shared" ca="1" si="227"/>
        <v>0</v>
      </c>
      <c r="Z49" s="301">
        <f t="shared" ca="1" si="227"/>
        <v>0</v>
      </c>
      <c r="AA49" s="301">
        <f t="shared" ca="1" si="227"/>
        <v>0</v>
      </c>
      <c r="AB49" s="301">
        <f t="shared" ca="1" si="227"/>
        <v>0</v>
      </c>
      <c r="AC49" s="301">
        <f t="shared" ca="1" si="227"/>
        <v>0</v>
      </c>
      <c r="AD49" s="301">
        <f t="shared" ca="1" si="227"/>
        <v>0</v>
      </c>
      <c r="AE49" s="301">
        <f t="shared" ca="1" si="227"/>
        <v>0</v>
      </c>
      <c r="AF49" s="301">
        <f t="shared" ca="1" si="227"/>
        <v>0</v>
      </c>
      <c r="AG49" s="301">
        <f t="shared" ca="1" si="227"/>
        <v>0</v>
      </c>
      <c r="AH49" s="301">
        <f t="shared" ca="1" si="227"/>
        <v>0</v>
      </c>
      <c r="AI49" s="301">
        <f t="shared" ca="1" si="227"/>
        <v>0</v>
      </c>
      <c r="AJ49" s="301">
        <f t="shared" ca="1" si="227"/>
        <v>0</v>
      </c>
      <c r="AK49" s="301">
        <f t="shared" ca="1" si="227"/>
        <v>0</v>
      </c>
      <c r="AL49" s="301">
        <f t="shared" ca="1" si="227"/>
        <v>0</v>
      </c>
      <c r="AM49" s="301">
        <f t="shared" ca="1" si="227"/>
        <v>0</v>
      </c>
      <c r="AN49" s="301">
        <f t="shared" ca="1" si="227"/>
        <v>0</v>
      </c>
      <c r="AO49" s="301">
        <f t="shared" ca="1" si="227"/>
        <v>0</v>
      </c>
      <c r="AP49" s="301">
        <f t="shared" ca="1" si="227"/>
        <v>0</v>
      </c>
      <c r="AQ49" s="301">
        <f t="shared" ca="1" si="227"/>
        <v>0</v>
      </c>
      <c r="AR49" s="301">
        <f t="shared" ca="1" si="227"/>
        <v>0</v>
      </c>
      <c r="AS49" s="301">
        <f t="shared" ca="1" si="227"/>
        <v>0</v>
      </c>
      <c r="AT49" s="301">
        <f t="shared" ca="1" si="227"/>
        <v>0</v>
      </c>
      <c r="AU49" s="301">
        <f t="shared" ca="1" si="227"/>
        <v>0</v>
      </c>
      <c r="AV49" s="301">
        <f t="shared" ca="1" si="227"/>
        <v>0</v>
      </c>
      <c r="AW49" s="301">
        <f t="shared" ca="1" si="227"/>
        <v>0</v>
      </c>
      <c r="AX49" s="301">
        <f t="shared" ca="1" si="227"/>
        <v>0</v>
      </c>
      <c r="AY49" s="301">
        <f t="shared" ca="1" si="227"/>
        <v>0</v>
      </c>
      <c r="AZ49" s="301">
        <f t="shared" ca="1" si="227"/>
        <v>0</v>
      </c>
      <c r="BA49" s="301">
        <f t="shared" ca="1" si="227"/>
        <v>0</v>
      </c>
      <c r="BB49" s="301">
        <f t="shared" ca="1" si="227"/>
        <v>0</v>
      </c>
      <c r="BC49" s="301">
        <f t="shared" ca="1" si="227"/>
        <v>0</v>
      </c>
      <c r="BD49" s="301">
        <f t="shared" ca="1" si="227"/>
        <v>0</v>
      </c>
      <c r="BE49" s="301">
        <f t="shared" ca="1" si="227"/>
        <v>0</v>
      </c>
      <c r="BF49" s="301">
        <f t="shared" ca="1" si="227"/>
        <v>0</v>
      </c>
      <c r="BG49" s="301">
        <f t="shared" ca="1" si="227"/>
        <v>0</v>
      </c>
      <c r="BH49" s="301">
        <f t="shared" ca="1" si="227"/>
        <v>0</v>
      </c>
      <c r="BI49" s="301">
        <f t="shared" ca="1" si="227"/>
        <v>0</v>
      </c>
      <c r="BJ49" s="301">
        <f t="shared" ca="1" si="227"/>
        <v>0</v>
      </c>
      <c r="BK49" s="301">
        <f t="shared" ca="1" si="227"/>
        <v>0</v>
      </c>
      <c r="BL49" s="301">
        <f t="shared" ca="1" si="227"/>
        <v>0</v>
      </c>
      <c r="BM49" s="301">
        <f t="shared" ca="1" si="227"/>
        <v>0</v>
      </c>
      <c r="BN49" s="301">
        <f t="shared" ca="1" si="227"/>
        <v>0</v>
      </c>
      <c r="BO49" s="301">
        <f t="shared" ca="1" si="227"/>
        <v>0</v>
      </c>
      <c r="BP49" s="301">
        <f t="shared" ca="1" si="227"/>
        <v>0</v>
      </c>
      <c r="BQ49" s="301">
        <f t="shared" ca="1" si="227"/>
        <v>0</v>
      </c>
      <c r="BR49" s="301">
        <f t="shared" ca="1" si="227"/>
        <v>0</v>
      </c>
      <c r="BS49" s="301">
        <f t="shared" ca="1" si="227"/>
        <v>0</v>
      </c>
      <c r="BT49" s="301">
        <f t="shared" ca="1" si="227"/>
        <v>0</v>
      </c>
      <c r="BU49" s="301">
        <f t="shared" ref="BU49:CZ49" ca="1" si="228">(BU45/$F$45)*$F$49</f>
        <v>0</v>
      </c>
      <c r="BV49" s="301">
        <f t="shared" ca="1" si="228"/>
        <v>0</v>
      </c>
      <c r="BW49" s="301">
        <f t="shared" ca="1" si="228"/>
        <v>0</v>
      </c>
      <c r="BX49" s="301">
        <f t="shared" ca="1" si="228"/>
        <v>0</v>
      </c>
      <c r="BY49" s="301">
        <f t="shared" ca="1" si="228"/>
        <v>0</v>
      </c>
      <c r="BZ49" s="301">
        <f t="shared" ca="1" si="228"/>
        <v>0</v>
      </c>
      <c r="CA49" s="301">
        <f t="shared" ca="1" si="228"/>
        <v>0</v>
      </c>
      <c r="CB49" s="301">
        <f t="shared" ca="1" si="228"/>
        <v>0</v>
      </c>
      <c r="CC49" s="301">
        <f t="shared" ca="1" si="228"/>
        <v>0</v>
      </c>
      <c r="CD49" s="301">
        <f t="shared" ca="1" si="228"/>
        <v>0</v>
      </c>
      <c r="CE49" s="301">
        <f t="shared" ca="1" si="228"/>
        <v>0</v>
      </c>
      <c r="CF49" s="301">
        <f t="shared" ca="1" si="228"/>
        <v>0</v>
      </c>
      <c r="CG49" s="301">
        <f t="shared" ca="1" si="228"/>
        <v>0</v>
      </c>
      <c r="CH49" s="301">
        <f t="shared" ca="1" si="228"/>
        <v>0</v>
      </c>
      <c r="CI49" s="301">
        <f t="shared" ca="1" si="228"/>
        <v>0</v>
      </c>
      <c r="CJ49" s="301">
        <f t="shared" ca="1" si="228"/>
        <v>0</v>
      </c>
      <c r="CK49" s="301">
        <f t="shared" ca="1" si="228"/>
        <v>0</v>
      </c>
      <c r="CL49" s="301">
        <f t="shared" ca="1" si="228"/>
        <v>0</v>
      </c>
      <c r="CM49" s="301">
        <f t="shared" ca="1" si="228"/>
        <v>0</v>
      </c>
      <c r="CN49" s="301">
        <f t="shared" ca="1" si="228"/>
        <v>0</v>
      </c>
      <c r="CO49" s="301">
        <f t="shared" ca="1" si="228"/>
        <v>0</v>
      </c>
      <c r="CP49" s="301">
        <f t="shared" ca="1" si="228"/>
        <v>0</v>
      </c>
      <c r="CQ49" s="301">
        <f t="shared" ca="1" si="228"/>
        <v>0</v>
      </c>
      <c r="CR49" s="301">
        <f t="shared" ca="1" si="228"/>
        <v>0</v>
      </c>
      <c r="CS49" s="301">
        <f t="shared" ca="1" si="228"/>
        <v>0</v>
      </c>
      <c r="CT49" s="301">
        <f t="shared" ca="1" si="228"/>
        <v>0</v>
      </c>
      <c r="CU49" s="301">
        <f t="shared" ca="1" si="228"/>
        <v>0</v>
      </c>
      <c r="CV49" s="301">
        <f t="shared" ca="1" si="228"/>
        <v>0</v>
      </c>
      <c r="CW49" s="301">
        <f t="shared" ca="1" si="228"/>
        <v>0</v>
      </c>
      <c r="CX49" s="301">
        <f t="shared" ca="1" si="228"/>
        <v>0</v>
      </c>
      <c r="CY49" s="301">
        <f t="shared" ca="1" si="228"/>
        <v>0</v>
      </c>
      <c r="CZ49" s="301">
        <f t="shared" ca="1" si="228"/>
        <v>0</v>
      </c>
      <c r="DA49" s="301">
        <f t="shared" ref="DA49:EE49" ca="1" si="229">(DA45/$F$45)*$F$49</f>
        <v>0</v>
      </c>
      <c r="DB49" s="301">
        <f t="shared" ca="1" si="229"/>
        <v>0</v>
      </c>
      <c r="DC49" s="301">
        <f t="shared" ca="1" si="229"/>
        <v>0</v>
      </c>
      <c r="DD49" s="301">
        <f t="shared" ca="1" si="229"/>
        <v>0</v>
      </c>
      <c r="DE49" s="301">
        <f t="shared" ca="1" si="229"/>
        <v>0</v>
      </c>
      <c r="DF49" s="301">
        <f t="shared" ca="1" si="229"/>
        <v>0</v>
      </c>
      <c r="DG49" s="301">
        <f t="shared" ca="1" si="229"/>
        <v>0</v>
      </c>
      <c r="DH49" s="301">
        <f t="shared" ca="1" si="229"/>
        <v>0</v>
      </c>
      <c r="DI49" s="301">
        <f t="shared" ca="1" si="229"/>
        <v>0</v>
      </c>
      <c r="DJ49" s="301">
        <f t="shared" ca="1" si="229"/>
        <v>0</v>
      </c>
      <c r="DK49" s="301">
        <f t="shared" ca="1" si="229"/>
        <v>0</v>
      </c>
      <c r="DL49" s="301">
        <f t="shared" ca="1" si="229"/>
        <v>0</v>
      </c>
      <c r="DM49" s="301">
        <f t="shared" ca="1" si="229"/>
        <v>0</v>
      </c>
      <c r="DN49" s="301">
        <f t="shared" ca="1" si="229"/>
        <v>0</v>
      </c>
      <c r="DO49" s="301">
        <f t="shared" ca="1" si="229"/>
        <v>0</v>
      </c>
      <c r="DP49" s="301">
        <f t="shared" ca="1" si="229"/>
        <v>0</v>
      </c>
      <c r="DQ49" s="301">
        <f t="shared" ca="1" si="229"/>
        <v>0</v>
      </c>
      <c r="DR49" s="301">
        <f t="shared" ca="1" si="229"/>
        <v>0</v>
      </c>
      <c r="DS49" s="301">
        <f t="shared" ca="1" si="229"/>
        <v>0</v>
      </c>
      <c r="DT49" s="301">
        <f t="shared" ca="1" si="229"/>
        <v>0</v>
      </c>
      <c r="DU49" s="301">
        <f t="shared" ca="1" si="229"/>
        <v>0</v>
      </c>
      <c r="DV49" s="301">
        <f t="shared" ca="1" si="229"/>
        <v>0</v>
      </c>
      <c r="DW49" s="301">
        <f t="shared" ca="1" si="229"/>
        <v>0</v>
      </c>
      <c r="DX49" s="301">
        <f t="shared" ca="1" si="229"/>
        <v>0</v>
      </c>
      <c r="DY49" s="301">
        <f t="shared" ca="1" si="229"/>
        <v>0</v>
      </c>
      <c r="DZ49" s="301">
        <f t="shared" ca="1" si="229"/>
        <v>0</v>
      </c>
      <c r="EA49" s="301">
        <f t="shared" ca="1" si="229"/>
        <v>0</v>
      </c>
      <c r="EB49" s="301">
        <f t="shared" ca="1" si="229"/>
        <v>0</v>
      </c>
      <c r="EC49" s="301">
        <f t="shared" ca="1" si="229"/>
        <v>0</v>
      </c>
      <c r="ED49" s="301">
        <f t="shared" ca="1" si="229"/>
        <v>0</v>
      </c>
      <c r="EE49" s="301">
        <f t="shared" ca="1" si="229"/>
        <v>0</v>
      </c>
    </row>
    <row r="50" spans="2:135">
      <c r="G50" s="301"/>
      <c r="H50" s="301"/>
      <c r="I50" s="301"/>
      <c r="J50" s="301"/>
      <c r="K50" s="301"/>
      <c r="L50" s="301"/>
      <c r="M50" s="301"/>
      <c r="N50" s="301"/>
      <c r="O50" s="301"/>
      <c r="P50" s="301"/>
      <c r="Q50" s="301"/>
      <c r="R50" s="301"/>
      <c r="S50" s="301"/>
      <c r="T50" s="301"/>
      <c r="U50" s="301"/>
      <c r="V50" s="301"/>
      <c r="W50" s="301"/>
      <c r="X50" s="301"/>
      <c r="Y50" s="301"/>
      <c r="Z50" s="301"/>
      <c r="AA50" s="301"/>
      <c r="AB50" s="301"/>
      <c r="AC50" s="301"/>
      <c r="AD50" s="301"/>
      <c r="AE50" s="301"/>
      <c r="AF50" s="301"/>
      <c r="AG50" s="301"/>
      <c r="AH50" s="301"/>
      <c r="AI50" s="301"/>
      <c r="AJ50" s="301"/>
      <c r="AK50" s="301"/>
      <c r="AL50" s="301"/>
      <c r="AM50" s="301"/>
      <c r="AN50" s="301"/>
      <c r="AO50" s="301"/>
      <c r="AP50" s="301"/>
      <c r="AQ50" s="301"/>
      <c r="AR50" s="301"/>
      <c r="AS50" s="301"/>
      <c r="AT50" s="301"/>
      <c r="AU50" s="301"/>
      <c r="AV50" s="301"/>
      <c r="AW50" s="301"/>
      <c r="AX50" s="301"/>
      <c r="AY50" s="301"/>
      <c r="AZ50" s="301"/>
      <c r="BA50" s="301"/>
      <c r="BB50" s="301"/>
      <c r="BC50" s="301"/>
      <c r="BD50" s="301"/>
      <c r="BE50" s="301"/>
      <c r="BF50" s="301"/>
      <c r="BG50" s="301"/>
      <c r="BH50" s="301"/>
      <c r="BI50" s="301"/>
      <c r="BJ50" s="301"/>
      <c r="BK50" s="301"/>
      <c r="BL50" s="301"/>
      <c r="BM50" s="301"/>
      <c r="BN50" s="301"/>
      <c r="BO50" s="301"/>
      <c r="BP50" s="301"/>
      <c r="BQ50" s="301"/>
      <c r="BR50" s="301"/>
      <c r="BS50" s="301"/>
      <c r="BT50" s="301"/>
      <c r="BU50" s="301"/>
      <c r="BV50" s="301"/>
      <c r="BW50" s="301"/>
      <c r="BX50" s="301"/>
      <c r="BY50" s="301"/>
      <c r="BZ50" s="301"/>
      <c r="CA50" s="301"/>
      <c r="CB50" s="301"/>
      <c r="CC50" s="301"/>
      <c r="CD50" s="301"/>
      <c r="CE50" s="301"/>
      <c r="CF50" s="301"/>
      <c r="CG50" s="301"/>
      <c r="CH50" s="301"/>
      <c r="CI50" s="301"/>
      <c r="CJ50" s="301"/>
      <c r="CK50" s="301"/>
      <c r="CL50" s="301"/>
      <c r="CM50" s="301"/>
      <c r="CN50" s="301"/>
      <c r="CO50" s="301"/>
      <c r="CP50" s="301"/>
      <c r="CQ50" s="301"/>
      <c r="CR50" s="301"/>
      <c r="CS50" s="301"/>
      <c r="CT50" s="301"/>
      <c r="CU50" s="301"/>
      <c r="CV50" s="301"/>
      <c r="CW50" s="301"/>
      <c r="CX50" s="301"/>
      <c r="CY50" s="301"/>
      <c r="CZ50" s="301"/>
      <c r="DA50" s="301"/>
      <c r="DB50" s="301"/>
      <c r="DC50" s="301"/>
      <c r="DD50" s="301"/>
      <c r="DE50" s="301"/>
      <c r="DF50" s="301"/>
      <c r="DG50" s="301"/>
      <c r="DH50" s="301"/>
      <c r="DI50" s="301"/>
      <c r="DJ50" s="301"/>
      <c r="DK50" s="301"/>
      <c r="DL50" s="301"/>
      <c r="DM50" s="301"/>
      <c r="DN50" s="301"/>
      <c r="DO50" s="301"/>
      <c r="DP50" s="301"/>
      <c r="DQ50" s="301"/>
      <c r="DR50" s="301"/>
      <c r="DS50" s="301"/>
      <c r="DT50" s="301"/>
      <c r="DU50" s="301"/>
      <c r="DV50" s="301"/>
      <c r="DW50" s="301"/>
      <c r="DX50" s="301"/>
      <c r="DY50" s="301"/>
      <c r="DZ50" s="301"/>
      <c r="EA50" s="301"/>
      <c r="EB50" s="301"/>
      <c r="EC50" s="301"/>
      <c r="ED50" s="301"/>
      <c r="EE50" s="301"/>
    </row>
    <row r="51" spans="2:135">
      <c r="B51" s="265" t="s">
        <v>163</v>
      </c>
    </row>
    <row r="52" spans="2:135">
      <c r="C52" s="265" t="str">
        <f>C42</f>
        <v>Beginning Capital Balance</v>
      </c>
      <c r="I52" s="312">
        <v>0</v>
      </c>
      <c r="J52" s="301">
        <f t="shared" ref="J52:BU52" si="230">I59</f>
        <v>13708</v>
      </c>
      <c r="K52" s="301">
        <f t="shared" ca="1" si="230"/>
        <v>13805.439792219633</v>
      </c>
      <c r="L52" s="301">
        <f t="shared" ca="1" si="230"/>
        <v>13906.855276662289</v>
      </c>
      <c r="M52" s="301">
        <f t="shared" ca="1" si="230"/>
        <v>14005.708580469298</v>
      </c>
      <c r="N52" s="301">
        <f t="shared" ca="1" si="230"/>
        <v>14108.59524992922</v>
      </c>
      <c r="O52" s="301">
        <f t="shared" ca="1" si="230"/>
        <v>14359.707570447459</v>
      </c>
      <c r="P52" s="301">
        <f t="shared" ca="1" si="230"/>
        <v>14465.194735045616</v>
      </c>
      <c r="Q52" s="301">
        <f t="shared" ca="1" si="230"/>
        <v>14571.456813884914</v>
      </c>
      <c r="R52" s="301">
        <f t="shared" ca="1" si="230"/>
        <v>14668.10625526281</v>
      </c>
      <c r="S52" s="301">
        <f t="shared" ca="1" si="230"/>
        <v>14775.858932766949</v>
      </c>
      <c r="T52" s="301">
        <f t="shared" ca="1" si="230"/>
        <v>14880.889325550392</v>
      </c>
      <c r="U52" s="301">
        <f t="shared" ca="1" si="230"/>
        <v>14990.205118643689</v>
      </c>
      <c r="V52" s="301">
        <f t="shared" ca="1" si="230"/>
        <v>15096.759136158304</v>
      </c>
      <c r="W52" s="301">
        <f t="shared" ca="1" si="230"/>
        <v>15286.835720196968</v>
      </c>
      <c r="X52" s="301">
        <f t="shared" ca="1" si="230"/>
        <v>15399.133616786456</v>
      </c>
      <c r="Y52" s="301">
        <f t="shared" ca="1" si="230"/>
        <v>15508.594397351239</v>
      </c>
      <c r="Z52" s="301">
        <f t="shared" ca="1" si="230"/>
        <v>15622.52134480846</v>
      </c>
      <c r="AA52" s="301">
        <f t="shared" ca="1" si="230"/>
        <v>15733.570019581215</v>
      </c>
      <c r="AB52" s="301">
        <f t="shared" ca="1" si="230"/>
        <v>15849.149649753341</v>
      </c>
      <c r="AC52" s="301">
        <f t="shared" ca="1" si="230"/>
        <v>15965.578333947795</v>
      </c>
      <c r="AD52" s="301">
        <f t="shared" ca="1" si="230"/>
        <v>16071.474693313918</v>
      </c>
      <c r="AE52" s="301">
        <f t="shared" ca="1" si="230"/>
        <v>16189.536588933417</v>
      </c>
      <c r="AF52" s="301">
        <f t="shared" ca="1" si="230"/>
        <v>16614.61574572929</v>
      </c>
      <c r="AG52" s="301">
        <f t="shared" ca="1" si="230"/>
        <v>16736.66758399317</v>
      </c>
      <c r="AH52" s="301">
        <f t="shared" ca="1" si="230"/>
        <v>16855.635880742029</v>
      </c>
      <c r="AI52" s="301">
        <f t="shared" ca="1" si="230"/>
        <v>16979.458265552825</v>
      </c>
      <c r="AJ52" s="301">
        <f t="shared" ca="1" si="230"/>
        <v>17104.19025609364</v>
      </c>
      <c r="AK52" s="301">
        <f t="shared" ca="1" si="230"/>
        <v>17225.770993228074</v>
      </c>
      <c r="AL52" s="301">
        <f t="shared" ca="1" si="230"/>
        <v>17352.312409978957</v>
      </c>
      <c r="AM52" s="301">
        <f t="shared" ca="1" si="230"/>
        <v>17475.656859625771</v>
      </c>
      <c r="AN52" s="301">
        <f t="shared" ca="1" si="230"/>
        <v>17604.033951051093</v>
      </c>
      <c r="AO52" s="301">
        <f t="shared" ca="1" si="230"/>
        <v>17733.354107319999</v>
      </c>
      <c r="AP52" s="301">
        <f t="shared" ca="1" si="230"/>
        <v>17850.975755595809</v>
      </c>
      <c r="AQ52" s="301">
        <f t="shared" ca="1" si="230"/>
        <v>17982.109959306446</v>
      </c>
      <c r="AR52" s="301">
        <f t="shared" ca="1" si="230"/>
        <v>18109.931162844921</v>
      </c>
      <c r="AS52" s="301">
        <f t="shared" ca="1" si="230"/>
        <v>18242.967666552551</v>
      </c>
      <c r="AT52" s="301">
        <f t="shared" ca="1" si="230"/>
        <v>18372.643110008808</v>
      </c>
      <c r="AU52" s="301">
        <f t="shared" ca="1" si="230"/>
        <v>18507.609509452574</v>
      </c>
      <c r="AV52" s="301">
        <f t="shared" ca="1" si="230"/>
        <v>18643.56737914206</v>
      </c>
      <c r="AW52" s="301">
        <f t="shared" ca="1" si="230"/>
        <v>18776.090382618593</v>
      </c>
      <c r="AX52" s="301">
        <f t="shared" ca="1" si="230"/>
        <v>18914.020526877055</v>
      </c>
      <c r="AY52" s="301">
        <f t="shared" ca="1" si="230"/>
        <v>19048.46597699208</v>
      </c>
      <c r="AZ52" s="301">
        <f t="shared" ca="1" si="230"/>
        <v>19329.477006645684</v>
      </c>
      <c r="BA52" s="301">
        <f t="shared" ca="1" si="230"/>
        <v>19471.472358054692</v>
      </c>
      <c r="BB52" s="301">
        <f t="shared" ca="1" si="230"/>
        <v>19853.450900652322</v>
      </c>
      <c r="BC52" s="301">
        <f t="shared" ca="1" si="230"/>
        <v>20319.295391755233</v>
      </c>
      <c r="BD52" s="301">
        <f t="shared" ca="1" si="230"/>
        <v>20463.729876802066</v>
      </c>
      <c r="BE52" s="301">
        <f t="shared" ca="1" si="230"/>
        <v>20614.057509256712</v>
      </c>
      <c r="BF52" s="301">
        <f t="shared" ca="1" si="230"/>
        <v>21377.587235001207</v>
      </c>
      <c r="BG52" s="301">
        <f t="shared" ca="1" si="230"/>
        <v>21534.628111516755</v>
      </c>
      <c r="BH52" s="301">
        <f t="shared" ca="1" si="230"/>
        <v>21692.822618543814</v>
      </c>
      <c r="BI52" s="301">
        <f t="shared" ca="1" si="230"/>
        <v>21847.020468602779</v>
      </c>
      <c r="BJ52" s="301">
        <f t="shared" ca="1" si="230"/>
        <v>22007.509826261681</v>
      </c>
      <c r="BK52" s="301">
        <f t="shared" ca="1" si="230"/>
        <v>22163.944549397256</v>
      </c>
      <c r="BL52" s="301">
        <f t="shared" ca="1" si="230"/>
        <v>22326.762047967935</v>
      </c>
      <c r="BM52" s="301">
        <f t="shared" ca="1" si="230"/>
        <v>22710.227612418574</v>
      </c>
      <c r="BN52" s="301">
        <f t="shared" ca="1" si="230"/>
        <v>22860.859827188866</v>
      </c>
      <c r="BO52" s="301">
        <f t="shared" ca="1" si="230"/>
        <v>23028.796901924914</v>
      </c>
      <c r="BP52" s="301">
        <f t="shared" ca="1" si="230"/>
        <v>23192.491181556641</v>
      </c>
      <c r="BQ52" s="301">
        <f t="shared" ca="1" si="230"/>
        <v>23451.364437607142</v>
      </c>
      <c r="BR52" s="301">
        <f t="shared" ca="1" si="230"/>
        <v>23618.062429879345</v>
      </c>
      <c r="BS52" s="301">
        <f t="shared" ca="1" si="230"/>
        <v>23791.561954629942</v>
      </c>
      <c r="BT52" s="301">
        <f t="shared" ca="1" si="230"/>
        <v>23966.336015984805</v>
      </c>
      <c r="BU52" s="301">
        <f t="shared" ca="1" si="230"/>
        <v>24136.694551268105</v>
      </c>
      <c r="BV52" s="301">
        <f t="shared" ref="BV52:CZ52" ca="1" si="231">BU59</f>
        <v>24314.00397477092</v>
      </c>
      <c r="BW52" s="301">
        <f t="shared" ca="1" si="231"/>
        <v>24486.833818316951</v>
      </c>
      <c r="BX52" s="301">
        <f t="shared" ca="1" si="231"/>
        <v>24666.715383231021</v>
      </c>
      <c r="BY52" s="301">
        <f t="shared" ca="1" si="231"/>
        <v>24847.918367550963</v>
      </c>
      <c r="BZ52" s="301">
        <f t="shared" ca="1" si="231"/>
        <v>25012.729440342187</v>
      </c>
      <c r="CA52" s="301">
        <f t="shared" ca="1" si="231"/>
        <v>25196.474262064927</v>
      </c>
      <c r="CB52" s="301">
        <f t="shared" ca="1" si="231"/>
        <v>25375.576918671504</v>
      </c>
      <c r="CC52" s="301">
        <f t="shared" ca="1" si="231"/>
        <v>25561.987236991772</v>
      </c>
      <c r="CD52" s="301">
        <f t="shared" ca="1" si="231"/>
        <v>25743.688048568471</v>
      </c>
      <c r="CE52" s="301">
        <f t="shared" ca="1" si="231"/>
        <v>25932.802530546622</v>
      </c>
      <c r="CF52" s="301">
        <f t="shared" ca="1" si="231"/>
        <v>26123.306257423421</v>
      </c>
      <c r="CG52" s="301">
        <f t="shared" ca="1" si="231"/>
        <v>26308.997060882219</v>
      </c>
      <c r="CH52" s="301">
        <f t="shared" ca="1" si="231"/>
        <v>26502.264332500286</v>
      </c>
      <c r="CI52" s="301">
        <f t="shared" ca="1" si="231"/>
        <v>26690.648861965463</v>
      </c>
      <c r="CJ52" s="301">
        <f t="shared" ca="1" si="231"/>
        <v>26886.719767721799</v>
      </c>
      <c r="CK52" s="301">
        <f t="shared" ca="1" si="231"/>
        <v>27084.231020630537</v>
      </c>
      <c r="CL52" s="301">
        <f t="shared" ca="1" si="231"/>
        <v>27263.875089972971</v>
      </c>
      <c r="CM52" s="301">
        <f t="shared" ca="1" si="231"/>
        <v>27464.156945650757</v>
      </c>
      <c r="CN52" s="301">
        <f t="shared" ca="1" si="231"/>
        <v>27659.378841351925</v>
      </c>
      <c r="CO52" s="301">
        <f t="shared" ca="1" si="231"/>
        <v>27862.566088321018</v>
      </c>
      <c r="CP52" s="301">
        <f t="shared" ca="1" si="231"/>
        <v>28060.619972939621</v>
      </c>
      <c r="CQ52" s="301">
        <f t="shared" ca="1" si="231"/>
        <v>28266.754758295807</v>
      </c>
      <c r="CR52" s="301">
        <f t="shared" ca="1" si="231"/>
        <v>28474.40382059152</v>
      </c>
      <c r="CS52" s="301">
        <f t="shared" ca="1" si="231"/>
        <v>28676.806796361609</v>
      </c>
      <c r="CT52" s="301">
        <f t="shared" ca="1" si="231"/>
        <v>28887.468122425304</v>
      </c>
      <c r="CU52" s="301">
        <f t="shared" ca="1" si="231"/>
        <v>29092.807259542344</v>
      </c>
      <c r="CV52" s="301">
        <f t="shared" ca="1" si="231"/>
        <v>29306.524546816749</v>
      </c>
      <c r="CW52" s="301">
        <f t="shared" ca="1" si="231"/>
        <v>29521.811812487274</v>
      </c>
      <c r="CX52" s="301">
        <f t="shared" ca="1" si="231"/>
        <v>29724.641104822851</v>
      </c>
      <c r="CY52" s="301">
        <f t="shared" ca="1" si="231"/>
        <v>29942.999876647609</v>
      </c>
      <c r="CZ52" s="301">
        <f t="shared" ca="1" si="231"/>
        <v>30155.841989750399</v>
      </c>
      <c r="DA52" s="301">
        <f t="shared" ref="DA52" ca="1" si="232">CZ59</f>
        <v>30377.36838588088</v>
      </c>
      <c r="DB52" s="301">
        <f t="shared" ref="DB52" ca="1" si="233">DA59</f>
        <v>30593.29809580935</v>
      </c>
      <c r="DC52" s="301">
        <f t="shared" ref="DC52" ca="1" si="234">DB59</f>
        <v>30818.038067427904</v>
      </c>
      <c r="DD52" s="301">
        <f t="shared" ref="DD52" ca="1" si="235">DC59</f>
        <v>31044.428990659617</v>
      </c>
      <c r="DE52" s="301">
        <f t="shared" ref="DE52" ca="1" si="236">DD59</f>
        <v>31265.100329325142</v>
      </c>
      <c r="DF52" s="301">
        <f t="shared" ref="DF52" ca="1" si="237">DE59</f>
        <v>31494.775395369306</v>
      </c>
      <c r="DG52" s="301">
        <f t="shared" ref="DG52" ca="1" si="238">DF59</f>
        <v>31718.647905620895</v>
      </c>
      <c r="DH52" s="301">
        <f t="shared" ref="DH52" ca="1" si="239">DG59</f>
        <v>4141.026931980934</v>
      </c>
      <c r="DI52" s="301">
        <f t="shared" ref="DI52" ca="1" si="240">DH59</f>
        <v>4171.4471329102525</v>
      </c>
      <c r="DJ52" s="301">
        <f t="shared" ref="DJ52" ca="1" si="241">DI59</f>
        <v>4171.4471329102525</v>
      </c>
      <c r="DK52" s="301">
        <f t="shared" ref="DK52" ca="1" si="242">DJ59</f>
        <v>4171.4471329102525</v>
      </c>
      <c r="DL52" s="301">
        <f t="shared" ref="DL52" ca="1" si="243">DK59</f>
        <v>4171.4471329102525</v>
      </c>
      <c r="DM52" s="301">
        <f t="shared" ref="DM52" ca="1" si="244">DL59</f>
        <v>4171.4471329102525</v>
      </c>
      <c r="DN52" s="301">
        <f t="shared" ref="DN52" ca="1" si="245">DM59</f>
        <v>4171.4471329102525</v>
      </c>
      <c r="DO52" s="301">
        <f t="shared" ref="DO52" ca="1" si="246">DN59</f>
        <v>4171.4471329102525</v>
      </c>
      <c r="DP52" s="301">
        <f t="shared" ref="DP52" ca="1" si="247">DO59</f>
        <v>4171.4471329102525</v>
      </c>
      <c r="DQ52" s="301">
        <f t="shared" ref="DQ52" ca="1" si="248">DP59</f>
        <v>4171.4471329102525</v>
      </c>
      <c r="DR52" s="301">
        <f t="shared" ref="DR52" ca="1" si="249">DQ59</f>
        <v>4171.4471329102525</v>
      </c>
      <c r="DS52" s="301">
        <f t="shared" ref="DS52" ca="1" si="250">DR59</f>
        <v>4171.4471329102525</v>
      </c>
      <c r="DT52" s="301">
        <f t="shared" ref="DT52" ca="1" si="251">DS59</f>
        <v>4171.4471329102525</v>
      </c>
      <c r="DU52" s="301">
        <f t="shared" ref="DU52" ca="1" si="252">DT59</f>
        <v>4171.4471329102525</v>
      </c>
      <c r="DV52" s="301">
        <f t="shared" ref="DV52" ca="1" si="253">DU59</f>
        <v>4171.4471329102525</v>
      </c>
      <c r="DW52" s="301">
        <f t="shared" ref="DW52" ca="1" si="254">DV59</f>
        <v>4171.4471329102525</v>
      </c>
      <c r="DX52" s="301">
        <f t="shared" ref="DX52" ca="1" si="255">DW59</f>
        <v>4171.4471329102525</v>
      </c>
      <c r="DY52" s="301">
        <f t="shared" ref="DY52" ca="1" si="256">DX59</f>
        <v>4171.4471329102525</v>
      </c>
      <c r="DZ52" s="301">
        <f t="shared" ref="DZ52" ca="1" si="257">DY59</f>
        <v>4171.4471329102525</v>
      </c>
      <c r="EA52" s="301">
        <f t="shared" ref="EA52" ca="1" si="258">DZ59</f>
        <v>4171.4471329102525</v>
      </c>
      <c r="EB52" s="301">
        <f t="shared" ref="EB52" ca="1" si="259">EA59</f>
        <v>4171.4471329102525</v>
      </c>
      <c r="EC52" s="301">
        <f t="shared" ref="EC52" ca="1" si="260">EB59</f>
        <v>4171.4471329102525</v>
      </c>
      <c r="ED52" s="301">
        <f t="shared" ref="ED52" ca="1" si="261">EC59</f>
        <v>4171.4471329102525</v>
      </c>
      <c r="EE52" s="301">
        <f t="shared" ref="EE52" ca="1" si="262">ED59</f>
        <v>4171.4471329102525</v>
      </c>
    </row>
    <row r="53" spans="2:135">
      <c r="C53" s="265" t="str">
        <f t="shared" ref="C53:C55" si="263">C43</f>
        <v>Accrued Preference</v>
      </c>
      <c r="F53" s="310">
        <f>E19</f>
        <v>0.09</v>
      </c>
      <c r="G53" s="301">
        <f t="shared" ref="G53:G58" ca="1" si="264">SUMIF($I$8:$EE$8, "&lt;="&amp;$E$8, $I53:$EE53)</f>
        <v>16099.842956866369</v>
      </c>
      <c r="H53" s="301"/>
      <c r="I53" s="301">
        <v>0</v>
      </c>
      <c r="J53" s="301">
        <f t="shared" ref="J53:BU53" si="265">IF(J$8&lt;=$F$8, J52*((1+$F53)^((J$8-I$8)/365) - 1), 0)</f>
        <v>97.439792219633304</v>
      </c>
      <c r="K53" s="301">
        <f t="shared" ca="1" si="265"/>
        <v>101.41548444265632</v>
      </c>
      <c r="L53" s="301">
        <f t="shared" ca="1" si="265"/>
        <v>98.853303807009368</v>
      </c>
      <c r="M53" s="301">
        <f t="shared" ca="1" si="265"/>
        <v>102.88666945992247</v>
      </c>
      <c r="N53" s="301">
        <f t="shared" ca="1" si="265"/>
        <v>100.28732051823815</v>
      </c>
      <c r="O53" s="301">
        <f t="shared" ca="1" si="265"/>
        <v>105.48716459815626</v>
      </c>
      <c r="P53" s="301">
        <f t="shared" ca="1" si="265"/>
        <v>106.26207883929716</v>
      </c>
      <c r="Q53" s="301">
        <f t="shared" ca="1" si="265"/>
        <v>96.649441377896736</v>
      </c>
      <c r="R53" s="301">
        <f t="shared" ca="1" si="265"/>
        <v>107.75267750413795</v>
      </c>
      <c r="S53" s="301">
        <f t="shared" ca="1" si="265"/>
        <v>105.03039278344208</v>
      </c>
      <c r="T53" s="301">
        <f t="shared" ca="1" si="265"/>
        <v>109.31579309329669</v>
      </c>
      <c r="U53" s="301">
        <f t="shared" ca="1" si="265"/>
        <v>106.5540175146137</v>
      </c>
      <c r="V53" s="301">
        <f t="shared" ca="1" si="265"/>
        <v>110.9015840386662</v>
      </c>
      <c r="W53" s="301">
        <f t="shared" ca="1" si="265"/>
        <v>112.29789658948768</v>
      </c>
      <c r="X53" s="301">
        <f t="shared" ca="1" si="265"/>
        <v>109.46078056478278</v>
      </c>
      <c r="Y53" s="301">
        <f t="shared" ca="1" si="265"/>
        <v>113.92694745722153</v>
      </c>
      <c r="Z53" s="301">
        <f t="shared" ca="1" si="265"/>
        <v>111.04867477275478</v>
      </c>
      <c r="AA53" s="301">
        <f t="shared" ca="1" si="265"/>
        <v>115.57963017212495</v>
      </c>
      <c r="AB53" s="301">
        <f t="shared" ca="1" si="265"/>
        <v>116.42868419445426</v>
      </c>
      <c r="AC53" s="301">
        <f t="shared" ca="1" si="265"/>
        <v>105.89635936612349</v>
      </c>
      <c r="AD53" s="301">
        <f t="shared" ca="1" si="265"/>
        <v>118.06189561949974</v>
      </c>
      <c r="AE53" s="301">
        <f t="shared" ca="1" si="265"/>
        <v>115.07915679587271</v>
      </c>
      <c r="AF53" s="301">
        <f t="shared" ca="1" si="265"/>
        <v>122.05183826387984</v>
      </c>
      <c r="AG53" s="301">
        <f t="shared" ca="1" si="265"/>
        <v>118.96829674885954</v>
      </c>
      <c r="AH53" s="301">
        <f t="shared" ca="1" si="265"/>
        <v>123.8223848107944</v>
      </c>
      <c r="AI53" s="301">
        <f t="shared" ca="1" si="265"/>
        <v>124.73199054081316</v>
      </c>
      <c r="AJ53" s="301">
        <f t="shared" ca="1" si="265"/>
        <v>121.58073713443542</v>
      </c>
      <c r="AK53" s="301">
        <f t="shared" ca="1" si="265"/>
        <v>126.54141675088258</v>
      </c>
      <c r="AL53" s="301">
        <f t="shared" ca="1" si="265"/>
        <v>123.34444964681309</v>
      </c>
      <c r="AM53" s="301">
        <f t="shared" ca="1" si="265"/>
        <v>128.37709142532341</v>
      </c>
      <c r="AN53" s="301">
        <f t="shared" ca="1" si="265"/>
        <v>129.32015626890598</v>
      </c>
      <c r="AO53" s="301">
        <f t="shared" ca="1" si="265"/>
        <v>117.62164827580878</v>
      </c>
      <c r="AP53" s="301">
        <f t="shared" ca="1" si="265"/>
        <v>131.13420371063688</v>
      </c>
      <c r="AQ53" s="301">
        <f t="shared" ca="1" si="265"/>
        <v>127.82120353847525</v>
      </c>
      <c r="AR53" s="301">
        <f t="shared" ca="1" si="265"/>
        <v>133.03650370762898</v>
      </c>
      <c r="AS53" s="301">
        <f t="shared" ca="1" si="265"/>
        <v>129.67544345625686</v>
      </c>
      <c r="AT53" s="301">
        <f t="shared" ca="1" si="265"/>
        <v>134.96639944376588</v>
      </c>
      <c r="AU53" s="301">
        <f t="shared" ca="1" si="265"/>
        <v>135.9578696894863</v>
      </c>
      <c r="AV53" s="301">
        <f t="shared" ca="1" si="265"/>
        <v>132.52300347653454</v>
      </c>
      <c r="AW53" s="301">
        <f t="shared" ca="1" si="265"/>
        <v>137.93014425846195</v>
      </c>
      <c r="AX53" s="301">
        <f t="shared" ca="1" si="265"/>
        <v>134.4454501150262</v>
      </c>
      <c r="AY53" s="301">
        <f t="shared" ca="1" si="265"/>
        <v>139.93102965360245</v>
      </c>
      <c r="AZ53" s="301">
        <f t="shared" ca="1" si="265"/>
        <v>141.99535140901011</v>
      </c>
      <c r="BA53" s="301">
        <f t="shared" ca="1" si="265"/>
        <v>133.77854259762825</v>
      </c>
      <c r="BB53" s="301">
        <f t="shared" ca="1" si="265"/>
        <v>145.84449110291078</v>
      </c>
      <c r="BC53" s="301">
        <f t="shared" ca="1" si="265"/>
        <v>144.43448504683266</v>
      </c>
      <c r="BD53" s="301">
        <f t="shared" ca="1" si="265"/>
        <v>150.32763245464628</v>
      </c>
      <c r="BE53" s="301">
        <f t="shared" ca="1" si="265"/>
        <v>146.52972574449558</v>
      </c>
      <c r="BF53" s="301">
        <f t="shared" ca="1" si="265"/>
        <v>157.04087651554781</v>
      </c>
      <c r="BG53" s="301">
        <f t="shared" ca="1" si="265"/>
        <v>158.19450702705817</v>
      </c>
      <c r="BH53" s="301">
        <f t="shared" ca="1" si="265"/>
        <v>154.19785005896344</v>
      </c>
      <c r="BI53" s="301">
        <f t="shared" ca="1" si="265"/>
        <v>160.48935765890235</v>
      </c>
      <c r="BJ53" s="301">
        <f t="shared" ca="1" si="265"/>
        <v>156.43472313557604</v>
      </c>
      <c r="BK53" s="301">
        <f t="shared" ca="1" si="265"/>
        <v>162.81749857067754</v>
      </c>
      <c r="BL53" s="301">
        <f t="shared" ca="1" si="265"/>
        <v>164.01356445063544</v>
      </c>
      <c r="BM53" s="301">
        <f t="shared" ca="1" si="265"/>
        <v>150.63221477029154</v>
      </c>
      <c r="BN53" s="301">
        <f t="shared" ca="1" si="265"/>
        <v>167.93707473604942</v>
      </c>
      <c r="BO53" s="301">
        <f t="shared" ca="1" si="265"/>
        <v>163.69427963172589</v>
      </c>
      <c r="BP53" s="301">
        <f t="shared" ca="1" si="265"/>
        <v>170.37325605050032</v>
      </c>
      <c r="BQ53" s="301">
        <f t="shared" ca="1" si="265"/>
        <v>166.69799227220145</v>
      </c>
      <c r="BR53" s="301">
        <f t="shared" ca="1" si="265"/>
        <v>173.49952475059899</v>
      </c>
      <c r="BS53" s="301">
        <f t="shared" ca="1" si="265"/>
        <v>174.77406135486342</v>
      </c>
      <c r="BT53" s="301">
        <f t="shared" ca="1" si="265"/>
        <v>170.3585352832998</v>
      </c>
      <c r="BU53" s="301">
        <f t="shared" ca="1" si="265"/>
        <v>177.3094235028145</v>
      </c>
      <c r="BV53" s="301">
        <f t="shared" ref="BV53:CZ53" ca="1" si="266">IF(BV$8&lt;=$F$8, BV52*((1+$F53)^((BV$8-BU$8)/365) - 1), 0)</f>
        <v>172.82984354603272</v>
      </c>
      <c r="BW53" s="301">
        <f t="shared" ca="1" si="266"/>
        <v>179.88156491406946</v>
      </c>
      <c r="BX53" s="301">
        <f t="shared" ca="1" si="266"/>
        <v>181.20298431994343</v>
      </c>
      <c r="BY53" s="301">
        <f t="shared" ca="1" si="266"/>
        <v>164.81107279122514</v>
      </c>
      <c r="BZ53" s="301">
        <f t="shared" ca="1" si="266"/>
        <v>183.74482172273838</v>
      </c>
      <c r="CA53" s="301">
        <f t="shared" ca="1" si="266"/>
        <v>179.10265660657606</v>
      </c>
      <c r="CB53" s="301">
        <f t="shared" ca="1" si="266"/>
        <v>186.41031832026817</v>
      </c>
      <c r="CC53" s="301">
        <f t="shared" ca="1" si="266"/>
        <v>181.70081157669949</v>
      </c>
      <c r="CD53" s="301">
        <f t="shared" ca="1" si="266"/>
        <v>189.11448197815278</v>
      </c>
      <c r="CE53" s="301">
        <f t="shared" ca="1" si="266"/>
        <v>190.50372687680101</v>
      </c>
      <c r="CF53" s="301">
        <f t="shared" ca="1" si="266"/>
        <v>185.69080345879667</v>
      </c>
      <c r="CG53" s="301">
        <f t="shared" ca="1" si="266"/>
        <v>193.26727161806767</v>
      </c>
      <c r="CH53" s="301">
        <f t="shared" ca="1" si="266"/>
        <v>188.38452946517555</v>
      </c>
      <c r="CI53" s="301">
        <f t="shared" ca="1" si="266"/>
        <v>196.07090575633561</v>
      </c>
      <c r="CJ53" s="301">
        <f t="shared" ca="1" si="266"/>
        <v>197.51125290873821</v>
      </c>
      <c r="CK53" s="301">
        <f t="shared" ca="1" si="266"/>
        <v>179.64406934243533</v>
      </c>
      <c r="CL53" s="301">
        <f t="shared" ca="1" si="266"/>
        <v>200.28185567778473</v>
      </c>
      <c r="CM53" s="301">
        <f t="shared" ca="1" si="266"/>
        <v>195.22189570116782</v>
      </c>
      <c r="CN53" s="301">
        <f t="shared" ca="1" si="266"/>
        <v>203.1872469690922</v>
      </c>
      <c r="CO53" s="301">
        <f t="shared" ca="1" si="266"/>
        <v>198.05388461860235</v>
      </c>
      <c r="CP53" s="301">
        <f t="shared" ca="1" si="266"/>
        <v>206.13478535618646</v>
      </c>
      <c r="CQ53" s="301">
        <f t="shared" ca="1" si="266"/>
        <v>207.64906229571301</v>
      </c>
      <c r="CR53" s="301">
        <f t="shared" ca="1" si="266"/>
        <v>202.40297577008829</v>
      </c>
      <c r="CS53" s="301">
        <f t="shared" ca="1" si="266"/>
        <v>210.66132606369371</v>
      </c>
      <c r="CT53" s="301">
        <f t="shared" ca="1" si="266"/>
        <v>205.3391371170413</v>
      </c>
      <c r="CU53" s="301">
        <f t="shared" ca="1" si="266"/>
        <v>213.71728727440572</v>
      </c>
      <c r="CV53" s="301">
        <f t="shared" ca="1" si="266"/>
        <v>215.28726567052456</v>
      </c>
      <c r="CW53" s="301">
        <f t="shared" ca="1" si="266"/>
        <v>202.82929233557758</v>
      </c>
      <c r="CX53" s="301">
        <f t="shared" ca="1" si="266"/>
        <v>218.35877182475679</v>
      </c>
      <c r="CY53" s="301">
        <f t="shared" ca="1" si="266"/>
        <v>212.84211310279022</v>
      </c>
      <c r="CZ53" s="301">
        <f t="shared" ca="1" si="266"/>
        <v>221.5263961304797</v>
      </c>
      <c r="DA53" s="301">
        <f t="shared" ref="DA53" ca="1" si="267">IF(DA$8&lt;=$F$8, DA52*((1+$F53)^((DA$8-CZ$8)/365) - 1), 0)</f>
        <v>215.92970992847171</v>
      </c>
      <c r="DB53" s="301">
        <f t="shared" ref="DB53" ca="1" si="268">IF(DB$8&lt;=$F$8, DB52*((1+$F53)^((DB$8-DA$8)/365) - 1), 0)</f>
        <v>224.73997161855431</v>
      </c>
      <c r="DC53" s="301">
        <f t="shared" ref="DC53" ca="1" si="269">IF(DC$8&lt;=$F$8, DC52*((1+$F53)^((DC$8-DB$8)/365) - 1), 0)</f>
        <v>226.39092323171258</v>
      </c>
      <c r="DD53" s="301">
        <f t="shared" ref="DD53" ca="1" si="270">IF(DD$8&lt;=$F$8, DD52*((1+$F53)^((DD$8-DC$8)/365) - 1), 0)</f>
        <v>220.67133866552621</v>
      </c>
      <c r="DE53" s="301">
        <f t="shared" ref="DE53" ca="1" si="271">IF(DE$8&lt;=$F$8, DE52*((1+$F53)^((DE$8-DD$8)/365) - 1), 0)</f>
        <v>229.6750660441632</v>
      </c>
      <c r="DF53" s="301">
        <f t="shared" ref="DF53" ca="1" si="272">IF(DF$8&lt;=$F$8, DF52*((1+$F53)^((DF$8-DE$8)/365) - 1), 0)</f>
        <v>223.87251025159063</v>
      </c>
      <c r="DG53" s="301">
        <f t="shared" ref="DG53" ca="1" si="273">IF(DG$8&lt;=$F$8, DG52*((1+$F53)^((DG$8-DF$8)/365) - 1), 0)</f>
        <v>233.006850316168</v>
      </c>
      <c r="DH53" s="301">
        <f t="shared" ref="DH53" ca="1" si="274">IF(DH$8&lt;=$F$8, DH52*((1+$F53)^((DH$8-DG$8)/365) - 1), 0)</f>
        <v>30.420200929318717</v>
      </c>
      <c r="DI53" s="301">
        <f t="shared" ref="DI53" si="275">IF(DI$8&lt;=$F$8, DI52*((1+$F53)^((DI$8-DH$8)/365) - 1), 0)</f>
        <v>0</v>
      </c>
      <c r="DJ53" s="301">
        <f t="shared" ref="DJ53" si="276">IF(DJ$8&lt;=$F$8, DJ52*((1+$F53)^((DJ$8-DI$8)/365) - 1), 0)</f>
        <v>0</v>
      </c>
      <c r="DK53" s="301">
        <f t="shared" ref="DK53" si="277">IF(DK$8&lt;=$F$8, DK52*((1+$F53)^((DK$8-DJ$8)/365) - 1), 0)</f>
        <v>0</v>
      </c>
      <c r="DL53" s="301">
        <f t="shared" ref="DL53" si="278">IF(DL$8&lt;=$F$8, DL52*((1+$F53)^((DL$8-DK$8)/365) - 1), 0)</f>
        <v>0</v>
      </c>
      <c r="DM53" s="301">
        <f t="shared" ref="DM53" si="279">IF(DM$8&lt;=$F$8, DM52*((1+$F53)^((DM$8-DL$8)/365) - 1), 0)</f>
        <v>0</v>
      </c>
      <c r="DN53" s="301">
        <f t="shared" ref="DN53" si="280">IF(DN$8&lt;=$F$8, DN52*((1+$F53)^((DN$8-DM$8)/365) - 1), 0)</f>
        <v>0</v>
      </c>
      <c r="DO53" s="301">
        <f t="shared" ref="DO53" si="281">IF(DO$8&lt;=$F$8, DO52*((1+$F53)^((DO$8-DN$8)/365) - 1), 0)</f>
        <v>0</v>
      </c>
      <c r="DP53" s="301">
        <f t="shared" ref="DP53" si="282">IF(DP$8&lt;=$F$8, DP52*((1+$F53)^((DP$8-DO$8)/365) - 1), 0)</f>
        <v>0</v>
      </c>
      <c r="DQ53" s="301">
        <f t="shared" ref="DQ53" si="283">IF(DQ$8&lt;=$F$8, DQ52*((1+$F53)^((DQ$8-DP$8)/365) - 1), 0)</f>
        <v>0</v>
      </c>
      <c r="DR53" s="301">
        <f t="shared" ref="DR53" si="284">IF(DR$8&lt;=$F$8, DR52*((1+$F53)^((DR$8-DQ$8)/365) - 1), 0)</f>
        <v>0</v>
      </c>
      <c r="DS53" s="301">
        <f t="shared" ref="DS53" si="285">IF(DS$8&lt;=$F$8, DS52*((1+$F53)^((DS$8-DR$8)/365) - 1), 0)</f>
        <v>0</v>
      </c>
      <c r="DT53" s="301">
        <f t="shared" ref="DT53" si="286">IF(DT$8&lt;=$F$8, DT52*((1+$F53)^((DT$8-DS$8)/365) - 1), 0)</f>
        <v>0</v>
      </c>
      <c r="DU53" s="301">
        <f t="shared" ref="DU53" si="287">IF(DU$8&lt;=$F$8, DU52*((1+$F53)^((DU$8-DT$8)/365) - 1), 0)</f>
        <v>0</v>
      </c>
      <c r="DV53" s="301">
        <f t="shared" ref="DV53" si="288">IF(DV$8&lt;=$F$8, DV52*((1+$F53)^((DV$8-DU$8)/365) - 1), 0)</f>
        <v>0</v>
      </c>
      <c r="DW53" s="301">
        <f t="shared" ref="DW53" si="289">IF(DW$8&lt;=$F$8, DW52*((1+$F53)^((DW$8-DV$8)/365) - 1), 0)</f>
        <v>0</v>
      </c>
      <c r="DX53" s="301">
        <f t="shared" ref="DX53" si="290">IF(DX$8&lt;=$F$8, DX52*((1+$F53)^((DX$8-DW$8)/365) - 1), 0)</f>
        <v>0</v>
      </c>
      <c r="DY53" s="301">
        <f t="shared" ref="DY53" si="291">IF(DY$8&lt;=$F$8, DY52*((1+$F53)^((DY$8-DX$8)/365) - 1), 0)</f>
        <v>0</v>
      </c>
      <c r="DZ53" s="301">
        <f t="shared" ref="DZ53" si="292">IF(DZ$8&lt;=$F$8, DZ52*((1+$F53)^((DZ$8-DY$8)/365) - 1), 0)</f>
        <v>0</v>
      </c>
      <c r="EA53" s="301">
        <f t="shared" ref="EA53" si="293">IF(EA$8&lt;=$F$8, EA52*((1+$F53)^((EA$8-DZ$8)/365) - 1), 0)</f>
        <v>0</v>
      </c>
      <c r="EB53" s="301">
        <f t="shared" ref="EB53" si="294">IF(EB$8&lt;=$F$8, EB52*((1+$F53)^((EB$8-EA$8)/365) - 1), 0)</f>
        <v>0</v>
      </c>
      <c r="EC53" s="301">
        <f t="shared" ref="EC53" si="295">IF(EC$8&lt;=$F$8, EC52*((1+$F53)^((EC$8-EB$8)/365) - 1), 0)</f>
        <v>0</v>
      </c>
      <c r="ED53" s="301">
        <f t="shared" ref="ED53" si="296">IF(ED$8&lt;=$F$8, ED52*((1+$F53)^((ED$8-EC$8)/365) - 1), 0)</f>
        <v>0</v>
      </c>
      <c r="EE53" s="301">
        <f t="shared" ref="EE53" si="297">IF(EE$8&lt;=$F$8, EE52*((1+$F53)^((EE$8-ED$8)/365) - 1), 0)</f>
        <v>0</v>
      </c>
    </row>
    <row r="54" spans="2:135">
      <c r="C54" s="265" t="str">
        <f t="shared" si="263"/>
        <v>Paid Preference - Tier 1</v>
      </c>
      <c r="G54" s="301">
        <f t="shared" ca="1" si="264"/>
        <v>0</v>
      </c>
      <c r="H54" s="301"/>
      <c r="I54" s="301">
        <f t="shared" ref="I54:BT55" si="298">I44</f>
        <v>0</v>
      </c>
      <c r="J54" s="301">
        <f t="shared" si="298"/>
        <v>0</v>
      </c>
      <c r="K54" s="301">
        <f t="shared" ca="1" si="298"/>
        <v>0</v>
      </c>
      <c r="L54" s="301">
        <f t="shared" ca="1" si="298"/>
        <v>0</v>
      </c>
      <c r="M54" s="301">
        <f t="shared" ca="1" si="298"/>
        <v>0</v>
      </c>
      <c r="N54" s="301">
        <f t="shared" ca="1" si="298"/>
        <v>0</v>
      </c>
      <c r="O54" s="301">
        <f t="shared" ca="1" si="298"/>
        <v>0</v>
      </c>
      <c r="P54" s="301">
        <f t="shared" ca="1" si="298"/>
        <v>0</v>
      </c>
      <c r="Q54" s="301">
        <f t="shared" ca="1" si="298"/>
        <v>0</v>
      </c>
      <c r="R54" s="301">
        <f t="shared" ca="1" si="298"/>
        <v>0</v>
      </c>
      <c r="S54" s="301">
        <f t="shared" ca="1" si="298"/>
        <v>0</v>
      </c>
      <c r="T54" s="301">
        <f t="shared" ca="1" si="298"/>
        <v>0</v>
      </c>
      <c r="U54" s="301">
        <f t="shared" ca="1" si="298"/>
        <v>0</v>
      </c>
      <c r="V54" s="301">
        <f t="shared" ca="1" si="298"/>
        <v>0</v>
      </c>
      <c r="W54" s="301">
        <f t="shared" ca="1" si="298"/>
        <v>0</v>
      </c>
      <c r="X54" s="301">
        <f t="shared" ca="1" si="298"/>
        <v>0</v>
      </c>
      <c r="Y54" s="301">
        <f t="shared" ca="1" si="298"/>
        <v>0</v>
      </c>
      <c r="Z54" s="301">
        <f t="shared" ca="1" si="298"/>
        <v>0</v>
      </c>
      <c r="AA54" s="301">
        <f t="shared" ca="1" si="298"/>
        <v>0</v>
      </c>
      <c r="AB54" s="301">
        <f t="shared" ca="1" si="298"/>
        <v>0</v>
      </c>
      <c r="AC54" s="301">
        <f t="shared" ca="1" si="298"/>
        <v>0</v>
      </c>
      <c r="AD54" s="301">
        <f t="shared" ca="1" si="298"/>
        <v>0</v>
      </c>
      <c r="AE54" s="301">
        <f t="shared" ca="1" si="298"/>
        <v>0</v>
      </c>
      <c r="AF54" s="301">
        <f t="shared" ca="1" si="298"/>
        <v>0</v>
      </c>
      <c r="AG54" s="301">
        <f t="shared" ca="1" si="298"/>
        <v>0</v>
      </c>
      <c r="AH54" s="301">
        <f t="shared" ca="1" si="298"/>
        <v>0</v>
      </c>
      <c r="AI54" s="301">
        <f t="shared" ca="1" si="298"/>
        <v>0</v>
      </c>
      <c r="AJ54" s="301">
        <f t="shared" ca="1" si="298"/>
        <v>0</v>
      </c>
      <c r="AK54" s="301">
        <f t="shared" ca="1" si="298"/>
        <v>0</v>
      </c>
      <c r="AL54" s="301">
        <f t="shared" ca="1" si="298"/>
        <v>0</v>
      </c>
      <c r="AM54" s="301">
        <f t="shared" ca="1" si="298"/>
        <v>0</v>
      </c>
      <c r="AN54" s="301">
        <f t="shared" ca="1" si="298"/>
        <v>0</v>
      </c>
      <c r="AO54" s="301">
        <f t="shared" ca="1" si="298"/>
        <v>0</v>
      </c>
      <c r="AP54" s="301">
        <f t="shared" ca="1" si="298"/>
        <v>0</v>
      </c>
      <c r="AQ54" s="301">
        <f t="shared" ca="1" si="298"/>
        <v>0</v>
      </c>
      <c r="AR54" s="301">
        <f t="shared" ca="1" si="298"/>
        <v>0</v>
      </c>
      <c r="AS54" s="301">
        <f t="shared" ca="1" si="298"/>
        <v>0</v>
      </c>
      <c r="AT54" s="301">
        <f t="shared" ca="1" si="298"/>
        <v>0</v>
      </c>
      <c r="AU54" s="301">
        <f t="shared" ca="1" si="298"/>
        <v>0</v>
      </c>
      <c r="AV54" s="301">
        <f t="shared" ca="1" si="298"/>
        <v>0</v>
      </c>
      <c r="AW54" s="301">
        <f t="shared" ca="1" si="298"/>
        <v>0</v>
      </c>
      <c r="AX54" s="301">
        <f t="shared" ca="1" si="298"/>
        <v>0</v>
      </c>
      <c r="AY54" s="301">
        <f t="shared" ca="1" si="298"/>
        <v>0</v>
      </c>
      <c r="AZ54" s="301">
        <f t="shared" ca="1" si="298"/>
        <v>0</v>
      </c>
      <c r="BA54" s="301">
        <f t="shared" ca="1" si="298"/>
        <v>0</v>
      </c>
      <c r="BB54" s="301">
        <f t="shared" ca="1" si="298"/>
        <v>0</v>
      </c>
      <c r="BC54" s="301">
        <f t="shared" ca="1" si="298"/>
        <v>0</v>
      </c>
      <c r="BD54" s="301">
        <f t="shared" ca="1" si="298"/>
        <v>0</v>
      </c>
      <c r="BE54" s="301">
        <f t="shared" ca="1" si="298"/>
        <v>0</v>
      </c>
      <c r="BF54" s="301">
        <f t="shared" ca="1" si="298"/>
        <v>0</v>
      </c>
      <c r="BG54" s="301">
        <f t="shared" ca="1" si="298"/>
        <v>0</v>
      </c>
      <c r="BH54" s="301">
        <f t="shared" ca="1" si="298"/>
        <v>0</v>
      </c>
      <c r="BI54" s="301">
        <f t="shared" ca="1" si="298"/>
        <v>0</v>
      </c>
      <c r="BJ54" s="301">
        <f t="shared" ca="1" si="298"/>
        <v>0</v>
      </c>
      <c r="BK54" s="301">
        <f t="shared" ca="1" si="298"/>
        <v>0</v>
      </c>
      <c r="BL54" s="301">
        <f t="shared" ca="1" si="298"/>
        <v>0</v>
      </c>
      <c r="BM54" s="301">
        <f t="shared" ca="1" si="298"/>
        <v>0</v>
      </c>
      <c r="BN54" s="301">
        <f t="shared" ca="1" si="298"/>
        <v>0</v>
      </c>
      <c r="BO54" s="301">
        <f t="shared" ca="1" si="298"/>
        <v>0</v>
      </c>
      <c r="BP54" s="301">
        <f t="shared" ca="1" si="298"/>
        <v>0</v>
      </c>
      <c r="BQ54" s="301">
        <f t="shared" ca="1" si="298"/>
        <v>0</v>
      </c>
      <c r="BR54" s="301">
        <f t="shared" ca="1" si="298"/>
        <v>0</v>
      </c>
      <c r="BS54" s="301">
        <f t="shared" ca="1" si="298"/>
        <v>0</v>
      </c>
      <c r="BT54" s="301">
        <f t="shared" ca="1" si="298"/>
        <v>0</v>
      </c>
      <c r="BU54" s="301">
        <f t="shared" ref="BU54:CZ55" ca="1" si="299">BU44</f>
        <v>0</v>
      </c>
      <c r="BV54" s="301">
        <f t="shared" ca="1" si="299"/>
        <v>0</v>
      </c>
      <c r="BW54" s="301">
        <f t="shared" ca="1" si="299"/>
        <v>0</v>
      </c>
      <c r="BX54" s="301">
        <f t="shared" ca="1" si="299"/>
        <v>0</v>
      </c>
      <c r="BY54" s="301">
        <f t="shared" ca="1" si="299"/>
        <v>0</v>
      </c>
      <c r="BZ54" s="301">
        <f t="shared" ca="1" si="299"/>
        <v>0</v>
      </c>
      <c r="CA54" s="301">
        <f t="shared" ca="1" si="299"/>
        <v>0</v>
      </c>
      <c r="CB54" s="301">
        <f t="shared" ca="1" si="299"/>
        <v>0</v>
      </c>
      <c r="CC54" s="301">
        <f t="shared" ca="1" si="299"/>
        <v>0</v>
      </c>
      <c r="CD54" s="301">
        <f t="shared" ca="1" si="299"/>
        <v>0</v>
      </c>
      <c r="CE54" s="301">
        <f t="shared" ca="1" si="299"/>
        <v>0</v>
      </c>
      <c r="CF54" s="301">
        <f t="shared" ca="1" si="299"/>
        <v>0</v>
      </c>
      <c r="CG54" s="301">
        <f t="shared" ca="1" si="299"/>
        <v>0</v>
      </c>
      <c r="CH54" s="301">
        <f t="shared" ca="1" si="299"/>
        <v>0</v>
      </c>
      <c r="CI54" s="301">
        <f t="shared" ca="1" si="299"/>
        <v>0</v>
      </c>
      <c r="CJ54" s="301">
        <f t="shared" ca="1" si="299"/>
        <v>0</v>
      </c>
      <c r="CK54" s="301">
        <f t="shared" ca="1" si="299"/>
        <v>0</v>
      </c>
      <c r="CL54" s="301">
        <f t="shared" ca="1" si="299"/>
        <v>0</v>
      </c>
      <c r="CM54" s="301">
        <f t="shared" ca="1" si="299"/>
        <v>0</v>
      </c>
      <c r="CN54" s="301">
        <f t="shared" ca="1" si="299"/>
        <v>0</v>
      </c>
      <c r="CO54" s="301">
        <f t="shared" ca="1" si="299"/>
        <v>0</v>
      </c>
      <c r="CP54" s="301">
        <f t="shared" ca="1" si="299"/>
        <v>0</v>
      </c>
      <c r="CQ54" s="301">
        <f t="shared" ca="1" si="299"/>
        <v>0</v>
      </c>
      <c r="CR54" s="301">
        <f t="shared" ca="1" si="299"/>
        <v>0</v>
      </c>
      <c r="CS54" s="301">
        <f t="shared" ca="1" si="299"/>
        <v>0</v>
      </c>
      <c r="CT54" s="301">
        <f t="shared" ca="1" si="299"/>
        <v>0</v>
      </c>
      <c r="CU54" s="301">
        <f t="shared" ca="1" si="299"/>
        <v>0</v>
      </c>
      <c r="CV54" s="301">
        <f t="shared" ca="1" si="299"/>
        <v>0</v>
      </c>
      <c r="CW54" s="301">
        <f t="shared" ca="1" si="299"/>
        <v>0</v>
      </c>
      <c r="CX54" s="301">
        <f t="shared" ca="1" si="299"/>
        <v>0</v>
      </c>
      <c r="CY54" s="301">
        <f t="shared" ca="1" si="299"/>
        <v>0</v>
      </c>
      <c r="CZ54" s="301">
        <f t="shared" ca="1" si="299"/>
        <v>0</v>
      </c>
      <c r="DA54" s="301">
        <f t="shared" ref="DA54:EE54" ca="1" si="300">DA44</f>
        <v>0</v>
      </c>
      <c r="DB54" s="301">
        <f t="shared" ca="1" si="300"/>
        <v>0</v>
      </c>
      <c r="DC54" s="301">
        <f t="shared" ca="1" si="300"/>
        <v>0</v>
      </c>
      <c r="DD54" s="301">
        <f t="shared" ca="1" si="300"/>
        <v>0</v>
      </c>
      <c r="DE54" s="301">
        <f t="shared" ca="1" si="300"/>
        <v>0</v>
      </c>
      <c r="DF54" s="301">
        <f t="shared" ca="1" si="300"/>
        <v>0</v>
      </c>
      <c r="DG54" s="301">
        <f t="shared" ca="1" si="300"/>
        <v>0</v>
      </c>
      <c r="DH54" s="301">
        <f t="shared" ca="1" si="300"/>
        <v>0</v>
      </c>
      <c r="DI54" s="301">
        <f t="shared" ca="1" si="300"/>
        <v>0</v>
      </c>
      <c r="DJ54" s="301">
        <f t="shared" ca="1" si="300"/>
        <v>0</v>
      </c>
      <c r="DK54" s="301">
        <f t="shared" ca="1" si="300"/>
        <v>0</v>
      </c>
      <c r="DL54" s="301">
        <f t="shared" ca="1" si="300"/>
        <v>0</v>
      </c>
      <c r="DM54" s="301">
        <f t="shared" ca="1" si="300"/>
        <v>0</v>
      </c>
      <c r="DN54" s="301">
        <f t="shared" ca="1" si="300"/>
        <v>0</v>
      </c>
      <c r="DO54" s="301">
        <f t="shared" ca="1" si="300"/>
        <v>0</v>
      </c>
      <c r="DP54" s="301">
        <f t="shared" ca="1" si="300"/>
        <v>0</v>
      </c>
      <c r="DQ54" s="301">
        <f t="shared" ca="1" si="300"/>
        <v>0</v>
      </c>
      <c r="DR54" s="301">
        <f t="shared" ca="1" si="300"/>
        <v>0</v>
      </c>
      <c r="DS54" s="301">
        <f t="shared" ca="1" si="300"/>
        <v>0</v>
      </c>
      <c r="DT54" s="301">
        <f t="shared" ca="1" si="300"/>
        <v>0</v>
      </c>
      <c r="DU54" s="301">
        <f t="shared" ca="1" si="300"/>
        <v>0</v>
      </c>
      <c r="DV54" s="301">
        <f t="shared" ca="1" si="300"/>
        <v>0</v>
      </c>
      <c r="DW54" s="301">
        <f t="shared" ca="1" si="300"/>
        <v>0</v>
      </c>
      <c r="DX54" s="301">
        <f t="shared" ca="1" si="300"/>
        <v>0</v>
      </c>
      <c r="DY54" s="301">
        <f t="shared" ca="1" si="300"/>
        <v>0</v>
      </c>
      <c r="DZ54" s="301">
        <f t="shared" ca="1" si="300"/>
        <v>0</v>
      </c>
      <c r="EA54" s="301">
        <f t="shared" ca="1" si="300"/>
        <v>0</v>
      </c>
      <c r="EB54" s="301">
        <f t="shared" ca="1" si="300"/>
        <v>0</v>
      </c>
      <c r="EC54" s="301">
        <f t="shared" ca="1" si="300"/>
        <v>0</v>
      </c>
      <c r="ED54" s="301">
        <f t="shared" ca="1" si="300"/>
        <v>0</v>
      </c>
      <c r="EE54" s="301">
        <f t="shared" ca="1" si="300"/>
        <v>0</v>
      </c>
    </row>
    <row r="55" spans="2:135">
      <c r="C55" s="265" t="str">
        <f t="shared" si="263"/>
        <v>Paid Preference - Tier 2</v>
      </c>
      <c r="G55" s="301">
        <f t="shared" ca="1" si="264"/>
        <v>0</v>
      </c>
      <c r="H55" s="301"/>
      <c r="I55" s="301">
        <f t="shared" si="298"/>
        <v>0</v>
      </c>
      <c r="J55" s="301">
        <f t="shared" si="298"/>
        <v>0</v>
      </c>
      <c r="K55" s="301">
        <f t="shared" ca="1" si="298"/>
        <v>0</v>
      </c>
      <c r="L55" s="301">
        <f t="shared" ca="1" si="298"/>
        <v>0</v>
      </c>
      <c r="M55" s="301">
        <f t="shared" ca="1" si="298"/>
        <v>0</v>
      </c>
      <c r="N55" s="301">
        <f t="shared" ca="1" si="298"/>
        <v>0</v>
      </c>
      <c r="O55" s="301">
        <f t="shared" ca="1" si="298"/>
        <v>0</v>
      </c>
      <c r="P55" s="301">
        <f t="shared" ca="1" si="298"/>
        <v>0</v>
      </c>
      <c r="Q55" s="301">
        <f t="shared" ca="1" si="298"/>
        <v>0</v>
      </c>
      <c r="R55" s="301">
        <f t="shared" ca="1" si="298"/>
        <v>0</v>
      </c>
      <c r="S55" s="301">
        <f t="shared" ca="1" si="298"/>
        <v>0</v>
      </c>
      <c r="T55" s="301">
        <f t="shared" ca="1" si="298"/>
        <v>0</v>
      </c>
      <c r="U55" s="301">
        <f t="shared" ca="1" si="298"/>
        <v>0</v>
      </c>
      <c r="V55" s="301">
        <f t="shared" ca="1" si="298"/>
        <v>0</v>
      </c>
      <c r="W55" s="301">
        <f t="shared" ca="1" si="298"/>
        <v>0</v>
      </c>
      <c r="X55" s="301">
        <f t="shared" ca="1" si="298"/>
        <v>0</v>
      </c>
      <c r="Y55" s="301">
        <f t="shared" ca="1" si="298"/>
        <v>0</v>
      </c>
      <c r="Z55" s="301">
        <f t="shared" ca="1" si="298"/>
        <v>0</v>
      </c>
      <c r="AA55" s="301">
        <f t="shared" ca="1" si="298"/>
        <v>0</v>
      </c>
      <c r="AB55" s="301">
        <f t="shared" ca="1" si="298"/>
        <v>0</v>
      </c>
      <c r="AC55" s="301">
        <f t="shared" ca="1" si="298"/>
        <v>0</v>
      </c>
      <c r="AD55" s="301">
        <f t="shared" ca="1" si="298"/>
        <v>0</v>
      </c>
      <c r="AE55" s="301">
        <f t="shared" ca="1" si="298"/>
        <v>0</v>
      </c>
      <c r="AF55" s="301">
        <f t="shared" ca="1" si="298"/>
        <v>0</v>
      </c>
      <c r="AG55" s="301">
        <f t="shared" ca="1" si="298"/>
        <v>0</v>
      </c>
      <c r="AH55" s="301">
        <f t="shared" ca="1" si="298"/>
        <v>0</v>
      </c>
      <c r="AI55" s="301">
        <f t="shared" ca="1" si="298"/>
        <v>0</v>
      </c>
      <c r="AJ55" s="301">
        <f t="shared" ca="1" si="298"/>
        <v>0</v>
      </c>
      <c r="AK55" s="301">
        <f t="shared" ca="1" si="298"/>
        <v>0</v>
      </c>
      <c r="AL55" s="301">
        <f t="shared" ca="1" si="298"/>
        <v>0</v>
      </c>
      <c r="AM55" s="301">
        <f t="shared" ca="1" si="298"/>
        <v>0</v>
      </c>
      <c r="AN55" s="301">
        <f t="shared" ca="1" si="298"/>
        <v>0</v>
      </c>
      <c r="AO55" s="301">
        <f t="shared" ca="1" si="298"/>
        <v>0</v>
      </c>
      <c r="AP55" s="301">
        <f t="shared" ca="1" si="298"/>
        <v>0</v>
      </c>
      <c r="AQ55" s="301">
        <f t="shared" ca="1" si="298"/>
        <v>0</v>
      </c>
      <c r="AR55" s="301">
        <f t="shared" ca="1" si="298"/>
        <v>0</v>
      </c>
      <c r="AS55" s="301">
        <f t="shared" ca="1" si="298"/>
        <v>0</v>
      </c>
      <c r="AT55" s="301">
        <f t="shared" ca="1" si="298"/>
        <v>0</v>
      </c>
      <c r="AU55" s="301">
        <f t="shared" ca="1" si="298"/>
        <v>0</v>
      </c>
      <c r="AV55" s="301">
        <f t="shared" ca="1" si="298"/>
        <v>0</v>
      </c>
      <c r="AW55" s="301">
        <f t="shared" ca="1" si="298"/>
        <v>0</v>
      </c>
      <c r="AX55" s="301">
        <f t="shared" ca="1" si="298"/>
        <v>0</v>
      </c>
      <c r="AY55" s="301">
        <f t="shared" ca="1" si="298"/>
        <v>0</v>
      </c>
      <c r="AZ55" s="301">
        <f t="shared" ca="1" si="298"/>
        <v>0</v>
      </c>
      <c r="BA55" s="301">
        <f t="shared" ca="1" si="298"/>
        <v>0</v>
      </c>
      <c r="BB55" s="301">
        <f t="shared" ca="1" si="298"/>
        <v>0</v>
      </c>
      <c r="BC55" s="301">
        <f t="shared" ca="1" si="298"/>
        <v>0</v>
      </c>
      <c r="BD55" s="301">
        <f t="shared" ca="1" si="298"/>
        <v>0</v>
      </c>
      <c r="BE55" s="301">
        <f t="shared" ca="1" si="298"/>
        <v>0</v>
      </c>
      <c r="BF55" s="301">
        <f t="shared" ca="1" si="298"/>
        <v>0</v>
      </c>
      <c r="BG55" s="301">
        <f t="shared" ca="1" si="298"/>
        <v>0</v>
      </c>
      <c r="BH55" s="301">
        <f t="shared" ca="1" si="298"/>
        <v>0</v>
      </c>
      <c r="BI55" s="301">
        <f t="shared" ca="1" si="298"/>
        <v>0</v>
      </c>
      <c r="BJ55" s="301">
        <f t="shared" ca="1" si="298"/>
        <v>0</v>
      </c>
      <c r="BK55" s="301">
        <f t="shared" ca="1" si="298"/>
        <v>0</v>
      </c>
      <c r="BL55" s="301">
        <f t="shared" ca="1" si="298"/>
        <v>0</v>
      </c>
      <c r="BM55" s="301">
        <f t="shared" ca="1" si="298"/>
        <v>0</v>
      </c>
      <c r="BN55" s="301">
        <f t="shared" ca="1" si="298"/>
        <v>0</v>
      </c>
      <c r="BO55" s="301">
        <f t="shared" ca="1" si="298"/>
        <v>0</v>
      </c>
      <c r="BP55" s="301">
        <f t="shared" ca="1" si="298"/>
        <v>0</v>
      </c>
      <c r="BQ55" s="301">
        <f t="shared" ca="1" si="298"/>
        <v>0</v>
      </c>
      <c r="BR55" s="301">
        <f t="shared" ca="1" si="298"/>
        <v>0</v>
      </c>
      <c r="BS55" s="301">
        <f t="shared" ca="1" si="298"/>
        <v>0</v>
      </c>
      <c r="BT55" s="301">
        <f t="shared" ca="1" si="298"/>
        <v>0</v>
      </c>
      <c r="BU55" s="301">
        <f t="shared" ca="1" si="299"/>
        <v>0</v>
      </c>
      <c r="BV55" s="301">
        <f t="shared" ca="1" si="299"/>
        <v>0</v>
      </c>
      <c r="BW55" s="301">
        <f t="shared" ca="1" si="299"/>
        <v>0</v>
      </c>
      <c r="BX55" s="301">
        <f t="shared" ca="1" si="299"/>
        <v>0</v>
      </c>
      <c r="BY55" s="301">
        <f t="shared" ca="1" si="299"/>
        <v>0</v>
      </c>
      <c r="BZ55" s="301">
        <f t="shared" ca="1" si="299"/>
        <v>0</v>
      </c>
      <c r="CA55" s="301">
        <f t="shared" ca="1" si="299"/>
        <v>0</v>
      </c>
      <c r="CB55" s="301">
        <f t="shared" ca="1" si="299"/>
        <v>0</v>
      </c>
      <c r="CC55" s="301">
        <f t="shared" ca="1" si="299"/>
        <v>0</v>
      </c>
      <c r="CD55" s="301">
        <f t="shared" ca="1" si="299"/>
        <v>0</v>
      </c>
      <c r="CE55" s="301">
        <f t="shared" ca="1" si="299"/>
        <v>0</v>
      </c>
      <c r="CF55" s="301">
        <f t="shared" ca="1" si="299"/>
        <v>0</v>
      </c>
      <c r="CG55" s="301">
        <f t="shared" ca="1" si="299"/>
        <v>0</v>
      </c>
      <c r="CH55" s="301">
        <f t="shared" ca="1" si="299"/>
        <v>0</v>
      </c>
      <c r="CI55" s="301">
        <f t="shared" ca="1" si="299"/>
        <v>0</v>
      </c>
      <c r="CJ55" s="301">
        <f t="shared" ca="1" si="299"/>
        <v>0</v>
      </c>
      <c r="CK55" s="301">
        <f t="shared" ca="1" si="299"/>
        <v>0</v>
      </c>
      <c r="CL55" s="301">
        <f t="shared" ca="1" si="299"/>
        <v>0</v>
      </c>
      <c r="CM55" s="301">
        <f t="shared" ca="1" si="299"/>
        <v>0</v>
      </c>
      <c r="CN55" s="301">
        <f t="shared" ca="1" si="299"/>
        <v>0</v>
      </c>
      <c r="CO55" s="301">
        <f t="shared" ca="1" si="299"/>
        <v>0</v>
      </c>
      <c r="CP55" s="301">
        <f t="shared" ca="1" si="299"/>
        <v>0</v>
      </c>
      <c r="CQ55" s="301">
        <f t="shared" ca="1" si="299"/>
        <v>0</v>
      </c>
      <c r="CR55" s="301">
        <f t="shared" ca="1" si="299"/>
        <v>0</v>
      </c>
      <c r="CS55" s="301">
        <f t="shared" ca="1" si="299"/>
        <v>0</v>
      </c>
      <c r="CT55" s="301">
        <f t="shared" ca="1" si="299"/>
        <v>0</v>
      </c>
      <c r="CU55" s="301">
        <f t="shared" ca="1" si="299"/>
        <v>0</v>
      </c>
      <c r="CV55" s="301">
        <f t="shared" ca="1" si="299"/>
        <v>0</v>
      </c>
      <c r="CW55" s="301">
        <f t="shared" ca="1" si="299"/>
        <v>0</v>
      </c>
      <c r="CX55" s="301">
        <f t="shared" ca="1" si="299"/>
        <v>0</v>
      </c>
      <c r="CY55" s="301">
        <f t="shared" ca="1" si="299"/>
        <v>0</v>
      </c>
      <c r="CZ55" s="301">
        <f t="shared" ca="1" si="299"/>
        <v>0</v>
      </c>
      <c r="DA55" s="301">
        <f t="shared" ref="DA55:EE55" ca="1" si="301">DA45</f>
        <v>0</v>
      </c>
      <c r="DB55" s="301">
        <f t="shared" ca="1" si="301"/>
        <v>0</v>
      </c>
      <c r="DC55" s="301">
        <f t="shared" ca="1" si="301"/>
        <v>0</v>
      </c>
      <c r="DD55" s="301">
        <f t="shared" ca="1" si="301"/>
        <v>0</v>
      </c>
      <c r="DE55" s="301">
        <f t="shared" ca="1" si="301"/>
        <v>0</v>
      </c>
      <c r="DF55" s="301">
        <f t="shared" ca="1" si="301"/>
        <v>0</v>
      </c>
      <c r="DG55" s="301">
        <f t="shared" ca="1" si="301"/>
        <v>0</v>
      </c>
      <c r="DH55" s="301">
        <f t="shared" ca="1" si="301"/>
        <v>0</v>
      </c>
      <c r="DI55" s="301">
        <f t="shared" ca="1" si="301"/>
        <v>0</v>
      </c>
      <c r="DJ55" s="301">
        <f t="shared" ca="1" si="301"/>
        <v>0</v>
      </c>
      <c r="DK55" s="301">
        <f t="shared" ca="1" si="301"/>
        <v>0</v>
      </c>
      <c r="DL55" s="301">
        <f t="shared" ca="1" si="301"/>
        <v>0</v>
      </c>
      <c r="DM55" s="301">
        <f t="shared" ca="1" si="301"/>
        <v>0</v>
      </c>
      <c r="DN55" s="301">
        <f t="shared" ca="1" si="301"/>
        <v>0</v>
      </c>
      <c r="DO55" s="301">
        <f t="shared" ca="1" si="301"/>
        <v>0</v>
      </c>
      <c r="DP55" s="301">
        <f t="shared" ca="1" si="301"/>
        <v>0</v>
      </c>
      <c r="DQ55" s="301">
        <f t="shared" ca="1" si="301"/>
        <v>0</v>
      </c>
      <c r="DR55" s="301">
        <f t="shared" ca="1" si="301"/>
        <v>0</v>
      </c>
      <c r="DS55" s="301">
        <f t="shared" ca="1" si="301"/>
        <v>0</v>
      </c>
      <c r="DT55" s="301">
        <f t="shared" ca="1" si="301"/>
        <v>0</v>
      </c>
      <c r="DU55" s="301">
        <f t="shared" ca="1" si="301"/>
        <v>0</v>
      </c>
      <c r="DV55" s="301">
        <f t="shared" ca="1" si="301"/>
        <v>0</v>
      </c>
      <c r="DW55" s="301">
        <f t="shared" ca="1" si="301"/>
        <v>0</v>
      </c>
      <c r="DX55" s="301">
        <f t="shared" ca="1" si="301"/>
        <v>0</v>
      </c>
      <c r="DY55" s="301">
        <f t="shared" ca="1" si="301"/>
        <v>0</v>
      </c>
      <c r="DZ55" s="301">
        <f t="shared" ca="1" si="301"/>
        <v>0</v>
      </c>
      <c r="EA55" s="301">
        <f t="shared" ca="1" si="301"/>
        <v>0</v>
      </c>
      <c r="EB55" s="301">
        <f t="shared" ca="1" si="301"/>
        <v>0</v>
      </c>
      <c r="EC55" s="301">
        <f t="shared" ca="1" si="301"/>
        <v>0</v>
      </c>
      <c r="ED55" s="301">
        <f t="shared" ca="1" si="301"/>
        <v>0</v>
      </c>
      <c r="EE55" s="301">
        <f t="shared" ca="1" si="301"/>
        <v>0</v>
      </c>
    </row>
    <row r="56" spans="2:135">
      <c r="C56" s="265" t="s">
        <v>179</v>
      </c>
      <c r="F56" s="310">
        <f>F19</f>
        <v>1</v>
      </c>
      <c r="G56" s="301">
        <f t="shared" ca="1" si="264"/>
        <v>-16069.42275593705</v>
      </c>
      <c r="H56" s="301"/>
      <c r="I56" s="312">
        <v>0</v>
      </c>
      <c r="J56" s="301">
        <f ca="1">-MIN(J28*$F$56, MAX(SUM($I$53:J55, $I$56:I56), 0))</f>
        <v>0</v>
      </c>
      <c r="K56" s="301">
        <f ca="1">-MIN(K28*$F$56, MAX(SUM($I$53:K55, $I$56:J56), 0))</f>
        <v>0</v>
      </c>
      <c r="L56" s="301">
        <f ca="1">-MIN(L28*$F$56, MAX(SUM($I$53:L55, $I$56:K56), 0))</f>
        <v>0</v>
      </c>
      <c r="M56" s="301">
        <f ca="1">-MIN(M28*$F$56, MAX(SUM($I$53:M55, $I$56:L56), 0))</f>
        <v>0</v>
      </c>
      <c r="N56" s="301">
        <f ca="1">-MIN(N28*$F$56, MAX(SUM($I$53:N55, $I$56:M56), 0))</f>
        <v>0</v>
      </c>
      <c r="O56" s="301">
        <f ca="1">-MIN(O28*$F$56, MAX(SUM($I$53:O55, $I$56:N56), 0))</f>
        <v>0</v>
      </c>
      <c r="P56" s="301">
        <f ca="1">-MIN(P28*$F$56, MAX(SUM($I$53:P55, $I$56:O56), 0))</f>
        <v>0</v>
      </c>
      <c r="Q56" s="301">
        <f ca="1">-MIN(Q28*$F$56, MAX(SUM($I$53:Q55, $I$56:P56), 0))</f>
        <v>0</v>
      </c>
      <c r="R56" s="301">
        <f ca="1">-MIN(R28*$F$56, MAX(SUM($I$53:R55, $I$56:Q56), 0))</f>
        <v>0</v>
      </c>
      <c r="S56" s="301">
        <f ca="1">-MIN(S28*$F$56, MAX(SUM($I$53:S55, $I$56:R56), 0))</f>
        <v>0</v>
      </c>
      <c r="T56" s="301">
        <f ca="1">-MIN(T28*$F$56, MAX(SUM($I$53:T55, $I$56:S56), 0))</f>
        <v>0</v>
      </c>
      <c r="U56" s="301">
        <f ca="1">-MIN(U28*$F$56, MAX(SUM($I$53:U55, $I$56:T56), 0))</f>
        <v>0</v>
      </c>
      <c r="V56" s="301">
        <f ca="1">-MIN(V28*$F$56, MAX(SUM($I$53:V55, $I$56:U56), 0))</f>
        <v>0</v>
      </c>
      <c r="W56" s="301">
        <f ca="1">-MIN(W28*$F$56, MAX(SUM($I$53:W55, $I$56:V56), 0))</f>
        <v>0</v>
      </c>
      <c r="X56" s="301">
        <f ca="1">-MIN(X28*$F$56, MAX(SUM($I$53:X55, $I$56:W56), 0))</f>
        <v>0</v>
      </c>
      <c r="Y56" s="301">
        <f ca="1">-MIN(Y28*$F$56, MAX(SUM($I$53:Y55, $I$56:X56), 0))</f>
        <v>0</v>
      </c>
      <c r="Z56" s="301">
        <f ca="1">-MIN(Z28*$F$56, MAX(SUM($I$53:Z55, $I$56:Y56), 0))</f>
        <v>0</v>
      </c>
      <c r="AA56" s="301">
        <f ca="1">-MIN(AA28*$F$56, MAX(SUM($I$53:AA55, $I$56:Z56), 0))</f>
        <v>0</v>
      </c>
      <c r="AB56" s="301">
        <f ca="1">-MIN(AB28*$F$56, MAX(SUM($I$53:AB55, $I$56:AA56), 0))</f>
        <v>0</v>
      </c>
      <c r="AC56" s="301">
        <f ca="1">-MIN(AC28*$F$56, MAX(SUM($I$53:AC55, $I$56:AB56), 0))</f>
        <v>0</v>
      </c>
      <c r="AD56" s="301">
        <f ca="1">-MIN(AD28*$F$56, MAX(SUM($I$53:AD55, $I$56:AC56), 0))</f>
        <v>0</v>
      </c>
      <c r="AE56" s="301">
        <f ca="1">-MIN(AE28*$F$56, MAX(SUM($I$53:AE55, $I$56:AD56), 0))</f>
        <v>0</v>
      </c>
      <c r="AF56" s="301">
        <f ca="1">-MIN(AF28*$F$56, MAX(SUM($I$53:AF55, $I$56:AE56), 0))</f>
        <v>0</v>
      </c>
      <c r="AG56" s="301">
        <f ca="1">-MIN(AG28*$F$56, MAX(SUM($I$53:AG55, $I$56:AF56), 0))</f>
        <v>0</v>
      </c>
      <c r="AH56" s="301">
        <f ca="1">-MIN(AH28*$F$56, MAX(SUM($I$53:AH55, $I$56:AG56), 0))</f>
        <v>0</v>
      </c>
      <c r="AI56" s="301">
        <f ca="1">-MIN(AI28*$F$56, MAX(SUM($I$53:AI55, $I$56:AH56), 0))</f>
        <v>0</v>
      </c>
      <c r="AJ56" s="301">
        <f ca="1">-MIN(AJ28*$F$56, MAX(SUM($I$53:AJ55, $I$56:AI56), 0))</f>
        <v>0</v>
      </c>
      <c r="AK56" s="301">
        <f ca="1">-MIN(AK28*$F$56, MAX(SUM($I$53:AK55, $I$56:AJ56), 0))</f>
        <v>0</v>
      </c>
      <c r="AL56" s="301">
        <f ca="1">-MIN(AL28*$F$56, MAX(SUM($I$53:AL55, $I$56:AK56), 0))</f>
        <v>0</v>
      </c>
      <c r="AM56" s="301">
        <f ca="1">-MIN(AM28*$F$56, MAX(SUM($I$53:AM55, $I$56:AL56), 0))</f>
        <v>0</v>
      </c>
      <c r="AN56" s="301">
        <f ca="1">-MIN(AN28*$F$56, MAX(SUM($I$53:AN55, $I$56:AM56), 0))</f>
        <v>0</v>
      </c>
      <c r="AO56" s="301">
        <f ca="1">-MIN(AO28*$F$56, MAX(SUM($I$53:AO55, $I$56:AN56), 0))</f>
        <v>0</v>
      </c>
      <c r="AP56" s="301">
        <f ca="1">-MIN(AP28*$F$56, MAX(SUM($I$53:AP55, $I$56:AO56), 0))</f>
        <v>0</v>
      </c>
      <c r="AQ56" s="301">
        <f ca="1">-MIN(AQ28*$F$56, MAX(SUM($I$53:AQ55, $I$56:AP56), 0))</f>
        <v>0</v>
      </c>
      <c r="AR56" s="301">
        <f ca="1">-MIN(AR28*$F$56, MAX(SUM($I$53:AR55, $I$56:AQ56), 0))</f>
        <v>0</v>
      </c>
      <c r="AS56" s="301">
        <f ca="1">-MIN(AS28*$F$56, MAX(SUM($I$53:AS55, $I$56:AR56), 0))</f>
        <v>0</v>
      </c>
      <c r="AT56" s="301">
        <f ca="1">-MIN(AT28*$F$56, MAX(SUM($I$53:AT55, $I$56:AS56), 0))</f>
        <v>0</v>
      </c>
      <c r="AU56" s="301">
        <f ca="1">-MIN(AU28*$F$56, MAX(SUM($I$53:AU55, $I$56:AT56), 0))</f>
        <v>0</v>
      </c>
      <c r="AV56" s="301">
        <f ca="1">-MIN(AV28*$F$56, MAX(SUM($I$53:AV55, $I$56:AU56), 0))</f>
        <v>0</v>
      </c>
      <c r="AW56" s="301">
        <f ca="1">-MIN(AW28*$F$56, MAX(SUM($I$53:AW55, $I$56:AV56), 0))</f>
        <v>0</v>
      </c>
      <c r="AX56" s="301">
        <f ca="1">-MIN(AX28*$F$56, MAX(SUM($I$53:AX55, $I$56:AW56), 0))</f>
        <v>0</v>
      </c>
      <c r="AY56" s="301">
        <f ca="1">-MIN(AY28*$F$56, MAX(SUM($I$53:AY55, $I$56:AX56), 0))</f>
        <v>0</v>
      </c>
      <c r="AZ56" s="301">
        <f ca="1">-MIN(AZ28*$F$56, MAX(SUM($I$53:AZ55, $I$56:AY56), 0))</f>
        <v>0</v>
      </c>
      <c r="BA56" s="301">
        <f ca="1">-MIN(BA28*$F$56, MAX(SUM($I$53:BA55, $I$56:AZ56), 0))</f>
        <v>0</v>
      </c>
      <c r="BB56" s="301">
        <f ca="1">-MIN(BB28*$F$56, MAX(SUM($I$53:BB55, $I$56:BA56), 0))</f>
        <v>0</v>
      </c>
      <c r="BC56" s="301">
        <f ca="1">-MIN(BC28*$F$56, MAX(SUM($I$53:BC55, $I$56:BB56), 0))</f>
        <v>0</v>
      </c>
      <c r="BD56" s="301">
        <f ca="1">-MIN(BD28*$F$56, MAX(SUM($I$53:BD55, $I$56:BC56), 0))</f>
        <v>0</v>
      </c>
      <c r="BE56" s="301">
        <f ca="1">-MIN(BE28*$F$56, MAX(SUM($I$53:BE55, $I$56:BD56), 0))</f>
        <v>0</v>
      </c>
      <c r="BF56" s="301">
        <f ca="1">-MIN(BF28*$F$56, MAX(SUM($I$53:BF55, $I$56:BE56), 0))</f>
        <v>0</v>
      </c>
      <c r="BG56" s="301">
        <f ca="1">-MIN(BG28*$F$56, MAX(SUM($I$53:BG55, $I$56:BF56), 0))</f>
        <v>0</v>
      </c>
      <c r="BH56" s="301">
        <f ca="1">-MIN(BH28*$F$56, MAX(SUM($I$53:BH55, $I$56:BG56), 0))</f>
        <v>0</v>
      </c>
      <c r="BI56" s="301">
        <f ca="1">-MIN(BI28*$F$56, MAX(SUM($I$53:BI55, $I$56:BH56), 0))</f>
        <v>0</v>
      </c>
      <c r="BJ56" s="301">
        <f ca="1">-MIN(BJ28*$F$56, MAX(SUM($I$53:BJ55, $I$56:BI56), 0))</f>
        <v>0</v>
      </c>
      <c r="BK56" s="301">
        <f ca="1">-MIN(BK28*$F$56, MAX(SUM($I$53:BK55, $I$56:BJ56), 0))</f>
        <v>0</v>
      </c>
      <c r="BL56" s="301">
        <f ca="1">-MIN(BL28*$F$56, MAX(SUM($I$53:BL55, $I$56:BK56), 0))</f>
        <v>0</v>
      </c>
      <c r="BM56" s="301">
        <f ca="1">-MIN(BM28*$F$56, MAX(SUM($I$53:BM55, $I$56:BL56), 0))</f>
        <v>0</v>
      </c>
      <c r="BN56" s="301">
        <f ca="1">-MIN(BN28*$F$56, MAX(SUM($I$53:BN55, $I$56:BM56), 0))</f>
        <v>0</v>
      </c>
      <c r="BO56" s="301">
        <f ca="1">-MIN(BO28*$F$56, MAX(SUM($I$53:BO55, $I$56:BN56), 0))</f>
        <v>0</v>
      </c>
      <c r="BP56" s="301">
        <f ca="1">-MIN(BP28*$F$56, MAX(SUM($I$53:BP55, $I$56:BO56), 0))</f>
        <v>0</v>
      </c>
      <c r="BQ56" s="301">
        <f ca="1">-MIN(BQ28*$F$56, MAX(SUM($I$53:BQ55, $I$56:BP56), 0))</f>
        <v>0</v>
      </c>
      <c r="BR56" s="301">
        <f ca="1">-MIN(BR28*$F$56, MAX(SUM($I$53:BR55, $I$56:BQ56), 0))</f>
        <v>0</v>
      </c>
      <c r="BS56" s="301">
        <f ca="1">-MIN(BS28*$F$56, MAX(SUM($I$53:BS55, $I$56:BR56), 0))</f>
        <v>0</v>
      </c>
      <c r="BT56" s="301">
        <f ca="1">-MIN(BT28*$F$56, MAX(SUM($I$53:BT55, $I$56:BS56), 0))</f>
        <v>0</v>
      </c>
      <c r="BU56" s="301">
        <f ca="1">-MIN(BU28*$F$56, MAX(SUM($I$53:BU55, $I$56:BT56), 0))</f>
        <v>0</v>
      </c>
      <c r="BV56" s="301">
        <f ca="1">-MIN(BV28*$F$56, MAX(SUM($I$53:BV55, $I$56:BU56), 0))</f>
        <v>0</v>
      </c>
      <c r="BW56" s="301">
        <f ca="1">-MIN(BW28*$F$56, MAX(SUM($I$53:BW55, $I$56:BV56), 0))</f>
        <v>0</v>
      </c>
      <c r="BX56" s="301">
        <f ca="1">-MIN(BX28*$F$56, MAX(SUM($I$53:BX55, $I$56:BW56), 0))</f>
        <v>0</v>
      </c>
      <c r="BY56" s="301">
        <f ca="1">-MIN(BY28*$F$56, MAX(SUM($I$53:BY55, $I$56:BX56), 0))</f>
        <v>0</v>
      </c>
      <c r="BZ56" s="301">
        <f ca="1">-MIN(BZ28*$F$56, MAX(SUM($I$53:BZ55, $I$56:BY56), 0))</f>
        <v>0</v>
      </c>
      <c r="CA56" s="301">
        <f ca="1">-MIN(CA28*$F$56, MAX(SUM($I$53:CA55, $I$56:BZ56), 0))</f>
        <v>0</v>
      </c>
      <c r="CB56" s="301">
        <f ca="1">-MIN(CB28*$F$56, MAX(SUM($I$53:CB55, $I$56:CA56), 0))</f>
        <v>0</v>
      </c>
      <c r="CC56" s="301">
        <f ca="1">-MIN(CC28*$F$56, MAX(SUM($I$53:CC55, $I$56:CB56), 0))</f>
        <v>0</v>
      </c>
      <c r="CD56" s="301">
        <f ca="1">-MIN(CD28*$F$56, MAX(SUM($I$53:CD55, $I$56:CC56), 0))</f>
        <v>0</v>
      </c>
      <c r="CE56" s="301">
        <f ca="1">-MIN(CE28*$F$56, MAX(SUM($I$53:CE55, $I$56:CD56), 0))</f>
        <v>0</v>
      </c>
      <c r="CF56" s="301">
        <f ca="1">-MIN(CF28*$F$56, MAX(SUM($I$53:CF55, $I$56:CE56), 0))</f>
        <v>0</v>
      </c>
      <c r="CG56" s="301">
        <f ca="1">-MIN(CG28*$F$56, MAX(SUM($I$53:CG55, $I$56:CF56), 0))</f>
        <v>0</v>
      </c>
      <c r="CH56" s="301">
        <f ca="1">-MIN(CH28*$F$56, MAX(SUM($I$53:CH55, $I$56:CG56), 0))</f>
        <v>0</v>
      </c>
      <c r="CI56" s="301">
        <f ca="1">-MIN(CI28*$F$56, MAX(SUM($I$53:CI55, $I$56:CH56), 0))</f>
        <v>0</v>
      </c>
      <c r="CJ56" s="301">
        <f ca="1">-MIN(CJ28*$F$56, MAX(SUM($I$53:CJ55, $I$56:CI56), 0))</f>
        <v>0</v>
      </c>
      <c r="CK56" s="301">
        <f ca="1">-MIN(CK28*$F$56, MAX(SUM($I$53:CK55, $I$56:CJ56), 0))</f>
        <v>0</v>
      </c>
      <c r="CL56" s="301">
        <f ca="1">-MIN(CL28*$F$56, MAX(SUM($I$53:CL55, $I$56:CK56), 0))</f>
        <v>0</v>
      </c>
      <c r="CM56" s="301">
        <f ca="1">-MIN(CM28*$F$56, MAX(SUM($I$53:CM55, $I$56:CL56), 0))</f>
        <v>0</v>
      </c>
      <c r="CN56" s="301">
        <f ca="1">-MIN(CN28*$F$56, MAX(SUM($I$53:CN55, $I$56:CM56), 0))</f>
        <v>0</v>
      </c>
      <c r="CO56" s="301">
        <f ca="1">-MIN(CO28*$F$56, MAX(SUM($I$53:CO55, $I$56:CN56), 0))</f>
        <v>0</v>
      </c>
      <c r="CP56" s="301">
        <f ca="1">-MIN(CP28*$F$56, MAX(SUM($I$53:CP55, $I$56:CO56), 0))</f>
        <v>0</v>
      </c>
      <c r="CQ56" s="301">
        <f ca="1">-MIN(CQ28*$F$56, MAX(SUM($I$53:CQ55, $I$56:CP56), 0))</f>
        <v>0</v>
      </c>
      <c r="CR56" s="301">
        <f ca="1">-MIN(CR28*$F$56, MAX(SUM($I$53:CR55, $I$56:CQ56), 0))</f>
        <v>0</v>
      </c>
      <c r="CS56" s="301">
        <f ca="1">-MIN(CS28*$F$56, MAX(SUM($I$53:CS55, $I$56:CR56), 0))</f>
        <v>0</v>
      </c>
      <c r="CT56" s="301">
        <f ca="1">-MIN(CT28*$F$56, MAX(SUM($I$53:CT55, $I$56:CS56), 0))</f>
        <v>0</v>
      </c>
      <c r="CU56" s="301">
        <f ca="1">-MIN(CU28*$F$56, MAX(SUM($I$53:CU55, $I$56:CT56), 0))</f>
        <v>0</v>
      </c>
      <c r="CV56" s="301">
        <f ca="1">-MIN(CV28*$F$56, MAX(SUM($I$53:CV55, $I$56:CU56), 0))</f>
        <v>0</v>
      </c>
      <c r="CW56" s="301">
        <f ca="1">-MIN(CW28*$F$56, MAX(SUM($I$53:CW55, $I$56:CV56), 0))</f>
        <v>0</v>
      </c>
      <c r="CX56" s="301">
        <f ca="1">-MIN(CX28*$F$56, MAX(SUM($I$53:CX55, $I$56:CW56), 0))</f>
        <v>0</v>
      </c>
      <c r="CY56" s="301">
        <f ca="1">-MIN(CY28*$F$56, MAX(SUM($I$53:CY55, $I$56:CX56), 0))</f>
        <v>0</v>
      </c>
      <c r="CZ56" s="301">
        <f ca="1">-MIN(CZ28*$F$56, MAX(SUM($I$53:CZ55, $I$56:CY56), 0))</f>
        <v>0</v>
      </c>
      <c r="DA56" s="301">
        <f ca="1">-MIN(DA28*$F$56, MAX(SUM($I$53:DA55, $I$56:CZ56), 0))</f>
        <v>0</v>
      </c>
      <c r="DB56" s="301">
        <f ca="1">-MIN(DB28*$F$56, MAX(SUM($I$53:DB55, $I$56:DA56), 0))</f>
        <v>0</v>
      </c>
      <c r="DC56" s="301">
        <f ca="1">-MIN(DC28*$F$56, MAX(SUM($I$53:DC55, $I$56:DB56), 0))</f>
        <v>0</v>
      </c>
      <c r="DD56" s="301">
        <f ca="1">-MIN(DD28*$F$56, MAX(SUM($I$53:DD55, $I$56:DC56), 0))</f>
        <v>0</v>
      </c>
      <c r="DE56" s="301">
        <f ca="1">-MIN(DE28*$F$56, MAX(SUM($I$53:DE55, $I$56:DD56), 0))</f>
        <v>0</v>
      </c>
      <c r="DF56" s="301">
        <f ca="1">-MIN(DF28*$F$56, MAX(SUM($I$53:DF55, $I$56:DE56), 0))</f>
        <v>0</v>
      </c>
      <c r="DG56" s="301">
        <f ca="1">-MIN(DG28*$F$56, MAX(SUM($I$53:DG55, $I$56:DF56), 0))</f>
        <v>-16069.42275593705</v>
      </c>
      <c r="DH56" s="301">
        <f ca="1">-MIN(DH28*$F$56, MAX(SUM($I$53:DH55, $I$56:DG56), 0))</f>
        <v>0</v>
      </c>
      <c r="DI56" s="301">
        <f ca="1">-MIN(DI28*$F$56, MAX(SUM($I$53:DI55, $I$56:DH56), 0))</f>
        <v>0</v>
      </c>
      <c r="DJ56" s="301">
        <f ca="1">-MIN(DJ28*$F$56, MAX(SUM($I$53:DJ55, $I$56:DI56), 0))</f>
        <v>0</v>
      </c>
      <c r="DK56" s="301">
        <f ca="1">-MIN(DK28*$F$56, MAX(SUM($I$53:DK55, $I$56:DJ56), 0))</f>
        <v>0</v>
      </c>
      <c r="DL56" s="301">
        <f ca="1">-MIN(DL28*$F$56, MAX(SUM($I$53:DL55, $I$56:DK56), 0))</f>
        <v>0</v>
      </c>
      <c r="DM56" s="301">
        <f ca="1">-MIN(DM28*$F$56, MAX(SUM($I$53:DM55, $I$56:DL56), 0))</f>
        <v>0</v>
      </c>
      <c r="DN56" s="301">
        <f ca="1">-MIN(DN28*$F$56, MAX(SUM($I$53:DN55, $I$56:DM56), 0))</f>
        <v>0</v>
      </c>
      <c r="DO56" s="301">
        <f ca="1">-MIN(DO28*$F$56, MAX(SUM($I$53:DO55, $I$56:DN56), 0))</f>
        <v>0</v>
      </c>
      <c r="DP56" s="301">
        <f ca="1">-MIN(DP28*$F$56, MAX(SUM($I$53:DP55, $I$56:DO56), 0))</f>
        <v>0</v>
      </c>
      <c r="DQ56" s="301">
        <f ca="1">-MIN(DQ28*$F$56, MAX(SUM($I$53:DQ55, $I$56:DP56), 0))</f>
        <v>0</v>
      </c>
      <c r="DR56" s="301">
        <f ca="1">-MIN(DR28*$F$56, MAX(SUM($I$53:DR55, $I$56:DQ56), 0))</f>
        <v>0</v>
      </c>
      <c r="DS56" s="301">
        <f ca="1">-MIN(DS28*$F$56, MAX(SUM($I$53:DS55, $I$56:DR56), 0))</f>
        <v>0</v>
      </c>
      <c r="DT56" s="301">
        <f ca="1">-MIN(DT28*$F$56, MAX(SUM($I$53:DT55, $I$56:DS56), 0))</f>
        <v>0</v>
      </c>
      <c r="DU56" s="301">
        <f ca="1">-MIN(DU28*$F$56, MAX(SUM($I$53:DU55, $I$56:DT56), 0))</f>
        <v>0</v>
      </c>
      <c r="DV56" s="301">
        <f ca="1">-MIN(DV28*$F$56, MAX(SUM($I$53:DV55, $I$56:DU56), 0))</f>
        <v>0</v>
      </c>
      <c r="DW56" s="301">
        <f ca="1">-MIN(DW28*$F$56, MAX(SUM($I$53:DW55, $I$56:DV56), 0))</f>
        <v>0</v>
      </c>
      <c r="DX56" s="301">
        <f ca="1">-MIN(DX28*$F$56, MAX(SUM($I$53:DX55, $I$56:DW56), 0))</f>
        <v>0</v>
      </c>
      <c r="DY56" s="301">
        <f ca="1">-MIN(DY28*$F$56, MAX(SUM($I$53:DY55, $I$56:DX56), 0))</f>
        <v>0</v>
      </c>
      <c r="DZ56" s="301">
        <f ca="1">-MIN(DZ28*$F$56, MAX(SUM($I$53:DZ55, $I$56:DY56), 0))</f>
        <v>0</v>
      </c>
      <c r="EA56" s="301">
        <f ca="1">-MIN(EA28*$F$56, MAX(SUM($I$53:EA55, $I$56:DZ56), 0))</f>
        <v>0</v>
      </c>
      <c r="EB56" s="301">
        <f ca="1">-MIN(EB28*$F$56, MAX(SUM($I$53:EB55, $I$56:EA56), 0))</f>
        <v>0</v>
      </c>
      <c r="EC56" s="301">
        <f ca="1">-MIN(EC28*$F$56, MAX(SUM($I$53:EC55, $I$56:EB56), 0))</f>
        <v>0</v>
      </c>
      <c r="ED56" s="301">
        <f ca="1">-MIN(ED28*$F$56, MAX(SUM($I$53:ED55, $I$56:EC56), 0))</f>
        <v>0</v>
      </c>
      <c r="EE56" s="301">
        <f ca="1">-MIN(EE28*$F$56, MAX(SUM($I$53:EE55, $I$56:ED56), 0))</f>
        <v>0</v>
      </c>
    </row>
    <row r="57" spans="2:135">
      <c r="C57" s="265" t="str">
        <f>C46</f>
        <v>Capital Contributions</v>
      </c>
      <c r="G57" s="301">
        <f ca="1">SUMIF($I$8:$EE$8, "&lt;="&amp;$E$8, $I57:$EE57)</f>
        <v>15882.232</v>
      </c>
      <c r="H57" s="301"/>
      <c r="I57" s="301">
        <f t="shared" ref="I57:BT57" si="302">I46</f>
        <v>13708</v>
      </c>
      <c r="J57" s="301">
        <f t="shared" ca="1" si="302"/>
        <v>0</v>
      </c>
      <c r="K57" s="301">
        <f t="shared" ca="1" si="302"/>
        <v>0</v>
      </c>
      <c r="L57" s="301">
        <f t="shared" ca="1" si="302"/>
        <v>0</v>
      </c>
      <c r="M57" s="301">
        <f t="shared" ca="1" si="302"/>
        <v>0</v>
      </c>
      <c r="N57" s="301">
        <f t="shared" ca="1" si="302"/>
        <v>150.82499999999999</v>
      </c>
      <c r="O57" s="301">
        <f t="shared" ca="1" si="302"/>
        <v>0</v>
      </c>
      <c r="P57" s="301">
        <f t="shared" ca="1" si="302"/>
        <v>0</v>
      </c>
      <c r="Q57" s="301">
        <f t="shared" ca="1" si="302"/>
        <v>0</v>
      </c>
      <c r="R57" s="301">
        <f t="shared" ca="1" si="302"/>
        <v>0</v>
      </c>
      <c r="S57" s="301">
        <f t="shared" ca="1" si="302"/>
        <v>0</v>
      </c>
      <c r="T57" s="301">
        <f t="shared" ca="1" si="302"/>
        <v>0</v>
      </c>
      <c r="U57" s="301">
        <f t="shared" ca="1" si="302"/>
        <v>0</v>
      </c>
      <c r="V57" s="301">
        <f t="shared" ca="1" si="302"/>
        <v>79.174999999999997</v>
      </c>
      <c r="W57" s="301">
        <f t="shared" ca="1" si="302"/>
        <v>0</v>
      </c>
      <c r="X57" s="301">
        <f t="shared" ca="1" si="302"/>
        <v>0</v>
      </c>
      <c r="Y57" s="301">
        <f t="shared" ca="1" si="302"/>
        <v>0</v>
      </c>
      <c r="Z57" s="301">
        <f t="shared" ca="1" si="302"/>
        <v>0</v>
      </c>
      <c r="AA57" s="301">
        <f t="shared" ca="1" si="302"/>
        <v>0</v>
      </c>
      <c r="AB57" s="301">
        <f t="shared" ca="1" si="302"/>
        <v>0</v>
      </c>
      <c r="AC57" s="301">
        <f t="shared" ca="1" si="302"/>
        <v>0</v>
      </c>
      <c r="AD57" s="301">
        <f t="shared" ca="1" si="302"/>
        <v>0</v>
      </c>
      <c r="AE57" s="301">
        <f t="shared" ca="1" si="302"/>
        <v>310</v>
      </c>
      <c r="AF57" s="301">
        <f t="shared" ca="1" si="302"/>
        <v>0</v>
      </c>
      <c r="AG57" s="301">
        <f t="shared" ca="1" si="302"/>
        <v>0</v>
      </c>
      <c r="AH57" s="301">
        <f t="shared" ca="1" si="302"/>
        <v>0</v>
      </c>
      <c r="AI57" s="301">
        <f t="shared" ca="1" si="302"/>
        <v>0</v>
      </c>
      <c r="AJ57" s="301">
        <f t="shared" ca="1" si="302"/>
        <v>0</v>
      </c>
      <c r="AK57" s="301">
        <f t="shared" ca="1" si="302"/>
        <v>0</v>
      </c>
      <c r="AL57" s="301">
        <f t="shared" ca="1" si="302"/>
        <v>0</v>
      </c>
      <c r="AM57" s="301">
        <f t="shared" ca="1" si="302"/>
        <v>0</v>
      </c>
      <c r="AN57" s="301">
        <f t="shared" ca="1" si="302"/>
        <v>0</v>
      </c>
      <c r="AO57" s="301">
        <f t="shared" ca="1" si="302"/>
        <v>0</v>
      </c>
      <c r="AP57" s="301">
        <f t="shared" ca="1" si="302"/>
        <v>0</v>
      </c>
      <c r="AQ57" s="301">
        <f t="shared" ca="1" si="302"/>
        <v>0</v>
      </c>
      <c r="AR57" s="301">
        <f t="shared" ca="1" si="302"/>
        <v>0</v>
      </c>
      <c r="AS57" s="301">
        <f t="shared" ca="1" si="302"/>
        <v>0</v>
      </c>
      <c r="AT57" s="301">
        <f t="shared" ca="1" si="302"/>
        <v>0</v>
      </c>
      <c r="AU57" s="301">
        <f t="shared" ca="1" si="302"/>
        <v>0</v>
      </c>
      <c r="AV57" s="301">
        <f t="shared" ca="1" si="302"/>
        <v>0</v>
      </c>
      <c r="AW57" s="301">
        <f t="shared" ca="1" si="302"/>
        <v>0</v>
      </c>
      <c r="AX57" s="301">
        <f t="shared" ca="1" si="302"/>
        <v>0</v>
      </c>
      <c r="AY57" s="301">
        <f t="shared" ca="1" si="302"/>
        <v>141.08000000000001</v>
      </c>
      <c r="AZ57" s="301">
        <f t="shared" ca="1" si="302"/>
        <v>0</v>
      </c>
      <c r="BA57" s="301">
        <f t="shared" ca="1" si="302"/>
        <v>248.2</v>
      </c>
      <c r="BB57" s="301">
        <f t="shared" ca="1" si="302"/>
        <v>320</v>
      </c>
      <c r="BC57" s="301">
        <f t="shared" ca="1" si="302"/>
        <v>0</v>
      </c>
      <c r="BD57" s="301">
        <f t="shared" ca="1" si="302"/>
        <v>0</v>
      </c>
      <c r="BE57" s="301">
        <f t="shared" ca="1" si="302"/>
        <v>617</v>
      </c>
      <c r="BF57" s="301">
        <f t="shared" ca="1" si="302"/>
        <v>0</v>
      </c>
      <c r="BG57" s="301">
        <f t="shared" ca="1" si="302"/>
        <v>0</v>
      </c>
      <c r="BH57" s="301">
        <f t="shared" ca="1" si="302"/>
        <v>0</v>
      </c>
      <c r="BI57" s="301">
        <f t="shared" ca="1" si="302"/>
        <v>0</v>
      </c>
      <c r="BJ57" s="301">
        <f t="shared" ca="1" si="302"/>
        <v>0</v>
      </c>
      <c r="BK57" s="301">
        <f t="shared" ca="1" si="302"/>
        <v>0</v>
      </c>
      <c r="BL57" s="301">
        <f t="shared" ca="1" si="302"/>
        <v>219.452</v>
      </c>
      <c r="BM57" s="301">
        <f t="shared" ca="1" si="302"/>
        <v>0</v>
      </c>
      <c r="BN57" s="301">
        <f t="shared" ca="1" si="302"/>
        <v>0</v>
      </c>
      <c r="BO57" s="301">
        <f t="shared" ca="1" si="302"/>
        <v>0</v>
      </c>
      <c r="BP57" s="301">
        <f t="shared" ca="1" si="302"/>
        <v>88.5</v>
      </c>
      <c r="BQ57" s="301">
        <f t="shared" ca="1" si="302"/>
        <v>0</v>
      </c>
      <c r="BR57" s="301">
        <f t="shared" ca="1" si="302"/>
        <v>0</v>
      </c>
      <c r="BS57" s="301">
        <f t="shared" ca="1" si="302"/>
        <v>0</v>
      </c>
      <c r="BT57" s="301">
        <f t="shared" ca="1" si="302"/>
        <v>0</v>
      </c>
      <c r="BU57" s="301">
        <f t="shared" ref="BU57:CZ57" ca="1" si="303">BU46</f>
        <v>0</v>
      </c>
      <c r="BV57" s="301">
        <f t="shared" ca="1" si="303"/>
        <v>0</v>
      </c>
      <c r="BW57" s="301">
        <f t="shared" ca="1" si="303"/>
        <v>0</v>
      </c>
      <c r="BX57" s="301">
        <f t="shared" ca="1" si="303"/>
        <v>0</v>
      </c>
      <c r="BY57" s="301">
        <f t="shared" ca="1" si="303"/>
        <v>0</v>
      </c>
      <c r="BZ57" s="301">
        <f t="shared" ca="1" si="303"/>
        <v>0</v>
      </c>
      <c r="CA57" s="301">
        <f t="shared" ca="1" si="303"/>
        <v>0</v>
      </c>
      <c r="CB57" s="301">
        <f t="shared" ca="1" si="303"/>
        <v>0</v>
      </c>
      <c r="CC57" s="301">
        <f t="shared" ca="1" si="303"/>
        <v>0</v>
      </c>
      <c r="CD57" s="301">
        <f t="shared" ca="1" si="303"/>
        <v>0</v>
      </c>
      <c r="CE57" s="301">
        <f t="shared" ca="1" si="303"/>
        <v>0</v>
      </c>
      <c r="CF57" s="301">
        <f t="shared" ca="1" si="303"/>
        <v>0</v>
      </c>
      <c r="CG57" s="301">
        <f t="shared" ca="1" si="303"/>
        <v>0</v>
      </c>
      <c r="CH57" s="301">
        <f t="shared" ca="1" si="303"/>
        <v>0</v>
      </c>
      <c r="CI57" s="301">
        <f t="shared" ca="1" si="303"/>
        <v>0</v>
      </c>
      <c r="CJ57" s="301">
        <f t="shared" ca="1" si="303"/>
        <v>0</v>
      </c>
      <c r="CK57" s="301">
        <f t="shared" ca="1" si="303"/>
        <v>0</v>
      </c>
      <c r="CL57" s="301">
        <f t="shared" ca="1" si="303"/>
        <v>0</v>
      </c>
      <c r="CM57" s="301">
        <f t="shared" ca="1" si="303"/>
        <v>0</v>
      </c>
      <c r="CN57" s="301">
        <f t="shared" ca="1" si="303"/>
        <v>0</v>
      </c>
      <c r="CO57" s="301">
        <f t="shared" ca="1" si="303"/>
        <v>0</v>
      </c>
      <c r="CP57" s="301">
        <f t="shared" ca="1" si="303"/>
        <v>0</v>
      </c>
      <c r="CQ57" s="301">
        <f t="shared" ca="1" si="303"/>
        <v>0</v>
      </c>
      <c r="CR57" s="301">
        <f t="shared" ca="1" si="303"/>
        <v>0</v>
      </c>
      <c r="CS57" s="301">
        <f t="shared" ca="1" si="303"/>
        <v>0</v>
      </c>
      <c r="CT57" s="301">
        <f t="shared" ca="1" si="303"/>
        <v>0</v>
      </c>
      <c r="CU57" s="301">
        <f t="shared" ca="1" si="303"/>
        <v>0</v>
      </c>
      <c r="CV57" s="301">
        <f t="shared" ca="1" si="303"/>
        <v>0</v>
      </c>
      <c r="CW57" s="301">
        <f t="shared" ca="1" si="303"/>
        <v>0</v>
      </c>
      <c r="CX57" s="301">
        <f t="shared" ca="1" si="303"/>
        <v>0</v>
      </c>
      <c r="CY57" s="301">
        <f t="shared" ca="1" si="303"/>
        <v>0</v>
      </c>
      <c r="CZ57" s="301">
        <f t="shared" ca="1" si="303"/>
        <v>0</v>
      </c>
      <c r="DA57" s="301">
        <f t="shared" ref="DA57:EE57" ca="1" si="304">DA46</f>
        <v>0</v>
      </c>
      <c r="DB57" s="301">
        <f t="shared" ca="1" si="304"/>
        <v>0</v>
      </c>
      <c r="DC57" s="301">
        <f t="shared" ca="1" si="304"/>
        <v>0</v>
      </c>
      <c r="DD57" s="301">
        <f t="shared" ca="1" si="304"/>
        <v>0</v>
      </c>
      <c r="DE57" s="301">
        <f t="shared" ca="1" si="304"/>
        <v>0</v>
      </c>
      <c r="DF57" s="301">
        <f t="shared" ca="1" si="304"/>
        <v>0</v>
      </c>
      <c r="DG57" s="301">
        <f t="shared" ca="1" si="304"/>
        <v>0</v>
      </c>
      <c r="DH57" s="301">
        <f t="shared" si="304"/>
        <v>0</v>
      </c>
      <c r="DI57" s="301">
        <f t="shared" si="304"/>
        <v>0</v>
      </c>
      <c r="DJ57" s="301">
        <f t="shared" si="304"/>
        <v>0</v>
      </c>
      <c r="DK57" s="301">
        <f t="shared" si="304"/>
        <v>0</v>
      </c>
      <c r="DL57" s="301">
        <f t="shared" si="304"/>
        <v>0</v>
      </c>
      <c r="DM57" s="301">
        <f t="shared" si="304"/>
        <v>0</v>
      </c>
      <c r="DN57" s="301">
        <f t="shared" si="304"/>
        <v>0</v>
      </c>
      <c r="DO57" s="301">
        <f t="shared" si="304"/>
        <v>0</v>
      </c>
      <c r="DP57" s="301">
        <f t="shared" si="304"/>
        <v>0</v>
      </c>
      <c r="DQ57" s="301">
        <f t="shared" si="304"/>
        <v>0</v>
      </c>
      <c r="DR57" s="301">
        <f t="shared" si="304"/>
        <v>0</v>
      </c>
      <c r="DS57" s="301">
        <f t="shared" si="304"/>
        <v>0</v>
      </c>
      <c r="DT57" s="301">
        <f t="shared" si="304"/>
        <v>0</v>
      </c>
      <c r="DU57" s="301">
        <f t="shared" si="304"/>
        <v>0</v>
      </c>
      <c r="DV57" s="301">
        <f t="shared" si="304"/>
        <v>0</v>
      </c>
      <c r="DW57" s="301">
        <f t="shared" si="304"/>
        <v>0</v>
      </c>
      <c r="DX57" s="301">
        <f t="shared" si="304"/>
        <v>0</v>
      </c>
      <c r="DY57" s="301">
        <f t="shared" si="304"/>
        <v>0</v>
      </c>
      <c r="DZ57" s="301">
        <f t="shared" si="304"/>
        <v>0</v>
      </c>
      <c r="EA57" s="301">
        <f t="shared" si="304"/>
        <v>0</v>
      </c>
      <c r="EB57" s="301">
        <f t="shared" si="304"/>
        <v>0</v>
      </c>
      <c r="EC57" s="301">
        <f t="shared" si="304"/>
        <v>0</v>
      </c>
      <c r="ED57" s="301">
        <f t="shared" si="304"/>
        <v>0</v>
      </c>
      <c r="EE57" s="301">
        <f t="shared" si="304"/>
        <v>0</v>
      </c>
    </row>
    <row r="58" spans="2:135">
      <c r="C58" s="265" t="s">
        <v>164</v>
      </c>
      <c r="G58" s="301">
        <f t="shared" ca="1" si="264"/>
        <v>-11741.205068019079</v>
      </c>
      <c r="H58" s="301"/>
      <c r="I58" s="301">
        <f t="shared" ref="I58:BT58" si="305">I70</f>
        <v>0</v>
      </c>
      <c r="J58" s="301">
        <f t="shared" ca="1" si="305"/>
        <v>0</v>
      </c>
      <c r="K58" s="301">
        <f t="shared" ca="1" si="305"/>
        <v>0</v>
      </c>
      <c r="L58" s="301">
        <f t="shared" ca="1" si="305"/>
        <v>0</v>
      </c>
      <c r="M58" s="301">
        <f t="shared" ca="1" si="305"/>
        <v>0</v>
      </c>
      <c r="N58" s="301">
        <f t="shared" ca="1" si="305"/>
        <v>0</v>
      </c>
      <c r="O58" s="301">
        <f t="shared" ca="1" si="305"/>
        <v>0</v>
      </c>
      <c r="P58" s="301">
        <f t="shared" ca="1" si="305"/>
        <v>0</v>
      </c>
      <c r="Q58" s="301">
        <f t="shared" ca="1" si="305"/>
        <v>0</v>
      </c>
      <c r="R58" s="301">
        <f t="shared" ca="1" si="305"/>
        <v>0</v>
      </c>
      <c r="S58" s="301">
        <f t="shared" ca="1" si="305"/>
        <v>0</v>
      </c>
      <c r="T58" s="301">
        <f t="shared" ca="1" si="305"/>
        <v>0</v>
      </c>
      <c r="U58" s="301">
        <f t="shared" ca="1" si="305"/>
        <v>0</v>
      </c>
      <c r="V58" s="301">
        <f t="shared" ca="1" si="305"/>
        <v>0</v>
      </c>
      <c r="W58" s="301">
        <f t="shared" ca="1" si="305"/>
        <v>0</v>
      </c>
      <c r="X58" s="301">
        <f t="shared" ca="1" si="305"/>
        <v>0</v>
      </c>
      <c r="Y58" s="301">
        <f t="shared" ca="1" si="305"/>
        <v>0</v>
      </c>
      <c r="Z58" s="301">
        <f t="shared" ca="1" si="305"/>
        <v>0</v>
      </c>
      <c r="AA58" s="301">
        <f t="shared" ca="1" si="305"/>
        <v>0</v>
      </c>
      <c r="AB58" s="301">
        <f t="shared" ca="1" si="305"/>
        <v>0</v>
      </c>
      <c r="AC58" s="301">
        <f t="shared" ca="1" si="305"/>
        <v>0</v>
      </c>
      <c r="AD58" s="301">
        <f t="shared" ca="1" si="305"/>
        <v>0</v>
      </c>
      <c r="AE58" s="301">
        <f t="shared" ca="1" si="305"/>
        <v>0</v>
      </c>
      <c r="AF58" s="301">
        <f t="shared" ca="1" si="305"/>
        <v>0</v>
      </c>
      <c r="AG58" s="301">
        <f t="shared" ca="1" si="305"/>
        <v>0</v>
      </c>
      <c r="AH58" s="301">
        <f t="shared" ca="1" si="305"/>
        <v>0</v>
      </c>
      <c r="AI58" s="301">
        <f t="shared" ca="1" si="305"/>
        <v>0</v>
      </c>
      <c r="AJ58" s="301">
        <f t="shared" ca="1" si="305"/>
        <v>0</v>
      </c>
      <c r="AK58" s="301">
        <f t="shared" ca="1" si="305"/>
        <v>0</v>
      </c>
      <c r="AL58" s="301">
        <f t="shared" ca="1" si="305"/>
        <v>0</v>
      </c>
      <c r="AM58" s="301">
        <f t="shared" ca="1" si="305"/>
        <v>0</v>
      </c>
      <c r="AN58" s="301">
        <f t="shared" ca="1" si="305"/>
        <v>0</v>
      </c>
      <c r="AO58" s="301">
        <f t="shared" ca="1" si="305"/>
        <v>0</v>
      </c>
      <c r="AP58" s="301">
        <f t="shared" ca="1" si="305"/>
        <v>0</v>
      </c>
      <c r="AQ58" s="301">
        <f t="shared" ca="1" si="305"/>
        <v>0</v>
      </c>
      <c r="AR58" s="301">
        <f t="shared" ca="1" si="305"/>
        <v>0</v>
      </c>
      <c r="AS58" s="301">
        <f t="shared" ca="1" si="305"/>
        <v>0</v>
      </c>
      <c r="AT58" s="301">
        <f t="shared" ca="1" si="305"/>
        <v>0</v>
      </c>
      <c r="AU58" s="301">
        <f t="shared" ca="1" si="305"/>
        <v>0</v>
      </c>
      <c r="AV58" s="301">
        <f t="shared" ca="1" si="305"/>
        <v>0</v>
      </c>
      <c r="AW58" s="301">
        <f t="shared" ca="1" si="305"/>
        <v>0</v>
      </c>
      <c r="AX58" s="301">
        <f t="shared" ca="1" si="305"/>
        <v>0</v>
      </c>
      <c r="AY58" s="301">
        <f t="shared" ca="1" si="305"/>
        <v>0</v>
      </c>
      <c r="AZ58" s="301">
        <f t="shared" ca="1" si="305"/>
        <v>0</v>
      </c>
      <c r="BA58" s="301">
        <f t="shared" ca="1" si="305"/>
        <v>0</v>
      </c>
      <c r="BB58" s="301">
        <f t="shared" ca="1" si="305"/>
        <v>0</v>
      </c>
      <c r="BC58" s="301">
        <f t="shared" ca="1" si="305"/>
        <v>0</v>
      </c>
      <c r="BD58" s="301">
        <f t="shared" ca="1" si="305"/>
        <v>0</v>
      </c>
      <c r="BE58" s="301">
        <f t="shared" ca="1" si="305"/>
        <v>0</v>
      </c>
      <c r="BF58" s="301">
        <f t="shared" ca="1" si="305"/>
        <v>0</v>
      </c>
      <c r="BG58" s="301">
        <f t="shared" ca="1" si="305"/>
        <v>0</v>
      </c>
      <c r="BH58" s="301">
        <f t="shared" ca="1" si="305"/>
        <v>0</v>
      </c>
      <c r="BI58" s="301">
        <f t="shared" ca="1" si="305"/>
        <v>0</v>
      </c>
      <c r="BJ58" s="301">
        <f t="shared" ca="1" si="305"/>
        <v>0</v>
      </c>
      <c r="BK58" s="301">
        <f t="shared" ca="1" si="305"/>
        <v>0</v>
      </c>
      <c r="BL58" s="301">
        <f t="shared" ca="1" si="305"/>
        <v>0</v>
      </c>
      <c r="BM58" s="301">
        <f t="shared" ca="1" si="305"/>
        <v>0</v>
      </c>
      <c r="BN58" s="301">
        <f t="shared" ca="1" si="305"/>
        <v>0</v>
      </c>
      <c r="BO58" s="301">
        <f t="shared" ca="1" si="305"/>
        <v>0</v>
      </c>
      <c r="BP58" s="301">
        <f t="shared" ca="1" si="305"/>
        <v>0</v>
      </c>
      <c r="BQ58" s="301">
        <f t="shared" ca="1" si="305"/>
        <v>0</v>
      </c>
      <c r="BR58" s="301">
        <f t="shared" ca="1" si="305"/>
        <v>0</v>
      </c>
      <c r="BS58" s="301">
        <f t="shared" ca="1" si="305"/>
        <v>0</v>
      </c>
      <c r="BT58" s="301">
        <f t="shared" ca="1" si="305"/>
        <v>0</v>
      </c>
      <c r="BU58" s="301">
        <f t="shared" ref="BU58:CZ58" ca="1" si="306">BU70</f>
        <v>0</v>
      </c>
      <c r="BV58" s="301">
        <f t="shared" ca="1" si="306"/>
        <v>0</v>
      </c>
      <c r="BW58" s="301">
        <f t="shared" ca="1" si="306"/>
        <v>0</v>
      </c>
      <c r="BX58" s="301">
        <f t="shared" ca="1" si="306"/>
        <v>0</v>
      </c>
      <c r="BY58" s="301">
        <f t="shared" ca="1" si="306"/>
        <v>0</v>
      </c>
      <c r="BZ58" s="301">
        <f t="shared" ca="1" si="306"/>
        <v>0</v>
      </c>
      <c r="CA58" s="301">
        <f t="shared" ca="1" si="306"/>
        <v>0</v>
      </c>
      <c r="CB58" s="301">
        <f t="shared" ca="1" si="306"/>
        <v>0</v>
      </c>
      <c r="CC58" s="301">
        <f t="shared" ca="1" si="306"/>
        <v>0</v>
      </c>
      <c r="CD58" s="301">
        <f t="shared" ca="1" si="306"/>
        <v>0</v>
      </c>
      <c r="CE58" s="301">
        <f t="shared" ca="1" si="306"/>
        <v>0</v>
      </c>
      <c r="CF58" s="301">
        <f t="shared" ca="1" si="306"/>
        <v>0</v>
      </c>
      <c r="CG58" s="301">
        <f t="shared" ca="1" si="306"/>
        <v>0</v>
      </c>
      <c r="CH58" s="301">
        <f t="shared" ca="1" si="306"/>
        <v>0</v>
      </c>
      <c r="CI58" s="301">
        <f t="shared" ca="1" si="306"/>
        <v>0</v>
      </c>
      <c r="CJ58" s="301">
        <f t="shared" ca="1" si="306"/>
        <v>0</v>
      </c>
      <c r="CK58" s="301">
        <f t="shared" ca="1" si="306"/>
        <v>0</v>
      </c>
      <c r="CL58" s="301">
        <f t="shared" ca="1" si="306"/>
        <v>0</v>
      </c>
      <c r="CM58" s="301">
        <f t="shared" ca="1" si="306"/>
        <v>0</v>
      </c>
      <c r="CN58" s="301">
        <f t="shared" ca="1" si="306"/>
        <v>0</v>
      </c>
      <c r="CO58" s="301">
        <f t="shared" ca="1" si="306"/>
        <v>0</v>
      </c>
      <c r="CP58" s="301">
        <f t="shared" ca="1" si="306"/>
        <v>0</v>
      </c>
      <c r="CQ58" s="301">
        <f t="shared" ca="1" si="306"/>
        <v>0</v>
      </c>
      <c r="CR58" s="301">
        <f t="shared" ca="1" si="306"/>
        <v>0</v>
      </c>
      <c r="CS58" s="301">
        <f t="shared" ca="1" si="306"/>
        <v>0</v>
      </c>
      <c r="CT58" s="301">
        <f t="shared" ca="1" si="306"/>
        <v>0</v>
      </c>
      <c r="CU58" s="301">
        <f t="shared" ca="1" si="306"/>
        <v>0</v>
      </c>
      <c r="CV58" s="301">
        <f t="shared" ca="1" si="306"/>
        <v>0</v>
      </c>
      <c r="CW58" s="301">
        <f t="shared" ca="1" si="306"/>
        <v>0</v>
      </c>
      <c r="CX58" s="301">
        <f t="shared" ca="1" si="306"/>
        <v>0</v>
      </c>
      <c r="CY58" s="301">
        <f t="shared" ca="1" si="306"/>
        <v>0</v>
      </c>
      <c r="CZ58" s="301">
        <f t="shared" ca="1" si="306"/>
        <v>0</v>
      </c>
      <c r="DA58" s="301">
        <f t="shared" ref="DA58:EE58" ca="1" si="307">DA70</f>
        <v>0</v>
      </c>
      <c r="DB58" s="301">
        <f t="shared" ca="1" si="307"/>
        <v>0</v>
      </c>
      <c r="DC58" s="301">
        <f t="shared" ca="1" si="307"/>
        <v>0</v>
      </c>
      <c r="DD58" s="301">
        <f t="shared" ca="1" si="307"/>
        <v>0</v>
      </c>
      <c r="DE58" s="301">
        <f t="shared" ca="1" si="307"/>
        <v>0</v>
      </c>
      <c r="DF58" s="301">
        <f t="shared" ca="1" si="307"/>
        <v>0</v>
      </c>
      <c r="DG58" s="301">
        <f t="shared" ca="1" si="307"/>
        <v>-11741.205068019079</v>
      </c>
      <c r="DH58" s="301">
        <f t="shared" ca="1" si="307"/>
        <v>0</v>
      </c>
      <c r="DI58" s="301">
        <f t="shared" ca="1" si="307"/>
        <v>0</v>
      </c>
      <c r="DJ58" s="301">
        <f t="shared" ca="1" si="307"/>
        <v>0</v>
      </c>
      <c r="DK58" s="301">
        <f t="shared" ca="1" si="307"/>
        <v>0</v>
      </c>
      <c r="DL58" s="301">
        <f t="shared" ca="1" si="307"/>
        <v>0</v>
      </c>
      <c r="DM58" s="301">
        <f t="shared" ca="1" si="307"/>
        <v>0</v>
      </c>
      <c r="DN58" s="301">
        <f t="shared" ca="1" si="307"/>
        <v>0</v>
      </c>
      <c r="DO58" s="301">
        <f t="shared" ca="1" si="307"/>
        <v>0</v>
      </c>
      <c r="DP58" s="301">
        <f t="shared" ca="1" si="307"/>
        <v>0</v>
      </c>
      <c r="DQ58" s="301">
        <f t="shared" ca="1" si="307"/>
        <v>0</v>
      </c>
      <c r="DR58" s="301">
        <f t="shared" ca="1" si="307"/>
        <v>0</v>
      </c>
      <c r="DS58" s="301">
        <f t="shared" ca="1" si="307"/>
        <v>0</v>
      </c>
      <c r="DT58" s="301">
        <f t="shared" ca="1" si="307"/>
        <v>0</v>
      </c>
      <c r="DU58" s="301">
        <f t="shared" ca="1" si="307"/>
        <v>0</v>
      </c>
      <c r="DV58" s="301">
        <f t="shared" ca="1" si="307"/>
        <v>0</v>
      </c>
      <c r="DW58" s="301">
        <f t="shared" ca="1" si="307"/>
        <v>0</v>
      </c>
      <c r="DX58" s="301">
        <f t="shared" ca="1" si="307"/>
        <v>0</v>
      </c>
      <c r="DY58" s="301">
        <f t="shared" ca="1" si="307"/>
        <v>0</v>
      </c>
      <c r="DZ58" s="301">
        <f t="shared" ca="1" si="307"/>
        <v>0</v>
      </c>
      <c r="EA58" s="301">
        <f t="shared" ca="1" si="307"/>
        <v>0</v>
      </c>
      <c r="EB58" s="301">
        <f t="shared" ca="1" si="307"/>
        <v>0</v>
      </c>
      <c r="EC58" s="301">
        <f t="shared" ca="1" si="307"/>
        <v>0</v>
      </c>
      <c r="ED58" s="301">
        <f t="shared" ca="1" si="307"/>
        <v>0</v>
      </c>
      <c r="EE58" s="301">
        <f t="shared" ca="1" si="307"/>
        <v>0</v>
      </c>
    </row>
    <row r="59" spans="2:135">
      <c r="C59" s="314" t="str">
        <f>C47</f>
        <v>Ending Capital Balance</v>
      </c>
      <c r="D59" s="314"/>
      <c r="E59" s="314"/>
      <c r="F59" s="314"/>
      <c r="G59" s="314"/>
      <c r="H59" s="314"/>
      <c r="I59" s="315">
        <f t="shared" ref="I59:BT59" si="308">SUM(I52:I58)</f>
        <v>13708</v>
      </c>
      <c r="J59" s="315">
        <f t="shared" ca="1" si="308"/>
        <v>13805.439792219633</v>
      </c>
      <c r="K59" s="315">
        <f t="shared" ca="1" si="308"/>
        <v>13906.855276662289</v>
      </c>
      <c r="L59" s="315">
        <f t="shared" ca="1" si="308"/>
        <v>14005.708580469298</v>
      </c>
      <c r="M59" s="315">
        <f t="shared" ca="1" si="308"/>
        <v>14108.59524992922</v>
      </c>
      <c r="N59" s="315">
        <f t="shared" ca="1" si="308"/>
        <v>14359.707570447459</v>
      </c>
      <c r="O59" s="315">
        <f t="shared" ca="1" si="308"/>
        <v>14465.194735045616</v>
      </c>
      <c r="P59" s="315">
        <f t="shared" ca="1" si="308"/>
        <v>14571.456813884914</v>
      </c>
      <c r="Q59" s="315">
        <f t="shared" ca="1" si="308"/>
        <v>14668.10625526281</v>
      </c>
      <c r="R59" s="315">
        <f t="shared" ca="1" si="308"/>
        <v>14775.858932766949</v>
      </c>
      <c r="S59" s="315">
        <f t="shared" ca="1" si="308"/>
        <v>14880.889325550392</v>
      </c>
      <c r="T59" s="315">
        <f t="shared" ca="1" si="308"/>
        <v>14990.205118643689</v>
      </c>
      <c r="U59" s="315">
        <f t="shared" ca="1" si="308"/>
        <v>15096.759136158304</v>
      </c>
      <c r="V59" s="315">
        <f t="shared" ca="1" si="308"/>
        <v>15286.835720196968</v>
      </c>
      <c r="W59" s="315">
        <f t="shared" ca="1" si="308"/>
        <v>15399.133616786456</v>
      </c>
      <c r="X59" s="315">
        <f t="shared" ca="1" si="308"/>
        <v>15508.594397351239</v>
      </c>
      <c r="Y59" s="315">
        <f t="shared" ca="1" si="308"/>
        <v>15622.52134480846</v>
      </c>
      <c r="Z59" s="315">
        <f t="shared" ca="1" si="308"/>
        <v>15733.570019581215</v>
      </c>
      <c r="AA59" s="315">
        <f t="shared" ca="1" si="308"/>
        <v>15849.149649753341</v>
      </c>
      <c r="AB59" s="315">
        <f t="shared" ca="1" si="308"/>
        <v>15965.578333947795</v>
      </c>
      <c r="AC59" s="315">
        <f t="shared" ca="1" si="308"/>
        <v>16071.474693313918</v>
      </c>
      <c r="AD59" s="315">
        <f t="shared" ca="1" si="308"/>
        <v>16189.536588933417</v>
      </c>
      <c r="AE59" s="315">
        <f t="shared" ca="1" si="308"/>
        <v>16614.61574572929</v>
      </c>
      <c r="AF59" s="315">
        <f t="shared" ca="1" si="308"/>
        <v>16736.66758399317</v>
      </c>
      <c r="AG59" s="315">
        <f t="shared" ca="1" si="308"/>
        <v>16855.635880742029</v>
      </c>
      <c r="AH59" s="315">
        <f t="shared" ca="1" si="308"/>
        <v>16979.458265552825</v>
      </c>
      <c r="AI59" s="315">
        <f t="shared" ca="1" si="308"/>
        <v>17104.19025609364</v>
      </c>
      <c r="AJ59" s="315">
        <f t="shared" ca="1" si="308"/>
        <v>17225.770993228074</v>
      </c>
      <c r="AK59" s="315">
        <f t="shared" ca="1" si="308"/>
        <v>17352.312409978957</v>
      </c>
      <c r="AL59" s="315">
        <f t="shared" ca="1" si="308"/>
        <v>17475.656859625771</v>
      </c>
      <c r="AM59" s="315">
        <f t="shared" ca="1" si="308"/>
        <v>17604.033951051093</v>
      </c>
      <c r="AN59" s="315">
        <f t="shared" ca="1" si="308"/>
        <v>17733.354107319999</v>
      </c>
      <c r="AO59" s="315">
        <f t="shared" ca="1" si="308"/>
        <v>17850.975755595809</v>
      </c>
      <c r="AP59" s="315">
        <f t="shared" ca="1" si="308"/>
        <v>17982.109959306446</v>
      </c>
      <c r="AQ59" s="315">
        <f t="shared" ca="1" si="308"/>
        <v>18109.931162844921</v>
      </c>
      <c r="AR59" s="315">
        <f t="shared" ca="1" si="308"/>
        <v>18242.967666552551</v>
      </c>
      <c r="AS59" s="315">
        <f t="shared" ca="1" si="308"/>
        <v>18372.643110008808</v>
      </c>
      <c r="AT59" s="315">
        <f t="shared" ca="1" si="308"/>
        <v>18507.609509452574</v>
      </c>
      <c r="AU59" s="315">
        <f t="shared" ca="1" si="308"/>
        <v>18643.56737914206</v>
      </c>
      <c r="AV59" s="315">
        <f t="shared" ca="1" si="308"/>
        <v>18776.090382618593</v>
      </c>
      <c r="AW59" s="315">
        <f t="shared" ca="1" si="308"/>
        <v>18914.020526877055</v>
      </c>
      <c r="AX59" s="315">
        <f t="shared" ca="1" si="308"/>
        <v>19048.46597699208</v>
      </c>
      <c r="AY59" s="315">
        <f t="shared" ca="1" si="308"/>
        <v>19329.477006645684</v>
      </c>
      <c r="AZ59" s="315">
        <f t="shared" ca="1" si="308"/>
        <v>19471.472358054692</v>
      </c>
      <c r="BA59" s="315">
        <f t="shared" ca="1" si="308"/>
        <v>19853.450900652322</v>
      </c>
      <c r="BB59" s="315">
        <f t="shared" ca="1" si="308"/>
        <v>20319.295391755233</v>
      </c>
      <c r="BC59" s="315">
        <f t="shared" ca="1" si="308"/>
        <v>20463.729876802066</v>
      </c>
      <c r="BD59" s="315">
        <f t="shared" ca="1" si="308"/>
        <v>20614.057509256712</v>
      </c>
      <c r="BE59" s="315">
        <f t="shared" ca="1" si="308"/>
        <v>21377.587235001207</v>
      </c>
      <c r="BF59" s="315">
        <f t="shared" ca="1" si="308"/>
        <v>21534.628111516755</v>
      </c>
      <c r="BG59" s="315">
        <f t="shared" ca="1" si="308"/>
        <v>21692.822618543814</v>
      </c>
      <c r="BH59" s="315">
        <f t="shared" ca="1" si="308"/>
        <v>21847.020468602779</v>
      </c>
      <c r="BI59" s="315">
        <f t="shared" ca="1" si="308"/>
        <v>22007.509826261681</v>
      </c>
      <c r="BJ59" s="315">
        <f t="shared" ca="1" si="308"/>
        <v>22163.944549397256</v>
      </c>
      <c r="BK59" s="315">
        <f t="shared" ca="1" si="308"/>
        <v>22326.762047967935</v>
      </c>
      <c r="BL59" s="315">
        <f t="shared" ca="1" si="308"/>
        <v>22710.227612418574</v>
      </c>
      <c r="BM59" s="315">
        <f t="shared" ca="1" si="308"/>
        <v>22860.859827188866</v>
      </c>
      <c r="BN59" s="315">
        <f t="shared" ca="1" si="308"/>
        <v>23028.796901924914</v>
      </c>
      <c r="BO59" s="315">
        <f t="shared" ca="1" si="308"/>
        <v>23192.491181556641</v>
      </c>
      <c r="BP59" s="315">
        <f t="shared" ca="1" si="308"/>
        <v>23451.364437607142</v>
      </c>
      <c r="BQ59" s="315">
        <f t="shared" ca="1" si="308"/>
        <v>23618.062429879345</v>
      </c>
      <c r="BR59" s="315">
        <f t="shared" ca="1" si="308"/>
        <v>23791.561954629942</v>
      </c>
      <c r="BS59" s="315">
        <f t="shared" ca="1" si="308"/>
        <v>23966.336015984805</v>
      </c>
      <c r="BT59" s="315">
        <f t="shared" ca="1" si="308"/>
        <v>24136.694551268105</v>
      </c>
      <c r="BU59" s="315">
        <f t="shared" ref="BU59:CZ59" ca="1" si="309">SUM(BU52:BU58)</f>
        <v>24314.00397477092</v>
      </c>
      <c r="BV59" s="315">
        <f t="shared" ca="1" si="309"/>
        <v>24486.833818316951</v>
      </c>
      <c r="BW59" s="315">
        <f t="shared" ca="1" si="309"/>
        <v>24666.715383231021</v>
      </c>
      <c r="BX59" s="315">
        <f t="shared" ca="1" si="309"/>
        <v>24847.918367550963</v>
      </c>
      <c r="BY59" s="315">
        <f t="shared" ca="1" si="309"/>
        <v>25012.729440342187</v>
      </c>
      <c r="BZ59" s="315">
        <f t="shared" ca="1" si="309"/>
        <v>25196.474262064927</v>
      </c>
      <c r="CA59" s="315">
        <f t="shared" ca="1" si="309"/>
        <v>25375.576918671504</v>
      </c>
      <c r="CB59" s="315">
        <f t="shared" ca="1" si="309"/>
        <v>25561.987236991772</v>
      </c>
      <c r="CC59" s="315">
        <f t="shared" ca="1" si="309"/>
        <v>25743.688048568471</v>
      </c>
      <c r="CD59" s="315">
        <f t="shared" ca="1" si="309"/>
        <v>25932.802530546622</v>
      </c>
      <c r="CE59" s="315">
        <f t="shared" ca="1" si="309"/>
        <v>26123.306257423421</v>
      </c>
      <c r="CF59" s="315">
        <f t="shared" ca="1" si="309"/>
        <v>26308.997060882219</v>
      </c>
      <c r="CG59" s="315">
        <f t="shared" ca="1" si="309"/>
        <v>26502.264332500286</v>
      </c>
      <c r="CH59" s="315">
        <f t="shared" ca="1" si="309"/>
        <v>26690.648861965463</v>
      </c>
      <c r="CI59" s="315">
        <f t="shared" ca="1" si="309"/>
        <v>26886.719767721799</v>
      </c>
      <c r="CJ59" s="315">
        <f t="shared" ca="1" si="309"/>
        <v>27084.231020630537</v>
      </c>
      <c r="CK59" s="315">
        <f t="shared" ca="1" si="309"/>
        <v>27263.875089972971</v>
      </c>
      <c r="CL59" s="315">
        <f t="shared" ca="1" si="309"/>
        <v>27464.156945650757</v>
      </c>
      <c r="CM59" s="315">
        <f t="shared" ca="1" si="309"/>
        <v>27659.378841351925</v>
      </c>
      <c r="CN59" s="315">
        <f t="shared" ca="1" si="309"/>
        <v>27862.566088321018</v>
      </c>
      <c r="CO59" s="315">
        <f t="shared" ca="1" si="309"/>
        <v>28060.619972939621</v>
      </c>
      <c r="CP59" s="315">
        <f t="shared" ca="1" si="309"/>
        <v>28266.754758295807</v>
      </c>
      <c r="CQ59" s="315">
        <f t="shared" ca="1" si="309"/>
        <v>28474.40382059152</v>
      </c>
      <c r="CR59" s="315">
        <f t="shared" ca="1" si="309"/>
        <v>28676.806796361609</v>
      </c>
      <c r="CS59" s="315">
        <f t="shared" ca="1" si="309"/>
        <v>28887.468122425304</v>
      </c>
      <c r="CT59" s="315">
        <f t="shared" ca="1" si="309"/>
        <v>29092.807259542344</v>
      </c>
      <c r="CU59" s="315">
        <f t="shared" ca="1" si="309"/>
        <v>29306.524546816749</v>
      </c>
      <c r="CV59" s="315">
        <f t="shared" ca="1" si="309"/>
        <v>29521.811812487274</v>
      </c>
      <c r="CW59" s="315">
        <f t="shared" ca="1" si="309"/>
        <v>29724.641104822851</v>
      </c>
      <c r="CX59" s="315">
        <f t="shared" ca="1" si="309"/>
        <v>29942.999876647609</v>
      </c>
      <c r="CY59" s="315">
        <f t="shared" ca="1" si="309"/>
        <v>30155.841989750399</v>
      </c>
      <c r="CZ59" s="315">
        <f t="shared" ca="1" si="309"/>
        <v>30377.36838588088</v>
      </c>
      <c r="DA59" s="315">
        <f t="shared" ref="DA59:EE59" ca="1" si="310">SUM(DA52:DA58)</f>
        <v>30593.29809580935</v>
      </c>
      <c r="DB59" s="315">
        <f t="shared" ca="1" si="310"/>
        <v>30818.038067427904</v>
      </c>
      <c r="DC59" s="315">
        <f t="shared" ca="1" si="310"/>
        <v>31044.428990659617</v>
      </c>
      <c r="DD59" s="315">
        <f t="shared" ca="1" si="310"/>
        <v>31265.100329325142</v>
      </c>
      <c r="DE59" s="315">
        <f t="shared" ca="1" si="310"/>
        <v>31494.775395369306</v>
      </c>
      <c r="DF59" s="315">
        <f t="shared" ca="1" si="310"/>
        <v>31718.647905620895</v>
      </c>
      <c r="DG59" s="315">
        <f t="shared" ca="1" si="310"/>
        <v>4141.026931980934</v>
      </c>
      <c r="DH59" s="315">
        <f t="shared" ca="1" si="310"/>
        <v>4171.4471329102525</v>
      </c>
      <c r="DI59" s="315">
        <f t="shared" ca="1" si="310"/>
        <v>4171.4471329102525</v>
      </c>
      <c r="DJ59" s="315">
        <f t="shared" ca="1" si="310"/>
        <v>4171.4471329102525</v>
      </c>
      <c r="DK59" s="315">
        <f t="shared" ca="1" si="310"/>
        <v>4171.4471329102525</v>
      </c>
      <c r="DL59" s="315">
        <f t="shared" ca="1" si="310"/>
        <v>4171.4471329102525</v>
      </c>
      <c r="DM59" s="315">
        <f t="shared" ca="1" si="310"/>
        <v>4171.4471329102525</v>
      </c>
      <c r="DN59" s="315">
        <f t="shared" ca="1" si="310"/>
        <v>4171.4471329102525</v>
      </c>
      <c r="DO59" s="315">
        <f t="shared" ca="1" si="310"/>
        <v>4171.4471329102525</v>
      </c>
      <c r="DP59" s="315">
        <f t="shared" ca="1" si="310"/>
        <v>4171.4471329102525</v>
      </c>
      <c r="DQ59" s="315">
        <f t="shared" ca="1" si="310"/>
        <v>4171.4471329102525</v>
      </c>
      <c r="DR59" s="315">
        <f t="shared" ca="1" si="310"/>
        <v>4171.4471329102525</v>
      </c>
      <c r="DS59" s="315">
        <f t="shared" ca="1" si="310"/>
        <v>4171.4471329102525</v>
      </c>
      <c r="DT59" s="315">
        <f t="shared" ca="1" si="310"/>
        <v>4171.4471329102525</v>
      </c>
      <c r="DU59" s="315">
        <f t="shared" ca="1" si="310"/>
        <v>4171.4471329102525</v>
      </c>
      <c r="DV59" s="315">
        <f t="shared" ca="1" si="310"/>
        <v>4171.4471329102525</v>
      </c>
      <c r="DW59" s="315">
        <f t="shared" ca="1" si="310"/>
        <v>4171.4471329102525</v>
      </c>
      <c r="DX59" s="315">
        <f t="shared" ca="1" si="310"/>
        <v>4171.4471329102525</v>
      </c>
      <c r="DY59" s="315">
        <f t="shared" ca="1" si="310"/>
        <v>4171.4471329102525</v>
      </c>
      <c r="DZ59" s="315">
        <f t="shared" ca="1" si="310"/>
        <v>4171.4471329102525</v>
      </c>
      <c r="EA59" s="315">
        <f t="shared" ca="1" si="310"/>
        <v>4171.4471329102525</v>
      </c>
      <c r="EB59" s="315">
        <f t="shared" ca="1" si="310"/>
        <v>4171.4471329102525</v>
      </c>
      <c r="EC59" s="315">
        <f t="shared" ca="1" si="310"/>
        <v>4171.4471329102525</v>
      </c>
      <c r="ED59" s="315">
        <f t="shared" ca="1" si="310"/>
        <v>4171.4471329102525</v>
      </c>
      <c r="EE59" s="315">
        <f t="shared" ca="1" si="310"/>
        <v>4171.4471329102525</v>
      </c>
    </row>
    <row r="60" spans="2:135">
      <c r="G60" s="301"/>
      <c r="H60" s="301"/>
      <c r="I60" s="266"/>
      <c r="J60" s="301"/>
      <c r="K60" s="301"/>
      <c r="L60" s="301"/>
      <c r="M60" s="301"/>
      <c r="N60" s="301"/>
      <c r="O60" s="301"/>
      <c r="P60" s="301"/>
      <c r="Q60" s="301"/>
      <c r="R60" s="301"/>
      <c r="S60" s="301"/>
      <c r="T60" s="301"/>
      <c r="U60" s="301"/>
      <c r="V60" s="301"/>
      <c r="W60" s="301"/>
      <c r="X60" s="301"/>
      <c r="Y60" s="301"/>
      <c r="Z60" s="301"/>
      <c r="AA60" s="301"/>
      <c r="AB60" s="301"/>
      <c r="AC60" s="301"/>
      <c r="AD60" s="301"/>
      <c r="AE60" s="301"/>
      <c r="AF60" s="301"/>
      <c r="AG60" s="301"/>
      <c r="AH60" s="301"/>
      <c r="AI60" s="301"/>
      <c r="AJ60" s="301"/>
      <c r="AK60" s="301"/>
      <c r="AL60" s="301"/>
      <c r="AM60" s="301"/>
      <c r="AN60" s="301"/>
      <c r="AO60" s="301"/>
      <c r="AP60" s="301"/>
      <c r="AQ60" s="301"/>
      <c r="AR60" s="301"/>
      <c r="AS60" s="301"/>
      <c r="AT60" s="301"/>
      <c r="AU60" s="301"/>
      <c r="AV60" s="301"/>
      <c r="AW60" s="301"/>
      <c r="AX60" s="301"/>
      <c r="AY60" s="301"/>
      <c r="AZ60" s="301"/>
      <c r="BA60" s="301"/>
      <c r="BB60" s="301"/>
      <c r="BC60" s="301"/>
      <c r="BD60" s="301"/>
      <c r="BE60" s="301"/>
      <c r="BF60" s="301"/>
      <c r="BG60" s="301"/>
      <c r="BH60" s="301"/>
      <c r="BI60" s="301"/>
      <c r="BJ60" s="301"/>
      <c r="BK60" s="301"/>
      <c r="BL60" s="301"/>
      <c r="BM60" s="301"/>
      <c r="BN60" s="301"/>
      <c r="BO60" s="301"/>
      <c r="BP60" s="301"/>
      <c r="BQ60" s="301"/>
      <c r="BR60" s="301"/>
      <c r="BS60" s="301"/>
      <c r="BT60" s="301"/>
      <c r="BU60" s="301"/>
      <c r="BV60" s="301"/>
      <c r="BW60" s="301"/>
      <c r="BX60" s="301"/>
      <c r="BY60" s="301"/>
      <c r="BZ60" s="301"/>
      <c r="CA60" s="301"/>
      <c r="CB60" s="301"/>
      <c r="CC60" s="301"/>
      <c r="CD60" s="301"/>
      <c r="CE60" s="301"/>
      <c r="CF60" s="301"/>
      <c r="CG60" s="301"/>
      <c r="CH60" s="301"/>
      <c r="CI60" s="301"/>
      <c r="CJ60" s="301"/>
      <c r="CK60" s="301"/>
      <c r="CL60" s="301"/>
      <c r="CM60" s="301"/>
      <c r="CN60" s="301"/>
      <c r="CO60" s="301"/>
      <c r="CP60" s="301"/>
      <c r="CQ60" s="301"/>
      <c r="CR60" s="301"/>
      <c r="CS60" s="301"/>
      <c r="CT60" s="301"/>
      <c r="CU60" s="301"/>
      <c r="CV60" s="301"/>
      <c r="CW60" s="301"/>
      <c r="CX60" s="301"/>
      <c r="CY60" s="301"/>
      <c r="CZ60" s="301"/>
      <c r="DA60" s="301"/>
      <c r="DB60" s="301"/>
      <c r="DC60" s="301"/>
      <c r="DD60" s="301"/>
      <c r="DE60" s="301"/>
      <c r="DF60" s="301"/>
      <c r="DG60" s="301"/>
      <c r="DH60" s="301"/>
      <c r="DI60" s="301"/>
      <c r="DJ60" s="301"/>
      <c r="DK60" s="301"/>
      <c r="DL60" s="301"/>
      <c r="DM60" s="301"/>
      <c r="DN60" s="301"/>
      <c r="DO60" s="301"/>
      <c r="DP60" s="301"/>
      <c r="DQ60" s="301"/>
      <c r="DR60" s="301"/>
      <c r="DS60" s="301"/>
      <c r="DT60" s="301"/>
      <c r="DU60" s="301"/>
      <c r="DV60" s="301"/>
      <c r="DW60" s="301"/>
      <c r="DX60" s="301"/>
      <c r="DY60" s="301"/>
      <c r="DZ60" s="301"/>
      <c r="EA60" s="301"/>
      <c r="EB60" s="301"/>
      <c r="EC60" s="301"/>
      <c r="ED60" s="301"/>
      <c r="EE60" s="301"/>
    </row>
    <row r="61" spans="2:135">
      <c r="C61" s="265" t="s">
        <v>180</v>
      </c>
      <c r="G61" s="301">
        <f ca="1">SUMIF($I$8:$EE$8, "&lt;="&amp;$E$8, $I61:$EE61)</f>
        <v>11741.205068019079</v>
      </c>
      <c r="H61" s="301"/>
      <c r="I61" s="301">
        <f>I28+I56</f>
        <v>0</v>
      </c>
      <c r="J61" s="301">
        <f t="shared" ref="J61:BT61" ca="1" si="311">J28+J56</f>
        <v>0</v>
      </c>
      <c r="K61" s="301">
        <f t="shared" ca="1" si="311"/>
        <v>0</v>
      </c>
      <c r="L61" s="301">
        <f t="shared" ca="1" si="311"/>
        <v>0</v>
      </c>
      <c r="M61" s="301">
        <f t="shared" ca="1" si="311"/>
        <v>0</v>
      </c>
      <c r="N61" s="301">
        <f t="shared" ca="1" si="311"/>
        <v>0</v>
      </c>
      <c r="O61" s="301">
        <f t="shared" ca="1" si="311"/>
        <v>0</v>
      </c>
      <c r="P61" s="301">
        <f t="shared" ca="1" si="311"/>
        <v>0</v>
      </c>
      <c r="Q61" s="301">
        <f t="shared" ca="1" si="311"/>
        <v>0</v>
      </c>
      <c r="R61" s="301">
        <f t="shared" ca="1" si="311"/>
        <v>0</v>
      </c>
      <c r="S61" s="301">
        <f t="shared" ca="1" si="311"/>
        <v>0</v>
      </c>
      <c r="T61" s="301">
        <f t="shared" ca="1" si="311"/>
        <v>0</v>
      </c>
      <c r="U61" s="301">
        <f t="shared" ca="1" si="311"/>
        <v>0</v>
      </c>
      <c r="V61" s="301">
        <f t="shared" ca="1" si="311"/>
        <v>0</v>
      </c>
      <c r="W61" s="301">
        <f t="shared" ca="1" si="311"/>
        <v>0</v>
      </c>
      <c r="X61" s="301">
        <f t="shared" ca="1" si="311"/>
        <v>0</v>
      </c>
      <c r="Y61" s="301">
        <f t="shared" ca="1" si="311"/>
        <v>0</v>
      </c>
      <c r="Z61" s="301">
        <f t="shared" ca="1" si="311"/>
        <v>0</v>
      </c>
      <c r="AA61" s="301">
        <f t="shared" ca="1" si="311"/>
        <v>0</v>
      </c>
      <c r="AB61" s="301">
        <f t="shared" ca="1" si="311"/>
        <v>0</v>
      </c>
      <c r="AC61" s="301">
        <f t="shared" ca="1" si="311"/>
        <v>0</v>
      </c>
      <c r="AD61" s="301">
        <f t="shared" ca="1" si="311"/>
        <v>0</v>
      </c>
      <c r="AE61" s="301">
        <f t="shared" ca="1" si="311"/>
        <v>0</v>
      </c>
      <c r="AF61" s="301">
        <f t="shared" ca="1" si="311"/>
        <v>0</v>
      </c>
      <c r="AG61" s="301">
        <f t="shared" ca="1" si="311"/>
        <v>0</v>
      </c>
      <c r="AH61" s="301">
        <f t="shared" ca="1" si="311"/>
        <v>0</v>
      </c>
      <c r="AI61" s="301">
        <f t="shared" ca="1" si="311"/>
        <v>0</v>
      </c>
      <c r="AJ61" s="301">
        <f t="shared" ca="1" si="311"/>
        <v>0</v>
      </c>
      <c r="AK61" s="301">
        <f t="shared" ca="1" si="311"/>
        <v>0</v>
      </c>
      <c r="AL61" s="301">
        <f t="shared" ca="1" si="311"/>
        <v>0</v>
      </c>
      <c r="AM61" s="301">
        <f t="shared" ca="1" si="311"/>
        <v>0</v>
      </c>
      <c r="AN61" s="301">
        <f t="shared" ca="1" si="311"/>
        <v>0</v>
      </c>
      <c r="AO61" s="301">
        <f t="shared" ca="1" si="311"/>
        <v>0</v>
      </c>
      <c r="AP61" s="301">
        <f t="shared" ca="1" si="311"/>
        <v>0</v>
      </c>
      <c r="AQ61" s="301">
        <f t="shared" ca="1" si="311"/>
        <v>0</v>
      </c>
      <c r="AR61" s="301">
        <f t="shared" ca="1" si="311"/>
        <v>0</v>
      </c>
      <c r="AS61" s="301">
        <f t="shared" ca="1" si="311"/>
        <v>0</v>
      </c>
      <c r="AT61" s="301">
        <f t="shared" ca="1" si="311"/>
        <v>0</v>
      </c>
      <c r="AU61" s="301">
        <f t="shared" ca="1" si="311"/>
        <v>0</v>
      </c>
      <c r="AV61" s="301">
        <f t="shared" ca="1" si="311"/>
        <v>0</v>
      </c>
      <c r="AW61" s="301">
        <f t="shared" ca="1" si="311"/>
        <v>0</v>
      </c>
      <c r="AX61" s="301">
        <f t="shared" ca="1" si="311"/>
        <v>0</v>
      </c>
      <c r="AY61" s="301">
        <f t="shared" ca="1" si="311"/>
        <v>0</v>
      </c>
      <c r="AZ61" s="301">
        <f t="shared" ca="1" si="311"/>
        <v>0</v>
      </c>
      <c r="BA61" s="301">
        <f t="shared" ca="1" si="311"/>
        <v>0</v>
      </c>
      <c r="BB61" s="301">
        <f t="shared" ca="1" si="311"/>
        <v>0</v>
      </c>
      <c r="BC61" s="301">
        <f t="shared" ca="1" si="311"/>
        <v>0</v>
      </c>
      <c r="BD61" s="301">
        <f t="shared" ca="1" si="311"/>
        <v>0</v>
      </c>
      <c r="BE61" s="301">
        <f ca="1">BE28+BE56</f>
        <v>0</v>
      </c>
      <c r="BF61" s="301">
        <f t="shared" ca="1" si="311"/>
        <v>0</v>
      </c>
      <c r="BG61" s="301">
        <f t="shared" ca="1" si="311"/>
        <v>0</v>
      </c>
      <c r="BH61" s="301">
        <f t="shared" ca="1" si="311"/>
        <v>0</v>
      </c>
      <c r="BI61" s="301">
        <f t="shared" ca="1" si="311"/>
        <v>0</v>
      </c>
      <c r="BJ61" s="301">
        <f t="shared" ca="1" si="311"/>
        <v>0</v>
      </c>
      <c r="BK61" s="301">
        <f t="shared" ca="1" si="311"/>
        <v>0</v>
      </c>
      <c r="BL61" s="301">
        <f t="shared" ca="1" si="311"/>
        <v>0</v>
      </c>
      <c r="BM61" s="301">
        <f t="shared" ca="1" si="311"/>
        <v>0</v>
      </c>
      <c r="BN61" s="301">
        <f t="shared" ca="1" si="311"/>
        <v>0</v>
      </c>
      <c r="BO61" s="301">
        <f t="shared" ca="1" si="311"/>
        <v>0</v>
      </c>
      <c r="BP61" s="301">
        <f t="shared" ca="1" si="311"/>
        <v>0</v>
      </c>
      <c r="BQ61" s="301">
        <f t="shared" ca="1" si="311"/>
        <v>0</v>
      </c>
      <c r="BR61" s="301">
        <f t="shared" ca="1" si="311"/>
        <v>0</v>
      </c>
      <c r="BS61" s="301">
        <f t="shared" ca="1" si="311"/>
        <v>0</v>
      </c>
      <c r="BT61" s="301">
        <f t="shared" ca="1" si="311"/>
        <v>0</v>
      </c>
      <c r="BU61" s="301">
        <f t="shared" ref="BU61:CZ61" ca="1" si="312">BU28+BU56</f>
        <v>0</v>
      </c>
      <c r="BV61" s="301">
        <f t="shared" ca="1" si="312"/>
        <v>0</v>
      </c>
      <c r="BW61" s="301">
        <f t="shared" ca="1" si="312"/>
        <v>0</v>
      </c>
      <c r="BX61" s="301">
        <f t="shared" ca="1" si="312"/>
        <v>0</v>
      </c>
      <c r="BY61" s="301">
        <f t="shared" ca="1" si="312"/>
        <v>0</v>
      </c>
      <c r="BZ61" s="301">
        <f t="shared" ca="1" si="312"/>
        <v>0</v>
      </c>
      <c r="CA61" s="301">
        <f t="shared" ca="1" si="312"/>
        <v>0</v>
      </c>
      <c r="CB61" s="301">
        <f t="shared" ca="1" si="312"/>
        <v>0</v>
      </c>
      <c r="CC61" s="301">
        <f t="shared" ca="1" si="312"/>
        <v>0</v>
      </c>
      <c r="CD61" s="301">
        <f t="shared" ca="1" si="312"/>
        <v>0</v>
      </c>
      <c r="CE61" s="301">
        <f t="shared" ca="1" si="312"/>
        <v>0</v>
      </c>
      <c r="CF61" s="301">
        <f t="shared" ca="1" si="312"/>
        <v>0</v>
      </c>
      <c r="CG61" s="301">
        <f t="shared" ca="1" si="312"/>
        <v>0</v>
      </c>
      <c r="CH61" s="301">
        <f t="shared" ca="1" si="312"/>
        <v>0</v>
      </c>
      <c r="CI61" s="301">
        <f t="shared" ca="1" si="312"/>
        <v>0</v>
      </c>
      <c r="CJ61" s="301">
        <f t="shared" ca="1" si="312"/>
        <v>0</v>
      </c>
      <c r="CK61" s="301">
        <f t="shared" ca="1" si="312"/>
        <v>0</v>
      </c>
      <c r="CL61" s="301">
        <f t="shared" ca="1" si="312"/>
        <v>0</v>
      </c>
      <c r="CM61" s="301">
        <f t="shared" ca="1" si="312"/>
        <v>0</v>
      </c>
      <c r="CN61" s="301">
        <f t="shared" ca="1" si="312"/>
        <v>0</v>
      </c>
      <c r="CO61" s="301">
        <f t="shared" ca="1" si="312"/>
        <v>0</v>
      </c>
      <c r="CP61" s="301">
        <f t="shared" ca="1" si="312"/>
        <v>0</v>
      </c>
      <c r="CQ61" s="301">
        <f t="shared" ca="1" si="312"/>
        <v>0</v>
      </c>
      <c r="CR61" s="301">
        <f t="shared" ca="1" si="312"/>
        <v>0</v>
      </c>
      <c r="CS61" s="301">
        <f t="shared" ca="1" si="312"/>
        <v>0</v>
      </c>
      <c r="CT61" s="301">
        <f t="shared" ca="1" si="312"/>
        <v>0</v>
      </c>
      <c r="CU61" s="301">
        <f t="shared" ca="1" si="312"/>
        <v>0</v>
      </c>
      <c r="CV61" s="301">
        <f t="shared" ca="1" si="312"/>
        <v>0</v>
      </c>
      <c r="CW61" s="301">
        <f t="shared" ca="1" si="312"/>
        <v>0</v>
      </c>
      <c r="CX61" s="301">
        <f t="shared" ca="1" si="312"/>
        <v>0</v>
      </c>
      <c r="CY61" s="301">
        <f t="shared" ca="1" si="312"/>
        <v>0</v>
      </c>
      <c r="CZ61" s="301">
        <f t="shared" ca="1" si="312"/>
        <v>0</v>
      </c>
      <c r="DA61" s="301">
        <f t="shared" ref="DA61:EE61" ca="1" si="313">DA28+DA56</f>
        <v>0</v>
      </c>
      <c r="DB61" s="301">
        <f t="shared" ca="1" si="313"/>
        <v>0</v>
      </c>
      <c r="DC61" s="301">
        <f t="shared" ca="1" si="313"/>
        <v>0</v>
      </c>
      <c r="DD61" s="301">
        <f t="shared" ca="1" si="313"/>
        <v>0</v>
      </c>
      <c r="DE61" s="301">
        <f t="shared" ca="1" si="313"/>
        <v>0</v>
      </c>
      <c r="DF61" s="301">
        <f t="shared" ca="1" si="313"/>
        <v>0</v>
      </c>
      <c r="DG61" s="301">
        <f t="shared" ca="1" si="313"/>
        <v>11741.205068019079</v>
      </c>
      <c r="DH61" s="301">
        <f t="shared" ca="1" si="313"/>
        <v>0</v>
      </c>
      <c r="DI61" s="301">
        <f t="shared" ca="1" si="313"/>
        <v>0</v>
      </c>
      <c r="DJ61" s="301">
        <f t="shared" ca="1" si="313"/>
        <v>0</v>
      </c>
      <c r="DK61" s="301">
        <f t="shared" ca="1" si="313"/>
        <v>0</v>
      </c>
      <c r="DL61" s="301">
        <f t="shared" ca="1" si="313"/>
        <v>0</v>
      </c>
      <c r="DM61" s="301">
        <f t="shared" ca="1" si="313"/>
        <v>0</v>
      </c>
      <c r="DN61" s="301">
        <f t="shared" ca="1" si="313"/>
        <v>0</v>
      </c>
      <c r="DO61" s="301">
        <f t="shared" ca="1" si="313"/>
        <v>0</v>
      </c>
      <c r="DP61" s="301">
        <f t="shared" ca="1" si="313"/>
        <v>0</v>
      </c>
      <c r="DQ61" s="301">
        <f t="shared" ca="1" si="313"/>
        <v>0</v>
      </c>
      <c r="DR61" s="301">
        <f t="shared" ca="1" si="313"/>
        <v>0</v>
      </c>
      <c r="DS61" s="301">
        <f t="shared" ca="1" si="313"/>
        <v>0</v>
      </c>
      <c r="DT61" s="301">
        <f t="shared" ca="1" si="313"/>
        <v>0</v>
      </c>
      <c r="DU61" s="301">
        <f t="shared" ca="1" si="313"/>
        <v>0</v>
      </c>
      <c r="DV61" s="301">
        <f t="shared" ca="1" si="313"/>
        <v>0</v>
      </c>
      <c r="DW61" s="301">
        <f t="shared" ca="1" si="313"/>
        <v>0</v>
      </c>
      <c r="DX61" s="301">
        <f t="shared" ca="1" si="313"/>
        <v>0</v>
      </c>
      <c r="DY61" s="301">
        <f t="shared" ca="1" si="313"/>
        <v>0</v>
      </c>
      <c r="DZ61" s="301">
        <f t="shared" ca="1" si="313"/>
        <v>0</v>
      </c>
      <c r="EA61" s="301">
        <f t="shared" ca="1" si="313"/>
        <v>0</v>
      </c>
      <c r="EB61" s="301">
        <f t="shared" ca="1" si="313"/>
        <v>0</v>
      </c>
      <c r="EC61" s="301">
        <f t="shared" ca="1" si="313"/>
        <v>0</v>
      </c>
      <c r="ED61" s="301">
        <f t="shared" ca="1" si="313"/>
        <v>0</v>
      </c>
      <c r="EE61" s="301">
        <f t="shared" ca="1" si="313"/>
        <v>0</v>
      </c>
    </row>
    <row r="63" spans="2:135">
      <c r="B63" s="265" t="s">
        <v>164</v>
      </c>
      <c r="G63" s="301"/>
      <c r="H63" s="301"/>
      <c r="I63" s="301"/>
      <c r="J63" s="301"/>
      <c r="K63" s="301"/>
    </row>
    <row r="64" spans="2:135">
      <c r="C64" s="265" t="str">
        <f t="shared" ref="C64:C69" si="314">C52</f>
        <v>Beginning Capital Balance</v>
      </c>
      <c r="G64" s="301"/>
      <c r="H64" s="301"/>
      <c r="I64" s="312">
        <v>0</v>
      </c>
      <c r="J64" s="301">
        <f t="shared" ref="J64:BU64" si="315">I71</f>
        <v>13708</v>
      </c>
      <c r="K64" s="301">
        <f t="shared" ca="1" si="315"/>
        <v>13805.439792219633</v>
      </c>
      <c r="L64" s="301">
        <f t="shared" ca="1" si="315"/>
        <v>13906.855276662289</v>
      </c>
      <c r="M64" s="301">
        <f t="shared" ca="1" si="315"/>
        <v>14005.708580469298</v>
      </c>
      <c r="N64" s="301">
        <f t="shared" ca="1" si="315"/>
        <v>14108.59524992922</v>
      </c>
      <c r="O64" s="301">
        <f t="shared" ca="1" si="315"/>
        <v>14359.707570447459</v>
      </c>
      <c r="P64" s="301">
        <f t="shared" ca="1" si="315"/>
        <v>14465.194735045616</v>
      </c>
      <c r="Q64" s="301">
        <f t="shared" ca="1" si="315"/>
        <v>14571.456813884914</v>
      </c>
      <c r="R64" s="301">
        <f t="shared" ca="1" si="315"/>
        <v>14668.10625526281</v>
      </c>
      <c r="S64" s="301">
        <f t="shared" ca="1" si="315"/>
        <v>14775.858932766949</v>
      </c>
      <c r="T64" s="301">
        <f t="shared" ca="1" si="315"/>
        <v>14880.889325550392</v>
      </c>
      <c r="U64" s="301">
        <f t="shared" ca="1" si="315"/>
        <v>14990.205118643689</v>
      </c>
      <c r="V64" s="301">
        <f t="shared" ca="1" si="315"/>
        <v>15096.759136158304</v>
      </c>
      <c r="W64" s="301">
        <f t="shared" ca="1" si="315"/>
        <v>15286.835720196968</v>
      </c>
      <c r="X64" s="301">
        <f t="shared" ca="1" si="315"/>
        <v>15399.133616786456</v>
      </c>
      <c r="Y64" s="301">
        <f t="shared" ca="1" si="315"/>
        <v>15508.594397351239</v>
      </c>
      <c r="Z64" s="301">
        <f t="shared" ca="1" si="315"/>
        <v>15622.52134480846</v>
      </c>
      <c r="AA64" s="301">
        <f t="shared" ca="1" si="315"/>
        <v>15733.570019581215</v>
      </c>
      <c r="AB64" s="301">
        <f t="shared" ca="1" si="315"/>
        <v>15849.149649753341</v>
      </c>
      <c r="AC64" s="301">
        <f t="shared" ca="1" si="315"/>
        <v>15965.578333947795</v>
      </c>
      <c r="AD64" s="301">
        <f t="shared" ca="1" si="315"/>
        <v>16071.474693313918</v>
      </c>
      <c r="AE64" s="301">
        <f t="shared" ca="1" si="315"/>
        <v>16189.536588933417</v>
      </c>
      <c r="AF64" s="301">
        <f t="shared" ca="1" si="315"/>
        <v>16614.61574572929</v>
      </c>
      <c r="AG64" s="301">
        <f t="shared" ca="1" si="315"/>
        <v>16736.66758399317</v>
      </c>
      <c r="AH64" s="301">
        <f t="shared" ca="1" si="315"/>
        <v>16855.635880742029</v>
      </c>
      <c r="AI64" s="301">
        <f t="shared" ca="1" si="315"/>
        <v>16979.458265552825</v>
      </c>
      <c r="AJ64" s="301">
        <f t="shared" ca="1" si="315"/>
        <v>17104.19025609364</v>
      </c>
      <c r="AK64" s="301">
        <f t="shared" ca="1" si="315"/>
        <v>17225.770993228074</v>
      </c>
      <c r="AL64" s="301">
        <f t="shared" ca="1" si="315"/>
        <v>17352.312409978957</v>
      </c>
      <c r="AM64" s="301">
        <f t="shared" ca="1" si="315"/>
        <v>17475.656859625771</v>
      </c>
      <c r="AN64" s="301">
        <f t="shared" ca="1" si="315"/>
        <v>17604.033951051093</v>
      </c>
      <c r="AO64" s="301">
        <f t="shared" ca="1" si="315"/>
        <v>17733.354107319999</v>
      </c>
      <c r="AP64" s="301">
        <f t="shared" ca="1" si="315"/>
        <v>17850.975755595809</v>
      </c>
      <c r="AQ64" s="301">
        <f t="shared" ca="1" si="315"/>
        <v>17982.109959306446</v>
      </c>
      <c r="AR64" s="301">
        <f t="shared" ca="1" si="315"/>
        <v>18109.931162844921</v>
      </c>
      <c r="AS64" s="301">
        <f t="shared" ca="1" si="315"/>
        <v>18242.967666552551</v>
      </c>
      <c r="AT64" s="301">
        <f t="shared" ca="1" si="315"/>
        <v>18372.643110008808</v>
      </c>
      <c r="AU64" s="301">
        <f t="shared" ca="1" si="315"/>
        <v>18507.609509452574</v>
      </c>
      <c r="AV64" s="301">
        <f t="shared" ca="1" si="315"/>
        <v>18643.56737914206</v>
      </c>
      <c r="AW64" s="301">
        <f t="shared" ca="1" si="315"/>
        <v>18776.090382618593</v>
      </c>
      <c r="AX64" s="301">
        <f t="shared" ca="1" si="315"/>
        <v>18914.020526877055</v>
      </c>
      <c r="AY64" s="301">
        <f t="shared" ca="1" si="315"/>
        <v>19048.46597699208</v>
      </c>
      <c r="AZ64" s="301">
        <f t="shared" ca="1" si="315"/>
        <v>19329.477006645684</v>
      </c>
      <c r="BA64" s="301">
        <f t="shared" ca="1" si="315"/>
        <v>19471.472358054692</v>
      </c>
      <c r="BB64" s="301">
        <f t="shared" ca="1" si="315"/>
        <v>19853.450900652322</v>
      </c>
      <c r="BC64" s="301">
        <f t="shared" ca="1" si="315"/>
        <v>20319.295391755233</v>
      </c>
      <c r="BD64" s="301">
        <f t="shared" ca="1" si="315"/>
        <v>20463.729876802066</v>
      </c>
      <c r="BE64" s="301">
        <f t="shared" ca="1" si="315"/>
        <v>20614.057509256712</v>
      </c>
      <c r="BF64" s="301">
        <f t="shared" ca="1" si="315"/>
        <v>21377.587235001207</v>
      </c>
      <c r="BG64" s="301">
        <f t="shared" ca="1" si="315"/>
        <v>21534.628111516755</v>
      </c>
      <c r="BH64" s="301">
        <f t="shared" ca="1" si="315"/>
        <v>21692.822618543814</v>
      </c>
      <c r="BI64" s="301">
        <f t="shared" ca="1" si="315"/>
        <v>21847.020468602779</v>
      </c>
      <c r="BJ64" s="301">
        <f t="shared" ca="1" si="315"/>
        <v>22007.509826261681</v>
      </c>
      <c r="BK64" s="301">
        <f t="shared" ca="1" si="315"/>
        <v>22163.944549397256</v>
      </c>
      <c r="BL64" s="301">
        <f t="shared" ca="1" si="315"/>
        <v>22326.762047967935</v>
      </c>
      <c r="BM64" s="301">
        <f t="shared" ca="1" si="315"/>
        <v>22710.227612418574</v>
      </c>
      <c r="BN64" s="301">
        <f t="shared" ca="1" si="315"/>
        <v>22860.859827188866</v>
      </c>
      <c r="BO64" s="301">
        <f t="shared" ca="1" si="315"/>
        <v>23028.796901924914</v>
      </c>
      <c r="BP64" s="301">
        <f t="shared" ca="1" si="315"/>
        <v>23192.491181556641</v>
      </c>
      <c r="BQ64" s="301">
        <f t="shared" ca="1" si="315"/>
        <v>23451.364437607142</v>
      </c>
      <c r="BR64" s="301">
        <f t="shared" ca="1" si="315"/>
        <v>23618.062429879345</v>
      </c>
      <c r="BS64" s="301">
        <f t="shared" ca="1" si="315"/>
        <v>23791.561954629942</v>
      </c>
      <c r="BT64" s="301">
        <f t="shared" ca="1" si="315"/>
        <v>23966.336015984805</v>
      </c>
      <c r="BU64" s="301">
        <f t="shared" ca="1" si="315"/>
        <v>24136.694551268105</v>
      </c>
      <c r="BV64" s="301">
        <f t="shared" ref="BV64:CZ64" ca="1" si="316">BU71</f>
        <v>24314.00397477092</v>
      </c>
      <c r="BW64" s="301">
        <f t="shared" ca="1" si="316"/>
        <v>24486.833818316951</v>
      </c>
      <c r="BX64" s="301">
        <f t="shared" ca="1" si="316"/>
        <v>24666.715383231021</v>
      </c>
      <c r="BY64" s="301">
        <f t="shared" ca="1" si="316"/>
        <v>24847.918367550963</v>
      </c>
      <c r="BZ64" s="301">
        <f t="shared" ca="1" si="316"/>
        <v>25012.729440342187</v>
      </c>
      <c r="CA64" s="301">
        <f t="shared" ca="1" si="316"/>
        <v>25196.474262064927</v>
      </c>
      <c r="CB64" s="301">
        <f t="shared" ca="1" si="316"/>
        <v>25375.576918671504</v>
      </c>
      <c r="CC64" s="301">
        <f t="shared" ca="1" si="316"/>
        <v>25561.987236991772</v>
      </c>
      <c r="CD64" s="301">
        <f t="shared" ca="1" si="316"/>
        <v>25743.688048568471</v>
      </c>
      <c r="CE64" s="301">
        <f t="shared" ca="1" si="316"/>
        <v>25932.802530546622</v>
      </c>
      <c r="CF64" s="301">
        <f t="shared" ca="1" si="316"/>
        <v>26123.306257423421</v>
      </c>
      <c r="CG64" s="301">
        <f t="shared" ca="1" si="316"/>
        <v>26308.997060882219</v>
      </c>
      <c r="CH64" s="301">
        <f t="shared" ca="1" si="316"/>
        <v>26502.264332500286</v>
      </c>
      <c r="CI64" s="301">
        <f t="shared" ca="1" si="316"/>
        <v>26690.648861965463</v>
      </c>
      <c r="CJ64" s="301">
        <f t="shared" ca="1" si="316"/>
        <v>26886.719767721799</v>
      </c>
      <c r="CK64" s="301">
        <f t="shared" ca="1" si="316"/>
        <v>27084.231020630537</v>
      </c>
      <c r="CL64" s="301">
        <f t="shared" ca="1" si="316"/>
        <v>27263.875089972971</v>
      </c>
      <c r="CM64" s="301">
        <f t="shared" ca="1" si="316"/>
        <v>27464.156945650757</v>
      </c>
      <c r="CN64" s="301">
        <f t="shared" ca="1" si="316"/>
        <v>27659.378841351925</v>
      </c>
      <c r="CO64" s="301">
        <f t="shared" ca="1" si="316"/>
        <v>27862.566088321018</v>
      </c>
      <c r="CP64" s="301">
        <f t="shared" ca="1" si="316"/>
        <v>28060.619972939621</v>
      </c>
      <c r="CQ64" s="301">
        <f t="shared" ca="1" si="316"/>
        <v>28266.754758295807</v>
      </c>
      <c r="CR64" s="301">
        <f t="shared" ca="1" si="316"/>
        <v>28474.40382059152</v>
      </c>
      <c r="CS64" s="301">
        <f t="shared" ca="1" si="316"/>
        <v>28676.806796361609</v>
      </c>
      <c r="CT64" s="301">
        <f t="shared" ca="1" si="316"/>
        <v>28887.468122425304</v>
      </c>
      <c r="CU64" s="301">
        <f t="shared" ca="1" si="316"/>
        <v>29092.807259542344</v>
      </c>
      <c r="CV64" s="301">
        <f t="shared" ca="1" si="316"/>
        <v>29306.524546816749</v>
      </c>
      <c r="CW64" s="301">
        <f t="shared" ca="1" si="316"/>
        <v>29521.811812487274</v>
      </c>
      <c r="CX64" s="301">
        <f t="shared" ca="1" si="316"/>
        <v>29724.641104822851</v>
      </c>
      <c r="CY64" s="301">
        <f t="shared" ca="1" si="316"/>
        <v>29942.999876647609</v>
      </c>
      <c r="CZ64" s="301">
        <f t="shared" ca="1" si="316"/>
        <v>30155.841989750399</v>
      </c>
      <c r="DA64" s="301">
        <f t="shared" ref="DA64" ca="1" si="317">CZ71</f>
        <v>30377.36838588088</v>
      </c>
      <c r="DB64" s="301">
        <f t="shared" ref="DB64" ca="1" si="318">DA71</f>
        <v>30593.29809580935</v>
      </c>
      <c r="DC64" s="301">
        <f t="shared" ref="DC64" ca="1" si="319">DB71</f>
        <v>30818.038067427904</v>
      </c>
      <c r="DD64" s="301">
        <f t="shared" ref="DD64" ca="1" si="320">DC71</f>
        <v>31044.428990659617</v>
      </c>
      <c r="DE64" s="301">
        <f t="shared" ref="DE64" ca="1" si="321">DD71</f>
        <v>31265.100329325142</v>
      </c>
      <c r="DF64" s="301">
        <f t="shared" ref="DF64" ca="1" si="322">DE71</f>
        <v>31494.775395369306</v>
      </c>
      <c r="DG64" s="301">
        <f t="shared" ref="DG64" ca="1" si="323">DF71</f>
        <v>31718.647905620895</v>
      </c>
      <c r="DH64" s="301">
        <f t="shared" ref="DH64" ca="1" si="324">DG71</f>
        <v>4141.026931980934</v>
      </c>
      <c r="DI64" s="301">
        <f t="shared" ref="DI64" ca="1" si="325">DH71</f>
        <v>4171.4471329102525</v>
      </c>
      <c r="DJ64" s="301">
        <f t="shared" ref="DJ64" ca="1" si="326">DI71</f>
        <v>4171.4471329102525</v>
      </c>
      <c r="DK64" s="301">
        <f t="shared" ref="DK64" ca="1" si="327">DJ71</f>
        <v>4171.4471329102525</v>
      </c>
      <c r="DL64" s="301">
        <f t="shared" ref="DL64" ca="1" si="328">DK71</f>
        <v>4171.4471329102525</v>
      </c>
      <c r="DM64" s="301">
        <f t="shared" ref="DM64" ca="1" si="329">DL71</f>
        <v>4171.4471329102525</v>
      </c>
      <c r="DN64" s="301">
        <f t="shared" ref="DN64" ca="1" si="330">DM71</f>
        <v>4171.4471329102525</v>
      </c>
      <c r="DO64" s="301">
        <f t="shared" ref="DO64" ca="1" si="331">DN71</f>
        <v>4171.4471329102525</v>
      </c>
      <c r="DP64" s="301">
        <f t="shared" ref="DP64" ca="1" si="332">DO71</f>
        <v>4171.4471329102525</v>
      </c>
      <c r="DQ64" s="301">
        <f t="shared" ref="DQ64" ca="1" si="333">DP71</f>
        <v>4171.4471329102525</v>
      </c>
      <c r="DR64" s="301">
        <f t="shared" ref="DR64" ca="1" si="334">DQ71</f>
        <v>4171.4471329102525</v>
      </c>
      <c r="DS64" s="301">
        <f t="shared" ref="DS64" ca="1" si="335">DR71</f>
        <v>4171.4471329102525</v>
      </c>
      <c r="DT64" s="301">
        <f t="shared" ref="DT64" ca="1" si="336">DS71</f>
        <v>4171.4471329102525</v>
      </c>
      <c r="DU64" s="301">
        <f t="shared" ref="DU64" ca="1" si="337">DT71</f>
        <v>4171.4471329102525</v>
      </c>
      <c r="DV64" s="301">
        <f t="shared" ref="DV64" ca="1" si="338">DU71</f>
        <v>4171.4471329102525</v>
      </c>
      <c r="DW64" s="301">
        <f t="shared" ref="DW64" ca="1" si="339">DV71</f>
        <v>4171.4471329102525</v>
      </c>
      <c r="DX64" s="301">
        <f t="shared" ref="DX64" ca="1" si="340">DW71</f>
        <v>4171.4471329102525</v>
      </c>
      <c r="DY64" s="301">
        <f t="shared" ref="DY64" ca="1" si="341">DX71</f>
        <v>4171.4471329102525</v>
      </c>
      <c r="DZ64" s="301">
        <f t="shared" ref="DZ64" ca="1" si="342">DY71</f>
        <v>4171.4471329102525</v>
      </c>
      <c r="EA64" s="301">
        <f t="shared" ref="EA64" ca="1" si="343">DZ71</f>
        <v>4171.4471329102525</v>
      </c>
      <c r="EB64" s="301">
        <f t="shared" ref="EB64" ca="1" si="344">EA71</f>
        <v>4171.4471329102525</v>
      </c>
      <c r="EC64" s="301">
        <f t="shared" ref="EC64" ca="1" si="345">EB71</f>
        <v>4171.4471329102525</v>
      </c>
      <c r="ED64" s="301">
        <f t="shared" ref="ED64" ca="1" si="346">EC71</f>
        <v>4171.4471329102525</v>
      </c>
      <c r="EE64" s="301">
        <f t="shared" ref="EE64" ca="1" si="347">ED71</f>
        <v>4171.4471329102525</v>
      </c>
    </row>
    <row r="65" spans="2:135">
      <c r="C65" s="265" t="str">
        <f t="shared" si="314"/>
        <v>Accrued Preference</v>
      </c>
      <c r="G65" s="301">
        <f t="shared" ref="G65:G70" ca="1" si="348">SUMIF($I$8:$EE$8, "&lt;="&amp;$E$8, $I65:$EE65)</f>
        <v>16099.842956866369</v>
      </c>
      <c r="H65" s="301"/>
      <c r="I65" s="301">
        <f t="shared" ref="I65:BT68" si="349">I53</f>
        <v>0</v>
      </c>
      <c r="J65" s="301">
        <f t="shared" si="349"/>
        <v>97.439792219633304</v>
      </c>
      <c r="K65" s="301">
        <f t="shared" ca="1" si="349"/>
        <v>101.41548444265632</v>
      </c>
      <c r="L65" s="301">
        <f t="shared" ca="1" si="349"/>
        <v>98.853303807009368</v>
      </c>
      <c r="M65" s="301">
        <f t="shared" ca="1" si="349"/>
        <v>102.88666945992247</v>
      </c>
      <c r="N65" s="301">
        <f t="shared" ca="1" si="349"/>
        <v>100.28732051823815</v>
      </c>
      <c r="O65" s="301">
        <f t="shared" ca="1" si="349"/>
        <v>105.48716459815626</v>
      </c>
      <c r="P65" s="301">
        <f t="shared" ca="1" si="349"/>
        <v>106.26207883929716</v>
      </c>
      <c r="Q65" s="301">
        <f t="shared" ca="1" si="349"/>
        <v>96.649441377896736</v>
      </c>
      <c r="R65" s="301">
        <f t="shared" ca="1" si="349"/>
        <v>107.75267750413795</v>
      </c>
      <c r="S65" s="301">
        <f t="shared" ca="1" si="349"/>
        <v>105.03039278344208</v>
      </c>
      <c r="T65" s="301">
        <f t="shared" ca="1" si="349"/>
        <v>109.31579309329669</v>
      </c>
      <c r="U65" s="301">
        <f t="shared" ca="1" si="349"/>
        <v>106.5540175146137</v>
      </c>
      <c r="V65" s="301">
        <f t="shared" ca="1" si="349"/>
        <v>110.9015840386662</v>
      </c>
      <c r="W65" s="301">
        <f t="shared" ca="1" si="349"/>
        <v>112.29789658948768</v>
      </c>
      <c r="X65" s="301">
        <f t="shared" ca="1" si="349"/>
        <v>109.46078056478278</v>
      </c>
      <c r="Y65" s="301">
        <f t="shared" ca="1" si="349"/>
        <v>113.92694745722153</v>
      </c>
      <c r="Z65" s="301">
        <f t="shared" ca="1" si="349"/>
        <v>111.04867477275478</v>
      </c>
      <c r="AA65" s="301">
        <f t="shared" ca="1" si="349"/>
        <v>115.57963017212495</v>
      </c>
      <c r="AB65" s="301">
        <f t="shared" ca="1" si="349"/>
        <v>116.42868419445426</v>
      </c>
      <c r="AC65" s="301">
        <f t="shared" ca="1" si="349"/>
        <v>105.89635936612349</v>
      </c>
      <c r="AD65" s="301">
        <f t="shared" ca="1" si="349"/>
        <v>118.06189561949974</v>
      </c>
      <c r="AE65" s="301">
        <f t="shared" ca="1" si="349"/>
        <v>115.07915679587271</v>
      </c>
      <c r="AF65" s="301">
        <f t="shared" ca="1" si="349"/>
        <v>122.05183826387984</v>
      </c>
      <c r="AG65" s="301">
        <f t="shared" ca="1" si="349"/>
        <v>118.96829674885954</v>
      </c>
      <c r="AH65" s="301">
        <f t="shared" ca="1" si="349"/>
        <v>123.8223848107944</v>
      </c>
      <c r="AI65" s="301">
        <f t="shared" ca="1" si="349"/>
        <v>124.73199054081316</v>
      </c>
      <c r="AJ65" s="301">
        <f t="shared" ca="1" si="349"/>
        <v>121.58073713443542</v>
      </c>
      <c r="AK65" s="301">
        <f t="shared" ca="1" si="349"/>
        <v>126.54141675088258</v>
      </c>
      <c r="AL65" s="301">
        <f t="shared" ca="1" si="349"/>
        <v>123.34444964681309</v>
      </c>
      <c r="AM65" s="301">
        <f t="shared" ca="1" si="349"/>
        <v>128.37709142532341</v>
      </c>
      <c r="AN65" s="301">
        <f t="shared" ca="1" si="349"/>
        <v>129.32015626890598</v>
      </c>
      <c r="AO65" s="301">
        <f t="shared" ca="1" si="349"/>
        <v>117.62164827580878</v>
      </c>
      <c r="AP65" s="301">
        <f t="shared" ca="1" si="349"/>
        <v>131.13420371063688</v>
      </c>
      <c r="AQ65" s="301">
        <f t="shared" ca="1" si="349"/>
        <v>127.82120353847525</v>
      </c>
      <c r="AR65" s="301">
        <f t="shared" ca="1" si="349"/>
        <v>133.03650370762898</v>
      </c>
      <c r="AS65" s="301">
        <f t="shared" ca="1" si="349"/>
        <v>129.67544345625686</v>
      </c>
      <c r="AT65" s="301">
        <f t="shared" ca="1" si="349"/>
        <v>134.96639944376588</v>
      </c>
      <c r="AU65" s="301">
        <f t="shared" ca="1" si="349"/>
        <v>135.9578696894863</v>
      </c>
      <c r="AV65" s="301">
        <f t="shared" ca="1" si="349"/>
        <v>132.52300347653454</v>
      </c>
      <c r="AW65" s="301">
        <f t="shared" ca="1" si="349"/>
        <v>137.93014425846195</v>
      </c>
      <c r="AX65" s="301">
        <f t="shared" ca="1" si="349"/>
        <v>134.4454501150262</v>
      </c>
      <c r="AY65" s="301">
        <f t="shared" ca="1" si="349"/>
        <v>139.93102965360245</v>
      </c>
      <c r="AZ65" s="301">
        <f t="shared" ca="1" si="349"/>
        <v>141.99535140901011</v>
      </c>
      <c r="BA65" s="301">
        <f t="shared" ca="1" si="349"/>
        <v>133.77854259762825</v>
      </c>
      <c r="BB65" s="301">
        <f t="shared" ca="1" si="349"/>
        <v>145.84449110291078</v>
      </c>
      <c r="BC65" s="301">
        <f t="shared" ca="1" si="349"/>
        <v>144.43448504683266</v>
      </c>
      <c r="BD65" s="301">
        <f t="shared" ca="1" si="349"/>
        <v>150.32763245464628</v>
      </c>
      <c r="BE65" s="301">
        <f t="shared" ca="1" si="349"/>
        <v>146.52972574449558</v>
      </c>
      <c r="BF65" s="301">
        <f t="shared" ca="1" si="349"/>
        <v>157.04087651554781</v>
      </c>
      <c r="BG65" s="301">
        <f t="shared" ca="1" si="349"/>
        <v>158.19450702705817</v>
      </c>
      <c r="BH65" s="301">
        <f t="shared" ca="1" si="349"/>
        <v>154.19785005896344</v>
      </c>
      <c r="BI65" s="301">
        <f t="shared" ca="1" si="349"/>
        <v>160.48935765890235</v>
      </c>
      <c r="BJ65" s="301">
        <f t="shared" ca="1" si="349"/>
        <v>156.43472313557604</v>
      </c>
      <c r="BK65" s="301">
        <f t="shared" ca="1" si="349"/>
        <v>162.81749857067754</v>
      </c>
      <c r="BL65" s="301">
        <f t="shared" ca="1" si="349"/>
        <v>164.01356445063544</v>
      </c>
      <c r="BM65" s="301">
        <f t="shared" ca="1" si="349"/>
        <v>150.63221477029154</v>
      </c>
      <c r="BN65" s="301">
        <f t="shared" ca="1" si="349"/>
        <v>167.93707473604942</v>
      </c>
      <c r="BO65" s="301">
        <f t="shared" ca="1" si="349"/>
        <v>163.69427963172589</v>
      </c>
      <c r="BP65" s="301">
        <f t="shared" ca="1" si="349"/>
        <v>170.37325605050032</v>
      </c>
      <c r="BQ65" s="301">
        <f t="shared" ca="1" si="349"/>
        <v>166.69799227220145</v>
      </c>
      <c r="BR65" s="301">
        <f t="shared" ca="1" si="349"/>
        <v>173.49952475059899</v>
      </c>
      <c r="BS65" s="301">
        <f t="shared" ca="1" si="349"/>
        <v>174.77406135486342</v>
      </c>
      <c r="BT65" s="301">
        <f t="shared" ca="1" si="349"/>
        <v>170.3585352832998</v>
      </c>
      <c r="BU65" s="301">
        <f t="shared" ref="BU65:CZ69" ca="1" si="350">BU53</f>
        <v>177.3094235028145</v>
      </c>
      <c r="BV65" s="301">
        <f t="shared" ca="1" si="350"/>
        <v>172.82984354603272</v>
      </c>
      <c r="BW65" s="301">
        <f t="shared" ca="1" si="350"/>
        <v>179.88156491406946</v>
      </c>
      <c r="BX65" s="301">
        <f t="shared" ca="1" si="350"/>
        <v>181.20298431994343</v>
      </c>
      <c r="BY65" s="301">
        <f t="shared" ca="1" si="350"/>
        <v>164.81107279122514</v>
      </c>
      <c r="BZ65" s="301">
        <f t="shared" ca="1" si="350"/>
        <v>183.74482172273838</v>
      </c>
      <c r="CA65" s="301">
        <f t="shared" ca="1" si="350"/>
        <v>179.10265660657606</v>
      </c>
      <c r="CB65" s="301">
        <f t="shared" ca="1" si="350"/>
        <v>186.41031832026817</v>
      </c>
      <c r="CC65" s="301">
        <f t="shared" ca="1" si="350"/>
        <v>181.70081157669949</v>
      </c>
      <c r="CD65" s="301">
        <f t="shared" ca="1" si="350"/>
        <v>189.11448197815278</v>
      </c>
      <c r="CE65" s="301">
        <f t="shared" ca="1" si="350"/>
        <v>190.50372687680101</v>
      </c>
      <c r="CF65" s="301">
        <f t="shared" ca="1" si="350"/>
        <v>185.69080345879667</v>
      </c>
      <c r="CG65" s="301">
        <f t="shared" ca="1" si="350"/>
        <v>193.26727161806767</v>
      </c>
      <c r="CH65" s="301">
        <f t="shared" ca="1" si="350"/>
        <v>188.38452946517555</v>
      </c>
      <c r="CI65" s="301">
        <f t="shared" ca="1" si="350"/>
        <v>196.07090575633561</v>
      </c>
      <c r="CJ65" s="301">
        <f t="shared" ca="1" si="350"/>
        <v>197.51125290873821</v>
      </c>
      <c r="CK65" s="301">
        <f t="shared" ca="1" si="350"/>
        <v>179.64406934243533</v>
      </c>
      <c r="CL65" s="301">
        <f t="shared" ca="1" si="350"/>
        <v>200.28185567778473</v>
      </c>
      <c r="CM65" s="301">
        <f t="shared" ca="1" si="350"/>
        <v>195.22189570116782</v>
      </c>
      <c r="CN65" s="301">
        <f t="shared" ca="1" si="350"/>
        <v>203.1872469690922</v>
      </c>
      <c r="CO65" s="301">
        <f t="shared" ca="1" si="350"/>
        <v>198.05388461860235</v>
      </c>
      <c r="CP65" s="301">
        <f t="shared" ca="1" si="350"/>
        <v>206.13478535618646</v>
      </c>
      <c r="CQ65" s="301">
        <f t="shared" ca="1" si="350"/>
        <v>207.64906229571301</v>
      </c>
      <c r="CR65" s="301">
        <f t="shared" ca="1" si="350"/>
        <v>202.40297577008829</v>
      </c>
      <c r="CS65" s="301">
        <f t="shared" ca="1" si="350"/>
        <v>210.66132606369371</v>
      </c>
      <c r="CT65" s="301">
        <f t="shared" ca="1" si="350"/>
        <v>205.3391371170413</v>
      </c>
      <c r="CU65" s="301">
        <f t="shared" ca="1" si="350"/>
        <v>213.71728727440572</v>
      </c>
      <c r="CV65" s="301">
        <f t="shared" ca="1" si="350"/>
        <v>215.28726567052456</v>
      </c>
      <c r="CW65" s="301">
        <f t="shared" ca="1" si="350"/>
        <v>202.82929233557758</v>
      </c>
      <c r="CX65" s="301">
        <f t="shared" ca="1" si="350"/>
        <v>218.35877182475679</v>
      </c>
      <c r="CY65" s="301">
        <f t="shared" ca="1" si="350"/>
        <v>212.84211310279022</v>
      </c>
      <c r="CZ65" s="301">
        <f t="shared" ca="1" si="350"/>
        <v>221.5263961304797</v>
      </c>
      <c r="DA65" s="301">
        <f t="shared" ref="DA65:EE65" ca="1" si="351">DA53</f>
        <v>215.92970992847171</v>
      </c>
      <c r="DB65" s="301">
        <f t="shared" ca="1" si="351"/>
        <v>224.73997161855431</v>
      </c>
      <c r="DC65" s="301">
        <f t="shared" ca="1" si="351"/>
        <v>226.39092323171258</v>
      </c>
      <c r="DD65" s="301">
        <f t="shared" ca="1" si="351"/>
        <v>220.67133866552621</v>
      </c>
      <c r="DE65" s="301">
        <f t="shared" ca="1" si="351"/>
        <v>229.6750660441632</v>
      </c>
      <c r="DF65" s="301">
        <f t="shared" ca="1" si="351"/>
        <v>223.87251025159063</v>
      </c>
      <c r="DG65" s="301">
        <f t="shared" ca="1" si="351"/>
        <v>233.006850316168</v>
      </c>
      <c r="DH65" s="301">
        <f t="shared" ca="1" si="351"/>
        <v>30.420200929318717</v>
      </c>
      <c r="DI65" s="301">
        <f t="shared" si="351"/>
        <v>0</v>
      </c>
      <c r="DJ65" s="301">
        <f t="shared" si="351"/>
        <v>0</v>
      </c>
      <c r="DK65" s="301">
        <f t="shared" si="351"/>
        <v>0</v>
      </c>
      <c r="DL65" s="301">
        <f t="shared" si="351"/>
        <v>0</v>
      </c>
      <c r="DM65" s="301">
        <f t="shared" si="351"/>
        <v>0</v>
      </c>
      <c r="DN65" s="301">
        <f t="shared" si="351"/>
        <v>0</v>
      </c>
      <c r="DO65" s="301">
        <f t="shared" si="351"/>
        <v>0</v>
      </c>
      <c r="DP65" s="301">
        <f t="shared" si="351"/>
        <v>0</v>
      </c>
      <c r="DQ65" s="301">
        <f t="shared" si="351"/>
        <v>0</v>
      </c>
      <c r="DR65" s="301">
        <f t="shared" si="351"/>
        <v>0</v>
      </c>
      <c r="DS65" s="301">
        <f t="shared" si="351"/>
        <v>0</v>
      </c>
      <c r="DT65" s="301">
        <f t="shared" si="351"/>
        <v>0</v>
      </c>
      <c r="DU65" s="301">
        <f t="shared" si="351"/>
        <v>0</v>
      </c>
      <c r="DV65" s="301">
        <f t="shared" si="351"/>
        <v>0</v>
      </c>
      <c r="DW65" s="301">
        <f t="shared" si="351"/>
        <v>0</v>
      </c>
      <c r="DX65" s="301">
        <f t="shared" si="351"/>
        <v>0</v>
      </c>
      <c r="DY65" s="301">
        <f t="shared" si="351"/>
        <v>0</v>
      </c>
      <c r="DZ65" s="301">
        <f t="shared" si="351"/>
        <v>0</v>
      </c>
      <c r="EA65" s="301">
        <f t="shared" si="351"/>
        <v>0</v>
      </c>
      <c r="EB65" s="301">
        <f t="shared" si="351"/>
        <v>0</v>
      </c>
      <c r="EC65" s="301">
        <f t="shared" si="351"/>
        <v>0</v>
      </c>
      <c r="ED65" s="301">
        <f t="shared" si="351"/>
        <v>0</v>
      </c>
      <c r="EE65" s="301">
        <f t="shared" si="351"/>
        <v>0</v>
      </c>
    </row>
    <row r="66" spans="2:135">
      <c r="C66" s="265" t="str">
        <f t="shared" si="314"/>
        <v>Paid Preference - Tier 1</v>
      </c>
      <c r="G66" s="301">
        <f t="shared" ca="1" si="348"/>
        <v>0</v>
      </c>
      <c r="H66" s="301"/>
      <c r="I66" s="301">
        <f t="shared" si="349"/>
        <v>0</v>
      </c>
      <c r="J66" s="301">
        <f t="shared" si="349"/>
        <v>0</v>
      </c>
      <c r="K66" s="301">
        <f t="shared" ca="1" si="349"/>
        <v>0</v>
      </c>
      <c r="L66" s="301">
        <f t="shared" ca="1" si="349"/>
        <v>0</v>
      </c>
      <c r="M66" s="301">
        <f t="shared" ca="1" si="349"/>
        <v>0</v>
      </c>
      <c r="N66" s="301">
        <f t="shared" ca="1" si="349"/>
        <v>0</v>
      </c>
      <c r="O66" s="301">
        <f t="shared" ca="1" si="349"/>
        <v>0</v>
      </c>
      <c r="P66" s="301">
        <f t="shared" ca="1" si="349"/>
        <v>0</v>
      </c>
      <c r="Q66" s="301">
        <f t="shared" ca="1" si="349"/>
        <v>0</v>
      </c>
      <c r="R66" s="301">
        <f t="shared" ca="1" si="349"/>
        <v>0</v>
      </c>
      <c r="S66" s="301">
        <f t="shared" ca="1" si="349"/>
        <v>0</v>
      </c>
      <c r="T66" s="301">
        <f t="shared" ca="1" si="349"/>
        <v>0</v>
      </c>
      <c r="U66" s="301">
        <f t="shared" ca="1" si="349"/>
        <v>0</v>
      </c>
      <c r="V66" s="301">
        <f t="shared" ca="1" si="349"/>
        <v>0</v>
      </c>
      <c r="W66" s="301">
        <f t="shared" ca="1" si="349"/>
        <v>0</v>
      </c>
      <c r="X66" s="301">
        <f t="shared" ca="1" si="349"/>
        <v>0</v>
      </c>
      <c r="Y66" s="301">
        <f t="shared" ca="1" si="349"/>
        <v>0</v>
      </c>
      <c r="Z66" s="301">
        <f t="shared" ca="1" si="349"/>
        <v>0</v>
      </c>
      <c r="AA66" s="301">
        <f t="shared" ca="1" si="349"/>
        <v>0</v>
      </c>
      <c r="AB66" s="301">
        <f t="shared" ca="1" si="349"/>
        <v>0</v>
      </c>
      <c r="AC66" s="301">
        <f t="shared" ca="1" si="349"/>
        <v>0</v>
      </c>
      <c r="AD66" s="301">
        <f t="shared" ca="1" si="349"/>
        <v>0</v>
      </c>
      <c r="AE66" s="301">
        <f t="shared" ca="1" si="349"/>
        <v>0</v>
      </c>
      <c r="AF66" s="301">
        <f t="shared" ca="1" si="349"/>
        <v>0</v>
      </c>
      <c r="AG66" s="301">
        <f t="shared" ca="1" si="349"/>
        <v>0</v>
      </c>
      <c r="AH66" s="301">
        <f t="shared" ca="1" si="349"/>
        <v>0</v>
      </c>
      <c r="AI66" s="301">
        <f t="shared" ca="1" si="349"/>
        <v>0</v>
      </c>
      <c r="AJ66" s="301">
        <f t="shared" ca="1" si="349"/>
        <v>0</v>
      </c>
      <c r="AK66" s="301">
        <f t="shared" ca="1" si="349"/>
        <v>0</v>
      </c>
      <c r="AL66" s="301">
        <f t="shared" ca="1" si="349"/>
        <v>0</v>
      </c>
      <c r="AM66" s="301">
        <f t="shared" ca="1" si="349"/>
        <v>0</v>
      </c>
      <c r="AN66" s="301">
        <f t="shared" ca="1" si="349"/>
        <v>0</v>
      </c>
      <c r="AO66" s="301">
        <f t="shared" ca="1" si="349"/>
        <v>0</v>
      </c>
      <c r="AP66" s="301">
        <f t="shared" ca="1" si="349"/>
        <v>0</v>
      </c>
      <c r="AQ66" s="301">
        <f t="shared" ca="1" si="349"/>
        <v>0</v>
      </c>
      <c r="AR66" s="301">
        <f t="shared" ca="1" si="349"/>
        <v>0</v>
      </c>
      <c r="AS66" s="301">
        <f t="shared" ca="1" si="349"/>
        <v>0</v>
      </c>
      <c r="AT66" s="301">
        <f t="shared" ca="1" si="349"/>
        <v>0</v>
      </c>
      <c r="AU66" s="301">
        <f t="shared" ca="1" si="349"/>
        <v>0</v>
      </c>
      <c r="AV66" s="301">
        <f t="shared" ca="1" si="349"/>
        <v>0</v>
      </c>
      <c r="AW66" s="301">
        <f t="shared" ca="1" si="349"/>
        <v>0</v>
      </c>
      <c r="AX66" s="301">
        <f t="shared" ca="1" si="349"/>
        <v>0</v>
      </c>
      <c r="AY66" s="301">
        <f t="shared" ca="1" si="349"/>
        <v>0</v>
      </c>
      <c r="AZ66" s="301">
        <f t="shared" ca="1" si="349"/>
        <v>0</v>
      </c>
      <c r="BA66" s="301">
        <f t="shared" ca="1" si="349"/>
        <v>0</v>
      </c>
      <c r="BB66" s="301">
        <f t="shared" ca="1" si="349"/>
        <v>0</v>
      </c>
      <c r="BC66" s="301">
        <f t="shared" ca="1" si="349"/>
        <v>0</v>
      </c>
      <c r="BD66" s="301">
        <f t="shared" ca="1" si="349"/>
        <v>0</v>
      </c>
      <c r="BE66" s="301">
        <f t="shared" ca="1" si="349"/>
        <v>0</v>
      </c>
      <c r="BF66" s="301">
        <f t="shared" ca="1" si="349"/>
        <v>0</v>
      </c>
      <c r="BG66" s="301">
        <f t="shared" ca="1" si="349"/>
        <v>0</v>
      </c>
      <c r="BH66" s="301">
        <f t="shared" ca="1" si="349"/>
        <v>0</v>
      </c>
      <c r="BI66" s="301">
        <f t="shared" ca="1" si="349"/>
        <v>0</v>
      </c>
      <c r="BJ66" s="301">
        <f t="shared" ca="1" si="349"/>
        <v>0</v>
      </c>
      <c r="BK66" s="301">
        <f t="shared" ca="1" si="349"/>
        <v>0</v>
      </c>
      <c r="BL66" s="301">
        <f t="shared" ca="1" si="349"/>
        <v>0</v>
      </c>
      <c r="BM66" s="301">
        <f t="shared" ca="1" si="349"/>
        <v>0</v>
      </c>
      <c r="BN66" s="301">
        <f t="shared" ca="1" si="349"/>
        <v>0</v>
      </c>
      <c r="BO66" s="301">
        <f t="shared" ca="1" si="349"/>
        <v>0</v>
      </c>
      <c r="BP66" s="301">
        <f t="shared" ca="1" si="349"/>
        <v>0</v>
      </c>
      <c r="BQ66" s="301">
        <f t="shared" ca="1" si="349"/>
        <v>0</v>
      </c>
      <c r="BR66" s="301">
        <f t="shared" ca="1" si="349"/>
        <v>0</v>
      </c>
      <c r="BS66" s="301">
        <f t="shared" ca="1" si="349"/>
        <v>0</v>
      </c>
      <c r="BT66" s="301">
        <f t="shared" ca="1" si="349"/>
        <v>0</v>
      </c>
      <c r="BU66" s="301">
        <f t="shared" ca="1" si="350"/>
        <v>0</v>
      </c>
      <c r="BV66" s="301">
        <f t="shared" ca="1" si="350"/>
        <v>0</v>
      </c>
      <c r="BW66" s="301">
        <f t="shared" ca="1" si="350"/>
        <v>0</v>
      </c>
      <c r="BX66" s="301">
        <f t="shared" ca="1" si="350"/>
        <v>0</v>
      </c>
      <c r="BY66" s="301">
        <f t="shared" ca="1" si="350"/>
        <v>0</v>
      </c>
      <c r="BZ66" s="301">
        <f t="shared" ca="1" si="350"/>
        <v>0</v>
      </c>
      <c r="CA66" s="301">
        <f t="shared" ca="1" si="350"/>
        <v>0</v>
      </c>
      <c r="CB66" s="301">
        <f t="shared" ca="1" si="350"/>
        <v>0</v>
      </c>
      <c r="CC66" s="301">
        <f t="shared" ca="1" si="350"/>
        <v>0</v>
      </c>
      <c r="CD66" s="301">
        <f t="shared" ca="1" si="350"/>
        <v>0</v>
      </c>
      <c r="CE66" s="301">
        <f t="shared" ca="1" si="350"/>
        <v>0</v>
      </c>
      <c r="CF66" s="301">
        <f t="shared" ca="1" si="350"/>
        <v>0</v>
      </c>
      <c r="CG66" s="301">
        <f t="shared" ca="1" si="350"/>
        <v>0</v>
      </c>
      <c r="CH66" s="301">
        <f t="shared" ca="1" si="350"/>
        <v>0</v>
      </c>
      <c r="CI66" s="301">
        <f t="shared" ca="1" si="350"/>
        <v>0</v>
      </c>
      <c r="CJ66" s="301">
        <f t="shared" ca="1" si="350"/>
        <v>0</v>
      </c>
      <c r="CK66" s="301">
        <f t="shared" ca="1" si="350"/>
        <v>0</v>
      </c>
      <c r="CL66" s="301">
        <f t="shared" ca="1" si="350"/>
        <v>0</v>
      </c>
      <c r="CM66" s="301">
        <f t="shared" ca="1" si="350"/>
        <v>0</v>
      </c>
      <c r="CN66" s="301">
        <f t="shared" ca="1" si="350"/>
        <v>0</v>
      </c>
      <c r="CO66" s="301">
        <f t="shared" ca="1" si="350"/>
        <v>0</v>
      </c>
      <c r="CP66" s="301">
        <f t="shared" ca="1" si="350"/>
        <v>0</v>
      </c>
      <c r="CQ66" s="301">
        <f t="shared" ca="1" si="350"/>
        <v>0</v>
      </c>
      <c r="CR66" s="301">
        <f t="shared" ca="1" si="350"/>
        <v>0</v>
      </c>
      <c r="CS66" s="301">
        <f t="shared" ca="1" si="350"/>
        <v>0</v>
      </c>
      <c r="CT66" s="301">
        <f t="shared" ca="1" si="350"/>
        <v>0</v>
      </c>
      <c r="CU66" s="301">
        <f t="shared" ca="1" si="350"/>
        <v>0</v>
      </c>
      <c r="CV66" s="301">
        <f t="shared" ca="1" si="350"/>
        <v>0</v>
      </c>
      <c r="CW66" s="301">
        <f t="shared" ca="1" si="350"/>
        <v>0</v>
      </c>
      <c r="CX66" s="301">
        <f t="shared" ca="1" si="350"/>
        <v>0</v>
      </c>
      <c r="CY66" s="301">
        <f t="shared" ca="1" si="350"/>
        <v>0</v>
      </c>
      <c r="CZ66" s="301">
        <f t="shared" ca="1" si="350"/>
        <v>0</v>
      </c>
      <c r="DA66" s="301">
        <f t="shared" ref="DA66:EE66" ca="1" si="352">DA54</f>
        <v>0</v>
      </c>
      <c r="DB66" s="301">
        <f t="shared" ca="1" si="352"/>
        <v>0</v>
      </c>
      <c r="DC66" s="301">
        <f t="shared" ca="1" si="352"/>
        <v>0</v>
      </c>
      <c r="DD66" s="301">
        <f t="shared" ca="1" si="352"/>
        <v>0</v>
      </c>
      <c r="DE66" s="301">
        <f t="shared" ca="1" si="352"/>
        <v>0</v>
      </c>
      <c r="DF66" s="301">
        <f t="shared" ca="1" si="352"/>
        <v>0</v>
      </c>
      <c r="DG66" s="301">
        <f t="shared" ca="1" si="352"/>
        <v>0</v>
      </c>
      <c r="DH66" s="301">
        <f t="shared" ca="1" si="352"/>
        <v>0</v>
      </c>
      <c r="DI66" s="301">
        <f t="shared" ca="1" si="352"/>
        <v>0</v>
      </c>
      <c r="DJ66" s="301">
        <f t="shared" ca="1" si="352"/>
        <v>0</v>
      </c>
      <c r="DK66" s="301">
        <f t="shared" ca="1" si="352"/>
        <v>0</v>
      </c>
      <c r="DL66" s="301">
        <f t="shared" ca="1" si="352"/>
        <v>0</v>
      </c>
      <c r="DM66" s="301">
        <f t="shared" ca="1" si="352"/>
        <v>0</v>
      </c>
      <c r="DN66" s="301">
        <f t="shared" ca="1" si="352"/>
        <v>0</v>
      </c>
      <c r="DO66" s="301">
        <f t="shared" ca="1" si="352"/>
        <v>0</v>
      </c>
      <c r="DP66" s="301">
        <f t="shared" ca="1" si="352"/>
        <v>0</v>
      </c>
      <c r="DQ66" s="301">
        <f t="shared" ca="1" si="352"/>
        <v>0</v>
      </c>
      <c r="DR66" s="301">
        <f t="shared" ca="1" si="352"/>
        <v>0</v>
      </c>
      <c r="DS66" s="301">
        <f t="shared" ca="1" si="352"/>
        <v>0</v>
      </c>
      <c r="DT66" s="301">
        <f t="shared" ca="1" si="352"/>
        <v>0</v>
      </c>
      <c r="DU66" s="301">
        <f t="shared" ca="1" si="352"/>
        <v>0</v>
      </c>
      <c r="DV66" s="301">
        <f t="shared" ca="1" si="352"/>
        <v>0</v>
      </c>
      <c r="DW66" s="301">
        <f t="shared" ca="1" si="352"/>
        <v>0</v>
      </c>
      <c r="DX66" s="301">
        <f t="shared" ca="1" si="352"/>
        <v>0</v>
      </c>
      <c r="DY66" s="301">
        <f t="shared" ca="1" si="352"/>
        <v>0</v>
      </c>
      <c r="DZ66" s="301">
        <f t="shared" ca="1" si="352"/>
        <v>0</v>
      </c>
      <c r="EA66" s="301">
        <f t="shared" ca="1" si="352"/>
        <v>0</v>
      </c>
      <c r="EB66" s="301">
        <f t="shared" ca="1" si="352"/>
        <v>0</v>
      </c>
      <c r="EC66" s="301">
        <f t="shared" ca="1" si="352"/>
        <v>0</v>
      </c>
      <c r="ED66" s="301">
        <f t="shared" ca="1" si="352"/>
        <v>0</v>
      </c>
      <c r="EE66" s="301">
        <f t="shared" ca="1" si="352"/>
        <v>0</v>
      </c>
    </row>
    <row r="67" spans="2:135">
      <c r="C67" s="265" t="str">
        <f t="shared" si="314"/>
        <v>Paid Preference - Tier 2</v>
      </c>
      <c r="G67" s="301">
        <f t="shared" ca="1" si="348"/>
        <v>0</v>
      </c>
      <c r="H67" s="301"/>
      <c r="I67" s="301">
        <f t="shared" si="349"/>
        <v>0</v>
      </c>
      <c r="J67" s="301">
        <f t="shared" si="349"/>
        <v>0</v>
      </c>
      <c r="K67" s="301">
        <f t="shared" ca="1" si="349"/>
        <v>0</v>
      </c>
      <c r="L67" s="301">
        <f t="shared" ca="1" si="349"/>
        <v>0</v>
      </c>
      <c r="M67" s="301">
        <f t="shared" ca="1" si="349"/>
        <v>0</v>
      </c>
      <c r="N67" s="301">
        <f t="shared" ca="1" si="349"/>
        <v>0</v>
      </c>
      <c r="O67" s="301">
        <f t="shared" ca="1" si="349"/>
        <v>0</v>
      </c>
      <c r="P67" s="301">
        <f t="shared" ca="1" si="349"/>
        <v>0</v>
      </c>
      <c r="Q67" s="301">
        <f t="shared" ca="1" si="349"/>
        <v>0</v>
      </c>
      <c r="R67" s="301">
        <f t="shared" ca="1" si="349"/>
        <v>0</v>
      </c>
      <c r="S67" s="301">
        <f t="shared" ca="1" si="349"/>
        <v>0</v>
      </c>
      <c r="T67" s="301">
        <f t="shared" ca="1" si="349"/>
        <v>0</v>
      </c>
      <c r="U67" s="301">
        <f t="shared" ca="1" si="349"/>
        <v>0</v>
      </c>
      <c r="V67" s="301">
        <f t="shared" ca="1" si="349"/>
        <v>0</v>
      </c>
      <c r="W67" s="301">
        <f t="shared" ca="1" si="349"/>
        <v>0</v>
      </c>
      <c r="X67" s="301">
        <f t="shared" ca="1" si="349"/>
        <v>0</v>
      </c>
      <c r="Y67" s="301">
        <f t="shared" ca="1" si="349"/>
        <v>0</v>
      </c>
      <c r="Z67" s="301">
        <f t="shared" ca="1" si="349"/>
        <v>0</v>
      </c>
      <c r="AA67" s="301">
        <f t="shared" ca="1" si="349"/>
        <v>0</v>
      </c>
      <c r="AB67" s="301">
        <f t="shared" ca="1" si="349"/>
        <v>0</v>
      </c>
      <c r="AC67" s="301">
        <f t="shared" ca="1" si="349"/>
        <v>0</v>
      </c>
      <c r="AD67" s="301">
        <f t="shared" ca="1" si="349"/>
        <v>0</v>
      </c>
      <c r="AE67" s="301">
        <f t="shared" ca="1" si="349"/>
        <v>0</v>
      </c>
      <c r="AF67" s="301">
        <f t="shared" ca="1" si="349"/>
        <v>0</v>
      </c>
      <c r="AG67" s="301">
        <f t="shared" ca="1" si="349"/>
        <v>0</v>
      </c>
      <c r="AH67" s="301">
        <f t="shared" ca="1" si="349"/>
        <v>0</v>
      </c>
      <c r="AI67" s="301">
        <f t="shared" ca="1" si="349"/>
        <v>0</v>
      </c>
      <c r="AJ67" s="301">
        <f t="shared" ca="1" si="349"/>
        <v>0</v>
      </c>
      <c r="AK67" s="301">
        <f t="shared" ca="1" si="349"/>
        <v>0</v>
      </c>
      <c r="AL67" s="301">
        <f t="shared" ca="1" si="349"/>
        <v>0</v>
      </c>
      <c r="AM67" s="301">
        <f t="shared" ca="1" si="349"/>
        <v>0</v>
      </c>
      <c r="AN67" s="301">
        <f t="shared" ca="1" si="349"/>
        <v>0</v>
      </c>
      <c r="AO67" s="301">
        <f t="shared" ca="1" si="349"/>
        <v>0</v>
      </c>
      <c r="AP67" s="301">
        <f t="shared" ca="1" si="349"/>
        <v>0</v>
      </c>
      <c r="AQ67" s="301">
        <f t="shared" ca="1" si="349"/>
        <v>0</v>
      </c>
      <c r="AR67" s="301">
        <f t="shared" ca="1" si="349"/>
        <v>0</v>
      </c>
      <c r="AS67" s="301">
        <f t="shared" ca="1" si="349"/>
        <v>0</v>
      </c>
      <c r="AT67" s="301">
        <f t="shared" ca="1" si="349"/>
        <v>0</v>
      </c>
      <c r="AU67" s="301">
        <f t="shared" ca="1" si="349"/>
        <v>0</v>
      </c>
      <c r="AV67" s="301">
        <f t="shared" ca="1" si="349"/>
        <v>0</v>
      </c>
      <c r="AW67" s="301">
        <f t="shared" ca="1" si="349"/>
        <v>0</v>
      </c>
      <c r="AX67" s="301">
        <f t="shared" ca="1" si="349"/>
        <v>0</v>
      </c>
      <c r="AY67" s="301">
        <f t="shared" ca="1" si="349"/>
        <v>0</v>
      </c>
      <c r="AZ67" s="301">
        <f t="shared" ca="1" si="349"/>
        <v>0</v>
      </c>
      <c r="BA67" s="301">
        <f t="shared" ca="1" si="349"/>
        <v>0</v>
      </c>
      <c r="BB67" s="301">
        <f t="shared" ca="1" si="349"/>
        <v>0</v>
      </c>
      <c r="BC67" s="301">
        <f t="shared" ca="1" si="349"/>
        <v>0</v>
      </c>
      <c r="BD67" s="301">
        <f t="shared" ca="1" si="349"/>
        <v>0</v>
      </c>
      <c r="BE67" s="301">
        <f t="shared" ca="1" si="349"/>
        <v>0</v>
      </c>
      <c r="BF67" s="301">
        <f t="shared" ca="1" si="349"/>
        <v>0</v>
      </c>
      <c r="BG67" s="301">
        <f t="shared" ca="1" si="349"/>
        <v>0</v>
      </c>
      <c r="BH67" s="301">
        <f t="shared" ca="1" si="349"/>
        <v>0</v>
      </c>
      <c r="BI67" s="301">
        <f t="shared" ca="1" si="349"/>
        <v>0</v>
      </c>
      <c r="BJ67" s="301">
        <f t="shared" ca="1" si="349"/>
        <v>0</v>
      </c>
      <c r="BK67" s="301">
        <f t="shared" ca="1" si="349"/>
        <v>0</v>
      </c>
      <c r="BL67" s="301">
        <f t="shared" ca="1" si="349"/>
        <v>0</v>
      </c>
      <c r="BM67" s="301">
        <f t="shared" ca="1" si="349"/>
        <v>0</v>
      </c>
      <c r="BN67" s="301">
        <f t="shared" ca="1" si="349"/>
        <v>0</v>
      </c>
      <c r="BO67" s="301">
        <f t="shared" ca="1" si="349"/>
        <v>0</v>
      </c>
      <c r="BP67" s="301">
        <f t="shared" ca="1" si="349"/>
        <v>0</v>
      </c>
      <c r="BQ67" s="301">
        <f t="shared" ca="1" si="349"/>
        <v>0</v>
      </c>
      <c r="BR67" s="301">
        <f t="shared" ca="1" si="349"/>
        <v>0</v>
      </c>
      <c r="BS67" s="301">
        <f t="shared" ca="1" si="349"/>
        <v>0</v>
      </c>
      <c r="BT67" s="301">
        <f t="shared" ca="1" si="349"/>
        <v>0</v>
      </c>
      <c r="BU67" s="301">
        <f t="shared" ca="1" si="350"/>
        <v>0</v>
      </c>
      <c r="BV67" s="301">
        <f t="shared" ca="1" si="350"/>
        <v>0</v>
      </c>
      <c r="BW67" s="301">
        <f t="shared" ca="1" si="350"/>
        <v>0</v>
      </c>
      <c r="BX67" s="301">
        <f t="shared" ca="1" si="350"/>
        <v>0</v>
      </c>
      <c r="BY67" s="301">
        <f t="shared" ca="1" si="350"/>
        <v>0</v>
      </c>
      <c r="BZ67" s="301">
        <f t="shared" ca="1" si="350"/>
        <v>0</v>
      </c>
      <c r="CA67" s="301">
        <f t="shared" ca="1" si="350"/>
        <v>0</v>
      </c>
      <c r="CB67" s="301">
        <f t="shared" ca="1" si="350"/>
        <v>0</v>
      </c>
      <c r="CC67" s="301">
        <f t="shared" ca="1" si="350"/>
        <v>0</v>
      </c>
      <c r="CD67" s="301">
        <f t="shared" ca="1" si="350"/>
        <v>0</v>
      </c>
      <c r="CE67" s="301">
        <f t="shared" ca="1" si="350"/>
        <v>0</v>
      </c>
      <c r="CF67" s="301">
        <f t="shared" ca="1" si="350"/>
        <v>0</v>
      </c>
      <c r="CG67" s="301">
        <f t="shared" ca="1" si="350"/>
        <v>0</v>
      </c>
      <c r="CH67" s="301">
        <f t="shared" ca="1" si="350"/>
        <v>0</v>
      </c>
      <c r="CI67" s="301">
        <f t="shared" ca="1" si="350"/>
        <v>0</v>
      </c>
      <c r="CJ67" s="301">
        <f t="shared" ca="1" si="350"/>
        <v>0</v>
      </c>
      <c r="CK67" s="301">
        <f t="shared" ca="1" si="350"/>
        <v>0</v>
      </c>
      <c r="CL67" s="301">
        <f t="shared" ca="1" si="350"/>
        <v>0</v>
      </c>
      <c r="CM67" s="301">
        <f t="shared" ca="1" si="350"/>
        <v>0</v>
      </c>
      <c r="CN67" s="301">
        <f t="shared" ca="1" si="350"/>
        <v>0</v>
      </c>
      <c r="CO67" s="301">
        <f t="shared" ca="1" si="350"/>
        <v>0</v>
      </c>
      <c r="CP67" s="301">
        <f t="shared" ca="1" si="350"/>
        <v>0</v>
      </c>
      <c r="CQ67" s="301">
        <f t="shared" ca="1" si="350"/>
        <v>0</v>
      </c>
      <c r="CR67" s="301">
        <f t="shared" ca="1" si="350"/>
        <v>0</v>
      </c>
      <c r="CS67" s="301">
        <f t="shared" ca="1" si="350"/>
        <v>0</v>
      </c>
      <c r="CT67" s="301">
        <f t="shared" ca="1" si="350"/>
        <v>0</v>
      </c>
      <c r="CU67" s="301">
        <f t="shared" ca="1" si="350"/>
        <v>0</v>
      </c>
      <c r="CV67" s="301">
        <f t="shared" ca="1" si="350"/>
        <v>0</v>
      </c>
      <c r="CW67" s="301">
        <f t="shared" ca="1" si="350"/>
        <v>0</v>
      </c>
      <c r="CX67" s="301">
        <f t="shared" ca="1" si="350"/>
        <v>0</v>
      </c>
      <c r="CY67" s="301">
        <f t="shared" ca="1" si="350"/>
        <v>0</v>
      </c>
      <c r="CZ67" s="301">
        <f t="shared" ca="1" si="350"/>
        <v>0</v>
      </c>
      <c r="DA67" s="301">
        <f t="shared" ref="DA67:EE67" ca="1" si="353">DA55</f>
        <v>0</v>
      </c>
      <c r="DB67" s="301">
        <f t="shared" ca="1" si="353"/>
        <v>0</v>
      </c>
      <c r="DC67" s="301">
        <f t="shared" ca="1" si="353"/>
        <v>0</v>
      </c>
      <c r="DD67" s="301">
        <f t="shared" ca="1" si="353"/>
        <v>0</v>
      </c>
      <c r="DE67" s="301">
        <f t="shared" ca="1" si="353"/>
        <v>0</v>
      </c>
      <c r="DF67" s="301">
        <f t="shared" ca="1" si="353"/>
        <v>0</v>
      </c>
      <c r="DG67" s="301">
        <f t="shared" ca="1" si="353"/>
        <v>0</v>
      </c>
      <c r="DH67" s="301">
        <f t="shared" ca="1" si="353"/>
        <v>0</v>
      </c>
      <c r="DI67" s="301">
        <f t="shared" ca="1" si="353"/>
        <v>0</v>
      </c>
      <c r="DJ67" s="301">
        <f t="shared" ca="1" si="353"/>
        <v>0</v>
      </c>
      <c r="DK67" s="301">
        <f t="shared" ca="1" si="353"/>
        <v>0</v>
      </c>
      <c r="DL67" s="301">
        <f t="shared" ca="1" si="353"/>
        <v>0</v>
      </c>
      <c r="DM67" s="301">
        <f t="shared" ca="1" si="353"/>
        <v>0</v>
      </c>
      <c r="DN67" s="301">
        <f t="shared" ca="1" si="353"/>
        <v>0</v>
      </c>
      <c r="DO67" s="301">
        <f t="shared" ca="1" si="353"/>
        <v>0</v>
      </c>
      <c r="DP67" s="301">
        <f t="shared" ca="1" si="353"/>
        <v>0</v>
      </c>
      <c r="DQ67" s="301">
        <f t="shared" ca="1" si="353"/>
        <v>0</v>
      </c>
      <c r="DR67" s="301">
        <f t="shared" ca="1" si="353"/>
        <v>0</v>
      </c>
      <c r="DS67" s="301">
        <f t="shared" ca="1" si="353"/>
        <v>0</v>
      </c>
      <c r="DT67" s="301">
        <f t="shared" ca="1" si="353"/>
        <v>0</v>
      </c>
      <c r="DU67" s="301">
        <f t="shared" ca="1" si="353"/>
        <v>0</v>
      </c>
      <c r="DV67" s="301">
        <f t="shared" ca="1" si="353"/>
        <v>0</v>
      </c>
      <c r="DW67" s="301">
        <f t="shared" ca="1" si="353"/>
        <v>0</v>
      </c>
      <c r="DX67" s="301">
        <f t="shared" ca="1" si="353"/>
        <v>0</v>
      </c>
      <c r="DY67" s="301">
        <f t="shared" ca="1" si="353"/>
        <v>0</v>
      </c>
      <c r="DZ67" s="301">
        <f t="shared" ca="1" si="353"/>
        <v>0</v>
      </c>
      <c r="EA67" s="301">
        <f t="shared" ca="1" si="353"/>
        <v>0</v>
      </c>
      <c r="EB67" s="301">
        <f t="shared" ca="1" si="353"/>
        <v>0</v>
      </c>
      <c r="EC67" s="301">
        <f t="shared" ca="1" si="353"/>
        <v>0</v>
      </c>
      <c r="ED67" s="301">
        <f t="shared" ca="1" si="353"/>
        <v>0</v>
      </c>
      <c r="EE67" s="301">
        <f t="shared" ca="1" si="353"/>
        <v>0</v>
      </c>
    </row>
    <row r="68" spans="2:135">
      <c r="C68" s="265" t="str">
        <f t="shared" si="314"/>
        <v>Paid Preference - Tier 3</v>
      </c>
      <c r="G68" s="301">
        <f t="shared" ca="1" si="348"/>
        <v>-16069.42275593705</v>
      </c>
      <c r="H68" s="301"/>
      <c r="I68" s="301">
        <f t="shared" si="349"/>
        <v>0</v>
      </c>
      <c r="J68" s="301">
        <f t="shared" ca="1" si="349"/>
        <v>0</v>
      </c>
      <c r="K68" s="301">
        <f t="shared" ca="1" si="349"/>
        <v>0</v>
      </c>
      <c r="L68" s="301">
        <f t="shared" ca="1" si="349"/>
        <v>0</v>
      </c>
      <c r="M68" s="301">
        <f t="shared" ca="1" si="349"/>
        <v>0</v>
      </c>
      <c r="N68" s="301">
        <f t="shared" ca="1" si="349"/>
        <v>0</v>
      </c>
      <c r="O68" s="301">
        <f t="shared" ca="1" si="349"/>
        <v>0</v>
      </c>
      <c r="P68" s="301">
        <f t="shared" ca="1" si="349"/>
        <v>0</v>
      </c>
      <c r="Q68" s="301">
        <f t="shared" ca="1" si="349"/>
        <v>0</v>
      </c>
      <c r="R68" s="301">
        <f t="shared" ca="1" si="349"/>
        <v>0</v>
      </c>
      <c r="S68" s="301">
        <f t="shared" ca="1" si="349"/>
        <v>0</v>
      </c>
      <c r="T68" s="301">
        <f t="shared" ca="1" si="349"/>
        <v>0</v>
      </c>
      <c r="U68" s="301">
        <f t="shared" ca="1" si="349"/>
        <v>0</v>
      </c>
      <c r="V68" s="301">
        <f t="shared" ca="1" si="349"/>
        <v>0</v>
      </c>
      <c r="W68" s="301">
        <f t="shared" ca="1" si="349"/>
        <v>0</v>
      </c>
      <c r="X68" s="301">
        <f t="shared" ca="1" si="349"/>
        <v>0</v>
      </c>
      <c r="Y68" s="301">
        <f t="shared" ca="1" si="349"/>
        <v>0</v>
      </c>
      <c r="Z68" s="301">
        <f t="shared" ca="1" si="349"/>
        <v>0</v>
      </c>
      <c r="AA68" s="301">
        <f t="shared" ca="1" si="349"/>
        <v>0</v>
      </c>
      <c r="AB68" s="301">
        <f t="shared" ca="1" si="349"/>
        <v>0</v>
      </c>
      <c r="AC68" s="301">
        <f t="shared" ca="1" si="349"/>
        <v>0</v>
      </c>
      <c r="AD68" s="301">
        <f t="shared" ca="1" si="349"/>
        <v>0</v>
      </c>
      <c r="AE68" s="301">
        <f t="shared" ca="1" si="349"/>
        <v>0</v>
      </c>
      <c r="AF68" s="301">
        <f t="shared" ca="1" si="349"/>
        <v>0</v>
      </c>
      <c r="AG68" s="301">
        <f t="shared" ca="1" si="349"/>
        <v>0</v>
      </c>
      <c r="AH68" s="301">
        <f t="shared" ca="1" si="349"/>
        <v>0</v>
      </c>
      <c r="AI68" s="301">
        <f t="shared" ca="1" si="349"/>
        <v>0</v>
      </c>
      <c r="AJ68" s="301">
        <f t="shared" ca="1" si="349"/>
        <v>0</v>
      </c>
      <c r="AK68" s="301">
        <f t="shared" ca="1" si="349"/>
        <v>0</v>
      </c>
      <c r="AL68" s="301">
        <f t="shared" ca="1" si="349"/>
        <v>0</v>
      </c>
      <c r="AM68" s="301">
        <f t="shared" ca="1" si="349"/>
        <v>0</v>
      </c>
      <c r="AN68" s="301">
        <f t="shared" ca="1" si="349"/>
        <v>0</v>
      </c>
      <c r="AO68" s="301">
        <f t="shared" ca="1" si="349"/>
        <v>0</v>
      </c>
      <c r="AP68" s="301">
        <f t="shared" ca="1" si="349"/>
        <v>0</v>
      </c>
      <c r="AQ68" s="301">
        <f t="shared" ca="1" si="349"/>
        <v>0</v>
      </c>
      <c r="AR68" s="301">
        <f t="shared" ca="1" si="349"/>
        <v>0</v>
      </c>
      <c r="AS68" s="301">
        <f t="shared" ca="1" si="349"/>
        <v>0</v>
      </c>
      <c r="AT68" s="301">
        <f t="shared" ca="1" si="349"/>
        <v>0</v>
      </c>
      <c r="AU68" s="301">
        <f t="shared" ca="1" si="349"/>
        <v>0</v>
      </c>
      <c r="AV68" s="301">
        <f t="shared" ca="1" si="349"/>
        <v>0</v>
      </c>
      <c r="AW68" s="301">
        <f t="shared" ca="1" si="349"/>
        <v>0</v>
      </c>
      <c r="AX68" s="301">
        <f t="shared" ca="1" si="349"/>
        <v>0</v>
      </c>
      <c r="AY68" s="301">
        <f t="shared" ca="1" si="349"/>
        <v>0</v>
      </c>
      <c r="AZ68" s="301">
        <f t="shared" ca="1" si="349"/>
        <v>0</v>
      </c>
      <c r="BA68" s="301">
        <f t="shared" ca="1" si="349"/>
        <v>0</v>
      </c>
      <c r="BB68" s="301">
        <f t="shared" ca="1" si="349"/>
        <v>0</v>
      </c>
      <c r="BC68" s="301">
        <f t="shared" ca="1" si="349"/>
        <v>0</v>
      </c>
      <c r="BD68" s="301">
        <f t="shared" ca="1" si="349"/>
        <v>0</v>
      </c>
      <c r="BE68" s="301">
        <f t="shared" ca="1" si="349"/>
        <v>0</v>
      </c>
      <c r="BF68" s="301">
        <f t="shared" ca="1" si="349"/>
        <v>0</v>
      </c>
      <c r="BG68" s="301">
        <f t="shared" ca="1" si="349"/>
        <v>0</v>
      </c>
      <c r="BH68" s="301">
        <f t="shared" ca="1" si="349"/>
        <v>0</v>
      </c>
      <c r="BI68" s="301">
        <f t="shared" ca="1" si="349"/>
        <v>0</v>
      </c>
      <c r="BJ68" s="301">
        <f t="shared" ca="1" si="349"/>
        <v>0</v>
      </c>
      <c r="BK68" s="301">
        <f t="shared" ca="1" si="349"/>
        <v>0</v>
      </c>
      <c r="BL68" s="301">
        <f t="shared" ca="1" si="349"/>
        <v>0</v>
      </c>
      <c r="BM68" s="301">
        <f t="shared" ca="1" si="349"/>
        <v>0</v>
      </c>
      <c r="BN68" s="301">
        <f t="shared" ca="1" si="349"/>
        <v>0</v>
      </c>
      <c r="BO68" s="301">
        <f t="shared" ca="1" si="349"/>
        <v>0</v>
      </c>
      <c r="BP68" s="301">
        <f t="shared" ca="1" si="349"/>
        <v>0</v>
      </c>
      <c r="BQ68" s="301">
        <f t="shared" ca="1" si="349"/>
        <v>0</v>
      </c>
      <c r="BR68" s="301">
        <f t="shared" ca="1" si="349"/>
        <v>0</v>
      </c>
      <c r="BS68" s="301">
        <f t="shared" ca="1" si="349"/>
        <v>0</v>
      </c>
      <c r="BT68" s="301">
        <f t="shared" ref="BT68" ca="1" si="354">BT56</f>
        <v>0</v>
      </c>
      <c r="BU68" s="301">
        <f t="shared" ca="1" si="350"/>
        <v>0</v>
      </c>
      <c r="BV68" s="301">
        <f t="shared" ca="1" si="350"/>
        <v>0</v>
      </c>
      <c r="BW68" s="301">
        <f t="shared" ca="1" si="350"/>
        <v>0</v>
      </c>
      <c r="BX68" s="301">
        <f t="shared" ca="1" si="350"/>
        <v>0</v>
      </c>
      <c r="BY68" s="301">
        <f t="shared" ca="1" si="350"/>
        <v>0</v>
      </c>
      <c r="BZ68" s="301">
        <f t="shared" ca="1" si="350"/>
        <v>0</v>
      </c>
      <c r="CA68" s="301">
        <f t="shared" ca="1" si="350"/>
        <v>0</v>
      </c>
      <c r="CB68" s="301">
        <f t="shared" ca="1" si="350"/>
        <v>0</v>
      </c>
      <c r="CC68" s="301">
        <f t="shared" ca="1" si="350"/>
        <v>0</v>
      </c>
      <c r="CD68" s="301">
        <f t="shared" ca="1" si="350"/>
        <v>0</v>
      </c>
      <c r="CE68" s="301">
        <f t="shared" ca="1" si="350"/>
        <v>0</v>
      </c>
      <c r="CF68" s="301">
        <f t="shared" ca="1" si="350"/>
        <v>0</v>
      </c>
      <c r="CG68" s="301">
        <f t="shared" ca="1" si="350"/>
        <v>0</v>
      </c>
      <c r="CH68" s="301">
        <f t="shared" ca="1" si="350"/>
        <v>0</v>
      </c>
      <c r="CI68" s="301">
        <f t="shared" ca="1" si="350"/>
        <v>0</v>
      </c>
      <c r="CJ68" s="301">
        <f t="shared" ca="1" si="350"/>
        <v>0</v>
      </c>
      <c r="CK68" s="301">
        <f t="shared" ca="1" si="350"/>
        <v>0</v>
      </c>
      <c r="CL68" s="301">
        <f t="shared" ca="1" si="350"/>
        <v>0</v>
      </c>
      <c r="CM68" s="301">
        <f t="shared" ca="1" si="350"/>
        <v>0</v>
      </c>
      <c r="CN68" s="301">
        <f t="shared" ca="1" si="350"/>
        <v>0</v>
      </c>
      <c r="CO68" s="301">
        <f t="shared" ca="1" si="350"/>
        <v>0</v>
      </c>
      <c r="CP68" s="301">
        <f t="shared" ca="1" si="350"/>
        <v>0</v>
      </c>
      <c r="CQ68" s="301">
        <f t="shared" ca="1" si="350"/>
        <v>0</v>
      </c>
      <c r="CR68" s="301">
        <f t="shared" ca="1" si="350"/>
        <v>0</v>
      </c>
      <c r="CS68" s="301">
        <f t="shared" ca="1" si="350"/>
        <v>0</v>
      </c>
      <c r="CT68" s="301">
        <f t="shared" ca="1" si="350"/>
        <v>0</v>
      </c>
      <c r="CU68" s="301">
        <f t="shared" ca="1" si="350"/>
        <v>0</v>
      </c>
      <c r="CV68" s="301">
        <f t="shared" ca="1" si="350"/>
        <v>0</v>
      </c>
      <c r="CW68" s="301">
        <f t="shared" ca="1" si="350"/>
        <v>0</v>
      </c>
      <c r="CX68" s="301">
        <f t="shared" ca="1" si="350"/>
        <v>0</v>
      </c>
      <c r="CY68" s="301">
        <f t="shared" ca="1" si="350"/>
        <v>0</v>
      </c>
      <c r="CZ68" s="301">
        <f t="shared" ca="1" si="350"/>
        <v>0</v>
      </c>
      <c r="DA68" s="301">
        <f t="shared" ref="DA68:EE68" ca="1" si="355">DA56</f>
        <v>0</v>
      </c>
      <c r="DB68" s="301">
        <f t="shared" ca="1" si="355"/>
        <v>0</v>
      </c>
      <c r="DC68" s="301">
        <f t="shared" ca="1" si="355"/>
        <v>0</v>
      </c>
      <c r="DD68" s="301">
        <f t="shared" ca="1" si="355"/>
        <v>0</v>
      </c>
      <c r="DE68" s="301">
        <f t="shared" ca="1" si="355"/>
        <v>0</v>
      </c>
      <c r="DF68" s="301">
        <f t="shared" ca="1" si="355"/>
        <v>0</v>
      </c>
      <c r="DG68" s="301">
        <f t="shared" ca="1" si="355"/>
        <v>-16069.42275593705</v>
      </c>
      <c r="DH68" s="301">
        <f t="shared" ca="1" si="355"/>
        <v>0</v>
      </c>
      <c r="DI68" s="301">
        <f t="shared" ca="1" si="355"/>
        <v>0</v>
      </c>
      <c r="DJ68" s="301">
        <f t="shared" ca="1" si="355"/>
        <v>0</v>
      </c>
      <c r="DK68" s="301">
        <f t="shared" ca="1" si="355"/>
        <v>0</v>
      </c>
      <c r="DL68" s="301">
        <f t="shared" ca="1" si="355"/>
        <v>0</v>
      </c>
      <c r="DM68" s="301">
        <f t="shared" ca="1" si="355"/>
        <v>0</v>
      </c>
      <c r="DN68" s="301">
        <f t="shared" ca="1" si="355"/>
        <v>0</v>
      </c>
      <c r="DO68" s="301">
        <f t="shared" ca="1" si="355"/>
        <v>0</v>
      </c>
      <c r="DP68" s="301">
        <f t="shared" ca="1" si="355"/>
        <v>0</v>
      </c>
      <c r="DQ68" s="301">
        <f t="shared" ca="1" si="355"/>
        <v>0</v>
      </c>
      <c r="DR68" s="301">
        <f t="shared" ca="1" si="355"/>
        <v>0</v>
      </c>
      <c r="DS68" s="301">
        <f t="shared" ca="1" si="355"/>
        <v>0</v>
      </c>
      <c r="DT68" s="301">
        <f t="shared" ca="1" si="355"/>
        <v>0</v>
      </c>
      <c r="DU68" s="301">
        <f t="shared" ca="1" si="355"/>
        <v>0</v>
      </c>
      <c r="DV68" s="301">
        <f t="shared" ca="1" si="355"/>
        <v>0</v>
      </c>
      <c r="DW68" s="301">
        <f t="shared" ca="1" si="355"/>
        <v>0</v>
      </c>
      <c r="DX68" s="301">
        <f t="shared" ca="1" si="355"/>
        <v>0</v>
      </c>
      <c r="DY68" s="301">
        <f t="shared" ca="1" si="355"/>
        <v>0</v>
      </c>
      <c r="DZ68" s="301">
        <f t="shared" ca="1" si="355"/>
        <v>0</v>
      </c>
      <c r="EA68" s="301">
        <f t="shared" ca="1" si="355"/>
        <v>0</v>
      </c>
      <c r="EB68" s="301">
        <f t="shared" ca="1" si="355"/>
        <v>0</v>
      </c>
      <c r="EC68" s="301">
        <f t="shared" ca="1" si="355"/>
        <v>0</v>
      </c>
      <c r="ED68" s="301">
        <f t="shared" ca="1" si="355"/>
        <v>0</v>
      </c>
      <c r="EE68" s="301">
        <f t="shared" ca="1" si="355"/>
        <v>0</v>
      </c>
    </row>
    <row r="69" spans="2:135">
      <c r="C69" s="265" t="str">
        <f t="shared" si="314"/>
        <v>Capital Contributions</v>
      </c>
      <c r="G69" s="301">
        <f t="shared" ca="1" si="348"/>
        <v>15882.232</v>
      </c>
      <c r="H69" s="301"/>
      <c r="I69" s="301">
        <f>I57</f>
        <v>13708</v>
      </c>
      <c r="J69" s="301">
        <f t="shared" ref="J69:BU69" ca="1" si="356">J57</f>
        <v>0</v>
      </c>
      <c r="K69" s="301">
        <f t="shared" ca="1" si="356"/>
        <v>0</v>
      </c>
      <c r="L69" s="301">
        <f t="shared" ca="1" si="356"/>
        <v>0</v>
      </c>
      <c r="M69" s="301">
        <f t="shared" ca="1" si="356"/>
        <v>0</v>
      </c>
      <c r="N69" s="301">
        <f t="shared" ca="1" si="356"/>
        <v>150.82499999999999</v>
      </c>
      <c r="O69" s="301">
        <f t="shared" ca="1" si="356"/>
        <v>0</v>
      </c>
      <c r="P69" s="301">
        <f t="shared" ca="1" si="356"/>
        <v>0</v>
      </c>
      <c r="Q69" s="301">
        <f t="shared" ca="1" si="356"/>
        <v>0</v>
      </c>
      <c r="R69" s="301">
        <f t="shared" ca="1" si="356"/>
        <v>0</v>
      </c>
      <c r="S69" s="301">
        <f t="shared" ca="1" si="356"/>
        <v>0</v>
      </c>
      <c r="T69" s="301">
        <f t="shared" ca="1" si="356"/>
        <v>0</v>
      </c>
      <c r="U69" s="301">
        <f t="shared" ca="1" si="356"/>
        <v>0</v>
      </c>
      <c r="V69" s="301">
        <f t="shared" ca="1" si="356"/>
        <v>79.174999999999997</v>
      </c>
      <c r="W69" s="301">
        <f t="shared" ca="1" si="356"/>
        <v>0</v>
      </c>
      <c r="X69" s="301">
        <f t="shared" ca="1" si="356"/>
        <v>0</v>
      </c>
      <c r="Y69" s="301">
        <f t="shared" ca="1" si="356"/>
        <v>0</v>
      </c>
      <c r="Z69" s="301">
        <f t="shared" ca="1" si="356"/>
        <v>0</v>
      </c>
      <c r="AA69" s="301">
        <f t="shared" ca="1" si="356"/>
        <v>0</v>
      </c>
      <c r="AB69" s="301">
        <f t="shared" ca="1" si="356"/>
        <v>0</v>
      </c>
      <c r="AC69" s="301">
        <f t="shared" ca="1" si="356"/>
        <v>0</v>
      </c>
      <c r="AD69" s="301">
        <f t="shared" ca="1" si="356"/>
        <v>0</v>
      </c>
      <c r="AE69" s="301">
        <f t="shared" ca="1" si="356"/>
        <v>310</v>
      </c>
      <c r="AF69" s="301">
        <f t="shared" ca="1" si="356"/>
        <v>0</v>
      </c>
      <c r="AG69" s="301">
        <f t="shared" ca="1" si="356"/>
        <v>0</v>
      </c>
      <c r="AH69" s="301">
        <f t="shared" ca="1" si="356"/>
        <v>0</v>
      </c>
      <c r="AI69" s="301">
        <f t="shared" ca="1" si="356"/>
        <v>0</v>
      </c>
      <c r="AJ69" s="301">
        <f t="shared" ca="1" si="356"/>
        <v>0</v>
      </c>
      <c r="AK69" s="301">
        <f t="shared" ca="1" si="356"/>
        <v>0</v>
      </c>
      <c r="AL69" s="301">
        <f t="shared" ca="1" si="356"/>
        <v>0</v>
      </c>
      <c r="AM69" s="301">
        <f t="shared" ca="1" si="356"/>
        <v>0</v>
      </c>
      <c r="AN69" s="301">
        <f t="shared" ca="1" si="356"/>
        <v>0</v>
      </c>
      <c r="AO69" s="301">
        <f t="shared" ca="1" si="356"/>
        <v>0</v>
      </c>
      <c r="AP69" s="301">
        <f t="shared" ca="1" si="356"/>
        <v>0</v>
      </c>
      <c r="AQ69" s="301">
        <f t="shared" ca="1" si="356"/>
        <v>0</v>
      </c>
      <c r="AR69" s="301">
        <f t="shared" ca="1" si="356"/>
        <v>0</v>
      </c>
      <c r="AS69" s="301">
        <f t="shared" ca="1" si="356"/>
        <v>0</v>
      </c>
      <c r="AT69" s="301">
        <f t="shared" ca="1" si="356"/>
        <v>0</v>
      </c>
      <c r="AU69" s="301">
        <f t="shared" ca="1" si="356"/>
        <v>0</v>
      </c>
      <c r="AV69" s="301">
        <f t="shared" ca="1" si="356"/>
        <v>0</v>
      </c>
      <c r="AW69" s="301">
        <f t="shared" ca="1" si="356"/>
        <v>0</v>
      </c>
      <c r="AX69" s="301">
        <f t="shared" ca="1" si="356"/>
        <v>0</v>
      </c>
      <c r="AY69" s="301">
        <f t="shared" ca="1" si="356"/>
        <v>141.08000000000001</v>
      </c>
      <c r="AZ69" s="301">
        <f t="shared" ca="1" si="356"/>
        <v>0</v>
      </c>
      <c r="BA69" s="301">
        <f t="shared" ca="1" si="356"/>
        <v>248.2</v>
      </c>
      <c r="BB69" s="301">
        <f t="shared" ca="1" si="356"/>
        <v>320</v>
      </c>
      <c r="BC69" s="301">
        <f t="shared" ca="1" si="356"/>
        <v>0</v>
      </c>
      <c r="BD69" s="301">
        <f t="shared" ca="1" si="356"/>
        <v>0</v>
      </c>
      <c r="BE69" s="301">
        <f t="shared" ca="1" si="356"/>
        <v>617</v>
      </c>
      <c r="BF69" s="301">
        <f t="shared" ca="1" si="356"/>
        <v>0</v>
      </c>
      <c r="BG69" s="301">
        <f t="shared" ca="1" si="356"/>
        <v>0</v>
      </c>
      <c r="BH69" s="301">
        <f t="shared" ca="1" si="356"/>
        <v>0</v>
      </c>
      <c r="BI69" s="301">
        <f t="shared" ca="1" si="356"/>
        <v>0</v>
      </c>
      <c r="BJ69" s="301">
        <f t="shared" ca="1" si="356"/>
        <v>0</v>
      </c>
      <c r="BK69" s="301">
        <f t="shared" ca="1" si="356"/>
        <v>0</v>
      </c>
      <c r="BL69" s="301">
        <f t="shared" ca="1" si="356"/>
        <v>219.452</v>
      </c>
      <c r="BM69" s="301">
        <f t="shared" ca="1" si="356"/>
        <v>0</v>
      </c>
      <c r="BN69" s="301">
        <f t="shared" ca="1" si="356"/>
        <v>0</v>
      </c>
      <c r="BO69" s="301">
        <f t="shared" ca="1" si="356"/>
        <v>0</v>
      </c>
      <c r="BP69" s="301">
        <f t="shared" ca="1" si="356"/>
        <v>88.5</v>
      </c>
      <c r="BQ69" s="301">
        <f t="shared" ca="1" si="356"/>
        <v>0</v>
      </c>
      <c r="BR69" s="301">
        <f t="shared" ca="1" si="356"/>
        <v>0</v>
      </c>
      <c r="BS69" s="301">
        <f t="shared" ca="1" si="356"/>
        <v>0</v>
      </c>
      <c r="BT69" s="301">
        <f t="shared" ca="1" si="356"/>
        <v>0</v>
      </c>
      <c r="BU69" s="301">
        <f t="shared" ca="1" si="356"/>
        <v>0</v>
      </c>
      <c r="BV69" s="301">
        <f t="shared" ca="1" si="350"/>
        <v>0</v>
      </c>
      <c r="BW69" s="301">
        <f t="shared" ca="1" si="350"/>
        <v>0</v>
      </c>
      <c r="BX69" s="301">
        <f t="shared" ca="1" si="350"/>
        <v>0</v>
      </c>
      <c r="BY69" s="301">
        <f t="shared" ca="1" si="350"/>
        <v>0</v>
      </c>
      <c r="BZ69" s="301">
        <f t="shared" ca="1" si="350"/>
        <v>0</v>
      </c>
      <c r="CA69" s="301">
        <f t="shared" ca="1" si="350"/>
        <v>0</v>
      </c>
      <c r="CB69" s="301">
        <f t="shared" ca="1" si="350"/>
        <v>0</v>
      </c>
      <c r="CC69" s="301">
        <f t="shared" ca="1" si="350"/>
        <v>0</v>
      </c>
      <c r="CD69" s="301">
        <f t="shared" ca="1" si="350"/>
        <v>0</v>
      </c>
      <c r="CE69" s="301">
        <f t="shared" ca="1" si="350"/>
        <v>0</v>
      </c>
      <c r="CF69" s="301">
        <f t="shared" ca="1" si="350"/>
        <v>0</v>
      </c>
      <c r="CG69" s="301">
        <f t="shared" ca="1" si="350"/>
        <v>0</v>
      </c>
      <c r="CH69" s="301">
        <f t="shared" ca="1" si="350"/>
        <v>0</v>
      </c>
      <c r="CI69" s="301">
        <f t="shared" ca="1" si="350"/>
        <v>0</v>
      </c>
      <c r="CJ69" s="301">
        <f t="shared" ca="1" si="350"/>
        <v>0</v>
      </c>
      <c r="CK69" s="301">
        <f t="shared" ca="1" si="350"/>
        <v>0</v>
      </c>
      <c r="CL69" s="301">
        <f t="shared" ca="1" si="350"/>
        <v>0</v>
      </c>
      <c r="CM69" s="301">
        <f t="shared" ca="1" si="350"/>
        <v>0</v>
      </c>
      <c r="CN69" s="301">
        <f t="shared" ca="1" si="350"/>
        <v>0</v>
      </c>
      <c r="CO69" s="301">
        <f t="shared" ca="1" si="350"/>
        <v>0</v>
      </c>
      <c r="CP69" s="301">
        <f t="shared" ca="1" si="350"/>
        <v>0</v>
      </c>
      <c r="CQ69" s="301">
        <f t="shared" ca="1" si="350"/>
        <v>0</v>
      </c>
      <c r="CR69" s="301">
        <f t="shared" ca="1" si="350"/>
        <v>0</v>
      </c>
      <c r="CS69" s="301">
        <f t="shared" ca="1" si="350"/>
        <v>0</v>
      </c>
      <c r="CT69" s="301">
        <f t="shared" ca="1" si="350"/>
        <v>0</v>
      </c>
      <c r="CU69" s="301">
        <f t="shared" ca="1" si="350"/>
        <v>0</v>
      </c>
      <c r="CV69" s="301">
        <f t="shared" ca="1" si="350"/>
        <v>0</v>
      </c>
      <c r="CW69" s="301">
        <f t="shared" ca="1" si="350"/>
        <v>0</v>
      </c>
      <c r="CX69" s="301">
        <f t="shared" ca="1" si="350"/>
        <v>0</v>
      </c>
      <c r="CY69" s="301">
        <f t="shared" ca="1" si="350"/>
        <v>0</v>
      </c>
      <c r="CZ69" s="301">
        <f t="shared" ca="1" si="350"/>
        <v>0</v>
      </c>
      <c r="DA69" s="301">
        <f t="shared" ref="DA69:EE69" ca="1" si="357">DA57</f>
        <v>0</v>
      </c>
      <c r="DB69" s="301">
        <f t="shared" ca="1" si="357"/>
        <v>0</v>
      </c>
      <c r="DC69" s="301">
        <f t="shared" ca="1" si="357"/>
        <v>0</v>
      </c>
      <c r="DD69" s="301">
        <f t="shared" ca="1" si="357"/>
        <v>0</v>
      </c>
      <c r="DE69" s="301">
        <f t="shared" ca="1" si="357"/>
        <v>0</v>
      </c>
      <c r="DF69" s="301">
        <f t="shared" ca="1" si="357"/>
        <v>0</v>
      </c>
      <c r="DG69" s="301">
        <f t="shared" ca="1" si="357"/>
        <v>0</v>
      </c>
      <c r="DH69" s="301">
        <f t="shared" si="357"/>
        <v>0</v>
      </c>
      <c r="DI69" s="301">
        <f t="shared" si="357"/>
        <v>0</v>
      </c>
      <c r="DJ69" s="301">
        <f t="shared" si="357"/>
        <v>0</v>
      </c>
      <c r="DK69" s="301">
        <f t="shared" si="357"/>
        <v>0</v>
      </c>
      <c r="DL69" s="301">
        <f t="shared" si="357"/>
        <v>0</v>
      </c>
      <c r="DM69" s="301">
        <f t="shared" si="357"/>
        <v>0</v>
      </c>
      <c r="DN69" s="301">
        <f t="shared" si="357"/>
        <v>0</v>
      </c>
      <c r="DO69" s="301">
        <f t="shared" si="357"/>
        <v>0</v>
      </c>
      <c r="DP69" s="301">
        <f t="shared" si="357"/>
        <v>0</v>
      </c>
      <c r="DQ69" s="301">
        <f t="shared" si="357"/>
        <v>0</v>
      </c>
      <c r="DR69" s="301">
        <f t="shared" si="357"/>
        <v>0</v>
      </c>
      <c r="DS69" s="301">
        <f t="shared" si="357"/>
        <v>0</v>
      </c>
      <c r="DT69" s="301">
        <f t="shared" si="357"/>
        <v>0</v>
      </c>
      <c r="DU69" s="301">
        <f t="shared" si="357"/>
        <v>0</v>
      </c>
      <c r="DV69" s="301">
        <f t="shared" si="357"/>
        <v>0</v>
      </c>
      <c r="DW69" s="301">
        <f t="shared" si="357"/>
        <v>0</v>
      </c>
      <c r="DX69" s="301">
        <f t="shared" si="357"/>
        <v>0</v>
      </c>
      <c r="DY69" s="301">
        <f t="shared" si="357"/>
        <v>0</v>
      </c>
      <c r="DZ69" s="301">
        <f t="shared" si="357"/>
        <v>0</v>
      </c>
      <c r="EA69" s="301">
        <f t="shared" si="357"/>
        <v>0</v>
      </c>
      <c r="EB69" s="301">
        <f t="shared" si="357"/>
        <v>0</v>
      </c>
      <c r="EC69" s="301">
        <f t="shared" si="357"/>
        <v>0</v>
      </c>
      <c r="ED69" s="301">
        <f t="shared" si="357"/>
        <v>0</v>
      </c>
      <c r="EE69" s="301">
        <f t="shared" si="357"/>
        <v>0</v>
      </c>
    </row>
    <row r="70" spans="2:135">
      <c r="C70" s="265" t="s">
        <v>164</v>
      </c>
      <c r="F70" s="310">
        <f>F20</f>
        <v>1</v>
      </c>
      <c r="G70" s="301">
        <f t="shared" ca="1" si="348"/>
        <v>-11741.205068019079</v>
      </c>
      <c r="H70" s="301"/>
      <c r="I70" s="312">
        <v>0</v>
      </c>
      <c r="J70" s="301">
        <f ca="1">-MIN(SUM($I$69:J69, $I$70:I70), $F$70*J61)</f>
        <v>0</v>
      </c>
      <c r="K70" s="301">
        <f ca="1">-MIN(SUM($I$69:K69, $I$70:J70), $F$70*K61)</f>
        <v>0</v>
      </c>
      <c r="L70" s="301">
        <f ca="1">-MIN(SUM($I$69:L69, $I$70:K70), $F$70*L61)</f>
        <v>0</v>
      </c>
      <c r="M70" s="301">
        <f ca="1">-MIN(SUM($I$69:M69, $I$70:L70), $F$70*M61)</f>
        <v>0</v>
      </c>
      <c r="N70" s="301">
        <f ca="1">-MIN(SUM($I$69:N69, $I$70:M70), $F$70*N61)</f>
        <v>0</v>
      </c>
      <c r="O70" s="301">
        <f ca="1">-MIN(SUM($I$69:O69, $I$70:N70), $F$70*O61)</f>
        <v>0</v>
      </c>
      <c r="P70" s="301">
        <f ca="1">-MIN(SUM($I$69:P69, $I$70:O70), $F$70*P61)</f>
        <v>0</v>
      </c>
      <c r="Q70" s="301">
        <f ca="1">-MIN(SUM($I$69:Q69, $I$70:P70), $F$70*Q61)</f>
        <v>0</v>
      </c>
      <c r="R70" s="301">
        <f ca="1">-MIN(SUM($I$69:R69, $I$70:Q70), $F$70*R61)</f>
        <v>0</v>
      </c>
      <c r="S70" s="301">
        <f ca="1">-MIN(SUM($I$69:S69, $I$70:R70), $F$70*S61)</f>
        <v>0</v>
      </c>
      <c r="T70" s="301">
        <f ca="1">-MIN(SUM($I$69:T69, $I$70:S70), $F$70*T61)</f>
        <v>0</v>
      </c>
      <c r="U70" s="301">
        <f ca="1">-MIN(SUM($I$69:U69, $I$70:T70), $F$70*U61)</f>
        <v>0</v>
      </c>
      <c r="V70" s="301">
        <f ca="1">-MIN(SUM($I$69:V69, $I$70:U70), $F$70*V61)</f>
        <v>0</v>
      </c>
      <c r="W70" s="301">
        <f ca="1">-MIN(SUM($I$69:W69, $I$70:V70), $F$70*W61)</f>
        <v>0</v>
      </c>
      <c r="X70" s="301">
        <f ca="1">-MIN(SUM($I$69:X69, $I$70:W70), $F$70*X61)</f>
        <v>0</v>
      </c>
      <c r="Y70" s="301">
        <f ca="1">-MIN(SUM($I$69:Y69, $I$70:X70), $F$70*Y61)</f>
        <v>0</v>
      </c>
      <c r="Z70" s="301">
        <f ca="1">-MIN(SUM($I$69:Z69, $I$70:Y70), $F$70*Z61)</f>
        <v>0</v>
      </c>
      <c r="AA70" s="301">
        <f ca="1">-MIN(SUM($I$69:AA69, $I$70:Z70), $F$70*AA61)</f>
        <v>0</v>
      </c>
      <c r="AB70" s="301">
        <f ca="1">-MIN(SUM($I$69:AB69, $I$70:AA70), $F$70*AB61)</f>
        <v>0</v>
      </c>
      <c r="AC70" s="301">
        <f ca="1">-MIN(SUM($I$69:AC69, $I$70:AB70), $F$70*AC61)</f>
        <v>0</v>
      </c>
      <c r="AD70" s="301">
        <f ca="1">-MIN(SUM($I$69:AD69, $I$70:AC70), $F$70*AD61)</f>
        <v>0</v>
      </c>
      <c r="AE70" s="301">
        <f ca="1">-MIN(SUM($I$69:AE69, $I$70:AD70), $F$70*AE61)</f>
        <v>0</v>
      </c>
      <c r="AF70" s="301">
        <f ca="1">-MIN(SUM($I$69:AF69, $I$70:AE70), $F$70*AF61)</f>
        <v>0</v>
      </c>
      <c r="AG70" s="301">
        <f ca="1">-MIN(SUM($I$69:AG69, $I$70:AF70), $F$70*AG61)</f>
        <v>0</v>
      </c>
      <c r="AH70" s="301">
        <f ca="1">-MIN(SUM($I$69:AH69, $I$70:AG70), $F$70*AH61)</f>
        <v>0</v>
      </c>
      <c r="AI70" s="301">
        <f ca="1">-MIN(SUM($I$69:AI69, $I$70:AH70), $F$70*AI61)</f>
        <v>0</v>
      </c>
      <c r="AJ70" s="301">
        <f ca="1">-MIN(SUM($I$69:AJ69, $I$70:AI70), $F$70*AJ61)</f>
        <v>0</v>
      </c>
      <c r="AK70" s="301">
        <f ca="1">-MIN(SUM($I$69:AK69, $I$70:AJ70), $F$70*AK61)</f>
        <v>0</v>
      </c>
      <c r="AL70" s="301">
        <f ca="1">-MIN(SUM($I$69:AL69, $I$70:AK70), $F$70*AL61)</f>
        <v>0</v>
      </c>
      <c r="AM70" s="301">
        <f ca="1">-MIN(SUM($I$69:AM69, $I$70:AL70), $F$70*AM61)</f>
        <v>0</v>
      </c>
      <c r="AN70" s="301">
        <f ca="1">-MIN(SUM($I$69:AN69, $I$70:AM70), $F$70*AN61)</f>
        <v>0</v>
      </c>
      <c r="AO70" s="301">
        <f ca="1">-MIN(SUM($I$69:AO69, $I$70:AN70), $F$70*AO61)</f>
        <v>0</v>
      </c>
      <c r="AP70" s="301">
        <f ca="1">-MIN(SUM($I$69:AP69, $I$70:AO70), $F$70*AP61)</f>
        <v>0</v>
      </c>
      <c r="AQ70" s="301">
        <f ca="1">-MIN(SUM($I$69:AQ69, $I$70:AP70), $F$70*AQ61)</f>
        <v>0</v>
      </c>
      <c r="AR70" s="301">
        <f ca="1">-MIN(SUM($I$69:AR69, $I$70:AQ70), $F$70*AR61)</f>
        <v>0</v>
      </c>
      <c r="AS70" s="301">
        <f ca="1">-MIN(SUM($I$69:AS69, $I$70:AR70), $F$70*AS61)</f>
        <v>0</v>
      </c>
      <c r="AT70" s="301">
        <f ca="1">-MIN(SUM($I$69:AT69, $I$70:AS70), $F$70*AT61)</f>
        <v>0</v>
      </c>
      <c r="AU70" s="301">
        <f ca="1">-MIN(SUM($I$69:AU69, $I$70:AT70), $F$70*AU61)</f>
        <v>0</v>
      </c>
      <c r="AV70" s="301">
        <f ca="1">-MIN(SUM($I$69:AV69, $I$70:AU70), $F$70*AV61)</f>
        <v>0</v>
      </c>
      <c r="AW70" s="301">
        <f ca="1">-MIN(SUM($I$69:AW69, $I$70:AV70), $F$70*AW61)</f>
        <v>0</v>
      </c>
      <c r="AX70" s="301">
        <f ca="1">-MIN(SUM($I$69:AX69, $I$70:AW70), $F$70*AX61)</f>
        <v>0</v>
      </c>
      <c r="AY70" s="301">
        <f ca="1">-MIN(SUM($I$69:AY69, $I$70:AX70), $F$70*AY61)</f>
        <v>0</v>
      </c>
      <c r="AZ70" s="301">
        <f ca="1">-MIN(SUM($I$69:AZ69, $I$70:AY70), $F$70*AZ61)</f>
        <v>0</v>
      </c>
      <c r="BA70" s="301">
        <f ca="1">-MIN(SUM($I$69:BA69, $I$70:AZ70), $F$70*BA61)</f>
        <v>0</v>
      </c>
      <c r="BB70" s="301">
        <f ca="1">-MIN(SUM($I$69:BB69, $I$70:BA70), $F$70*BB61)</f>
        <v>0</v>
      </c>
      <c r="BC70" s="301">
        <f ca="1">-MIN(SUM($I$69:BC69, $I$70:BB70), $F$70*BC61)</f>
        <v>0</v>
      </c>
      <c r="BD70" s="301">
        <f ca="1">-MIN(SUM($I$69:BD69, $I$70:BC70), $F$70*BD61)</f>
        <v>0</v>
      </c>
      <c r="BE70" s="301">
        <f ca="1">-MIN(SUM($I$69:BE69, $I$70:BD70), $F$70*BE61)</f>
        <v>0</v>
      </c>
      <c r="BF70" s="301">
        <f ca="1">-MIN(SUM($I$69:BF69, $I$70:BE70), $F$70*BF61)</f>
        <v>0</v>
      </c>
      <c r="BG70" s="301">
        <f ca="1">-MIN(SUM($I$69:BG69, $I$70:BF70), $F$70*BG61)</f>
        <v>0</v>
      </c>
      <c r="BH70" s="301">
        <f ca="1">-MIN(SUM($I$69:BH69, $I$70:BG70), $F$70*BH61)</f>
        <v>0</v>
      </c>
      <c r="BI70" s="301">
        <f ca="1">-MIN(SUM($I$69:BI69, $I$70:BH70), $F$70*BI61)</f>
        <v>0</v>
      </c>
      <c r="BJ70" s="301">
        <f ca="1">-MIN(SUM($I$69:BJ69, $I$70:BI70), $F$70*BJ61)</f>
        <v>0</v>
      </c>
      <c r="BK70" s="301">
        <f ca="1">-MIN(SUM($I$69:BK69, $I$70:BJ70), $F$70*BK61)</f>
        <v>0</v>
      </c>
      <c r="BL70" s="301">
        <f ca="1">-MIN(SUM($I$69:BL69, $I$70:BK70), $F$70*BL61)</f>
        <v>0</v>
      </c>
      <c r="BM70" s="301">
        <f ca="1">-MIN(SUM($I$69:BM69, $I$70:BL70), $F$70*BM61)</f>
        <v>0</v>
      </c>
      <c r="BN70" s="301">
        <f ca="1">-MIN(SUM($I$69:BN69, $I$70:BM70), $F$70*BN61)</f>
        <v>0</v>
      </c>
      <c r="BO70" s="301">
        <f ca="1">-MIN(SUM($I$69:BO69, $I$70:BN70), $F$70*BO61)</f>
        <v>0</v>
      </c>
      <c r="BP70" s="301">
        <f ca="1">-MIN(SUM($I$69:BP69, $I$70:BO70), $F$70*BP61)</f>
        <v>0</v>
      </c>
      <c r="BQ70" s="301">
        <f ca="1">-MIN(SUM($I$69:BQ69, $I$70:BP70), $F$70*BQ61)</f>
        <v>0</v>
      </c>
      <c r="BR70" s="301">
        <f ca="1">-MIN(SUM($I$69:BR69, $I$70:BQ70), $F$70*BR61)</f>
        <v>0</v>
      </c>
      <c r="BS70" s="301">
        <f ca="1">-MIN(SUM($I$69:BS69, $I$70:BR70), $F$70*BS61)</f>
        <v>0</v>
      </c>
      <c r="BT70" s="301">
        <f ca="1">-MIN(SUM($I$69:BT69, $I$70:BS70), $F$70*BT61)</f>
        <v>0</v>
      </c>
      <c r="BU70" s="301">
        <f ca="1">-MIN(SUM($I$69:BU69, $I$70:BT70), $F$70*BU61)</f>
        <v>0</v>
      </c>
      <c r="BV70" s="301">
        <f ca="1">-MIN(SUM($I$69:BV69, $I$70:BU70), $F$70*BV61)</f>
        <v>0</v>
      </c>
      <c r="BW70" s="301">
        <f ca="1">-MIN(SUM($I$69:BW69, $I$70:BV70), $F$70*BW61)</f>
        <v>0</v>
      </c>
      <c r="BX70" s="301">
        <f ca="1">-MIN(SUM($I$69:BX69, $I$70:BW70), $F$70*BX61)</f>
        <v>0</v>
      </c>
      <c r="BY70" s="301">
        <f ca="1">-MIN(SUM($I$69:BY69, $I$70:BX70), $F$70*BY61)</f>
        <v>0</v>
      </c>
      <c r="BZ70" s="301">
        <f ca="1">-MIN(SUM($I$69:BZ69, $I$70:BY70), $F$70*BZ61)</f>
        <v>0</v>
      </c>
      <c r="CA70" s="301">
        <f ca="1">-MIN(SUM($I$69:CA69, $I$70:BZ70), $F$70*CA61)</f>
        <v>0</v>
      </c>
      <c r="CB70" s="301">
        <f ca="1">-MIN(SUM($I$69:CB69, $I$70:CA70), $F$70*CB61)</f>
        <v>0</v>
      </c>
      <c r="CC70" s="301">
        <f ca="1">-MIN(SUM($I$69:CC69, $I$70:CB70), $F$70*CC61)</f>
        <v>0</v>
      </c>
      <c r="CD70" s="301">
        <f ca="1">-MIN(SUM($I$69:CD69, $I$70:CC70), $F$70*CD61)</f>
        <v>0</v>
      </c>
      <c r="CE70" s="301">
        <f ca="1">-MIN(SUM($I$69:CE69, $I$70:CD70), $F$70*CE61)</f>
        <v>0</v>
      </c>
      <c r="CF70" s="301">
        <f ca="1">-MIN(SUM($I$69:CF69, $I$70:CE70), $F$70*CF61)</f>
        <v>0</v>
      </c>
      <c r="CG70" s="301">
        <f ca="1">-MIN(SUM($I$69:CG69, $I$70:CF70), $F$70*CG61)</f>
        <v>0</v>
      </c>
      <c r="CH70" s="301">
        <f ca="1">-MIN(SUM($I$69:CH69, $I$70:CG70), $F$70*CH61)</f>
        <v>0</v>
      </c>
      <c r="CI70" s="301">
        <f ca="1">-MIN(SUM($I$69:CI69, $I$70:CH70), $F$70*CI61)</f>
        <v>0</v>
      </c>
      <c r="CJ70" s="301">
        <f ca="1">-MIN(SUM($I$69:CJ69, $I$70:CI70), $F$70*CJ61)</f>
        <v>0</v>
      </c>
      <c r="CK70" s="301">
        <f ca="1">-MIN(SUM($I$69:CK69, $I$70:CJ70), $F$70*CK61)</f>
        <v>0</v>
      </c>
      <c r="CL70" s="301">
        <f ca="1">-MIN(SUM($I$69:CL69, $I$70:CK70), $F$70*CL61)</f>
        <v>0</v>
      </c>
      <c r="CM70" s="301">
        <f ca="1">-MIN(SUM($I$69:CM69, $I$70:CL70), $F$70*CM61)</f>
        <v>0</v>
      </c>
      <c r="CN70" s="301">
        <f ca="1">-MIN(SUM($I$69:CN69, $I$70:CM70), $F$70*CN61)</f>
        <v>0</v>
      </c>
      <c r="CO70" s="301">
        <f ca="1">-MIN(SUM($I$69:CO69, $I$70:CN70), $F$70*CO61)</f>
        <v>0</v>
      </c>
      <c r="CP70" s="301">
        <f ca="1">-MIN(SUM($I$69:CP69, $I$70:CO70), $F$70*CP61)</f>
        <v>0</v>
      </c>
      <c r="CQ70" s="301">
        <f ca="1">-MIN(SUM($I$69:CQ69, $I$70:CP70), $F$70*CQ61)</f>
        <v>0</v>
      </c>
      <c r="CR70" s="301">
        <f ca="1">-MIN(SUM($I$69:CR69, $I$70:CQ70), $F$70*CR61)</f>
        <v>0</v>
      </c>
      <c r="CS70" s="301">
        <f ca="1">-MIN(SUM($I$69:CS69, $I$70:CR70), $F$70*CS61)</f>
        <v>0</v>
      </c>
      <c r="CT70" s="301">
        <f ca="1">-MIN(SUM($I$69:CT69, $I$70:CS70), $F$70*CT61)</f>
        <v>0</v>
      </c>
      <c r="CU70" s="301">
        <f ca="1">-MIN(SUM($I$69:CU69, $I$70:CT70), $F$70*CU61)</f>
        <v>0</v>
      </c>
      <c r="CV70" s="301">
        <f ca="1">-MIN(SUM($I$69:CV69, $I$70:CU70), $F$70*CV61)</f>
        <v>0</v>
      </c>
      <c r="CW70" s="301">
        <f ca="1">-MIN(SUM($I$69:CW69, $I$70:CV70), $F$70*CW61)</f>
        <v>0</v>
      </c>
      <c r="CX70" s="301">
        <f ca="1">-MIN(SUM($I$69:CX69, $I$70:CW70), $F$70*CX61)</f>
        <v>0</v>
      </c>
      <c r="CY70" s="301">
        <f ca="1">-MIN(SUM($I$69:CY69, $I$70:CX70), $F$70*CY61)</f>
        <v>0</v>
      </c>
      <c r="CZ70" s="301">
        <f ca="1">-MIN(SUM($I$69:CZ69, $I$70:CY70), $F$70*CZ61)</f>
        <v>0</v>
      </c>
      <c r="DA70" s="301">
        <f ca="1">-MIN(SUM($I$69:DA69, $I$70:CZ70), $F$70*DA61)</f>
        <v>0</v>
      </c>
      <c r="DB70" s="301">
        <f ca="1">-MIN(SUM($I$69:DB69, $I$70:DA70), $F$70*DB61)</f>
        <v>0</v>
      </c>
      <c r="DC70" s="301">
        <f ca="1">-MIN(SUM($I$69:DC69, $I$70:DB70), $F$70*DC61)</f>
        <v>0</v>
      </c>
      <c r="DD70" s="301">
        <f ca="1">-MIN(SUM($I$69:DD69, $I$70:DC70), $F$70*DD61)</f>
        <v>0</v>
      </c>
      <c r="DE70" s="301">
        <f ca="1">-MIN(SUM($I$69:DE69, $I$70:DD70), $F$70*DE61)</f>
        <v>0</v>
      </c>
      <c r="DF70" s="301">
        <f ca="1">-MIN(SUM($I$69:DF69, $I$70:DE70), $F$70*DF61)</f>
        <v>0</v>
      </c>
      <c r="DG70" s="301">
        <f ca="1">-MIN(SUM($I$69:DG69, $I$70:DF70), $F$70*DG61)</f>
        <v>-11741.205068019079</v>
      </c>
      <c r="DH70" s="301">
        <f ca="1">-MIN(SUM($I$69:DH69, $I$70:DG70), $F$70*DH61)</f>
        <v>0</v>
      </c>
      <c r="DI70" s="301">
        <f ca="1">-MIN(SUM($I$69:DI69, $I$70:DH70), $F$70*DI61)</f>
        <v>0</v>
      </c>
      <c r="DJ70" s="301">
        <f ca="1">-MIN(SUM($I$69:DJ69, $I$70:DI70), $F$70*DJ61)</f>
        <v>0</v>
      </c>
      <c r="DK70" s="301">
        <f ca="1">-MIN(SUM($I$69:DK69, $I$70:DJ70), $F$70*DK61)</f>
        <v>0</v>
      </c>
      <c r="DL70" s="301">
        <f ca="1">-MIN(SUM($I$69:DL69, $I$70:DK70), $F$70*DL61)</f>
        <v>0</v>
      </c>
      <c r="DM70" s="301">
        <f ca="1">-MIN(SUM($I$69:DM69, $I$70:DL70), $F$70*DM61)</f>
        <v>0</v>
      </c>
      <c r="DN70" s="301">
        <f ca="1">-MIN(SUM($I$69:DN69, $I$70:DM70), $F$70*DN61)</f>
        <v>0</v>
      </c>
      <c r="DO70" s="301">
        <f ca="1">-MIN(SUM($I$69:DO69, $I$70:DN70), $F$70*DO61)</f>
        <v>0</v>
      </c>
      <c r="DP70" s="301">
        <f ca="1">-MIN(SUM($I$69:DP69, $I$70:DO70), $F$70*DP61)</f>
        <v>0</v>
      </c>
      <c r="DQ70" s="301">
        <f ca="1">-MIN(SUM($I$69:DQ69, $I$70:DP70), $F$70*DQ61)</f>
        <v>0</v>
      </c>
      <c r="DR70" s="301">
        <f ca="1">-MIN(SUM($I$69:DR69, $I$70:DQ70), $F$70*DR61)</f>
        <v>0</v>
      </c>
      <c r="DS70" s="301">
        <f ca="1">-MIN(SUM($I$69:DS69, $I$70:DR70), $F$70*DS61)</f>
        <v>0</v>
      </c>
      <c r="DT70" s="301">
        <f ca="1">-MIN(SUM($I$69:DT69, $I$70:DS70), $F$70*DT61)</f>
        <v>0</v>
      </c>
      <c r="DU70" s="301">
        <f ca="1">-MIN(SUM($I$69:DU69, $I$70:DT70), $F$70*DU61)</f>
        <v>0</v>
      </c>
      <c r="DV70" s="301">
        <f ca="1">-MIN(SUM($I$69:DV69, $I$70:DU70), $F$70*DV61)</f>
        <v>0</v>
      </c>
      <c r="DW70" s="301">
        <f ca="1">-MIN(SUM($I$69:DW69, $I$70:DV70), $F$70*DW61)</f>
        <v>0</v>
      </c>
      <c r="DX70" s="301">
        <f ca="1">-MIN(SUM($I$69:DX69, $I$70:DW70), $F$70*DX61)</f>
        <v>0</v>
      </c>
      <c r="DY70" s="301">
        <f ca="1">-MIN(SUM($I$69:DY69, $I$70:DX70), $F$70*DY61)</f>
        <v>0</v>
      </c>
      <c r="DZ70" s="301">
        <f ca="1">-MIN(SUM($I$69:DZ69, $I$70:DY70), $F$70*DZ61)</f>
        <v>0</v>
      </c>
      <c r="EA70" s="301">
        <f ca="1">-MIN(SUM($I$69:EA69, $I$70:DZ70), $F$70*EA61)</f>
        <v>0</v>
      </c>
      <c r="EB70" s="301">
        <f ca="1">-MIN(SUM($I$69:EB69, $I$70:EA70), $F$70*EB61)</f>
        <v>0</v>
      </c>
      <c r="EC70" s="301">
        <f ca="1">-MIN(SUM($I$69:EC69, $I$70:EB70), $F$70*EC61)</f>
        <v>0</v>
      </c>
      <c r="ED70" s="301">
        <f ca="1">-MIN(SUM($I$69:ED69, $I$70:EC70), $F$70*ED61)</f>
        <v>0</v>
      </c>
      <c r="EE70" s="301">
        <f ca="1">-MIN(SUM($I$69:EE69, $I$70:ED70), $F$70*EE61)</f>
        <v>0</v>
      </c>
    </row>
    <row r="71" spans="2:135">
      <c r="C71" s="314" t="str">
        <f>C59</f>
        <v>Ending Capital Balance</v>
      </c>
      <c r="D71" s="314"/>
      <c r="E71" s="314"/>
      <c r="F71" s="314"/>
      <c r="G71" s="315"/>
      <c r="H71" s="315"/>
      <c r="I71" s="315">
        <f t="shared" ref="I71:AN71" si="358">SUM(I64:I70)</f>
        <v>13708</v>
      </c>
      <c r="J71" s="315">
        <f t="shared" ca="1" si="358"/>
        <v>13805.439792219633</v>
      </c>
      <c r="K71" s="315">
        <f t="shared" ca="1" si="358"/>
        <v>13906.855276662289</v>
      </c>
      <c r="L71" s="315">
        <f t="shared" ca="1" si="358"/>
        <v>14005.708580469298</v>
      </c>
      <c r="M71" s="315">
        <f t="shared" ca="1" si="358"/>
        <v>14108.59524992922</v>
      </c>
      <c r="N71" s="315">
        <f t="shared" ca="1" si="358"/>
        <v>14359.707570447459</v>
      </c>
      <c r="O71" s="315">
        <f t="shared" ca="1" si="358"/>
        <v>14465.194735045616</v>
      </c>
      <c r="P71" s="315">
        <f t="shared" ca="1" si="358"/>
        <v>14571.456813884914</v>
      </c>
      <c r="Q71" s="315">
        <f t="shared" ca="1" si="358"/>
        <v>14668.10625526281</v>
      </c>
      <c r="R71" s="315">
        <f t="shared" ca="1" si="358"/>
        <v>14775.858932766949</v>
      </c>
      <c r="S71" s="315">
        <f t="shared" ca="1" si="358"/>
        <v>14880.889325550392</v>
      </c>
      <c r="T71" s="315">
        <f t="shared" ca="1" si="358"/>
        <v>14990.205118643689</v>
      </c>
      <c r="U71" s="315">
        <f t="shared" ca="1" si="358"/>
        <v>15096.759136158304</v>
      </c>
      <c r="V71" s="315">
        <f t="shared" ca="1" si="358"/>
        <v>15286.835720196968</v>
      </c>
      <c r="W71" s="315">
        <f t="shared" ca="1" si="358"/>
        <v>15399.133616786456</v>
      </c>
      <c r="X71" s="315">
        <f t="shared" ca="1" si="358"/>
        <v>15508.594397351239</v>
      </c>
      <c r="Y71" s="315">
        <f t="shared" ca="1" si="358"/>
        <v>15622.52134480846</v>
      </c>
      <c r="Z71" s="315">
        <f t="shared" ca="1" si="358"/>
        <v>15733.570019581215</v>
      </c>
      <c r="AA71" s="315">
        <f t="shared" ca="1" si="358"/>
        <v>15849.149649753341</v>
      </c>
      <c r="AB71" s="315">
        <f t="shared" ca="1" si="358"/>
        <v>15965.578333947795</v>
      </c>
      <c r="AC71" s="315">
        <f t="shared" ca="1" si="358"/>
        <v>16071.474693313918</v>
      </c>
      <c r="AD71" s="315">
        <f t="shared" ca="1" si="358"/>
        <v>16189.536588933417</v>
      </c>
      <c r="AE71" s="315">
        <f t="shared" ca="1" si="358"/>
        <v>16614.61574572929</v>
      </c>
      <c r="AF71" s="315">
        <f t="shared" ca="1" si="358"/>
        <v>16736.66758399317</v>
      </c>
      <c r="AG71" s="315">
        <f t="shared" ca="1" si="358"/>
        <v>16855.635880742029</v>
      </c>
      <c r="AH71" s="315">
        <f t="shared" ca="1" si="358"/>
        <v>16979.458265552825</v>
      </c>
      <c r="AI71" s="315">
        <f t="shared" ca="1" si="358"/>
        <v>17104.19025609364</v>
      </c>
      <c r="AJ71" s="315">
        <f t="shared" ca="1" si="358"/>
        <v>17225.770993228074</v>
      </c>
      <c r="AK71" s="315">
        <f t="shared" ca="1" si="358"/>
        <v>17352.312409978957</v>
      </c>
      <c r="AL71" s="315">
        <f t="shared" ca="1" si="358"/>
        <v>17475.656859625771</v>
      </c>
      <c r="AM71" s="315">
        <f t="shared" ca="1" si="358"/>
        <v>17604.033951051093</v>
      </c>
      <c r="AN71" s="315">
        <f t="shared" ca="1" si="358"/>
        <v>17733.354107319999</v>
      </c>
      <c r="AO71" s="315">
        <f t="shared" ref="AO71:CZ71" ca="1" si="359">SUM(AO64:AO70)</f>
        <v>17850.975755595809</v>
      </c>
      <c r="AP71" s="315">
        <f t="shared" ca="1" si="359"/>
        <v>17982.109959306446</v>
      </c>
      <c r="AQ71" s="315">
        <f t="shared" ca="1" si="359"/>
        <v>18109.931162844921</v>
      </c>
      <c r="AR71" s="315">
        <f t="shared" ca="1" si="359"/>
        <v>18242.967666552551</v>
      </c>
      <c r="AS71" s="315">
        <f t="shared" ca="1" si="359"/>
        <v>18372.643110008808</v>
      </c>
      <c r="AT71" s="315">
        <f t="shared" ca="1" si="359"/>
        <v>18507.609509452574</v>
      </c>
      <c r="AU71" s="315">
        <f t="shared" ca="1" si="359"/>
        <v>18643.56737914206</v>
      </c>
      <c r="AV71" s="315">
        <f t="shared" ca="1" si="359"/>
        <v>18776.090382618593</v>
      </c>
      <c r="AW71" s="315">
        <f t="shared" ca="1" si="359"/>
        <v>18914.020526877055</v>
      </c>
      <c r="AX71" s="315">
        <f t="shared" ca="1" si="359"/>
        <v>19048.46597699208</v>
      </c>
      <c r="AY71" s="315">
        <f t="shared" ca="1" si="359"/>
        <v>19329.477006645684</v>
      </c>
      <c r="AZ71" s="315">
        <f t="shared" ca="1" si="359"/>
        <v>19471.472358054692</v>
      </c>
      <c r="BA71" s="315">
        <f t="shared" ca="1" si="359"/>
        <v>19853.450900652322</v>
      </c>
      <c r="BB71" s="315">
        <f t="shared" ca="1" si="359"/>
        <v>20319.295391755233</v>
      </c>
      <c r="BC71" s="315">
        <f t="shared" ca="1" si="359"/>
        <v>20463.729876802066</v>
      </c>
      <c r="BD71" s="315">
        <f t="shared" ca="1" si="359"/>
        <v>20614.057509256712</v>
      </c>
      <c r="BE71" s="315">
        <f t="shared" ca="1" si="359"/>
        <v>21377.587235001207</v>
      </c>
      <c r="BF71" s="315">
        <f t="shared" ca="1" si="359"/>
        <v>21534.628111516755</v>
      </c>
      <c r="BG71" s="315">
        <f t="shared" ca="1" si="359"/>
        <v>21692.822618543814</v>
      </c>
      <c r="BH71" s="315">
        <f t="shared" ca="1" si="359"/>
        <v>21847.020468602779</v>
      </c>
      <c r="BI71" s="315">
        <f t="shared" ca="1" si="359"/>
        <v>22007.509826261681</v>
      </c>
      <c r="BJ71" s="315">
        <f t="shared" ca="1" si="359"/>
        <v>22163.944549397256</v>
      </c>
      <c r="BK71" s="315">
        <f t="shared" ca="1" si="359"/>
        <v>22326.762047967935</v>
      </c>
      <c r="BL71" s="315">
        <f t="shared" ca="1" si="359"/>
        <v>22710.227612418574</v>
      </c>
      <c r="BM71" s="315">
        <f t="shared" ca="1" si="359"/>
        <v>22860.859827188866</v>
      </c>
      <c r="BN71" s="315">
        <f t="shared" ca="1" si="359"/>
        <v>23028.796901924914</v>
      </c>
      <c r="BO71" s="315">
        <f t="shared" ca="1" si="359"/>
        <v>23192.491181556641</v>
      </c>
      <c r="BP71" s="315">
        <f t="shared" ca="1" si="359"/>
        <v>23451.364437607142</v>
      </c>
      <c r="BQ71" s="315">
        <f t="shared" ca="1" si="359"/>
        <v>23618.062429879345</v>
      </c>
      <c r="BR71" s="315">
        <f t="shared" ca="1" si="359"/>
        <v>23791.561954629942</v>
      </c>
      <c r="BS71" s="315">
        <f t="shared" ca="1" si="359"/>
        <v>23966.336015984805</v>
      </c>
      <c r="BT71" s="315">
        <f t="shared" ca="1" si="359"/>
        <v>24136.694551268105</v>
      </c>
      <c r="BU71" s="315">
        <f t="shared" ca="1" si="359"/>
        <v>24314.00397477092</v>
      </c>
      <c r="BV71" s="315">
        <f t="shared" ca="1" si="359"/>
        <v>24486.833818316951</v>
      </c>
      <c r="BW71" s="315">
        <f t="shared" ca="1" si="359"/>
        <v>24666.715383231021</v>
      </c>
      <c r="BX71" s="315">
        <f t="shared" ca="1" si="359"/>
        <v>24847.918367550963</v>
      </c>
      <c r="BY71" s="315">
        <f t="shared" ca="1" si="359"/>
        <v>25012.729440342187</v>
      </c>
      <c r="BZ71" s="315">
        <f t="shared" ca="1" si="359"/>
        <v>25196.474262064927</v>
      </c>
      <c r="CA71" s="315">
        <f t="shared" ca="1" si="359"/>
        <v>25375.576918671504</v>
      </c>
      <c r="CB71" s="315">
        <f t="shared" ca="1" si="359"/>
        <v>25561.987236991772</v>
      </c>
      <c r="CC71" s="315">
        <f t="shared" ca="1" si="359"/>
        <v>25743.688048568471</v>
      </c>
      <c r="CD71" s="315">
        <f t="shared" ca="1" si="359"/>
        <v>25932.802530546622</v>
      </c>
      <c r="CE71" s="315">
        <f t="shared" ca="1" si="359"/>
        <v>26123.306257423421</v>
      </c>
      <c r="CF71" s="315">
        <f t="shared" ca="1" si="359"/>
        <v>26308.997060882219</v>
      </c>
      <c r="CG71" s="315">
        <f t="shared" ca="1" si="359"/>
        <v>26502.264332500286</v>
      </c>
      <c r="CH71" s="315">
        <f t="shared" ca="1" si="359"/>
        <v>26690.648861965463</v>
      </c>
      <c r="CI71" s="315">
        <f t="shared" ca="1" si="359"/>
        <v>26886.719767721799</v>
      </c>
      <c r="CJ71" s="315">
        <f t="shared" ca="1" si="359"/>
        <v>27084.231020630537</v>
      </c>
      <c r="CK71" s="315">
        <f t="shared" ca="1" si="359"/>
        <v>27263.875089972971</v>
      </c>
      <c r="CL71" s="315">
        <f t="shared" ca="1" si="359"/>
        <v>27464.156945650757</v>
      </c>
      <c r="CM71" s="315">
        <f t="shared" ca="1" si="359"/>
        <v>27659.378841351925</v>
      </c>
      <c r="CN71" s="315">
        <f t="shared" ca="1" si="359"/>
        <v>27862.566088321018</v>
      </c>
      <c r="CO71" s="315">
        <f t="shared" ca="1" si="359"/>
        <v>28060.619972939621</v>
      </c>
      <c r="CP71" s="315">
        <f t="shared" ca="1" si="359"/>
        <v>28266.754758295807</v>
      </c>
      <c r="CQ71" s="315">
        <f t="shared" ca="1" si="359"/>
        <v>28474.40382059152</v>
      </c>
      <c r="CR71" s="315">
        <f t="shared" ca="1" si="359"/>
        <v>28676.806796361609</v>
      </c>
      <c r="CS71" s="315">
        <f t="shared" ca="1" si="359"/>
        <v>28887.468122425304</v>
      </c>
      <c r="CT71" s="315">
        <f t="shared" ca="1" si="359"/>
        <v>29092.807259542344</v>
      </c>
      <c r="CU71" s="315">
        <f t="shared" ca="1" si="359"/>
        <v>29306.524546816749</v>
      </c>
      <c r="CV71" s="315">
        <f t="shared" ca="1" si="359"/>
        <v>29521.811812487274</v>
      </c>
      <c r="CW71" s="315">
        <f t="shared" ca="1" si="359"/>
        <v>29724.641104822851</v>
      </c>
      <c r="CX71" s="315">
        <f t="shared" ca="1" si="359"/>
        <v>29942.999876647609</v>
      </c>
      <c r="CY71" s="315">
        <f t="shared" ca="1" si="359"/>
        <v>30155.841989750399</v>
      </c>
      <c r="CZ71" s="315">
        <f t="shared" ca="1" si="359"/>
        <v>30377.36838588088</v>
      </c>
      <c r="DA71" s="315">
        <f t="shared" ref="DA71:EE71" ca="1" si="360">SUM(DA64:DA70)</f>
        <v>30593.29809580935</v>
      </c>
      <c r="DB71" s="315">
        <f t="shared" ca="1" si="360"/>
        <v>30818.038067427904</v>
      </c>
      <c r="DC71" s="315">
        <f t="shared" ca="1" si="360"/>
        <v>31044.428990659617</v>
      </c>
      <c r="DD71" s="315">
        <f t="shared" ca="1" si="360"/>
        <v>31265.100329325142</v>
      </c>
      <c r="DE71" s="315">
        <f t="shared" ca="1" si="360"/>
        <v>31494.775395369306</v>
      </c>
      <c r="DF71" s="315">
        <f t="shared" ca="1" si="360"/>
        <v>31718.647905620895</v>
      </c>
      <c r="DG71" s="315">
        <f t="shared" ca="1" si="360"/>
        <v>4141.026931980934</v>
      </c>
      <c r="DH71" s="315">
        <f t="shared" ca="1" si="360"/>
        <v>4171.4471329102525</v>
      </c>
      <c r="DI71" s="315">
        <f t="shared" ca="1" si="360"/>
        <v>4171.4471329102525</v>
      </c>
      <c r="DJ71" s="315">
        <f t="shared" ca="1" si="360"/>
        <v>4171.4471329102525</v>
      </c>
      <c r="DK71" s="315">
        <f t="shared" ca="1" si="360"/>
        <v>4171.4471329102525</v>
      </c>
      <c r="DL71" s="315">
        <f t="shared" ca="1" si="360"/>
        <v>4171.4471329102525</v>
      </c>
      <c r="DM71" s="315">
        <f t="shared" ca="1" si="360"/>
        <v>4171.4471329102525</v>
      </c>
      <c r="DN71" s="315">
        <f t="shared" ca="1" si="360"/>
        <v>4171.4471329102525</v>
      </c>
      <c r="DO71" s="315">
        <f t="shared" ca="1" si="360"/>
        <v>4171.4471329102525</v>
      </c>
      <c r="DP71" s="315">
        <f t="shared" ca="1" si="360"/>
        <v>4171.4471329102525</v>
      </c>
      <c r="DQ71" s="315">
        <f t="shared" ca="1" si="360"/>
        <v>4171.4471329102525</v>
      </c>
      <c r="DR71" s="315">
        <f t="shared" ca="1" si="360"/>
        <v>4171.4471329102525</v>
      </c>
      <c r="DS71" s="315">
        <f t="shared" ca="1" si="360"/>
        <v>4171.4471329102525</v>
      </c>
      <c r="DT71" s="315">
        <f t="shared" ca="1" si="360"/>
        <v>4171.4471329102525</v>
      </c>
      <c r="DU71" s="315">
        <f t="shared" ca="1" si="360"/>
        <v>4171.4471329102525</v>
      </c>
      <c r="DV71" s="315">
        <f t="shared" ca="1" si="360"/>
        <v>4171.4471329102525</v>
      </c>
      <c r="DW71" s="315">
        <f t="shared" ca="1" si="360"/>
        <v>4171.4471329102525</v>
      </c>
      <c r="DX71" s="315">
        <f t="shared" ca="1" si="360"/>
        <v>4171.4471329102525</v>
      </c>
      <c r="DY71" s="315">
        <f t="shared" ca="1" si="360"/>
        <v>4171.4471329102525</v>
      </c>
      <c r="DZ71" s="315">
        <f t="shared" ca="1" si="360"/>
        <v>4171.4471329102525</v>
      </c>
      <c r="EA71" s="315">
        <f t="shared" ca="1" si="360"/>
        <v>4171.4471329102525</v>
      </c>
      <c r="EB71" s="315">
        <f t="shared" ca="1" si="360"/>
        <v>4171.4471329102525</v>
      </c>
      <c r="EC71" s="315">
        <f t="shared" ca="1" si="360"/>
        <v>4171.4471329102525</v>
      </c>
      <c r="ED71" s="315">
        <f t="shared" ca="1" si="360"/>
        <v>4171.4471329102525</v>
      </c>
      <c r="EE71" s="315">
        <f t="shared" ca="1" si="360"/>
        <v>4171.4471329102525</v>
      </c>
    </row>
    <row r="72" spans="2:135">
      <c r="G72" s="301"/>
      <c r="H72" s="301"/>
      <c r="I72" s="301"/>
      <c r="J72" s="301"/>
      <c r="K72" s="301"/>
    </row>
    <row r="73" spans="2:135">
      <c r="C73" s="265" t="s">
        <v>181</v>
      </c>
      <c r="G73" s="301">
        <f ca="1">SUMIF($I$8:$EE$8, "&lt;="&amp;$E$8, $I73:$EE73)</f>
        <v>11928.395823956129</v>
      </c>
      <c r="H73" s="301"/>
      <c r="I73" s="301">
        <f t="shared" ref="I73:AN73" si="361">-SUM(I66:I70)</f>
        <v>-13708</v>
      </c>
      <c r="J73" s="301">
        <f t="shared" ca="1" si="361"/>
        <v>0</v>
      </c>
      <c r="K73" s="301">
        <f t="shared" ca="1" si="361"/>
        <v>0</v>
      </c>
      <c r="L73" s="301">
        <f t="shared" ca="1" si="361"/>
        <v>0</v>
      </c>
      <c r="M73" s="301">
        <f t="shared" ca="1" si="361"/>
        <v>0</v>
      </c>
      <c r="N73" s="301">
        <f t="shared" ca="1" si="361"/>
        <v>-150.82499999999999</v>
      </c>
      <c r="O73" s="301">
        <f t="shared" ca="1" si="361"/>
        <v>0</v>
      </c>
      <c r="P73" s="301">
        <f t="shared" ca="1" si="361"/>
        <v>0</v>
      </c>
      <c r="Q73" s="301">
        <f t="shared" ca="1" si="361"/>
        <v>0</v>
      </c>
      <c r="R73" s="301">
        <f t="shared" ca="1" si="361"/>
        <v>0</v>
      </c>
      <c r="S73" s="301">
        <f t="shared" ca="1" si="361"/>
        <v>0</v>
      </c>
      <c r="T73" s="301">
        <f t="shared" ca="1" si="361"/>
        <v>0</v>
      </c>
      <c r="U73" s="301">
        <f t="shared" ca="1" si="361"/>
        <v>0</v>
      </c>
      <c r="V73" s="301">
        <f t="shared" ca="1" si="361"/>
        <v>-79.174999999999997</v>
      </c>
      <c r="W73" s="301">
        <f t="shared" ca="1" si="361"/>
        <v>0</v>
      </c>
      <c r="X73" s="301">
        <f t="shared" ca="1" si="361"/>
        <v>0</v>
      </c>
      <c r="Y73" s="301">
        <f t="shared" ca="1" si="361"/>
        <v>0</v>
      </c>
      <c r="Z73" s="301">
        <f t="shared" ca="1" si="361"/>
        <v>0</v>
      </c>
      <c r="AA73" s="301">
        <f t="shared" ca="1" si="361"/>
        <v>0</v>
      </c>
      <c r="AB73" s="301">
        <f t="shared" ca="1" si="361"/>
        <v>0</v>
      </c>
      <c r="AC73" s="301">
        <f t="shared" ca="1" si="361"/>
        <v>0</v>
      </c>
      <c r="AD73" s="301">
        <f t="shared" ca="1" si="361"/>
        <v>0</v>
      </c>
      <c r="AE73" s="301">
        <f t="shared" ca="1" si="361"/>
        <v>-310</v>
      </c>
      <c r="AF73" s="301">
        <f t="shared" ca="1" si="361"/>
        <v>0</v>
      </c>
      <c r="AG73" s="301">
        <f t="shared" ca="1" si="361"/>
        <v>0</v>
      </c>
      <c r="AH73" s="301">
        <f t="shared" ca="1" si="361"/>
        <v>0</v>
      </c>
      <c r="AI73" s="301">
        <f t="shared" ca="1" si="361"/>
        <v>0</v>
      </c>
      <c r="AJ73" s="301">
        <f t="shared" ca="1" si="361"/>
        <v>0</v>
      </c>
      <c r="AK73" s="301">
        <f t="shared" ca="1" si="361"/>
        <v>0</v>
      </c>
      <c r="AL73" s="301">
        <f t="shared" ca="1" si="361"/>
        <v>0</v>
      </c>
      <c r="AM73" s="301">
        <f t="shared" ca="1" si="361"/>
        <v>0</v>
      </c>
      <c r="AN73" s="301">
        <f t="shared" ca="1" si="361"/>
        <v>0</v>
      </c>
      <c r="AO73" s="301">
        <f t="shared" ref="AO73:BT73" ca="1" si="362">-SUM(AO66:AO70)</f>
        <v>0</v>
      </c>
      <c r="AP73" s="301">
        <f t="shared" ca="1" si="362"/>
        <v>0</v>
      </c>
      <c r="AQ73" s="301">
        <f t="shared" ca="1" si="362"/>
        <v>0</v>
      </c>
      <c r="AR73" s="301">
        <f t="shared" ca="1" si="362"/>
        <v>0</v>
      </c>
      <c r="AS73" s="301">
        <f t="shared" ca="1" si="362"/>
        <v>0</v>
      </c>
      <c r="AT73" s="301">
        <f t="shared" ca="1" si="362"/>
        <v>0</v>
      </c>
      <c r="AU73" s="301">
        <f t="shared" ca="1" si="362"/>
        <v>0</v>
      </c>
      <c r="AV73" s="301">
        <f t="shared" ca="1" si="362"/>
        <v>0</v>
      </c>
      <c r="AW73" s="301">
        <f t="shared" ca="1" si="362"/>
        <v>0</v>
      </c>
      <c r="AX73" s="301">
        <f t="shared" ca="1" si="362"/>
        <v>0</v>
      </c>
      <c r="AY73" s="301">
        <f t="shared" ca="1" si="362"/>
        <v>-141.08000000000001</v>
      </c>
      <c r="AZ73" s="301">
        <f t="shared" ca="1" si="362"/>
        <v>0</v>
      </c>
      <c r="BA73" s="301">
        <f t="shared" ca="1" si="362"/>
        <v>-248.2</v>
      </c>
      <c r="BB73" s="301">
        <f t="shared" ca="1" si="362"/>
        <v>-320</v>
      </c>
      <c r="BC73" s="301">
        <f t="shared" ca="1" si="362"/>
        <v>0</v>
      </c>
      <c r="BD73" s="301">
        <f t="shared" ca="1" si="362"/>
        <v>0</v>
      </c>
      <c r="BE73" s="301">
        <f t="shared" ca="1" si="362"/>
        <v>-617</v>
      </c>
      <c r="BF73" s="301">
        <f t="shared" ca="1" si="362"/>
        <v>0</v>
      </c>
      <c r="BG73" s="301">
        <f t="shared" ca="1" si="362"/>
        <v>0</v>
      </c>
      <c r="BH73" s="301">
        <f t="shared" ca="1" si="362"/>
        <v>0</v>
      </c>
      <c r="BI73" s="301">
        <f t="shared" ca="1" si="362"/>
        <v>0</v>
      </c>
      <c r="BJ73" s="301">
        <f t="shared" ca="1" si="362"/>
        <v>0</v>
      </c>
      <c r="BK73" s="301">
        <f t="shared" ca="1" si="362"/>
        <v>0</v>
      </c>
      <c r="BL73" s="301">
        <f t="shared" ca="1" si="362"/>
        <v>-219.452</v>
      </c>
      <c r="BM73" s="301">
        <f t="shared" ca="1" si="362"/>
        <v>0</v>
      </c>
      <c r="BN73" s="301">
        <f t="shared" ca="1" si="362"/>
        <v>0</v>
      </c>
      <c r="BO73" s="301">
        <f t="shared" ca="1" si="362"/>
        <v>0</v>
      </c>
      <c r="BP73" s="301">
        <f t="shared" ca="1" si="362"/>
        <v>-88.5</v>
      </c>
      <c r="BQ73" s="301">
        <f t="shared" ca="1" si="362"/>
        <v>0</v>
      </c>
      <c r="BR73" s="301">
        <f t="shared" ca="1" si="362"/>
        <v>0</v>
      </c>
      <c r="BS73" s="301">
        <f t="shared" ca="1" si="362"/>
        <v>0</v>
      </c>
      <c r="BT73" s="301">
        <f t="shared" ca="1" si="362"/>
        <v>0</v>
      </c>
      <c r="BU73" s="301">
        <f t="shared" ref="BU73:CZ73" ca="1" si="363">-SUM(BU66:BU70)</f>
        <v>0</v>
      </c>
      <c r="BV73" s="301">
        <f t="shared" ca="1" si="363"/>
        <v>0</v>
      </c>
      <c r="BW73" s="301">
        <f t="shared" ca="1" si="363"/>
        <v>0</v>
      </c>
      <c r="BX73" s="301">
        <f t="shared" ca="1" si="363"/>
        <v>0</v>
      </c>
      <c r="BY73" s="301">
        <f t="shared" ca="1" si="363"/>
        <v>0</v>
      </c>
      <c r="BZ73" s="301">
        <f t="shared" ca="1" si="363"/>
        <v>0</v>
      </c>
      <c r="CA73" s="301">
        <f t="shared" ca="1" si="363"/>
        <v>0</v>
      </c>
      <c r="CB73" s="301">
        <f t="shared" ca="1" si="363"/>
        <v>0</v>
      </c>
      <c r="CC73" s="301">
        <f t="shared" ca="1" si="363"/>
        <v>0</v>
      </c>
      <c r="CD73" s="301">
        <f t="shared" ca="1" si="363"/>
        <v>0</v>
      </c>
      <c r="CE73" s="301">
        <f t="shared" ca="1" si="363"/>
        <v>0</v>
      </c>
      <c r="CF73" s="301">
        <f t="shared" ca="1" si="363"/>
        <v>0</v>
      </c>
      <c r="CG73" s="301">
        <f t="shared" ca="1" si="363"/>
        <v>0</v>
      </c>
      <c r="CH73" s="301">
        <f t="shared" ca="1" si="363"/>
        <v>0</v>
      </c>
      <c r="CI73" s="301">
        <f t="shared" ca="1" si="363"/>
        <v>0</v>
      </c>
      <c r="CJ73" s="301">
        <f t="shared" ca="1" si="363"/>
        <v>0</v>
      </c>
      <c r="CK73" s="301">
        <f t="shared" ca="1" si="363"/>
        <v>0</v>
      </c>
      <c r="CL73" s="301">
        <f t="shared" ca="1" si="363"/>
        <v>0</v>
      </c>
      <c r="CM73" s="301">
        <f t="shared" ca="1" si="363"/>
        <v>0</v>
      </c>
      <c r="CN73" s="301">
        <f t="shared" ca="1" si="363"/>
        <v>0</v>
      </c>
      <c r="CO73" s="301">
        <f t="shared" ca="1" si="363"/>
        <v>0</v>
      </c>
      <c r="CP73" s="301">
        <f t="shared" ca="1" si="363"/>
        <v>0</v>
      </c>
      <c r="CQ73" s="301">
        <f t="shared" ca="1" si="363"/>
        <v>0</v>
      </c>
      <c r="CR73" s="301">
        <f t="shared" ca="1" si="363"/>
        <v>0</v>
      </c>
      <c r="CS73" s="301">
        <f t="shared" ca="1" si="363"/>
        <v>0</v>
      </c>
      <c r="CT73" s="301">
        <f t="shared" ca="1" si="363"/>
        <v>0</v>
      </c>
      <c r="CU73" s="301">
        <f t="shared" ca="1" si="363"/>
        <v>0</v>
      </c>
      <c r="CV73" s="301">
        <f t="shared" ca="1" si="363"/>
        <v>0</v>
      </c>
      <c r="CW73" s="301">
        <f t="shared" ca="1" si="363"/>
        <v>0</v>
      </c>
      <c r="CX73" s="301">
        <f t="shared" ca="1" si="363"/>
        <v>0</v>
      </c>
      <c r="CY73" s="301">
        <f t="shared" ca="1" si="363"/>
        <v>0</v>
      </c>
      <c r="CZ73" s="301">
        <f t="shared" ca="1" si="363"/>
        <v>0</v>
      </c>
      <c r="DA73" s="301">
        <f t="shared" ref="DA73:EE73" ca="1" si="364">-SUM(DA66:DA70)</f>
        <v>0</v>
      </c>
      <c r="DB73" s="301">
        <f t="shared" ca="1" si="364"/>
        <v>0</v>
      </c>
      <c r="DC73" s="301">
        <f t="shared" ca="1" si="364"/>
        <v>0</v>
      </c>
      <c r="DD73" s="301">
        <f t="shared" ca="1" si="364"/>
        <v>0</v>
      </c>
      <c r="DE73" s="301">
        <f t="shared" ca="1" si="364"/>
        <v>0</v>
      </c>
      <c r="DF73" s="301">
        <f t="shared" ca="1" si="364"/>
        <v>0</v>
      </c>
      <c r="DG73" s="301">
        <f t="shared" ca="1" si="364"/>
        <v>27810.627823956129</v>
      </c>
      <c r="DH73" s="301">
        <f t="shared" ca="1" si="364"/>
        <v>0</v>
      </c>
      <c r="DI73" s="301">
        <f t="shared" ca="1" si="364"/>
        <v>0</v>
      </c>
      <c r="DJ73" s="301">
        <f t="shared" ca="1" si="364"/>
        <v>0</v>
      </c>
      <c r="DK73" s="301">
        <f t="shared" ca="1" si="364"/>
        <v>0</v>
      </c>
      <c r="DL73" s="301">
        <f t="shared" ca="1" si="364"/>
        <v>0</v>
      </c>
      <c r="DM73" s="301">
        <f t="shared" ca="1" si="364"/>
        <v>0</v>
      </c>
      <c r="DN73" s="301">
        <f t="shared" ca="1" si="364"/>
        <v>0</v>
      </c>
      <c r="DO73" s="301">
        <f t="shared" ca="1" si="364"/>
        <v>0</v>
      </c>
      <c r="DP73" s="301">
        <f t="shared" ca="1" si="364"/>
        <v>0</v>
      </c>
      <c r="DQ73" s="301">
        <f t="shared" ca="1" si="364"/>
        <v>0</v>
      </c>
      <c r="DR73" s="301">
        <f t="shared" ca="1" si="364"/>
        <v>0</v>
      </c>
      <c r="DS73" s="301">
        <f t="shared" ca="1" si="364"/>
        <v>0</v>
      </c>
      <c r="DT73" s="301">
        <f t="shared" ca="1" si="364"/>
        <v>0</v>
      </c>
      <c r="DU73" s="301">
        <f t="shared" ca="1" si="364"/>
        <v>0</v>
      </c>
      <c r="DV73" s="301">
        <f t="shared" ca="1" si="364"/>
        <v>0</v>
      </c>
      <c r="DW73" s="301">
        <f t="shared" ca="1" si="364"/>
        <v>0</v>
      </c>
      <c r="DX73" s="301">
        <f t="shared" ca="1" si="364"/>
        <v>0</v>
      </c>
      <c r="DY73" s="301">
        <f t="shared" ca="1" si="364"/>
        <v>0</v>
      </c>
      <c r="DZ73" s="301">
        <f t="shared" ca="1" si="364"/>
        <v>0</v>
      </c>
      <c r="EA73" s="301">
        <f t="shared" ca="1" si="364"/>
        <v>0</v>
      </c>
      <c r="EB73" s="301">
        <f t="shared" ca="1" si="364"/>
        <v>0</v>
      </c>
      <c r="EC73" s="301">
        <f t="shared" ca="1" si="364"/>
        <v>0</v>
      </c>
      <c r="ED73" s="301">
        <f t="shared" ca="1" si="364"/>
        <v>0</v>
      </c>
      <c r="EE73" s="301">
        <f t="shared" ca="1" si="364"/>
        <v>0</v>
      </c>
    </row>
    <row r="74" spans="2:135">
      <c r="C74" s="319" t="s">
        <v>182</v>
      </c>
      <c r="D74" s="319"/>
      <c r="E74" s="319"/>
      <c r="F74" s="319"/>
      <c r="G74" s="308">
        <f ca="1">IFERROR(XIRR(I73:EE73, $I$8:$EE$8, ), "n/a")</f>
        <v>7.1606448292732258E-2</v>
      </c>
      <c r="H74" s="308"/>
      <c r="I74" s="301"/>
      <c r="J74" s="278"/>
      <c r="K74" s="278"/>
    </row>
    <row r="75" spans="2:135">
      <c r="G75" s="301"/>
      <c r="H75" s="301"/>
      <c r="I75" s="266"/>
      <c r="J75" s="301"/>
      <c r="K75" s="301"/>
    </row>
    <row r="76" spans="2:135">
      <c r="C76" s="265" t="s">
        <v>183</v>
      </c>
      <c r="G76" s="301">
        <f ca="1">SUMIF($I$8:$EE$8, "&lt;="&amp;$E$8, $I76:$EE76)</f>
        <v>0</v>
      </c>
      <c r="H76" s="301"/>
      <c r="I76" s="301">
        <f t="shared" ref="I76:BT76" si="365">I61+I70</f>
        <v>0</v>
      </c>
      <c r="J76" s="301">
        <f t="shared" ca="1" si="365"/>
        <v>0</v>
      </c>
      <c r="K76" s="301">
        <f t="shared" ca="1" si="365"/>
        <v>0</v>
      </c>
      <c r="L76" s="301">
        <f t="shared" ca="1" si="365"/>
        <v>0</v>
      </c>
      <c r="M76" s="301">
        <f t="shared" ca="1" si="365"/>
        <v>0</v>
      </c>
      <c r="N76" s="301">
        <f t="shared" ca="1" si="365"/>
        <v>0</v>
      </c>
      <c r="O76" s="301">
        <f t="shared" ca="1" si="365"/>
        <v>0</v>
      </c>
      <c r="P76" s="301">
        <f t="shared" ca="1" si="365"/>
        <v>0</v>
      </c>
      <c r="Q76" s="301">
        <f t="shared" ca="1" si="365"/>
        <v>0</v>
      </c>
      <c r="R76" s="301">
        <f t="shared" ca="1" si="365"/>
        <v>0</v>
      </c>
      <c r="S76" s="301">
        <f t="shared" ca="1" si="365"/>
        <v>0</v>
      </c>
      <c r="T76" s="301">
        <f t="shared" ca="1" si="365"/>
        <v>0</v>
      </c>
      <c r="U76" s="301">
        <f t="shared" ca="1" si="365"/>
        <v>0</v>
      </c>
      <c r="V76" s="301">
        <f t="shared" ca="1" si="365"/>
        <v>0</v>
      </c>
      <c r="W76" s="301">
        <f t="shared" ca="1" si="365"/>
        <v>0</v>
      </c>
      <c r="X76" s="301">
        <f t="shared" ca="1" si="365"/>
        <v>0</v>
      </c>
      <c r="Y76" s="301">
        <f t="shared" ca="1" si="365"/>
        <v>0</v>
      </c>
      <c r="Z76" s="301">
        <f t="shared" ca="1" si="365"/>
        <v>0</v>
      </c>
      <c r="AA76" s="301">
        <f t="shared" ca="1" si="365"/>
        <v>0</v>
      </c>
      <c r="AB76" s="301">
        <f t="shared" ca="1" si="365"/>
        <v>0</v>
      </c>
      <c r="AC76" s="301">
        <f t="shared" ca="1" si="365"/>
        <v>0</v>
      </c>
      <c r="AD76" s="301">
        <f t="shared" ca="1" si="365"/>
        <v>0</v>
      </c>
      <c r="AE76" s="301">
        <f t="shared" ca="1" si="365"/>
        <v>0</v>
      </c>
      <c r="AF76" s="301">
        <f t="shared" ca="1" si="365"/>
        <v>0</v>
      </c>
      <c r="AG76" s="301">
        <f t="shared" ca="1" si="365"/>
        <v>0</v>
      </c>
      <c r="AH76" s="301">
        <f t="shared" ca="1" si="365"/>
        <v>0</v>
      </c>
      <c r="AI76" s="301">
        <f t="shared" ca="1" si="365"/>
        <v>0</v>
      </c>
      <c r="AJ76" s="301">
        <f t="shared" ca="1" si="365"/>
        <v>0</v>
      </c>
      <c r="AK76" s="301">
        <f t="shared" ca="1" si="365"/>
        <v>0</v>
      </c>
      <c r="AL76" s="301">
        <f t="shared" ca="1" si="365"/>
        <v>0</v>
      </c>
      <c r="AM76" s="301">
        <f t="shared" ca="1" si="365"/>
        <v>0</v>
      </c>
      <c r="AN76" s="301">
        <f t="shared" ca="1" si="365"/>
        <v>0</v>
      </c>
      <c r="AO76" s="301">
        <f t="shared" ca="1" si="365"/>
        <v>0</v>
      </c>
      <c r="AP76" s="301">
        <f t="shared" ca="1" si="365"/>
        <v>0</v>
      </c>
      <c r="AQ76" s="301">
        <f t="shared" ca="1" si="365"/>
        <v>0</v>
      </c>
      <c r="AR76" s="301">
        <f t="shared" ca="1" si="365"/>
        <v>0</v>
      </c>
      <c r="AS76" s="301">
        <f t="shared" ca="1" si="365"/>
        <v>0</v>
      </c>
      <c r="AT76" s="301">
        <f t="shared" ca="1" si="365"/>
        <v>0</v>
      </c>
      <c r="AU76" s="301">
        <f t="shared" ca="1" si="365"/>
        <v>0</v>
      </c>
      <c r="AV76" s="301">
        <f t="shared" ca="1" si="365"/>
        <v>0</v>
      </c>
      <c r="AW76" s="301">
        <f t="shared" ca="1" si="365"/>
        <v>0</v>
      </c>
      <c r="AX76" s="301">
        <f t="shared" ca="1" si="365"/>
        <v>0</v>
      </c>
      <c r="AY76" s="301">
        <f t="shared" ca="1" si="365"/>
        <v>0</v>
      </c>
      <c r="AZ76" s="301">
        <f t="shared" ca="1" si="365"/>
        <v>0</v>
      </c>
      <c r="BA76" s="301">
        <f t="shared" ca="1" si="365"/>
        <v>0</v>
      </c>
      <c r="BB76" s="301">
        <f t="shared" ca="1" si="365"/>
        <v>0</v>
      </c>
      <c r="BC76" s="301">
        <f t="shared" ca="1" si="365"/>
        <v>0</v>
      </c>
      <c r="BD76" s="301">
        <f t="shared" ca="1" si="365"/>
        <v>0</v>
      </c>
      <c r="BE76" s="301">
        <f t="shared" ca="1" si="365"/>
        <v>0</v>
      </c>
      <c r="BF76" s="301">
        <f t="shared" ca="1" si="365"/>
        <v>0</v>
      </c>
      <c r="BG76" s="301">
        <f t="shared" ca="1" si="365"/>
        <v>0</v>
      </c>
      <c r="BH76" s="301">
        <f t="shared" ca="1" si="365"/>
        <v>0</v>
      </c>
      <c r="BI76" s="301">
        <f t="shared" ca="1" si="365"/>
        <v>0</v>
      </c>
      <c r="BJ76" s="301">
        <f t="shared" ca="1" si="365"/>
        <v>0</v>
      </c>
      <c r="BK76" s="301">
        <f t="shared" ca="1" si="365"/>
        <v>0</v>
      </c>
      <c r="BL76" s="301">
        <f t="shared" ca="1" si="365"/>
        <v>0</v>
      </c>
      <c r="BM76" s="301">
        <f t="shared" ca="1" si="365"/>
        <v>0</v>
      </c>
      <c r="BN76" s="301">
        <f t="shared" ca="1" si="365"/>
        <v>0</v>
      </c>
      <c r="BO76" s="301">
        <f t="shared" ca="1" si="365"/>
        <v>0</v>
      </c>
      <c r="BP76" s="301">
        <f t="shared" ca="1" si="365"/>
        <v>0</v>
      </c>
      <c r="BQ76" s="301">
        <f t="shared" ca="1" si="365"/>
        <v>0</v>
      </c>
      <c r="BR76" s="301">
        <f t="shared" ca="1" si="365"/>
        <v>0</v>
      </c>
      <c r="BS76" s="301">
        <f t="shared" ca="1" si="365"/>
        <v>0</v>
      </c>
      <c r="BT76" s="301">
        <f t="shared" ca="1" si="365"/>
        <v>0</v>
      </c>
      <c r="BU76" s="301">
        <f t="shared" ref="BU76:CZ76" ca="1" si="366">BU61+BU70</f>
        <v>0</v>
      </c>
      <c r="BV76" s="301">
        <f t="shared" ca="1" si="366"/>
        <v>0</v>
      </c>
      <c r="BW76" s="301">
        <f t="shared" ca="1" si="366"/>
        <v>0</v>
      </c>
      <c r="BX76" s="301">
        <f t="shared" ca="1" si="366"/>
        <v>0</v>
      </c>
      <c r="BY76" s="301">
        <f t="shared" ca="1" si="366"/>
        <v>0</v>
      </c>
      <c r="BZ76" s="301">
        <f t="shared" ca="1" si="366"/>
        <v>0</v>
      </c>
      <c r="CA76" s="301">
        <f t="shared" ca="1" si="366"/>
        <v>0</v>
      </c>
      <c r="CB76" s="301">
        <f t="shared" ca="1" si="366"/>
        <v>0</v>
      </c>
      <c r="CC76" s="301">
        <f t="shared" ca="1" si="366"/>
        <v>0</v>
      </c>
      <c r="CD76" s="301">
        <f t="shared" ca="1" si="366"/>
        <v>0</v>
      </c>
      <c r="CE76" s="301">
        <f t="shared" ca="1" si="366"/>
        <v>0</v>
      </c>
      <c r="CF76" s="301">
        <f t="shared" ca="1" si="366"/>
        <v>0</v>
      </c>
      <c r="CG76" s="301">
        <f t="shared" ca="1" si="366"/>
        <v>0</v>
      </c>
      <c r="CH76" s="301">
        <f t="shared" ca="1" si="366"/>
        <v>0</v>
      </c>
      <c r="CI76" s="301">
        <f t="shared" ca="1" si="366"/>
        <v>0</v>
      </c>
      <c r="CJ76" s="301">
        <f t="shared" ca="1" si="366"/>
        <v>0</v>
      </c>
      <c r="CK76" s="301">
        <f t="shared" ca="1" si="366"/>
        <v>0</v>
      </c>
      <c r="CL76" s="301">
        <f t="shared" ca="1" si="366"/>
        <v>0</v>
      </c>
      <c r="CM76" s="301">
        <f t="shared" ca="1" si="366"/>
        <v>0</v>
      </c>
      <c r="CN76" s="301">
        <f t="shared" ca="1" si="366"/>
        <v>0</v>
      </c>
      <c r="CO76" s="301">
        <f t="shared" ca="1" si="366"/>
        <v>0</v>
      </c>
      <c r="CP76" s="301">
        <f t="shared" ca="1" si="366"/>
        <v>0</v>
      </c>
      <c r="CQ76" s="301">
        <f t="shared" ca="1" si="366"/>
        <v>0</v>
      </c>
      <c r="CR76" s="301">
        <f t="shared" ca="1" si="366"/>
        <v>0</v>
      </c>
      <c r="CS76" s="301">
        <f t="shared" ca="1" si="366"/>
        <v>0</v>
      </c>
      <c r="CT76" s="301">
        <f t="shared" ca="1" si="366"/>
        <v>0</v>
      </c>
      <c r="CU76" s="301">
        <f t="shared" ca="1" si="366"/>
        <v>0</v>
      </c>
      <c r="CV76" s="301">
        <f t="shared" ca="1" si="366"/>
        <v>0</v>
      </c>
      <c r="CW76" s="301">
        <f t="shared" ca="1" si="366"/>
        <v>0</v>
      </c>
      <c r="CX76" s="301">
        <f t="shared" ca="1" si="366"/>
        <v>0</v>
      </c>
      <c r="CY76" s="301">
        <f t="shared" ca="1" si="366"/>
        <v>0</v>
      </c>
      <c r="CZ76" s="301">
        <f t="shared" ca="1" si="366"/>
        <v>0</v>
      </c>
      <c r="DA76" s="301">
        <f t="shared" ref="DA76:EE76" ca="1" si="367">DA61+DA70</f>
        <v>0</v>
      </c>
      <c r="DB76" s="301">
        <f t="shared" ca="1" si="367"/>
        <v>0</v>
      </c>
      <c r="DC76" s="301">
        <f t="shared" ca="1" si="367"/>
        <v>0</v>
      </c>
      <c r="DD76" s="301">
        <f t="shared" ca="1" si="367"/>
        <v>0</v>
      </c>
      <c r="DE76" s="301">
        <f t="shared" ca="1" si="367"/>
        <v>0</v>
      </c>
      <c r="DF76" s="301">
        <f t="shared" ca="1" si="367"/>
        <v>0</v>
      </c>
      <c r="DG76" s="301">
        <f t="shared" ca="1" si="367"/>
        <v>0</v>
      </c>
      <c r="DH76" s="301">
        <f t="shared" ca="1" si="367"/>
        <v>0</v>
      </c>
      <c r="DI76" s="301">
        <f t="shared" ca="1" si="367"/>
        <v>0</v>
      </c>
      <c r="DJ76" s="301">
        <f t="shared" ca="1" si="367"/>
        <v>0</v>
      </c>
      <c r="DK76" s="301">
        <f t="shared" ca="1" si="367"/>
        <v>0</v>
      </c>
      <c r="DL76" s="301">
        <f t="shared" ca="1" si="367"/>
        <v>0</v>
      </c>
      <c r="DM76" s="301">
        <f t="shared" ca="1" si="367"/>
        <v>0</v>
      </c>
      <c r="DN76" s="301">
        <f t="shared" ca="1" si="367"/>
        <v>0</v>
      </c>
      <c r="DO76" s="301">
        <f t="shared" ca="1" si="367"/>
        <v>0</v>
      </c>
      <c r="DP76" s="301">
        <f t="shared" ca="1" si="367"/>
        <v>0</v>
      </c>
      <c r="DQ76" s="301">
        <f t="shared" ca="1" si="367"/>
        <v>0</v>
      </c>
      <c r="DR76" s="301">
        <f t="shared" ca="1" si="367"/>
        <v>0</v>
      </c>
      <c r="DS76" s="301">
        <f t="shared" ca="1" si="367"/>
        <v>0</v>
      </c>
      <c r="DT76" s="301">
        <f t="shared" ca="1" si="367"/>
        <v>0</v>
      </c>
      <c r="DU76" s="301">
        <f t="shared" ca="1" si="367"/>
        <v>0</v>
      </c>
      <c r="DV76" s="301">
        <f t="shared" ca="1" si="367"/>
        <v>0</v>
      </c>
      <c r="DW76" s="301">
        <f t="shared" ca="1" si="367"/>
        <v>0</v>
      </c>
      <c r="DX76" s="301">
        <f t="shared" ca="1" si="367"/>
        <v>0</v>
      </c>
      <c r="DY76" s="301">
        <f t="shared" ca="1" si="367"/>
        <v>0</v>
      </c>
      <c r="DZ76" s="301">
        <f t="shared" ca="1" si="367"/>
        <v>0</v>
      </c>
      <c r="EA76" s="301">
        <f t="shared" ca="1" si="367"/>
        <v>0</v>
      </c>
      <c r="EB76" s="301">
        <f t="shared" ca="1" si="367"/>
        <v>0</v>
      </c>
      <c r="EC76" s="301">
        <f t="shared" ca="1" si="367"/>
        <v>0</v>
      </c>
      <c r="ED76" s="301">
        <f t="shared" ca="1" si="367"/>
        <v>0</v>
      </c>
      <c r="EE76" s="301">
        <f t="shared" ca="1" si="367"/>
        <v>0</v>
      </c>
    </row>
    <row r="78" spans="2:135">
      <c r="B78" s="265" t="s">
        <v>165</v>
      </c>
    </row>
    <row r="79" spans="2:135">
      <c r="C79" s="265" t="str">
        <f>C64</f>
        <v>Beginning Capital Balance</v>
      </c>
      <c r="I79" s="312">
        <v>0</v>
      </c>
      <c r="J79" s="301">
        <f t="shared" ref="J79:BU79" si="368">I87</f>
        <v>13708</v>
      </c>
      <c r="K79" s="301">
        <f t="shared" ca="1" si="368"/>
        <v>13836.282248991489</v>
      </c>
      <c r="L79" s="301">
        <f t="shared" ca="1" si="368"/>
        <v>13970.101886647353</v>
      </c>
      <c r="M79" s="301">
        <f t="shared" ca="1" si="368"/>
        <v>14100.836938344126</v>
      </c>
      <c r="N79" s="301">
        <f t="shared" ca="1" si="368"/>
        <v>14237.215255566671</v>
      </c>
      <c r="O79" s="301">
        <f t="shared" ca="1" si="368"/>
        <v>14521.27500843799</v>
      </c>
      <c r="P79" s="301">
        <f t="shared" ca="1" si="368"/>
        <v>14661.719654258362</v>
      </c>
      <c r="Q79" s="301">
        <f t="shared" ca="1" si="368"/>
        <v>14803.522631115655</v>
      </c>
      <c r="R79" s="301">
        <f t="shared" ca="1" si="368"/>
        <v>14932.781178732252</v>
      </c>
      <c r="S79" s="301">
        <f t="shared" ca="1" si="368"/>
        <v>15077.205766968584</v>
      </c>
      <c r="T79" s="301">
        <f t="shared" ca="1" si="368"/>
        <v>15218.301321702622</v>
      </c>
      <c r="U79" s="301">
        <f t="shared" ca="1" si="368"/>
        <v>15365.487359972147</v>
      </c>
      <c r="V79" s="301">
        <f t="shared" ca="1" si="368"/>
        <v>15509.28071242236</v>
      </c>
      <c r="W79" s="301">
        <f t="shared" ca="1" si="368"/>
        <v>15738.456000642174</v>
      </c>
      <c r="X79" s="301">
        <f t="shared" ca="1" si="368"/>
        <v>15890.672791349967</v>
      </c>
      <c r="Y79" s="301">
        <f t="shared" ca="1" si="368"/>
        <v>16039.38093576653</v>
      </c>
      <c r="Z79" s="301">
        <f t="shared" ca="1" si="368"/>
        <v>16194.508166219284</v>
      </c>
      <c r="AA79" s="301">
        <f t="shared" ca="1" si="368"/>
        <v>16346.059663802713</v>
      </c>
      <c r="AB79" s="301">
        <f t="shared" ca="1" si="368"/>
        <v>16504.152982654363</v>
      </c>
      <c r="AC79" s="301">
        <f t="shared" ca="1" si="368"/>
        <v>16663.775324278446</v>
      </c>
      <c r="AD79" s="301">
        <f t="shared" ca="1" si="368"/>
        <v>16809.276868059529</v>
      </c>
      <c r="AE79" s="301">
        <f t="shared" ca="1" si="368"/>
        <v>16971.850260193445</v>
      </c>
      <c r="AF79" s="301">
        <f t="shared" ca="1" si="368"/>
        <v>17440.676283021312</v>
      </c>
      <c r="AG79" s="301">
        <f t="shared" ca="1" si="368"/>
        <v>17609.356347410521</v>
      </c>
      <c r="AH79" s="301">
        <f t="shared" ca="1" si="368"/>
        <v>17774.148281721755</v>
      </c>
      <c r="AI79" s="301">
        <f t="shared" ca="1" si="368"/>
        <v>17946.053569565604</v>
      </c>
      <c r="AJ79" s="301">
        <f t="shared" ca="1" si="368"/>
        <v>18119.621464670305</v>
      </c>
      <c r="AK79" s="301">
        <f t="shared" ca="1" si="368"/>
        <v>18289.188563617077</v>
      </c>
      <c r="AL79" s="301">
        <f t="shared" ca="1" si="368"/>
        <v>18466.075139256383</v>
      </c>
      <c r="AM79" s="301">
        <f t="shared" ca="1" si="368"/>
        <v>18638.884422077339</v>
      </c>
      <c r="AN79" s="301">
        <f t="shared" ca="1" si="368"/>
        <v>18819.1531326158</v>
      </c>
      <c r="AO79" s="301">
        <f t="shared" ca="1" si="368"/>
        <v>19001.165338487102</v>
      </c>
      <c r="AP79" s="301">
        <f t="shared" ca="1" si="368"/>
        <v>19167.07605419157</v>
      </c>
      <c r="AQ79" s="301">
        <f t="shared" ca="1" si="368"/>
        <v>19352.453247742334</v>
      </c>
      <c r="AR79" s="301">
        <f t="shared" ca="1" si="368"/>
        <v>19533.557436983876</v>
      </c>
      <c r="AS79" s="301">
        <f t="shared" ca="1" si="368"/>
        <v>19722.47910909979</v>
      </c>
      <c r="AT79" s="301">
        <f t="shared" ca="1" si="368"/>
        <v>19907.046075528371</v>
      </c>
      <c r="AU79" s="301">
        <f t="shared" ca="1" si="368"/>
        <v>20099.579997913483</v>
      </c>
      <c r="AV79" s="301">
        <f t="shared" ca="1" si="368"/>
        <v>20293.976040430749</v>
      </c>
      <c r="AW79" s="301">
        <f t="shared" ca="1" si="368"/>
        <v>20483.891191251136</v>
      </c>
      <c r="AX79" s="301">
        <f t="shared" ca="1" si="368"/>
        <v>20682.004155967159</v>
      </c>
      <c r="AY79" s="301">
        <f t="shared" ca="1" si="368"/>
        <v>20875.550552726629</v>
      </c>
      <c r="AZ79" s="301">
        <f t="shared" ca="1" si="368"/>
        <v>21218.531508529708</v>
      </c>
      <c r="BA79" s="301">
        <f t="shared" ca="1" si="368"/>
        <v>21423.749655063828</v>
      </c>
      <c r="BB79" s="301">
        <f t="shared" ca="1" si="368"/>
        <v>21865.72439939106</v>
      </c>
      <c r="BC79" s="301">
        <f t="shared" ca="1" si="368"/>
        <v>22397.201967104222</v>
      </c>
      <c r="BD79" s="301">
        <f t="shared" ca="1" si="368"/>
        <v>22606.799533449182</v>
      </c>
      <c r="BE79" s="301">
        <f t="shared" ca="1" si="368"/>
        <v>22825.44451825682</v>
      </c>
      <c r="BF79" s="301">
        <f t="shared" ca="1" si="368"/>
        <v>23656.049665399543</v>
      </c>
      <c r="BG79" s="301">
        <f t="shared" ca="1" si="368"/>
        <v>23884.842627094411</v>
      </c>
      <c r="BH79" s="301">
        <f t="shared" ca="1" si="368"/>
        <v>24115.84839355007</v>
      </c>
      <c r="BI79" s="301">
        <f t="shared" ca="1" si="368"/>
        <v>24341.529402323224</v>
      </c>
      <c r="BJ79" s="301">
        <f t="shared" ca="1" si="368"/>
        <v>24576.952082056854</v>
      </c>
      <c r="BK79" s="301">
        <f t="shared" ca="1" si="368"/>
        <v>24806.948192827378</v>
      </c>
      <c r="BL79" s="301">
        <f t="shared" ca="1" si="368"/>
        <v>25046.872238808293</v>
      </c>
      <c r="BM79" s="301">
        <f t="shared" ca="1" si="368"/>
        <v>25508.568745467903</v>
      </c>
      <c r="BN79" s="301">
        <f t="shared" ca="1" si="368"/>
        <v>25731.299552856064</v>
      </c>
      <c r="BO79" s="301">
        <f t="shared" ca="1" si="368"/>
        <v>25980.16359889189</v>
      </c>
      <c r="BP79" s="301">
        <f t="shared" ca="1" si="368"/>
        <v>26223.291248121004</v>
      </c>
      <c r="BQ79" s="301">
        <f t="shared" ca="1" si="368"/>
        <v>26565.41366415863</v>
      </c>
      <c r="BR79" s="301">
        <f t="shared" ca="1" si="368"/>
        <v>26814.018202401079</v>
      </c>
      <c r="BS79" s="301">
        <f t="shared" ca="1" si="368"/>
        <v>27073.353921011807</v>
      </c>
      <c r="BT79" s="301">
        <f t="shared" ca="1" si="368"/>
        <v>27335.197843146514</v>
      </c>
      <c r="BU79" s="301">
        <f t="shared" ca="1" si="368"/>
        <v>27591.006178129453</v>
      </c>
      <c r="BV79" s="301">
        <f t="shared" ref="BV79:CZ79" ca="1" si="369">BU87</f>
        <v>27857.856650161932</v>
      </c>
      <c r="BW79" s="301">
        <f t="shared" ca="1" si="369"/>
        <v>28118.556132447116</v>
      </c>
      <c r="BX79" s="301">
        <f t="shared" ca="1" si="369"/>
        <v>28390.508881410762</v>
      </c>
      <c r="BY79" s="301">
        <f t="shared" ca="1" si="369"/>
        <v>28665.091861362107</v>
      </c>
      <c r="BZ79" s="301">
        <f t="shared" ca="1" si="369"/>
        <v>28915.384189318429</v>
      </c>
      <c r="CA79" s="301">
        <f t="shared" ca="1" si="369"/>
        <v>29195.043577965025</v>
      </c>
      <c r="CB79" s="301">
        <f t="shared" ca="1" si="369"/>
        <v>29468.256727190725</v>
      </c>
      <c r="CC79" s="301">
        <f t="shared" ca="1" si="369"/>
        <v>29753.263303857668</v>
      </c>
      <c r="CD79" s="301">
        <f t="shared" ca="1" si="369"/>
        <v>30031.700386689212</v>
      </c>
      <c r="CE79" s="301">
        <f t="shared" ca="1" si="369"/>
        <v>30322.156391533226</v>
      </c>
      <c r="CF79" s="301">
        <f t="shared" ca="1" si="369"/>
        <v>30615.4215843241</v>
      </c>
      <c r="CG79" s="301">
        <f t="shared" ca="1" si="369"/>
        <v>30901.926919504993</v>
      </c>
      <c r="CH79" s="301">
        <f t="shared" ca="1" si="369"/>
        <v>31200.799448181369</v>
      </c>
      <c r="CI79" s="301">
        <f t="shared" ca="1" si="369"/>
        <v>31492.782868340775</v>
      </c>
      <c r="CJ79" s="301">
        <f t="shared" ca="1" si="369"/>
        <v>31797.369947180061</v>
      </c>
      <c r="CK79" s="301">
        <f t="shared" ca="1" si="369"/>
        <v>32104.902884725569</v>
      </c>
      <c r="CL79" s="301">
        <f t="shared" ca="1" si="369"/>
        <v>32385.230292036649</v>
      </c>
      <c r="CM79" s="301">
        <f t="shared" ca="1" si="369"/>
        <v>32698.448807320834</v>
      </c>
      <c r="CN79" s="301">
        <f t="shared" ca="1" si="369"/>
        <v>33004.447534453619</v>
      </c>
      <c r="CO79" s="301">
        <f t="shared" ca="1" si="369"/>
        <v>33323.654900320595</v>
      </c>
      <c r="CP79" s="301">
        <f t="shared" ca="1" si="369"/>
        <v>33635.504433091926</v>
      </c>
      <c r="CQ79" s="301">
        <f t="shared" ca="1" si="369"/>
        <v>33960.815158517224</v>
      </c>
      <c r="CR79" s="301">
        <f t="shared" ca="1" si="369"/>
        <v>34289.272174443002</v>
      </c>
      <c r="CS79" s="301">
        <f t="shared" ca="1" si="369"/>
        <v>34610.1581498456</v>
      </c>
      <c r="CT79" s="301">
        <f t="shared" ca="1" si="369"/>
        <v>34944.895381963142</v>
      </c>
      <c r="CU79" s="301">
        <f t="shared" ca="1" si="369"/>
        <v>35271.916812541676</v>
      </c>
      <c r="CV79" s="301">
        <f t="shared" ca="1" si="369"/>
        <v>35613.054340841678</v>
      </c>
      <c r="CW79" s="301">
        <f t="shared" ca="1" si="369"/>
        <v>35957.491230892643</v>
      </c>
      <c r="CX79" s="301">
        <f t="shared" ca="1" si="369"/>
        <v>36282.721584220075</v>
      </c>
      <c r="CY79" s="301">
        <f t="shared" ca="1" si="369"/>
        <v>36633.635259454102</v>
      </c>
      <c r="CZ79" s="301">
        <f t="shared" ca="1" si="369"/>
        <v>36976.46026089973</v>
      </c>
      <c r="DA79" s="301">
        <f t="shared" ref="DA79" ca="1" si="370">CZ87</f>
        <v>37334.083531722405</v>
      </c>
      <c r="DB79" s="301">
        <f t="shared" ref="DB79" ca="1" si="371">DA87</f>
        <v>37683.463470406787</v>
      </c>
      <c r="DC79" s="301">
        <f t="shared" ref="DC79" ca="1" si="372">DB87</f>
        <v>38047.92462669719</v>
      </c>
      <c r="DD79" s="301">
        <f t="shared" ref="DD79" ca="1" si="373">DC87</f>
        <v>38415.910722635163</v>
      </c>
      <c r="DE79" s="301">
        <f t="shared" ref="DE79" ca="1" si="374">DD87</f>
        <v>38775.414619961972</v>
      </c>
      <c r="DF79" s="301">
        <f t="shared" ref="DF79" ca="1" si="375">DE87</f>
        <v>39150.436742308273</v>
      </c>
      <c r="DG79" s="301">
        <f t="shared" ref="DG79" ca="1" si="376">DF87</f>
        <v>39516.81448335747</v>
      </c>
      <c r="DH79" s="301">
        <f t="shared" ref="DH79" ca="1" si="377">DG87</f>
        <v>12088.379339509638</v>
      </c>
      <c r="DI79" s="301">
        <f t="shared" ref="DI79" ca="1" si="378">DH87</f>
        <v>12205.29387724088</v>
      </c>
      <c r="DJ79" s="301">
        <f t="shared" ref="DJ79" ca="1" si="379">DI87</f>
        <v>12205.29387724088</v>
      </c>
      <c r="DK79" s="301">
        <f t="shared" ref="DK79" ca="1" si="380">DJ87</f>
        <v>12205.29387724088</v>
      </c>
      <c r="DL79" s="301">
        <f t="shared" ref="DL79" ca="1" si="381">DK87</f>
        <v>12205.29387724088</v>
      </c>
      <c r="DM79" s="301">
        <f t="shared" ref="DM79" ca="1" si="382">DL87</f>
        <v>12205.29387724088</v>
      </c>
      <c r="DN79" s="301">
        <f t="shared" ref="DN79" ca="1" si="383">DM87</f>
        <v>12205.29387724088</v>
      </c>
      <c r="DO79" s="301">
        <f t="shared" ref="DO79" ca="1" si="384">DN87</f>
        <v>12205.29387724088</v>
      </c>
      <c r="DP79" s="301">
        <f t="shared" ref="DP79" ca="1" si="385">DO87</f>
        <v>12205.29387724088</v>
      </c>
      <c r="DQ79" s="301">
        <f t="shared" ref="DQ79" ca="1" si="386">DP87</f>
        <v>12205.29387724088</v>
      </c>
      <c r="DR79" s="301">
        <f t="shared" ref="DR79" ca="1" si="387">DQ87</f>
        <v>12205.29387724088</v>
      </c>
      <c r="DS79" s="301">
        <f t="shared" ref="DS79" ca="1" si="388">DR87</f>
        <v>12205.29387724088</v>
      </c>
      <c r="DT79" s="301">
        <f t="shared" ref="DT79" ca="1" si="389">DS87</f>
        <v>12205.29387724088</v>
      </c>
      <c r="DU79" s="301">
        <f t="shared" ref="DU79" ca="1" si="390">DT87</f>
        <v>12205.29387724088</v>
      </c>
      <c r="DV79" s="301">
        <f t="shared" ref="DV79" ca="1" si="391">DU87</f>
        <v>12205.29387724088</v>
      </c>
      <c r="DW79" s="301">
        <f t="shared" ref="DW79" ca="1" si="392">DV87</f>
        <v>12205.29387724088</v>
      </c>
      <c r="DX79" s="301">
        <f t="shared" ref="DX79" ca="1" si="393">DW87</f>
        <v>12205.29387724088</v>
      </c>
      <c r="DY79" s="301">
        <f t="shared" ref="DY79" ca="1" si="394">DX87</f>
        <v>12205.29387724088</v>
      </c>
      <c r="DZ79" s="301">
        <f t="shared" ref="DZ79" ca="1" si="395">DY87</f>
        <v>12205.29387724088</v>
      </c>
      <c r="EA79" s="301">
        <f t="shared" ref="EA79" ca="1" si="396">DZ87</f>
        <v>12205.29387724088</v>
      </c>
      <c r="EB79" s="301">
        <f t="shared" ref="EB79" ca="1" si="397">EA87</f>
        <v>12205.29387724088</v>
      </c>
      <c r="EC79" s="301">
        <f t="shared" ref="EC79" ca="1" si="398">EB87</f>
        <v>12205.29387724088</v>
      </c>
      <c r="ED79" s="301">
        <f t="shared" ref="ED79" ca="1" si="399">EC87</f>
        <v>12205.29387724088</v>
      </c>
      <c r="EE79" s="301">
        <f t="shared" ref="EE79" ca="1" si="400">ED87</f>
        <v>12205.29387724088</v>
      </c>
    </row>
    <row r="80" spans="2:135">
      <c r="C80" s="265" t="str">
        <f>C65</f>
        <v>Accrued Preference</v>
      </c>
      <c r="E80" s="320">
        <v>1</v>
      </c>
      <c r="F80" s="310">
        <f>E21</f>
        <v>0.12</v>
      </c>
      <c r="G80" s="301">
        <f t="shared" ref="G80:G86" ca="1" si="401">SUMIF($I$8:$EE$8, "&lt;="&amp;$E$8, $I80:$EE80)</f>
        <v>24133.689701196985</v>
      </c>
      <c r="H80" s="301"/>
      <c r="I80" s="301">
        <v>0</v>
      </c>
      <c r="J80" s="301">
        <f t="shared" ref="J80:BU80" si="402">IF(J$8&lt;=$F$8, J79*((1+$F80)^((J$8-I$8)/365) - 1), 0)</f>
        <v>128.28224899148938</v>
      </c>
      <c r="K80" s="301">
        <f t="shared" ca="1" si="402"/>
        <v>133.81963765586411</v>
      </c>
      <c r="L80" s="301">
        <f t="shared" ca="1" si="402"/>
        <v>130.7350516967735</v>
      </c>
      <c r="M80" s="301">
        <f t="shared" ca="1" si="402"/>
        <v>136.37831722254541</v>
      </c>
      <c r="N80" s="301">
        <f t="shared" ca="1" si="402"/>
        <v>133.23475287131853</v>
      </c>
      <c r="O80" s="301">
        <f t="shared" ca="1" si="402"/>
        <v>140.44464582037324</v>
      </c>
      <c r="P80" s="301">
        <f t="shared" ca="1" si="402"/>
        <v>141.80297685729312</v>
      </c>
      <c r="Q80" s="301">
        <f t="shared" ca="1" si="402"/>
        <v>129.25854761659772</v>
      </c>
      <c r="R80" s="301">
        <f t="shared" ca="1" si="402"/>
        <v>144.42458823633143</v>
      </c>
      <c r="S80" s="301">
        <f t="shared" ca="1" si="402"/>
        <v>141.09555473403731</v>
      </c>
      <c r="T80" s="301">
        <f t="shared" ca="1" si="402"/>
        <v>147.18603826952443</v>
      </c>
      <c r="U80" s="301">
        <f t="shared" ca="1" si="402"/>
        <v>143.79335245021372</v>
      </c>
      <c r="V80" s="301">
        <f t="shared" ca="1" si="402"/>
        <v>150.00028821981564</v>
      </c>
      <c r="W80" s="301">
        <f t="shared" ca="1" si="402"/>
        <v>152.21679070779354</v>
      </c>
      <c r="X80" s="301">
        <f t="shared" ca="1" si="402"/>
        <v>148.70814441656273</v>
      </c>
      <c r="Y80" s="301">
        <f t="shared" ca="1" si="402"/>
        <v>155.12723045275399</v>
      </c>
      <c r="Z80" s="301">
        <f t="shared" ca="1" si="402"/>
        <v>151.55149758342938</v>
      </c>
      <c r="AA80" s="301">
        <f t="shared" ca="1" si="402"/>
        <v>158.09331885164846</v>
      </c>
      <c r="AB80" s="301">
        <f t="shared" ca="1" si="402"/>
        <v>159.62234162408308</v>
      </c>
      <c r="AC80" s="301">
        <f t="shared" ca="1" si="402"/>
        <v>145.50154378108329</v>
      </c>
      <c r="AD80" s="301">
        <f t="shared" ca="1" si="402"/>
        <v>162.57339213391529</v>
      </c>
      <c r="AE80" s="301">
        <f t="shared" ca="1" si="402"/>
        <v>158.8260228278676</v>
      </c>
      <c r="AF80" s="301">
        <f t="shared" ca="1" si="402"/>
        <v>168.68006438920764</v>
      </c>
      <c r="AG80" s="301">
        <f t="shared" ca="1" si="402"/>
        <v>164.79193431123286</v>
      </c>
      <c r="AH80" s="301">
        <f t="shared" ca="1" si="402"/>
        <v>171.9052878438479</v>
      </c>
      <c r="AI80" s="301">
        <f t="shared" ca="1" si="402"/>
        <v>173.56789510470136</v>
      </c>
      <c r="AJ80" s="301">
        <f t="shared" ca="1" si="402"/>
        <v>169.56709894677351</v>
      </c>
      <c r="AK80" s="301">
        <f t="shared" ca="1" si="402"/>
        <v>176.88657563930539</v>
      </c>
      <c r="AL80" s="301">
        <f t="shared" ca="1" si="402"/>
        <v>172.80928282095411</v>
      </c>
      <c r="AM80" s="301">
        <f t="shared" ca="1" si="402"/>
        <v>180.26871053846295</v>
      </c>
      <c r="AN80" s="301">
        <f t="shared" ca="1" si="402"/>
        <v>182.01220587130101</v>
      </c>
      <c r="AO80" s="301">
        <f t="shared" ca="1" si="402"/>
        <v>165.91071570446758</v>
      </c>
      <c r="AP80" s="301">
        <f t="shared" ca="1" si="402"/>
        <v>185.37719355076476</v>
      </c>
      <c r="AQ80" s="301">
        <f t="shared" ca="1" si="402"/>
        <v>181.10418924154067</v>
      </c>
      <c r="AR80" s="301">
        <f t="shared" ca="1" si="402"/>
        <v>188.92167211591263</v>
      </c>
      <c r="AS80" s="301">
        <f t="shared" ca="1" si="402"/>
        <v>184.56696642858088</v>
      </c>
      <c r="AT80" s="301">
        <f t="shared" ca="1" si="402"/>
        <v>192.53392238510972</v>
      </c>
      <c r="AU80" s="301">
        <f t="shared" ca="1" si="402"/>
        <v>194.39604251726558</v>
      </c>
      <c r="AV80" s="301">
        <f t="shared" ca="1" si="402"/>
        <v>189.9151508203864</v>
      </c>
      <c r="AW80" s="301">
        <f t="shared" ca="1" si="402"/>
        <v>198.11296471602211</v>
      </c>
      <c r="AX80" s="301">
        <f t="shared" ca="1" si="402"/>
        <v>193.54639675946871</v>
      </c>
      <c r="AY80" s="301">
        <f t="shared" ca="1" si="402"/>
        <v>201.9009558030786</v>
      </c>
      <c r="AZ80" s="301">
        <f t="shared" ca="1" si="402"/>
        <v>205.21814653412019</v>
      </c>
      <c r="BA80" s="301">
        <f t="shared" ca="1" si="402"/>
        <v>193.77474432723113</v>
      </c>
      <c r="BB80" s="301">
        <f t="shared" ca="1" si="402"/>
        <v>211.47756771316054</v>
      </c>
      <c r="BC80" s="301">
        <f t="shared" ca="1" si="402"/>
        <v>209.59756634496202</v>
      </c>
      <c r="BD80" s="301">
        <f t="shared" ca="1" si="402"/>
        <v>218.64498480763746</v>
      </c>
      <c r="BE80" s="301">
        <f t="shared" ca="1" si="402"/>
        <v>213.60514714272304</v>
      </c>
      <c r="BF80" s="301">
        <f t="shared" ca="1" si="402"/>
        <v>228.79296169486807</v>
      </c>
      <c r="BG80" s="301">
        <f t="shared" ca="1" si="402"/>
        <v>231.00576645565926</v>
      </c>
      <c r="BH80" s="301">
        <f t="shared" ca="1" si="402"/>
        <v>225.68100877315428</v>
      </c>
      <c r="BI80" s="301">
        <f t="shared" ca="1" si="402"/>
        <v>235.4226797336317</v>
      </c>
      <c r="BJ80" s="301">
        <f t="shared" ca="1" si="402"/>
        <v>229.99611077052236</v>
      </c>
      <c r="BK80" s="301">
        <f t="shared" ca="1" si="402"/>
        <v>239.92404598091508</v>
      </c>
      <c r="BL80" s="301">
        <f t="shared" ca="1" si="402"/>
        <v>242.24450665960896</v>
      </c>
      <c r="BM80" s="301">
        <f t="shared" ca="1" si="402"/>
        <v>222.73080738816208</v>
      </c>
      <c r="BN80" s="301">
        <f t="shared" ca="1" si="402"/>
        <v>248.86404603582579</v>
      </c>
      <c r="BO80" s="301">
        <f t="shared" ca="1" si="402"/>
        <v>243.12764922911279</v>
      </c>
      <c r="BP80" s="301">
        <f t="shared" ca="1" si="402"/>
        <v>253.62241603762649</v>
      </c>
      <c r="BQ80" s="301">
        <f t="shared" ca="1" si="402"/>
        <v>248.6045382424505</v>
      </c>
      <c r="BR80" s="301">
        <f t="shared" ca="1" si="402"/>
        <v>259.33571861072727</v>
      </c>
      <c r="BS80" s="301">
        <f t="shared" ca="1" si="402"/>
        <v>261.8439221347079</v>
      </c>
      <c r="BT80" s="301">
        <f t="shared" ca="1" si="402"/>
        <v>255.80833498294021</v>
      </c>
      <c r="BU80" s="301">
        <f t="shared" ca="1" si="402"/>
        <v>266.85047203247922</v>
      </c>
      <c r="BV80" s="301">
        <f t="shared" ref="BV80:CZ80" ca="1" si="403">IF(BV$8&lt;=$F$8, BV79*((1+$F80)^((BV$8-BU$8)/365) - 1), 0)</f>
        <v>260.69948228518319</v>
      </c>
      <c r="BW80" s="301">
        <f t="shared" ca="1" si="403"/>
        <v>271.95274896364714</v>
      </c>
      <c r="BX80" s="301">
        <f t="shared" ca="1" si="403"/>
        <v>274.58297995134501</v>
      </c>
      <c r="BY80" s="301">
        <f t="shared" ca="1" si="403"/>
        <v>250.29232795632115</v>
      </c>
      <c r="BZ80" s="301">
        <f t="shared" ca="1" si="403"/>
        <v>279.659388646595</v>
      </c>
      <c r="CA80" s="301">
        <f t="shared" ca="1" si="403"/>
        <v>273.21314922569974</v>
      </c>
      <c r="CB80" s="301">
        <f t="shared" ca="1" si="403"/>
        <v>285.00657666694212</v>
      </c>
      <c r="CC80" s="301">
        <f t="shared" ca="1" si="403"/>
        <v>278.43708283154456</v>
      </c>
      <c r="CD80" s="301">
        <f t="shared" ca="1" si="403"/>
        <v>290.45600484401456</v>
      </c>
      <c r="CE80" s="301">
        <f t="shared" ca="1" si="403"/>
        <v>293.26519279087285</v>
      </c>
      <c r="CF80" s="301">
        <f t="shared" ca="1" si="403"/>
        <v>286.50533518089304</v>
      </c>
      <c r="CG80" s="301">
        <f t="shared" ca="1" si="403"/>
        <v>298.87252867637676</v>
      </c>
      <c r="CH80" s="301">
        <f t="shared" ca="1" si="403"/>
        <v>291.98342015940523</v>
      </c>
      <c r="CI80" s="301">
        <f t="shared" ca="1" si="403"/>
        <v>304.5870788392848</v>
      </c>
      <c r="CJ80" s="301">
        <f t="shared" ca="1" si="403"/>
        <v>307.53293754550646</v>
      </c>
      <c r="CK80" s="301">
        <f t="shared" ca="1" si="403"/>
        <v>280.32740731107975</v>
      </c>
      <c r="CL80" s="301">
        <f t="shared" ca="1" si="403"/>
        <v>313.21851528418648</v>
      </c>
      <c r="CM80" s="301">
        <f t="shared" ca="1" si="403"/>
        <v>305.99872713278376</v>
      </c>
      <c r="CN80" s="301">
        <f t="shared" ca="1" si="403"/>
        <v>319.20736586697524</v>
      </c>
      <c r="CO80" s="301">
        <f t="shared" ca="1" si="403"/>
        <v>311.84953277132996</v>
      </c>
      <c r="CP80" s="301">
        <f t="shared" ca="1" si="403"/>
        <v>325.31072542529643</v>
      </c>
      <c r="CQ80" s="301">
        <f t="shared" ca="1" si="403"/>
        <v>328.45701592577768</v>
      </c>
      <c r="CR80" s="301">
        <f t="shared" ca="1" si="403"/>
        <v>320.88597540260031</v>
      </c>
      <c r="CS80" s="301">
        <f t="shared" ca="1" si="403"/>
        <v>334.73723211754208</v>
      </c>
      <c r="CT80" s="301">
        <f t="shared" ca="1" si="403"/>
        <v>327.02143057853391</v>
      </c>
      <c r="CU80" s="301">
        <f t="shared" ca="1" si="403"/>
        <v>341.13752829999908</v>
      </c>
      <c r="CV80" s="301">
        <f t="shared" ca="1" si="403"/>
        <v>344.43689005096735</v>
      </c>
      <c r="CW80" s="301">
        <f t="shared" ca="1" si="403"/>
        <v>325.23035332743291</v>
      </c>
      <c r="CX80" s="301">
        <f t="shared" ca="1" si="403"/>
        <v>350.91367523402693</v>
      </c>
      <c r="CY80" s="301">
        <f t="shared" ca="1" si="403"/>
        <v>342.82500144562994</v>
      </c>
      <c r="CZ80" s="301">
        <f t="shared" ca="1" si="403"/>
        <v>357.62327082267552</v>
      </c>
      <c r="DA80" s="301">
        <f t="shared" ref="DA80" ca="1" si="404">IF(DA$8&lt;=$F$8, DA79*((1+$F80)^((DA$8-CZ$8)/365) - 1), 0)</f>
        <v>349.37993868437968</v>
      </c>
      <c r="DB80" s="301">
        <f t="shared" ref="DB80" ca="1" si="405">IF(DB$8&lt;=$F$8, DB79*((1+$F80)^((DB$8-DA$8)/365) - 1), 0)</f>
        <v>364.46115629040389</v>
      </c>
      <c r="DC80" s="301">
        <f t="shared" ref="DC80" ca="1" si="406">IF(DC$8&lt;=$F$8, DC79*((1+$F80)^((DC$8-DB$8)/365) - 1), 0)</f>
        <v>367.98609593797244</v>
      </c>
      <c r="DD80" s="301">
        <f t="shared" ref="DD80" ca="1" si="407">IF(DD$8&lt;=$F$8, DD79*((1+$F80)^((DD$8-DC$8)/365) - 1), 0)</f>
        <v>359.50389732680992</v>
      </c>
      <c r="DE80" s="301">
        <f t="shared" ref="DE80" ca="1" si="408">IF(DE$8&lt;=$F$8, DE79*((1+$F80)^((DE$8-DD$8)/365) - 1), 0)</f>
        <v>375.02212234629872</v>
      </c>
      <c r="DF80" s="301">
        <f t="shared" ref="DF80" ca="1" si="409">IF(DF$8&lt;=$F$8, DF79*((1+$F80)^((DF$8-DE$8)/365) - 1), 0)</f>
        <v>366.37774104919345</v>
      </c>
      <c r="DG80" s="301">
        <f t="shared" ref="DG80" ca="1" si="410">IF(DG$8&lt;=$F$8, DG79*((1+$F80)^((DG$8-DF$8)/365) - 1), 0)</f>
        <v>382.19268010829614</v>
      </c>
      <c r="DH80" s="301">
        <f t="shared" ref="DH80" ca="1" si="411">IF(DH$8&lt;=$F$8, DH79*((1+$F80)^((DH$8-DG$8)/365) - 1), 0)</f>
        <v>116.91453773124088</v>
      </c>
      <c r="DI80" s="301">
        <f t="shared" ref="DI80" si="412">IF(DI$8&lt;=$F$8, DI79*((1+$F80)^((DI$8-DH$8)/365) - 1), 0)</f>
        <v>0</v>
      </c>
      <c r="DJ80" s="301">
        <f t="shared" ref="DJ80" si="413">IF(DJ$8&lt;=$F$8, DJ79*((1+$F80)^((DJ$8-DI$8)/365) - 1), 0)</f>
        <v>0</v>
      </c>
      <c r="DK80" s="301">
        <f t="shared" ref="DK80" si="414">IF(DK$8&lt;=$F$8, DK79*((1+$F80)^((DK$8-DJ$8)/365) - 1), 0)</f>
        <v>0</v>
      </c>
      <c r="DL80" s="301">
        <f t="shared" ref="DL80" si="415">IF(DL$8&lt;=$F$8, DL79*((1+$F80)^((DL$8-DK$8)/365) - 1), 0)</f>
        <v>0</v>
      </c>
      <c r="DM80" s="301">
        <f t="shared" ref="DM80" si="416">IF(DM$8&lt;=$F$8, DM79*((1+$F80)^((DM$8-DL$8)/365) - 1), 0)</f>
        <v>0</v>
      </c>
      <c r="DN80" s="301">
        <f t="shared" ref="DN80" si="417">IF(DN$8&lt;=$F$8, DN79*((1+$F80)^((DN$8-DM$8)/365) - 1), 0)</f>
        <v>0</v>
      </c>
      <c r="DO80" s="301">
        <f t="shared" ref="DO80" si="418">IF(DO$8&lt;=$F$8, DO79*((1+$F80)^((DO$8-DN$8)/365) - 1), 0)</f>
        <v>0</v>
      </c>
      <c r="DP80" s="301">
        <f t="shared" ref="DP80" si="419">IF(DP$8&lt;=$F$8, DP79*((1+$F80)^((DP$8-DO$8)/365) - 1), 0)</f>
        <v>0</v>
      </c>
      <c r="DQ80" s="301">
        <f t="shared" ref="DQ80" si="420">IF(DQ$8&lt;=$F$8, DQ79*((1+$F80)^((DQ$8-DP$8)/365) - 1), 0)</f>
        <v>0</v>
      </c>
      <c r="DR80" s="301">
        <f t="shared" ref="DR80" si="421">IF(DR$8&lt;=$F$8, DR79*((1+$F80)^((DR$8-DQ$8)/365) - 1), 0)</f>
        <v>0</v>
      </c>
      <c r="DS80" s="301">
        <f t="shared" ref="DS80" si="422">IF(DS$8&lt;=$F$8, DS79*((1+$F80)^((DS$8-DR$8)/365) - 1), 0)</f>
        <v>0</v>
      </c>
      <c r="DT80" s="301">
        <f t="shared" ref="DT80" si="423">IF(DT$8&lt;=$F$8, DT79*((1+$F80)^((DT$8-DS$8)/365) - 1), 0)</f>
        <v>0</v>
      </c>
      <c r="DU80" s="301">
        <f t="shared" ref="DU80" si="424">IF(DU$8&lt;=$F$8, DU79*((1+$F80)^((DU$8-DT$8)/365) - 1), 0)</f>
        <v>0</v>
      </c>
      <c r="DV80" s="301">
        <f t="shared" ref="DV80" si="425">IF(DV$8&lt;=$F$8, DV79*((1+$F80)^((DV$8-DU$8)/365) - 1), 0)</f>
        <v>0</v>
      </c>
      <c r="DW80" s="301">
        <f t="shared" ref="DW80" si="426">IF(DW$8&lt;=$F$8, DW79*((1+$F80)^((DW$8-DV$8)/365) - 1), 0)</f>
        <v>0</v>
      </c>
      <c r="DX80" s="301">
        <f t="shared" ref="DX80" si="427">IF(DX$8&lt;=$F$8, DX79*((1+$F80)^((DX$8-DW$8)/365) - 1), 0)</f>
        <v>0</v>
      </c>
      <c r="DY80" s="301">
        <f t="shared" ref="DY80" si="428">IF(DY$8&lt;=$F$8, DY79*((1+$F80)^((DY$8-DX$8)/365) - 1), 0)</f>
        <v>0</v>
      </c>
      <c r="DZ80" s="301">
        <f t="shared" ref="DZ80" si="429">IF(DZ$8&lt;=$F$8, DZ79*((1+$F80)^((DZ$8-DY$8)/365) - 1), 0)</f>
        <v>0</v>
      </c>
      <c r="EA80" s="301">
        <f t="shared" ref="EA80" si="430">IF(EA$8&lt;=$F$8, EA79*((1+$F80)^((EA$8-DZ$8)/365) - 1), 0)</f>
        <v>0</v>
      </c>
      <c r="EB80" s="301">
        <f t="shared" ref="EB80" si="431">IF(EB$8&lt;=$F$8, EB79*((1+$F80)^((EB$8-EA$8)/365) - 1), 0)</f>
        <v>0</v>
      </c>
      <c r="EC80" s="301">
        <f t="shared" ref="EC80" si="432">IF(EC$8&lt;=$F$8, EC79*((1+$F80)^((EC$8-EB$8)/365) - 1), 0)</f>
        <v>0</v>
      </c>
      <c r="ED80" s="301">
        <f t="shared" ref="ED80" si="433">IF(ED$8&lt;=$F$8, ED79*((1+$F80)^((ED$8-EC$8)/365) - 1), 0)</f>
        <v>0</v>
      </c>
      <c r="EE80" s="301">
        <f t="shared" ref="EE80" si="434">IF(EE$8&lt;=$F$8, EE79*((1+$F80)^((EE$8-ED$8)/365) - 1), 0)</f>
        <v>0</v>
      </c>
    </row>
    <row r="81" spans="2:135">
      <c r="C81" s="265" t="str">
        <f>C66</f>
        <v>Paid Preference - Tier 1</v>
      </c>
      <c r="E81" s="321"/>
      <c r="F81" s="268"/>
      <c r="G81" s="301">
        <f t="shared" ca="1" si="401"/>
        <v>0</v>
      </c>
      <c r="H81" s="301"/>
      <c r="I81" s="301">
        <f t="shared" ref="I81:BT83" si="435">I66</f>
        <v>0</v>
      </c>
      <c r="J81" s="301">
        <f t="shared" si="435"/>
        <v>0</v>
      </c>
      <c r="K81" s="301">
        <f t="shared" ca="1" si="435"/>
        <v>0</v>
      </c>
      <c r="L81" s="301">
        <f t="shared" ca="1" si="435"/>
        <v>0</v>
      </c>
      <c r="M81" s="301">
        <f t="shared" ca="1" si="435"/>
        <v>0</v>
      </c>
      <c r="N81" s="301">
        <f t="shared" ca="1" si="435"/>
        <v>0</v>
      </c>
      <c r="O81" s="301">
        <f t="shared" ca="1" si="435"/>
        <v>0</v>
      </c>
      <c r="P81" s="301">
        <f t="shared" ca="1" si="435"/>
        <v>0</v>
      </c>
      <c r="Q81" s="301">
        <f t="shared" ca="1" si="435"/>
        <v>0</v>
      </c>
      <c r="R81" s="301">
        <f t="shared" ca="1" si="435"/>
        <v>0</v>
      </c>
      <c r="S81" s="301">
        <f t="shared" ca="1" si="435"/>
        <v>0</v>
      </c>
      <c r="T81" s="301">
        <f t="shared" ca="1" si="435"/>
        <v>0</v>
      </c>
      <c r="U81" s="301">
        <f t="shared" ca="1" si="435"/>
        <v>0</v>
      </c>
      <c r="V81" s="301">
        <f t="shared" ca="1" si="435"/>
        <v>0</v>
      </c>
      <c r="W81" s="301">
        <f t="shared" ca="1" si="435"/>
        <v>0</v>
      </c>
      <c r="X81" s="301">
        <f t="shared" ca="1" si="435"/>
        <v>0</v>
      </c>
      <c r="Y81" s="301">
        <f t="shared" ca="1" si="435"/>
        <v>0</v>
      </c>
      <c r="Z81" s="301">
        <f t="shared" ca="1" si="435"/>
        <v>0</v>
      </c>
      <c r="AA81" s="301">
        <f t="shared" ca="1" si="435"/>
        <v>0</v>
      </c>
      <c r="AB81" s="301">
        <f t="shared" ca="1" si="435"/>
        <v>0</v>
      </c>
      <c r="AC81" s="301">
        <f t="shared" ca="1" si="435"/>
        <v>0</v>
      </c>
      <c r="AD81" s="301">
        <f t="shared" ca="1" si="435"/>
        <v>0</v>
      </c>
      <c r="AE81" s="301">
        <f t="shared" ca="1" si="435"/>
        <v>0</v>
      </c>
      <c r="AF81" s="301">
        <f t="shared" ca="1" si="435"/>
        <v>0</v>
      </c>
      <c r="AG81" s="301">
        <f t="shared" ca="1" si="435"/>
        <v>0</v>
      </c>
      <c r="AH81" s="301">
        <f t="shared" ca="1" si="435"/>
        <v>0</v>
      </c>
      <c r="AI81" s="301">
        <f t="shared" ca="1" si="435"/>
        <v>0</v>
      </c>
      <c r="AJ81" s="301">
        <f t="shared" ca="1" si="435"/>
        <v>0</v>
      </c>
      <c r="AK81" s="301">
        <f t="shared" ca="1" si="435"/>
        <v>0</v>
      </c>
      <c r="AL81" s="301">
        <f t="shared" ca="1" si="435"/>
        <v>0</v>
      </c>
      <c r="AM81" s="301">
        <f t="shared" ca="1" si="435"/>
        <v>0</v>
      </c>
      <c r="AN81" s="301">
        <f t="shared" ca="1" si="435"/>
        <v>0</v>
      </c>
      <c r="AO81" s="301">
        <f t="shared" ca="1" si="435"/>
        <v>0</v>
      </c>
      <c r="AP81" s="301">
        <f t="shared" ca="1" si="435"/>
        <v>0</v>
      </c>
      <c r="AQ81" s="301">
        <f t="shared" ca="1" si="435"/>
        <v>0</v>
      </c>
      <c r="AR81" s="301">
        <f t="shared" ca="1" si="435"/>
        <v>0</v>
      </c>
      <c r="AS81" s="301">
        <f t="shared" ca="1" si="435"/>
        <v>0</v>
      </c>
      <c r="AT81" s="301">
        <f t="shared" ca="1" si="435"/>
        <v>0</v>
      </c>
      <c r="AU81" s="301">
        <f t="shared" ca="1" si="435"/>
        <v>0</v>
      </c>
      <c r="AV81" s="301">
        <f t="shared" ca="1" si="435"/>
        <v>0</v>
      </c>
      <c r="AW81" s="301">
        <f t="shared" ca="1" si="435"/>
        <v>0</v>
      </c>
      <c r="AX81" s="301">
        <f t="shared" ca="1" si="435"/>
        <v>0</v>
      </c>
      <c r="AY81" s="301">
        <f t="shared" ca="1" si="435"/>
        <v>0</v>
      </c>
      <c r="AZ81" s="301">
        <f t="shared" ca="1" si="435"/>
        <v>0</v>
      </c>
      <c r="BA81" s="301">
        <f t="shared" ca="1" si="435"/>
        <v>0</v>
      </c>
      <c r="BB81" s="301">
        <f t="shared" ca="1" si="435"/>
        <v>0</v>
      </c>
      <c r="BC81" s="301">
        <f t="shared" ca="1" si="435"/>
        <v>0</v>
      </c>
      <c r="BD81" s="301">
        <f t="shared" ca="1" si="435"/>
        <v>0</v>
      </c>
      <c r="BE81" s="301">
        <f t="shared" ca="1" si="435"/>
        <v>0</v>
      </c>
      <c r="BF81" s="301">
        <f t="shared" ca="1" si="435"/>
        <v>0</v>
      </c>
      <c r="BG81" s="301">
        <f t="shared" ca="1" si="435"/>
        <v>0</v>
      </c>
      <c r="BH81" s="301">
        <f t="shared" ca="1" si="435"/>
        <v>0</v>
      </c>
      <c r="BI81" s="301">
        <f t="shared" ca="1" si="435"/>
        <v>0</v>
      </c>
      <c r="BJ81" s="301">
        <f t="shared" ca="1" si="435"/>
        <v>0</v>
      </c>
      <c r="BK81" s="301">
        <f t="shared" ca="1" si="435"/>
        <v>0</v>
      </c>
      <c r="BL81" s="301">
        <f t="shared" ca="1" si="435"/>
        <v>0</v>
      </c>
      <c r="BM81" s="301">
        <f t="shared" ca="1" si="435"/>
        <v>0</v>
      </c>
      <c r="BN81" s="301">
        <f t="shared" ca="1" si="435"/>
        <v>0</v>
      </c>
      <c r="BO81" s="301">
        <f t="shared" ca="1" si="435"/>
        <v>0</v>
      </c>
      <c r="BP81" s="301">
        <f t="shared" ca="1" si="435"/>
        <v>0</v>
      </c>
      <c r="BQ81" s="301">
        <f t="shared" ca="1" si="435"/>
        <v>0</v>
      </c>
      <c r="BR81" s="301">
        <f t="shared" ca="1" si="435"/>
        <v>0</v>
      </c>
      <c r="BS81" s="301">
        <f t="shared" ca="1" si="435"/>
        <v>0</v>
      </c>
      <c r="BT81" s="301">
        <f t="shared" ca="1" si="435"/>
        <v>0</v>
      </c>
      <c r="BU81" s="301">
        <f t="shared" ref="BU81:CZ83" ca="1" si="436">BU66</f>
        <v>0</v>
      </c>
      <c r="BV81" s="301">
        <f t="shared" ca="1" si="436"/>
        <v>0</v>
      </c>
      <c r="BW81" s="301">
        <f t="shared" ca="1" si="436"/>
        <v>0</v>
      </c>
      <c r="BX81" s="301">
        <f t="shared" ca="1" si="436"/>
        <v>0</v>
      </c>
      <c r="BY81" s="301">
        <f t="shared" ca="1" si="436"/>
        <v>0</v>
      </c>
      <c r="BZ81" s="301">
        <f t="shared" ca="1" si="436"/>
        <v>0</v>
      </c>
      <c r="CA81" s="301">
        <f t="shared" ca="1" si="436"/>
        <v>0</v>
      </c>
      <c r="CB81" s="301">
        <f t="shared" ca="1" si="436"/>
        <v>0</v>
      </c>
      <c r="CC81" s="301">
        <f t="shared" ca="1" si="436"/>
        <v>0</v>
      </c>
      <c r="CD81" s="301">
        <f t="shared" ca="1" si="436"/>
        <v>0</v>
      </c>
      <c r="CE81" s="301">
        <f t="shared" ca="1" si="436"/>
        <v>0</v>
      </c>
      <c r="CF81" s="301">
        <f t="shared" ca="1" si="436"/>
        <v>0</v>
      </c>
      <c r="CG81" s="301">
        <f t="shared" ca="1" si="436"/>
        <v>0</v>
      </c>
      <c r="CH81" s="301">
        <f t="shared" ca="1" si="436"/>
        <v>0</v>
      </c>
      <c r="CI81" s="301">
        <f t="shared" ca="1" si="436"/>
        <v>0</v>
      </c>
      <c r="CJ81" s="301">
        <f t="shared" ca="1" si="436"/>
        <v>0</v>
      </c>
      <c r="CK81" s="301">
        <f t="shared" ca="1" si="436"/>
        <v>0</v>
      </c>
      <c r="CL81" s="301">
        <f t="shared" ca="1" si="436"/>
        <v>0</v>
      </c>
      <c r="CM81" s="301">
        <f t="shared" ca="1" si="436"/>
        <v>0</v>
      </c>
      <c r="CN81" s="301">
        <f t="shared" ca="1" si="436"/>
        <v>0</v>
      </c>
      <c r="CO81" s="301">
        <f t="shared" ca="1" si="436"/>
        <v>0</v>
      </c>
      <c r="CP81" s="301">
        <f t="shared" ca="1" si="436"/>
        <v>0</v>
      </c>
      <c r="CQ81" s="301">
        <f t="shared" ca="1" si="436"/>
        <v>0</v>
      </c>
      <c r="CR81" s="301">
        <f t="shared" ca="1" si="436"/>
        <v>0</v>
      </c>
      <c r="CS81" s="301">
        <f t="shared" ca="1" si="436"/>
        <v>0</v>
      </c>
      <c r="CT81" s="301">
        <f t="shared" ca="1" si="436"/>
        <v>0</v>
      </c>
      <c r="CU81" s="301">
        <f t="shared" ca="1" si="436"/>
        <v>0</v>
      </c>
      <c r="CV81" s="301">
        <f t="shared" ca="1" si="436"/>
        <v>0</v>
      </c>
      <c r="CW81" s="301">
        <f t="shared" ca="1" si="436"/>
        <v>0</v>
      </c>
      <c r="CX81" s="301">
        <f t="shared" ca="1" si="436"/>
        <v>0</v>
      </c>
      <c r="CY81" s="301">
        <f t="shared" ca="1" si="436"/>
        <v>0</v>
      </c>
      <c r="CZ81" s="301">
        <f t="shared" ca="1" si="436"/>
        <v>0</v>
      </c>
      <c r="DA81" s="301">
        <f t="shared" ref="DA81:EE81" ca="1" si="437">DA66</f>
        <v>0</v>
      </c>
      <c r="DB81" s="301">
        <f t="shared" ca="1" si="437"/>
        <v>0</v>
      </c>
      <c r="DC81" s="301">
        <f t="shared" ca="1" si="437"/>
        <v>0</v>
      </c>
      <c r="DD81" s="301">
        <f t="shared" ca="1" si="437"/>
        <v>0</v>
      </c>
      <c r="DE81" s="301">
        <f t="shared" ca="1" si="437"/>
        <v>0</v>
      </c>
      <c r="DF81" s="301">
        <f t="shared" ca="1" si="437"/>
        <v>0</v>
      </c>
      <c r="DG81" s="301">
        <f t="shared" ca="1" si="437"/>
        <v>0</v>
      </c>
      <c r="DH81" s="301">
        <f t="shared" ca="1" si="437"/>
        <v>0</v>
      </c>
      <c r="DI81" s="301">
        <f t="shared" ca="1" si="437"/>
        <v>0</v>
      </c>
      <c r="DJ81" s="301">
        <f t="shared" ca="1" si="437"/>
        <v>0</v>
      </c>
      <c r="DK81" s="301">
        <f t="shared" ca="1" si="437"/>
        <v>0</v>
      </c>
      <c r="DL81" s="301">
        <f t="shared" ca="1" si="437"/>
        <v>0</v>
      </c>
      <c r="DM81" s="301">
        <f t="shared" ca="1" si="437"/>
        <v>0</v>
      </c>
      <c r="DN81" s="301">
        <f t="shared" ca="1" si="437"/>
        <v>0</v>
      </c>
      <c r="DO81" s="301">
        <f t="shared" ca="1" si="437"/>
        <v>0</v>
      </c>
      <c r="DP81" s="301">
        <f t="shared" ca="1" si="437"/>
        <v>0</v>
      </c>
      <c r="DQ81" s="301">
        <f t="shared" ca="1" si="437"/>
        <v>0</v>
      </c>
      <c r="DR81" s="301">
        <f t="shared" ca="1" si="437"/>
        <v>0</v>
      </c>
      <c r="DS81" s="301">
        <f t="shared" ca="1" si="437"/>
        <v>0</v>
      </c>
      <c r="DT81" s="301">
        <f t="shared" ca="1" si="437"/>
        <v>0</v>
      </c>
      <c r="DU81" s="301">
        <f t="shared" ca="1" si="437"/>
        <v>0</v>
      </c>
      <c r="DV81" s="301">
        <f t="shared" ca="1" si="437"/>
        <v>0</v>
      </c>
      <c r="DW81" s="301">
        <f t="shared" ca="1" si="437"/>
        <v>0</v>
      </c>
      <c r="DX81" s="301">
        <f t="shared" ca="1" si="437"/>
        <v>0</v>
      </c>
      <c r="DY81" s="301">
        <f t="shared" ca="1" si="437"/>
        <v>0</v>
      </c>
      <c r="DZ81" s="301">
        <f t="shared" ca="1" si="437"/>
        <v>0</v>
      </c>
      <c r="EA81" s="301">
        <f t="shared" ca="1" si="437"/>
        <v>0</v>
      </c>
      <c r="EB81" s="301">
        <f t="shared" ca="1" si="437"/>
        <v>0</v>
      </c>
      <c r="EC81" s="301">
        <f t="shared" ca="1" si="437"/>
        <v>0</v>
      </c>
      <c r="ED81" s="301">
        <f t="shared" ca="1" si="437"/>
        <v>0</v>
      </c>
      <c r="EE81" s="301">
        <f t="shared" ca="1" si="437"/>
        <v>0</v>
      </c>
    </row>
    <row r="82" spans="2:135">
      <c r="C82" s="265" t="str">
        <f>C67</f>
        <v>Paid Preference - Tier 2</v>
      </c>
      <c r="E82" s="321"/>
      <c r="F82" s="268"/>
      <c r="G82" s="301">
        <f t="shared" ca="1" si="401"/>
        <v>0</v>
      </c>
      <c r="H82" s="301"/>
      <c r="I82" s="301">
        <f t="shared" si="435"/>
        <v>0</v>
      </c>
      <c r="J82" s="301">
        <f t="shared" si="435"/>
        <v>0</v>
      </c>
      <c r="K82" s="301">
        <f t="shared" ca="1" si="435"/>
        <v>0</v>
      </c>
      <c r="L82" s="301">
        <f t="shared" ca="1" si="435"/>
        <v>0</v>
      </c>
      <c r="M82" s="301">
        <f t="shared" ca="1" si="435"/>
        <v>0</v>
      </c>
      <c r="N82" s="301">
        <f t="shared" ca="1" si="435"/>
        <v>0</v>
      </c>
      <c r="O82" s="301">
        <f t="shared" ca="1" si="435"/>
        <v>0</v>
      </c>
      <c r="P82" s="301">
        <f t="shared" ca="1" si="435"/>
        <v>0</v>
      </c>
      <c r="Q82" s="301">
        <f t="shared" ca="1" si="435"/>
        <v>0</v>
      </c>
      <c r="R82" s="301">
        <f t="shared" ca="1" si="435"/>
        <v>0</v>
      </c>
      <c r="S82" s="301">
        <f t="shared" ca="1" si="435"/>
        <v>0</v>
      </c>
      <c r="T82" s="301">
        <f t="shared" ca="1" si="435"/>
        <v>0</v>
      </c>
      <c r="U82" s="301">
        <f t="shared" ca="1" si="435"/>
        <v>0</v>
      </c>
      <c r="V82" s="301">
        <f t="shared" ca="1" si="435"/>
        <v>0</v>
      </c>
      <c r="W82" s="301">
        <f t="shared" ca="1" si="435"/>
        <v>0</v>
      </c>
      <c r="X82" s="301">
        <f t="shared" ca="1" si="435"/>
        <v>0</v>
      </c>
      <c r="Y82" s="301">
        <f t="shared" ca="1" si="435"/>
        <v>0</v>
      </c>
      <c r="Z82" s="301">
        <f t="shared" ca="1" si="435"/>
        <v>0</v>
      </c>
      <c r="AA82" s="301">
        <f t="shared" ca="1" si="435"/>
        <v>0</v>
      </c>
      <c r="AB82" s="301">
        <f t="shared" ca="1" si="435"/>
        <v>0</v>
      </c>
      <c r="AC82" s="301">
        <f t="shared" ca="1" si="435"/>
        <v>0</v>
      </c>
      <c r="AD82" s="301">
        <f t="shared" ca="1" si="435"/>
        <v>0</v>
      </c>
      <c r="AE82" s="301">
        <f t="shared" ca="1" si="435"/>
        <v>0</v>
      </c>
      <c r="AF82" s="301">
        <f t="shared" ca="1" si="435"/>
        <v>0</v>
      </c>
      <c r="AG82" s="301">
        <f t="shared" ca="1" si="435"/>
        <v>0</v>
      </c>
      <c r="AH82" s="301">
        <f t="shared" ca="1" si="435"/>
        <v>0</v>
      </c>
      <c r="AI82" s="301">
        <f t="shared" ca="1" si="435"/>
        <v>0</v>
      </c>
      <c r="AJ82" s="301">
        <f t="shared" ca="1" si="435"/>
        <v>0</v>
      </c>
      <c r="AK82" s="301">
        <f t="shared" ca="1" si="435"/>
        <v>0</v>
      </c>
      <c r="AL82" s="301">
        <f t="shared" ca="1" si="435"/>
        <v>0</v>
      </c>
      <c r="AM82" s="301">
        <f t="shared" ca="1" si="435"/>
        <v>0</v>
      </c>
      <c r="AN82" s="301">
        <f t="shared" ca="1" si="435"/>
        <v>0</v>
      </c>
      <c r="AO82" s="301">
        <f t="shared" ca="1" si="435"/>
        <v>0</v>
      </c>
      <c r="AP82" s="301">
        <f t="shared" ca="1" si="435"/>
        <v>0</v>
      </c>
      <c r="AQ82" s="301">
        <f t="shared" ca="1" si="435"/>
        <v>0</v>
      </c>
      <c r="AR82" s="301">
        <f t="shared" ca="1" si="435"/>
        <v>0</v>
      </c>
      <c r="AS82" s="301">
        <f t="shared" ca="1" si="435"/>
        <v>0</v>
      </c>
      <c r="AT82" s="301">
        <f t="shared" ca="1" si="435"/>
        <v>0</v>
      </c>
      <c r="AU82" s="301">
        <f t="shared" ca="1" si="435"/>
        <v>0</v>
      </c>
      <c r="AV82" s="301">
        <f t="shared" ca="1" si="435"/>
        <v>0</v>
      </c>
      <c r="AW82" s="301">
        <f t="shared" ca="1" si="435"/>
        <v>0</v>
      </c>
      <c r="AX82" s="301">
        <f t="shared" ca="1" si="435"/>
        <v>0</v>
      </c>
      <c r="AY82" s="301">
        <f t="shared" ca="1" si="435"/>
        <v>0</v>
      </c>
      <c r="AZ82" s="301">
        <f t="shared" ca="1" si="435"/>
        <v>0</v>
      </c>
      <c r="BA82" s="301">
        <f t="shared" ca="1" si="435"/>
        <v>0</v>
      </c>
      <c r="BB82" s="301">
        <f t="shared" ca="1" si="435"/>
        <v>0</v>
      </c>
      <c r="BC82" s="301">
        <f t="shared" ca="1" si="435"/>
        <v>0</v>
      </c>
      <c r="BD82" s="301">
        <f t="shared" ca="1" si="435"/>
        <v>0</v>
      </c>
      <c r="BE82" s="301">
        <f t="shared" ca="1" si="435"/>
        <v>0</v>
      </c>
      <c r="BF82" s="301">
        <f t="shared" ca="1" si="435"/>
        <v>0</v>
      </c>
      <c r="BG82" s="301">
        <f t="shared" ca="1" si="435"/>
        <v>0</v>
      </c>
      <c r="BH82" s="301">
        <f t="shared" ca="1" si="435"/>
        <v>0</v>
      </c>
      <c r="BI82" s="301">
        <f t="shared" ca="1" si="435"/>
        <v>0</v>
      </c>
      <c r="BJ82" s="301">
        <f t="shared" ca="1" si="435"/>
        <v>0</v>
      </c>
      <c r="BK82" s="301">
        <f t="shared" ca="1" si="435"/>
        <v>0</v>
      </c>
      <c r="BL82" s="301">
        <f t="shared" ca="1" si="435"/>
        <v>0</v>
      </c>
      <c r="BM82" s="301">
        <f t="shared" ca="1" si="435"/>
        <v>0</v>
      </c>
      <c r="BN82" s="301">
        <f t="shared" ca="1" si="435"/>
        <v>0</v>
      </c>
      <c r="BO82" s="301">
        <f t="shared" ca="1" si="435"/>
        <v>0</v>
      </c>
      <c r="BP82" s="301">
        <f t="shared" ca="1" si="435"/>
        <v>0</v>
      </c>
      <c r="BQ82" s="301">
        <f t="shared" ca="1" si="435"/>
        <v>0</v>
      </c>
      <c r="BR82" s="301">
        <f t="shared" ca="1" si="435"/>
        <v>0</v>
      </c>
      <c r="BS82" s="301">
        <f t="shared" ca="1" si="435"/>
        <v>0</v>
      </c>
      <c r="BT82" s="301">
        <f t="shared" ca="1" si="435"/>
        <v>0</v>
      </c>
      <c r="BU82" s="301">
        <f t="shared" ca="1" si="436"/>
        <v>0</v>
      </c>
      <c r="BV82" s="301">
        <f t="shared" ca="1" si="436"/>
        <v>0</v>
      </c>
      <c r="BW82" s="301">
        <f t="shared" ca="1" si="436"/>
        <v>0</v>
      </c>
      <c r="BX82" s="301">
        <f t="shared" ca="1" si="436"/>
        <v>0</v>
      </c>
      <c r="BY82" s="301">
        <f t="shared" ca="1" si="436"/>
        <v>0</v>
      </c>
      <c r="BZ82" s="301">
        <f t="shared" ca="1" si="436"/>
        <v>0</v>
      </c>
      <c r="CA82" s="301">
        <f t="shared" ca="1" si="436"/>
        <v>0</v>
      </c>
      <c r="CB82" s="301">
        <f t="shared" ca="1" si="436"/>
        <v>0</v>
      </c>
      <c r="CC82" s="301">
        <f t="shared" ca="1" si="436"/>
        <v>0</v>
      </c>
      <c r="CD82" s="301">
        <f t="shared" ca="1" si="436"/>
        <v>0</v>
      </c>
      <c r="CE82" s="301">
        <f t="shared" ca="1" si="436"/>
        <v>0</v>
      </c>
      <c r="CF82" s="301">
        <f t="shared" ca="1" si="436"/>
        <v>0</v>
      </c>
      <c r="CG82" s="301">
        <f t="shared" ca="1" si="436"/>
        <v>0</v>
      </c>
      <c r="CH82" s="301">
        <f t="shared" ca="1" si="436"/>
        <v>0</v>
      </c>
      <c r="CI82" s="301">
        <f t="shared" ca="1" si="436"/>
        <v>0</v>
      </c>
      <c r="CJ82" s="301">
        <f t="shared" ca="1" si="436"/>
        <v>0</v>
      </c>
      <c r="CK82" s="301">
        <f t="shared" ca="1" si="436"/>
        <v>0</v>
      </c>
      <c r="CL82" s="301">
        <f t="shared" ca="1" si="436"/>
        <v>0</v>
      </c>
      <c r="CM82" s="301">
        <f t="shared" ca="1" si="436"/>
        <v>0</v>
      </c>
      <c r="CN82" s="301">
        <f t="shared" ca="1" si="436"/>
        <v>0</v>
      </c>
      <c r="CO82" s="301">
        <f t="shared" ca="1" si="436"/>
        <v>0</v>
      </c>
      <c r="CP82" s="301">
        <f t="shared" ca="1" si="436"/>
        <v>0</v>
      </c>
      <c r="CQ82" s="301">
        <f t="shared" ca="1" si="436"/>
        <v>0</v>
      </c>
      <c r="CR82" s="301">
        <f t="shared" ca="1" si="436"/>
        <v>0</v>
      </c>
      <c r="CS82" s="301">
        <f t="shared" ca="1" si="436"/>
        <v>0</v>
      </c>
      <c r="CT82" s="301">
        <f t="shared" ca="1" si="436"/>
        <v>0</v>
      </c>
      <c r="CU82" s="301">
        <f t="shared" ca="1" si="436"/>
        <v>0</v>
      </c>
      <c r="CV82" s="301">
        <f t="shared" ca="1" si="436"/>
        <v>0</v>
      </c>
      <c r="CW82" s="301">
        <f t="shared" ca="1" si="436"/>
        <v>0</v>
      </c>
      <c r="CX82" s="301">
        <f t="shared" ca="1" si="436"/>
        <v>0</v>
      </c>
      <c r="CY82" s="301">
        <f t="shared" ca="1" si="436"/>
        <v>0</v>
      </c>
      <c r="CZ82" s="301">
        <f t="shared" ca="1" si="436"/>
        <v>0</v>
      </c>
      <c r="DA82" s="301">
        <f t="shared" ref="DA82:EE82" ca="1" si="438">DA67</f>
        <v>0</v>
      </c>
      <c r="DB82" s="301">
        <f t="shared" ca="1" si="438"/>
        <v>0</v>
      </c>
      <c r="DC82" s="301">
        <f t="shared" ca="1" si="438"/>
        <v>0</v>
      </c>
      <c r="DD82" s="301">
        <f t="shared" ca="1" si="438"/>
        <v>0</v>
      </c>
      <c r="DE82" s="301">
        <f t="shared" ca="1" si="438"/>
        <v>0</v>
      </c>
      <c r="DF82" s="301">
        <f t="shared" ca="1" si="438"/>
        <v>0</v>
      </c>
      <c r="DG82" s="301">
        <f t="shared" ca="1" si="438"/>
        <v>0</v>
      </c>
      <c r="DH82" s="301">
        <f t="shared" ca="1" si="438"/>
        <v>0</v>
      </c>
      <c r="DI82" s="301">
        <f t="shared" ca="1" si="438"/>
        <v>0</v>
      </c>
      <c r="DJ82" s="301">
        <f t="shared" ca="1" si="438"/>
        <v>0</v>
      </c>
      <c r="DK82" s="301">
        <f t="shared" ca="1" si="438"/>
        <v>0</v>
      </c>
      <c r="DL82" s="301">
        <f t="shared" ca="1" si="438"/>
        <v>0</v>
      </c>
      <c r="DM82" s="301">
        <f t="shared" ca="1" si="438"/>
        <v>0</v>
      </c>
      <c r="DN82" s="301">
        <f t="shared" ca="1" si="438"/>
        <v>0</v>
      </c>
      <c r="DO82" s="301">
        <f t="shared" ca="1" si="438"/>
        <v>0</v>
      </c>
      <c r="DP82" s="301">
        <f t="shared" ca="1" si="438"/>
        <v>0</v>
      </c>
      <c r="DQ82" s="301">
        <f t="shared" ca="1" si="438"/>
        <v>0</v>
      </c>
      <c r="DR82" s="301">
        <f t="shared" ca="1" si="438"/>
        <v>0</v>
      </c>
      <c r="DS82" s="301">
        <f t="shared" ca="1" si="438"/>
        <v>0</v>
      </c>
      <c r="DT82" s="301">
        <f t="shared" ca="1" si="438"/>
        <v>0</v>
      </c>
      <c r="DU82" s="301">
        <f t="shared" ca="1" si="438"/>
        <v>0</v>
      </c>
      <c r="DV82" s="301">
        <f t="shared" ca="1" si="438"/>
        <v>0</v>
      </c>
      <c r="DW82" s="301">
        <f t="shared" ca="1" si="438"/>
        <v>0</v>
      </c>
      <c r="DX82" s="301">
        <f t="shared" ca="1" si="438"/>
        <v>0</v>
      </c>
      <c r="DY82" s="301">
        <f t="shared" ca="1" si="438"/>
        <v>0</v>
      </c>
      <c r="DZ82" s="301">
        <f t="shared" ca="1" si="438"/>
        <v>0</v>
      </c>
      <c r="EA82" s="301">
        <f t="shared" ca="1" si="438"/>
        <v>0</v>
      </c>
      <c r="EB82" s="301">
        <f t="shared" ca="1" si="438"/>
        <v>0</v>
      </c>
      <c r="EC82" s="301">
        <f t="shared" ca="1" si="438"/>
        <v>0</v>
      </c>
      <c r="ED82" s="301">
        <f t="shared" ca="1" si="438"/>
        <v>0</v>
      </c>
      <c r="EE82" s="301">
        <f t="shared" ca="1" si="438"/>
        <v>0</v>
      </c>
    </row>
    <row r="83" spans="2:135">
      <c r="C83" s="265" t="str">
        <f>C68</f>
        <v>Paid Preference - Tier 3</v>
      </c>
      <c r="E83" s="321"/>
      <c r="F83" s="268"/>
      <c r="G83" s="301">
        <f t="shared" ca="1" si="401"/>
        <v>-16069.42275593705</v>
      </c>
      <c r="H83" s="301"/>
      <c r="I83" s="301">
        <f t="shared" si="435"/>
        <v>0</v>
      </c>
      <c r="J83" s="301">
        <f t="shared" ca="1" si="435"/>
        <v>0</v>
      </c>
      <c r="K83" s="301">
        <f t="shared" ca="1" si="435"/>
        <v>0</v>
      </c>
      <c r="L83" s="301">
        <f t="shared" ca="1" si="435"/>
        <v>0</v>
      </c>
      <c r="M83" s="301">
        <f t="shared" ca="1" si="435"/>
        <v>0</v>
      </c>
      <c r="N83" s="301">
        <f t="shared" ca="1" si="435"/>
        <v>0</v>
      </c>
      <c r="O83" s="301">
        <f t="shared" ca="1" si="435"/>
        <v>0</v>
      </c>
      <c r="P83" s="301">
        <f t="shared" ca="1" si="435"/>
        <v>0</v>
      </c>
      <c r="Q83" s="301">
        <f t="shared" ca="1" si="435"/>
        <v>0</v>
      </c>
      <c r="R83" s="301">
        <f t="shared" ca="1" si="435"/>
        <v>0</v>
      </c>
      <c r="S83" s="301">
        <f t="shared" ca="1" si="435"/>
        <v>0</v>
      </c>
      <c r="T83" s="301">
        <f t="shared" ca="1" si="435"/>
        <v>0</v>
      </c>
      <c r="U83" s="301">
        <f t="shared" ca="1" si="435"/>
        <v>0</v>
      </c>
      <c r="V83" s="301">
        <f t="shared" ca="1" si="435"/>
        <v>0</v>
      </c>
      <c r="W83" s="301">
        <f t="shared" ca="1" si="435"/>
        <v>0</v>
      </c>
      <c r="X83" s="301">
        <f t="shared" ca="1" si="435"/>
        <v>0</v>
      </c>
      <c r="Y83" s="301">
        <f t="shared" ca="1" si="435"/>
        <v>0</v>
      </c>
      <c r="Z83" s="301">
        <f t="shared" ca="1" si="435"/>
        <v>0</v>
      </c>
      <c r="AA83" s="301">
        <f t="shared" ca="1" si="435"/>
        <v>0</v>
      </c>
      <c r="AB83" s="301">
        <f t="shared" ca="1" si="435"/>
        <v>0</v>
      </c>
      <c r="AC83" s="301">
        <f t="shared" ca="1" si="435"/>
        <v>0</v>
      </c>
      <c r="AD83" s="301">
        <f t="shared" ca="1" si="435"/>
        <v>0</v>
      </c>
      <c r="AE83" s="301">
        <f t="shared" ca="1" si="435"/>
        <v>0</v>
      </c>
      <c r="AF83" s="301">
        <f t="shared" ca="1" si="435"/>
        <v>0</v>
      </c>
      <c r="AG83" s="301">
        <f t="shared" ca="1" si="435"/>
        <v>0</v>
      </c>
      <c r="AH83" s="301">
        <f t="shared" ca="1" si="435"/>
        <v>0</v>
      </c>
      <c r="AI83" s="301">
        <f t="shared" ca="1" si="435"/>
        <v>0</v>
      </c>
      <c r="AJ83" s="301">
        <f t="shared" ca="1" si="435"/>
        <v>0</v>
      </c>
      <c r="AK83" s="301">
        <f t="shared" ca="1" si="435"/>
        <v>0</v>
      </c>
      <c r="AL83" s="301">
        <f t="shared" ca="1" si="435"/>
        <v>0</v>
      </c>
      <c r="AM83" s="301">
        <f t="shared" ca="1" si="435"/>
        <v>0</v>
      </c>
      <c r="AN83" s="301">
        <f t="shared" ca="1" si="435"/>
        <v>0</v>
      </c>
      <c r="AO83" s="301">
        <f t="shared" ca="1" si="435"/>
        <v>0</v>
      </c>
      <c r="AP83" s="301">
        <f t="shared" ca="1" si="435"/>
        <v>0</v>
      </c>
      <c r="AQ83" s="301">
        <f t="shared" ca="1" si="435"/>
        <v>0</v>
      </c>
      <c r="AR83" s="301">
        <f t="shared" ca="1" si="435"/>
        <v>0</v>
      </c>
      <c r="AS83" s="301">
        <f t="shared" ca="1" si="435"/>
        <v>0</v>
      </c>
      <c r="AT83" s="301">
        <f t="shared" ca="1" si="435"/>
        <v>0</v>
      </c>
      <c r="AU83" s="301">
        <f t="shared" ca="1" si="435"/>
        <v>0</v>
      </c>
      <c r="AV83" s="301">
        <f t="shared" ca="1" si="435"/>
        <v>0</v>
      </c>
      <c r="AW83" s="301">
        <f t="shared" ca="1" si="435"/>
        <v>0</v>
      </c>
      <c r="AX83" s="301">
        <f t="shared" ca="1" si="435"/>
        <v>0</v>
      </c>
      <c r="AY83" s="301">
        <f t="shared" ca="1" si="435"/>
        <v>0</v>
      </c>
      <c r="AZ83" s="301">
        <f t="shared" ca="1" si="435"/>
        <v>0</v>
      </c>
      <c r="BA83" s="301">
        <f t="shared" ca="1" si="435"/>
        <v>0</v>
      </c>
      <c r="BB83" s="301">
        <f t="shared" ca="1" si="435"/>
        <v>0</v>
      </c>
      <c r="BC83" s="301">
        <f t="shared" ca="1" si="435"/>
        <v>0</v>
      </c>
      <c r="BD83" s="301">
        <f t="shared" ca="1" si="435"/>
        <v>0</v>
      </c>
      <c r="BE83" s="301">
        <f t="shared" ca="1" si="435"/>
        <v>0</v>
      </c>
      <c r="BF83" s="301">
        <f t="shared" ca="1" si="435"/>
        <v>0</v>
      </c>
      <c r="BG83" s="301">
        <f t="shared" ca="1" si="435"/>
        <v>0</v>
      </c>
      <c r="BH83" s="301">
        <f t="shared" ca="1" si="435"/>
        <v>0</v>
      </c>
      <c r="BI83" s="301">
        <f t="shared" ca="1" si="435"/>
        <v>0</v>
      </c>
      <c r="BJ83" s="301">
        <f t="shared" ca="1" si="435"/>
        <v>0</v>
      </c>
      <c r="BK83" s="301">
        <f t="shared" ca="1" si="435"/>
        <v>0</v>
      </c>
      <c r="BL83" s="301">
        <f t="shared" ca="1" si="435"/>
        <v>0</v>
      </c>
      <c r="BM83" s="301">
        <f t="shared" ca="1" si="435"/>
        <v>0</v>
      </c>
      <c r="BN83" s="301">
        <f t="shared" ca="1" si="435"/>
        <v>0</v>
      </c>
      <c r="BO83" s="301">
        <f t="shared" ca="1" si="435"/>
        <v>0</v>
      </c>
      <c r="BP83" s="301">
        <f t="shared" ca="1" si="435"/>
        <v>0</v>
      </c>
      <c r="BQ83" s="301">
        <f t="shared" ca="1" si="435"/>
        <v>0</v>
      </c>
      <c r="BR83" s="301">
        <f t="shared" ca="1" si="435"/>
        <v>0</v>
      </c>
      <c r="BS83" s="301">
        <f t="shared" ca="1" si="435"/>
        <v>0</v>
      </c>
      <c r="BT83" s="301">
        <f t="shared" ca="1" si="435"/>
        <v>0</v>
      </c>
      <c r="BU83" s="301">
        <f t="shared" ca="1" si="436"/>
        <v>0</v>
      </c>
      <c r="BV83" s="301">
        <f t="shared" ca="1" si="436"/>
        <v>0</v>
      </c>
      <c r="BW83" s="301">
        <f t="shared" ca="1" si="436"/>
        <v>0</v>
      </c>
      <c r="BX83" s="301">
        <f t="shared" ca="1" si="436"/>
        <v>0</v>
      </c>
      <c r="BY83" s="301">
        <f t="shared" ca="1" si="436"/>
        <v>0</v>
      </c>
      <c r="BZ83" s="301">
        <f t="shared" ca="1" si="436"/>
        <v>0</v>
      </c>
      <c r="CA83" s="301">
        <f t="shared" ca="1" si="436"/>
        <v>0</v>
      </c>
      <c r="CB83" s="301">
        <f t="shared" ca="1" si="436"/>
        <v>0</v>
      </c>
      <c r="CC83" s="301">
        <f t="shared" ca="1" si="436"/>
        <v>0</v>
      </c>
      <c r="CD83" s="301">
        <f t="shared" ca="1" si="436"/>
        <v>0</v>
      </c>
      <c r="CE83" s="301">
        <f t="shared" ca="1" si="436"/>
        <v>0</v>
      </c>
      <c r="CF83" s="301">
        <f t="shared" ca="1" si="436"/>
        <v>0</v>
      </c>
      <c r="CG83" s="301">
        <f t="shared" ca="1" si="436"/>
        <v>0</v>
      </c>
      <c r="CH83" s="301">
        <f t="shared" ca="1" si="436"/>
        <v>0</v>
      </c>
      <c r="CI83" s="301">
        <f t="shared" ca="1" si="436"/>
        <v>0</v>
      </c>
      <c r="CJ83" s="301">
        <f t="shared" ca="1" si="436"/>
        <v>0</v>
      </c>
      <c r="CK83" s="301">
        <f t="shared" ca="1" si="436"/>
        <v>0</v>
      </c>
      <c r="CL83" s="301">
        <f t="shared" ca="1" si="436"/>
        <v>0</v>
      </c>
      <c r="CM83" s="301">
        <f t="shared" ca="1" si="436"/>
        <v>0</v>
      </c>
      <c r="CN83" s="301">
        <f t="shared" ca="1" si="436"/>
        <v>0</v>
      </c>
      <c r="CO83" s="301">
        <f t="shared" ca="1" si="436"/>
        <v>0</v>
      </c>
      <c r="CP83" s="301">
        <f t="shared" ca="1" si="436"/>
        <v>0</v>
      </c>
      <c r="CQ83" s="301">
        <f t="shared" ca="1" si="436"/>
        <v>0</v>
      </c>
      <c r="CR83" s="301">
        <f t="shared" ca="1" si="436"/>
        <v>0</v>
      </c>
      <c r="CS83" s="301">
        <f t="shared" ca="1" si="436"/>
        <v>0</v>
      </c>
      <c r="CT83" s="301">
        <f t="shared" ca="1" si="436"/>
        <v>0</v>
      </c>
      <c r="CU83" s="301">
        <f t="shared" ca="1" si="436"/>
        <v>0</v>
      </c>
      <c r="CV83" s="301">
        <f t="shared" ca="1" si="436"/>
        <v>0</v>
      </c>
      <c r="CW83" s="301">
        <f t="shared" ca="1" si="436"/>
        <v>0</v>
      </c>
      <c r="CX83" s="301">
        <f t="shared" ca="1" si="436"/>
        <v>0</v>
      </c>
      <c r="CY83" s="301">
        <f t="shared" ca="1" si="436"/>
        <v>0</v>
      </c>
      <c r="CZ83" s="301">
        <f t="shared" ca="1" si="436"/>
        <v>0</v>
      </c>
      <c r="DA83" s="301">
        <f t="shared" ref="DA83:EE83" ca="1" si="439">DA68</f>
        <v>0</v>
      </c>
      <c r="DB83" s="301">
        <f t="shared" ca="1" si="439"/>
        <v>0</v>
      </c>
      <c r="DC83" s="301">
        <f t="shared" ca="1" si="439"/>
        <v>0</v>
      </c>
      <c r="DD83" s="301">
        <f t="shared" ca="1" si="439"/>
        <v>0</v>
      </c>
      <c r="DE83" s="301">
        <f t="shared" ca="1" si="439"/>
        <v>0</v>
      </c>
      <c r="DF83" s="301">
        <f t="shared" ca="1" si="439"/>
        <v>0</v>
      </c>
      <c r="DG83" s="301">
        <f t="shared" ca="1" si="439"/>
        <v>-16069.42275593705</v>
      </c>
      <c r="DH83" s="301">
        <f t="shared" ca="1" si="439"/>
        <v>0</v>
      </c>
      <c r="DI83" s="301">
        <f t="shared" ca="1" si="439"/>
        <v>0</v>
      </c>
      <c r="DJ83" s="301">
        <f t="shared" ca="1" si="439"/>
        <v>0</v>
      </c>
      <c r="DK83" s="301">
        <f t="shared" ca="1" si="439"/>
        <v>0</v>
      </c>
      <c r="DL83" s="301">
        <f t="shared" ca="1" si="439"/>
        <v>0</v>
      </c>
      <c r="DM83" s="301">
        <f t="shared" ca="1" si="439"/>
        <v>0</v>
      </c>
      <c r="DN83" s="301">
        <f t="shared" ca="1" si="439"/>
        <v>0</v>
      </c>
      <c r="DO83" s="301">
        <f t="shared" ca="1" si="439"/>
        <v>0</v>
      </c>
      <c r="DP83" s="301">
        <f t="shared" ca="1" si="439"/>
        <v>0</v>
      </c>
      <c r="DQ83" s="301">
        <f t="shared" ca="1" si="439"/>
        <v>0</v>
      </c>
      <c r="DR83" s="301">
        <f t="shared" ca="1" si="439"/>
        <v>0</v>
      </c>
      <c r="DS83" s="301">
        <f t="shared" ca="1" si="439"/>
        <v>0</v>
      </c>
      <c r="DT83" s="301">
        <f t="shared" ca="1" si="439"/>
        <v>0</v>
      </c>
      <c r="DU83" s="301">
        <f t="shared" ca="1" si="439"/>
        <v>0</v>
      </c>
      <c r="DV83" s="301">
        <f t="shared" ca="1" si="439"/>
        <v>0</v>
      </c>
      <c r="DW83" s="301">
        <f t="shared" ca="1" si="439"/>
        <v>0</v>
      </c>
      <c r="DX83" s="301">
        <f t="shared" ca="1" si="439"/>
        <v>0</v>
      </c>
      <c r="DY83" s="301">
        <f t="shared" ca="1" si="439"/>
        <v>0</v>
      </c>
      <c r="DZ83" s="301">
        <f t="shared" ca="1" si="439"/>
        <v>0</v>
      </c>
      <c r="EA83" s="301">
        <f t="shared" ca="1" si="439"/>
        <v>0</v>
      </c>
      <c r="EB83" s="301">
        <f t="shared" ca="1" si="439"/>
        <v>0</v>
      </c>
      <c r="EC83" s="301">
        <f t="shared" ca="1" si="439"/>
        <v>0</v>
      </c>
      <c r="ED83" s="301">
        <f t="shared" ca="1" si="439"/>
        <v>0</v>
      </c>
      <c r="EE83" s="301">
        <f t="shared" ca="1" si="439"/>
        <v>0</v>
      </c>
    </row>
    <row r="84" spans="2:135">
      <c r="C84" s="265" t="s">
        <v>184</v>
      </c>
      <c r="E84" s="301">
        <f ca="1">MAX((E80-1)*G85, 0)</f>
        <v>0</v>
      </c>
      <c r="F84" s="310">
        <f>F21</f>
        <v>0.9</v>
      </c>
      <c r="G84" s="301">
        <f t="shared" ca="1" si="401"/>
        <v>0</v>
      </c>
      <c r="H84" s="301"/>
      <c r="I84" s="312">
        <v>0</v>
      </c>
      <c r="J84" s="301">
        <f ca="1">-MIN(J76*$F$84, MAX(SUM(MAX($E$84, SUM($I$80:J80)), $I$81:J83, $I$84:I84), 0))</f>
        <v>0</v>
      </c>
      <c r="K84" s="301">
        <f ca="1">-MIN(K76*$F$84, MAX(SUM(MAX($E$84, SUM($I$80:K80)), $I$81:K83, $I$84:J84), 0))</f>
        <v>0</v>
      </c>
      <c r="L84" s="301">
        <f ca="1">-MIN(L76*$F$84, MAX(SUM(MAX($E$84, SUM($I$80:L80)), $I$81:L83, $I$84:K84), 0))</f>
        <v>0</v>
      </c>
      <c r="M84" s="301">
        <f ca="1">-MIN(M76*$F$84, MAX(SUM(MAX($E$84, SUM($I$80:M80)), $I$81:M83, $I$84:L84), 0))</f>
        <v>0</v>
      </c>
      <c r="N84" s="301">
        <f ca="1">-MIN(N76*$F$84, MAX(SUM(MAX($E$84, SUM($I$80:N80)), $I$81:N83, $I$84:M84), 0))</f>
        <v>0</v>
      </c>
      <c r="O84" s="301">
        <f ca="1">-MIN(O76*$F$84, MAX(SUM(MAX($E$84, SUM($I$80:O80)), $I$81:O83, $I$84:N84), 0))</f>
        <v>0</v>
      </c>
      <c r="P84" s="301">
        <f ca="1">-MIN(P76*$F$84, MAX(SUM(MAX($E$84, SUM($I$80:P80)), $I$81:P83, $I$84:O84), 0))</f>
        <v>0</v>
      </c>
      <c r="Q84" s="301">
        <f ca="1">-MIN(Q76*$F$84, MAX(SUM(MAX($E$84, SUM($I$80:Q80)), $I$81:Q83, $I$84:P84), 0))</f>
        <v>0</v>
      </c>
      <c r="R84" s="301">
        <f ca="1">-MIN(R76*$F$84, MAX(SUM(MAX($E$84, SUM($I$80:R80)), $I$81:R83, $I$84:Q84), 0))</f>
        <v>0</v>
      </c>
      <c r="S84" s="301">
        <f ca="1">-MIN(S76*$F$84, MAX(SUM(MAX($E$84, SUM($I$80:S80)), $I$81:S83, $I$84:R84), 0))</f>
        <v>0</v>
      </c>
      <c r="T84" s="301">
        <f ca="1">-MIN(T76*$F$84, MAX(SUM(MAX($E$84, SUM($I$80:T80)), $I$81:T83, $I$84:S84), 0))</f>
        <v>0</v>
      </c>
      <c r="U84" s="301">
        <f ca="1">-MIN(U76*$F$84, MAX(SUM(MAX($E$84, SUM($I$80:U80)), $I$81:U83, $I$84:T84), 0))</f>
        <v>0</v>
      </c>
      <c r="V84" s="301">
        <f ca="1">-MIN(V76*$F$84, MAX(SUM(MAX($E$84, SUM($I$80:V80)), $I$81:V83, $I$84:U84), 0))</f>
        <v>0</v>
      </c>
      <c r="W84" s="301">
        <f ca="1">-MIN(W76*$F$84, MAX(SUM(MAX($E$84, SUM($I$80:W80)), $I$81:W83, $I$84:V84), 0))</f>
        <v>0</v>
      </c>
      <c r="X84" s="301">
        <f ca="1">-MIN(X76*$F$84, MAX(SUM(MAX($E$84, SUM($I$80:X80)), $I$81:X83, $I$84:W84), 0))</f>
        <v>0</v>
      </c>
      <c r="Y84" s="301">
        <f ca="1">-MIN(Y76*$F$84, MAX(SUM(MAX($E$84, SUM($I$80:Y80)), $I$81:Y83, $I$84:X84), 0))</f>
        <v>0</v>
      </c>
      <c r="Z84" s="301">
        <f ca="1">-MIN(Z76*$F$84, MAX(SUM(MAX($E$84, SUM($I$80:Z80)), $I$81:Z83, $I$84:Y84), 0))</f>
        <v>0</v>
      </c>
      <c r="AA84" s="301">
        <f ca="1">-MIN(AA76*$F$84, MAX(SUM(MAX($E$84, SUM($I$80:AA80)), $I$81:AA83, $I$84:Z84), 0))</f>
        <v>0</v>
      </c>
      <c r="AB84" s="301">
        <f ca="1">-MIN(AB76*$F$84, MAX(SUM(MAX($E$84, SUM($I$80:AB80)), $I$81:AB83, $I$84:AA84), 0))</f>
        <v>0</v>
      </c>
      <c r="AC84" s="301">
        <f ca="1">-MIN(AC76*$F$84, MAX(SUM(MAX($E$84, SUM($I$80:AC80)), $I$81:AC83, $I$84:AB84), 0))</f>
        <v>0</v>
      </c>
      <c r="AD84" s="301">
        <f ca="1">-MIN(AD76*$F$84, MAX(SUM(MAX($E$84, SUM($I$80:AD80)), $I$81:AD83, $I$84:AC84), 0))</f>
        <v>0</v>
      </c>
      <c r="AE84" s="301">
        <f ca="1">-MIN(AE76*$F$84, MAX(SUM(MAX($E$84, SUM($I$80:AE80)), $I$81:AE83, $I$84:AD84), 0))</f>
        <v>0</v>
      </c>
      <c r="AF84" s="301">
        <f ca="1">-MIN(AF76*$F$84, MAX(SUM(MAX($E$84, SUM($I$80:AF80)), $I$81:AF83, $I$84:AE84), 0))</f>
        <v>0</v>
      </c>
      <c r="AG84" s="301">
        <f ca="1">-MIN(AG76*$F$84, MAX(SUM(MAX($E$84, SUM($I$80:AG80)), $I$81:AG83, $I$84:AF84), 0))</f>
        <v>0</v>
      </c>
      <c r="AH84" s="301">
        <f ca="1">-MIN(AH76*$F$84, MAX(SUM(MAX($E$84, SUM($I$80:AH80)), $I$81:AH83, $I$84:AG84), 0))</f>
        <v>0</v>
      </c>
      <c r="AI84" s="301">
        <f ca="1">-MIN(AI76*$F$84, MAX(SUM(MAX($E$84, SUM($I$80:AI80)), $I$81:AI83, $I$84:AH84), 0))</f>
        <v>0</v>
      </c>
      <c r="AJ84" s="301">
        <f ca="1">-MIN(AJ76*$F$84, MAX(SUM(MAX($E$84, SUM($I$80:AJ80)), $I$81:AJ83, $I$84:AI84), 0))</f>
        <v>0</v>
      </c>
      <c r="AK84" s="301">
        <f ca="1">-MIN(AK76*$F$84, MAX(SUM(MAX($E$84, SUM($I$80:AK80)), $I$81:AK83, $I$84:AJ84), 0))</f>
        <v>0</v>
      </c>
      <c r="AL84" s="301">
        <f ca="1">-MIN(AL76*$F$84, MAX(SUM(MAX($E$84, SUM($I$80:AL80)), $I$81:AL83, $I$84:AK84), 0))</f>
        <v>0</v>
      </c>
      <c r="AM84" s="301">
        <f ca="1">-MIN(AM76*$F$84, MAX(SUM(MAX($E$84, SUM($I$80:AM80)), $I$81:AM83, $I$84:AL84), 0))</f>
        <v>0</v>
      </c>
      <c r="AN84" s="301">
        <f ca="1">-MIN(AN76*$F$84, MAX(SUM(MAX($E$84, SUM($I$80:AN80)), $I$81:AN83, $I$84:AM84), 0))</f>
        <v>0</v>
      </c>
      <c r="AO84" s="301">
        <f ca="1">-MIN(AO76*$F$84, MAX(SUM(MAX($E$84, SUM($I$80:AO80)), $I$81:AO83, $I$84:AN84), 0))</f>
        <v>0</v>
      </c>
      <c r="AP84" s="301">
        <f ca="1">-MIN(AP76*$F$84, MAX(SUM(MAX($E$84, SUM($I$80:AP80)), $I$81:AP83, $I$84:AO84), 0))</f>
        <v>0</v>
      </c>
      <c r="AQ84" s="301">
        <f ca="1">-MIN(AQ76*$F$84, MAX(SUM(MAX($E$84, SUM($I$80:AQ80)), $I$81:AQ83, $I$84:AP84), 0))</f>
        <v>0</v>
      </c>
      <c r="AR84" s="301">
        <f ca="1">-MIN(AR76*$F$84, MAX(SUM(MAX($E$84, SUM($I$80:AR80)), $I$81:AR83, $I$84:AQ84), 0))</f>
        <v>0</v>
      </c>
      <c r="AS84" s="301">
        <f ca="1">-MIN(AS76*$F$84, MAX(SUM(MAX($E$84, SUM($I$80:AS80)), $I$81:AS83, $I$84:AR84), 0))</f>
        <v>0</v>
      </c>
      <c r="AT84" s="301">
        <f ca="1">-MIN(AT76*$F$84, MAX(SUM(MAX($E$84, SUM($I$80:AT80)), $I$81:AT83, $I$84:AS84), 0))</f>
        <v>0</v>
      </c>
      <c r="AU84" s="301">
        <f ca="1">-MIN(AU76*$F$84, MAX(SUM(MAX($E$84, SUM($I$80:AU80)), $I$81:AU83, $I$84:AT84), 0))</f>
        <v>0</v>
      </c>
      <c r="AV84" s="301">
        <f ca="1">-MIN(AV76*$F$84, MAX(SUM(MAX($E$84, SUM($I$80:AV80)), $I$81:AV83, $I$84:AU84), 0))</f>
        <v>0</v>
      </c>
      <c r="AW84" s="301">
        <f ca="1">-MIN(AW76*$F$84, MAX(SUM(MAX($E$84, SUM($I$80:AW80)), $I$81:AW83, $I$84:AV84), 0))</f>
        <v>0</v>
      </c>
      <c r="AX84" s="301">
        <f ca="1">-MIN(AX76*$F$84, MAX(SUM(MAX($E$84, SUM($I$80:AX80)), $I$81:AX83, $I$84:AW84), 0))</f>
        <v>0</v>
      </c>
      <c r="AY84" s="301">
        <f ca="1">-MIN(AY76*$F$84, MAX(SUM(MAX($E$84, SUM($I$80:AY80)), $I$81:AY83, $I$84:AX84), 0))</f>
        <v>0</v>
      </c>
      <c r="AZ84" s="301">
        <f ca="1">-MIN(AZ76*$F$84, MAX(SUM(MAX($E$84, SUM($I$80:AZ80)), $I$81:AZ83, $I$84:AY84), 0))</f>
        <v>0</v>
      </c>
      <c r="BA84" s="301">
        <f ca="1">-MIN(BA76*$F$84, MAX(SUM(MAX($E$84, SUM($I$80:BA80)), $I$81:BA83, $I$84:AZ84), 0))</f>
        <v>0</v>
      </c>
      <c r="BB84" s="301">
        <f ca="1">-MIN(BB76*$F$84, MAX(SUM(MAX($E$84, SUM($I$80:BB80)), $I$81:BB83, $I$84:BA84), 0))</f>
        <v>0</v>
      </c>
      <c r="BC84" s="301">
        <f ca="1">-MIN(BC76*$F$84, MAX(SUM(MAX($E$84, SUM($I$80:BC80)), $I$81:BC83, $I$84:BB84), 0))</f>
        <v>0</v>
      </c>
      <c r="BD84" s="301">
        <f ca="1">-MIN(BD76*$F$84, MAX(SUM(MAX($E$84, SUM($I$80:BD80)), $I$81:BD83, $I$84:BC84), 0))</f>
        <v>0</v>
      </c>
      <c r="BE84" s="301">
        <f ca="1">-MIN(BE76*$F$84, MAX(SUM(MAX($E$84, SUM($I$80:BE80)), $I$81:BE83, $I$84:BD84), 0))</f>
        <v>0</v>
      </c>
      <c r="BF84" s="301">
        <f ca="1">-MIN(BF76*$F$84, MAX(SUM(MAX($E$84, SUM($I$80:BF80)), $I$81:BF83, $I$84:BE84), 0))</f>
        <v>0</v>
      </c>
      <c r="BG84" s="301">
        <f ca="1">-MIN(BG76*$F$84, MAX(SUM(MAX($E$84, SUM($I$80:BG80)), $I$81:BG83, $I$84:BF84), 0))</f>
        <v>0</v>
      </c>
      <c r="BH84" s="301">
        <f ca="1">-MIN(BH76*$F$84, MAX(SUM(MAX($E$84, SUM($I$80:BH80)), $I$81:BH83, $I$84:BG84), 0))</f>
        <v>0</v>
      </c>
      <c r="BI84" s="301">
        <f ca="1">-MIN(BI76*$F$84, MAX(SUM(MAX($E$84, SUM($I$80:BI80)), $I$81:BI83, $I$84:BH84), 0))</f>
        <v>0</v>
      </c>
      <c r="BJ84" s="301">
        <f ca="1">-MIN(BJ76*$F$84, MAX(SUM(MAX($E$84, SUM($I$80:BJ80)), $I$81:BJ83, $I$84:BI84), 0))</f>
        <v>0</v>
      </c>
      <c r="BK84" s="301">
        <f ca="1">-MIN(BK76*$F$84, MAX(SUM(MAX($E$84, SUM($I$80:BK80)), $I$81:BK83, $I$84:BJ84), 0))</f>
        <v>0</v>
      </c>
      <c r="BL84" s="301">
        <f ca="1">-MIN(BL76*$F$84, MAX(SUM(MAX($E$84, SUM($I$80:BL80)), $I$81:BL83, $I$84:BK84), 0))</f>
        <v>0</v>
      </c>
      <c r="BM84" s="301">
        <f ca="1">-MIN(BM76*$F$84, MAX(SUM(MAX($E$84, SUM($I$80:BM80)), $I$81:BM83, $I$84:BL84), 0))</f>
        <v>0</v>
      </c>
      <c r="BN84" s="301">
        <f ca="1">-MIN(BN76*$F$84, MAX(SUM(MAX($E$84, SUM($I$80:BN80)), $I$81:BN83, $I$84:BM84), 0))</f>
        <v>0</v>
      </c>
      <c r="BO84" s="301">
        <f ca="1">-MIN(BO76*$F$84, MAX(SUM(MAX($E$84, SUM($I$80:BO80)), $I$81:BO83, $I$84:BN84), 0))</f>
        <v>0</v>
      </c>
      <c r="BP84" s="301">
        <f ca="1">-MIN(BP76*$F$84, MAX(SUM(MAX($E$84, SUM($I$80:BP80)), $I$81:BP83, $I$84:BO84), 0))</f>
        <v>0</v>
      </c>
      <c r="BQ84" s="301">
        <f ca="1">-MIN(BQ76*$F$84, MAX(SUM(MAX($E$84, SUM($I$80:BQ80)), $I$81:BQ83, $I$84:BP84), 0))</f>
        <v>0</v>
      </c>
      <c r="BR84" s="301">
        <f ca="1">-MIN(BR76*$F$84, MAX(SUM(MAX($E$84, SUM($I$80:BR80)), $I$81:BR83, $I$84:BQ84), 0))</f>
        <v>0</v>
      </c>
      <c r="BS84" s="301">
        <f ca="1">-MIN(BS76*$F$84, MAX(SUM(MAX($E$84, SUM($I$80:BS80)), $I$81:BS83, $I$84:BR84), 0))</f>
        <v>0</v>
      </c>
      <c r="BT84" s="301">
        <f ca="1">-MIN(BT76*$F$84, MAX(SUM(MAX($E$84, SUM($I$80:BT80)), $I$81:BT83, $I$84:BS84), 0))</f>
        <v>0</v>
      </c>
      <c r="BU84" s="301">
        <f ca="1">-MIN(BU76*$F$84, MAX(SUM(MAX($E$84, SUM($I$80:BU80)), $I$81:BU83, $I$84:BT84), 0))</f>
        <v>0</v>
      </c>
      <c r="BV84" s="301">
        <f ca="1">-MIN(BV76*$F$84, MAX(SUM(MAX($E$84, SUM($I$80:BV80)), $I$81:BV83, $I$84:BU84), 0))</f>
        <v>0</v>
      </c>
      <c r="BW84" s="301">
        <f ca="1">-MIN(BW76*$F$84, MAX(SUM(MAX($E$84, SUM($I$80:BW80)), $I$81:BW83, $I$84:BV84), 0))</f>
        <v>0</v>
      </c>
      <c r="BX84" s="301">
        <f ca="1">-MIN(BX76*$F$84, MAX(SUM(MAX($E$84, SUM($I$80:BX80)), $I$81:BX83, $I$84:BW84), 0))</f>
        <v>0</v>
      </c>
      <c r="BY84" s="301">
        <f ca="1">-MIN(BY76*$F$84, MAX(SUM(MAX($E$84, SUM($I$80:BY80)), $I$81:BY83, $I$84:BX84), 0))</f>
        <v>0</v>
      </c>
      <c r="BZ84" s="301">
        <f ca="1">-MIN(BZ76*$F$84, MAX(SUM(MAX($E$84, SUM($I$80:BZ80)), $I$81:BZ83, $I$84:BY84), 0))</f>
        <v>0</v>
      </c>
      <c r="CA84" s="301">
        <f ca="1">-MIN(CA76*$F$84, MAX(SUM(MAX($E$84, SUM($I$80:CA80)), $I$81:CA83, $I$84:BZ84), 0))</f>
        <v>0</v>
      </c>
      <c r="CB84" s="301">
        <f ca="1">-MIN(CB76*$F$84, MAX(SUM(MAX($E$84, SUM($I$80:CB80)), $I$81:CB83, $I$84:CA84), 0))</f>
        <v>0</v>
      </c>
      <c r="CC84" s="301">
        <f ca="1">-MIN(CC76*$F$84, MAX(SUM(MAX($E$84, SUM($I$80:CC80)), $I$81:CC83, $I$84:CB84), 0))</f>
        <v>0</v>
      </c>
      <c r="CD84" s="301">
        <f ca="1">-MIN(CD76*$F$84, MAX(SUM(MAX($E$84, SUM($I$80:CD80)), $I$81:CD83, $I$84:CC84), 0))</f>
        <v>0</v>
      </c>
      <c r="CE84" s="301">
        <f ca="1">-MIN(CE76*$F$84, MAX(SUM(MAX($E$84, SUM($I$80:CE80)), $I$81:CE83, $I$84:CD84), 0))</f>
        <v>0</v>
      </c>
      <c r="CF84" s="301">
        <f ca="1">-MIN(CF76*$F$84, MAX(SUM(MAX($E$84, SUM($I$80:CF80)), $I$81:CF83, $I$84:CE84), 0))</f>
        <v>0</v>
      </c>
      <c r="CG84" s="301">
        <f ca="1">-MIN(CG76*$F$84, MAX(SUM(MAX($E$84, SUM($I$80:CG80)), $I$81:CG83, $I$84:CF84), 0))</f>
        <v>0</v>
      </c>
      <c r="CH84" s="301">
        <f ca="1">-MIN(CH76*$F$84, MAX(SUM(MAX($E$84, SUM($I$80:CH80)), $I$81:CH83, $I$84:CG84), 0))</f>
        <v>0</v>
      </c>
      <c r="CI84" s="301">
        <f ca="1">-MIN(CI76*$F$84, MAX(SUM(MAX($E$84, SUM($I$80:CI80)), $I$81:CI83, $I$84:CH84), 0))</f>
        <v>0</v>
      </c>
      <c r="CJ84" s="301">
        <f ca="1">-MIN(CJ76*$F$84, MAX(SUM(MAX($E$84, SUM($I$80:CJ80)), $I$81:CJ83, $I$84:CI84), 0))</f>
        <v>0</v>
      </c>
      <c r="CK84" s="301">
        <f ca="1">-MIN(CK76*$F$84, MAX(SUM(MAX($E$84, SUM($I$80:CK80)), $I$81:CK83, $I$84:CJ84), 0))</f>
        <v>0</v>
      </c>
      <c r="CL84" s="301">
        <f ca="1">-MIN(CL76*$F$84, MAX(SUM(MAX($E$84, SUM($I$80:CL80)), $I$81:CL83, $I$84:CK84), 0))</f>
        <v>0</v>
      </c>
      <c r="CM84" s="301">
        <f ca="1">-MIN(CM76*$F$84, MAX(SUM(MAX($E$84, SUM($I$80:CM80)), $I$81:CM83, $I$84:CL84), 0))</f>
        <v>0</v>
      </c>
      <c r="CN84" s="301">
        <f ca="1">-MIN(CN76*$F$84, MAX(SUM(MAX($E$84, SUM($I$80:CN80)), $I$81:CN83, $I$84:CM84), 0))</f>
        <v>0</v>
      </c>
      <c r="CO84" s="301">
        <f ca="1">-MIN(CO76*$F$84, MAX(SUM(MAX($E$84, SUM($I$80:CO80)), $I$81:CO83, $I$84:CN84), 0))</f>
        <v>0</v>
      </c>
      <c r="CP84" s="301">
        <f ca="1">-MIN(CP76*$F$84, MAX(SUM(MAX($E$84, SUM($I$80:CP80)), $I$81:CP83, $I$84:CO84), 0))</f>
        <v>0</v>
      </c>
      <c r="CQ84" s="301">
        <f ca="1">-MIN(CQ76*$F$84, MAX(SUM(MAX($E$84, SUM($I$80:CQ80)), $I$81:CQ83, $I$84:CP84), 0))</f>
        <v>0</v>
      </c>
      <c r="CR84" s="301">
        <f ca="1">-MIN(CR76*$F$84, MAX(SUM(MAX($E$84, SUM($I$80:CR80)), $I$81:CR83, $I$84:CQ84), 0))</f>
        <v>0</v>
      </c>
      <c r="CS84" s="301">
        <f ca="1">-MIN(CS76*$F$84, MAX(SUM(MAX($E$84, SUM($I$80:CS80)), $I$81:CS83, $I$84:CR84), 0))</f>
        <v>0</v>
      </c>
      <c r="CT84" s="301">
        <f ca="1">-MIN(CT76*$F$84, MAX(SUM(MAX($E$84, SUM($I$80:CT80)), $I$81:CT83, $I$84:CS84), 0))</f>
        <v>0</v>
      </c>
      <c r="CU84" s="301">
        <f ca="1">-MIN(CU76*$F$84, MAX(SUM(MAX($E$84, SUM($I$80:CU80)), $I$81:CU83, $I$84:CT84), 0))</f>
        <v>0</v>
      </c>
      <c r="CV84" s="301">
        <f ca="1">-MIN(CV76*$F$84, MAX(SUM(MAX($E$84, SUM($I$80:CV80)), $I$81:CV83, $I$84:CU84), 0))</f>
        <v>0</v>
      </c>
      <c r="CW84" s="301">
        <f ca="1">-MIN(CW76*$F$84, MAX(SUM(MAX($E$84, SUM($I$80:CW80)), $I$81:CW83, $I$84:CV84), 0))</f>
        <v>0</v>
      </c>
      <c r="CX84" s="301">
        <f ca="1">-MIN(CX76*$F$84, MAX(SUM(MAX($E$84, SUM($I$80:CX80)), $I$81:CX83, $I$84:CW84), 0))</f>
        <v>0</v>
      </c>
      <c r="CY84" s="301">
        <f ca="1">-MIN(CY76*$F$84, MAX(SUM(MAX($E$84, SUM($I$80:CY80)), $I$81:CY83, $I$84:CX84), 0))</f>
        <v>0</v>
      </c>
      <c r="CZ84" s="301">
        <f ca="1">-MIN(CZ76*$F$84, MAX(SUM(MAX($E$84, SUM($I$80:CZ80)), $I$81:CZ83, $I$84:CY84), 0))</f>
        <v>0</v>
      </c>
      <c r="DA84" s="301">
        <f ca="1">-MIN(DA76*$F$84, MAX(SUM(MAX($E$84, SUM($I$80:DA80)), $I$81:DA83, $I$84:CZ84), 0))</f>
        <v>0</v>
      </c>
      <c r="DB84" s="301">
        <f ca="1">-MIN(DB76*$F$84, MAX(SUM(MAX($E$84, SUM($I$80:DB80)), $I$81:DB83, $I$84:DA84), 0))</f>
        <v>0</v>
      </c>
      <c r="DC84" s="301">
        <f ca="1">-MIN(DC76*$F$84, MAX(SUM(MAX($E$84, SUM($I$80:DC80)), $I$81:DC83, $I$84:DB84), 0))</f>
        <v>0</v>
      </c>
      <c r="DD84" s="301">
        <f ca="1">-MIN(DD76*$F$84, MAX(SUM(MAX($E$84, SUM($I$80:DD80)), $I$81:DD83, $I$84:DC84), 0))</f>
        <v>0</v>
      </c>
      <c r="DE84" s="301">
        <f ca="1">-MIN(DE76*$F$84, MAX(SUM(MAX($E$84, SUM($I$80:DE80)), $I$81:DE83, $I$84:DD84), 0))</f>
        <v>0</v>
      </c>
      <c r="DF84" s="301">
        <f ca="1">-MIN(DF76*$F$84, MAX(SUM(MAX($E$84, SUM($I$80:DF80)), $I$81:DF83, $I$84:DE84), 0))</f>
        <v>0</v>
      </c>
      <c r="DG84" s="301">
        <f ca="1">-MIN(DG76*$F$84, MAX(SUM(MAX($E$84, SUM($I$80:DG80)), $I$81:DG83, $I$84:DF84), 0))</f>
        <v>0</v>
      </c>
      <c r="DH84" s="301">
        <f ca="1">-MIN(DH76*$F$84, MAX(SUM(MAX($E$84, SUM($I$80:DH80)), $I$81:DH83, $I$84:DG84), 0))</f>
        <v>0</v>
      </c>
      <c r="DI84" s="301">
        <f ca="1">-MIN(DI76*$F$84, MAX(SUM(MAX($E$84, SUM($I$80:DI80)), $I$81:DI83, $I$84:DH84), 0))</f>
        <v>0</v>
      </c>
      <c r="DJ84" s="301">
        <f ca="1">-MIN(DJ76*$F$84, MAX(SUM(MAX($E$84, SUM($I$80:DJ80)), $I$81:DJ83, $I$84:DI84), 0))</f>
        <v>0</v>
      </c>
      <c r="DK84" s="301">
        <f ca="1">-MIN(DK76*$F$84, MAX(SUM(MAX($E$84, SUM($I$80:DK80)), $I$81:DK83, $I$84:DJ84), 0))</f>
        <v>0</v>
      </c>
      <c r="DL84" s="301">
        <f ca="1">-MIN(DL76*$F$84, MAX(SUM(MAX($E$84, SUM($I$80:DL80)), $I$81:DL83, $I$84:DK84), 0))</f>
        <v>0</v>
      </c>
      <c r="DM84" s="301">
        <f ca="1">-MIN(DM76*$F$84, MAX(SUM(MAX($E$84, SUM($I$80:DM80)), $I$81:DM83, $I$84:DL84), 0))</f>
        <v>0</v>
      </c>
      <c r="DN84" s="301">
        <f ca="1">-MIN(DN76*$F$84, MAX(SUM(MAX($E$84, SUM($I$80:DN80)), $I$81:DN83, $I$84:DM84), 0))</f>
        <v>0</v>
      </c>
      <c r="DO84" s="301">
        <f ca="1">-MIN(DO76*$F$84, MAX(SUM(MAX($E$84, SUM($I$80:DO80)), $I$81:DO83, $I$84:DN84), 0))</f>
        <v>0</v>
      </c>
      <c r="DP84" s="301">
        <f ca="1">-MIN(DP76*$F$84, MAX(SUM(MAX($E$84, SUM($I$80:DP80)), $I$81:DP83, $I$84:DO84), 0))</f>
        <v>0</v>
      </c>
      <c r="DQ84" s="301">
        <f ca="1">-MIN(DQ76*$F$84, MAX(SUM(MAX($E$84, SUM($I$80:DQ80)), $I$81:DQ83, $I$84:DP84), 0))</f>
        <v>0</v>
      </c>
      <c r="DR84" s="301">
        <f ca="1">-MIN(DR76*$F$84, MAX(SUM(MAX($E$84, SUM($I$80:DR80)), $I$81:DR83, $I$84:DQ84), 0))</f>
        <v>0</v>
      </c>
      <c r="DS84" s="301">
        <f ca="1">-MIN(DS76*$F$84, MAX(SUM(MAX($E$84, SUM($I$80:DS80)), $I$81:DS83, $I$84:DR84), 0))</f>
        <v>0</v>
      </c>
      <c r="DT84" s="301">
        <f ca="1">-MIN(DT76*$F$84, MAX(SUM(MAX($E$84, SUM($I$80:DT80)), $I$81:DT83, $I$84:DS84), 0))</f>
        <v>0</v>
      </c>
      <c r="DU84" s="301">
        <f ca="1">-MIN(DU76*$F$84, MAX(SUM(MAX($E$84, SUM($I$80:DU80)), $I$81:DU83, $I$84:DT84), 0))</f>
        <v>0</v>
      </c>
      <c r="DV84" s="301">
        <f ca="1">-MIN(DV76*$F$84, MAX(SUM(MAX($E$84, SUM($I$80:DV80)), $I$81:DV83, $I$84:DU84), 0))</f>
        <v>0</v>
      </c>
      <c r="DW84" s="301">
        <f ca="1">-MIN(DW76*$F$84, MAX(SUM(MAX($E$84, SUM($I$80:DW80)), $I$81:DW83, $I$84:DV84), 0))</f>
        <v>0</v>
      </c>
      <c r="DX84" s="301">
        <f ca="1">-MIN(DX76*$F$84, MAX(SUM(MAX($E$84, SUM($I$80:DX80)), $I$81:DX83, $I$84:DW84), 0))</f>
        <v>0</v>
      </c>
      <c r="DY84" s="301">
        <f ca="1">-MIN(DY76*$F$84, MAX(SUM(MAX($E$84, SUM($I$80:DY80)), $I$81:DY83, $I$84:DX84), 0))</f>
        <v>0</v>
      </c>
      <c r="DZ84" s="301">
        <f ca="1">-MIN(DZ76*$F$84, MAX(SUM(MAX($E$84, SUM($I$80:DZ80)), $I$81:DZ83, $I$84:DY84), 0))</f>
        <v>0</v>
      </c>
      <c r="EA84" s="301">
        <f ca="1">-MIN(EA76*$F$84, MAX(SUM(MAX($E$84, SUM($I$80:EA80)), $I$81:EA83, $I$84:DZ84), 0))</f>
        <v>0</v>
      </c>
      <c r="EB84" s="301">
        <f ca="1">-MIN(EB76*$F$84, MAX(SUM(MAX($E$84, SUM($I$80:EB80)), $I$81:EB83, $I$84:EA84), 0))</f>
        <v>0</v>
      </c>
      <c r="EC84" s="301">
        <f ca="1">-MIN(EC76*$F$84, MAX(SUM(MAX($E$84, SUM($I$80:EC80)), $I$81:EC83, $I$84:EB84), 0))</f>
        <v>0</v>
      </c>
      <c r="ED84" s="301">
        <f ca="1">-MIN(ED76*$F$84, MAX(SUM(MAX($E$84, SUM($I$80:ED80)), $I$81:ED83, $I$84:EC84), 0))</f>
        <v>0</v>
      </c>
      <c r="EE84" s="301">
        <f ca="1">-MIN(EE76*$F$84, MAX(SUM(MAX($E$84, SUM($I$80:EE80)), $I$81:EE83, $I$84:ED84), 0))</f>
        <v>0</v>
      </c>
    </row>
    <row r="85" spans="2:135">
      <c r="C85" s="265" t="str">
        <f>C69</f>
        <v>Capital Contributions</v>
      </c>
      <c r="E85" s="321"/>
      <c r="F85" s="268"/>
      <c r="G85" s="301">
        <f t="shared" ca="1" si="401"/>
        <v>15882.232</v>
      </c>
      <c r="H85" s="301"/>
      <c r="I85" s="301">
        <f t="shared" ref="I85:BT86" si="440">I69</f>
        <v>13708</v>
      </c>
      <c r="J85" s="301">
        <f t="shared" ca="1" si="440"/>
        <v>0</v>
      </c>
      <c r="K85" s="301">
        <f t="shared" ca="1" si="440"/>
        <v>0</v>
      </c>
      <c r="L85" s="301">
        <f t="shared" ca="1" si="440"/>
        <v>0</v>
      </c>
      <c r="M85" s="301">
        <f t="shared" ca="1" si="440"/>
        <v>0</v>
      </c>
      <c r="N85" s="301">
        <f t="shared" ca="1" si="440"/>
        <v>150.82499999999999</v>
      </c>
      <c r="O85" s="301">
        <f t="shared" ca="1" si="440"/>
        <v>0</v>
      </c>
      <c r="P85" s="301">
        <f t="shared" ca="1" si="440"/>
        <v>0</v>
      </c>
      <c r="Q85" s="301">
        <f t="shared" ca="1" si="440"/>
        <v>0</v>
      </c>
      <c r="R85" s="301">
        <f t="shared" ca="1" si="440"/>
        <v>0</v>
      </c>
      <c r="S85" s="301">
        <f t="shared" ca="1" si="440"/>
        <v>0</v>
      </c>
      <c r="T85" s="301">
        <f t="shared" ca="1" si="440"/>
        <v>0</v>
      </c>
      <c r="U85" s="301">
        <f t="shared" ca="1" si="440"/>
        <v>0</v>
      </c>
      <c r="V85" s="301">
        <f t="shared" ca="1" si="440"/>
        <v>79.174999999999997</v>
      </c>
      <c r="W85" s="301">
        <f t="shared" ca="1" si="440"/>
        <v>0</v>
      </c>
      <c r="X85" s="301">
        <f t="shared" ca="1" si="440"/>
        <v>0</v>
      </c>
      <c r="Y85" s="301">
        <f t="shared" ca="1" si="440"/>
        <v>0</v>
      </c>
      <c r="Z85" s="301">
        <f t="shared" ca="1" si="440"/>
        <v>0</v>
      </c>
      <c r="AA85" s="301">
        <f t="shared" ca="1" si="440"/>
        <v>0</v>
      </c>
      <c r="AB85" s="301">
        <f t="shared" ca="1" si="440"/>
        <v>0</v>
      </c>
      <c r="AC85" s="301">
        <f t="shared" ca="1" si="440"/>
        <v>0</v>
      </c>
      <c r="AD85" s="301">
        <f t="shared" ca="1" si="440"/>
        <v>0</v>
      </c>
      <c r="AE85" s="301">
        <f t="shared" ca="1" si="440"/>
        <v>310</v>
      </c>
      <c r="AF85" s="301">
        <f t="shared" ca="1" si="440"/>
        <v>0</v>
      </c>
      <c r="AG85" s="301">
        <f t="shared" ca="1" si="440"/>
        <v>0</v>
      </c>
      <c r="AH85" s="301">
        <f t="shared" ca="1" si="440"/>
        <v>0</v>
      </c>
      <c r="AI85" s="301">
        <f t="shared" ca="1" si="440"/>
        <v>0</v>
      </c>
      <c r="AJ85" s="301">
        <f t="shared" ca="1" si="440"/>
        <v>0</v>
      </c>
      <c r="AK85" s="301">
        <f t="shared" ca="1" si="440"/>
        <v>0</v>
      </c>
      <c r="AL85" s="301">
        <f t="shared" ca="1" si="440"/>
        <v>0</v>
      </c>
      <c r="AM85" s="301">
        <f t="shared" ca="1" si="440"/>
        <v>0</v>
      </c>
      <c r="AN85" s="301">
        <f t="shared" ca="1" si="440"/>
        <v>0</v>
      </c>
      <c r="AO85" s="301">
        <f t="shared" ca="1" si="440"/>
        <v>0</v>
      </c>
      <c r="AP85" s="301">
        <f t="shared" ca="1" si="440"/>
        <v>0</v>
      </c>
      <c r="AQ85" s="301">
        <f t="shared" ca="1" si="440"/>
        <v>0</v>
      </c>
      <c r="AR85" s="301">
        <f t="shared" ca="1" si="440"/>
        <v>0</v>
      </c>
      <c r="AS85" s="301">
        <f t="shared" ca="1" si="440"/>
        <v>0</v>
      </c>
      <c r="AT85" s="301">
        <f t="shared" ca="1" si="440"/>
        <v>0</v>
      </c>
      <c r="AU85" s="301">
        <f t="shared" ca="1" si="440"/>
        <v>0</v>
      </c>
      <c r="AV85" s="301">
        <f t="shared" ca="1" si="440"/>
        <v>0</v>
      </c>
      <c r="AW85" s="301">
        <f t="shared" ca="1" si="440"/>
        <v>0</v>
      </c>
      <c r="AX85" s="301">
        <f t="shared" ca="1" si="440"/>
        <v>0</v>
      </c>
      <c r="AY85" s="301">
        <f t="shared" ca="1" si="440"/>
        <v>141.08000000000001</v>
      </c>
      <c r="AZ85" s="301">
        <f t="shared" ca="1" si="440"/>
        <v>0</v>
      </c>
      <c r="BA85" s="301">
        <f t="shared" ca="1" si="440"/>
        <v>248.2</v>
      </c>
      <c r="BB85" s="301">
        <f t="shared" ca="1" si="440"/>
        <v>320</v>
      </c>
      <c r="BC85" s="301">
        <f t="shared" ca="1" si="440"/>
        <v>0</v>
      </c>
      <c r="BD85" s="301">
        <f t="shared" ca="1" si="440"/>
        <v>0</v>
      </c>
      <c r="BE85" s="301">
        <f t="shared" ca="1" si="440"/>
        <v>617</v>
      </c>
      <c r="BF85" s="301">
        <f t="shared" ca="1" si="440"/>
        <v>0</v>
      </c>
      <c r="BG85" s="301">
        <f t="shared" ca="1" si="440"/>
        <v>0</v>
      </c>
      <c r="BH85" s="301">
        <f t="shared" ca="1" si="440"/>
        <v>0</v>
      </c>
      <c r="BI85" s="301">
        <f t="shared" ca="1" si="440"/>
        <v>0</v>
      </c>
      <c r="BJ85" s="301">
        <f t="shared" ca="1" si="440"/>
        <v>0</v>
      </c>
      <c r="BK85" s="301">
        <f t="shared" ca="1" si="440"/>
        <v>0</v>
      </c>
      <c r="BL85" s="301">
        <f t="shared" ca="1" si="440"/>
        <v>219.452</v>
      </c>
      <c r="BM85" s="301">
        <f t="shared" ca="1" si="440"/>
        <v>0</v>
      </c>
      <c r="BN85" s="301">
        <f t="shared" ca="1" si="440"/>
        <v>0</v>
      </c>
      <c r="BO85" s="301">
        <f t="shared" ca="1" si="440"/>
        <v>0</v>
      </c>
      <c r="BP85" s="301">
        <f t="shared" ca="1" si="440"/>
        <v>88.5</v>
      </c>
      <c r="BQ85" s="301">
        <f t="shared" ca="1" si="440"/>
        <v>0</v>
      </c>
      <c r="BR85" s="301">
        <f t="shared" ca="1" si="440"/>
        <v>0</v>
      </c>
      <c r="BS85" s="301">
        <f t="shared" ca="1" si="440"/>
        <v>0</v>
      </c>
      <c r="BT85" s="301">
        <f t="shared" ca="1" si="440"/>
        <v>0</v>
      </c>
      <c r="BU85" s="301">
        <f t="shared" ref="BU85:CZ86" ca="1" si="441">BU69</f>
        <v>0</v>
      </c>
      <c r="BV85" s="301">
        <f t="shared" ca="1" si="441"/>
        <v>0</v>
      </c>
      <c r="BW85" s="301">
        <f t="shared" ca="1" si="441"/>
        <v>0</v>
      </c>
      <c r="BX85" s="301">
        <f t="shared" ca="1" si="441"/>
        <v>0</v>
      </c>
      <c r="BY85" s="301">
        <f t="shared" ca="1" si="441"/>
        <v>0</v>
      </c>
      <c r="BZ85" s="301">
        <f t="shared" ca="1" si="441"/>
        <v>0</v>
      </c>
      <c r="CA85" s="301">
        <f t="shared" ca="1" si="441"/>
        <v>0</v>
      </c>
      <c r="CB85" s="301">
        <f t="shared" ca="1" si="441"/>
        <v>0</v>
      </c>
      <c r="CC85" s="301">
        <f t="shared" ca="1" si="441"/>
        <v>0</v>
      </c>
      <c r="CD85" s="301">
        <f t="shared" ca="1" si="441"/>
        <v>0</v>
      </c>
      <c r="CE85" s="301">
        <f t="shared" ca="1" si="441"/>
        <v>0</v>
      </c>
      <c r="CF85" s="301">
        <f t="shared" ca="1" si="441"/>
        <v>0</v>
      </c>
      <c r="CG85" s="301">
        <f t="shared" ca="1" si="441"/>
        <v>0</v>
      </c>
      <c r="CH85" s="301">
        <f t="shared" ca="1" si="441"/>
        <v>0</v>
      </c>
      <c r="CI85" s="301">
        <f t="shared" ca="1" si="441"/>
        <v>0</v>
      </c>
      <c r="CJ85" s="301">
        <f t="shared" ca="1" si="441"/>
        <v>0</v>
      </c>
      <c r="CK85" s="301">
        <f t="shared" ca="1" si="441"/>
        <v>0</v>
      </c>
      <c r="CL85" s="301">
        <f t="shared" ca="1" si="441"/>
        <v>0</v>
      </c>
      <c r="CM85" s="301">
        <f t="shared" ca="1" si="441"/>
        <v>0</v>
      </c>
      <c r="CN85" s="301">
        <f t="shared" ca="1" si="441"/>
        <v>0</v>
      </c>
      <c r="CO85" s="301">
        <f t="shared" ca="1" si="441"/>
        <v>0</v>
      </c>
      <c r="CP85" s="301">
        <f t="shared" ca="1" si="441"/>
        <v>0</v>
      </c>
      <c r="CQ85" s="301">
        <f t="shared" ca="1" si="441"/>
        <v>0</v>
      </c>
      <c r="CR85" s="301">
        <f t="shared" ca="1" si="441"/>
        <v>0</v>
      </c>
      <c r="CS85" s="301">
        <f t="shared" ca="1" si="441"/>
        <v>0</v>
      </c>
      <c r="CT85" s="301">
        <f t="shared" ca="1" si="441"/>
        <v>0</v>
      </c>
      <c r="CU85" s="301">
        <f t="shared" ca="1" si="441"/>
        <v>0</v>
      </c>
      <c r="CV85" s="301">
        <f t="shared" ca="1" si="441"/>
        <v>0</v>
      </c>
      <c r="CW85" s="301">
        <f t="shared" ca="1" si="441"/>
        <v>0</v>
      </c>
      <c r="CX85" s="301">
        <f t="shared" ca="1" si="441"/>
        <v>0</v>
      </c>
      <c r="CY85" s="301">
        <f t="shared" ca="1" si="441"/>
        <v>0</v>
      </c>
      <c r="CZ85" s="301">
        <f t="shared" ca="1" si="441"/>
        <v>0</v>
      </c>
      <c r="DA85" s="301">
        <f t="shared" ref="DA85:EE85" ca="1" si="442">DA69</f>
        <v>0</v>
      </c>
      <c r="DB85" s="301">
        <f t="shared" ca="1" si="442"/>
        <v>0</v>
      </c>
      <c r="DC85" s="301">
        <f t="shared" ca="1" si="442"/>
        <v>0</v>
      </c>
      <c r="DD85" s="301">
        <f t="shared" ca="1" si="442"/>
        <v>0</v>
      </c>
      <c r="DE85" s="301">
        <f t="shared" ca="1" si="442"/>
        <v>0</v>
      </c>
      <c r="DF85" s="301">
        <f t="shared" ca="1" si="442"/>
        <v>0</v>
      </c>
      <c r="DG85" s="301">
        <f t="shared" ca="1" si="442"/>
        <v>0</v>
      </c>
      <c r="DH85" s="301">
        <f t="shared" si="442"/>
        <v>0</v>
      </c>
      <c r="DI85" s="301">
        <f t="shared" si="442"/>
        <v>0</v>
      </c>
      <c r="DJ85" s="301">
        <f t="shared" si="442"/>
        <v>0</v>
      </c>
      <c r="DK85" s="301">
        <f t="shared" si="442"/>
        <v>0</v>
      </c>
      <c r="DL85" s="301">
        <f t="shared" si="442"/>
        <v>0</v>
      </c>
      <c r="DM85" s="301">
        <f t="shared" si="442"/>
        <v>0</v>
      </c>
      <c r="DN85" s="301">
        <f t="shared" si="442"/>
        <v>0</v>
      </c>
      <c r="DO85" s="301">
        <f t="shared" si="442"/>
        <v>0</v>
      </c>
      <c r="DP85" s="301">
        <f t="shared" si="442"/>
        <v>0</v>
      </c>
      <c r="DQ85" s="301">
        <f t="shared" si="442"/>
        <v>0</v>
      </c>
      <c r="DR85" s="301">
        <f t="shared" si="442"/>
        <v>0</v>
      </c>
      <c r="DS85" s="301">
        <f t="shared" si="442"/>
        <v>0</v>
      </c>
      <c r="DT85" s="301">
        <f t="shared" si="442"/>
        <v>0</v>
      </c>
      <c r="DU85" s="301">
        <f t="shared" si="442"/>
        <v>0</v>
      </c>
      <c r="DV85" s="301">
        <f t="shared" si="442"/>
        <v>0</v>
      </c>
      <c r="DW85" s="301">
        <f t="shared" si="442"/>
        <v>0</v>
      </c>
      <c r="DX85" s="301">
        <f t="shared" si="442"/>
        <v>0</v>
      </c>
      <c r="DY85" s="301">
        <f t="shared" si="442"/>
        <v>0</v>
      </c>
      <c r="DZ85" s="301">
        <f t="shared" si="442"/>
        <v>0</v>
      </c>
      <c r="EA85" s="301">
        <f t="shared" si="442"/>
        <v>0</v>
      </c>
      <c r="EB85" s="301">
        <f t="shared" si="442"/>
        <v>0</v>
      </c>
      <c r="EC85" s="301">
        <f t="shared" si="442"/>
        <v>0</v>
      </c>
      <c r="ED85" s="301">
        <f t="shared" si="442"/>
        <v>0</v>
      </c>
      <c r="EE85" s="301">
        <f t="shared" si="442"/>
        <v>0</v>
      </c>
    </row>
    <row r="86" spans="2:135">
      <c r="C86" s="265" t="str">
        <f>C70</f>
        <v>Return of Capital</v>
      </c>
      <c r="G86" s="301">
        <f t="shared" ca="1" si="401"/>
        <v>-11741.205068019079</v>
      </c>
      <c r="H86" s="301"/>
      <c r="I86" s="301">
        <f t="shared" si="440"/>
        <v>0</v>
      </c>
      <c r="J86" s="301">
        <f t="shared" ca="1" si="440"/>
        <v>0</v>
      </c>
      <c r="K86" s="301">
        <f t="shared" ca="1" si="440"/>
        <v>0</v>
      </c>
      <c r="L86" s="301">
        <f t="shared" ca="1" si="440"/>
        <v>0</v>
      </c>
      <c r="M86" s="301">
        <f t="shared" ca="1" si="440"/>
        <v>0</v>
      </c>
      <c r="N86" s="301">
        <f t="shared" ca="1" si="440"/>
        <v>0</v>
      </c>
      <c r="O86" s="301">
        <f t="shared" ca="1" si="440"/>
        <v>0</v>
      </c>
      <c r="P86" s="301">
        <f t="shared" ca="1" si="440"/>
        <v>0</v>
      </c>
      <c r="Q86" s="301">
        <f t="shared" ca="1" si="440"/>
        <v>0</v>
      </c>
      <c r="R86" s="301">
        <f t="shared" ca="1" si="440"/>
        <v>0</v>
      </c>
      <c r="S86" s="301">
        <f t="shared" ca="1" si="440"/>
        <v>0</v>
      </c>
      <c r="T86" s="301">
        <f t="shared" ca="1" si="440"/>
        <v>0</v>
      </c>
      <c r="U86" s="301">
        <f t="shared" ca="1" si="440"/>
        <v>0</v>
      </c>
      <c r="V86" s="301">
        <f t="shared" ca="1" si="440"/>
        <v>0</v>
      </c>
      <c r="W86" s="301">
        <f t="shared" ca="1" si="440"/>
        <v>0</v>
      </c>
      <c r="X86" s="301">
        <f t="shared" ca="1" si="440"/>
        <v>0</v>
      </c>
      <c r="Y86" s="301">
        <f t="shared" ca="1" si="440"/>
        <v>0</v>
      </c>
      <c r="Z86" s="301">
        <f t="shared" ca="1" si="440"/>
        <v>0</v>
      </c>
      <c r="AA86" s="301">
        <f t="shared" ca="1" si="440"/>
        <v>0</v>
      </c>
      <c r="AB86" s="301">
        <f t="shared" ca="1" si="440"/>
        <v>0</v>
      </c>
      <c r="AC86" s="301">
        <f t="shared" ca="1" si="440"/>
        <v>0</v>
      </c>
      <c r="AD86" s="301">
        <f t="shared" ca="1" si="440"/>
        <v>0</v>
      </c>
      <c r="AE86" s="301">
        <f t="shared" ca="1" si="440"/>
        <v>0</v>
      </c>
      <c r="AF86" s="301">
        <f t="shared" ca="1" si="440"/>
        <v>0</v>
      </c>
      <c r="AG86" s="301">
        <f t="shared" ca="1" si="440"/>
        <v>0</v>
      </c>
      <c r="AH86" s="301">
        <f t="shared" ca="1" si="440"/>
        <v>0</v>
      </c>
      <c r="AI86" s="301">
        <f t="shared" ca="1" si="440"/>
        <v>0</v>
      </c>
      <c r="AJ86" s="301">
        <f t="shared" ca="1" si="440"/>
        <v>0</v>
      </c>
      <c r="AK86" s="301">
        <f t="shared" ca="1" si="440"/>
        <v>0</v>
      </c>
      <c r="AL86" s="301">
        <f t="shared" ca="1" si="440"/>
        <v>0</v>
      </c>
      <c r="AM86" s="301">
        <f t="shared" ca="1" si="440"/>
        <v>0</v>
      </c>
      <c r="AN86" s="301">
        <f t="shared" ca="1" si="440"/>
        <v>0</v>
      </c>
      <c r="AO86" s="301">
        <f t="shared" ca="1" si="440"/>
        <v>0</v>
      </c>
      <c r="AP86" s="301">
        <f t="shared" ca="1" si="440"/>
        <v>0</v>
      </c>
      <c r="AQ86" s="301">
        <f t="shared" ca="1" si="440"/>
        <v>0</v>
      </c>
      <c r="AR86" s="301">
        <f t="shared" ca="1" si="440"/>
        <v>0</v>
      </c>
      <c r="AS86" s="301">
        <f t="shared" ca="1" si="440"/>
        <v>0</v>
      </c>
      <c r="AT86" s="301">
        <f t="shared" ca="1" si="440"/>
        <v>0</v>
      </c>
      <c r="AU86" s="301">
        <f t="shared" ca="1" si="440"/>
        <v>0</v>
      </c>
      <c r="AV86" s="301">
        <f t="shared" ca="1" si="440"/>
        <v>0</v>
      </c>
      <c r="AW86" s="301">
        <f t="shared" ca="1" si="440"/>
        <v>0</v>
      </c>
      <c r="AX86" s="301">
        <f t="shared" ca="1" si="440"/>
        <v>0</v>
      </c>
      <c r="AY86" s="301">
        <f t="shared" ca="1" si="440"/>
        <v>0</v>
      </c>
      <c r="AZ86" s="301">
        <f t="shared" ca="1" si="440"/>
        <v>0</v>
      </c>
      <c r="BA86" s="301">
        <f t="shared" ca="1" si="440"/>
        <v>0</v>
      </c>
      <c r="BB86" s="301">
        <f t="shared" ca="1" si="440"/>
        <v>0</v>
      </c>
      <c r="BC86" s="301">
        <f t="shared" ca="1" si="440"/>
        <v>0</v>
      </c>
      <c r="BD86" s="301">
        <f t="shared" ca="1" si="440"/>
        <v>0</v>
      </c>
      <c r="BE86" s="301">
        <f t="shared" ca="1" si="440"/>
        <v>0</v>
      </c>
      <c r="BF86" s="301">
        <f t="shared" ca="1" si="440"/>
        <v>0</v>
      </c>
      <c r="BG86" s="301">
        <f t="shared" ca="1" si="440"/>
        <v>0</v>
      </c>
      <c r="BH86" s="301">
        <f t="shared" ca="1" si="440"/>
        <v>0</v>
      </c>
      <c r="BI86" s="301">
        <f t="shared" ca="1" si="440"/>
        <v>0</v>
      </c>
      <c r="BJ86" s="301">
        <f t="shared" ca="1" si="440"/>
        <v>0</v>
      </c>
      <c r="BK86" s="301">
        <f t="shared" ca="1" si="440"/>
        <v>0</v>
      </c>
      <c r="BL86" s="301">
        <f t="shared" ca="1" si="440"/>
        <v>0</v>
      </c>
      <c r="BM86" s="301">
        <f t="shared" ca="1" si="440"/>
        <v>0</v>
      </c>
      <c r="BN86" s="301">
        <f t="shared" ca="1" si="440"/>
        <v>0</v>
      </c>
      <c r="BO86" s="301">
        <f t="shared" ca="1" si="440"/>
        <v>0</v>
      </c>
      <c r="BP86" s="301">
        <f t="shared" ca="1" si="440"/>
        <v>0</v>
      </c>
      <c r="BQ86" s="301">
        <f t="shared" ca="1" si="440"/>
        <v>0</v>
      </c>
      <c r="BR86" s="301">
        <f t="shared" ca="1" si="440"/>
        <v>0</v>
      </c>
      <c r="BS86" s="301">
        <f t="shared" ca="1" si="440"/>
        <v>0</v>
      </c>
      <c r="BT86" s="301">
        <f t="shared" ca="1" si="440"/>
        <v>0</v>
      </c>
      <c r="BU86" s="301">
        <f t="shared" ca="1" si="441"/>
        <v>0</v>
      </c>
      <c r="BV86" s="301">
        <f t="shared" ca="1" si="441"/>
        <v>0</v>
      </c>
      <c r="BW86" s="301">
        <f t="shared" ca="1" si="441"/>
        <v>0</v>
      </c>
      <c r="BX86" s="301">
        <f t="shared" ca="1" si="441"/>
        <v>0</v>
      </c>
      <c r="BY86" s="301">
        <f t="shared" ca="1" si="441"/>
        <v>0</v>
      </c>
      <c r="BZ86" s="301">
        <f t="shared" ca="1" si="441"/>
        <v>0</v>
      </c>
      <c r="CA86" s="301">
        <f t="shared" ca="1" si="441"/>
        <v>0</v>
      </c>
      <c r="CB86" s="301">
        <f t="shared" ca="1" si="441"/>
        <v>0</v>
      </c>
      <c r="CC86" s="301">
        <f t="shared" ca="1" si="441"/>
        <v>0</v>
      </c>
      <c r="CD86" s="301">
        <f t="shared" ca="1" si="441"/>
        <v>0</v>
      </c>
      <c r="CE86" s="301">
        <f t="shared" ca="1" si="441"/>
        <v>0</v>
      </c>
      <c r="CF86" s="301">
        <f t="shared" ca="1" si="441"/>
        <v>0</v>
      </c>
      <c r="CG86" s="301">
        <f t="shared" ca="1" si="441"/>
        <v>0</v>
      </c>
      <c r="CH86" s="301">
        <f t="shared" ca="1" si="441"/>
        <v>0</v>
      </c>
      <c r="CI86" s="301">
        <f t="shared" ca="1" si="441"/>
        <v>0</v>
      </c>
      <c r="CJ86" s="301">
        <f t="shared" ca="1" si="441"/>
        <v>0</v>
      </c>
      <c r="CK86" s="301">
        <f t="shared" ca="1" si="441"/>
        <v>0</v>
      </c>
      <c r="CL86" s="301">
        <f t="shared" ca="1" si="441"/>
        <v>0</v>
      </c>
      <c r="CM86" s="301">
        <f t="shared" ca="1" si="441"/>
        <v>0</v>
      </c>
      <c r="CN86" s="301">
        <f t="shared" ca="1" si="441"/>
        <v>0</v>
      </c>
      <c r="CO86" s="301">
        <f t="shared" ca="1" si="441"/>
        <v>0</v>
      </c>
      <c r="CP86" s="301">
        <f t="shared" ca="1" si="441"/>
        <v>0</v>
      </c>
      <c r="CQ86" s="301">
        <f t="shared" ca="1" si="441"/>
        <v>0</v>
      </c>
      <c r="CR86" s="301">
        <f t="shared" ca="1" si="441"/>
        <v>0</v>
      </c>
      <c r="CS86" s="301">
        <f t="shared" ca="1" si="441"/>
        <v>0</v>
      </c>
      <c r="CT86" s="301">
        <f t="shared" ca="1" si="441"/>
        <v>0</v>
      </c>
      <c r="CU86" s="301">
        <f t="shared" ca="1" si="441"/>
        <v>0</v>
      </c>
      <c r="CV86" s="301">
        <f t="shared" ca="1" si="441"/>
        <v>0</v>
      </c>
      <c r="CW86" s="301">
        <f t="shared" ca="1" si="441"/>
        <v>0</v>
      </c>
      <c r="CX86" s="301">
        <f t="shared" ca="1" si="441"/>
        <v>0</v>
      </c>
      <c r="CY86" s="301">
        <f t="shared" ca="1" si="441"/>
        <v>0</v>
      </c>
      <c r="CZ86" s="301">
        <f t="shared" ca="1" si="441"/>
        <v>0</v>
      </c>
      <c r="DA86" s="301">
        <f t="shared" ref="DA86:EE86" ca="1" si="443">DA70</f>
        <v>0</v>
      </c>
      <c r="DB86" s="301">
        <f t="shared" ca="1" si="443"/>
        <v>0</v>
      </c>
      <c r="DC86" s="301">
        <f t="shared" ca="1" si="443"/>
        <v>0</v>
      </c>
      <c r="DD86" s="301">
        <f t="shared" ca="1" si="443"/>
        <v>0</v>
      </c>
      <c r="DE86" s="301">
        <f t="shared" ca="1" si="443"/>
        <v>0</v>
      </c>
      <c r="DF86" s="301">
        <f t="shared" ca="1" si="443"/>
        <v>0</v>
      </c>
      <c r="DG86" s="301">
        <f t="shared" ca="1" si="443"/>
        <v>-11741.205068019079</v>
      </c>
      <c r="DH86" s="301">
        <f t="shared" ca="1" si="443"/>
        <v>0</v>
      </c>
      <c r="DI86" s="301">
        <f t="shared" ca="1" si="443"/>
        <v>0</v>
      </c>
      <c r="DJ86" s="301">
        <f t="shared" ca="1" si="443"/>
        <v>0</v>
      </c>
      <c r="DK86" s="301">
        <f t="shared" ca="1" si="443"/>
        <v>0</v>
      </c>
      <c r="DL86" s="301">
        <f t="shared" ca="1" si="443"/>
        <v>0</v>
      </c>
      <c r="DM86" s="301">
        <f t="shared" ca="1" si="443"/>
        <v>0</v>
      </c>
      <c r="DN86" s="301">
        <f t="shared" ca="1" si="443"/>
        <v>0</v>
      </c>
      <c r="DO86" s="301">
        <f t="shared" ca="1" si="443"/>
        <v>0</v>
      </c>
      <c r="DP86" s="301">
        <f t="shared" ca="1" si="443"/>
        <v>0</v>
      </c>
      <c r="DQ86" s="301">
        <f t="shared" ca="1" si="443"/>
        <v>0</v>
      </c>
      <c r="DR86" s="301">
        <f t="shared" ca="1" si="443"/>
        <v>0</v>
      </c>
      <c r="DS86" s="301">
        <f t="shared" ca="1" si="443"/>
        <v>0</v>
      </c>
      <c r="DT86" s="301">
        <f t="shared" ca="1" si="443"/>
        <v>0</v>
      </c>
      <c r="DU86" s="301">
        <f t="shared" ca="1" si="443"/>
        <v>0</v>
      </c>
      <c r="DV86" s="301">
        <f t="shared" ca="1" si="443"/>
        <v>0</v>
      </c>
      <c r="DW86" s="301">
        <f t="shared" ca="1" si="443"/>
        <v>0</v>
      </c>
      <c r="DX86" s="301">
        <f t="shared" ca="1" si="443"/>
        <v>0</v>
      </c>
      <c r="DY86" s="301">
        <f t="shared" ca="1" si="443"/>
        <v>0</v>
      </c>
      <c r="DZ86" s="301">
        <f t="shared" ca="1" si="443"/>
        <v>0</v>
      </c>
      <c r="EA86" s="301">
        <f t="shared" ca="1" si="443"/>
        <v>0</v>
      </c>
      <c r="EB86" s="301">
        <f t="shared" ca="1" si="443"/>
        <v>0</v>
      </c>
      <c r="EC86" s="301">
        <f t="shared" ca="1" si="443"/>
        <v>0</v>
      </c>
      <c r="ED86" s="301">
        <f t="shared" ca="1" si="443"/>
        <v>0</v>
      </c>
      <c r="EE86" s="301">
        <f t="shared" ca="1" si="443"/>
        <v>0</v>
      </c>
    </row>
    <row r="87" spans="2:135">
      <c r="C87" s="314" t="str">
        <f>C71</f>
        <v>Ending Capital Balance</v>
      </c>
      <c r="D87" s="314"/>
      <c r="E87" s="314"/>
      <c r="F87" s="314"/>
      <c r="G87" s="315"/>
      <c r="H87" s="315"/>
      <c r="I87" s="315">
        <f t="shared" ref="I87:AN87" si="444">SUM(I79:I86)</f>
        <v>13708</v>
      </c>
      <c r="J87" s="315">
        <f t="shared" ca="1" si="444"/>
        <v>13836.282248991489</v>
      </c>
      <c r="K87" s="315">
        <f t="shared" ca="1" si="444"/>
        <v>13970.101886647353</v>
      </c>
      <c r="L87" s="315">
        <f t="shared" ca="1" si="444"/>
        <v>14100.836938344126</v>
      </c>
      <c r="M87" s="315">
        <f t="shared" ca="1" si="444"/>
        <v>14237.215255566671</v>
      </c>
      <c r="N87" s="315">
        <f t="shared" ca="1" si="444"/>
        <v>14521.27500843799</v>
      </c>
      <c r="O87" s="315">
        <f t="shared" ca="1" si="444"/>
        <v>14661.719654258362</v>
      </c>
      <c r="P87" s="315">
        <f t="shared" ca="1" si="444"/>
        <v>14803.522631115655</v>
      </c>
      <c r="Q87" s="315">
        <f t="shared" ca="1" si="444"/>
        <v>14932.781178732252</v>
      </c>
      <c r="R87" s="315">
        <f t="shared" ca="1" si="444"/>
        <v>15077.205766968584</v>
      </c>
      <c r="S87" s="315">
        <f t="shared" ca="1" si="444"/>
        <v>15218.301321702622</v>
      </c>
      <c r="T87" s="315">
        <f t="shared" ca="1" si="444"/>
        <v>15365.487359972147</v>
      </c>
      <c r="U87" s="315">
        <f t="shared" ca="1" si="444"/>
        <v>15509.28071242236</v>
      </c>
      <c r="V87" s="315">
        <f t="shared" ca="1" si="444"/>
        <v>15738.456000642174</v>
      </c>
      <c r="W87" s="315">
        <f t="shared" ca="1" si="444"/>
        <v>15890.672791349967</v>
      </c>
      <c r="X87" s="315">
        <f t="shared" ca="1" si="444"/>
        <v>16039.38093576653</v>
      </c>
      <c r="Y87" s="315">
        <f t="shared" ca="1" si="444"/>
        <v>16194.508166219284</v>
      </c>
      <c r="Z87" s="315">
        <f t="shared" ca="1" si="444"/>
        <v>16346.059663802713</v>
      </c>
      <c r="AA87" s="315">
        <f t="shared" ca="1" si="444"/>
        <v>16504.152982654363</v>
      </c>
      <c r="AB87" s="315">
        <f t="shared" ca="1" si="444"/>
        <v>16663.775324278446</v>
      </c>
      <c r="AC87" s="315">
        <f t="shared" ca="1" si="444"/>
        <v>16809.276868059529</v>
      </c>
      <c r="AD87" s="315">
        <f t="shared" ca="1" si="444"/>
        <v>16971.850260193445</v>
      </c>
      <c r="AE87" s="315">
        <f t="shared" ca="1" si="444"/>
        <v>17440.676283021312</v>
      </c>
      <c r="AF87" s="315">
        <f t="shared" ca="1" si="444"/>
        <v>17609.356347410521</v>
      </c>
      <c r="AG87" s="315">
        <f t="shared" ca="1" si="444"/>
        <v>17774.148281721755</v>
      </c>
      <c r="AH87" s="315">
        <f t="shared" ca="1" si="444"/>
        <v>17946.053569565604</v>
      </c>
      <c r="AI87" s="315">
        <f t="shared" ca="1" si="444"/>
        <v>18119.621464670305</v>
      </c>
      <c r="AJ87" s="315">
        <f t="shared" ca="1" si="444"/>
        <v>18289.188563617077</v>
      </c>
      <c r="AK87" s="315">
        <f t="shared" ca="1" si="444"/>
        <v>18466.075139256383</v>
      </c>
      <c r="AL87" s="315">
        <f t="shared" ca="1" si="444"/>
        <v>18638.884422077339</v>
      </c>
      <c r="AM87" s="315">
        <f t="shared" ca="1" si="444"/>
        <v>18819.1531326158</v>
      </c>
      <c r="AN87" s="315">
        <f t="shared" ca="1" si="444"/>
        <v>19001.165338487102</v>
      </c>
      <c r="AO87" s="315">
        <f t="shared" ref="AO87:CZ87" ca="1" si="445">SUM(AO79:AO86)</f>
        <v>19167.07605419157</v>
      </c>
      <c r="AP87" s="315">
        <f t="shared" ca="1" si="445"/>
        <v>19352.453247742334</v>
      </c>
      <c r="AQ87" s="315">
        <f t="shared" ca="1" si="445"/>
        <v>19533.557436983876</v>
      </c>
      <c r="AR87" s="315">
        <f t="shared" ca="1" si="445"/>
        <v>19722.47910909979</v>
      </c>
      <c r="AS87" s="315">
        <f t="shared" ca="1" si="445"/>
        <v>19907.046075528371</v>
      </c>
      <c r="AT87" s="315">
        <f t="shared" ca="1" si="445"/>
        <v>20099.579997913483</v>
      </c>
      <c r="AU87" s="315">
        <f t="shared" ca="1" si="445"/>
        <v>20293.976040430749</v>
      </c>
      <c r="AV87" s="315">
        <f t="shared" ca="1" si="445"/>
        <v>20483.891191251136</v>
      </c>
      <c r="AW87" s="315">
        <f t="shared" ca="1" si="445"/>
        <v>20682.004155967159</v>
      </c>
      <c r="AX87" s="315">
        <f t="shared" ca="1" si="445"/>
        <v>20875.550552726629</v>
      </c>
      <c r="AY87" s="315">
        <f t="shared" ca="1" si="445"/>
        <v>21218.531508529708</v>
      </c>
      <c r="AZ87" s="315">
        <f t="shared" ca="1" si="445"/>
        <v>21423.749655063828</v>
      </c>
      <c r="BA87" s="315">
        <f t="shared" ca="1" si="445"/>
        <v>21865.72439939106</v>
      </c>
      <c r="BB87" s="315">
        <f t="shared" ca="1" si="445"/>
        <v>22397.201967104222</v>
      </c>
      <c r="BC87" s="315">
        <f t="shared" ca="1" si="445"/>
        <v>22606.799533449182</v>
      </c>
      <c r="BD87" s="315">
        <f t="shared" ca="1" si="445"/>
        <v>22825.44451825682</v>
      </c>
      <c r="BE87" s="315">
        <f t="shared" ca="1" si="445"/>
        <v>23656.049665399543</v>
      </c>
      <c r="BF87" s="315">
        <f t="shared" ca="1" si="445"/>
        <v>23884.842627094411</v>
      </c>
      <c r="BG87" s="315">
        <f t="shared" ca="1" si="445"/>
        <v>24115.84839355007</v>
      </c>
      <c r="BH87" s="315">
        <f t="shared" ca="1" si="445"/>
        <v>24341.529402323224</v>
      </c>
      <c r="BI87" s="315">
        <f t="shared" ca="1" si="445"/>
        <v>24576.952082056854</v>
      </c>
      <c r="BJ87" s="315">
        <f t="shared" ca="1" si="445"/>
        <v>24806.948192827378</v>
      </c>
      <c r="BK87" s="315">
        <f t="shared" ca="1" si="445"/>
        <v>25046.872238808293</v>
      </c>
      <c r="BL87" s="315">
        <f t="shared" ca="1" si="445"/>
        <v>25508.568745467903</v>
      </c>
      <c r="BM87" s="315">
        <f t="shared" ca="1" si="445"/>
        <v>25731.299552856064</v>
      </c>
      <c r="BN87" s="315">
        <f t="shared" ca="1" si="445"/>
        <v>25980.16359889189</v>
      </c>
      <c r="BO87" s="315">
        <f t="shared" ca="1" si="445"/>
        <v>26223.291248121004</v>
      </c>
      <c r="BP87" s="315">
        <f t="shared" ca="1" si="445"/>
        <v>26565.41366415863</v>
      </c>
      <c r="BQ87" s="315">
        <f t="shared" ca="1" si="445"/>
        <v>26814.018202401079</v>
      </c>
      <c r="BR87" s="315">
        <f t="shared" ca="1" si="445"/>
        <v>27073.353921011807</v>
      </c>
      <c r="BS87" s="315">
        <f t="shared" ca="1" si="445"/>
        <v>27335.197843146514</v>
      </c>
      <c r="BT87" s="315">
        <f t="shared" ca="1" si="445"/>
        <v>27591.006178129453</v>
      </c>
      <c r="BU87" s="315">
        <f t="shared" ca="1" si="445"/>
        <v>27857.856650161932</v>
      </c>
      <c r="BV87" s="315">
        <f t="shared" ca="1" si="445"/>
        <v>28118.556132447116</v>
      </c>
      <c r="BW87" s="315">
        <f t="shared" ca="1" si="445"/>
        <v>28390.508881410762</v>
      </c>
      <c r="BX87" s="315">
        <f t="shared" ca="1" si="445"/>
        <v>28665.091861362107</v>
      </c>
      <c r="BY87" s="315">
        <f t="shared" ca="1" si="445"/>
        <v>28915.384189318429</v>
      </c>
      <c r="BZ87" s="315">
        <f t="shared" ca="1" si="445"/>
        <v>29195.043577965025</v>
      </c>
      <c r="CA87" s="315">
        <f t="shared" ca="1" si="445"/>
        <v>29468.256727190725</v>
      </c>
      <c r="CB87" s="315">
        <f t="shared" ca="1" si="445"/>
        <v>29753.263303857668</v>
      </c>
      <c r="CC87" s="315">
        <f t="shared" ca="1" si="445"/>
        <v>30031.700386689212</v>
      </c>
      <c r="CD87" s="315">
        <f t="shared" ca="1" si="445"/>
        <v>30322.156391533226</v>
      </c>
      <c r="CE87" s="315">
        <f t="shared" ca="1" si="445"/>
        <v>30615.4215843241</v>
      </c>
      <c r="CF87" s="315">
        <f t="shared" ca="1" si="445"/>
        <v>30901.926919504993</v>
      </c>
      <c r="CG87" s="315">
        <f t="shared" ca="1" si="445"/>
        <v>31200.799448181369</v>
      </c>
      <c r="CH87" s="315">
        <f t="shared" ca="1" si="445"/>
        <v>31492.782868340775</v>
      </c>
      <c r="CI87" s="315">
        <f t="shared" ca="1" si="445"/>
        <v>31797.369947180061</v>
      </c>
      <c r="CJ87" s="315">
        <f t="shared" ca="1" si="445"/>
        <v>32104.902884725569</v>
      </c>
      <c r="CK87" s="315">
        <f t="shared" ca="1" si="445"/>
        <v>32385.230292036649</v>
      </c>
      <c r="CL87" s="315">
        <f t="shared" ca="1" si="445"/>
        <v>32698.448807320834</v>
      </c>
      <c r="CM87" s="315">
        <f t="shared" ca="1" si="445"/>
        <v>33004.447534453619</v>
      </c>
      <c r="CN87" s="315">
        <f t="shared" ca="1" si="445"/>
        <v>33323.654900320595</v>
      </c>
      <c r="CO87" s="315">
        <f t="shared" ca="1" si="445"/>
        <v>33635.504433091926</v>
      </c>
      <c r="CP87" s="315">
        <f t="shared" ca="1" si="445"/>
        <v>33960.815158517224</v>
      </c>
      <c r="CQ87" s="315">
        <f t="shared" ca="1" si="445"/>
        <v>34289.272174443002</v>
      </c>
      <c r="CR87" s="315">
        <f t="shared" ca="1" si="445"/>
        <v>34610.1581498456</v>
      </c>
      <c r="CS87" s="315">
        <f t="shared" ca="1" si="445"/>
        <v>34944.895381963142</v>
      </c>
      <c r="CT87" s="315">
        <f t="shared" ca="1" si="445"/>
        <v>35271.916812541676</v>
      </c>
      <c r="CU87" s="315">
        <f t="shared" ca="1" si="445"/>
        <v>35613.054340841678</v>
      </c>
      <c r="CV87" s="315">
        <f t="shared" ca="1" si="445"/>
        <v>35957.491230892643</v>
      </c>
      <c r="CW87" s="315">
        <f t="shared" ca="1" si="445"/>
        <v>36282.721584220075</v>
      </c>
      <c r="CX87" s="315">
        <f t="shared" ca="1" si="445"/>
        <v>36633.635259454102</v>
      </c>
      <c r="CY87" s="315">
        <f t="shared" ca="1" si="445"/>
        <v>36976.46026089973</v>
      </c>
      <c r="CZ87" s="315">
        <f t="shared" ca="1" si="445"/>
        <v>37334.083531722405</v>
      </c>
      <c r="DA87" s="315">
        <f t="shared" ref="DA87:EE87" ca="1" si="446">SUM(DA79:DA86)</f>
        <v>37683.463470406787</v>
      </c>
      <c r="DB87" s="315">
        <f t="shared" ca="1" si="446"/>
        <v>38047.92462669719</v>
      </c>
      <c r="DC87" s="315">
        <f t="shared" ca="1" si="446"/>
        <v>38415.910722635163</v>
      </c>
      <c r="DD87" s="315">
        <f t="shared" ca="1" si="446"/>
        <v>38775.414619961972</v>
      </c>
      <c r="DE87" s="315">
        <f t="shared" ca="1" si="446"/>
        <v>39150.436742308273</v>
      </c>
      <c r="DF87" s="315">
        <f t="shared" ca="1" si="446"/>
        <v>39516.81448335747</v>
      </c>
      <c r="DG87" s="315">
        <f t="shared" ca="1" si="446"/>
        <v>12088.379339509638</v>
      </c>
      <c r="DH87" s="315">
        <f t="shared" ca="1" si="446"/>
        <v>12205.29387724088</v>
      </c>
      <c r="DI87" s="315">
        <f t="shared" ca="1" si="446"/>
        <v>12205.29387724088</v>
      </c>
      <c r="DJ87" s="315">
        <f t="shared" ca="1" si="446"/>
        <v>12205.29387724088</v>
      </c>
      <c r="DK87" s="315">
        <f t="shared" ca="1" si="446"/>
        <v>12205.29387724088</v>
      </c>
      <c r="DL87" s="315">
        <f t="shared" ca="1" si="446"/>
        <v>12205.29387724088</v>
      </c>
      <c r="DM87" s="315">
        <f t="shared" ca="1" si="446"/>
        <v>12205.29387724088</v>
      </c>
      <c r="DN87" s="315">
        <f t="shared" ca="1" si="446"/>
        <v>12205.29387724088</v>
      </c>
      <c r="DO87" s="315">
        <f t="shared" ca="1" si="446"/>
        <v>12205.29387724088</v>
      </c>
      <c r="DP87" s="315">
        <f t="shared" ca="1" si="446"/>
        <v>12205.29387724088</v>
      </c>
      <c r="DQ87" s="315">
        <f t="shared" ca="1" si="446"/>
        <v>12205.29387724088</v>
      </c>
      <c r="DR87" s="315">
        <f t="shared" ca="1" si="446"/>
        <v>12205.29387724088</v>
      </c>
      <c r="DS87" s="315">
        <f t="shared" ca="1" si="446"/>
        <v>12205.29387724088</v>
      </c>
      <c r="DT87" s="315">
        <f t="shared" ca="1" si="446"/>
        <v>12205.29387724088</v>
      </c>
      <c r="DU87" s="315">
        <f t="shared" ca="1" si="446"/>
        <v>12205.29387724088</v>
      </c>
      <c r="DV87" s="315">
        <f t="shared" ca="1" si="446"/>
        <v>12205.29387724088</v>
      </c>
      <c r="DW87" s="315">
        <f t="shared" ca="1" si="446"/>
        <v>12205.29387724088</v>
      </c>
      <c r="DX87" s="315">
        <f t="shared" ca="1" si="446"/>
        <v>12205.29387724088</v>
      </c>
      <c r="DY87" s="315">
        <f t="shared" ca="1" si="446"/>
        <v>12205.29387724088</v>
      </c>
      <c r="DZ87" s="315">
        <f t="shared" ca="1" si="446"/>
        <v>12205.29387724088</v>
      </c>
      <c r="EA87" s="315">
        <f t="shared" ca="1" si="446"/>
        <v>12205.29387724088</v>
      </c>
      <c r="EB87" s="315">
        <f t="shared" ca="1" si="446"/>
        <v>12205.29387724088</v>
      </c>
      <c r="EC87" s="315">
        <f t="shared" ca="1" si="446"/>
        <v>12205.29387724088</v>
      </c>
      <c r="ED87" s="315">
        <f t="shared" ca="1" si="446"/>
        <v>12205.29387724088</v>
      </c>
      <c r="EE87" s="315">
        <f t="shared" ca="1" si="446"/>
        <v>12205.29387724088</v>
      </c>
    </row>
    <row r="89" spans="2:135">
      <c r="C89" s="265" t="str">
        <f t="shared" ref="C89:C90" si="447">C73</f>
        <v>Cash Flows to Investors</v>
      </c>
      <c r="G89" s="301">
        <f ca="1">SUMIF($I$8:$EE$8, "&lt;="&amp;$E$8, $I89:$EE89)</f>
        <v>11928.395823956129</v>
      </c>
      <c r="H89" s="301"/>
      <c r="I89" s="301">
        <f t="shared" ref="I89:AN89" si="448">-SUM(I81:I86)</f>
        <v>-13708</v>
      </c>
      <c r="J89" s="301">
        <f t="shared" ca="1" si="448"/>
        <v>0</v>
      </c>
      <c r="K89" s="301">
        <f t="shared" ca="1" si="448"/>
        <v>0</v>
      </c>
      <c r="L89" s="301">
        <f t="shared" ca="1" si="448"/>
        <v>0</v>
      </c>
      <c r="M89" s="301">
        <f t="shared" ca="1" si="448"/>
        <v>0</v>
      </c>
      <c r="N89" s="301">
        <f t="shared" ca="1" si="448"/>
        <v>-150.82499999999999</v>
      </c>
      <c r="O89" s="301">
        <f t="shared" ca="1" si="448"/>
        <v>0</v>
      </c>
      <c r="P89" s="301">
        <f t="shared" ca="1" si="448"/>
        <v>0</v>
      </c>
      <c r="Q89" s="301">
        <f t="shared" ca="1" si="448"/>
        <v>0</v>
      </c>
      <c r="R89" s="301">
        <f t="shared" ca="1" si="448"/>
        <v>0</v>
      </c>
      <c r="S89" s="301">
        <f t="shared" ca="1" si="448"/>
        <v>0</v>
      </c>
      <c r="T89" s="301">
        <f t="shared" ca="1" si="448"/>
        <v>0</v>
      </c>
      <c r="U89" s="301">
        <f t="shared" ca="1" si="448"/>
        <v>0</v>
      </c>
      <c r="V89" s="301">
        <f t="shared" ca="1" si="448"/>
        <v>-79.174999999999997</v>
      </c>
      <c r="W89" s="301">
        <f t="shared" ca="1" si="448"/>
        <v>0</v>
      </c>
      <c r="X89" s="301">
        <f t="shared" ca="1" si="448"/>
        <v>0</v>
      </c>
      <c r="Y89" s="301">
        <f t="shared" ca="1" si="448"/>
        <v>0</v>
      </c>
      <c r="Z89" s="301">
        <f t="shared" ca="1" si="448"/>
        <v>0</v>
      </c>
      <c r="AA89" s="301">
        <f t="shared" ca="1" si="448"/>
        <v>0</v>
      </c>
      <c r="AB89" s="301">
        <f t="shared" ca="1" si="448"/>
        <v>0</v>
      </c>
      <c r="AC89" s="301">
        <f t="shared" ca="1" si="448"/>
        <v>0</v>
      </c>
      <c r="AD89" s="301">
        <f t="shared" ca="1" si="448"/>
        <v>0</v>
      </c>
      <c r="AE89" s="301">
        <f t="shared" ca="1" si="448"/>
        <v>-310</v>
      </c>
      <c r="AF89" s="301">
        <f t="shared" ca="1" si="448"/>
        <v>0</v>
      </c>
      <c r="AG89" s="301">
        <f t="shared" ca="1" si="448"/>
        <v>0</v>
      </c>
      <c r="AH89" s="301">
        <f t="shared" ca="1" si="448"/>
        <v>0</v>
      </c>
      <c r="AI89" s="301">
        <f t="shared" ca="1" si="448"/>
        <v>0</v>
      </c>
      <c r="AJ89" s="301">
        <f t="shared" ca="1" si="448"/>
        <v>0</v>
      </c>
      <c r="AK89" s="301">
        <f t="shared" ca="1" si="448"/>
        <v>0</v>
      </c>
      <c r="AL89" s="301">
        <f t="shared" ca="1" si="448"/>
        <v>0</v>
      </c>
      <c r="AM89" s="301">
        <f t="shared" ca="1" si="448"/>
        <v>0</v>
      </c>
      <c r="AN89" s="301">
        <f t="shared" ca="1" si="448"/>
        <v>0</v>
      </c>
      <c r="AO89" s="301">
        <f t="shared" ref="AO89:BT89" ca="1" si="449">-SUM(AO81:AO86)</f>
        <v>0</v>
      </c>
      <c r="AP89" s="301">
        <f t="shared" ca="1" si="449"/>
        <v>0</v>
      </c>
      <c r="AQ89" s="301">
        <f t="shared" ca="1" si="449"/>
        <v>0</v>
      </c>
      <c r="AR89" s="301">
        <f t="shared" ca="1" si="449"/>
        <v>0</v>
      </c>
      <c r="AS89" s="301">
        <f t="shared" ca="1" si="449"/>
        <v>0</v>
      </c>
      <c r="AT89" s="301">
        <f t="shared" ca="1" si="449"/>
        <v>0</v>
      </c>
      <c r="AU89" s="301">
        <f t="shared" ca="1" si="449"/>
        <v>0</v>
      </c>
      <c r="AV89" s="301">
        <f t="shared" ca="1" si="449"/>
        <v>0</v>
      </c>
      <c r="AW89" s="301">
        <f t="shared" ca="1" si="449"/>
        <v>0</v>
      </c>
      <c r="AX89" s="301">
        <f t="shared" ca="1" si="449"/>
        <v>0</v>
      </c>
      <c r="AY89" s="301">
        <f t="shared" ca="1" si="449"/>
        <v>-141.08000000000001</v>
      </c>
      <c r="AZ89" s="301">
        <f t="shared" ca="1" si="449"/>
        <v>0</v>
      </c>
      <c r="BA89" s="301">
        <f t="shared" ca="1" si="449"/>
        <v>-248.2</v>
      </c>
      <c r="BB89" s="301">
        <f t="shared" ca="1" si="449"/>
        <v>-320</v>
      </c>
      <c r="BC89" s="301">
        <f t="shared" ca="1" si="449"/>
        <v>0</v>
      </c>
      <c r="BD89" s="301">
        <f t="shared" ca="1" si="449"/>
        <v>0</v>
      </c>
      <c r="BE89" s="301">
        <f t="shared" ca="1" si="449"/>
        <v>-617</v>
      </c>
      <c r="BF89" s="301">
        <f t="shared" ca="1" si="449"/>
        <v>0</v>
      </c>
      <c r="BG89" s="301">
        <f t="shared" ca="1" si="449"/>
        <v>0</v>
      </c>
      <c r="BH89" s="301">
        <f t="shared" ca="1" si="449"/>
        <v>0</v>
      </c>
      <c r="BI89" s="301">
        <f t="shared" ca="1" si="449"/>
        <v>0</v>
      </c>
      <c r="BJ89" s="301">
        <f t="shared" ca="1" si="449"/>
        <v>0</v>
      </c>
      <c r="BK89" s="301">
        <f t="shared" ca="1" si="449"/>
        <v>0</v>
      </c>
      <c r="BL89" s="301">
        <f t="shared" ca="1" si="449"/>
        <v>-219.452</v>
      </c>
      <c r="BM89" s="301">
        <f t="shared" ca="1" si="449"/>
        <v>0</v>
      </c>
      <c r="BN89" s="301">
        <f t="shared" ca="1" si="449"/>
        <v>0</v>
      </c>
      <c r="BO89" s="301">
        <f t="shared" ca="1" si="449"/>
        <v>0</v>
      </c>
      <c r="BP89" s="301">
        <f t="shared" ca="1" si="449"/>
        <v>-88.5</v>
      </c>
      <c r="BQ89" s="301">
        <f t="shared" ca="1" si="449"/>
        <v>0</v>
      </c>
      <c r="BR89" s="301">
        <f t="shared" ca="1" si="449"/>
        <v>0</v>
      </c>
      <c r="BS89" s="301">
        <f t="shared" ca="1" si="449"/>
        <v>0</v>
      </c>
      <c r="BT89" s="301">
        <f t="shared" ca="1" si="449"/>
        <v>0</v>
      </c>
      <c r="BU89" s="301">
        <f t="shared" ref="BU89:CZ89" ca="1" si="450">-SUM(BU81:BU86)</f>
        <v>0</v>
      </c>
      <c r="BV89" s="301">
        <f t="shared" ca="1" si="450"/>
        <v>0</v>
      </c>
      <c r="BW89" s="301">
        <f t="shared" ca="1" si="450"/>
        <v>0</v>
      </c>
      <c r="BX89" s="301">
        <f t="shared" ca="1" si="450"/>
        <v>0</v>
      </c>
      <c r="BY89" s="301">
        <f t="shared" ca="1" si="450"/>
        <v>0</v>
      </c>
      <c r="BZ89" s="301">
        <f t="shared" ca="1" si="450"/>
        <v>0</v>
      </c>
      <c r="CA89" s="301">
        <f t="shared" ca="1" si="450"/>
        <v>0</v>
      </c>
      <c r="CB89" s="301">
        <f t="shared" ca="1" si="450"/>
        <v>0</v>
      </c>
      <c r="CC89" s="301">
        <f t="shared" ca="1" si="450"/>
        <v>0</v>
      </c>
      <c r="CD89" s="301">
        <f t="shared" ca="1" si="450"/>
        <v>0</v>
      </c>
      <c r="CE89" s="301">
        <f t="shared" ca="1" si="450"/>
        <v>0</v>
      </c>
      <c r="CF89" s="301">
        <f t="shared" ca="1" si="450"/>
        <v>0</v>
      </c>
      <c r="CG89" s="301">
        <f t="shared" ca="1" si="450"/>
        <v>0</v>
      </c>
      <c r="CH89" s="301">
        <f t="shared" ca="1" si="450"/>
        <v>0</v>
      </c>
      <c r="CI89" s="301">
        <f t="shared" ca="1" si="450"/>
        <v>0</v>
      </c>
      <c r="CJ89" s="301">
        <f t="shared" ca="1" si="450"/>
        <v>0</v>
      </c>
      <c r="CK89" s="301">
        <f t="shared" ca="1" si="450"/>
        <v>0</v>
      </c>
      <c r="CL89" s="301">
        <f t="shared" ca="1" si="450"/>
        <v>0</v>
      </c>
      <c r="CM89" s="301">
        <f t="shared" ca="1" si="450"/>
        <v>0</v>
      </c>
      <c r="CN89" s="301">
        <f t="shared" ca="1" si="450"/>
        <v>0</v>
      </c>
      <c r="CO89" s="301">
        <f t="shared" ca="1" si="450"/>
        <v>0</v>
      </c>
      <c r="CP89" s="301">
        <f t="shared" ca="1" si="450"/>
        <v>0</v>
      </c>
      <c r="CQ89" s="301">
        <f t="shared" ca="1" si="450"/>
        <v>0</v>
      </c>
      <c r="CR89" s="301">
        <f t="shared" ca="1" si="450"/>
        <v>0</v>
      </c>
      <c r="CS89" s="301">
        <f t="shared" ca="1" si="450"/>
        <v>0</v>
      </c>
      <c r="CT89" s="301">
        <f t="shared" ca="1" si="450"/>
        <v>0</v>
      </c>
      <c r="CU89" s="301">
        <f t="shared" ca="1" si="450"/>
        <v>0</v>
      </c>
      <c r="CV89" s="301">
        <f t="shared" ca="1" si="450"/>
        <v>0</v>
      </c>
      <c r="CW89" s="301">
        <f t="shared" ca="1" si="450"/>
        <v>0</v>
      </c>
      <c r="CX89" s="301">
        <f t="shared" ca="1" si="450"/>
        <v>0</v>
      </c>
      <c r="CY89" s="301">
        <f t="shared" ca="1" si="450"/>
        <v>0</v>
      </c>
      <c r="CZ89" s="301">
        <f t="shared" ca="1" si="450"/>
        <v>0</v>
      </c>
      <c r="DA89" s="301">
        <f t="shared" ref="DA89:EE89" ca="1" si="451">-SUM(DA81:DA86)</f>
        <v>0</v>
      </c>
      <c r="DB89" s="301">
        <f t="shared" ca="1" si="451"/>
        <v>0</v>
      </c>
      <c r="DC89" s="301">
        <f t="shared" ca="1" si="451"/>
        <v>0</v>
      </c>
      <c r="DD89" s="301">
        <f t="shared" ca="1" si="451"/>
        <v>0</v>
      </c>
      <c r="DE89" s="301">
        <f t="shared" ca="1" si="451"/>
        <v>0</v>
      </c>
      <c r="DF89" s="301">
        <f t="shared" ca="1" si="451"/>
        <v>0</v>
      </c>
      <c r="DG89" s="301">
        <f t="shared" ca="1" si="451"/>
        <v>27810.627823956129</v>
      </c>
      <c r="DH89" s="301">
        <f t="shared" ca="1" si="451"/>
        <v>0</v>
      </c>
      <c r="DI89" s="301">
        <f t="shared" ca="1" si="451"/>
        <v>0</v>
      </c>
      <c r="DJ89" s="301">
        <f t="shared" ca="1" si="451"/>
        <v>0</v>
      </c>
      <c r="DK89" s="301">
        <f t="shared" ca="1" si="451"/>
        <v>0</v>
      </c>
      <c r="DL89" s="301">
        <f t="shared" ca="1" si="451"/>
        <v>0</v>
      </c>
      <c r="DM89" s="301">
        <f t="shared" ca="1" si="451"/>
        <v>0</v>
      </c>
      <c r="DN89" s="301">
        <f t="shared" ca="1" si="451"/>
        <v>0</v>
      </c>
      <c r="DO89" s="301">
        <f t="shared" ca="1" si="451"/>
        <v>0</v>
      </c>
      <c r="DP89" s="301">
        <f t="shared" ca="1" si="451"/>
        <v>0</v>
      </c>
      <c r="DQ89" s="301">
        <f t="shared" ca="1" si="451"/>
        <v>0</v>
      </c>
      <c r="DR89" s="301">
        <f t="shared" ca="1" si="451"/>
        <v>0</v>
      </c>
      <c r="DS89" s="301">
        <f t="shared" ca="1" si="451"/>
        <v>0</v>
      </c>
      <c r="DT89" s="301">
        <f t="shared" ca="1" si="451"/>
        <v>0</v>
      </c>
      <c r="DU89" s="301">
        <f t="shared" ca="1" si="451"/>
        <v>0</v>
      </c>
      <c r="DV89" s="301">
        <f t="shared" ca="1" si="451"/>
        <v>0</v>
      </c>
      <c r="DW89" s="301">
        <f t="shared" ca="1" si="451"/>
        <v>0</v>
      </c>
      <c r="DX89" s="301">
        <f t="shared" ca="1" si="451"/>
        <v>0</v>
      </c>
      <c r="DY89" s="301">
        <f t="shared" ca="1" si="451"/>
        <v>0</v>
      </c>
      <c r="DZ89" s="301">
        <f t="shared" ca="1" si="451"/>
        <v>0</v>
      </c>
      <c r="EA89" s="301">
        <f t="shared" ca="1" si="451"/>
        <v>0</v>
      </c>
      <c r="EB89" s="301">
        <f t="shared" ca="1" si="451"/>
        <v>0</v>
      </c>
      <c r="EC89" s="301">
        <f t="shared" ca="1" si="451"/>
        <v>0</v>
      </c>
      <c r="ED89" s="301">
        <f t="shared" ca="1" si="451"/>
        <v>0</v>
      </c>
      <c r="EE89" s="301">
        <f t="shared" ca="1" si="451"/>
        <v>0</v>
      </c>
    </row>
    <row r="90" spans="2:135">
      <c r="C90" s="319" t="str">
        <f t="shared" si="447"/>
        <v>IRR Check - Investors</v>
      </c>
      <c r="D90" s="319"/>
      <c r="E90" s="319"/>
      <c r="F90" s="319"/>
      <c r="G90" s="322">
        <f ca="1">IFERROR(XIRR(I89:EE89, $I$8:$EE$8, ), "n/a")</f>
        <v>7.1606448292732258E-2</v>
      </c>
      <c r="H90" s="322"/>
    </row>
    <row r="92" spans="2:135">
      <c r="C92" s="265" t="str">
        <f>C49</f>
        <v>Promote to GP</v>
      </c>
      <c r="F92" s="317">
        <f>G21</f>
        <v>9.9999999999999978E-2</v>
      </c>
      <c r="G92" s="301">
        <f ca="1">SUMIF($I$8:$EE$8, "&lt;="&amp;$E$8, $I92:$EE92)</f>
        <v>0</v>
      </c>
      <c r="H92" s="301"/>
      <c r="I92" s="301">
        <f t="shared" ref="I92:BT92" si="452">(I84/$F$84)*$F$92</f>
        <v>0</v>
      </c>
      <c r="J92" s="301">
        <f t="shared" ca="1" si="452"/>
        <v>0</v>
      </c>
      <c r="K92" s="301">
        <f t="shared" ca="1" si="452"/>
        <v>0</v>
      </c>
      <c r="L92" s="301">
        <f t="shared" ca="1" si="452"/>
        <v>0</v>
      </c>
      <c r="M92" s="301">
        <f t="shared" ca="1" si="452"/>
        <v>0</v>
      </c>
      <c r="N92" s="301">
        <f t="shared" ca="1" si="452"/>
        <v>0</v>
      </c>
      <c r="O92" s="301">
        <f t="shared" ca="1" si="452"/>
        <v>0</v>
      </c>
      <c r="P92" s="301">
        <f t="shared" ca="1" si="452"/>
        <v>0</v>
      </c>
      <c r="Q92" s="301">
        <f t="shared" ca="1" si="452"/>
        <v>0</v>
      </c>
      <c r="R92" s="301">
        <f t="shared" ca="1" si="452"/>
        <v>0</v>
      </c>
      <c r="S92" s="301">
        <f t="shared" ca="1" si="452"/>
        <v>0</v>
      </c>
      <c r="T92" s="301">
        <f t="shared" ca="1" si="452"/>
        <v>0</v>
      </c>
      <c r="U92" s="301">
        <f t="shared" ca="1" si="452"/>
        <v>0</v>
      </c>
      <c r="V92" s="301">
        <f t="shared" ca="1" si="452"/>
        <v>0</v>
      </c>
      <c r="W92" s="301">
        <f t="shared" ca="1" si="452"/>
        <v>0</v>
      </c>
      <c r="X92" s="301">
        <f t="shared" ca="1" si="452"/>
        <v>0</v>
      </c>
      <c r="Y92" s="301">
        <f t="shared" ca="1" si="452"/>
        <v>0</v>
      </c>
      <c r="Z92" s="301">
        <f t="shared" ca="1" si="452"/>
        <v>0</v>
      </c>
      <c r="AA92" s="301">
        <f t="shared" ca="1" si="452"/>
        <v>0</v>
      </c>
      <c r="AB92" s="301">
        <f t="shared" ca="1" si="452"/>
        <v>0</v>
      </c>
      <c r="AC92" s="301">
        <f t="shared" ca="1" si="452"/>
        <v>0</v>
      </c>
      <c r="AD92" s="301">
        <f t="shared" ca="1" si="452"/>
        <v>0</v>
      </c>
      <c r="AE92" s="301">
        <f t="shared" ca="1" si="452"/>
        <v>0</v>
      </c>
      <c r="AF92" s="301">
        <f t="shared" ca="1" si="452"/>
        <v>0</v>
      </c>
      <c r="AG92" s="301">
        <f t="shared" ca="1" si="452"/>
        <v>0</v>
      </c>
      <c r="AH92" s="301">
        <f t="shared" ca="1" si="452"/>
        <v>0</v>
      </c>
      <c r="AI92" s="301">
        <f t="shared" ca="1" si="452"/>
        <v>0</v>
      </c>
      <c r="AJ92" s="301">
        <f t="shared" ca="1" si="452"/>
        <v>0</v>
      </c>
      <c r="AK92" s="301">
        <f t="shared" ca="1" si="452"/>
        <v>0</v>
      </c>
      <c r="AL92" s="301">
        <f t="shared" ca="1" si="452"/>
        <v>0</v>
      </c>
      <c r="AM92" s="301">
        <f t="shared" ca="1" si="452"/>
        <v>0</v>
      </c>
      <c r="AN92" s="301">
        <f t="shared" ca="1" si="452"/>
        <v>0</v>
      </c>
      <c r="AO92" s="301">
        <f t="shared" ca="1" si="452"/>
        <v>0</v>
      </c>
      <c r="AP92" s="301">
        <f t="shared" ca="1" si="452"/>
        <v>0</v>
      </c>
      <c r="AQ92" s="301">
        <f t="shared" ca="1" si="452"/>
        <v>0</v>
      </c>
      <c r="AR92" s="301">
        <f t="shared" ca="1" si="452"/>
        <v>0</v>
      </c>
      <c r="AS92" s="301">
        <f t="shared" ca="1" si="452"/>
        <v>0</v>
      </c>
      <c r="AT92" s="301">
        <f t="shared" ca="1" si="452"/>
        <v>0</v>
      </c>
      <c r="AU92" s="301">
        <f t="shared" ca="1" si="452"/>
        <v>0</v>
      </c>
      <c r="AV92" s="301">
        <f t="shared" ca="1" si="452"/>
        <v>0</v>
      </c>
      <c r="AW92" s="301">
        <f t="shared" ca="1" si="452"/>
        <v>0</v>
      </c>
      <c r="AX92" s="301">
        <f t="shared" ca="1" si="452"/>
        <v>0</v>
      </c>
      <c r="AY92" s="301">
        <f t="shared" ca="1" si="452"/>
        <v>0</v>
      </c>
      <c r="AZ92" s="301">
        <f t="shared" ca="1" si="452"/>
        <v>0</v>
      </c>
      <c r="BA92" s="301">
        <f t="shared" ca="1" si="452"/>
        <v>0</v>
      </c>
      <c r="BB92" s="301">
        <f t="shared" ca="1" si="452"/>
        <v>0</v>
      </c>
      <c r="BC92" s="301">
        <f t="shared" ca="1" si="452"/>
        <v>0</v>
      </c>
      <c r="BD92" s="301">
        <f t="shared" ca="1" si="452"/>
        <v>0</v>
      </c>
      <c r="BE92" s="301">
        <f ca="1">(BE84/$F$84)*$F$92</f>
        <v>0</v>
      </c>
      <c r="BF92" s="301">
        <f t="shared" ca="1" si="452"/>
        <v>0</v>
      </c>
      <c r="BG92" s="301">
        <f t="shared" ca="1" si="452"/>
        <v>0</v>
      </c>
      <c r="BH92" s="301">
        <f t="shared" ca="1" si="452"/>
        <v>0</v>
      </c>
      <c r="BI92" s="301">
        <f t="shared" ca="1" si="452"/>
        <v>0</v>
      </c>
      <c r="BJ92" s="301">
        <f t="shared" ca="1" si="452"/>
        <v>0</v>
      </c>
      <c r="BK92" s="301">
        <f t="shared" ca="1" si="452"/>
        <v>0</v>
      </c>
      <c r="BL92" s="301">
        <f t="shared" ca="1" si="452"/>
        <v>0</v>
      </c>
      <c r="BM92" s="301">
        <f t="shared" ca="1" si="452"/>
        <v>0</v>
      </c>
      <c r="BN92" s="301">
        <f t="shared" ca="1" si="452"/>
        <v>0</v>
      </c>
      <c r="BO92" s="301">
        <f t="shared" ca="1" si="452"/>
        <v>0</v>
      </c>
      <c r="BP92" s="301">
        <f t="shared" ca="1" si="452"/>
        <v>0</v>
      </c>
      <c r="BQ92" s="301">
        <f t="shared" ca="1" si="452"/>
        <v>0</v>
      </c>
      <c r="BR92" s="301">
        <f t="shared" ca="1" si="452"/>
        <v>0</v>
      </c>
      <c r="BS92" s="301">
        <f t="shared" ca="1" si="452"/>
        <v>0</v>
      </c>
      <c r="BT92" s="301">
        <f t="shared" ca="1" si="452"/>
        <v>0</v>
      </c>
      <c r="BU92" s="301">
        <f t="shared" ref="BU92:CZ92" ca="1" si="453">(BU84/$F$84)*$F$92</f>
        <v>0</v>
      </c>
      <c r="BV92" s="301">
        <f t="shared" ca="1" si="453"/>
        <v>0</v>
      </c>
      <c r="BW92" s="301">
        <f t="shared" ca="1" si="453"/>
        <v>0</v>
      </c>
      <c r="BX92" s="301">
        <f t="shared" ca="1" si="453"/>
        <v>0</v>
      </c>
      <c r="BY92" s="301">
        <f t="shared" ca="1" si="453"/>
        <v>0</v>
      </c>
      <c r="BZ92" s="301">
        <f t="shared" ca="1" si="453"/>
        <v>0</v>
      </c>
      <c r="CA92" s="301">
        <f t="shared" ca="1" si="453"/>
        <v>0</v>
      </c>
      <c r="CB92" s="301">
        <f t="shared" ca="1" si="453"/>
        <v>0</v>
      </c>
      <c r="CC92" s="301">
        <f t="shared" ca="1" si="453"/>
        <v>0</v>
      </c>
      <c r="CD92" s="301">
        <f t="shared" ca="1" si="453"/>
        <v>0</v>
      </c>
      <c r="CE92" s="301">
        <f t="shared" ca="1" si="453"/>
        <v>0</v>
      </c>
      <c r="CF92" s="301">
        <f t="shared" ca="1" si="453"/>
        <v>0</v>
      </c>
      <c r="CG92" s="301">
        <f t="shared" ca="1" si="453"/>
        <v>0</v>
      </c>
      <c r="CH92" s="301">
        <f t="shared" ca="1" si="453"/>
        <v>0</v>
      </c>
      <c r="CI92" s="301">
        <f t="shared" ca="1" si="453"/>
        <v>0</v>
      </c>
      <c r="CJ92" s="301">
        <f t="shared" ca="1" si="453"/>
        <v>0</v>
      </c>
      <c r="CK92" s="301">
        <f t="shared" ca="1" si="453"/>
        <v>0</v>
      </c>
      <c r="CL92" s="301">
        <f t="shared" ca="1" si="453"/>
        <v>0</v>
      </c>
      <c r="CM92" s="301">
        <f t="shared" ca="1" si="453"/>
        <v>0</v>
      </c>
      <c r="CN92" s="301">
        <f t="shared" ca="1" si="453"/>
        <v>0</v>
      </c>
      <c r="CO92" s="301">
        <f t="shared" ca="1" si="453"/>
        <v>0</v>
      </c>
      <c r="CP92" s="301">
        <f t="shared" ca="1" si="453"/>
        <v>0</v>
      </c>
      <c r="CQ92" s="301">
        <f t="shared" ca="1" si="453"/>
        <v>0</v>
      </c>
      <c r="CR92" s="301">
        <f t="shared" ca="1" si="453"/>
        <v>0</v>
      </c>
      <c r="CS92" s="301">
        <f t="shared" ca="1" si="453"/>
        <v>0</v>
      </c>
      <c r="CT92" s="301">
        <f t="shared" ca="1" si="453"/>
        <v>0</v>
      </c>
      <c r="CU92" s="301">
        <f t="shared" ca="1" si="453"/>
        <v>0</v>
      </c>
      <c r="CV92" s="301">
        <f t="shared" ca="1" si="453"/>
        <v>0</v>
      </c>
      <c r="CW92" s="301">
        <f t="shared" ca="1" si="453"/>
        <v>0</v>
      </c>
      <c r="CX92" s="301">
        <f t="shared" ca="1" si="453"/>
        <v>0</v>
      </c>
      <c r="CY92" s="301">
        <f t="shared" ca="1" si="453"/>
        <v>0</v>
      </c>
      <c r="CZ92" s="301">
        <f t="shared" ca="1" si="453"/>
        <v>0</v>
      </c>
      <c r="DA92" s="301">
        <f t="shared" ref="DA92:EE92" ca="1" si="454">(DA84/$F$84)*$F$92</f>
        <v>0</v>
      </c>
      <c r="DB92" s="301">
        <f t="shared" ca="1" si="454"/>
        <v>0</v>
      </c>
      <c r="DC92" s="301">
        <f t="shared" ca="1" si="454"/>
        <v>0</v>
      </c>
      <c r="DD92" s="301">
        <f t="shared" ca="1" si="454"/>
        <v>0</v>
      </c>
      <c r="DE92" s="301">
        <f t="shared" ca="1" si="454"/>
        <v>0</v>
      </c>
      <c r="DF92" s="301">
        <f t="shared" ca="1" si="454"/>
        <v>0</v>
      </c>
      <c r="DG92" s="301">
        <f t="shared" ca="1" si="454"/>
        <v>0</v>
      </c>
      <c r="DH92" s="301">
        <f t="shared" ca="1" si="454"/>
        <v>0</v>
      </c>
      <c r="DI92" s="301">
        <f t="shared" ca="1" si="454"/>
        <v>0</v>
      </c>
      <c r="DJ92" s="301">
        <f t="shared" ca="1" si="454"/>
        <v>0</v>
      </c>
      <c r="DK92" s="301">
        <f t="shared" ca="1" si="454"/>
        <v>0</v>
      </c>
      <c r="DL92" s="301">
        <f t="shared" ca="1" si="454"/>
        <v>0</v>
      </c>
      <c r="DM92" s="301">
        <f t="shared" ca="1" si="454"/>
        <v>0</v>
      </c>
      <c r="DN92" s="301">
        <f t="shared" ca="1" si="454"/>
        <v>0</v>
      </c>
      <c r="DO92" s="301">
        <f t="shared" ca="1" si="454"/>
        <v>0</v>
      </c>
      <c r="DP92" s="301">
        <f t="shared" ca="1" si="454"/>
        <v>0</v>
      </c>
      <c r="DQ92" s="301">
        <f t="shared" ca="1" si="454"/>
        <v>0</v>
      </c>
      <c r="DR92" s="301">
        <f t="shared" ca="1" si="454"/>
        <v>0</v>
      </c>
      <c r="DS92" s="301">
        <f t="shared" ca="1" si="454"/>
        <v>0</v>
      </c>
      <c r="DT92" s="301">
        <f t="shared" ca="1" si="454"/>
        <v>0</v>
      </c>
      <c r="DU92" s="301">
        <f t="shared" ca="1" si="454"/>
        <v>0</v>
      </c>
      <c r="DV92" s="301">
        <f t="shared" ca="1" si="454"/>
        <v>0</v>
      </c>
      <c r="DW92" s="301">
        <f t="shared" ca="1" si="454"/>
        <v>0</v>
      </c>
      <c r="DX92" s="301">
        <f t="shared" ca="1" si="454"/>
        <v>0</v>
      </c>
      <c r="DY92" s="301">
        <f t="shared" ca="1" si="454"/>
        <v>0</v>
      </c>
      <c r="DZ92" s="301">
        <f t="shared" ca="1" si="454"/>
        <v>0</v>
      </c>
      <c r="EA92" s="301">
        <f t="shared" ca="1" si="454"/>
        <v>0</v>
      </c>
      <c r="EB92" s="301">
        <f t="shared" ca="1" si="454"/>
        <v>0</v>
      </c>
      <c r="EC92" s="301">
        <f t="shared" ca="1" si="454"/>
        <v>0</v>
      </c>
      <c r="ED92" s="301">
        <f t="shared" ca="1" si="454"/>
        <v>0</v>
      </c>
      <c r="EE92" s="301">
        <f t="shared" ca="1" si="454"/>
        <v>0</v>
      </c>
    </row>
    <row r="94" spans="2:135">
      <c r="C94" s="265" t="s">
        <v>185</v>
      </c>
      <c r="G94" s="301">
        <f ca="1">SUMIF($I$8:$EE$8, "&lt;="&amp;$E$8, $I94:$EE94)</f>
        <v>0</v>
      </c>
      <c r="H94" s="301"/>
      <c r="I94" s="301">
        <f t="shared" ref="I94:BT94" si="455">I76+I84+I92</f>
        <v>0</v>
      </c>
      <c r="J94" s="301">
        <f t="shared" ca="1" si="455"/>
        <v>0</v>
      </c>
      <c r="K94" s="301">
        <f t="shared" ca="1" si="455"/>
        <v>0</v>
      </c>
      <c r="L94" s="301">
        <f t="shared" ca="1" si="455"/>
        <v>0</v>
      </c>
      <c r="M94" s="301">
        <f t="shared" ca="1" si="455"/>
        <v>0</v>
      </c>
      <c r="N94" s="301">
        <f t="shared" ca="1" si="455"/>
        <v>0</v>
      </c>
      <c r="O94" s="301">
        <f t="shared" ca="1" si="455"/>
        <v>0</v>
      </c>
      <c r="P94" s="301">
        <f t="shared" ca="1" si="455"/>
        <v>0</v>
      </c>
      <c r="Q94" s="301">
        <f t="shared" ca="1" si="455"/>
        <v>0</v>
      </c>
      <c r="R94" s="301">
        <f t="shared" ca="1" si="455"/>
        <v>0</v>
      </c>
      <c r="S94" s="301">
        <f t="shared" ca="1" si="455"/>
        <v>0</v>
      </c>
      <c r="T94" s="301">
        <f t="shared" ca="1" si="455"/>
        <v>0</v>
      </c>
      <c r="U94" s="301">
        <f t="shared" ca="1" si="455"/>
        <v>0</v>
      </c>
      <c r="V94" s="301">
        <f t="shared" ca="1" si="455"/>
        <v>0</v>
      </c>
      <c r="W94" s="301">
        <f t="shared" ca="1" si="455"/>
        <v>0</v>
      </c>
      <c r="X94" s="301">
        <f t="shared" ca="1" si="455"/>
        <v>0</v>
      </c>
      <c r="Y94" s="301">
        <f t="shared" ca="1" si="455"/>
        <v>0</v>
      </c>
      <c r="Z94" s="301">
        <f t="shared" ca="1" si="455"/>
        <v>0</v>
      </c>
      <c r="AA94" s="301">
        <f t="shared" ca="1" si="455"/>
        <v>0</v>
      </c>
      <c r="AB94" s="301">
        <f t="shared" ca="1" si="455"/>
        <v>0</v>
      </c>
      <c r="AC94" s="301">
        <f t="shared" ca="1" si="455"/>
        <v>0</v>
      </c>
      <c r="AD94" s="301">
        <f t="shared" ca="1" si="455"/>
        <v>0</v>
      </c>
      <c r="AE94" s="301">
        <f t="shared" ca="1" si="455"/>
        <v>0</v>
      </c>
      <c r="AF94" s="301">
        <f t="shared" ca="1" si="455"/>
        <v>0</v>
      </c>
      <c r="AG94" s="301">
        <f t="shared" ca="1" si="455"/>
        <v>0</v>
      </c>
      <c r="AH94" s="301">
        <f t="shared" ca="1" si="455"/>
        <v>0</v>
      </c>
      <c r="AI94" s="301">
        <f t="shared" ca="1" si="455"/>
        <v>0</v>
      </c>
      <c r="AJ94" s="301">
        <f t="shared" ca="1" si="455"/>
        <v>0</v>
      </c>
      <c r="AK94" s="301">
        <f t="shared" ca="1" si="455"/>
        <v>0</v>
      </c>
      <c r="AL94" s="301">
        <f t="shared" ca="1" si="455"/>
        <v>0</v>
      </c>
      <c r="AM94" s="301">
        <f t="shared" ca="1" si="455"/>
        <v>0</v>
      </c>
      <c r="AN94" s="301">
        <f t="shared" ca="1" si="455"/>
        <v>0</v>
      </c>
      <c r="AO94" s="301">
        <f t="shared" ca="1" si="455"/>
        <v>0</v>
      </c>
      <c r="AP94" s="301">
        <f t="shared" ca="1" si="455"/>
        <v>0</v>
      </c>
      <c r="AQ94" s="301">
        <f t="shared" ca="1" si="455"/>
        <v>0</v>
      </c>
      <c r="AR94" s="301">
        <f t="shared" ca="1" si="455"/>
        <v>0</v>
      </c>
      <c r="AS94" s="301">
        <f t="shared" ca="1" si="455"/>
        <v>0</v>
      </c>
      <c r="AT94" s="301">
        <f t="shared" ca="1" si="455"/>
        <v>0</v>
      </c>
      <c r="AU94" s="301">
        <f t="shared" ca="1" si="455"/>
        <v>0</v>
      </c>
      <c r="AV94" s="301">
        <f t="shared" ca="1" si="455"/>
        <v>0</v>
      </c>
      <c r="AW94" s="301">
        <f t="shared" ca="1" si="455"/>
        <v>0</v>
      </c>
      <c r="AX94" s="301">
        <f t="shared" ca="1" si="455"/>
        <v>0</v>
      </c>
      <c r="AY94" s="301">
        <f t="shared" ca="1" si="455"/>
        <v>0</v>
      </c>
      <c r="AZ94" s="301">
        <f t="shared" ca="1" si="455"/>
        <v>0</v>
      </c>
      <c r="BA94" s="301">
        <f t="shared" ca="1" si="455"/>
        <v>0</v>
      </c>
      <c r="BB94" s="301">
        <f t="shared" ca="1" si="455"/>
        <v>0</v>
      </c>
      <c r="BC94" s="301">
        <f t="shared" ca="1" si="455"/>
        <v>0</v>
      </c>
      <c r="BD94" s="301">
        <f t="shared" ca="1" si="455"/>
        <v>0</v>
      </c>
      <c r="BE94" s="301">
        <f t="shared" ca="1" si="455"/>
        <v>0</v>
      </c>
      <c r="BF94" s="301">
        <f t="shared" ca="1" si="455"/>
        <v>0</v>
      </c>
      <c r="BG94" s="301">
        <f t="shared" ca="1" si="455"/>
        <v>0</v>
      </c>
      <c r="BH94" s="301">
        <f t="shared" ca="1" si="455"/>
        <v>0</v>
      </c>
      <c r="BI94" s="301">
        <f t="shared" ca="1" si="455"/>
        <v>0</v>
      </c>
      <c r="BJ94" s="301">
        <f t="shared" ca="1" si="455"/>
        <v>0</v>
      </c>
      <c r="BK94" s="301">
        <f t="shared" ca="1" si="455"/>
        <v>0</v>
      </c>
      <c r="BL94" s="301">
        <f t="shared" ca="1" si="455"/>
        <v>0</v>
      </c>
      <c r="BM94" s="301">
        <f t="shared" ca="1" si="455"/>
        <v>0</v>
      </c>
      <c r="BN94" s="301">
        <f t="shared" ca="1" si="455"/>
        <v>0</v>
      </c>
      <c r="BO94" s="301">
        <f t="shared" ca="1" si="455"/>
        <v>0</v>
      </c>
      <c r="BP94" s="301">
        <f t="shared" ca="1" si="455"/>
        <v>0</v>
      </c>
      <c r="BQ94" s="301">
        <f t="shared" ca="1" si="455"/>
        <v>0</v>
      </c>
      <c r="BR94" s="301">
        <f t="shared" ca="1" si="455"/>
        <v>0</v>
      </c>
      <c r="BS94" s="301">
        <f t="shared" ca="1" si="455"/>
        <v>0</v>
      </c>
      <c r="BT94" s="301">
        <f t="shared" ca="1" si="455"/>
        <v>0</v>
      </c>
      <c r="BU94" s="301">
        <f t="shared" ref="BU94:CZ94" ca="1" si="456">BU76+BU84+BU92</f>
        <v>0</v>
      </c>
      <c r="BV94" s="301">
        <f t="shared" ca="1" si="456"/>
        <v>0</v>
      </c>
      <c r="BW94" s="301">
        <f t="shared" ca="1" si="456"/>
        <v>0</v>
      </c>
      <c r="BX94" s="301">
        <f t="shared" ca="1" si="456"/>
        <v>0</v>
      </c>
      <c r="BY94" s="301">
        <f t="shared" ca="1" si="456"/>
        <v>0</v>
      </c>
      <c r="BZ94" s="301">
        <f t="shared" ca="1" si="456"/>
        <v>0</v>
      </c>
      <c r="CA94" s="301">
        <f t="shared" ca="1" si="456"/>
        <v>0</v>
      </c>
      <c r="CB94" s="301">
        <f t="shared" ca="1" si="456"/>
        <v>0</v>
      </c>
      <c r="CC94" s="301">
        <f t="shared" ca="1" si="456"/>
        <v>0</v>
      </c>
      <c r="CD94" s="301">
        <f t="shared" ca="1" si="456"/>
        <v>0</v>
      </c>
      <c r="CE94" s="301">
        <f t="shared" ca="1" si="456"/>
        <v>0</v>
      </c>
      <c r="CF94" s="301">
        <f t="shared" ca="1" si="456"/>
        <v>0</v>
      </c>
      <c r="CG94" s="301">
        <f t="shared" ca="1" si="456"/>
        <v>0</v>
      </c>
      <c r="CH94" s="301">
        <f t="shared" ca="1" si="456"/>
        <v>0</v>
      </c>
      <c r="CI94" s="301">
        <f t="shared" ca="1" si="456"/>
        <v>0</v>
      </c>
      <c r="CJ94" s="301">
        <f t="shared" ca="1" si="456"/>
        <v>0</v>
      </c>
      <c r="CK94" s="301">
        <f t="shared" ca="1" si="456"/>
        <v>0</v>
      </c>
      <c r="CL94" s="301">
        <f t="shared" ca="1" si="456"/>
        <v>0</v>
      </c>
      <c r="CM94" s="301">
        <f t="shared" ca="1" si="456"/>
        <v>0</v>
      </c>
      <c r="CN94" s="301">
        <f t="shared" ca="1" si="456"/>
        <v>0</v>
      </c>
      <c r="CO94" s="301">
        <f t="shared" ca="1" si="456"/>
        <v>0</v>
      </c>
      <c r="CP94" s="301">
        <f t="shared" ca="1" si="456"/>
        <v>0</v>
      </c>
      <c r="CQ94" s="301">
        <f t="shared" ca="1" si="456"/>
        <v>0</v>
      </c>
      <c r="CR94" s="301">
        <f t="shared" ca="1" si="456"/>
        <v>0</v>
      </c>
      <c r="CS94" s="301">
        <f t="shared" ca="1" si="456"/>
        <v>0</v>
      </c>
      <c r="CT94" s="301">
        <f t="shared" ca="1" si="456"/>
        <v>0</v>
      </c>
      <c r="CU94" s="301">
        <f t="shared" ca="1" si="456"/>
        <v>0</v>
      </c>
      <c r="CV94" s="301">
        <f t="shared" ca="1" si="456"/>
        <v>0</v>
      </c>
      <c r="CW94" s="301">
        <f t="shared" ca="1" si="456"/>
        <v>0</v>
      </c>
      <c r="CX94" s="301">
        <f t="shared" ca="1" si="456"/>
        <v>0</v>
      </c>
      <c r="CY94" s="301">
        <f t="shared" ca="1" si="456"/>
        <v>0</v>
      </c>
      <c r="CZ94" s="301">
        <f t="shared" ca="1" si="456"/>
        <v>0</v>
      </c>
      <c r="DA94" s="301">
        <f t="shared" ref="DA94:EE94" ca="1" si="457">DA76+DA84+DA92</f>
        <v>0</v>
      </c>
      <c r="DB94" s="301">
        <f t="shared" ca="1" si="457"/>
        <v>0</v>
      </c>
      <c r="DC94" s="301">
        <f t="shared" ca="1" si="457"/>
        <v>0</v>
      </c>
      <c r="DD94" s="301">
        <f t="shared" ca="1" si="457"/>
        <v>0</v>
      </c>
      <c r="DE94" s="301">
        <f t="shared" ca="1" si="457"/>
        <v>0</v>
      </c>
      <c r="DF94" s="301">
        <f t="shared" ca="1" si="457"/>
        <v>0</v>
      </c>
      <c r="DG94" s="301">
        <f t="shared" ca="1" si="457"/>
        <v>0</v>
      </c>
      <c r="DH94" s="301">
        <f t="shared" ca="1" si="457"/>
        <v>0</v>
      </c>
      <c r="DI94" s="301">
        <f t="shared" ca="1" si="457"/>
        <v>0</v>
      </c>
      <c r="DJ94" s="301">
        <f t="shared" ca="1" si="457"/>
        <v>0</v>
      </c>
      <c r="DK94" s="301">
        <f t="shared" ca="1" si="457"/>
        <v>0</v>
      </c>
      <c r="DL94" s="301">
        <f t="shared" ca="1" si="457"/>
        <v>0</v>
      </c>
      <c r="DM94" s="301">
        <f t="shared" ca="1" si="457"/>
        <v>0</v>
      </c>
      <c r="DN94" s="301">
        <f t="shared" ca="1" si="457"/>
        <v>0</v>
      </c>
      <c r="DO94" s="301">
        <f t="shared" ca="1" si="457"/>
        <v>0</v>
      </c>
      <c r="DP94" s="301">
        <f t="shared" ca="1" si="457"/>
        <v>0</v>
      </c>
      <c r="DQ94" s="301">
        <f t="shared" ca="1" si="457"/>
        <v>0</v>
      </c>
      <c r="DR94" s="301">
        <f t="shared" ca="1" si="457"/>
        <v>0</v>
      </c>
      <c r="DS94" s="301">
        <f t="shared" ca="1" si="457"/>
        <v>0</v>
      </c>
      <c r="DT94" s="301">
        <f t="shared" ca="1" si="457"/>
        <v>0</v>
      </c>
      <c r="DU94" s="301">
        <f t="shared" ca="1" si="457"/>
        <v>0</v>
      </c>
      <c r="DV94" s="301">
        <f t="shared" ca="1" si="457"/>
        <v>0</v>
      </c>
      <c r="DW94" s="301">
        <f t="shared" ca="1" si="457"/>
        <v>0</v>
      </c>
      <c r="DX94" s="301">
        <f t="shared" ca="1" si="457"/>
        <v>0</v>
      </c>
      <c r="DY94" s="301">
        <f t="shared" ca="1" si="457"/>
        <v>0</v>
      </c>
      <c r="DZ94" s="301">
        <f t="shared" ca="1" si="457"/>
        <v>0</v>
      </c>
      <c r="EA94" s="301">
        <f t="shared" ca="1" si="457"/>
        <v>0</v>
      </c>
      <c r="EB94" s="301">
        <f t="shared" ca="1" si="457"/>
        <v>0</v>
      </c>
      <c r="EC94" s="301">
        <f t="shared" ca="1" si="457"/>
        <v>0</v>
      </c>
      <c r="ED94" s="301">
        <f t="shared" ca="1" si="457"/>
        <v>0</v>
      </c>
      <c r="EE94" s="301">
        <f t="shared" ca="1" si="457"/>
        <v>0</v>
      </c>
    </row>
    <row r="96" spans="2:135">
      <c r="B96" s="265" t="s">
        <v>166</v>
      </c>
    </row>
    <row r="97" spans="3:135">
      <c r="C97" s="265" t="str">
        <f t="shared" ref="C97:C102" si="458">C79</f>
        <v>Beginning Capital Balance</v>
      </c>
      <c r="I97" s="312">
        <v>0</v>
      </c>
      <c r="J97" s="301">
        <f t="shared" ref="J97:BU97" si="459">I106</f>
        <v>13708</v>
      </c>
      <c r="K97" s="301">
        <f t="shared" ca="1" si="459"/>
        <v>13866.375585483509</v>
      </c>
      <c r="L97" s="301">
        <f t="shared" ca="1" si="459"/>
        <v>14031.952904247157</v>
      </c>
      <c r="M97" s="301">
        <f t="shared" ca="1" si="459"/>
        <v>14194.071284513218</v>
      </c>
      <c r="N97" s="301">
        <f t="shared" ca="1" si="459"/>
        <v>14363.561592282625</v>
      </c>
      <c r="O97" s="301">
        <f t="shared" ca="1" si="459"/>
        <v>14680.336218545115</v>
      </c>
      <c r="P97" s="301">
        <f t="shared" ca="1" si="459"/>
        <v>14855.632978295391</v>
      </c>
      <c r="Q97" s="301">
        <f t="shared" ca="1" si="459"/>
        <v>15033.022943100474</v>
      </c>
      <c r="R97" s="301">
        <f t="shared" ca="1" si="459"/>
        <v>15195.066076069497</v>
      </c>
      <c r="S97" s="301">
        <f t="shared" ca="1" si="459"/>
        <v>15376.509185251249</v>
      </c>
      <c r="T97" s="301">
        <f t="shared" ca="1" si="459"/>
        <v>15554.161916861018</v>
      </c>
      <c r="U97" s="301">
        <f t="shared" ca="1" si="459"/>
        <v>15739.892961713551</v>
      </c>
      <c r="V97" s="301">
        <f t="shared" ca="1" si="459"/>
        <v>15921.744053284834</v>
      </c>
      <c r="W97" s="301">
        <f t="shared" ca="1" si="459"/>
        <v>16191.03936800816</v>
      </c>
      <c r="X97" s="301">
        <f t="shared" ca="1" si="459"/>
        <v>16384.37531726357</v>
      </c>
      <c r="Y97" s="301">
        <f t="shared" ca="1" si="459"/>
        <v>16573.672445484546</v>
      </c>
      <c r="Z97" s="301">
        <f t="shared" ca="1" si="459"/>
        <v>16771.577386734167</v>
      </c>
      <c r="AA97" s="301">
        <f t="shared" ca="1" si="459"/>
        <v>16965.348059925444</v>
      </c>
      <c r="AB97" s="301">
        <f t="shared" ca="1" si="459"/>
        <v>17167.929969404031</v>
      </c>
      <c r="AC97" s="301">
        <f t="shared" ca="1" si="459"/>
        <v>17372.930893800734</v>
      </c>
      <c r="AD97" s="301">
        <f t="shared" ca="1" si="459"/>
        <v>17560.196233682214</v>
      </c>
      <c r="AE97" s="301">
        <f t="shared" ca="1" si="459"/>
        <v>17769.881179211927</v>
      </c>
      <c r="AF97" s="301">
        <f t="shared" ca="1" si="459"/>
        <v>18285.185770379863</v>
      </c>
      <c r="AG97" s="301">
        <f t="shared" ca="1" si="459"/>
        <v>18503.527759913472</v>
      </c>
      <c r="AH97" s="301">
        <f t="shared" ca="1" si="459"/>
        <v>18717.308547955978</v>
      </c>
      <c r="AI97" s="301">
        <f t="shared" ca="1" si="459"/>
        <v>18940.810482166307</v>
      </c>
      <c r="AJ97" s="301">
        <f t="shared" ca="1" si="459"/>
        <v>19166.981235692609</v>
      </c>
      <c r="AK97" s="301">
        <f t="shared" ca="1" si="459"/>
        <v>19388.427243509523</v>
      </c>
      <c r="AL97" s="301">
        <f t="shared" ca="1" si="459"/>
        <v>19619.942954174767</v>
      </c>
      <c r="AM97" s="301">
        <f t="shared" ca="1" si="459"/>
        <v>19846.622262062167</v>
      </c>
      <c r="AN97" s="301">
        <f t="shared" ca="1" si="459"/>
        <v>20083.609244017814</v>
      </c>
      <c r="AO97" s="301">
        <f t="shared" ca="1" si="459"/>
        <v>20323.426069201938</v>
      </c>
      <c r="AP97" s="301">
        <f t="shared" ca="1" si="459"/>
        <v>20542.495224180464</v>
      </c>
      <c r="AQ97" s="301">
        <f t="shared" ca="1" si="459"/>
        <v>20787.791571374153</v>
      </c>
      <c r="AR97" s="301">
        <f t="shared" ca="1" si="459"/>
        <v>21027.963635936856</v>
      </c>
      <c r="AS97" s="301">
        <f t="shared" ca="1" si="459"/>
        <v>21279.056923900505</v>
      </c>
      <c r="AT97" s="301">
        <f t="shared" ca="1" si="459"/>
        <v>21524.904830149386</v>
      </c>
      <c r="AU97" s="301">
        <f t="shared" ca="1" si="459"/>
        <v>21781.932054491266</v>
      </c>
      <c r="AV97" s="301">
        <f t="shared" ca="1" si="459"/>
        <v>22042.028421046511</v>
      </c>
      <c r="AW97" s="301">
        <f t="shared" ca="1" si="459"/>
        <v>22296.691330035959</v>
      </c>
      <c r="AX97" s="301">
        <f t="shared" ca="1" si="459"/>
        <v>22562.934397300989</v>
      </c>
      <c r="AY97" s="301">
        <f t="shared" ca="1" si="459"/>
        <v>22823.615601371497</v>
      </c>
      <c r="AZ97" s="301">
        <f t="shared" ca="1" si="459"/>
        <v>23237.230630620492</v>
      </c>
      <c r="BA97" s="301">
        <f t="shared" ca="1" si="459"/>
        <v>23514.704604954393</v>
      </c>
      <c r="BB97" s="301">
        <f t="shared" ca="1" si="459"/>
        <v>24025.475814038135</v>
      </c>
      <c r="BC97" s="301">
        <f t="shared" ca="1" si="459"/>
        <v>24632.362163162696</v>
      </c>
      <c r="BD97" s="301">
        <f t="shared" ca="1" si="459"/>
        <v>24916.95253224883</v>
      </c>
      <c r="BE97" s="301">
        <f t="shared" ca="1" si="459"/>
        <v>25214.483935939494</v>
      </c>
      <c r="BF97" s="301">
        <f t="shared" ca="1" si="459"/>
        <v>26122.799857738366</v>
      </c>
      <c r="BG97" s="301">
        <f t="shared" ca="1" si="459"/>
        <v>26434.730191110546</v>
      </c>
      <c r="BH97" s="301">
        <f t="shared" ca="1" si="459"/>
        <v>26750.385260476094</v>
      </c>
      <c r="BI97" s="301">
        <f t="shared" ca="1" si="459"/>
        <v>27059.446241475314</v>
      </c>
      <c r="BJ97" s="301">
        <f t="shared" ca="1" si="459"/>
        <v>27382.560996897275</v>
      </c>
      <c r="BK97" s="301">
        <f t="shared" ca="1" si="459"/>
        <v>27698.925829835815</v>
      </c>
      <c r="BL97" s="301">
        <f t="shared" ca="1" si="459"/>
        <v>28029.676561579927</v>
      </c>
      <c r="BM97" s="301">
        <f t="shared" ca="1" si="459"/>
        <v>28583.828762239238</v>
      </c>
      <c r="BN97" s="301">
        <f t="shared" ca="1" si="459"/>
        <v>28891.937994987344</v>
      </c>
      <c r="BO97" s="301">
        <f t="shared" ca="1" si="459"/>
        <v>29236.934392755749</v>
      </c>
      <c r="BP97" s="301">
        <f t="shared" ca="1" si="459"/>
        <v>29574.723756791031</v>
      </c>
      <c r="BQ97" s="301">
        <f t="shared" ca="1" si="459"/>
        <v>30016.373246550382</v>
      </c>
      <c r="BR97" s="301">
        <f t="shared" ca="1" si="459"/>
        <v>30363.167869180521</v>
      </c>
      <c r="BS97" s="301">
        <f t="shared" ca="1" si="459"/>
        <v>30725.732109126009</v>
      </c>
      <c r="BT97" s="301">
        <f t="shared" ca="1" si="459"/>
        <v>31092.62570062841</v>
      </c>
      <c r="BU97" s="301">
        <f t="shared" ca="1" si="459"/>
        <v>31451.854822276837</v>
      </c>
      <c r="BV97" s="301">
        <f t="shared" ref="BV97:CZ97" ca="1" si="460">BU106</f>
        <v>31827.418988955549</v>
      </c>
      <c r="BW97" s="301">
        <f t="shared" ca="1" si="460"/>
        <v>32195.137555982452</v>
      </c>
      <c r="BX97" s="301">
        <f t="shared" ca="1" si="460"/>
        <v>32579.577204316163</v>
      </c>
      <c r="BY97" s="301">
        <f t="shared" ca="1" si="460"/>
        <v>32968.607416767016</v>
      </c>
      <c r="BZ97" s="301">
        <f t="shared" ca="1" si="460"/>
        <v>33323.980814097631</v>
      </c>
      <c r="CA97" s="301">
        <f t="shared" ca="1" si="460"/>
        <v>33721.899892498041</v>
      </c>
      <c r="CB97" s="301">
        <f t="shared" ca="1" si="460"/>
        <v>34111.506373318778</v>
      </c>
      <c r="CC97" s="301">
        <f t="shared" ca="1" si="460"/>
        <v>34518.829233532961</v>
      </c>
      <c r="CD97" s="301">
        <f t="shared" ca="1" si="460"/>
        <v>34917.643049557621</v>
      </c>
      <c r="CE97" s="301">
        <f t="shared" ca="1" si="460"/>
        <v>35334.591925494933</v>
      </c>
      <c r="CF97" s="301">
        <f t="shared" ca="1" si="460"/>
        <v>35756.519555722691</v>
      </c>
      <c r="CG97" s="301">
        <f t="shared" ca="1" si="460"/>
        <v>36169.633045618379</v>
      </c>
      <c r="CH97" s="301">
        <f t="shared" ca="1" si="460"/>
        <v>36601.531837298899</v>
      </c>
      <c r="CI97" s="301">
        <f t="shared" ca="1" si="460"/>
        <v>37024.408189379836</v>
      </c>
      <c r="CJ97" s="301">
        <f t="shared" ca="1" si="460"/>
        <v>37466.513784963601</v>
      </c>
      <c r="CK97" s="301">
        <f t="shared" ca="1" si="460"/>
        <v>37913.89852928208</v>
      </c>
      <c r="CL97" s="301">
        <f t="shared" ca="1" si="460"/>
        <v>38322.577936212292</v>
      </c>
      <c r="CM97" s="301">
        <f t="shared" ca="1" si="460"/>
        <v>38780.184876372761</v>
      </c>
      <c r="CN97" s="301">
        <f t="shared" ca="1" si="460"/>
        <v>39228.232329316605</v>
      </c>
      <c r="CO97" s="301">
        <f t="shared" ca="1" si="460"/>
        <v>39696.653618562916</v>
      </c>
      <c r="CP97" s="301">
        <f t="shared" ca="1" si="460"/>
        <v>40155.289506991277</v>
      </c>
      <c r="CQ97" s="301">
        <f t="shared" ca="1" si="460"/>
        <v>40634.780714319182</v>
      </c>
      <c r="CR97" s="301">
        <f t="shared" ca="1" si="460"/>
        <v>41119.997489081106</v>
      </c>
      <c r="CS97" s="301">
        <f t="shared" ca="1" si="460"/>
        <v>41595.078002461152</v>
      </c>
      <c r="CT97" s="301">
        <f t="shared" ca="1" si="460"/>
        <v>42091.761612893744</v>
      </c>
      <c r="CU97" s="301">
        <f t="shared" ca="1" si="460"/>
        <v>42578.069417786821</v>
      </c>
      <c r="CV97" s="301">
        <f t="shared" ca="1" si="460"/>
        <v>43086.49085270815</v>
      </c>
      <c r="CW97" s="301">
        <f t="shared" ca="1" si="460"/>
        <v>43600.983308674404</v>
      </c>
      <c r="CX97" s="301">
        <f t="shared" ca="1" si="460"/>
        <v>44087.843045886948</v>
      </c>
      <c r="CY97" s="301">
        <f t="shared" ca="1" si="460"/>
        <v>44614.292570970683</v>
      </c>
      <c r="CZ97" s="301">
        <f t="shared" ca="1" si="460"/>
        <v>45129.744475468789</v>
      </c>
      <c r="DA97" s="301">
        <f t="shared" ref="DA97" ca="1" si="461">CZ106</f>
        <v>45668.635264966768</v>
      </c>
      <c r="DB97" s="301">
        <f t="shared" ref="DB97" ca="1" si="462">DA106</f>
        <v>46196.268533738432</v>
      </c>
      <c r="DC97" s="301">
        <f t="shared" ref="DC97" ca="1" si="463">DB106</f>
        <v>46747.894604556073</v>
      </c>
      <c r="DD97" s="301">
        <f t="shared" ref="DD97" ca="1" si="464">DC106</f>
        <v>47306.107599635434</v>
      </c>
      <c r="DE97" s="301">
        <f t="shared" ref="DE97" ca="1" si="465">DD106</f>
        <v>47852.659429810381</v>
      </c>
      <c r="DF97" s="301">
        <f t="shared" ref="DF97" ca="1" si="466">DE106</f>
        <v>48424.064336251315</v>
      </c>
      <c r="DG97" s="301">
        <f t="shared" ref="DG97" ca="1" si="467">DF106</f>
        <v>48983.532496504078</v>
      </c>
      <c r="DH97" s="301">
        <f t="shared" ref="DH97" ca="1" si="468">DG106</f>
        <v>21757.813246842881</v>
      </c>
      <c r="DI97" s="301">
        <f t="shared" ref="DI97" ca="1" si="469">DH106</f>
        <v>22017.621612580784</v>
      </c>
      <c r="DJ97" s="301">
        <f t="shared" ref="DJ97" ca="1" si="470">DI106</f>
        <v>22017.621612580784</v>
      </c>
      <c r="DK97" s="301">
        <f t="shared" ref="DK97" ca="1" si="471">DJ106</f>
        <v>22017.621612580784</v>
      </c>
      <c r="DL97" s="301">
        <f t="shared" ref="DL97" ca="1" si="472">DK106</f>
        <v>22017.621612580784</v>
      </c>
      <c r="DM97" s="301">
        <f t="shared" ref="DM97" ca="1" si="473">DL106</f>
        <v>22017.621612580784</v>
      </c>
      <c r="DN97" s="301">
        <f t="shared" ref="DN97" ca="1" si="474">DM106</f>
        <v>22017.621612580784</v>
      </c>
      <c r="DO97" s="301">
        <f t="shared" ref="DO97" ca="1" si="475">DN106</f>
        <v>22017.621612580784</v>
      </c>
      <c r="DP97" s="301">
        <f t="shared" ref="DP97" ca="1" si="476">DO106</f>
        <v>22017.621612580784</v>
      </c>
      <c r="DQ97" s="301">
        <f t="shared" ref="DQ97" ca="1" si="477">DP106</f>
        <v>22017.621612580784</v>
      </c>
      <c r="DR97" s="301">
        <f t="shared" ref="DR97" ca="1" si="478">DQ106</f>
        <v>22017.621612580784</v>
      </c>
      <c r="DS97" s="301">
        <f t="shared" ref="DS97" ca="1" si="479">DR106</f>
        <v>22017.621612580784</v>
      </c>
      <c r="DT97" s="301">
        <f t="shared" ref="DT97" ca="1" si="480">DS106</f>
        <v>22017.621612580784</v>
      </c>
      <c r="DU97" s="301">
        <f t="shared" ref="DU97" ca="1" si="481">DT106</f>
        <v>22017.621612580784</v>
      </c>
      <c r="DV97" s="301">
        <f t="shared" ref="DV97" ca="1" si="482">DU106</f>
        <v>22017.621612580784</v>
      </c>
      <c r="DW97" s="301">
        <f t="shared" ref="DW97" ca="1" si="483">DV106</f>
        <v>22017.621612580784</v>
      </c>
      <c r="DX97" s="301">
        <f t="shared" ref="DX97" ca="1" si="484">DW106</f>
        <v>22017.621612580784</v>
      </c>
      <c r="DY97" s="301">
        <f t="shared" ref="DY97" ca="1" si="485">DX106</f>
        <v>22017.621612580784</v>
      </c>
      <c r="DZ97" s="301">
        <f t="shared" ref="DZ97" ca="1" si="486">DY106</f>
        <v>22017.621612580784</v>
      </c>
      <c r="EA97" s="301">
        <f t="shared" ref="EA97" ca="1" si="487">DZ106</f>
        <v>22017.621612580784</v>
      </c>
      <c r="EB97" s="301">
        <f t="shared" ref="EB97" ca="1" si="488">EA106</f>
        <v>22017.621612580784</v>
      </c>
      <c r="EC97" s="301">
        <f t="shared" ref="EC97" ca="1" si="489">EB106</f>
        <v>22017.621612580784</v>
      </c>
      <c r="ED97" s="301">
        <f t="shared" ref="ED97" ca="1" si="490">EC106</f>
        <v>22017.621612580784</v>
      </c>
      <c r="EE97" s="301">
        <f t="shared" ref="EE97" ca="1" si="491">ED106</f>
        <v>22017.621612580784</v>
      </c>
    </row>
    <row r="98" spans="3:135">
      <c r="C98" s="265" t="str">
        <f t="shared" si="458"/>
        <v>Accrued Preference</v>
      </c>
      <c r="E98" s="321"/>
      <c r="F98" s="310">
        <f>E22</f>
        <v>0.15</v>
      </c>
      <c r="G98" s="301">
        <f t="shared" ref="G98:G105" ca="1" si="492">SUMIF($I$8:$EE$8, "&lt;="&amp;$E$8, $I98:$EE98)</f>
        <v>33946.017436536917</v>
      </c>
      <c r="H98" s="301"/>
      <c r="I98" s="301">
        <v>0</v>
      </c>
      <c r="J98" s="301">
        <f t="shared" ref="J98:BU98" si="493">IF(J$8&lt;=$F$8, J97*((1+$F98)^((J$8-I$8)/365) - 1), 0)</f>
        <v>158.37558548350884</v>
      </c>
      <c r="K98" s="301">
        <f t="shared" ca="1" si="493"/>
        <v>165.57731876364866</v>
      </c>
      <c r="L98" s="301">
        <f t="shared" ca="1" si="493"/>
        <v>162.11838026606111</v>
      </c>
      <c r="M98" s="301">
        <f t="shared" ca="1" si="493"/>
        <v>169.49030776940742</v>
      </c>
      <c r="N98" s="301">
        <f t="shared" ca="1" si="493"/>
        <v>165.94962626248915</v>
      </c>
      <c r="O98" s="301">
        <f t="shared" ca="1" si="493"/>
        <v>175.29675975027496</v>
      </c>
      <c r="P98" s="301">
        <f t="shared" ca="1" si="493"/>
        <v>177.38996480508337</v>
      </c>
      <c r="Q98" s="301">
        <f t="shared" ca="1" si="493"/>
        <v>162.04313296902441</v>
      </c>
      <c r="R98" s="301">
        <f t="shared" ca="1" si="493"/>
        <v>181.44310918175188</v>
      </c>
      <c r="S98" s="301">
        <f t="shared" ca="1" si="493"/>
        <v>177.65273160976932</v>
      </c>
      <c r="T98" s="301">
        <f t="shared" ca="1" si="493"/>
        <v>185.73104485253262</v>
      </c>
      <c r="U98" s="301">
        <f t="shared" ca="1" si="493"/>
        <v>181.85109157128272</v>
      </c>
      <c r="V98" s="301">
        <f t="shared" ca="1" si="493"/>
        <v>190.12031472332612</v>
      </c>
      <c r="W98" s="301">
        <f t="shared" ca="1" si="493"/>
        <v>193.33594925540825</v>
      </c>
      <c r="X98" s="301">
        <f t="shared" ca="1" si="493"/>
        <v>189.29712822097815</v>
      </c>
      <c r="Y98" s="301">
        <f t="shared" ca="1" si="493"/>
        <v>197.90494124962115</v>
      </c>
      <c r="Z98" s="301">
        <f t="shared" ca="1" si="493"/>
        <v>193.77067319127522</v>
      </c>
      <c r="AA98" s="301">
        <f t="shared" ca="1" si="493"/>
        <v>202.58190947858805</v>
      </c>
      <c r="AB98" s="301">
        <f t="shared" ca="1" si="493"/>
        <v>205.00092439670408</v>
      </c>
      <c r="AC98" s="301">
        <f t="shared" ca="1" si="493"/>
        <v>187.26533988148182</v>
      </c>
      <c r="AD98" s="301">
        <f t="shared" ca="1" si="493"/>
        <v>209.68494552971089</v>
      </c>
      <c r="AE98" s="301">
        <f t="shared" ca="1" si="493"/>
        <v>205.30459116793648</v>
      </c>
      <c r="AF98" s="301">
        <f t="shared" ca="1" si="493"/>
        <v>218.34198953360809</v>
      </c>
      <c r="AG98" s="301">
        <f t="shared" ca="1" si="493"/>
        <v>213.78078804250472</v>
      </c>
      <c r="AH98" s="301">
        <f t="shared" ca="1" si="493"/>
        <v>223.5019342103308</v>
      </c>
      <c r="AI98" s="301">
        <f t="shared" ca="1" si="493"/>
        <v>226.17075352630098</v>
      </c>
      <c r="AJ98" s="301">
        <f t="shared" ca="1" si="493"/>
        <v>221.4460078169131</v>
      </c>
      <c r="AK98" s="301">
        <f t="shared" ca="1" si="493"/>
        <v>231.51571066524275</v>
      </c>
      <c r="AL98" s="301">
        <f t="shared" ca="1" si="493"/>
        <v>226.67930788739952</v>
      </c>
      <c r="AM98" s="301">
        <f t="shared" ca="1" si="493"/>
        <v>236.98698195564617</v>
      </c>
      <c r="AN98" s="301">
        <f t="shared" ca="1" si="493"/>
        <v>239.81682518412362</v>
      </c>
      <c r="AO98" s="301">
        <f t="shared" ca="1" si="493"/>
        <v>219.0691549785268</v>
      </c>
      <c r="AP98" s="301">
        <f t="shared" ca="1" si="493"/>
        <v>245.29634719368923</v>
      </c>
      <c r="AQ98" s="301">
        <f t="shared" ca="1" si="493"/>
        <v>240.17206456270293</v>
      </c>
      <c r="AR98" s="301">
        <f t="shared" ca="1" si="493"/>
        <v>251.09328796364946</v>
      </c>
      <c r="AS98" s="301">
        <f t="shared" ca="1" si="493"/>
        <v>245.84790624888058</v>
      </c>
      <c r="AT98" s="301">
        <f t="shared" ca="1" si="493"/>
        <v>257.02722434188058</v>
      </c>
      <c r="AU98" s="301">
        <f t="shared" ca="1" si="493"/>
        <v>260.09636655524628</v>
      </c>
      <c r="AV98" s="301">
        <f t="shared" ca="1" si="493"/>
        <v>254.66290898945016</v>
      </c>
      <c r="AW98" s="301">
        <f t="shared" ca="1" si="493"/>
        <v>266.24306726502925</v>
      </c>
      <c r="AX98" s="301">
        <f t="shared" ca="1" si="493"/>
        <v>260.68120407050952</v>
      </c>
      <c r="AY98" s="301">
        <f t="shared" ca="1" si="493"/>
        <v>272.53502924899317</v>
      </c>
      <c r="AZ98" s="301">
        <f t="shared" ca="1" si="493"/>
        <v>277.47397433390006</v>
      </c>
      <c r="BA98" s="301">
        <f t="shared" ca="1" si="493"/>
        <v>262.57120908374151</v>
      </c>
      <c r="BB98" s="301">
        <f t="shared" ca="1" si="493"/>
        <v>286.88634912456189</v>
      </c>
      <c r="BC98" s="301">
        <f t="shared" ca="1" si="493"/>
        <v>284.59036908613382</v>
      </c>
      <c r="BD98" s="301">
        <f t="shared" ca="1" si="493"/>
        <v>297.53140369066438</v>
      </c>
      <c r="BE98" s="301">
        <f t="shared" ca="1" si="493"/>
        <v>291.31592179887258</v>
      </c>
      <c r="BF98" s="301">
        <f t="shared" ca="1" si="493"/>
        <v>311.93033337218088</v>
      </c>
      <c r="BG98" s="301">
        <f t="shared" ca="1" si="493"/>
        <v>315.65506936554942</v>
      </c>
      <c r="BH98" s="301">
        <f t="shared" ca="1" si="493"/>
        <v>309.06098099922139</v>
      </c>
      <c r="BI98" s="301">
        <f t="shared" ca="1" si="493"/>
        <v>323.11475542196223</v>
      </c>
      <c r="BJ98" s="301">
        <f t="shared" ca="1" si="493"/>
        <v>316.36483293853951</v>
      </c>
      <c r="BK98" s="301">
        <f t="shared" ca="1" si="493"/>
        <v>330.75073174411386</v>
      </c>
      <c r="BL98" s="301">
        <f t="shared" ca="1" si="493"/>
        <v>334.70020065931021</v>
      </c>
      <c r="BM98" s="301">
        <f t="shared" ca="1" si="493"/>
        <v>308.10923274810574</v>
      </c>
      <c r="BN98" s="301">
        <f t="shared" ca="1" si="493"/>
        <v>344.99639776840667</v>
      </c>
      <c r="BO98" s="301">
        <f t="shared" ca="1" si="493"/>
        <v>337.7893640352807</v>
      </c>
      <c r="BP98" s="301">
        <f t="shared" ca="1" si="493"/>
        <v>353.14948975935226</v>
      </c>
      <c r="BQ98" s="301">
        <f t="shared" ca="1" si="493"/>
        <v>346.79462263013914</v>
      </c>
      <c r="BR98" s="301">
        <f t="shared" ca="1" si="493"/>
        <v>362.56423994548641</v>
      </c>
      <c r="BS98" s="301">
        <f t="shared" ca="1" si="493"/>
        <v>366.89359150239949</v>
      </c>
      <c r="BT98" s="301">
        <f t="shared" ca="1" si="493"/>
        <v>359.22912164842563</v>
      </c>
      <c r="BU98" s="301">
        <f t="shared" ca="1" si="493"/>
        <v>375.56416667871059</v>
      </c>
      <c r="BV98" s="301">
        <f t="shared" ref="BV98:CZ98" ca="1" si="494">IF(BV$8&lt;=$F$8, BV97*((1+$F98)^((BV$8-BU$8)/365) - 1), 0)</f>
        <v>367.71856702690269</v>
      </c>
      <c r="BW98" s="301">
        <f t="shared" ca="1" si="494"/>
        <v>384.43964833371001</v>
      </c>
      <c r="BX98" s="301">
        <f t="shared" ca="1" si="494"/>
        <v>389.0302124508521</v>
      </c>
      <c r="BY98" s="301">
        <f t="shared" ca="1" si="494"/>
        <v>355.37339733061805</v>
      </c>
      <c r="BZ98" s="301">
        <f t="shared" ca="1" si="494"/>
        <v>397.91907840041085</v>
      </c>
      <c r="CA98" s="301">
        <f t="shared" ca="1" si="494"/>
        <v>389.60648082073612</v>
      </c>
      <c r="CB98" s="301">
        <f t="shared" ca="1" si="494"/>
        <v>407.32286021418133</v>
      </c>
      <c r="CC98" s="301">
        <f t="shared" ca="1" si="494"/>
        <v>398.8138160246603</v>
      </c>
      <c r="CD98" s="301">
        <f t="shared" ca="1" si="494"/>
        <v>416.94887593730965</v>
      </c>
      <c r="CE98" s="301">
        <f t="shared" ca="1" si="494"/>
        <v>421.92763022775966</v>
      </c>
      <c r="CF98" s="301">
        <f t="shared" ca="1" si="494"/>
        <v>413.11348989568967</v>
      </c>
      <c r="CG98" s="301">
        <f t="shared" ca="1" si="494"/>
        <v>431.89879168051738</v>
      </c>
      <c r="CH98" s="301">
        <f t="shared" ca="1" si="494"/>
        <v>422.87635208093826</v>
      </c>
      <c r="CI98" s="301">
        <f t="shared" ca="1" si="494"/>
        <v>442.10559558376673</v>
      </c>
      <c r="CJ98" s="301">
        <f t="shared" ca="1" si="494"/>
        <v>447.3847443184801</v>
      </c>
      <c r="CK98" s="301">
        <f t="shared" ca="1" si="494"/>
        <v>408.67940693021092</v>
      </c>
      <c r="CL98" s="301">
        <f t="shared" ca="1" si="494"/>
        <v>457.60694016047267</v>
      </c>
      <c r="CM98" s="301">
        <f t="shared" ca="1" si="494"/>
        <v>448.04745294384674</v>
      </c>
      <c r="CN98" s="301">
        <f t="shared" ca="1" si="494"/>
        <v>468.42128924630862</v>
      </c>
      <c r="CO98" s="301">
        <f t="shared" ca="1" si="494"/>
        <v>458.63588842835946</v>
      </c>
      <c r="CP98" s="301">
        <f t="shared" ca="1" si="494"/>
        <v>479.49120732790624</v>
      </c>
      <c r="CQ98" s="301">
        <f t="shared" ca="1" si="494"/>
        <v>485.21677476192372</v>
      </c>
      <c r="CR98" s="301">
        <f t="shared" ca="1" si="494"/>
        <v>475.08051338004327</v>
      </c>
      <c r="CS98" s="301">
        <f t="shared" ca="1" si="494"/>
        <v>496.68361043259517</v>
      </c>
      <c r="CT98" s="301">
        <f t="shared" ca="1" si="494"/>
        <v>486.30780489307915</v>
      </c>
      <c r="CU98" s="301">
        <f t="shared" ca="1" si="494"/>
        <v>508.42143492133181</v>
      </c>
      <c r="CV98" s="301">
        <f t="shared" ca="1" si="494"/>
        <v>514.49245596625224</v>
      </c>
      <c r="CW98" s="301">
        <f t="shared" ca="1" si="494"/>
        <v>486.85973721254305</v>
      </c>
      <c r="CX98" s="301">
        <f t="shared" ca="1" si="494"/>
        <v>526.44952508373808</v>
      </c>
      <c r="CY98" s="301">
        <f t="shared" ca="1" si="494"/>
        <v>515.45190449810627</v>
      </c>
      <c r="CZ98" s="301">
        <f t="shared" ca="1" si="494"/>
        <v>538.89078949797886</v>
      </c>
      <c r="DA98" s="301">
        <f t="shared" ref="DA98" ca="1" si="495">IF(DA$8&lt;=$F$8, DA97*((1+$F98)^((DA$8-CZ$8)/365) - 1), 0)</f>
        <v>527.63326877166116</v>
      </c>
      <c r="DB98" s="301">
        <f t="shared" ref="DB98" ca="1" si="496">IF(DB$8&lt;=$F$8, DB97*((1+$F98)^((DB$8-DA$8)/365) - 1), 0)</f>
        <v>551.62607081763997</v>
      </c>
      <c r="DC98" s="301">
        <f t="shared" ref="DC98" ca="1" si="497">IF(DC$8&lt;=$F$8, DC97*((1+$F98)^((DC$8-DB$8)/365) - 1), 0)</f>
        <v>558.21299507935771</v>
      </c>
      <c r="DD98" s="301">
        <f t="shared" ref="DD98" ca="1" si="498">IF(DD$8&lt;=$F$8, DD97*((1+$F98)^((DD$8-DC$8)/365) - 1), 0)</f>
        <v>546.55183017494369</v>
      </c>
      <c r="DE98" s="301">
        <f t="shared" ref="DE98" ca="1" si="499">IF(DE$8&lt;=$F$8, DE97*((1+$F98)^((DE$8-DD$8)/365) - 1), 0)</f>
        <v>571.40490644093222</v>
      </c>
      <c r="DF98" s="301">
        <f t="shared" ref="DF98" ca="1" si="500">IF(DF$8&lt;=$F$8, DF97*((1+$F98)^((DF$8-DE$8)/365) - 1), 0)</f>
        <v>559.46816025276496</v>
      </c>
      <c r="DG98" s="301">
        <f t="shared" ref="DG98" ca="1" si="501">IF(DG$8&lt;=$F$8, DG97*((1+$F98)^((DG$8-DF$8)/365) - 1), 0)</f>
        <v>584.90857429493099</v>
      </c>
      <c r="DH98" s="301">
        <f t="shared" ref="DH98" ca="1" si="502">IF(DH$8&lt;=$F$8, DH97*((1+$F98)^((DH$8-DG$8)/365) - 1), 0)</f>
        <v>259.8083657379039</v>
      </c>
      <c r="DI98" s="301">
        <f t="shared" ref="DI98" si="503">IF(DI$8&lt;=$F$8, DI97*((1+$F98)^((DI$8-DH$8)/365) - 1), 0)</f>
        <v>0</v>
      </c>
      <c r="DJ98" s="301">
        <f t="shared" ref="DJ98" si="504">IF(DJ$8&lt;=$F$8, DJ97*((1+$F98)^((DJ$8-DI$8)/365) - 1), 0)</f>
        <v>0</v>
      </c>
      <c r="DK98" s="301">
        <f t="shared" ref="DK98" si="505">IF(DK$8&lt;=$F$8, DK97*((1+$F98)^((DK$8-DJ$8)/365) - 1), 0)</f>
        <v>0</v>
      </c>
      <c r="DL98" s="301">
        <f t="shared" ref="DL98" si="506">IF(DL$8&lt;=$F$8, DL97*((1+$F98)^((DL$8-DK$8)/365) - 1), 0)</f>
        <v>0</v>
      </c>
      <c r="DM98" s="301">
        <f t="shared" ref="DM98" si="507">IF(DM$8&lt;=$F$8, DM97*((1+$F98)^((DM$8-DL$8)/365) - 1), 0)</f>
        <v>0</v>
      </c>
      <c r="DN98" s="301">
        <f t="shared" ref="DN98" si="508">IF(DN$8&lt;=$F$8, DN97*((1+$F98)^((DN$8-DM$8)/365) - 1), 0)</f>
        <v>0</v>
      </c>
      <c r="DO98" s="301">
        <f t="shared" ref="DO98" si="509">IF(DO$8&lt;=$F$8, DO97*((1+$F98)^((DO$8-DN$8)/365) - 1), 0)</f>
        <v>0</v>
      </c>
      <c r="DP98" s="301">
        <f t="shared" ref="DP98" si="510">IF(DP$8&lt;=$F$8, DP97*((1+$F98)^((DP$8-DO$8)/365) - 1), 0)</f>
        <v>0</v>
      </c>
      <c r="DQ98" s="301">
        <f t="shared" ref="DQ98" si="511">IF(DQ$8&lt;=$F$8, DQ97*((1+$F98)^((DQ$8-DP$8)/365) - 1), 0)</f>
        <v>0</v>
      </c>
      <c r="DR98" s="301">
        <f t="shared" ref="DR98" si="512">IF(DR$8&lt;=$F$8, DR97*((1+$F98)^((DR$8-DQ$8)/365) - 1), 0)</f>
        <v>0</v>
      </c>
      <c r="DS98" s="301">
        <f t="shared" ref="DS98" si="513">IF(DS$8&lt;=$F$8, DS97*((1+$F98)^((DS$8-DR$8)/365) - 1), 0)</f>
        <v>0</v>
      </c>
      <c r="DT98" s="301">
        <f t="shared" ref="DT98" si="514">IF(DT$8&lt;=$F$8, DT97*((1+$F98)^((DT$8-DS$8)/365) - 1), 0)</f>
        <v>0</v>
      </c>
      <c r="DU98" s="301">
        <f t="shared" ref="DU98" si="515">IF(DU$8&lt;=$F$8, DU97*((1+$F98)^((DU$8-DT$8)/365) - 1), 0)</f>
        <v>0</v>
      </c>
      <c r="DV98" s="301">
        <f t="shared" ref="DV98" si="516">IF(DV$8&lt;=$F$8, DV97*((1+$F98)^((DV$8-DU$8)/365) - 1), 0)</f>
        <v>0</v>
      </c>
      <c r="DW98" s="301">
        <f t="shared" ref="DW98" si="517">IF(DW$8&lt;=$F$8, DW97*((1+$F98)^((DW$8-DV$8)/365) - 1), 0)</f>
        <v>0</v>
      </c>
      <c r="DX98" s="301">
        <f t="shared" ref="DX98" si="518">IF(DX$8&lt;=$F$8, DX97*((1+$F98)^((DX$8-DW$8)/365) - 1), 0)</f>
        <v>0</v>
      </c>
      <c r="DY98" s="301">
        <f t="shared" ref="DY98" si="519">IF(DY$8&lt;=$F$8, DY97*((1+$F98)^((DY$8-DX$8)/365) - 1), 0)</f>
        <v>0</v>
      </c>
      <c r="DZ98" s="301">
        <f t="shared" ref="DZ98" si="520">IF(DZ$8&lt;=$F$8, DZ97*((1+$F98)^((DZ$8-DY$8)/365) - 1), 0)</f>
        <v>0</v>
      </c>
      <c r="EA98" s="301">
        <f t="shared" ref="EA98" si="521">IF(EA$8&lt;=$F$8, EA97*((1+$F98)^((EA$8-DZ$8)/365) - 1), 0)</f>
        <v>0</v>
      </c>
      <c r="EB98" s="301">
        <f t="shared" ref="EB98" si="522">IF(EB$8&lt;=$F$8, EB97*((1+$F98)^((EB$8-EA$8)/365) - 1), 0)</f>
        <v>0</v>
      </c>
      <c r="EC98" s="301">
        <f t="shared" ref="EC98" si="523">IF(EC$8&lt;=$F$8, EC97*((1+$F98)^((EC$8-EB$8)/365) - 1), 0)</f>
        <v>0</v>
      </c>
      <c r="ED98" s="301">
        <f t="shared" ref="ED98" si="524">IF(ED$8&lt;=$F$8, ED97*((1+$F98)^((ED$8-EC$8)/365) - 1), 0)</f>
        <v>0</v>
      </c>
      <c r="EE98" s="301">
        <f t="shared" ref="EE98" si="525">IF(EE$8&lt;=$F$8, EE97*((1+$F98)^((EE$8-ED$8)/365) - 1), 0)</f>
        <v>0</v>
      </c>
    </row>
    <row r="99" spans="3:135">
      <c r="C99" s="265" t="str">
        <f t="shared" si="458"/>
        <v>Paid Preference - Tier 1</v>
      </c>
      <c r="E99" s="321"/>
      <c r="F99" s="268"/>
      <c r="G99" s="301">
        <f t="shared" ca="1" si="492"/>
        <v>0</v>
      </c>
      <c r="H99" s="301"/>
      <c r="I99" s="301">
        <f t="shared" ref="I99:BT102" si="526">I81</f>
        <v>0</v>
      </c>
      <c r="J99" s="301">
        <f t="shared" si="526"/>
        <v>0</v>
      </c>
      <c r="K99" s="301">
        <f t="shared" ca="1" si="526"/>
        <v>0</v>
      </c>
      <c r="L99" s="301">
        <f t="shared" ca="1" si="526"/>
        <v>0</v>
      </c>
      <c r="M99" s="301">
        <f t="shared" ca="1" si="526"/>
        <v>0</v>
      </c>
      <c r="N99" s="301">
        <f t="shared" ca="1" si="526"/>
        <v>0</v>
      </c>
      <c r="O99" s="301">
        <f t="shared" ca="1" si="526"/>
        <v>0</v>
      </c>
      <c r="P99" s="301">
        <f t="shared" ca="1" si="526"/>
        <v>0</v>
      </c>
      <c r="Q99" s="301">
        <f t="shared" ca="1" si="526"/>
        <v>0</v>
      </c>
      <c r="R99" s="301">
        <f t="shared" ca="1" si="526"/>
        <v>0</v>
      </c>
      <c r="S99" s="301">
        <f t="shared" ca="1" si="526"/>
        <v>0</v>
      </c>
      <c r="T99" s="301">
        <f t="shared" ca="1" si="526"/>
        <v>0</v>
      </c>
      <c r="U99" s="301">
        <f t="shared" ca="1" si="526"/>
        <v>0</v>
      </c>
      <c r="V99" s="301">
        <f t="shared" ca="1" si="526"/>
        <v>0</v>
      </c>
      <c r="W99" s="301">
        <f t="shared" ca="1" si="526"/>
        <v>0</v>
      </c>
      <c r="X99" s="301">
        <f t="shared" ca="1" si="526"/>
        <v>0</v>
      </c>
      <c r="Y99" s="301">
        <f t="shared" ca="1" si="526"/>
        <v>0</v>
      </c>
      <c r="Z99" s="301">
        <f t="shared" ca="1" si="526"/>
        <v>0</v>
      </c>
      <c r="AA99" s="301">
        <f t="shared" ca="1" si="526"/>
        <v>0</v>
      </c>
      <c r="AB99" s="301">
        <f t="shared" ca="1" si="526"/>
        <v>0</v>
      </c>
      <c r="AC99" s="301">
        <f t="shared" ca="1" si="526"/>
        <v>0</v>
      </c>
      <c r="AD99" s="301">
        <f t="shared" ca="1" si="526"/>
        <v>0</v>
      </c>
      <c r="AE99" s="301">
        <f t="shared" ca="1" si="526"/>
        <v>0</v>
      </c>
      <c r="AF99" s="301">
        <f t="shared" ca="1" si="526"/>
        <v>0</v>
      </c>
      <c r="AG99" s="301">
        <f t="shared" ca="1" si="526"/>
        <v>0</v>
      </c>
      <c r="AH99" s="301">
        <f t="shared" ca="1" si="526"/>
        <v>0</v>
      </c>
      <c r="AI99" s="301">
        <f t="shared" ca="1" si="526"/>
        <v>0</v>
      </c>
      <c r="AJ99" s="301">
        <f t="shared" ca="1" si="526"/>
        <v>0</v>
      </c>
      <c r="AK99" s="301">
        <f t="shared" ca="1" si="526"/>
        <v>0</v>
      </c>
      <c r="AL99" s="301">
        <f t="shared" ca="1" si="526"/>
        <v>0</v>
      </c>
      <c r="AM99" s="301">
        <f t="shared" ca="1" si="526"/>
        <v>0</v>
      </c>
      <c r="AN99" s="301">
        <f t="shared" ca="1" si="526"/>
        <v>0</v>
      </c>
      <c r="AO99" s="301">
        <f t="shared" ca="1" si="526"/>
        <v>0</v>
      </c>
      <c r="AP99" s="301">
        <f t="shared" ca="1" si="526"/>
        <v>0</v>
      </c>
      <c r="AQ99" s="301">
        <f t="shared" ca="1" si="526"/>
        <v>0</v>
      </c>
      <c r="AR99" s="301">
        <f t="shared" ca="1" si="526"/>
        <v>0</v>
      </c>
      <c r="AS99" s="301">
        <f t="shared" ca="1" si="526"/>
        <v>0</v>
      </c>
      <c r="AT99" s="301">
        <f t="shared" ca="1" si="526"/>
        <v>0</v>
      </c>
      <c r="AU99" s="301">
        <f t="shared" ca="1" si="526"/>
        <v>0</v>
      </c>
      <c r="AV99" s="301">
        <f t="shared" ca="1" si="526"/>
        <v>0</v>
      </c>
      <c r="AW99" s="301">
        <f t="shared" ca="1" si="526"/>
        <v>0</v>
      </c>
      <c r="AX99" s="301">
        <f t="shared" ca="1" si="526"/>
        <v>0</v>
      </c>
      <c r="AY99" s="301">
        <f t="shared" ca="1" si="526"/>
        <v>0</v>
      </c>
      <c r="AZ99" s="301">
        <f t="shared" ca="1" si="526"/>
        <v>0</v>
      </c>
      <c r="BA99" s="301">
        <f t="shared" ca="1" si="526"/>
        <v>0</v>
      </c>
      <c r="BB99" s="301">
        <f t="shared" ca="1" si="526"/>
        <v>0</v>
      </c>
      <c r="BC99" s="301">
        <f t="shared" ca="1" si="526"/>
        <v>0</v>
      </c>
      <c r="BD99" s="301">
        <f t="shared" ca="1" si="526"/>
        <v>0</v>
      </c>
      <c r="BE99" s="301">
        <f t="shared" ca="1" si="526"/>
        <v>0</v>
      </c>
      <c r="BF99" s="301">
        <f t="shared" ca="1" si="526"/>
        <v>0</v>
      </c>
      <c r="BG99" s="301">
        <f t="shared" ca="1" si="526"/>
        <v>0</v>
      </c>
      <c r="BH99" s="301">
        <f t="shared" ca="1" si="526"/>
        <v>0</v>
      </c>
      <c r="BI99" s="301">
        <f t="shared" ca="1" si="526"/>
        <v>0</v>
      </c>
      <c r="BJ99" s="301">
        <f t="shared" ca="1" si="526"/>
        <v>0</v>
      </c>
      <c r="BK99" s="301">
        <f t="shared" ca="1" si="526"/>
        <v>0</v>
      </c>
      <c r="BL99" s="301">
        <f t="shared" ca="1" si="526"/>
        <v>0</v>
      </c>
      <c r="BM99" s="301">
        <f t="shared" ca="1" si="526"/>
        <v>0</v>
      </c>
      <c r="BN99" s="301">
        <f t="shared" ca="1" si="526"/>
        <v>0</v>
      </c>
      <c r="BO99" s="301">
        <f t="shared" ca="1" si="526"/>
        <v>0</v>
      </c>
      <c r="BP99" s="301">
        <f t="shared" ca="1" si="526"/>
        <v>0</v>
      </c>
      <c r="BQ99" s="301">
        <f t="shared" ca="1" si="526"/>
        <v>0</v>
      </c>
      <c r="BR99" s="301">
        <f t="shared" ca="1" si="526"/>
        <v>0</v>
      </c>
      <c r="BS99" s="301">
        <f t="shared" ca="1" si="526"/>
        <v>0</v>
      </c>
      <c r="BT99" s="301">
        <f t="shared" ca="1" si="526"/>
        <v>0</v>
      </c>
      <c r="BU99" s="301">
        <f t="shared" ref="BU99:CZ102" ca="1" si="527">BU81</f>
        <v>0</v>
      </c>
      <c r="BV99" s="301">
        <f t="shared" ca="1" si="527"/>
        <v>0</v>
      </c>
      <c r="BW99" s="301">
        <f t="shared" ca="1" si="527"/>
        <v>0</v>
      </c>
      <c r="BX99" s="301">
        <f t="shared" ca="1" si="527"/>
        <v>0</v>
      </c>
      <c r="BY99" s="301">
        <f t="shared" ca="1" si="527"/>
        <v>0</v>
      </c>
      <c r="BZ99" s="301">
        <f t="shared" ca="1" si="527"/>
        <v>0</v>
      </c>
      <c r="CA99" s="301">
        <f t="shared" ca="1" si="527"/>
        <v>0</v>
      </c>
      <c r="CB99" s="301">
        <f t="shared" ca="1" si="527"/>
        <v>0</v>
      </c>
      <c r="CC99" s="301">
        <f t="shared" ca="1" si="527"/>
        <v>0</v>
      </c>
      <c r="CD99" s="301">
        <f t="shared" ca="1" si="527"/>
        <v>0</v>
      </c>
      <c r="CE99" s="301">
        <f t="shared" ca="1" si="527"/>
        <v>0</v>
      </c>
      <c r="CF99" s="301">
        <f t="shared" ca="1" si="527"/>
        <v>0</v>
      </c>
      <c r="CG99" s="301">
        <f t="shared" ca="1" si="527"/>
        <v>0</v>
      </c>
      <c r="CH99" s="301">
        <f t="shared" ca="1" si="527"/>
        <v>0</v>
      </c>
      <c r="CI99" s="301">
        <f t="shared" ca="1" si="527"/>
        <v>0</v>
      </c>
      <c r="CJ99" s="301">
        <f t="shared" ca="1" si="527"/>
        <v>0</v>
      </c>
      <c r="CK99" s="301">
        <f t="shared" ca="1" si="527"/>
        <v>0</v>
      </c>
      <c r="CL99" s="301">
        <f t="shared" ca="1" si="527"/>
        <v>0</v>
      </c>
      <c r="CM99" s="301">
        <f t="shared" ca="1" si="527"/>
        <v>0</v>
      </c>
      <c r="CN99" s="301">
        <f t="shared" ca="1" si="527"/>
        <v>0</v>
      </c>
      <c r="CO99" s="301">
        <f t="shared" ca="1" si="527"/>
        <v>0</v>
      </c>
      <c r="CP99" s="301">
        <f t="shared" ca="1" si="527"/>
        <v>0</v>
      </c>
      <c r="CQ99" s="301">
        <f t="shared" ca="1" si="527"/>
        <v>0</v>
      </c>
      <c r="CR99" s="301">
        <f t="shared" ca="1" si="527"/>
        <v>0</v>
      </c>
      <c r="CS99" s="301">
        <f t="shared" ca="1" si="527"/>
        <v>0</v>
      </c>
      <c r="CT99" s="301">
        <f t="shared" ca="1" si="527"/>
        <v>0</v>
      </c>
      <c r="CU99" s="301">
        <f t="shared" ca="1" si="527"/>
        <v>0</v>
      </c>
      <c r="CV99" s="301">
        <f t="shared" ca="1" si="527"/>
        <v>0</v>
      </c>
      <c r="CW99" s="301">
        <f t="shared" ca="1" si="527"/>
        <v>0</v>
      </c>
      <c r="CX99" s="301">
        <f t="shared" ca="1" si="527"/>
        <v>0</v>
      </c>
      <c r="CY99" s="301">
        <f t="shared" ca="1" si="527"/>
        <v>0</v>
      </c>
      <c r="CZ99" s="301">
        <f t="shared" ca="1" si="527"/>
        <v>0</v>
      </c>
      <c r="DA99" s="301">
        <f t="shared" ref="DA99:EE99" ca="1" si="528">DA81</f>
        <v>0</v>
      </c>
      <c r="DB99" s="301">
        <f t="shared" ca="1" si="528"/>
        <v>0</v>
      </c>
      <c r="DC99" s="301">
        <f t="shared" ca="1" si="528"/>
        <v>0</v>
      </c>
      <c r="DD99" s="301">
        <f t="shared" ca="1" si="528"/>
        <v>0</v>
      </c>
      <c r="DE99" s="301">
        <f t="shared" ca="1" si="528"/>
        <v>0</v>
      </c>
      <c r="DF99" s="301">
        <f t="shared" ca="1" si="528"/>
        <v>0</v>
      </c>
      <c r="DG99" s="301">
        <f t="shared" ca="1" si="528"/>
        <v>0</v>
      </c>
      <c r="DH99" s="301">
        <f t="shared" ca="1" si="528"/>
        <v>0</v>
      </c>
      <c r="DI99" s="301">
        <f t="shared" ca="1" si="528"/>
        <v>0</v>
      </c>
      <c r="DJ99" s="301">
        <f t="shared" ca="1" si="528"/>
        <v>0</v>
      </c>
      <c r="DK99" s="301">
        <f t="shared" ca="1" si="528"/>
        <v>0</v>
      </c>
      <c r="DL99" s="301">
        <f t="shared" ca="1" si="528"/>
        <v>0</v>
      </c>
      <c r="DM99" s="301">
        <f t="shared" ca="1" si="528"/>
        <v>0</v>
      </c>
      <c r="DN99" s="301">
        <f t="shared" ca="1" si="528"/>
        <v>0</v>
      </c>
      <c r="DO99" s="301">
        <f t="shared" ca="1" si="528"/>
        <v>0</v>
      </c>
      <c r="DP99" s="301">
        <f t="shared" ca="1" si="528"/>
        <v>0</v>
      </c>
      <c r="DQ99" s="301">
        <f t="shared" ca="1" si="528"/>
        <v>0</v>
      </c>
      <c r="DR99" s="301">
        <f t="shared" ca="1" si="528"/>
        <v>0</v>
      </c>
      <c r="DS99" s="301">
        <f t="shared" ca="1" si="528"/>
        <v>0</v>
      </c>
      <c r="DT99" s="301">
        <f t="shared" ca="1" si="528"/>
        <v>0</v>
      </c>
      <c r="DU99" s="301">
        <f t="shared" ca="1" si="528"/>
        <v>0</v>
      </c>
      <c r="DV99" s="301">
        <f t="shared" ca="1" si="528"/>
        <v>0</v>
      </c>
      <c r="DW99" s="301">
        <f t="shared" ca="1" si="528"/>
        <v>0</v>
      </c>
      <c r="DX99" s="301">
        <f t="shared" ca="1" si="528"/>
        <v>0</v>
      </c>
      <c r="DY99" s="301">
        <f t="shared" ca="1" si="528"/>
        <v>0</v>
      </c>
      <c r="DZ99" s="301">
        <f t="shared" ca="1" si="528"/>
        <v>0</v>
      </c>
      <c r="EA99" s="301">
        <f t="shared" ca="1" si="528"/>
        <v>0</v>
      </c>
      <c r="EB99" s="301">
        <f t="shared" ca="1" si="528"/>
        <v>0</v>
      </c>
      <c r="EC99" s="301">
        <f t="shared" ca="1" si="528"/>
        <v>0</v>
      </c>
      <c r="ED99" s="301">
        <f t="shared" ca="1" si="528"/>
        <v>0</v>
      </c>
      <c r="EE99" s="301">
        <f t="shared" ca="1" si="528"/>
        <v>0</v>
      </c>
    </row>
    <row r="100" spans="3:135">
      <c r="C100" s="265" t="str">
        <f t="shared" si="458"/>
        <v>Paid Preference - Tier 2</v>
      </c>
      <c r="E100" s="321"/>
      <c r="F100" s="268"/>
      <c r="G100" s="301">
        <f t="shared" ca="1" si="492"/>
        <v>0</v>
      </c>
      <c r="H100" s="301"/>
      <c r="I100" s="301">
        <f t="shared" si="526"/>
        <v>0</v>
      </c>
      <c r="J100" s="301">
        <f t="shared" si="526"/>
        <v>0</v>
      </c>
      <c r="K100" s="301">
        <f t="shared" ca="1" si="526"/>
        <v>0</v>
      </c>
      <c r="L100" s="301">
        <f t="shared" ca="1" si="526"/>
        <v>0</v>
      </c>
      <c r="M100" s="301">
        <f t="shared" ca="1" si="526"/>
        <v>0</v>
      </c>
      <c r="N100" s="301">
        <f t="shared" ca="1" si="526"/>
        <v>0</v>
      </c>
      <c r="O100" s="301">
        <f t="shared" ca="1" si="526"/>
        <v>0</v>
      </c>
      <c r="P100" s="301">
        <f t="shared" ca="1" si="526"/>
        <v>0</v>
      </c>
      <c r="Q100" s="301">
        <f t="shared" ca="1" si="526"/>
        <v>0</v>
      </c>
      <c r="R100" s="301">
        <f t="shared" ca="1" si="526"/>
        <v>0</v>
      </c>
      <c r="S100" s="301">
        <f t="shared" ca="1" si="526"/>
        <v>0</v>
      </c>
      <c r="T100" s="301">
        <f t="shared" ca="1" si="526"/>
        <v>0</v>
      </c>
      <c r="U100" s="301">
        <f t="shared" ca="1" si="526"/>
        <v>0</v>
      </c>
      <c r="V100" s="301">
        <f t="shared" ca="1" si="526"/>
        <v>0</v>
      </c>
      <c r="W100" s="301">
        <f t="shared" ca="1" si="526"/>
        <v>0</v>
      </c>
      <c r="X100" s="301">
        <f t="shared" ca="1" si="526"/>
        <v>0</v>
      </c>
      <c r="Y100" s="301">
        <f t="shared" ca="1" si="526"/>
        <v>0</v>
      </c>
      <c r="Z100" s="301">
        <f t="shared" ca="1" si="526"/>
        <v>0</v>
      </c>
      <c r="AA100" s="301">
        <f t="shared" ca="1" si="526"/>
        <v>0</v>
      </c>
      <c r="AB100" s="301">
        <f t="shared" ca="1" si="526"/>
        <v>0</v>
      </c>
      <c r="AC100" s="301">
        <f t="shared" ca="1" si="526"/>
        <v>0</v>
      </c>
      <c r="AD100" s="301">
        <f t="shared" ca="1" si="526"/>
        <v>0</v>
      </c>
      <c r="AE100" s="301">
        <f t="shared" ca="1" si="526"/>
        <v>0</v>
      </c>
      <c r="AF100" s="301">
        <f t="shared" ca="1" si="526"/>
        <v>0</v>
      </c>
      <c r="AG100" s="301">
        <f t="shared" ca="1" si="526"/>
        <v>0</v>
      </c>
      <c r="AH100" s="301">
        <f t="shared" ca="1" si="526"/>
        <v>0</v>
      </c>
      <c r="AI100" s="301">
        <f t="shared" ca="1" si="526"/>
        <v>0</v>
      </c>
      <c r="AJ100" s="301">
        <f t="shared" ca="1" si="526"/>
        <v>0</v>
      </c>
      <c r="AK100" s="301">
        <f t="shared" ca="1" si="526"/>
        <v>0</v>
      </c>
      <c r="AL100" s="301">
        <f t="shared" ca="1" si="526"/>
        <v>0</v>
      </c>
      <c r="AM100" s="301">
        <f t="shared" ca="1" si="526"/>
        <v>0</v>
      </c>
      <c r="AN100" s="301">
        <f t="shared" ca="1" si="526"/>
        <v>0</v>
      </c>
      <c r="AO100" s="301">
        <f t="shared" ca="1" si="526"/>
        <v>0</v>
      </c>
      <c r="AP100" s="301">
        <f t="shared" ca="1" si="526"/>
        <v>0</v>
      </c>
      <c r="AQ100" s="301">
        <f t="shared" ca="1" si="526"/>
        <v>0</v>
      </c>
      <c r="AR100" s="301">
        <f t="shared" ca="1" si="526"/>
        <v>0</v>
      </c>
      <c r="AS100" s="301">
        <f t="shared" ca="1" si="526"/>
        <v>0</v>
      </c>
      <c r="AT100" s="301">
        <f t="shared" ca="1" si="526"/>
        <v>0</v>
      </c>
      <c r="AU100" s="301">
        <f t="shared" ca="1" si="526"/>
        <v>0</v>
      </c>
      <c r="AV100" s="301">
        <f t="shared" ca="1" si="526"/>
        <v>0</v>
      </c>
      <c r="AW100" s="301">
        <f t="shared" ca="1" si="526"/>
        <v>0</v>
      </c>
      <c r="AX100" s="301">
        <f t="shared" ca="1" si="526"/>
        <v>0</v>
      </c>
      <c r="AY100" s="301">
        <f t="shared" ca="1" si="526"/>
        <v>0</v>
      </c>
      <c r="AZ100" s="301">
        <f t="shared" ca="1" si="526"/>
        <v>0</v>
      </c>
      <c r="BA100" s="301">
        <f t="shared" ca="1" si="526"/>
        <v>0</v>
      </c>
      <c r="BB100" s="301">
        <f t="shared" ca="1" si="526"/>
        <v>0</v>
      </c>
      <c r="BC100" s="301">
        <f t="shared" ca="1" si="526"/>
        <v>0</v>
      </c>
      <c r="BD100" s="301">
        <f t="shared" ca="1" si="526"/>
        <v>0</v>
      </c>
      <c r="BE100" s="301">
        <f t="shared" ca="1" si="526"/>
        <v>0</v>
      </c>
      <c r="BF100" s="301">
        <f t="shared" ca="1" si="526"/>
        <v>0</v>
      </c>
      <c r="BG100" s="301">
        <f t="shared" ca="1" si="526"/>
        <v>0</v>
      </c>
      <c r="BH100" s="301">
        <f t="shared" ca="1" si="526"/>
        <v>0</v>
      </c>
      <c r="BI100" s="301">
        <f t="shared" ca="1" si="526"/>
        <v>0</v>
      </c>
      <c r="BJ100" s="301">
        <f t="shared" ca="1" si="526"/>
        <v>0</v>
      </c>
      <c r="BK100" s="301">
        <f t="shared" ca="1" si="526"/>
        <v>0</v>
      </c>
      <c r="BL100" s="301">
        <f t="shared" ca="1" si="526"/>
        <v>0</v>
      </c>
      <c r="BM100" s="301">
        <f t="shared" ca="1" si="526"/>
        <v>0</v>
      </c>
      <c r="BN100" s="301">
        <f t="shared" ca="1" si="526"/>
        <v>0</v>
      </c>
      <c r="BO100" s="301">
        <f t="shared" ca="1" si="526"/>
        <v>0</v>
      </c>
      <c r="BP100" s="301">
        <f t="shared" ca="1" si="526"/>
        <v>0</v>
      </c>
      <c r="BQ100" s="301">
        <f t="shared" ca="1" si="526"/>
        <v>0</v>
      </c>
      <c r="BR100" s="301">
        <f t="shared" ca="1" si="526"/>
        <v>0</v>
      </c>
      <c r="BS100" s="301">
        <f t="shared" ca="1" si="526"/>
        <v>0</v>
      </c>
      <c r="BT100" s="301">
        <f t="shared" ca="1" si="526"/>
        <v>0</v>
      </c>
      <c r="BU100" s="301">
        <f t="shared" ca="1" si="527"/>
        <v>0</v>
      </c>
      <c r="BV100" s="301">
        <f t="shared" ca="1" si="527"/>
        <v>0</v>
      </c>
      <c r="BW100" s="301">
        <f t="shared" ca="1" si="527"/>
        <v>0</v>
      </c>
      <c r="BX100" s="301">
        <f t="shared" ca="1" si="527"/>
        <v>0</v>
      </c>
      <c r="BY100" s="301">
        <f t="shared" ca="1" si="527"/>
        <v>0</v>
      </c>
      <c r="BZ100" s="301">
        <f t="shared" ca="1" si="527"/>
        <v>0</v>
      </c>
      <c r="CA100" s="301">
        <f t="shared" ca="1" si="527"/>
        <v>0</v>
      </c>
      <c r="CB100" s="301">
        <f t="shared" ca="1" si="527"/>
        <v>0</v>
      </c>
      <c r="CC100" s="301">
        <f t="shared" ca="1" si="527"/>
        <v>0</v>
      </c>
      <c r="CD100" s="301">
        <f t="shared" ca="1" si="527"/>
        <v>0</v>
      </c>
      <c r="CE100" s="301">
        <f t="shared" ca="1" si="527"/>
        <v>0</v>
      </c>
      <c r="CF100" s="301">
        <f t="shared" ca="1" si="527"/>
        <v>0</v>
      </c>
      <c r="CG100" s="301">
        <f t="shared" ca="1" si="527"/>
        <v>0</v>
      </c>
      <c r="CH100" s="301">
        <f t="shared" ca="1" si="527"/>
        <v>0</v>
      </c>
      <c r="CI100" s="301">
        <f t="shared" ca="1" si="527"/>
        <v>0</v>
      </c>
      <c r="CJ100" s="301">
        <f t="shared" ca="1" si="527"/>
        <v>0</v>
      </c>
      <c r="CK100" s="301">
        <f t="shared" ca="1" si="527"/>
        <v>0</v>
      </c>
      <c r="CL100" s="301">
        <f t="shared" ca="1" si="527"/>
        <v>0</v>
      </c>
      <c r="CM100" s="301">
        <f t="shared" ca="1" si="527"/>
        <v>0</v>
      </c>
      <c r="CN100" s="301">
        <f t="shared" ca="1" si="527"/>
        <v>0</v>
      </c>
      <c r="CO100" s="301">
        <f t="shared" ca="1" si="527"/>
        <v>0</v>
      </c>
      <c r="CP100" s="301">
        <f t="shared" ca="1" si="527"/>
        <v>0</v>
      </c>
      <c r="CQ100" s="301">
        <f t="shared" ca="1" si="527"/>
        <v>0</v>
      </c>
      <c r="CR100" s="301">
        <f t="shared" ca="1" si="527"/>
        <v>0</v>
      </c>
      <c r="CS100" s="301">
        <f t="shared" ca="1" si="527"/>
        <v>0</v>
      </c>
      <c r="CT100" s="301">
        <f t="shared" ca="1" si="527"/>
        <v>0</v>
      </c>
      <c r="CU100" s="301">
        <f t="shared" ca="1" si="527"/>
        <v>0</v>
      </c>
      <c r="CV100" s="301">
        <f t="shared" ca="1" si="527"/>
        <v>0</v>
      </c>
      <c r="CW100" s="301">
        <f t="shared" ca="1" si="527"/>
        <v>0</v>
      </c>
      <c r="CX100" s="301">
        <f t="shared" ca="1" si="527"/>
        <v>0</v>
      </c>
      <c r="CY100" s="301">
        <f t="shared" ca="1" si="527"/>
        <v>0</v>
      </c>
      <c r="CZ100" s="301">
        <f t="shared" ca="1" si="527"/>
        <v>0</v>
      </c>
      <c r="DA100" s="301">
        <f t="shared" ref="DA100:EE100" ca="1" si="529">DA82</f>
        <v>0</v>
      </c>
      <c r="DB100" s="301">
        <f t="shared" ca="1" si="529"/>
        <v>0</v>
      </c>
      <c r="DC100" s="301">
        <f t="shared" ca="1" si="529"/>
        <v>0</v>
      </c>
      <c r="DD100" s="301">
        <f t="shared" ca="1" si="529"/>
        <v>0</v>
      </c>
      <c r="DE100" s="301">
        <f t="shared" ca="1" si="529"/>
        <v>0</v>
      </c>
      <c r="DF100" s="301">
        <f t="shared" ca="1" si="529"/>
        <v>0</v>
      </c>
      <c r="DG100" s="301">
        <f t="shared" ca="1" si="529"/>
        <v>0</v>
      </c>
      <c r="DH100" s="301">
        <f t="shared" ca="1" si="529"/>
        <v>0</v>
      </c>
      <c r="DI100" s="301">
        <f t="shared" ca="1" si="529"/>
        <v>0</v>
      </c>
      <c r="DJ100" s="301">
        <f t="shared" ca="1" si="529"/>
        <v>0</v>
      </c>
      <c r="DK100" s="301">
        <f t="shared" ca="1" si="529"/>
        <v>0</v>
      </c>
      <c r="DL100" s="301">
        <f t="shared" ca="1" si="529"/>
        <v>0</v>
      </c>
      <c r="DM100" s="301">
        <f t="shared" ca="1" si="529"/>
        <v>0</v>
      </c>
      <c r="DN100" s="301">
        <f t="shared" ca="1" si="529"/>
        <v>0</v>
      </c>
      <c r="DO100" s="301">
        <f t="shared" ca="1" si="529"/>
        <v>0</v>
      </c>
      <c r="DP100" s="301">
        <f t="shared" ca="1" si="529"/>
        <v>0</v>
      </c>
      <c r="DQ100" s="301">
        <f t="shared" ca="1" si="529"/>
        <v>0</v>
      </c>
      <c r="DR100" s="301">
        <f t="shared" ca="1" si="529"/>
        <v>0</v>
      </c>
      <c r="DS100" s="301">
        <f t="shared" ca="1" si="529"/>
        <v>0</v>
      </c>
      <c r="DT100" s="301">
        <f t="shared" ca="1" si="529"/>
        <v>0</v>
      </c>
      <c r="DU100" s="301">
        <f t="shared" ca="1" si="529"/>
        <v>0</v>
      </c>
      <c r="DV100" s="301">
        <f t="shared" ca="1" si="529"/>
        <v>0</v>
      </c>
      <c r="DW100" s="301">
        <f t="shared" ca="1" si="529"/>
        <v>0</v>
      </c>
      <c r="DX100" s="301">
        <f t="shared" ca="1" si="529"/>
        <v>0</v>
      </c>
      <c r="DY100" s="301">
        <f t="shared" ca="1" si="529"/>
        <v>0</v>
      </c>
      <c r="DZ100" s="301">
        <f t="shared" ca="1" si="529"/>
        <v>0</v>
      </c>
      <c r="EA100" s="301">
        <f t="shared" ca="1" si="529"/>
        <v>0</v>
      </c>
      <c r="EB100" s="301">
        <f t="shared" ca="1" si="529"/>
        <v>0</v>
      </c>
      <c r="EC100" s="301">
        <f t="shared" ca="1" si="529"/>
        <v>0</v>
      </c>
      <c r="ED100" s="301">
        <f t="shared" ca="1" si="529"/>
        <v>0</v>
      </c>
      <c r="EE100" s="301">
        <f t="shared" ca="1" si="529"/>
        <v>0</v>
      </c>
    </row>
    <row r="101" spans="3:135">
      <c r="C101" s="265" t="str">
        <f t="shared" si="458"/>
        <v>Paid Preference - Tier 3</v>
      </c>
      <c r="E101" s="321"/>
      <c r="F101" s="268"/>
      <c r="G101" s="301">
        <f t="shared" ca="1" si="492"/>
        <v>-16069.42275593705</v>
      </c>
      <c r="H101" s="301"/>
      <c r="I101" s="301">
        <f t="shared" si="526"/>
        <v>0</v>
      </c>
      <c r="J101" s="301">
        <f t="shared" ca="1" si="526"/>
        <v>0</v>
      </c>
      <c r="K101" s="301">
        <f t="shared" ca="1" si="526"/>
        <v>0</v>
      </c>
      <c r="L101" s="301">
        <f t="shared" ca="1" si="526"/>
        <v>0</v>
      </c>
      <c r="M101" s="301">
        <f t="shared" ca="1" si="526"/>
        <v>0</v>
      </c>
      <c r="N101" s="301">
        <f t="shared" ca="1" si="526"/>
        <v>0</v>
      </c>
      <c r="O101" s="301">
        <f t="shared" ca="1" si="526"/>
        <v>0</v>
      </c>
      <c r="P101" s="301">
        <f t="shared" ca="1" si="526"/>
        <v>0</v>
      </c>
      <c r="Q101" s="301">
        <f t="shared" ca="1" si="526"/>
        <v>0</v>
      </c>
      <c r="R101" s="301">
        <f t="shared" ca="1" si="526"/>
        <v>0</v>
      </c>
      <c r="S101" s="301">
        <f t="shared" ca="1" si="526"/>
        <v>0</v>
      </c>
      <c r="T101" s="301">
        <f t="shared" ca="1" si="526"/>
        <v>0</v>
      </c>
      <c r="U101" s="301">
        <f t="shared" ca="1" si="526"/>
        <v>0</v>
      </c>
      <c r="V101" s="301">
        <f t="shared" ca="1" si="526"/>
        <v>0</v>
      </c>
      <c r="W101" s="301">
        <f t="shared" ca="1" si="526"/>
        <v>0</v>
      </c>
      <c r="X101" s="301">
        <f t="shared" ca="1" si="526"/>
        <v>0</v>
      </c>
      <c r="Y101" s="301">
        <f t="shared" ca="1" si="526"/>
        <v>0</v>
      </c>
      <c r="Z101" s="301">
        <f t="shared" ca="1" si="526"/>
        <v>0</v>
      </c>
      <c r="AA101" s="301">
        <f t="shared" ca="1" si="526"/>
        <v>0</v>
      </c>
      <c r="AB101" s="301">
        <f t="shared" ca="1" si="526"/>
        <v>0</v>
      </c>
      <c r="AC101" s="301">
        <f t="shared" ca="1" si="526"/>
        <v>0</v>
      </c>
      <c r="AD101" s="301">
        <f t="shared" ca="1" si="526"/>
        <v>0</v>
      </c>
      <c r="AE101" s="301">
        <f t="shared" ca="1" si="526"/>
        <v>0</v>
      </c>
      <c r="AF101" s="301">
        <f t="shared" ca="1" si="526"/>
        <v>0</v>
      </c>
      <c r="AG101" s="301">
        <f t="shared" ca="1" si="526"/>
        <v>0</v>
      </c>
      <c r="AH101" s="301">
        <f t="shared" ca="1" si="526"/>
        <v>0</v>
      </c>
      <c r="AI101" s="301">
        <f t="shared" ca="1" si="526"/>
        <v>0</v>
      </c>
      <c r="AJ101" s="301">
        <f t="shared" ca="1" si="526"/>
        <v>0</v>
      </c>
      <c r="AK101" s="301">
        <f t="shared" ca="1" si="526"/>
        <v>0</v>
      </c>
      <c r="AL101" s="301">
        <f t="shared" ca="1" si="526"/>
        <v>0</v>
      </c>
      <c r="AM101" s="301">
        <f t="shared" ca="1" si="526"/>
        <v>0</v>
      </c>
      <c r="AN101" s="301">
        <f t="shared" ca="1" si="526"/>
        <v>0</v>
      </c>
      <c r="AO101" s="301">
        <f t="shared" ca="1" si="526"/>
        <v>0</v>
      </c>
      <c r="AP101" s="301">
        <f t="shared" ca="1" si="526"/>
        <v>0</v>
      </c>
      <c r="AQ101" s="301">
        <f t="shared" ca="1" si="526"/>
        <v>0</v>
      </c>
      <c r="AR101" s="301">
        <f t="shared" ca="1" si="526"/>
        <v>0</v>
      </c>
      <c r="AS101" s="301">
        <f t="shared" ca="1" si="526"/>
        <v>0</v>
      </c>
      <c r="AT101" s="301">
        <f t="shared" ca="1" si="526"/>
        <v>0</v>
      </c>
      <c r="AU101" s="301">
        <f t="shared" ca="1" si="526"/>
        <v>0</v>
      </c>
      <c r="AV101" s="301">
        <f t="shared" ca="1" si="526"/>
        <v>0</v>
      </c>
      <c r="AW101" s="301">
        <f t="shared" ca="1" si="526"/>
        <v>0</v>
      </c>
      <c r="AX101" s="301">
        <f t="shared" ca="1" si="526"/>
        <v>0</v>
      </c>
      <c r="AY101" s="301">
        <f t="shared" ca="1" si="526"/>
        <v>0</v>
      </c>
      <c r="AZ101" s="301">
        <f t="shared" ca="1" si="526"/>
        <v>0</v>
      </c>
      <c r="BA101" s="301">
        <f t="shared" ca="1" si="526"/>
        <v>0</v>
      </c>
      <c r="BB101" s="301">
        <f t="shared" ca="1" si="526"/>
        <v>0</v>
      </c>
      <c r="BC101" s="301">
        <f t="shared" ca="1" si="526"/>
        <v>0</v>
      </c>
      <c r="BD101" s="301">
        <f t="shared" ca="1" si="526"/>
        <v>0</v>
      </c>
      <c r="BE101" s="301">
        <f t="shared" ca="1" si="526"/>
        <v>0</v>
      </c>
      <c r="BF101" s="301">
        <f t="shared" ca="1" si="526"/>
        <v>0</v>
      </c>
      <c r="BG101" s="301">
        <f t="shared" ca="1" si="526"/>
        <v>0</v>
      </c>
      <c r="BH101" s="301">
        <f t="shared" ca="1" si="526"/>
        <v>0</v>
      </c>
      <c r="BI101" s="301">
        <f t="shared" ca="1" si="526"/>
        <v>0</v>
      </c>
      <c r="BJ101" s="301">
        <f t="shared" ca="1" si="526"/>
        <v>0</v>
      </c>
      <c r="BK101" s="301">
        <f t="shared" ca="1" si="526"/>
        <v>0</v>
      </c>
      <c r="BL101" s="301">
        <f t="shared" ca="1" si="526"/>
        <v>0</v>
      </c>
      <c r="BM101" s="301">
        <f t="shared" ca="1" si="526"/>
        <v>0</v>
      </c>
      <c r="BN101" s="301">
        <f t="shared" ca="1" si="526"/>
        <v>0</v>
      </c>
      <c r="BO101" s="301">
        <f t="shared" ca="1" si="526"/>
        <v>0</v>
      </c>
      <c r="BP101" s="301">
        <f t="shared" ca="1" si="526"/>
        <v>0</v>
      </c>
      <c r="BQ101" s="301">
        <f t="shared" ca="1" si="526"/>
        <v>0</v>
      </c>
      <c r="BR101" s="301">
        <f t="shared" ca="1" si="526"/>
        <v>0</v>
      </c>
      <c r="BS101" s="301">
        <f t="shared" ca="1" si="526"/>
        <v>0</v>
      </c>
      <c r="BT101" s="301">
        <f t="shared" ca="1" si="526"/>
        <v>0</v>
      </c>
      <c r="BU101" s="301">
        <f t="shared" ca="1" si="527"/>
        <v>0</v>
      </c>
      <c r="BV101" s="301">
        <f t="shared" ca="1" si="527"/>
        <v>0</v>
      </c>
      <c r="BW101" s="301">
        <f t="shared" ca="1" si="527"/>
        <v>0</v>
      </c>
      <c r="BX101" s="301">
        <f t="shared" ca="1" si="527"/>
        <v>0</v>
      </c>
      <c r="BY101" s="301">
        <f t="shared" ca="1" si="527"/>
        <v>0</v>
      </c>
      <c r="BZ101" s="301">
        <f t="shared" ca="1" si="527"/>
        <v>0</v>
      </c>
      <c r="CA101" s="301">
        <f t="shared" ca="1" si="527"/>
        <v>0</v>
      </c>
      <c r="CB101" s="301">
        <f t="shared" ca="1" si="527"/>
        <v>0</v>
      </c>
      <c r="CC101" s="301">
        <f t="shared" ca="1" si="527"/>
        <v>0</v>
      </c>
      <c r="CD101" s="301">
        <f t="shared" ca="1" si="527"/>
        <v>0</v>
      </c>
      <c r="CE101" s="301">
        <f t="shared" ca="1" si="527"/>
        <v>0</v>
      </c>
      <c r="CF101" s="301">
        <f t="shared" ca="1" si="527"/>
        <v>0</v>
      </c>
      <c r="CG101" s="301">
        <f t="shared" ca="1" si="527"/>
        <v>0</v>
      </c>
      <c r="CH101" s="301">
        <f t="shared" ca="1" si="527"/>
        <v>0</v>
      </c>
      <c r="CI101" s="301">
        <f t="shared" ca="1" si="527"/>
        <v>0</v>
      </c>
      <c r="CJ101" s="301">
        <f t="shared" ca="1" si="527"/>
        <v>0</v>
      </c>
      <c r="CK101" s="301">
        <f t="shared" ca="1" si="527"/>
        <v>0</v>
      </c>
      <c r="CL101" s="301">
        <f t="shared" ca="1" si="527"/>
        <v>0</v>
      </c>
      <c r="CM101" s="301">
        <f t="shared" ca="1" si="527"/>
        <v>0</v>
      </c>
      <c r="CN101" s="301">
        <f t="shared" ca="1" si="527"/>
        <v>0</v>
      </c>
      <c r="CO101" s="301">
        <f t="shared" ca="1" si="527"/>
        <v>0</v>
      </c>
      <c r="CP101" s="301">
        <f t="shared" ca="1" si="527"/>
        <v>0</v>
      </c>
      <c r="CQ101" s="301">
        <f t="shared" ca="1" si="527"/>
        <v>0</v>
      </c>
      <c r="CR101" s="301">
        <f t="shared" ca="1" si="527"/>
        <v>0</v>
      </c>
      <c r="CS101" s="301">
        <f t="shared" ca="1" si="527"/>
        <v>0</v>
      </c>
      <c r="CT101" s="301">
        <f t="shared" ca="1" si="527"/>
        <v>0</v>
      </c>
      <c r="CU101" s="301">
        <f t="shared" ca="1" si="527"/>
        <v>0</v>
      </c>
      <c r="CV101" s="301">
        <f t="shared" ca="1" si="527"/>
        <v>0</v>
      </c>
      <c r="CW101" s="301">
        <f t="shared" ca="1" si="527"/>
        <v>0</v>
      </c>
      <c r="CX101" s="301">
        <f t="shared" ca="1" si="527"/>
        <v>0</v>
      </c>
      <c r="CY101" s="301">
        <f t="shared" ca="1" si="527"/>
        <v>0</v>
      </c>
      <c r="CZ101" s="301">
        <f t="shared" ca="1" si="527"/>
        <v>0</v>
      </c>
      <c r="DA101" s="301">
        <f t="shared" ref="DA101:EE101" ca="1" si="530">DA83</f>
        <v>0</v>
      </c>
      <c r="DB101" s="301">
        <f t="shared" ca="1" si="530"/>
        <v>0</v>
      </c>
      <c r="DC101" s="301">
        <f t="shared" ca="1" si="530"/>
        <v>0</v>
      </c>
      <c r="DD101" s="301">
        <f t="shared" ca="1" si="530"/>
        <v>0</v>
      </c>
      <c r="DE101" s="301">
        <f t="shared" ca="1" si="530"/>
        <v>0</v>
      </c>
      <c r="DF101" s="301">
        <f t="shared" ca="1" si="530"/>
        <v>0</v>
      </c>
      <c r="DG101" s="301">
        <f t="shared" ca="1" si="530"/>
        <v>-16069.42275593705</v>
      </c>
      <c r="DH101" s="301">
        <f t="shared" ca="1" si="530"/>
        <v>0</v>
      </c>
      <c r="DI101" s="301">
        <f t="shared" ca="1" si="530"/>
        <v>0</v>
      </c>
      <c r="DJ101" s="301">
        <f t="shared" ca="1" si="530"/>
        <v>0</v>
      </c>
      <c r="DK101" s="301">
        <f t="shared" ca="1" si="530"/>
        <v>0</v>
      </c>
      <c r="DL101" s="301">
        <f t="shared" ca="1" si="530"/>
        <v>0</v>
      </c>
      <c r="DM101" s="301">
        <f t="shared" ca="1" si="530"/>
        <v>0</v>
      </c>
      <c r="DN101" s="301">
        <f t="shared" ca="1" si="530"/>
        <v>0</v>
      </c>
      <c r="DO101" s="301">
        <f t="shared" ca="1" si="530"/>
        <v>0</v>
      </c>
      <c r="DP101" s="301">
        <f t="shared" ca="1" si="530"/>
        <v>0</v>
      </c>
      <c r="DQ101" s="301">
        <f t="shared" ca="1" si="530"/>
        <v>0</v>
      </c>
      <c r="DR101" s="301">
        <f t="shared" ca="1" si="530"/>
        <v>0</v>
      </c>
      <c r="DS101" s="301">
        <f t="shared" ca="1" si="530"/>
        <v>0</v>
      </c>
      <c r="DT101" s="301">
        <f t="shared" ca="1" si="530"/>
        <v>0</v>
      </c>
      <c r="DU101" s="301">
        <f t="shared" ca="1" si="530"/>
        <v>0</v>
      </c>
      <c r="DV101" s="301">
        <f t="shared" ca="1" si="530"/>
        <v>0</v>
      </c>
      <c r="DW101" s="301">
        <f t="shared" ca="1" si="530"/>
        <v>0</v>
      </c>
      <c r="DX101" s="301">
        <f t="shared" ca="1" si="530"/>
        <v>0</v>
      </c>
      <c r="DY101" s="301">
        <f t="shared" ca="1" si="530"/>
        <v>0</v>
      </c>
      <c r="DZ101" s="301">
        <f t="shared" ca="1" si="530"/>
        <v>0</v>
      </c>
      <c r="EA101" s="301">
        <f t="shared" ca="1" si="530"/>
        <v>0</v>
      </c>
      <c r="EB101" s="301">
        <f t="shared" ca="1" si="530"/>
        <v>0</v>
      </c>
      <c r="EC101" s="301">
        <f t="shared" ca="1" si="530"/>
        <v>0</v>
      </c>
      <c r="ED101" s="301">
        <f t="shared" ca="1" si="530"/>
        <v>0</v>
      </c>
      <c r="EE101" s="301">
        <f t="shared" ca="1" si="530"/>
        <v>0</v>
      </c>
    </row>
    <row r="102" spans="3:135">
      <c r="C102" s="265" t="str">
        <f t="shared" si="458"/>
        <v>Paid Preference - Tier 4</v>
      </c>
      <c r="E102" s="301"/>
      <c r="G102" s="301">
        <f t="shared" ca="1" si="492"/>
        <v>0</v>
      </c>
      <c r="H102" s="301"/>
      <c r="I102" s="301">
        <f>I84</f>
        <v>0</v>
      </c>
      <c r="J102" s="301">
        <f t="shared" ca="1" si="526"/>
        <v>0</v>
      </c>
      <c r="K102" s="301">
        <f t="shared" ca="1" si="526"/>
        <v>0</v>
      </c>
      <c r="L102" s="301">
        <f t="shared" ca="1" si="526"/>
        <v>0</v>
      </c>
      <c r="M102" s="301">
        <f t="shared" ca="1" si="526"/>
        <v>0</v>
      </c>
      <c r="N102" s="301">
        <f t="shared" ca="1" si="526"/>
        <v>0</v>
      </c>
      <c r="O102" s="301">
        <f t="shared" ca="1" si="526"/>
        <v>0</v>
      </c>
      <c r="P102" s="301">
        <f t="shared" ca="1" si="526"/>
        <v>0</v>
      </c>
      <c r="Q102" s="301">
        <f t="shared" ca="1" si="526"/>
        <v>0</v>
      </c>
      <c r="R102" s="301">
        <f t="shared" ca="1" si="526"/>
        <v>0</v>
      </c>
      <c r="S102" s="301">
        <f t="shared" ca="1" si="526"/>
        <v>0</v>
      </c>
      <c r="T102" s="301">
        <f t="shared" ca="1" si="526"/>
        <v>0</v>
      </c>
      <c r="U102" s="301">
        <f t="shared" ca="1" si="526"/>
        <v>0</v>
      </c>
      <c r="V102" s="301">
        <f t="shared" ca="1" si="526"/>
        <v>0</v>
      </c>
      <c r="W102" s="301">
        <f t="shared" ca="1" si="526"/>
        <v>0</v>
      </c>
      <c r="X102" s="301">
        <f t="shared" ca="1" si="526"/>
        <v>0</v>
      </c>
      <c r="Y102" s="301">
        <f t="shared" ca="1" si="526"/>
        <v>0</v>
      </c>
      <c r="Z102" s="301">
        <f t="shared" ca="1" si="526"/>
        <v>0</v>
      </c>
      <c r="AA102" s="301">
        <f t="shared" ca="1" si="526"/>
        <v>0</v>
      </c>
      <c r="AB102" s="301">
        <f t="shared" ca="1" si="526"/>
        <v>0</v>
      </c>
      <c r="AC102" s="301">
        <f t="shared" ca="1" si="526"/>
        <v>0</v>
      </c>
      <c r="AD102" s="301">
        <f t="shared" ca="1" si="526"/>
        <v>0</v>
      </c>
      <c r="AE102" s="301">
        <f t="shared" ca="1" si="526"/>
        <v>0</v>
      </c>
      <c r="AF102" s="301">
        <f t="shared" ca="1" si="526"/>
        <v>0</v>
      </c>
      <c r="AG102" s="301">
        <f t="shared" ca="1" si="526"/>
        <v>0</v>
      </c>
      <c r="AH102" s="301">
        <f t="shared" ca="1" si="526"/>
        <v>0</v>
      </c>
      <c r="AI102" s="301">
        <f t="shared" ca="1" si="526"/>
        <v>0</v>
      </c>
      <c r="AJ102" s="301">
        <f t="shared" ca="1" si="526"/>
        <v>0</v>
      </c>
      <c r="AK102" s="301">
        <f t="shared" ca="1" si="526"/>
        <v>0</v>
      </c>
      <c r="AL102" s="301">
        <f t="shared" ca="1" si="526"/>
        <v>0</v>
      </c>
      <c r="AM102" s="301">
        <f t="shared" ca="1" si="526"/>
        <v>0</v>
      </c>
      <c r="AN102" s="301">
        <f t="shared" ca="1" si="526"/>
        <v>0</v>
      </c>
      <c r="AO102" s="301">
        <f t="shared" ca="1" si="526"/>
        <v>0</v>
      </c>
      <c r="AP102" s="301">
        <f t="shared" ca="1" si="526"/>
        <v>0</v>
      </c>
      <c r="AQ102" s="301">
        <f t="shared" ca="1" si="526"/>
        <v>0</v>
      </c>
      <c r="AR102" s="301">
        <f t="shared" ca="1" si="526"/>
        <v>0</v>
      </c>
      <c r="AS102" s="301">
        <f t="shared" ca="1" si="526"/>
        <v>0</v>
      </c>
      <c r="AT102" s="301">
        <f t="shared" ca="1" si="526"/>
        <v>0</v>
      </c>
      <c r="AU102" s="301">
        <f t="shared" ca="1" si="526"/>
        <v>0</v>
      </c>
      <c r="AV102" s="301">
        <f t="shared" ca="1" si="526"/>
        <v>0</v>
      </c>
      <c r="AW102" s="301">
        <f t="shared" ca="1" si="526"/>
        <v>0</v>
      </c>
      <c r="AX102" s="301">
        <f t="shared" ca="1" si="526"/>
        <v>0</v>
      </c>
      <c r="AY102" s="301">
        <f t="shared" ca="1" si="526"/>
        <v>0</v>
      </c>
      <c r="AZ102" s="301">
        <f t="shared" ca="1" si="526"/>
        <v>0</v>
      </c>
      <c r="BA102" s="301">
        <f t="shared" ca="1" si="526"/>
        <v>0</v>
      </c>
      <c r="BB102" s="301">
        <f t="shared" ca="1" si="526"/>
        <v>0</v>
      </c>
      <c r="BC102" s="301">
        <f t="shared" ca="1" si="526"/>
        <v>0</v>
      </c>
      <c r="BD102" s="301">
        <f t="shared" ca="1" si="526"/>
        <v>0</v>
      </c>
      <c r="BE102" s="301">
        <f t="shared" ca="1" si="526"/>
        <v>0</v>
      </c>
      <c r="BF102" s="301">
        <f t="shared" ca="1" si="526"/>
        <v>0</v>
      </c>
      <c r="BG102" s="301">
        <f t="shared" ca="1" si="526"/>
        <v>0</v>
      </c>
      <c r="BH102" s="301">
        <f t="shared" ca="1" si="526"/>
        <v>0</v>
      </c>
      <c r="BI102" s="301">
        <f t="shared" ca="1" si="526"/>
        <v>0</v>
      </c>
      <c r="BJ102" s="301">
        <f t="shared" ca="1" si="526"/>
        <v>0</v>
      </c>
      <c r="BK102" s="301">
        <f t="shared" ca="1" si="526"/>
        <v>0</v>
      </c>
      <c r="BL102" s="301">
        <f t="shared" ca="1" si="526"/>
        <v>0</v>
      </c>
      <c r="BM102" s="301">
        <f t="shared" ca="1" si="526"/>
        <v>0</v>
      </c>
      <c r="BN102" s="301">
        <f t="shared" ca="1" si="526"/>
        <v>0</v>
      </c>
      <c r="BO102" s="301">
        <f t="shared" ca="1" si="526"/>
        <v>0</v>
      </c>
      <c r="BP102" s="301">
        <f t="shared" ca="1" si="526"/>
        <v>0</v>
      </c>
      <c r="BQ102" s="301">
        <f t="shared" ca="1" si="526"/>
        <v>0</v>
      </c>
      <c r="BR102" s="301">
        <f t="shared" ca="1" si="526"/>
        <v>0</v>
      </c>
      <c r="BS102" s="301">
        <f t="shared" ca="1" si="526"/>
        <v>0</v>
      </c>
      <c r="BT102" s="301">
        <f t="shared" ca="1" si="526"/>
        <v>0</v>
      </c>
      <c r="BU102" s="301">
        <f t="shared" ca="1" si="527"/>
        <v>0</v>
      </c>
      <c r="BV102" s="301">
        <f t="shared" ca="1" si="527"/>
        <v>0</v>
      </c>
      <c r="BW102" s="301">
        <f t="shared" ca="1" si="527"/>
        <v>0</v>
      </c>
      <c r="BX102" s="301">
        <f t="shared" ca="1" si="527"/>
        <v>0</v>
      </c>
      <c r="BY102" s="301">
        <f t="shared" ca="1" si="527"/>
        <v>0</v>
      </c>
      <c r="BZ102" s="301">
        <f t="shared" ca="1" si="527"/>
        <v>0</v>
      </c>
      <c r="CA102" s="301">
        <f t="shared" ca="1" si="527"/>
        <v>0</v>
      </c>
      <c r="CB102" s="301">
        <f t="shared" ca="1" si="527"/>
        <v>0</v>
      </c>
      <c r="CC102" s="301">
        <f t="shared" ca="1" si="527"/>
        <v>0</v>
      </c>
      <c r="CD102" s="301">
        <f t="shared" ca="1" si="527"/>
        <v>0</v>
      </c>
      <c r="CE102" s="301">
        <f t="shared" ca="1" si="527"/>
        <v>0</v>
      </c>
      <c r="CF102" s="301">
        <f t="shared" ca="1" si="527"/>
        <v>0</v>
      </c>
      <c r="CG102" s="301">
        <f t="shared" ca="1" si="527"/>
        <v>0</v>
      </c>
      <c r="CH102" s="301">
        <f t="shared" ca="1" si="527"/>
        <v>0</v>
      </c>
      <c r="CI102" s="301">
        <f t="shared" ca="1" si="527"/>
        <v>0</v>
      </c>
      <c r="CJ102" s="301">
        <f t="shared" ca="1" si="527"/>
        <v>0</v>
      </c>
      <c r="CK102" s="301">
        <f t="shared" ca="1" si="527"/>
        <v>0</v>
      </c>
      <c r="CL102" s="301">
        <f t="shared" ca="1" si="527"/>
        <v>0</v>
      </c>
      <c r="CM102" s="301">
        <f t="shared" ca="1" si="527"/>
        <v>0</v>
      </c>
      <c r="CN102" s="301">
        <f t="shared" ca="1" si="527"/>
        <v>0</v>
      </c>
      <c r="CO102" s="301">
        <f t="shared" ca="1" si="527"/>
        <v>0</v>
      </c>
      <c r="CP102" s="301">
        <f t="shared" ca="1" si="527"/>
        <v>0</v>
      </c>
      <c r="CQ102" s="301">
        <f t="shared" ca="1" si="527"/>
        <v>0</v>
      </c>
      <c r="CR102" s="301">
        <f t="shared" ca="1" si="527"/>
        <v>0</v>
      </c>
      <c r="CS102" s="301">
        <f t="shared" ca="1" si="527"/>
        <v>0</v>
      </c>
      <c r="CT102" s="301">
        <f t="shared" ca="1" si="527"/>
        <v>0</v>
      </c>
      <c r="CU102" s="301">
        <f t="shared" ca="1" si="527"/>
        <v>0</v>
      </c>
      <c r="CV102" s="301">
        <f t="shared" ca="1" si="527"/>
        <v>0</v>
      </c>
      <c r="CW102" s="301">
        <f t="shared" ca="1" si="527"/>
        <v>0</v>
      </c>
      <c r="CX102" s="301">
        <f t="shared" ca="1" si="527"/>
        <v>0</v>
      </c>
      <c r="CY102" s="301">
        <f t="shared" ca="1" si="527"/>
        <v>0</v>
      </c>
      <c r="CZ102" s="301">
        <f t="shared" ca="1" si="527"/>
        <v>0</v>
      </c>
      <c r="DA102" s="301">
        <f t="shared" ref="DA102:EE102" ca="1" si="531">DA84</f>
        <v>0</v>
      </c>
      <c r="DB102" s="301">
        <f t="shared" ca="1" si="531"/>
        <v>0</v>
      </c>
      <c r="DC102" s="301">
        <f t="shared" ca="1" si="531"/>
        <v>0</v>
      </c>
      <c r="DD102" s="301">
        <f t="shared" ca="1" si="531"/>
        <v>0</v>
      </c>
      <c r="DE102" s="301">
        <f t="shared" ca="1" si="531"/>
        <v>0</v>
      </c>
      <c r="DF102" s="301">
        <f t="shared" ca="1" si="531"/>
        <v>0</v>
      </c>
      <c r="DG102" s="301">
        <f t="shared" ca="1" si="531"/>
        <v>0</v>
      </c>
      <c r="DH102" s="301">
        <f t="shared" ca="1" si="531"/>
        <v>0</v>
      </c>
      <c r="DI102" s="301">
        <f t="shared" ca="1" si="531"/>
        <v>0</v>
      </c>
      <c r="DJ102" s="301">
        <f t="shared" ca="1" si="531"/>
        <v>0</v>
      </c>
      <c r="DK102" s="301">
        <f t="shared" ca="1" si="531"/>
        <v>0</v>
      </c>
      <c r="DL102" s="301">
        <f t="shared" ca="1" si="531"/>
        <v>0</v>
      </c>
      <c r="DM102" s="301">
        <f t="shared" ca="1" si="531"/>
        <v>0</v>
      </c>
      <c r="DN102" s="301">
        <f t="shared" ca="1" si="531"/>
        <v>0</v>
      </c>
      <c r="DO102" s="301">
        <f t="shared" ca="1" si="531"/>
        <v>0</v>
      </c>
      <c r="DP102" s="301">
        <f t="shared" ca="1" si="531"/>
        <v>0</v>
      </c>
      <c r="DQ102" s="301">
        <f t="shared" ca="1" si="531"/>
        <v>0</v>
      </c>
      <c r="DR102" s="301">
        <f t="shared" ca="1" si="531"/>
        <v>0</v>
      </c>
      <c r="DS102" s="301">
        <f t="shared" ca="1" si="531"/>
        <v>0</v>
      </c>
      <c r="DT102" s="301">
        <f t="shared" ca="1" si="531"/>
        <v>0</v>
      </c>
      <c r="DU102" s="301">
        <f t="shared" ca="1" si="531"/>
        <v>0</v>
      </c>
      <c r="DV102" s="301">
        <f t="shared" ca="1" si="531"/>
        <v>0</v>
      </c>
      <c r="DW102" s="301">
        <f t="shared" ca="1" si="531"/>
        <v>0</v>
      </c>
      <c r="DX102" s="301">
        <f t="shared" ca="1" si="531"/>
        <v>0</v>
      </c>
      <c r="DY102" s="301">
        <f t="shared" ca="1" si="531"/>
        <v>0</v>
      </c>
      <c r="DZ102" s="301">
        <f t="shared" ca="1" si="531"/>
        <v>0</v>
      </c>
      <c r="EA102" s="301">
        <f t="shared" ca="1" si="531"/>
        <v>0</v>
      </c>
      <c r="EB102" s="301">
        <f t="shared" ca="1" si="531"/>
        <v>0</v>
      </c>
      <c r="EC102" s="301">
        <f t="shared" ca="1" si="531"/>
        <v>0</v>
      </c>
      <c r="ED102" s="301">
        <f t="shared" ca="1" si="531"/>
        <v>0</v>
      </c>
      <c r="EE102" s="301">
        <f t="shared" ca="1" si="531"/>
        <v>0</v>
      </c>
    </row>
    <row r="103" spans="3:135">
      <c r="C103" s="265" t="s">
        <v>186</v>
      </c>
      <c r="F103" s="310">
        <f>F22</f>
        <v>0.7</v>
      </c>
      <c r="G103" s="301">
        <f t="shared" ca="1" si="492"/>
        <v>0</v>
      </c>
      <c r="H103" s="301"/>
      <c r="I103" s="312">
        <v>0</v>
      </c>
      <c r="J103" s="301">
        <f ca="1">-MIN(J94*$F$103, MAX(SUM($I$98:J102, $I$103:I103), 0))</f>
        <v>0</v>
      </c>
      <c r="K103" s="301">
        <f ca="1">-MIN(K94*$F$103, MAX(SUM($I$98:K102, $I$103:J103), 0))</f>
        <v>0</v>
      </c>
      <c r="L103" s="301">
        <f ca="1">-MIN(L94*$F$103, MAX(SUM($I$98:L102, $I$103:K103), 0))</f>
        <v>0</v>
      </c>
      <c r="M103" s="301">
        <f ca="1">-MIN(M94*$F$103, MAX(SUM($I$98:M102, $I$103:L103), 0))</f>
        <v>0</v>
      </c>
      <c r="N103" s="301">
        <f ca="1">-MIN(N94*$F$103, MAX(SUM($I$98:N102, $I$103:M103), 0))</f>
        <v>0</v>
      </c>
      <c r="O103" s="301">
        <f ca="1">-MIN(O94*$F$103, MAX(SUM($I$98:O102, $I$103:N103), 0))</f>
        <v>0</v>
      </c>
      <c r="P103" s="301">
        <f ca="1">-MIN(P94*$F$103, MAX(SUM($I$98:P102, $I$103:O103), 0))</f>
        <v>0</v>
      </c>
      <c r="Q103" s="301">
        <f ca="1">-MIN(Q94*$F$103, MAX(SUM($I$98:Q102, $I$103:P103), 0))</f>
        <v>0</v>
      </c>
      <c r="R103" s="301">
        <f ca="1">-MIN(R94*$F$103, MAX(SUM($I$98:R102, $I$103:Q103), 0))</f>
        <v>0</v>
      </c>
      <c r="S103" s="301">
        <f ca="1">-MIN(S94*$F$103, MAX(SUM($I$98:S102, $I$103:R103), 0))</f>
        <v>0</v>
      </c>
      <c r="T103" s="301">
        <f ca="1">-MIN(T94*$F$103, MAX(SUM($I$98:T102, $I$103:S103), 0))</f>
        <v>0</v>
      </c>
      <c r="U103" s="301">
        <f ca="1">-MIN(U94*$F$103, MAX(SUM($I$98:U102, $I$103:T103), 0))</f>
        <v>0</v>
      </c>
      <c r="V103" s="301">
        <f ca="1">-MIN(V94*$F$103, MAX(SUM($I$98:V102, $I$103:U103), 0))</f>
        <v>0</v>
      </c>
      <c r="W103" s="301">
        <f ca="1">-MIN(W94*$F$103, MAX(SUM($I$98:W102, $I$103:V103), 0))</f>
        <v>0</v>
      </c>
      <c r="X103" s="301">
        <f ca="1">-MIN(X94*$F$103, MAX(SUM($I$98:X102, $I$103:W103), 0))</f>
        <v>0</v>
      </c>
      <c r="Y103" s="301">
        <f ca="1">-MIN(Y94*$F$103, MAX(SUM($I$98:Y102, $I$103:X103), 0))</f>
        <v>0</v>
      </c>
      <c r="Z103" s="301">
        <f ca="1">-MIN(Z94*$F$103, MAX(SUM($I$98:Z102, $I$103:Y103), 0))</f>
        <v>0</v>
      </c>
      <c r="AA103" s="301">
        <f ca="1">-MIN(AA94*$F$103, MAX(SUM($I$98:AA102, $I$103:Z103), 0))</f>
        <v>0</v>
      </c>
      <c r="AB103" s="301">
        <f ca="1">-MIN(AB94*$F$103, MAX(SUM($I$98:AB102, $I$103:AA103), 0))</f>
        <v>0</v>
      </c>
      <c r="AC103" s="301">
        <f ca="1">-MIN(AC94*$F$103, MAX(SUM($I$98:AC102, $I$103:AB103), 0))</f>
        <v>0</v>
      </c>
      <c r="AD103" s="301">
        <f ca="1">-MIN(AD94*$F$103, MAX(SUM($I$98:AD102, $I$103:AC103), 0))</f>
        <v>0</v>
      </c>
      <c r="AE103" s="301">
        <f ca="1">-MIN(AE94*$F$103, MAX(SUM($I$98:AE102, $I$103:AD103), 0))</f>
        <v>0</v>
      </c>
      <c r="AF103" s="301">
        <f ca="1">-MIN(AF94*$F$103, MAX(SUM($I$98:AF102, $I$103:AE103), 0))</f>
        <v>0</v>
      </c>
      <c r="AG103" s="301">
        <f ca="1">-MIN(AG94*$F$103, MAX(SUM($I$98:AG102, $I$103:AF103), 0))</f>
        <v>0</v>
      </c>
      <c r="AH103" s="301">
        <f ca="1">-MIN(AH94*$F$103, MAX(SUM($I$98:AH102, $I$103:AG103), 0))</f>
        <v>0</v>
      </c>
      <c r="AI103" s="301">
        <f ca="1">-MIN(AI94*$F$103, MAX(SUM($I$98:AI102, $I$103:AH103), 0))</f>
        <v>0</v>
      </c>
      <c r="AJ103" s="301">
        <f ca="1">-MIN(AJ94*$F$103, MAX(SUM($I$98:AJ102, $I$103:AI103), 0))</f>
        <v>0</v>
      </c>
      <c r="AK103" s="301">
        <f ca="1">-MIN(AK94*$F$103, MAX(SUM($I$98:AK102, $I$103:AJ103), 0))</f>
        <v>0</v>
      </c>
      <c r="AL103" s="301">
        <f ca="1">-MIN(AL94*$F$103, MAX(SUM($I$98:AL102, $I$103:AK103), 0))</f>
        <v>0</v>
      </c>
      <c r="AM103" s="301">
        <f ca="1">-MIN(AM94*$F$103, MAX(SUM($I$98:AM102, $I$103:AL103), 0))</f>
        <v>0</v>
      </c>
      <c r="AN103" s="301">
        <f ca="1">-MIN(AN94*$F$103, MAX(SUM($I$98:AN102, $I$103:AM103), 0))</f>
        <v>0</v>
      </c>
      <c r="AO103" s="301">
        <f ca="1">-MIN(AO94*$F$103, MAX(SUM($I$98:AO102, $I$103:AN103), 0))</f>
        <v>0</v>
      </c>
      <c r="AP103" s="301">
        <f ca="1">-MIN(AP94*$F$103, MAX(SUM($I$98:AP102, $I$103:AO103), 0))</f>
        <v>0</v>
      </c>
      <c r="AQ103" s="301">
        <f ca="1">-MIN(AQ94*$F$103, MAX(SUM($I$98:AQ102, $I$103:AP103), 0))</f>
        <v>0</v>
      </c>
      <c r="AR103" s="301">
        <f ca="1">-MIN(AR94*$F$103, MAX(SUM($I$98:AR102, $I$103:AQ103), 0))</f>
        <v>0</v>
      </c>
      <c r="AS103" s="301">
        <f ca="1">-MIN(AS94*$F$103, MAX(SUM($I$98:AS102, $I$103:AR103), 0))</f>
        <v>0</v>
      </c>
      <c r="AT103" s="301">
        <f ca="1">-MIN(AT94*$F$103, MAX(SUM($I$98:AT102, $I$103:AS103), 0))</f>
        <v>0</v>
      </c>
      <c r="AU103" s="301">
        <f ca="1">-MIN(AU94*$F$103, MAX(SUM($I$98:AU102, $I$103:AT103), 0))</f>
        <v>0</v>
      </c>
      <c r="AV103" s="301">
        <f ca="1">-MIN(AV94*$F$103, MAX(SUM($I$98:AV102, $I$103:AU103), 0))</f>
        <v>0</v>
      </c>
      <c r="AW103" s="301">
        <f ca="1">-MIN(AW94*$F$103, MAX(SUM($I$98:AW102, $I$103:AV103), 0))</f>
        <v>0</v>
      </c>
      <c r="AX103" s="301">
        <f ca="1">-MIN(AX94*$F$103, MAX(SUM($I$98:AX102, $I$103:AW103), 0))</f>
        <v>0</v>
      </c>
      <c r="AY103" s="301">
        <f ca="1">-MIN(AY94*$F$103, MAX(SUM($I$98:AY102, $I$103:AX103), 0))</f>
        <v>0</v>
      </c>
      <c r="AZ103" s="301">
        <f ca="1">-MIN(AZ94*$F$103, MAX(SUM($I$98:AZ102, $I$103:AY103), 0))</f>
        <v>0</v>
      </c>
      <c r="BA103" s="301">
        <f ca="1">-MIN(BA94*$F$103, MAX(SUM($I$98:BA102, $I$103:AZ103), 0))</f>
        <v>0</v>
      </c>
      <c r="BB103" s="301">
        <f ca="1">-MIN(BB94*$F$103, MAX(SUM($I$98:BB102, $I$103:BA103), 0))</f>
        <v>0</v>
      </c>
      <c r="BC103" s="301">
        <f ca="1">-MIN(BC94*$F$103, MAX(SUM($I$98:BC102, $I$103:BB103), 0))</f>
        <v>0</v>
      </c>
      <c r="BD103" s="301">
        <f ca="1">-MIN(BD94*$F$103, MAX(SUM($I$98:BD102, $I$103:BC103), 0))</f>
        <v>0</v>
      </c>
      <c r="BE103" s="301">
        <f ca="1">-MIN(BE94*$F$103, MAX(SUM($I$98:BE102, $I$103:BD103), 0))</f>
        <v>0</v>
      </c>
      <c r="BF103" s="301">
        <f ca="1">-MIN(BF94*$F$103, MAX(SUM($I$98:BF102, $I$103:BE103), 0))</f>
        <v>0</v>
      </c>
      <c r="BG103" s="301">
        <f ca="1">-MIN(BG94*$F$103, MAX(SUM($I$98:BG102, $I$103:BF103), 0))</f>
        <v>0</v>
      </c>
      <c r="BH103" s="301">
        <f ca="1">-MIN(BH94*$F$103, MAX(SUM($I$98:BH102, $I$103:BG103), 0))</f>
        <v>0</v>
      </c>
      <c r="BI103" s="301">
        <f ca="1">-MIN(BI94*$F$103, MAX(SUM($I$98:BI102, $I$103:BH103), 0))</f>
        <v>0</v>
      </c>
      <c r="BJ103" s="301">
        <f ca="1">-MIN(BJ94*$F$103, MAX(SUM($I$98:BJ102, $I$103:BI103), 0))</f>
        <v>0</v>
      </c>
      <c r="BK103" s="301">
        <f ca="1">-MIN(BK94*$F$103, MAX(SUM($I$98:BK102, $I$103:BJ103), 0))</f>
        <v>0</v>
      </c>
      <c r="BL103" s="301">
        <f ca="1">-MIN(BL94*$F$103, MAX(SUM($I$98:BL102, $I$103:BK103), 0))</f>
        <v>0</v>
      </c>
      <c r="BM103" s="301">
        <f ca="1">-MIN(BM94*$F$103, MAX(SUM($I$98:BM102, $I$103:BL103), 0))</f>
        <v>0</v>
      </c>
      <c r="BN103" s="301">
        <f ca="1">-MIN(BN94*$F$103, MAX(SUM($I$98:BN102, $I$103:BM103), 0))</f>
        <v>0</v>
      </c>
      <c r="BO103" s="301">
        <f ca="1">-MIN(BO94*$F$103, MAX(SUM($I$98:BO102, $I$103:BN103), 0))</f>
        <v>0</v>
      </c>
      <c r="BP103" s="301">
        <f ca="1">-MIN(BP94*$F$103, MAX(SUM($I$98:BP102, $I$103:BO103), 0))</f>
        <v>0</v>
      </c>
      <c r="BQ103" s="301">
        <f ca="1">-MIN(BQ94*$F$103, MAX(SUM($I$98:BQ102, $I$103:BP103), 0))</f>
        <v>0</v>
      </c>
      <c r="BR103" s="301">
        <f ca="1">-MIN(BR94*$F$103, MAX(SUM($I$98:BR102, $I$103:BQ103), 0))</f>
        <v>0</v>
      </c>
      <c r="BS103" s="301">
        <f ca="1">-MIN(BS94*$F$103, MAX(SUM($I$98:BS102, $I$103:BR103), 0))</f>
        <v>0</v>
      </c>
      <c r="BT103" s="301">
        <f ca="1">-MIN(BT94*$F$103, MAX(SUM($I$98:BT102, $I$103:BS103), 0))</f>
        <v>0</v>
      </c>
      <c r="BU103" s="301">
        <f ca="1">-MIN(BU94*$F$103, MAX(SUM($I$98:BU102, $I$103:BT103), 0))</f>
        <v>0</v>
      </c>
      <c r="BV103" s="301">
        <f ca="1">-MIN(BV94*$F$103, MAX(SUM($I$98:BV102, $I$103:BU103), 0))</f>
        <v>0</v>
      </c>
      <c r="BW103" s="301">
        <f ca="1">-MIN(BW94*$F$103, MAX(SUM($I$98:BW102, $I$103:BV103), 0))</f>
        <v>0</v>
      </c>
      <c r="BX103" s="301">
        <f ca="1">-MIN(BX94*$F$103, MAX(SUM($I$98:BX102, $I$103:BW103), 0))</f>
        <v>0</v>
      </c>
      <c r="BY103" s="301">
        <f ca="1">-MIN(BY94*$F$103, MAX(SUM($I$98:BY102, $I$103:BX103), 0))</f>
        <v>0</v>
      </c>
      <c r="BZ103" s="301">
        <f ca="1">-MIN(BZ94*$F$103, MAX(SUM($I$98:BZ102, $I$103:BY103), 0))</f>
        <v>0</v>
      </c>
      <c r="CA103" s="301">
        <f ca="1">-MIN(CA94*$F$103, MAX(SUM($I$98:CA102, $I$103:BZ103), 0))</f>
        <v>0</v>
      </c>
      <c r="CB103" s="301">
        <f ca="1">-MIN(CB94*$F$103, MAX(SUM($I$98:CB102, $I$103:CA103), 0))</f>
        <v>0</v>
      </c>
      <c r="CC103" s="301">
        <f ca="1">-MIN(CC94*$F$103, MAX(SUM($I$98:CC102, $I$103:CB103), 0))</f>
        <v>0</v>
      </c>
      <c r="CD103" s="301">
        <f ca="1">-MIN(CD94*$F$103, MAX(SUM($I$98:CD102, $I$103:CC103), 0))</f>
        <v>0</v>
      </c>
      <c r="CE103" s="301">
        <f ca="1">-MIN(CE94*$F$103, MAX(SUM($I$98:CE102, $I$103:CD103), 0))</f>
        <v>0</v>
      </c>
      <c r="CF103" s="301">
        <f ca="1">-MIN(CF94*$F$103, MAX(SUM($I$98:CF102, $I$103:CE103), 0))</f>
        <v>0</v>
      </c>
      <c r="CG103" s="301">
        <f ca="1">-MIN(CG94*$F$103, MAX(SUM($I$98:CG102, $I$103:CF103), 0))</f>
        <v>0</v>
      </c>
      <c r="CH103" s="301">
        <f ca="1">-MIN(CH94*$F$103, MAX(SUM($I$98:CH102, $I$103:CG103), 0))</f>
        <v>0</v>
      </c>
      <c r="CI103" s="301">
        <f ca="1">-MIN(CI94*$F$103, MAX(SUM($I$98:CI102, $I$103:CH103), 0))</f>
        <v>0</v>
      </c>
      <c r="CJ103" s="301">
        <f ca="1">-MIN(CJ94*$F$103, MAX(SUM($I$98:CJ102, $I$103:CI103), 0))</f>
        <v>0</v>
      </c>
      <c r="CK103" s="301">
        <f ca="1">-MIN(CK94*$F$103, MAX(SUM($I$98:CK102, $I$103:CJ103), 0))</f>
        <v>0</v>
      </c>
      <c r="CL103" s="301">
        <f ca="1">-MIN(CL94*$F$103, MAX(SUM($I$98:CL102, $I$103:CK103), 0))</f>
        <v>0</v>
      </c>
      <c r="CM103" s="301">
        <f ca="1">-MIN(CM94*$F$103, MAX(SUM($I$98:CM102, $I$103:CL103), 0))</f>
        <v>0</v>
      </c>
      <c r="CN103" s="301">
        <f ca="1">-MIN(CN94*$F$103, MAX(SUM($I$98:CN102, $I$103:CM103), 0))</f>
        <v>0</v>
      </c>
      <c r="CO103" s="301">
        <f ca="1">-MIN(CO94*$F$103, MAX(SUM($I$98:CO102, $I$103:CN103), 0))</f>
        <v>0</v>
      </c>
      <c r="CP103" s="301">
        <f ca="1">-MIN(CP94*$F$103, MAX(SUM($I$98:CP102, $I$103:CO103), 0))</f>
        <v>0</v>
      </c>
      <c r="CQ103" s="301">
        <f ca="1">-MIN(CQ94*$F$103, MAX(SUM($I$98:CQ102, $I$103:CP103), 0))</f>
        <v>0</v>
      </c>
      <c r="CR103" s="301">
        <f ca="1">-MIN(CR94*$F$103, MAX(SUM($I$98:CR102, $I$103:CQ103), 0))</f>
        <v>0</v>
      </c>
      <c r="CS103" s="301">
        <f ca="1">-MIN(CS94*$F$103, MAX(SUM($I$98:CS102, $I$103:CR103), 0))</f>
        <v>0</v>
      </c>
      <c r="CT103" s="301">
        <f ca="1">-MIN(CT94*$F$103, MAX(SUM($I$98:CT102, $I$103:CS103), 0))</f>
        <v>0</v>
      </c>
      <c r="CU103" s="301">
        <f ca="1">-MIN(CU94*$F$103, MAX(SUM($I$98:CU102, $I$103:CT103), 0))</f>
        <v>0</v>
      </c>
      <c r="CV103" s="301">
        <f ca="1">-MIN(CV94*$F$103, MAX(SUM($I$98:CV102, $I$103:CU103), 0))</f>
        <v>0</v>
      </c>
      <c r="CW103" s="301">
        <f ca="1">-MIN(CW94*$F$103, MAX(SUM($I$98:CW102, $I$103:CV103), 0))</f>
        <v>0</v>
      </c>
      <c r="CX103" s="301">
        <f ca="1">-MIN(CX94*$F$103, MAX(SUM($I$98:CX102, $I$103:CW103), 0))</f>
        <v>0</v>
      </c>
      <c r="CY103" s="301">
        <f ca="1">-MIN(CY94*$F$103, MAX(SUM($I$98:CY102, $I$103:CX103), 0))</f>
        <v>0</v>
      </c>
      <c r="CZ103" s="301">
        <f ca="1">-MIN(CZ94*$F$103, MAX(SUM($I$98:CZ102, $I$103:CY103), 0))</f>
        <v>0</v>
      </c>
      <c r="DA103" s="301">
        <f ca="1">-MIN(DA94*$F$103, MAX(SUM($I$98:DA102, $I$103:CZ103), 0))</f>
        <v>0</v>
      </c>
      <c r="DB103" s="301">
        <f ca="1">-MIN(DB94*$F$103, MAX(SUM($I$98:DB102, $I$103:DA103), 0))</f>
        <v>0</v>
      </c>
      <c r="DC103" s="301">
        <f ca="1">-MIN(DC94*$F$103, MAX(SUM($I$98:DC102, $I$103:DB103), 0))</f>
        <v>0</v>
      </c>
      <c r="DD103" s="301">
        <f ca="1">-MIN(DD94*$F$103, MAX(SUM($I$98:DD102, $I$103:DC103), 0))</f>
        <v>0</v>
      </c>
      <c r="DE103" s="301">
        <f ca="1">-MIN(DE94*$F$103, MAX(SUM($I$98:DE102, $I$103:DD103), 0))</f>
        <v>0</v>
      </c>
      <c r="DF103" s="301">
        <f ca="1">-MIN(DF94*$F$103, MAX(SUM($I$98:DF102, $I$103:DE103), 0))</f>
        <v>0</v>
      </c>
      <c r="DG103" s="301">
        <f ca="1">-MIN(DG94*$F$103, MAX(SUM($I$98:DG102, $I$103:DF103), 0))</f>
        <v>0</v>
      </c>
      <c r="DH103" s="301">
        <f ca="1">-MIN(DH94*$F$103, MAX(SUM($I$98:DH102, $I$103:DG103), 0))</f>
        <v>0</v>
      </c>
      <c r="DI103" s="301">
        <f ca="1">-MIN(DI94*$F$103, MAX(SUM($I$98:DI102, $I$103:DH103), 0))</f>
        <v>0</v>
      </c>
      <c r="DJ103" s="301">
        <f ca="1">-MIN(DJ94*$F$103, MAX(SUM($I$98:DJ102, $I$103:DI103), 0))</f>
        <v>0</v>
      </c>
      <c r="DK103" s="301">
        <f ca="1">-MIN(DK94*$F$103, MAX(SUM($I$98:DK102, $I$103:DJ103), 0))</f>
        <v>0</v>
      </c>
      <c r="DL103" s="301">
        <f ca="1">-MIN(DL94*$F$103, MAX(SUM($I$98:DL102, $I$103:DK103), 0))</f>
        <v>0</v>
      </c>
      <c r="DM103" s="301">
        <f ca="1">-MIN(DM94*$F$103, MAX(SUM($I$98:DM102, $I$103:DL103), 0))</f>
        <v>0</v>
      </c>
      <c r="DN103" s="301">
        <f ca="1">-MIN(DN94*$F$103, MAX(SUM($I$98:DN102, $I$103:DM103), 0))</f>
        <v>0</v>
      </c>
      <c r="DO103" s="301">
        <f ca="1">-MIN(DO94*$F$103, MAX(SUM($I$98:DO102, $I$103:DN103), 0))</f>
        <v>0</v>
      </c>
      <c r="DP103" s="301">
        <f ca="1">-MIN(DP94*$F$103, MAX(SUM($I$98:DP102, $I$103:DO103), 0))</f>
        <v>0</v>
      </c>
      <c r="DQ103" s="301">
        <f ca="1">-MIN(DQ94*$F$103, MAX(SUM($I$98:DQ102, $I$103:DP103), 0))</f>
        <v>0</v>
      </c>
      <c r="DR103" s="301">
        <f ca="1">-MIN(DR94*$F$103, MAX(SUM($I$98:DR102, $I$103:DQ103), 0))</f>
        <v>0</v>
      </c>
      <c r="DS103" s="301">
        <f ca="1">-MIN(DS94*$F$103, MAX(SUM($I$98:DS102, $I$103:DR103), 0))</f>
        <v>0</v>
      </c>
      <c r="DT103" s="301">
        <f ca="1">-MIN(DT94*$F$103, MAX(SUM($I$98:DT102, $I$103:DS103), 0))</f>
        <v>0</v>
      </c>
      <c r="DU103" s="301">
        <f ca="1">-MIN(DU94*$F$103, MAX(SUM($I$98:DU102, $I$103:DT103), 0))</f>
        <v>0</v>
      </c>
      <c r="DV103" s="301">
        <f ca="1">-MIN(DV94*$F$103, MAX(SUM($I$98:DV102, $I$103:DU103), 0))</f>
        <v>0</v>
      </c>
      <c r="DW103" s="301">
        <f ca="1">-MIN(DW94*$F$103, MAX(SUM($I$98:DW102, $I$103:DV103), 0))</f>
        <v>0</v>
      </c>
      <c r="DX103" s="301">
        <f ca="1">-MIN(DX94*$F$103, MAX(SUM($I$98:DX102, $I$103:DW103), 0))</f>
        <v>0</v>
      </c>
      <c r="DY103" s="301">
        <f ca="1">-MIN(DY94*$F$103, MAX(SUM($I$98:DY102, $I$103:DX103), 0))</f>
        <v>0</v>
      </c>
      <c r="DZ103" s="301">
        <f ca="1">-MIN(DZ94*$F$103, MAX(SUM($I$98:DZ102, $I$103:DY103), 0))</f>
        <v>0</v>
      </c>
      <c r="EA103" s="301">
        <f ca="1">-MIN(EA94*$F$103, MAX(SUM($I$98:EA102, $I$103:DZ103), 0))</f>
        <v>0</v>
      </c>
      <c r="EB103" s="301">
        <f ca="1">-MIN(EB94*$F$103, MAX(SUM($I$98:EB102, $I$103:EA103), 0))</f>
        <v>0</v>
      </c>
      <c r="EC103" s="301">
        <f ca="1">-MIN(EC94*$F$103, MAX(SUM($I$98:EC102, $I$103:EB103), 0))</f>
        <v>0</v>
      </c>
      <c r="ED103" s="301">
        <f ca="1">-MIN(ED94*$F$103, MAX(SUM($I$98:ED102, $I$103:EC103), 0))</f>
        <v>0</v>
      </c>
      <c r="EE103" s="301">
        <f ca="1">-MIN(EE94*$F$103, MAX(SUM($I$98:EE102, $I$103:ED103), 0))</f>
        <v>0</v>
      </c>
    </row>
    <row r="104" spans="3:135">
      <c r="C104" s="265" t="str">
        <f>C85</f>
        <v>Capital Contributions</v>
      </c>
      <c r="E104" s="321"/>
      <c r="F104" s="268"/>
      <c r="G104" s="301">
        <f t="shared" ca="1" si="492"/>
        <v>15882.232</v>
      </c>
      <c r="H104" s="301"/>
      <c r="I104" s="301">
        <f t="shared" ref="I104:BT105" si="532">I85</f>
        <v>13708</v>
      </c>
      <c r="J104" s="301">
        <f t="shared" ca="1" si="532"/>
        <v>0</v>
      </c>
      <c r="K104" s="301">
        <f t="shared" ca="1" si="532"/>
        <v>0</v>
      </c>
      <c r="L104" s="301">
        <f t="shared" ca="1" si="532"/>
        <v>0</v>
      </c>
      <c r="M104" s="301">
        <f t="shared" ca="1" si="532"/>
        <v>0</v>
      </c>
      <c r="N104" s="301">
        <f t="shared" ca="1" si="532"/>
        <v>150.82499999999999</v>
      </c>
      <c r="O104" s="301">
        <f t="shared" ca="1" si="532"/>
        <v>0</v>
      </c>
      <c r="P104" s="301">
        <f t="shared" ca="1" si="532"/>
        <v>0</v>
      </c>
      <c r="Q104" s="301">
        <f t="shared" ca="1" si="532"/>
        <v>0</v>
      </c>
      <c r="R104" s="301">
        <f t="shared" ca="1" si="532"/>
        <v>0</v>
      </c>
      <c r="S104" s="301">
        <f t="shared" ca="1" si="532"/>
        <v>0</v>
      </c>
      <c r="T104" s="301">
        <f t="shared" ca="1" si="532"/>
        <v>0</v>
      </c>
      <c r="U104" s="301">
        <f t="shared" ca="1" si="532"/>
        <v>0</v>
      </c>
      <c r="V104" s="301">
        <f t="shared" ca="1" si="532"/>
        <v>79.174999999999997</v>
      </c>
      <c r="W104" s="301">
        <f t="shared" ca="1" si="532"/>
        <v>0</v>
      </c>
      <c r="X104" s="301">
        <f t="shared" ca="1" si="532"/>
        <v>0</v>
      </c>
      <c r="Y104" s="301">
        <f t="shared" ca="1" si="532"/>
        <v>0</v>
      </c>
      <c r="Z104" s="301">
        <f t="shared" ca="1" si="532"/>
        <v>0</v>
      </c>
      <c r="AA104" s="301">
        <f t="shared" ca="1" si="532"/>
        <v>0</v>
      </c>
      <c r="AB104" s="301">
        <f t="shared" ca="1" si="532"/>
        <v>0</v>
      </c>
      <c r="AC104" s="301">
        <f t="shared" ca="1" si="532"/>
        <v>0</v>
      </c>
      <c r="AD104" s="301">
        <f t="shared" ca="1" si="532"/>
        <v>0</v>
      </c>
      <c r="AE104" s="301">
        <f t="shared" ca="1" si="532"/>
        <v>310</v>
      </c>
      <c r="AF104" s="301">
        <f t="shared" ca="1" si="532"/>
        <v>0</v>
      </c>
      <c r="AG104" s="301">
        <f t="shared" ca="1" si="532"/>
        <v>0</v>
      </c>
      <c r="AH104" s="301">
        <f t="shared" ca="1" si="532"/>
        <v>0</v>
      </c>
      <c r="AI104" s="301">
        <f t="shared" ca="1" si="532"/>
        <v>0</v>
      </c>
      <c r="AJ104" s="301">
        <f t="shared" ca="1" si="532"/>
        <v>0</v>
      </c>
      <c r="AK104" s="301">
        <f t="shared" ca="1" si="532"/>
        <v>0</v>
      </c>
      <c r="AL104" s="301">
        <f t="shared" ca="1" si="532"/>
        <v>0</v>
      </c>
      <c r="AM104" s="301">
        <f t="shared" ca="1" si="532"/>
        <v>0</v>
      </c>
      <c r="AN104" s="301">
        <f t="shared" ca="1" si="532"/>
        <v>0</v>
      </c>
      <c r="AO104" s="301">
        <f t="shared" ca="1" si="532"/>
        <v>0</v>
      </c>
      <c r="AP104" s="301">
        <f t="shared" ca="1" si="532"/>
        <v>0</v>
      </c>
      <c r="AQ104" s="301">
        <f t="shared" ca="1" si="532"/>
        <v>0</v>
      </c>
      <c r="AR104" s="301">
        <f t="shared" ca="1" si="532"/>
        <v>0</v>
      </c>
      <c r="AS104" s="301">
        <f t="shared" ca="1" si="532"/>
        <v>0</v>
      </c>
      <c r="AT104" s="301">
        <f t="shared" ca="1" si="532"/>
        <v>0</v>
      </c>
      <c r="AU104" s="301">
        <f t="shared" ca="1" si="532"/>
        <v>0</v>
      </c>
      <c r="AV104" s="301">
        <f t="shared" ca="1" si="532"/>
        <v>0</v>
      </c>
      <c r="AW104" s="301">
        <f t="shared" ca="1" si="532"/>
        <v>0</v>
      </c>
      <c r="AX104" s="301">
        <f t="shared" ca="1" si="532"/>
        <v>0</v>
      </c>
      <c r="AY104" s="301">
        <f t="shared" ca="1" si="532"/>
        <v>141.08000000000001</v>
      </c>
      <c r="AZ104" s="301">
        <f t="shared" ca="1" si="532"/>
        <v>0</v>
      </c>
      <c r="BA104" s="301">
        <f t="shared" ca="1" si="532"/>
        <v>248.2</v>
      </c>
      <c r="BB104" s="301">
        <f t="shared" ca="1" si="532"/>
        <v>320</v>
      </c>
      <c r="BC104" s="301">
        <f t="shared" ca="1" si="532"/>
        <v>0</v>
      </c>
      <c r="BD104" s="301">
        <f t="shared" ca="1" si="532"/>
        <v>0</v>
      </c>
      <c r="BE104" s="301">
        <f t="shared" ca="1" si="532"/>
        <v>617</v>
      </c>
      <c r="BF104" s="301">
        <f ca="1">BF85</f>
        <v>0</v>
      </c>
      <c r="BG104" s="301">
        <f t="shared" ca="1" si="532"/>
        <v>0</v>
      </c>
      <c r="BH104" s="301">
        <f t="shared" ca="1" si="532"/>
        <v>0</v>
      </c>
      <c r="BI104" s="301">
        <f t="shared" ca="1" si="532"/>
        <v>0</v>
      </c>
      <c r="BJ104" s="301">
        <f t="shared" ca="1" si="532"/>
        <v>0</v>
      </c>
      <c r="BK104" s="301">
        <f t="shared" ca="1" si="532"/>
        <v>0</v>
      </c>
      <c r="BL104" s="301">
        <f t="shared" ca="1" si="532"/>
        <v>219.452</v>
      </c>
      <c r="BM104" s="301">
        <f t="shared" ca="1" si="532"/>
        <v>0</v>
      </c>
      <c r="BN104" s="301">
        <f t="shared" ca="1" si="532"/>
        <v>0</v>
      </c>
      <c r="BO104" s="301">
        <f t="shared" ca="1" si="532"/>
        <v>0</v>
      </c>
      <c r="BP104" s="301">
        <f t="shared" ca="1" si="532"/>
        <v>88.5</v>
      </c>
      <c r="BQ104" s="301">
        <f t="shared" ca="1" si="532"/>
        <v>0</v>
      </c>
      <c r="BR104" s="301">
        <f t="shared" ca="1" si="532"/>
        <v>0</v>
      </c>
      <c r="BS104" s="301">
        <f t="shared" ca="1" si="532"/>
        <v>0</v>
      </c>
      <c r="BT104" s="301">
        <f t="shared" ca="1" si="532"/>
        <v>0</v>
      </c>
      <c r="BU104" s="301">
        <f t="shared" ref="BU104:CZ105" ca="1" si="533">BU85</f>
        <v>0</v>
      </c>
      <c r="BV104" s="301">
        <f t="shared" ca="1" si="533"/>
        <v>0</v>
      </c>
      <c r="BW104" s="301">
        <f t="shared" ca="1" si="533"/>
        <v>0</v>
      </c>
      <c r="BX104" s="301">
        <f t="shared" ca="1" si="533"/>
        <v>0</v>
      </c>
      <c r="BY104" s="301">
        <f t="shared" ca="1" si="533"/>
        <v>0</v>
      </c>
      <c r="BZ104" s="301">
        <f t="shared" ca="1" si="533"/>
        <v>0</v>
      </c>
      <c r="CA104" s="301">
        <f t="shared" ca="1" si="533"/>
        <v>0</v>
      </c>
      <c r="CB104" s="301">
        <f t="shared" ca="1" si="533"/>
        <v>0</v>
      </c>
      <c r="CC104" s="301">
        <f t="shared" ca="1" si="533"/>
        <v>0</v>
      </c>
      <c r="CD104" s="301">
        <f t="shared" ca="1" si="533"/>
        <v>0</v>
      </c>
      <c r="CE104" s="301">
        <f t="shared" ca="1" si="533"/>
        <v>0</v>
      </c>
      <c r="CF104" s="301">
        <f t="shared" ca="1" si="533"/>
        <v>0</v>
      </c>
      <c r="CG104" s="301">
        <f t="shared" ca="1" si="533"/>
        <v>0</v>
      </c>
      <c r="CH104" s="301">
        <f t="shared" ca="1" si="533"/>
        <v>0</v>
      </c>
      <c r="CI104" s="301">
        <f t="shared" ca="1" si="533"/>
        <v>0</v>
      </c>
      <c r="CJ104" s="301">
        <f t="shared" ca="1" si="533"/>
        <v>0</v>
      </c>
      <c r="CK104" s="301">
        <f t="shared" ca="1" si="533"/>
        <v>0</v>
      </c>
      <c r="CL104" s="301">
        <f t="shared" ca="1" si="533"/>
        <v>0</v>
      </c>
      <c r="CM104" s="301">
        <f t="shared" ca="1" si="533"/>
        <v>0</v>
      </c>
      <c r="CN104" s="301">
        <f t="shared" ca="1" si="533"/>
        <v>0</v>
      </c>
      <c r="CO104" s="301">
        <f t="shared" ca="1" si="533"/>
        <v>0</v>
      </c>
      <c r="CP104" s="301">
        <f t="shared" ca="1" si="533"/>
        <v>0</v>
      </c>
      <c r="CQ104" s="301">
        <f t="shared" ca="1" si="533"/>
        <v>0</v>
      </c>
      <c r="CR104" s="301">
        <f t="shared" ca="1" si="533"/>
        <v>0</v>
      </c>
      <c r="CS104" s="301">
        <f t="shared" ca="1" si="533"/>
        <v>0</v>
      </c>
      <c r="CT104" s="301">
        <f t="shared" ca="1" si="533"/>
        <v>0</v>
      </c>
      <c r="CU104" s="301">
        <f t="shared" ca="1" si="533"/>
        <v>0</v>
      </c>
      <c r="CV104" s="301">
        <f t="shared" ca="1" si="533"/>
        <v>0</v>
      </c>
      <c r="CW104" s="301">
        <f t="shared" ca="1" si="533"/>
        <v>0</v>
      </c>
      <c r="CX104" s="301">
        <f t="shared" ca="1" si="533"/>
        <v>0</v>
      </c>
      <c r="CY104" s="301">
        <f t="shared" ca="1" si="533"/>
        <v>0</v>
      </c>
      <c r="CZ104" s="301">
        <f t="shared" ca="1" si="533"/>
        <v>0</v>
      </c>
      <c r="DA104" s="301">
        <f t="shared" ref="DA104:EE104" ca="1" si="534">DA85</f>
        <v>0</v>
      </c>
      <c r="DB104" s="301">
        <f t="shared" ca="1" si="534"/>
        <v>0</v>
      </c>
      <c r="DC104" s="301">
        <f t="shared" ca="1" si="534"/>
        <v>0</v>
      </c>
      <c r="DD104" s="301">
        <f t="shared" ca="1" si="534"/>
        <v>0</v>
      </c>
      <c r="DE104" s="301">
        <f t="shared" ca="1" si="534"/>
        <v>0</v>
      </c>
      <c r="DF104" s="301">
        <f t="shared" ca="1" si="534"/>
        <v>0</v>
      </c>
      <c r="DG104" s="301">
        <f t="shared" ca="1" si="534"/>
        <v>0</v>
      </c>
      <c r="DH104" s="301">
        <f t="shared" si="534"/>
        <v>0</v>
      </c>
      <c r="DI104" s="301">
        <f t="shared" si="534"/>
        <v>0</v>
      </c>
      <c r="DJ104" s="301">
        <f t="shared" si="534"/>
        <v>0</v>
      </c>
      <c r="DK104" s="301">
        <f t="shared" si="534"/>
        <v>0</v>
      </c>
      <c r="DL104" s="301">
        <f t="shared" si="534"/>
        <v>0</v>
      </c>
      <c r="DM104" s="301">
        <f t="shared" si="534"/>
        <v>0</v>
      </c>
      <c r="DN104" s="301">
        <f t="shared" si="534"/>
        <v>0</v>
      </c>
      <c r="DO104" s="301">
        <f t="shared" si="534"/>
        <v>0</v>
      </c>
      <c r="DP104" s="301">
        <f t="shared" si="534"/>
        <v>0</v>
      </c>
      <c r="DQ104" s="301">
        <f t="shared" si="534"/>
        <v>0</v>
      </c>
      <c r="DR104" s="301">
        <f t="shared" si="534"/>
        <v>0</v>
      </c>
      <c r="DS104" s="301">
        <f t="shared" si="534"/>
        <v>0</v>
      </c>
      <c r="DT104" s="301">
        <f t="shared" si="534"/>
        <v>0</v>
      </c>
      <c r="DU104" s="301">
        <f t="shared" si="534"/>
        <v>0</v>
      </c>
      <c r="DV104" s="301">
        <f t="shared" si="534"/>
        <v>0</v>
      </c>
      <c r="DW104" s="301">
        <f t="shared" si="534"/>
        <v>0</v>
      </c>
      <c r="DX104" s="301">
        <f t="shared" si="534"/>
        <v>0</v>
      </c>
      <c r="DY104" s="301">
        <f t="shared" si="534"/>
        <v>0</v>
      </c>
      <c r="DZ104" s="301">
        <f t="shared" si="534"/>
        <v>0</v>
      </c>
      <c r="EA104" s="301">
        <f t="shared" si="534"/>
        <v>0</v>
      </c>
      <c r="EB104" s="301">
        <f t="shared" si="534"/>
        <v>0</v>
      </c>
      <c r="EC104" s="301">
        <f t="shared" si="534"/>
        <v>0</v>
      </c>
      <c r="ED104" s="301">
        <f t="shared" si="534"/>
        <v>0</v>
      </c>
      <c r="EE104" s="301">
        <f t="shared" si="534"/>
        <v>0</v>
      </c>
    </row>
    <row r="105" spans="3:135">
      <c r="C105" s="265" t="str">
        <f>C86</f>
        <v>Return of Capital</v>
      </c>
      <c r="G105" s="301">
        <f t="shared" ca="1" si="492"/>
        <v>-11741.205068019079</v>
      </c>
      <c r="H105" s="301"/>
      <c r="I105" s="301">
        <f t="shared" si="532"/>
        <v>0</v>
      </c>
      <c r="J105" s="301">
        <f t="shared" ca="1" si="532"/>
        <v>0</v>
      </c>
      <c r="K105" s="301">
        <f t="shared" ca="1" si="532"/>
        <v>0</v>
      </c>
      <c r="L105" s="301">
        <f t="shared" ca="1" si="532"/>
        <v>0</v>
      </c>
      <c r="M105" s="301">
        <f t="shared" ca="1" si="532"/>
        <v>0</v>
      </c>
      <c r="N105" s="301">
        <f t="shared" ca="1" si="532"/>
        <v>0</v>
      </c>
      <c r="O105" s="301">
        <f t="shared" ca="1" si="532"/>
        <v>0</v>
      </c>
      <c r="P105" s="301">
        <f t="shared" ca="1" si="532"/>
        <v>0</v>
      </c>
      <c r="Q105" s="301">
        <f t="shared" ca="1" si="532"/>
        <v>0</v>
      </c>
      <c r="R105" s="301">
        <f t="shared" ca="1" si="532"/>
        <v>0</v>
      </c>
      <c r="S105" s="301">
        <f t="shared" ca="1" si="532"/>
        <v>0</v>
      </c>
      <c r="T105" s="301">
        <f t="shared" ca="1" si="532"/>
        <v>0</v>
      </c>
      <c r="U105" s="301">
        <f t="shared" ca="1" si="532"/>
        <v>0</v>
      </c>
      <c r="V105" s="301">
        <f t="shared" ca="1" si="532"/>
        <v>0</v>
      </c>
      <c r="W105" s="301">
        <f t="shared" ca="1" si="532"/>
        <v>0</v>
      </c>
      <c r="X105" s="301">
        <f t="shared" ca="1" si="532"/>
        <v>0</v>
      </c>
      <c r="Y105" s="301">
        <f t="shared" ca="1" si="532"/>
        <v>0</v>
      </c>
      <c r="Z105" s="301">
        <f t="shared" ca="1" si="532"/>
        <v>0</v>
      </c>
      <c r="AA105" s="301">
        <f t="shared" ca="1" si="532"/>
        <v>0</v>
      </c>
      <c r="AB105" s="301">
        <f t="shared" ca="1" si="532"/>
        <v>0</v>
      </c>
      <c r="AC105" s="301">
        <f t="shared" ca="1" si="532"/>
        <v>0</v>
      </c>
      <c r="AD105" s="301">
        <f t="shared" ca="1" si="532"/>
        <v>0</v>
      </c>
      <c r="AE105" s="301">
        <f t="shared" ca="1" si="532"/>
        <v>0</v>
      </c>
      <c r="AF105" s="301">
        <f t="shared" ca="1" si="532"/>
        <v>0</v>
      </c>
      <c r="AG105" s="301">
        <f t="shared" ca="1" si="532"/>
        <v>0</v>
      </c>
      <c r="AH105" s="301">
        <f t="shared" ca="1" si="532"/>
        <v>0</v>
      </c>
      <c r="AI105" s="301">
        <f t="shared" ca="1" si="532"/>
        <v>0</v>
      </c>
      <c r="AJ105" s="301">
        <f t="shared" ca="1" si="532"/>
        <v>0</v>
      </c>
      <c r="AK105" s="301">
        <f t="shared" ca="1" si="532"/>
        <v>0</v>
      </c>
      <c r="AL105" s="301">
        <f t="shared" ca="1" si="532"/>
        <v>0</v>
      </c>
      <c r="AM105" s="301">
        <f t="shared" ca="1" si="532"/>
        <v>0</v>
      </c>
      <c r="AN105" s="301">
        <f t="shared" ca="1" si="532"/>
        <v>0</v>
      </c>
      <c r="AO105" s="301">
        <f t="shared" ca="1" si="532"/>
        <v>0</v>
      </c>
      <c r="AP105" s="301">
        <f t="shared" ca="1" si="532"/>
        <v>0</v>
      </c>
      <c r="AQ105" s="301">
        <f t="shared" ca="1" si="532"/>
        <v>0</v>
      </c>
      <c r="AR105" s="301">
        <f t="shared" ca="1" si="532"/>
        <v>0</v>
      </c>
      <c r="AS105" s="301">
        <f t="shared" ca="1" si="532"/>
        <v>0</v>
      </c>
      <c r="AT105" s="301">
        <f t="shared" ca="1" si="532"/>
        <v>0</v>
      </c>
      <c r="AU105" s="301">
        <f t="shared" ca="1" si="532"/>
        <v>0</v>
      </c>
      <c r="AV105" s="301">
        <f t="shared" ca="1" si="532"/>
        <v>0</v>
      </c>
      <c r="AW105" s="301">
        <f t="shared" ca="1" si="532"/>
        <v>0</v>
      </c>
      <c r="AX105" s="301">
        <f t="shared" ca="1" si="532"/>
        <v>0</v>
      </c>
      <c r="AY105" s="301">
        <f t="shared" ca="1" si="532"/>
        <v>0</v>
      </c>
      <c r="AZ105" s="301">
        <f t="shared" ca="1" si="532"/>
        <v>0</v>
      </c>
      <c r="BA105" s="301">
        <f t="shared" ca="1" si="532"/>
        <v>0</v>
      </c>
      <c r="BB105" s="301">
        <f t="shared" ca="1" si="532"/>
        <v>0</v>
      </c>
      <c r="BC105" s="301">
        <f t="shared" ca="1" si="532"/>
        <v>0</v>
      </c>
      <c r="BD105" s="301">
        <f t="shared" ca="1" si="532"/>
        <v>0</v>
      </c>
      <c r="BE105" s="301">
        <f t="shared" ca="1" si="532"/>
        <v>0</v>
      </c>
      <c r="BF105" s="301">
        <f t="shared" ca="1" si="532"/>
        <v>0</v>
      </c>
      <c r="BG105" s="301">
        <f t="shared" ca="1" si="532"/>
        <v>0</v>
      </c>
      <c r="BH105" s="301">
        <f t="shared" ca="1" si="532"/>
        <v>0</v>
      </c>
      <c r="BI105" s="301">
        <f t="shared" ca="1" si="532"/>
        <v>0</v>
      </c>
      <c r="BJ105" s="301">
        <f t="shared" ca="1" si="532"/>
        <v>0</v>
      </c>
      <c r="BK105" s="301">
        <f t="shared" ca="1" si="532"/>
        <v>0</v>
      </c>
      <c r="BL105" s="301">
        <f t="shared" ca="1" si="532"/>
        <v>0</v>
      </c>
      <c r="BM105" s="301">
        <f t="shared" ca="1" si="532"/>
        <v>0</v>
      </c>
      <c r="BN105" s="301">
        <f t="shared" ca="1" si="532"/>
        <v>0</v>
      </c>
      <c r="BO105" s="301">
        <f t="shared" ca="1" si="532"/>
        <v>0</v>
      </c>
      <c r="BP105" s="301">
        <f t="shared" ca="1" si="532"/>
        <v>0</v>
      </c>
      <c r="BQ105" s="301">
        <f t="shared" ca="1" si="532"/>
        <v>0</v>
      </c>
      <c r="BR105" s="301">
        <f t="shared" ca="1" si="532"/>
        <v>0</v>
      </c>
      <c r="BS105" s="301">
        <f t="shared" ca="1" si="532"/>
        <v>0</v>
      </c>
      <c r="BT105" s="301">
        <f t="shared" ca="1" si="532"/>
        <v>0</v>
      </c>
      <c r="BU105" s="301">
        <f t="shared" ca="1" si="533"/>
        <v>0</v>
      </c>
      <c r="BV105" s="301">
        <f t="shared" ca="1" si="533"/>
        <v>0</v>
      </c>
      <c r="BW105" s="301">
        <f t="shared" ca="1" si="533"/>
        <v>0</v>
      </c>
      <c r="BX105" s="301">
        <f t="shared" ca="1" si="533"/>
        <v>0</v>
      </c>
      <c r="BY105" s="301">
        <f t="shared" ca="1" si="533"/>
        <v>0</v>
      </c>
      <c r="BZ105" s="301">
        <f t="shared" ca="1" si="533"/>
        <v>0</v>
      </c>
      <c r="CA105" s="301">
        <f t="shared" ca="1" si="533"/>
        <v>0</v>
      </c>
      <c r="CB105" s="301">
        <f t="shared" ca="1" si="533"/>
        <v>0</v>
      </c>
      <c r="CC105" s="301">
        <f t="shared" ca="1" si="533"/>
        <v>0</v>
      </c>
      <c r="CD105" s="301">
        <f t="shared" ca="1" si="533"/>
        <v>0</v>
      </c>
      <c r="CE105" s="301">
        <f t="shared" ca="1" si="533"/>
        <v>0</v>
      </c>
      <c r="CF105" s="301">
        <f t="shared" ca="1" si="533"/>
        <v>0</v>
      </c>
      <c r="CG105" s="301">
        <f t="shared" ca="1" si="533"/>
        <v>0</v>
      </c>
      <c r="CH105" s="301">
        <f t="shared" ca="1" si="533"/>
        <v>0</v>
      </c>
      <c r="CI105" s="301">
        <f t="shared" ca="1" si="533"/>
        <v>0</v>
      </c>
      <c r="CJ105" s="301">
        <f t="shared" ca="1" si="533"/>
        <v>0</v>
      </c>
      <c r="CK105" s="301">
        <f t="shared" ca="1" si="533"/>
        <v>0</v>
      </c>
      <c r="CL105" s="301">
        <f t="shared" ca="1" si="533"/>
        <v>0</v>
      </c>
      <c r="CM105" s="301">
        <f t="shared" ca="1" si="533"/>
        <v>0</v>
      </c>
      <c r="CN105" s="301">
        <f t="shared" ca="1" si="533"/>
        <v>0</v>
      </c>
      <c r="CO105" s="301">
        <f t="shared" ca="1" si="533"/>
        <v>0</v>
      </c>
      <c r="CP105" s="301">
        <f t="shared" ca="1" si="533"/>
        <v>0</v>
      </c>
      <c r="CQ105" s="301">
        <f t="shared" ca="1" si="533"/>
        <v>0</v>
      </c>
      <c r="CR105" s="301">
        <f t="shared" ca="1" si="533"/>
        <v>0</v>
      </c>
      <c r="CS105" s="301">
        <f t="shared" ca="1" si="533"/>
        <v>0</v>
      </c>
      <c r="CT105" s="301">
        <f t="shared" ca="1" si="533"/>
        <v>0</v>
      </c>
      <c r="CU105" s="301">
        <f t="shared" ca="1" si="533"/>
        <v>0</v>
      </c>
      <c r="CV105" s="301">
        <f t="shared" ca="1" si="533"/>
        <v>0</v>
      </c>
      <c r="CW105" s="301">
        <f t="shared" ca="1" si="533"/>
        <v>0</v>
      </c>
      <c r="CX105" s="301">
        <f t="shared" ca="1" si="533"/>
        <v>0</v>
      </c>
      <c r="CY105" s="301">
        <f t="shared" ca="1" si="533"/>
        <v>0</v>
      </c>
      <c r="CZ105" s="301">
        <f t="shared" ca="1" si="533"/>
        <v>0</v>
      </c>
      <c r="DA105" s="301">
        <f t="shared" ref="DA105:EE105" ca="1" si="535">DA86</f>
        <v>0</v>
      </c>
      <c r="DB105" s="301">
        <f t="shared" ca="1" si="535"/>
        <v>0</v>
      </c>
      <c r="DC105" s="301">
        <f t="shared" ca="1" si="535"/>
        <v>0</v>
      </c>
      <c r="DD105" s="301">
        <f t="shared" ca="1" si="535"/>
        <v>0</v>
      </c>
      <c r="DE105" s="301">
        <f t="shared" ca="1" si="535"/>
        <v>0</v>
      </c>
      <c r="DF105" s="301">
        <f t="shared" ca="1" si="535"/>
        <v>0</v>
      </c>
      <c r="DG105" s="301">
        <f t="shared" ca="1" si="535"/>
        <v>-11741.205068019079</v>
      </c>
      <c r="DH105" s="301">
        <f t="shared" ca="1" si="535"/>
        <v>0</v>
      </c>
      <c r="DI105" s="301">
        <f t="shared" ca="1" si="535"/>
        <v>0</v>
      </c>
      <c r="DJ105" s="301">
        <f t="shared" ca="1" si="535"/>
        <v>0</v>
      </c>
      <c r="DK105" s="301">
        <f t="shared" ca="1" si="535"/>
        <v>0</v>
      </c>
      <c r="DL105" s="301">
        <f t="shared" ca="1" si="535"/>
        <v>0</v>
      </c>
      <c r="DM105" s="301">
        <f t="shared" ca="1" si="535"/>
        <v>0</v>
      </c>
      <c r="DN105" s="301">
        <f t="shared" ca="1" si="535"/>
        <v>0</v>
      </c>
      <c r="DO105" s="301">
        <f t="shared" ca="1" si="535"/>
        <v>0</v>
      </c>
      <c r="DP105" s="301">
        <f t="shared" ca="1" si="535"/>
        <v>0</v>
      </c>
      <c r="DQ105" s="301">
        <f t="shared" ca="1" si="535"/>
        <v>0</v>
      </c>
      <c r="DR105" s="301">
        <f t="shared" ca="1" si="535"/>
        <v>0</v>
      </c>
      <c r="DS105" s="301">
        <f t="shared" ca="1" si="535"/>
        <v>0</v>
      </c>
      <c r="DT105" s="301">
        <f t="shared" ca="1" si="535"/>
        <v>0</v>
      </c>
      <c r="DU105" s="301">
        <f t="shared" ca="1" si="535"/>
        <v>0</v>
      </c>
      <c r="DV105" s="301">
        <f t="shared" ca="1" si="535"/>
        <v>0</v>
      </c>
      <c r="DW105" s="301">
        <f t="shared" ca="1" si="535"/>
        <v>0</v>
      </c>
      <c r="DX105" s="301">
        <f t="shared" ca="1" si="535"/>
        <v>0</v>
      </c>
      <c r="DY105" s="301">
        <f t="shared" ca="1" si="535"/>
        <v>0</v>
      </c>
      <c r="DZ105" s="301">
        <f t="shared" ca="1" si="535"/>
        <v>0</v>
      </c>
      <c r="EA105" s="301">
        <f t="shared" ca="1" si="535"/>
        <v>0</v>
      </c>
      <c r="EB105" s="301">
        <f t="shared" ca="1" si="535"/>
        <v>0</v>
      </c>
      <c r="EC105" s="301">
        <f t="shared" ca="1" si="535"/>
        <v>0</v>
      </c>
      <c r="ED105" s="301">
        <f t="shared" ca="1" si="535"/>
        <v>0</v>
      </c>
      <c r="EE105" s="301">
        <f t="shared" ca="1" si="535"/>
        <v>0</v>
      </c>
    </row>
    <row r="106" spans="3:135">
      <c r="C106" s="314" t="str">
        <f>C87</f>
        <v>Ending Capital Balance</v>
      </c>
      <c r="D106" s="314"/>
      <c r="E106" s="314"/>
      <c r="F106" s="314"/>
      <c r="G106" s="315"/>
      <c r="H106" s="315"/>
      <c r="I106" s="315">
        <f t="shared" ref="I106:BT106" si="536">SUM(I97:I105)</f>
        <v>13708</v>
      </c>
      <c r="J106" s="315">
        <f t="shared" ca="1" si="536"/>
        <v>13866.375585483509</v>
      </c>
      <c r="K106" s="315">
        <f t="shared" ca="1" si="536"/>
        <v>14031.952904247157</v>
      </c>
      <c r="L106" s="315">
        <f t="shared" ca="1" si="536"/>
        <v>14194.071284513218</v>
      </c>
      <c r="M106" s="315">
        <f t="shared" ca="1" si="536"/>
        <v>14363.561592282625</v>
      </c>
      <c r="N106" s="315">
        <f t="shared" ca="1" si="536"/>
        <v>14680.336218545115</v>
      </c>
      <c r="O106" s="315">
        <f t="shared" ca="1" si="536"/>
        <v>14855.632978295391</v>
      </c>
      <c r="P106" s="315">
        <f t="shared" ca="1" si="536"/>
        <v>15033.022943100474</v>
      </c>
      <c r="Q106" s="315">
        <f t="shared" ca="1" si="536"/>
        <v>15195.066076069497</v>
      </c>
      <c r="R106" s="315">
        <f t="shared" ca="1" si="536"/>
        <v>15376.509185251249</v>
      </c>
      <c r="S106" s="315">
        <f t="shared" ca="1" si="536"/>
        <v>15554.161916861018</v>
      </c>
      <c r="T106" s="315">
        <f t="shared" ca="1" si="536"/>
        <v>15739.892961713551</v>
      </c>
      <c r="U106" s="315">
        <f t="shared" ca="1" si="536"/>
        <v>15921.744053284834</v>
      </c>
      <c r="V106" s="315">
        <f t="shared" ca="1" si="536"/>
        <v>16191.03936800816</v>
      </c>
      <c r="W106" s="315">
        <f t="shared" ca="1" si="536"/>
        <v>16384.37531726357</v>
      </c>
      <c r="X106" s="315">
        <f t="shared" ca="1" si="536"/>
        <v>16573.672445484546</v>
      </c>
      <c r="Y106" s="315">
        <f t="shared" ca="1" si="536"/>
        <v>16771.577386734167</v>
      </c>
      <c r="Z106" s="315">
        <f t="shared" ca="1" si="536"/>
        <v>16965.348059925444</v>
      </c>
      <c r="AA106" s="315">
        <f t="shared" ca="1" si="536"/>
        <v>17167.929969404031</v>
      </c>
      <c r="AB106" s="315">
        <f t="shared" ca="1" si="536"/>
        <v>17372.930893800734</v>
      </c>
      <c r="AC106" s="315">
        <f t="shared" ca="1" si="536"/>
        <v>17560.196233682214</v>
      </c>
      <c r="AD106" s="315">
        <f t="shared" ca="1" si="536"/>
        <v>17769.881179211927</v>
      </c>
      <c r="AE106" s="315">
        <f t="shared" ca="1" si="536"/>
        <v>18285.185770379863</v>
      </c>
      <c r="AF106" s="315">
        <f t="shared" ca="1" si="536"/>
        <v>18503.527759913472</v>
      </c>
      <c r="AG106" s="315">
        <f t="shared" ca="1" si="536"/>
        <v>18717.308547955978</v>
      </c>
      <c r="AH106" s="315">
        <f t="shared" ca="1" si="536"/>
        <v>18940.810482166307</v>
      </c>
      <c r="AI106" s="315">
        <f t="shared" ca="1" si="536"/>
        <v>19166.981235692609</v>
      </c>
      <c r="AJ106" s="315">
        <f t="shared" ca="1" si="536"/>
        <v>19388.427243509523</v>
      </c>
      <c r="AK106" s="315">
        <f t="shared" ca="1" si="536"/>
        <v>19619.942954174767</v>
      </c>
      <c r="AL106" s="315">
        <f t="shared" ca="1" si="536"/>
        <v>19846.622262062167</v>
      </c>
      <c r="AM106" s="315">
        <f t="shared" ca="1" si="536"/>
        <v>20083.609244017814</v>
      </c>
      <c r="AN106" s="315">
        <f t="shared" ca="1" si="536"/>
        <v>20323.426069201938</v>
      </c>
      <c r="AO106" s="315">
        <f t="shared" ca="1" si="536"/>
        <v>20542.495224180464</v>
      </c>
      <c r="AP106" s="315">
        <f t="shared" ca="1" si="536"/>
        <v>20787.791571374153</v>
      </c>
      <c r="AQ106" s="315">
        <f t="shared" ca="1" si="536"/>
        <v>21027.963635936856</v>
      </c>
      <c r="AR106" s="315">
        <f t="shared" ca="1" si="536"/>
        <v>21279.056923900505</v>
      </c>
      <c r="AS106" s="315">
        <f t="shared" ca="1" si="536"/>
        <v>21524.904830149386</v>
      </c>
      <c r="AT106" s="315">
        <f t="shared" ca="1" si="536"/>
        <v>21781.932054491266</v>
      </c>
      <c r="AU106" s="315">
        <f t="shared" ca="1" si="536"/>
        <v>22042.028421046511</v>
      </c>
      <c r="AV106" s="315">
        <f t="shared" ca="1" si="536"/>
        <v>22296.691330035959</v>
      </c>
      <c r="AW106" s="315">
        <f t="shared" ca="1" si="536"/>
        <v>22562.934397300989</v>
      </c>
      <c r="AX106" s="315">
        <f t="shared" ca="1" si="536"/>
        <v>22823.615601371497</v>
      </c>
      <c r="AY106" s="315">
        <f t="shared" ca="1" si="536"/>
        <v>23237.230630620492</v>
      </c>
      <c r="AZ106" s="315">
        <f t="shared" ca="1" si="536"/>
        <v>23514.704604954393</v>
      </c>
      <c r="BA106" s="315">
        <f t="shared" ca="1" si="536"/>
        <v>24025.475814038135</v>
      </c>
      <c r="BB106" s="315">
        <f t="shared" ca="1" si="536"/>
        <v>24632.362163162696</v>
      </c>
      <c r="BC106" s="315">
        <f t="shared" ca="1" si="536"/>
        <v>24916.95253224883</v>
      </c>
      <c r="BD106" s="315">
        <f t="shared" ca="1" si="536"/>
        <v>25214.483935939494</v>
      </c>
      <c r="BE106" s="315">
        <f t="shared" ca="1" si="536"/>
        <v>26122.799857738366</v>
      </c>
      <c r="BF106" s="315">
        <f t="shared" ca="1" si="536"/>
        <v>26434.730191110546</v>
      </c>
      <c r="BG106" s="315">
        <f t="shared" ca="1" si="536"/>
        <v>26750.385260476094</v>
      </c>
      <c r="BH106" s="315">
        <f t="shared" ca="1" si="536"/>
        <v>27059.446241475314</v>
      </c>
      <c r="BI106" s="315">
        <f t="shared" ca="1" si="536"/>
        <v>27382.560996897275</v>
      </c>
      <c r="BJ106" s="315">
        <f t="shared" ca="1" si="536"/>
        <v>27698.925829835815</v>
      </c>
      <c r="BK106" s="315">
        <f t="shared" ca="1" si="536"/>
        <v>28029.676561579927</v>
      </c>
      <c r="BL106" s="315">
        <f t="shared" ca="1" si="536"/>
        <v>28583.828762239238</v>
      </c>
      <c r="BM106" s="315">
        <f t="shared" ca="1" si="536"/>
        <v>28891.937994987344</v>
      </c>
      <c r="BN106" s="315">
        <f t="shared" ca="1" si="536"/>
        <v>29236.934392755749</v>
      </c>
      <c r="BO106" s="315">
        <f t="shared" ca="1" si="536"/>
        <v>29574.723756791031</v>
      </c>
      <c r="BP106" s="315">
        <f t="shared" ca="1" si="536"/>
        <v>30016.373246550382</v>
      </c>
      <c r="BQ106" s="315">
        <f t="shared" ca="1" si="536"/>
        <v>30363.167869180521</v>
      </c>
      <c r="BR106" s="315">
        <f t="shared" ca="1" si="536"/>
        <v>30725.732109126009</v>
      </c>
      <c r="BS106" s="315">
        <f t="shared" ca="1" si="536"/>
        <v>31092.62570062841</v>
      </c>
      <c r="BT106" s="315">
        <f t="shared" ca="1" si="536"/>
        <v>31451.854822276837</v>
      </c>
      <c r="BU106" s="315">
        <f t="shared" ref="BU106:CZ106" ca="1" si="537">SUM(BU97:BU105)</f>
        <v>31827.418988955549</v>
      </c>
      <c r="BV106" s="315">
        <f t="shared" ca="1" si="537"/>
        <v>32195.137555982452</v>
      </c>
      <c r="BW106" s="315">
        <f t="shared" ca="1" si="537"/>
        <v>32579.577204316163</v>
      </c>
      <c r="BX106" s="315">
        <f t="shared" ca="1" si="537"/>
        <v>32968.607416767016</v>
      </c>
      <c r="BY106" s="315">
        <f t="shared" ca="1" si="537"/>
        <v>33323.980814097631</v>
      </c>
      <c r="BZ106" s="315">
        <f t="shared" ca="1" si="537"/>
        <v>33721.899892498041</v>
      </c>
      <c r="CA106" s="315">
        <f t="shared" ca="1" si="537"/>
        <v>34111.506373318778</v>
      </c>
      <c r="CB106" s="315">
        <f t="shared" ca="1" si="537"/>
        <v>34518.829233532961</v>
      </c>
      <c r="CC106" s="315">
        <f t="shared" ca="1" si="537"/>
        <v>34917.643049557621</v>
      </c>
      <c r="CD106" s="315">
        <f t="shared" ca="1" si="537"/>
        <v>35334.591925494933</v>
      </c>
      <c r="CE106" s="315">
        <f t="shared" ca="1" si="537"/>
        <v>35756.519555722691</v>
      </c>
      <c r="CF106" s="315">
        <f t="shared" ca="1" si="537"/>
        <v>36169.633045618379</v>
      </c>
      <c r="CG106" s="315">
        <f t="shared" ca="1" si="537"/>
        <v>36601.531837298899</v>
      </c>
      <c r="CH106" s="315">
        <f t="shared" ca="1" si="537"/>
        <v>37024.408189379836</v>
      </c>
      <c r="CI106" s="315">
        <f t="shared" ca="1" si="537"/>
        <v>37466.513784963601</v>
      </c>
      <c r="CJ106" s="315">
        <f t="shared" ca="1" si="537"/>
        <v>37913.89852928208</v>
      </c>
      <c r="CK106" s="315">
        <f t="shared" ca="1" si="537"/>
        <v>38322.577936212292</v>
      </c>
      <c r="CL106" s="315">
        <f t="shared" ca="1" si="537"/>
        <v>38780.184876372761</v>
      </c>
      <c r="CM106" s="315">
        <f t="shared" ca="1" si="537"/>
        <v>39228.232329316605</v>
      </c>
      <c r="CN106" s="315">
        <f t="shared" ca="1" si="537"/>
        <v>39696.653618562916</v>
      </c>
      <c r="CO106" s="315">
        <f t="shared" ca="1" si="537"/>
        <v>40155.289506991277</v>
      </c>
      <c r="CP106" s="315">
        <f t="shared" ca="1" si="537"/>
        <v>40634.780714319182</v>
      </c>
      <c r="CQ106" s="315">
        <f t="shared" ca="1" si="537"/>
        <v>41119.997489081106</v>
      </c>
      <c r="CR106" s="315">
        <f t="shared" ca="1" si="537"/>
        <v>41595.078002461152</v>
      </c>
      <c r="CS106" s="315">
        <f t="shared" ca="1" si="537"/>
        <v>42091.761612893744</v>
      </c>
      <c r="CT106" s="315">
        <f t="shared" ca="1" si="537"/>
        <v>42578.069417786821</v>
      </c>
      <c r="CU106" s="315">
        <f t="shared" ca="1" si="537"/>
        <v>43086.49085270815</v>
      </c>
      <c r="CV106" s="315">
        <f t="shared" ca="1" si="537"/>
        <v>43600.983308674404</v>
      </c>
      <c r="CW106" s="315">
        <f t="shared" ca="1" si="537"/>
        <v>44087.843045886948</v>
      </c>
      <c r="CX106" s="315">
        <f t="shared" ca="1" si="537"/>
        <v>44614.292570970683</v>
      </c>
      <c r="CY106" s="315">
        <f t="shared" ca="1" si="537"/>
        <v>45129.744475468789</v>
      </c>
      <c r="CZ106" s="315">
        <f t="shared" ca="1" si="537"/>
        <v>45668.635264966768</v>
      </c>
      <c r="DA106" s="315">
        <f t="shared" ref="DA106:EE106" ca="1" si="538">SUM(DA97:DA105)</f>
        <v>46196.268533738432</v>
      </c>
      <c r="DB106" s="315">
        <f t="shared" ca="1" si="538"/>
        <v>46747.894604556073</v>
      </c>
      <c r="DC106" s="315">
        <f t="shared" ca="1" si="538"/>
        <v>47306.107599635434</v>
      </c>
      <c r="DD106" s="315">
        <f t="shared" ca="1" si="538"/>
        <v>47852.659429810381</v>
      </c>
      <c r="DE106" s="315">
        <f t="shared" ca="1" si="538"/>
        <v>48424.064336251315</v>
      </c>
      <c r="DF106" s="315">
        <f t="shared" ca="1" si="538"/>
        <v>48983.532496504078</v>
      </c>
      <c r="DG106" s="315">
        <f t="shared" ca="1" si="538"/>
        <v>21757.813246842881</v>
      </c>
      <c r="DH106" s="315">
        <f t="shared" ca="1" si="538"/>
        <v>22017.621612580784</v>
      </c>
      <c r="DI106" s="315">
        <f t="shared" ca="1" si="538"/>
        <v>22017.621612580784</v>
      </c>
      <c r="DJ106" s="315">
        <f t="shared" ca="1" si="538"/>
        <v>22017.621612580784</v>
      </c>
      <c r="DK106" s="315">
        <f t="shared" ca="1" si="538"/>
        <v>22017.621612580784</v>
      </c>
      <c r="DL106" s="315">
        <f t="shared" ca="1" si="538"/>
        <v>22017.621612580784</v>
      </c>
      <c r="DM106" s="315">
        <f t="shared" ca="1" si="538"/>
        <v>22017.621612580784</v>
      </c>
      <c r="DN106" s="315">
        <f t="shared" ca="1" si="538"/>
        <v>22017.621612580784</v>
      </c>
      <c r="DO106" s="315">
        <f t="shared" ca="1" si="538"/>
        <v>22017.621612580784</v>
      </c>
      <c r="DP106" s="315">
        <f t="shared" ca="1" si="538"/>
        <v>22017.621612580784</v>
      </c>
      <c r="DQ106" s="315">
        <f t="shared" ca="1" si="538"/>
        <v>22017.621612580784</v>
      </c>
      <c r="DR106" s="315">
        <f t="shared" ca="1" si="538"/>
        <v>22017.621612580784</v>
      </c>
      <c r="DS106" s="315">
        <f t="shared" ca="1" si="538"/>
        <v>22017.621612580784</v>
      </c>
      <c r="DT106" s="315">
        <f t="shared" ca="1" si="538"/>
        <v>22017.621612580784</v>
      </c>
      <c r="DU106" s="315">
        <f t="shared" ca="1" si="538"/>
        <v>22017.621612580784</v>
      </c>
      <c r="DV106" s="315">
        <f t="shared" ca="1" si="538"/>
        <v>22017.621612580784</v>
      </c>
      <c r="DW106" s="315">
        <f t="shared" ca="1" si="538"/>
        <v>22017.621612580784</v>
      </c>
      <c r="DX106" s="315">
        <f t="shared" ca="1" si="538"/>
        <v>22017.621612580784</v>
      </c>
      <c r="DY106" s="315">
        <f t="shared" ca="1" si="538"/>
        <v>22017.621612580784</v>
      </c>
      <c r="DZ106" s="315">
        <f t="shared" ca="1" si="538"/>
        <v>22017.621612580784</v>
      </c>
      <c r="EA106" s="315">
        <f t="shared" ca="1" si="538"/>
        <v>22017.621612580784</v>
      </c>
      <c r="EB106" s="315">
        <f t="shared" ca="1" si="538"/>
        <v>22017.621612580784</v>
      </c>
      <c r="EC106" s="315">
        <f t="shared" ca="1" si="538"/>
        <v>22017.621612580784</v>
      </c>
      <c r="ED106" s="315">
        <f t="shared" ca="1" si="538"/>
        <v>22017.621612580784</v>
      </c>
      <c r="EE106" s="315">
        <f t="shared" ca="1" si="538"/>
        <v>22017.621612580784</v>
      </c>
    </row>
    <row r="108" spans="3:135">
      <c r="C108" s="265" t="str">
        <f t="shared" ref="C108:C109" si="539">C89</f>
        <v>Cash Flows to Investors</v>
      </c>
      <c r="G108" s="301">
        <f ca="1">SUMIF($I$8:$EE$8, "&lt;="&amp;$E$8, $I108:$EE108)</f>
        <v>11928.395823956129</v>
      </c>
      <c r="H108" s="301"/>
      <c r="I108" s="301">
        <f t="shared" ref="I108:AN108" si="540">-SUM(I99:I105)</f>
        <v>-13708</v>
      </c>
      <c r="J108" s="301">
        <f t="shared" ca="1" si="540"/>
        <v>0</v>
      </c>
      <c r="K108" s="301">
        <f t="shared" ca="1" si="540"/>
        <v>0</v>
      </c>
      <c r="L108" s="301">
        <f t="shared" ca="1" si="540"/>
        <v>0</v>
      </c>
      <c r="M108" s="301">
        <f t="shared" ca="1" si="540"/>
        <v>0</v>
      </c>
      <c r="N108" s="301">
        <f t="shared" ca="1" si="540"/>
        <v>-150.82499999999999</v>
      </c>
      <c r="O108" s="301">
        <f t="shared" ca="1" si="540"/>
        <v>0</v>
      </c>
      <c r="P108" s="301">
        <f t="shared" ca="1" si="540"/>
        <v>0</v>
      </c>
      <c r="Q108" s="301">
        <f t="shared" ca="1" si="540"/>
        <v>0</v>
      </c>
      <c r="R108" s="301">
        <f t="shared" ca="1" si="540"/>
        <v>0</v>
      </c>
      <c r="S108" s="301">
        <f t="shared" ca="1" si="540"/>
        <v>0</v>
      </c>
      <c r="T108" s="301">
        <f t="shared" ca="1" si="540"/>
        <v>0</v>
      </c>
      <c r="U108" s="301">
        <f t="shared" ca="1" si="540"/>
        <v>0</v>
      </c>
      <c r="V108" s="301">
        <f t="shared" ca="1" si="540"/>
        <v>-79.174999999999997</v>
      </c>
      <c r="W108" s="301">
        <f t="shared" ca="1" si="540"/>
        <v>0</v>
      </c>
      <c r="X108" s="301">
        <f t="shared" ca="1" si="540"/>
        <v>0</v>
      </c>
      <c r="Y108" s="301">
        <f t="shared" ca="1" si="540"/>
        <v>0</v>
      </c>
      <c r="Z108" s="301">
        <f t="shared" ca="1" si="540"/>
        <v>0</v>
      </c>
      <c r="AA108" s="301">
        <f t="shared" ca="1" si="540"/>
        <v>0</v>
      </c>
      <c r="AB108" s="301">
        <f t="shared" ca="1" si="540"/>
        <v>0</v>
      </c>
      <c r="AC108" s="301">
        <f t="shared" ca="1" si="540"/>
        <v>0</v>
      </c>
      <c r="AD108" s="301">
        <f t="shared" ca="1" si="540"/>
        <v>0</v>
      </c>
      <c r="AE108" s="301">
        <f t="shared" ca="1" si="540"/>
        <v>-310</v>
      </c>
      <c r="AF108" s="301">
        <f t="shared" ca="1" si="540"/>
        <v>0</v>
      </c>
      <c r="AG108" s="301">
        <f t="shared" ca="1" si="540"/>
        <v>0</v>
      </c>
      <c r="AH108" s="301">
        <f t="shared" ca="1" si="540"/>
        <v>0</v>
      </c>
      <c r="AI108" s="301">
        <f t="shared" ca="1" si="540"/>
        <v>0</v>
      </c>
      <c r="AJ108" s="301">
        <f t="shared" ca="1" si="540"/>
        <v>0</v>
      </c>
      <c r="AK108" s="301">
        <f t="shared" ca="1" si="540"/>
        <v>0</v>
      </c>
      <c r="AL108" s="301">
        <f t="shared" ca="1" si="540"/>
        <v>0</v>
      </c>
      <c r="AM108" s="301">
        <f t="shared" ca="1" si="540"/>
        <v>0</v>
      </c>
      <c r="AN108" s="301">
        <f t="shared" ca="1" si="540"/>
        <v>0</v>
      </c>
      <c r="AO108" s="301">
        <f t="shared" ref="AO108:BT108" ca="1" si="541">-SUM(AO99:AO105)</f>
        <v>0</v>
      </c>
      <c r="AP108" s="301">
        <f t="shared" ca="1" si="541"/>
        <v>0</v>
      </c>
      <c r="AQ108" s="301">
        <f t="shared" ca="1" si="541"/>
        <v>0</v>
      </c>
      <c r="AR108" s="301">
        <f t="shared" ca="1" si="541"/>
        <v>0</v>
      </c>
      <c r="AS108" s="301">
        <f t="shared" ca="1" si="541"/>
        <v>0</v>
      </c>
      <c r="AT108" s="301">
        <f t="shared" ca="1" si="541"/>
        <v>0</v>
      </c>
      <c r="AU108" s="301">
        <f t="shared" ca="1" si="541"/>
        <v>0</v>
      </c>
      <c r="AV108" s="301">
        <f t="shared" ca="1" si="541"/>
        <v>0</v>
      </c>
      <c r="AW108" s="301">
        <f t="shared" ca="1" si="541"/>
        <v>0</v>
      </c>
      <c r="AX108" s="301">
        <f t="shared" ca="1" si="541"/>
        <v>0</v>
      </c>
      <c r="AY108" s="301">
        <f t="shared" ca="1" si="541"/>
        <v>-141.08000000000001</v>
      </c>
      <c r="AZ108" s="301">
        <f t="shared" ca="1" si="541"/>
        <v>0</v>
      </c>
      <c r="BA108" s="301">
        <f t="shared" ca="1" si="541"/>
        <v>-248.2</v>
      </c>
      <c r="BB108" s="301">
        <f t="shared" ca="1" si="541"/>
        <v>-320</v>
      </c>
      <c r="BC108" s="301">
        <f t="shared" ca="1" si="541"/>
        <v>0</v>
      </c>
      <c r="BD108" s="301">
        <f t="shared" ca="1" si="541"/>
        <v>0</v>
      </c>
      <c r="BE108" s="301">
        <f t="shared" ca="1" si="541"/>
        <v>-617</v>
      </c>
      <c r="BF108" s="301">
        <f t="shared" ca="1" si="541"/>
        <v>0</v>
      </c>
      <c r="BG108" s="301">
        <f t="shared" ca="1" si="541"/>
        <v>0</v>
      </c>
      <c r="BH108" s="301">
        <f t="shared" ca="1" si="541"/>
        <v>0</v>
      </c>
      <c r="BI108" s="301">
        <f t="shared" ca="1" si="541"/>
        <v>0</v>
      </c>
      <c r="BJ108" s="301">
        <f t="shared" ca="1" si="541"/>
        <v>0</v>
      </c>
      <c r="BK108" s="301">
        <f t="shared" ca="1" si="541"/>
        <v>0</v>
      </c>
      <c r="BL108" s="301">
        <f t="shared" ca="1" si="541"/>
        <v>-219.452</v>
      </c>
      <c r="BM108" s="301">
        <f t="shared" ca="1" si="541"/>
        <v>0</v>
      </c>
      <c r="BN108" s="301">
        <f t="shared" ca="1" si="541"/>
        <v>0</v>
      </c>
      <c r="BO108" s="301">
        <f t="shared" ca="1" si="541"/>
        <v>0</v>
      </c>
      <c r="BP108" s="301">
        <f t="shared" ca="1" si="541"/>
        <v>-88.5</v>
      </c>
      <c r="BQ108" s="301">
        <f t="shared" ca="1" si="541"/>
        <v>0</v>
      </c>
      <c r="BR108" s="301">
        <f t="shared" ca="1" si="541"/>
        <v>0</v>
      </c>
      <c r="BS108" s="301">
        <f t="shared" ca="1" si="541"/>
        <v>0</v>
      </c>
      <c r="BT108" s="301">
        <f t="shared" ca="1" si="541"/>
        <v>0</v>
      </c>
      <c r="BU108" s="301">
        <f t="shared" ref="BU108:CZ108" ca="1" si="542">-SUM(BU99:BU105)</f>
        <v>0</v>
      </c>
      <c r="BV108" s="301">
        <f t="shared" ca="1" si="542"/>
        <v>0</v>
      </c>
      <c r="BW108" s="301">
        <f t="shared" ca="1" si="542"/>
        <v>0</v>
      </c>
      <c r="BX108" s="301">
        <f t="shared" ca="1" si="542"/>
        <v>0</v>
      </c>
      <c r="BY108" s="301">
        <f t="shared" ca="1" si="542"/>
        <v>0</v>
      </c>
      <c r="BZ108" s="301">
        <f t="shared" ca="1" si="542"/>
        <v>0</v>
      </c>
      <c r="CA108" s="301">
        <f t="shared" ca="1" si="542"/>
        <v>0</v>
      </c>
      <c r="CB108" s="301">
        <f t="shared" ca="1" si="542"/>
        <v>0</v>
      </c>
      <c r="CC108" s="301">
        <f t="shared" ca="1" si="542"/>
        <v>0</v>
      </c>
      <c r="CD108" s="301">
        <f t="shared" ca="1" si="542"/>
        <v>0</v>
      </c>
      <c r="CE108" s="301">
        <f t="shared" ca="1" si="542"/>
        <v>0</v>
      </c>
      <c r="CF108" s="301">
        <f t="shared" ca="1" si="542"/>
        <v>0</v>
      </c>
      <c r="CG108" s="301">
        <f t="shared" ca="1" si="542"/>
        <v>0</v>
      </c>
      <c r="CH108" s="301">
        <f t="shared" ca="1" si="542"/>
        <v>0</v>
      </c>
      <c r="CI108" s="301">
        <f t="shared" ca="1" si="542"/>
        <v>0</v>
      </c>
      <c r="CJ108" s="301">
        <f t="shared" ca="1" si="542"/>
        <v>0</v>
      </c>
      <c r="CK108" s="301">
        <f t="shared" ca="1" si="542"/>
        <v>0</v>
      </c>
      <c r="CL108" s="301">
        <f t="shared" ca="1" si="542"/>
        <v>0</v>
      </c>
      <c r="CM108" s="301">
        <f t="shared" ca="1" si="542"/>
        <v>0</v>
      </c>
      <c r="CN108" s="301">
        <f t="shared" ca="1" si="542"/>
        <v>0</v>
      </c>
      <c r="CO108" s="301">
        <f t="shared" ca="1" si="542"/>
        <v>0</v>
      </c>
      <c r="CP108" s="301">
        <f t="shared" ca="1" si="542"/>
        <v>0</v>
      </c>
      <c r="CQ108" s="301">
        <f t="shared" ca="1" si="542"/>
        <v>0</v>
      </c>
      <c r="CR108" s="301">
        <f t="shared" ca="1" si="542"/>
        <v>0</v>
      </c>
      <c r="CS108" s="301">
        <f t="shared" ca="1" si="542"/>
        <v>0</v>
      </c>
      <c r="CT108" s="301">
        <f t="shared" ca="1" si="542"/>
        <v>0</v>
      </c>
      <c r="CU108" s="301">
        <f t="shared" ca="1" si="542"/>
        <v>0</v>
      </c>
      <c r="CV108" s="301">
        <f t="shared" ca="1" si="542"/>
        <v>0</v>
      </c>
      <c r="CW108" s="301">
        <f t="shared" ca="1" si="542"/>
        <v>0</v>
      </c>
      <c r="CX108" s="301">
        <f t="shared" ca="1" si="542"/>
        <v>0</v>
      </c>
      <c r="CY108" s="301">
        <f t="shared" ca="1" si="542"/>
        <v>0</v>
      </c>
      <c r="CZ108" s="301">
        <f t="shared" ca="1" si="542"/>
        <v>0</v>
      </c>
      <c r="DA108" s="301">
        <f t="shared" ref="DA108:EE108" ca="1" si="543">-SUM(DA99:DA105)</f>
        <v>0</v>
      </c>
      <c r="DB108" s="301">
        <f t="shared" ca="1" si="543"/>
        <v>0</v>
      </c>
      <c r="DC108" s="301">
        <f t="shared" ca="1" si="543"/>
        <v>0</v>
      </c>
      <c r="DD108" s="301">
        <f t="shared" ca="1" si="543"/>
        <v>0</v>
      </c>
      <c r="DE108" s="301">
        <f t="shared" ca="1" si="543"/>
        <v>0</v>
      </c>
      <c r="DF108" s="301">
        <f t="shared" ca="1" si="543"/>
        <v>0</v>
      </c>
      <c r="DG108" s="301">
        <f t="shared" ca="1" si="543"/>
        <v>27810.627823956129</v>
      </c>
      <c r="DH108" s="301">
        <f t="shared" ca="1" si="543"/>
        <v>0</v>
      </c>
      <c r="DI108" s="301">
        <f t="shared" ca="1" si="543"/>
        <v>0</v>
      </c>
      <c r="DJ108" s="301">
        <f t="shared" ca="1" si="543"/>
        <v>0</v>
      </c>
      <c r="DK108" s="301">
        <f t="shared" ca="1" si="543"/>
        <v>0</v>
      </c>
      <c r="DL108" s="301">
        <f t="shared" ca="1" si="543"/>
        <v>0</v>
      </c>
      <c r="DM108" s="301">
        <f t="shared" ca="1" si="543"/>
        <v>0</v>
      </c>
      <c r="DN108" s="301">
        <f t="shared" ca="1" si="543"/>
        <v>0</v>
      </c>
      <c r="DO108" s="301">
        <f t="shared" ca="1" si="543"/>
        <v>0</v>
      </c>
      <c r="DP108" s="301">
        <f t="shared" ca="1" si="543"/>
        <v>0</v>
      </c>
      <c r="DQ108" s="301">
        <f t="shared" ca="1" si="543"/>
        <v>0</v>
      </c>
      <c r="DR108" s="301">
        <f t="shared" ca="1" si="543"/>
        <v>0</v>
      </c>
      <c r="DS108" s="301">
        <f t="shared" ca="1" si="543"/>
        <v>0</v>
      </c>
      <c r="DT108" s="301">
        <f t="shared" ca="1" si="543"/>
        <v>0</v>
      </c>
      <c r="DU108" s="301">
        <f t="shared" ca="1" si="543"/>
        <v>0</v>
      </c>
      <c r="DV108" s="301">
        <f t="shared" ca="1" si="543"/>
        <v>0</v>
      </c>
      <c r="DW108" s="301">
        <f t="shared" ca="1" si="543"/>
        <v>0</v>
      </c>
      <c r="DX108" s="301">
        <f t="shared" ca="1" si="543"/>
        <v>0</v>
      </c>
      <c r="DY108" s="301">
        <f t="shared" ca="1" si="543"/>
        <v>0</v>
      </c>
      <c r="DZ108" s="301">
        <f t="shared" ca="1" si="543"/>
        <v>0</v>
      </c>
      <c r="EA108" s="301">
        <f t="shared" ca="1" si="543"/>
        <v>0</v>
      </c>
      <c r="EB108" s="301">
        <f t="shared" ca="1" si="543"/>
        <v>0</v>
      </c>
      <c r="EC108" s="301">
        <f t="shared" ca="1" si="543"/>
        <v>0</v>
      </c>
      <c r="ED108" s="301">
        <f t="shared" ca="1" si="543"/>
        <v>0</v>
      </c>
      <c r="EE108" s="301">
        <f t="shared" ca="1" si="543"/>
        <v>0</v>
      </c>
    </row>
    <row r="109" spans="3:135">
      <c r="C109" s="319" t="str">
        <f t="shared" si="539"/>
        <v>IRR Check - Investors</v>
      </c>
      <c r="D109" s="319"/>
      <c r="E109" s="319"/>
      <c r="F109" s="319"/>
      <c r="G109" s="322">
        <f ca="1">IFERROR(XIRR(I108:EE108, $I$8:$EE$8, ), "n/a")</f>
        <v>7.1606448292732258E-2</v>
      </c>
      <c r="H109" s="322"/>
    </row>
    <row r="111" spans="3:135">
      <c r="C111" s="265" t="str">
        <f>C92</f>
        <v>Promote to GP</v>
      </c>
      <c r="F111" s="317">
        <f>G22</f>
        <v>0.30000000000000004</v>
      </c>
      <c r="G111" s="301">
        <f ca="1">SUMIF($I$8:$EE$8, "&lt;="&amp;$E$8, $I111:$EE111)</f>
        <v>0</v>
      </c>
      <c r="H111" s="301"/>
      <c r="I111" s="301">
        <f t="shared" ref="I111:BT111" si="544">(I103/$F$103)*$F$111</f>
        <v>0</v>
      </c>
      <c r="J111" s="301">
        <f t="shared" ca="1" si="544"/>
        <v>0</v>
      </c>
      <c r="K111" s="301">
        <f t="shared" ca="1" si="544"/>
        <v>0</v>
      </c>
      <c r="L111" s="301">
        <f t="shared" ca="1" si="544"/>
        <v>0</v>
      </c>
      <c r="M111" s="301">
        <f t="shared" ca="1" si="544"/>
        <v>0</v>
      </c>
      <c r="N111" s="301">
        <f t="shared" ca="1" si="544"/>
        <v>0</v>
      </c>
      <c r="O111" s="301">
        <f t="shared" ca="1" si="544"/>
        <v>0</v>
      </c>
      <c r="P111" s="301">
        <f t="shared" ca="1" si="544"/>
        <v>0</v>
      </c>
      <c r="Q111" s="301">
        <f t="shared" ca="1" si="544"/>
        <v>0</v>
      </c>
      <c r="R111" s="301">
        <f t="shared" ca="1" si="544"/>
        <v>0</v>
      </c>
      <c r="S111" s="301">
        <f t="shared" ca="1" si="544"/>
        <v>0</v>
      </c>
      <c r="T111" s="301">
        <f t="shared" ca="1" si="544"/>
        <v>0</v>
      </c>
      <c r="U111" s="301">
        <f t="shared" ca="1" si="544"/>
        <v>0</v>
      </c>
      <c r="V111" s="301">
        <f t="shared" ca="1" si="544"/>
        <v>0</v>
      </c>
      <c r="W111" s="301">
        <f t="shared" ca="1" si="544"/>
        <v>0</v>
      </c>
      <c r="X111" s="301">
        <f t="shared" ca="1" si="544"/>
        <v>0</v>
      </c>
      <c r="Y111" s="301">
        <f t="shared" ca="1" si="544"/>
        <v>0</v>
      </c>
      <c r="Z111" s="301">
        <f t="shared" ca="1" si="544"/>
        <v>0</v>
      </c>
      <c r="AA111" s="301">
        <f t="shared" ca="1" si="544"/>
        <v>0</v>
      </c>
      <c r="AB111" s="301">
        <f t="shared" ca="1" si="544"/>
        <v>0</v>
      </c>
      <c r="AC111" s="301">
        <f t="shared" ca="1" si="544"/>
        <v>0</v>
      </c>
      <c r="AD111" s="301">
        <f t="shared" ca="1" si="544"/>
        <v>0</v>
      </c>
      <c r="AE111" s="301">
        <f t="shared" ca="1" si="544"/>
        <v>0</v>
      </c>
      <c r="AF111" s="301">
        <f t="shared" ca="1" si="544"/>
        <v>0</v>
      </c>
      <c r="AG111" s="301">
        <f t="shared" ca="1" si="544"/>
        <v>0</v>
      </c>
      <c r="AH111" s="301">
        <f t="shared" ca="1" si="544"/>
        <v>0</v>
      </c>
      <c r="AI111" s="301">
        <f t="shared" ca="1" si="544"/>
        <v>0</v>
      </c>
      <c r="AJ111" s="301">
        <f t="shared" ca="1" si="544"/>
        <v>0</v>
      </c>
      <c r="AK111" s="301">
        <f t="shared" ca="1" si="544"/>
        <v>0</v>
      </c>
      <c r="AL111" s="301">
        <f t="shared" ca="1" si="544"/>
        <v>0</v>
      </c>
      <c r="AM111" s="301">
        <f t="shared" ca="1" si="544"/>
        <v>0</v>
      </c>
      <c r="AN111" s="301">
        <f t="shared" ca="1" si="544"/>
        <v>0</v>
      </c>
      <c r="AO111" s="301">
        <f t="shared" ca="1" si="544"/>
        <v>0</v>
      </c>
      <c r="AP111" s="301">
        <f t="shared" ca="1" si="544"/>
        <v>0</v>
      </c>
      <c r="AQ111" s="301">
        <f t="shared" ca="1" si="544"/>
        <v>0</v>
      </c>
      <c r="AR111" s="301">
        <f t="shared" ca="1" si="544"/>
        <v>0</v>
      </c>
      <c r="AS111" s="301">
        <f t="shared" ca="1" si="544"/>
        <v>0</v>
      </c>
      <c r="AT111" s="301">
        <f t="shared" ca="1" si="544"/>
        <v>0</v>
      </c>
      <c r="AU111" s="301">
        <f t="shared" ca="1" si="544"/>
        <v>0</v>
      </c>
      <c r="AV111" s="301">
        <f t="shared" ca="1" si="544"/>
        <v>0</v>
      </c>
      <c r="AW111" s="301">
        <f t="shared" ca="1" si="544"/>
        <v>0</v>
      </c>
      <c r="AX111" s="301">
        <f t="shared" ca="1" si="544"/>
        <v>0</v>
      </c>
      <c r="AY111" s="301">
        <f t="shared" ca="1" si="544"/>
        <v>0</v>
      </c>
      <c r="AZ111" s="301">
        <f t="shared" ca="1" si="544"/>
        <v>0</v>
      </c>
      <c r="BA111" s="301">
        <f t="shared" ca="1" si="544"/>
        <v>0</v>
      </c>
      <c r="BB111" s="301">
        <f t="shared" ca="1" si="544"/>
        <v>0</v>
      </c>
      <c r="BC111" s="301">
        <f t="shared" ca="1" si="544"/>
        <v>0</v>
      </c>
      <c r="BD111" s="301">
        <f t="shared" ca="1" si="544"/>
        <v>0</v>
      </c>
      <c r="BE111" s="301">
        <f t="shared" ca="1" si="544"/>
        <v>0</v>
      </c>
      <c r="BF111" s="301">
        <f t="shared" ca="1" si="544"/>
        <v>0</v>
      </c>
      <c r="BG111" s="301">
        <f t="shared" ca="1" si="544"/>
        <v>0</v>
      </c>
      <c r="BH111" s="301">
        <f t="shared" ca="1" si="544"/>
        <v>0</v>
      </c>
      <c r="BI111" s="301">
        <f t="shared" ca="1" si="544"/>
        <v>0</v>
      </c>
      <c r="BJ111" s="301">
        <f t="shared" ca="1" si="544"/>
        <v>0</v>
      </c>
      <c r="BK111" s="301">
        <f t="shared" ca="1" si="544"/>
        <v>0</v>
      </c>
      <c r="BL111" s="301">
        <f t="shared" ca="1" si="544"/>
        <v>0</v>
      </c>
      <c r="BM111" s="301">
        <f t="shared" ca="1" si="544"/>
        <v>0</v>
      </c>
      <c r="BN111" s="301">
        <f t="shared" ca="1" si="544"/>
        <v>0</v>
      </c>
      <c r="BO111" s="301">
        <f t="shared" ca="1" si="544"/>
        <v>0</v>
      </c>
      <c r="BP111" s="301">
        <f t="shared" ca="1" si="544"/>
        <v>0</v>
      </c>
      <c r="BQ111" s="301">
        <f t="shared" ca="1" si="544"/>
        <v>0</v>
      </c>
      <c r="BR111" s="301">
        <f t="shared" ca="1" si="544"/>
        <v>0</v>
      </c>
      <c r="BS111" s="301">
        <f t="shared" ca="1" si="544"/>
        <v>0</v>
      </c>
      <c r="BT111" s="301">
        <f t="shared" ca="1" si="544"/>
        <v>0</v>
      </c>
      <c r="BU111" s="301">
        <f t="shared" ref="BU111:CZ111" ca="1" si="545">(BU103/$F$103)*$F$111</f>
        <v>0</v>
      </c>
      <c r="BV111" s="301">
        <f t="shared" ca="1" si="545"/>
        <v>0</v>
      </c>
      <c r="BW111" s="301">
        <f t="shared" ca="1" si="545"/>
        <v>0</v>
      </c>
      <c r="BX111" s="301">
        <f t="shared" ca="1" si="545"/>
        <v>0</v>
      </c>
      <c r="BY111" s="301">
        <f t="shared" ca="1" si="545"/>
        <v>0</v>
      </c>
      <c r="BZ111" s="301">
        <f t="shared" ca="1" si="545"/>
        <v>0</v>
      </c>
      <c r="CA111" s="301">
        <f t="shared" ca="1" si="545"/>
        <v>0</v>
      </c>
      <c r="CB111" s="301">
        <f t="shared" ca="1" si="545"/>
        <v>0</v>
      </c>
      <c r="CC111" s="301">
        <f t="shared" ca="1" si="545"/>
        <v>0</v>
      </c>
      <c r="CD111" s="301">
        <f t="shared" ca="1" si="545"/>
        <v>0</v>
      </c>
      <c r="CE111" s="301">
        <f t="shared" ca="1" si="545"/>
        <v>0</v>
      </c>
      <c r="CF111" s="301">
        <f t="shared" ca="1" si="545"/>
        <v>0</v>
      </c>
      <c r="CG111" s="301">
        <f t="shared" ca="1" si="545"/>
        <v>0</v>
      </c>
      <c r="CH111" s="301">
        <f t="shared" ca="1" si="545"/>
        <v>0</v>
      </c>
      <c r="CI111" s="301">
        <f t="shared" ca="1" si="545"/>
        <v>0</v>
      </c>
      <c r="CJ111" s="301">
        <f t="shared" ca="1" si="545"/>
        <v>0</v>
      </c>
      <c r="CK111" s="301">
        <f t="shared" ca="1" si="545"/>
        <v>0</v>
      </c>
      <c r="CL111" s="301">
        <f t="shared" ca="1" si="545"/>
        <v>0</v>
      </c>
      <c r="CM111" s="301">
        <f t="shared" ca="1" si="545"/>
        <v>0</v>
      </c>
      <c r="CN111" s="301">
        <f t="shared" ca="1" si="545"/>
        <v>0</v>
      </c>
      <c r="CO111" s="301">
        <f t="shared" ca="1" si="545"/>
        <v>0</v>
      </c>
      <c r="CP111" s="301">
        <f t="shared" ca="1" si="545"/>
        <v>0</v>
      </c>
      <c r="CQ111" s="301">
        <f t="shared" ca="1" si="545"/>
        <v>0</v>
      </c>
      <c r="CR111" s="301">
        <f t="shared" ca="1" si="545"/>
        <v>0</v>
      </c>
      <c r="CS111" s="301">
        <f t="shared" ca="1" si="545"/>
        <v>0</v>
      </c>
      <c r="CT111" s="301">
        <f t="shared" ca="1" si="545"/>
        <v>0</v>
      </c>
      <c r="CU111" s="301">
        <f t="shared" ca="1" si="545"/>
        <v>0</v>
      </c>
      <c r="CV111" s="301">
        <f t="shared" ca="1" si="545"/>
        <v>0</v>
      </c>
      <c r="CW111" s="301">
        <f t="shared" ca="1" si="545"/>
        <v>0</v>
      </c>
      <c r="CX111" s="301">
        <f t="shared" ca="1" si="545"/>
        <v>0</v>
      </c>
      <c r="CY111" s="301">
        <f t="shared" ca="1" si="545"/>
        <v>0</v>
      </c>
      <c r="CZ111" s="301">
        <f t="shared" ca="1" si="545"/>
        <v>0</v>
      </c>
      <c r="DA111" s="301">
        <f t="shared" ref="DA111:EE111" ca="1" si="546">(DA103/$F$103)*$F$111</f>
        <v>0</v>
      </c>
      <c r="DB111" s="301">
        <f t="shared" ca="1" si="546"/>
        <v>0</v>
      </c>
      <c r="DC111" s="301">
        <f t="shared" ca="1" si="546"/>
        <v>0</v>
      </c>
      <c r="DD111" s="301">
        <f t="shared" ca="1" si="546"/>
        <v>0</v>
      </c>
      <c r="DE111" s="301">
        <f t="shared" ca="1" si="546"/>
        <v>0</v>
      </c>
      <c r="DF111" s="301">
        <f t="shared" ca="1" si="546"/>
        <v>0</v>
      </c>
      <c r="DG111" s="301">
        <f t="shared" ca="1" si="546"/>
        <v>0</v>
      </c>
      <c r="DH111" s="301">
        <f t="shared" ca="1" si="546"/>
        <v>0</v>
      </c>
      <c r="DI111" s="301">
        <f t="shared" ca="1" si="546"/>
        <v>0</v>
      </c>
      <c r="DJ111" s="301">
        <f t="shared" ca="1" si="546"/>
        <v>0</v>
      </c>
      <c r="DK111" s="301">
        <f t="shared" ca="1" si="546"/>
        <v>0</v>
      </c>
      <c r="DL111" s="301">
        <f t="shared" ca="1" si="546"/>
        <v>0</v>
      </c>
      <c r="DM111" s="301">
        <f t="shared" ca="1" si="546"/>
        <v>0</v>
      </c>
      <c r="DN111" s="301">
        <f t="shared" ca="1" si="546"/>
        <v>0</v>
      </c>
      <c r="DO111" s="301">
        <f t="shared" ca="1" si="546"/>
        <v>0</v>
      </c>
      <c r="DP111" s="301">
        <f t="shared" ca="1" si="546"/>
        <v>0</v>
      </c>
      <c r="DQ111" s="301">
        <f t="shared" ca="1" si="546"/>
        <v>0</v>
      </c>
      <c r="DR111" s="301">
        <f t="shared" ca="1" si="546"/>
        <v>0</v>
      </c>
      <c r="DS111" s="301">
        <f t="shared" ca="1" si="546"/>
        <v>0</v>
      </c>
      <c r="DT111" s="301">
        <f t="shared" ca="1" si="546"/>
        <v>0</v>
      </c>
      <c r="DU111" s="301">
        <f t="shared" ca="1" si="546"/>
        <v>0</v>
      </c>
      <c r="DV111" s="301">
        <f t="shared" ca="1" si="546"/>
        <v>0</v>
      </c>
      <c r="DW111" s="301">
        <f t="shared" ca="1" si="546"/>
        <v>0</v>
      </c>
      <c r="DX111" s="301">
        <f t="shared" ca="1" si="546"/>
        <v>0</v>
      </c>
      <c r="DY111" s="301">
        <f t="shared" ca="1" si="546"/>
        <v>0</v>
      </c>
      <c r="DZ111" s="301">
        <f t="shared" ca="1" si="546"/>
        <v>0</v>
      </c>
      <c r="EA111" s="301">
        <f t="shared" ca="1" si="546"/>
        <v>0</v>
      </c>
      <c r="EB111" s="301">
        <f t="shared" ca="1" si="546"/>
        <v>0</v>
      </c>
      <c r="EC111" s="301">
        <f t="shared" ca="1" si="546"/>
        <v>0</v>
      </c>
      <c r="ED111" s="301">
        <f t="shared" ca="1" si="546"/>
        <v>0</v>
      </c>
      <c r="EE111" s="301">
        <f t="shared" ca="1" si="546"/>
        <v>0</v>
      </c>
    </row>
    <row r="113" spans="2:135">
      <c r="C113" s="265" t="s">
        <v>187</v>
      </c>
      <c r="G113" s="301">
        <f ca="1">SUMIF($I$8:$EE$8, "&lt;="&amp;$E$8, $I113:$EE113)</f>
        <v>0</v>
      </c>
      <c r="H113" s="301"/>
      <c r="I113" s="301">
        <f t="shared" ref="I113:BT113" si="547">I94+I103+I111</f>
        <v>0</v>
      </c>
      <c r="J113" s="301">
        <f t="shared" ca="1" si="547"/>
        <v>0</v>
      </c>
      <c r="K113" s="301">
        <f t="shared" ca="1" si="547"/>
        <v>0</v>
      </c>
      <c r="L113" s="301">
        <f t="shared" ca="1" si="547"/>
        <v>0</v>
      </c>
      <c r="M113" s="301">
        <f t="shared" ca="1" si="547"/>
        <v>0</v>
      </c>
      <c r="N113" s="301">
        <f t="shared" ca="1" si="547"/>
        <v>0</v>
      </c>
      <c r="O113" s="301">
        <f t="shared" ca="1" si="547"/>
        <v>0</v>
      </c>
      <c r="P113" s="301">
        <f t="shared" ca="1" si="547"/>
        <v>0</v>
      </c>
      <c r="Q113" s="301">
        <f t="shared" ca="1" si="547"/>
        <v>0</v>
      </c>
      <c r="R113" s="301">
        <f t="shared" ca="1" si="547"/>
        <v>0</v>
      </c>
      <c r="S113" s="301">
        <f t="shared" ca="1" si="547"/>
        <v>0</v>
      </c>
      <c r="T113" s="301">
        <f t="shared" ca="1" si="547"/>
        <v>0</v>
      </c>
      <c r="U113" s="301">
        <f t="shared" ca="1" si="547"/>
        <v>0</v>
      </c>
      <c r="V113" s="301">
        <f t="shared" ca="1" si="547"/>
        <v>0</v>
      </c>
      <c r="W113" s="301">
        <f t="shared" ca="1" si="547"/>
        <v>0</v>
      </c>
      <c r="X113" s="301">
        <f t="shared" ca="1" si="547"/>
        <v>0</v>
      </c>
      <c r="Y113" s="301">
        <f t="shared" ca="1" si="547"/>
        <v>0</v>
      </c>
      <c r="Z113" s="301">
        <f t="shared" ca="1" si="547"/>
        <v>0</v>
      </c>
      <c r="AA113" s="301">
        <f t="shared" ca="1" si="547"/>
        <v>0</v>
      </c>
      <c r="AB113" s="301">
        <f t="shared" ca="1" si="547"/>
        <v>0</v>
      </c>
      <c r="AC113" s="301">
        <f t="shared" ca="1" si="547"/>
        <v>0</v>
      </c>
      <c r="AD113" s="301">
        <f t="shared" ca="1" si="547"/>
        <v>0</v>
      </c>
      <c r="AE113" s="301">
        <f t="shared" ca="1" si="547"/>
        <v>0</v>
      </c>
      <c r="AF113" s="301">
        <f t="shared" ca="1" si="547"/>
        <v>0</v>
      </c>
      <c r="AG113" s="301">
        <f t="shared" ca="1" si="547"/>
        <v>0</v>
      </c>
      <c r="AH113" s="301">
        <f t="shared" ca="1" si="547"/>
        <v>0</v>
      </c>
      <c r="AI113" s="301">
        <f t="shared" ca="1" si="547"/>
        <v>0</v>
      </c>
      <c r="AJ113" s="301">
        <f t="shared" ca="1" si="547"/>
        <v>0</v>
      </c>
      <c r="AK113" s="301">
        <f t="shared" ca="1" si="547"/>
        <v>0</v>
      </c>
      <c r="AL113" s="301">
        <f t="shared" ca="1" si="547"/>
        <v>0</v>
      </c>
      <c r="AM113" s="301">
        <f t="shared" ca="1" si="547"/>
        <v>0</v>
      </c>
      <c r="AN113" s="301">
        <f t="shared" ca="1" si="547"/>
        <v>0</v>
      </c>
      <c r="AO113" s="301">
        <f t="shared" ca="1" si="547"/>
        <v>0</v>
      </c>
      <c r="AP113" s="301">
        <f t="shared" ca="1" si="547"/>
        <v>0</v>
      </c>
      <c r="AQ113" s="301">
        <f t="shared" ca="1" si="547"/>
        <v>0</v>
      </c>
      <c r="AR113" s="301">
        <f t="shared" ca="1" si="547"/>
        <v>0</v>
      </c>
      <c r="AS113" s="301">
        <f t="shared" ca="1" si="547"/>
        <v>0</v>
      </c>
      <c r="AT113" s="301">
        <f t="shared" ca="1" si="547"/>
        <v>0</v>
      </c>
      <c r="AU113" s="301">
        <f t="shared" ca="1" si="547"/>
        <v>0</v>
      </c>
      <c r="AV113" s="301">
        <f t="shared" ca="1" si="547"/>
        <v>0</v>
      </c>
      <c r="AW113" s="301">
        <f t="shared" ca="1" si="547"/>
        <v>0</v>
      </c>
      <c r="AX113" s="301">
        <f t="shared" ca="1" si="547"/>
        <v>0</v>
      </c>
      <c r="AY113" s="301">
        <f t="shared" ca="1" si="547"/>
        <v>0</v>
      </c>
      <c r="AZ113" s="301">
        <f t="shared" ca="1" si="547"/>
        <v>0</v>
      </c>
      <c r="BA113" s="301">
        <f t="shared" ca="1" si="547"/>
        <v>0</v>
      </c>
      <c r="BB113" s="301">
        <f t="shared" ca="1" si="547"/>
        <v>0</v>
      </c>
      <c r="BC113" s="301">
        <f t="shared" ca="1" si="547"/>
        <v>0</v>
      </c>
      <c r="BD113" s="301">
        <f t="shared" ca="1" si="547"/>
        <v>0</v>
      </c>
      <c r="BE113" s="301">
        <f t="shared" ca="1" si="547"/>
        <v>0</v>
      </c>
      <c r="BF113" s="301">
        <f t="shared" ca="1" si="547"/>
        <v>0</v>
      </c>
      <c r="BG113" s="301">
        <f t="shared" ca="1" si="547"/>
        <v>0</v>
      </c>
      <c r="BH113" s="301">
        <f t="shared" ca="1" si="547"/>
        <v>0</v>
      </c>
      <c r="BI113" s="301">
        <f t="shared" ca="1" si="547"/>
        <v>0</v>
      </c>
      <c r="BJ113" s="301">
        <f t="shared" ca="1" si="547"/>
        <v>0</v>
      </c>
      <c r="BK113" s="301">
        <f t="shared" ca="1" si="547"/>
        <v>0</v>
      </c>
      <c r="BL113" s="301">
        <f t="shared" ca="1" si="547"/>
        <v>0</v>
      </c>
      <c r="BM113" s="301">
        <f t="shared" ca="1" si="547"/>
        <v>0</v>
      </c>
      <c r="BN113" s="301">
        <f t="shared" ca="1" si="547"/>
        <v>0</v>
      </c>
      <c r="BO113" s="301">
        <f t="shared" ca="1" si="547"/>
        <v>0</v>
      </c>
      <c r="BP113" s="301">
        <f t="shared" ca="1" si="547"/>
        <v>0</v>
      </c>
      <c r="BQ113" s="301">
        <f t="shared" ca="1" si="547"/>
        <v>0</v>
      </c>
      <c r="BR113" s="301">
        <f t="shared" ca="1" si="547"/>
        <v>0</v>
      </c>
      <c r="BS113" s="301">
        <f t="shared" ca="1" si="547"/>
        <v>0</v>
      </c>
      <c r="BT113" s="301">
        <f t="shared" ca="1" si="547"/>
        <v>0</v>
      </c>
      <c r="BU113" s="301">
        <f t="shared" ref="BU113:CZ113" ca="1" si="548">BU94+BU103+BU111</f>
        <v>0</v>
      </c>
      <c r="BV113" s="301">
        <f t="shared" ca="1" si="548"/>
        <v>0</v>
      </c>
      <c r="BW113" s="301">
        <f t="shared" ca="1" si="548"/>
        <v>0</v>
      </c>
      <c r="BX113" s="301">
        <f t="shared" ca="1" si="548"/>
        <v>0</v>
      </c>
      <c r="BY113" s="301">
        <f t="shared" ca="1" si="548"/>
        <v>0</v>
      </c>
      <c r="BZ113" s="301">
        <f t="shared" ca="1" si="548"/>
        <v>0</v>
      </c>
      <c r="CA113" s="301">
        <f t="shared" ca="1" si="548"/>
        <v>0</v>
      </c>
      <c r="CB113" s="301">
        <f t="shared" ca="1" si="548"/>
        <v>0</v>
      </c>
      <c r="CC113" s="301">
        <f t="shared" ca="1" si="548"/>
        <v>0</v>
      </c>
      <c r="CD113" s="301">
        <f t="shared" ca="1" si="548"/>
        <v>0</v>
      </c>
      <c r="CE113" s="301">
        <f t="shared" ca="1" si="548"/>
        <v>0</v>
      </c>
      <c r="CF113" s="301">
        <f t="shared" ca="1" si="548"/>
        <v>0</v>
      </c>
      <c r="CG113" s="301">
        <f t="shared" ca="1" si="548"/>
        <v>0</v>
      </c>
      <c r="CH113" s="301">
        <f t="shared" ca="1" si="548"/>
        <v>0</v>
      </c>
      <c r="CI113" s="301">
        <f t="shared" ca="1" si="548"/>
        <v>0</v>
      </c>
      <c r="CJ113" s="301">
        <f t="shared" ca="1" si="548"/>
        <v>0</v>
      </c>
      <c r="CK113" s="301">
        <f t="shared" ca="1" si="548"/>
        <v>0</v>
      </c>
      <c r="CL113" s="301">
        <f t="shared" ca="1" si="548"/>
        <v>0</v>
      </c>
      <c r="CM113" s="301">
        <f t="shared" ca="1" si="548"/>
        <v>0</v>
      </c>
      <c r="CN113" s="301">
        <f t="shared" ca="1" si="548"/>
        <v>0</v>
      </c>
      <c r="CO113" s="301">
        <f t="shared" ca="1" si="548"/>
        <v>0</v>
      </c>
      <c r="CP113" s="301">
        <f t="shared" ca="1" si="548"/>
        <v>0</v>
      </c>
      <c r="CQ113" s="301">
        <f t="shared" ca="1" si="548"/>
        <v>0</v>
      </c>
      <c r="CR113" s="301">
        <f t="shared" ca="1" si="548"/>
        <v>0</v>
      </c>
      <c r="CS113" s="301">
        <f t="shared" ca="1" si="548"/>
        <v>0</v>
      </c>
      <c r="CT113" s="301">
        <f t="shared" ca="1" si="548"/>
        <v>0</v>
      </c>
      <c r="CU113" s="301">
        <f t="shared" ca="1" si="548"/>
        <v>0</v>
      </c>
      <c r="CV113" s="301">
        <f t="shared" ca="1" si="548"/>
        <v>0</v>
      </c>
      <c r="CW113" s="301">
        <f t="shared" ca="1" si="548"/>
        <v>0</v>
      </c>
      <c r="CX113" s="301">
        <f t="shared" ca="1" si="548"/>
        <v>0</v>
      </c>
      <c r="CY113" s="301">
        <f t="shared" ca="1" si="548"/>
        <v>0</v>
      </c>
      <c r="CZ113" s="301">
        <f t="shared" ca="1" si="548"/>
        <v>0</v>
      </c>
      <c r="DA113" s="301">
        <f t="shared" ref="DA113:EE113" ca="1" si="549">DA94+DA103+DA111</f>
        <v>0</v>
      </c>
      <c r="DB113" s="301">
        <f t="shared" ca="1" si="549"/>
        <v>0</v>
      </c>
      <c r="DC113" s="301">
        <f t="shared" ca="1" si="549"/>
        <v>0</v>
      </c>
      <c r="DD113" s="301">
        <f t="shared" ca="1" si="549"/>
        <v>0</v>
      </c>
      <c r="DE113" s="301">
        <f t="shared" ca="1" si="549"/>
        <v>0</v>
      </c>
      <c r="DF113" s="301">
        <f t="shared" ca="1" si="549"/>
        <v>0</v>
      </c>
      <c r="DG113" s="301">
        <f t="shared" ca="1" si="549"/>
        <v>0</v>
      </c>
      <c r="DH113" s="301">
        <f t="shared" ca="1" si="549"/>
        <v>0</v>
      </c>
      <c r="DI113" s="301">
        <f t="shared" ca="1" si="549"/>
        <v>0</v>
      </c>
      <c r="DJ113" s="301">
        <f t="shared" ca="1" si="549"/>
        <v>0</v>
      </c>
      <c r="DK113" s="301">
        <f t="shared" ca="1" si="549"/>
        <v>0</v>
      </c>
      <c r="DL113" s="301">
        <f t="shared" ca="1" si="549"/>
        <v>0</v>
      </c>
      <c r="DM113" s="301">
        <f t="shared" ca="1" si="549"/>
        <v>0</v>
      </c>
      <c r="DN113" s="301">
        <f t="shared" ca="1" si="549"/>
        <v>0</v>
      </c>
      <c r="DO113" s="301">
        <f t="shared" ca="1" si="549"/>
        <v>0</v>
      </c>
      <c r="DP113" s="301">
        <f t="shared" ca="1" si="549"/>
        <v>0</v>
      </c>
      <c r="DQ113" s="301">
        <f t="shared" ca="1" si="549"/>
        <v>0</v>
      </c>
      <c r="DR113" s="301">
        <f t="shared" ca="1" si="549"/>
        <v>0</v>
      </c>
      <c r="DS113" s="301">
        <f t="shared" ca="1" si="549"/>
        <v>0</v>
      </c>
      <c r="DT113" s="301">
        <f t="shared" ca="1" si="549"/>
        <v>0</v>
      </c>
      <c r="DU113" s="301">
        <f t="shared" ca="1" si="549"/>
        <v>0</v>
      </c>
      <c r="DV113" s="301">
        <f t="shared" ca="1" si="549"/>
        <v>0</v>
      </c>
      <c r="DW113" s="301">
        <f t="shared" ca="1" si="549"/>
        <v>0</v>
      </c>
      <c r="DX113" s="301">
        <f t="shared" ca="1" si="549"/>
        <v>0</v>
      </c>
      <c r="DY113" s="301">
        <f t="shared" ca="1" si="549"/>
        <v>0</v>
      </c>
      <c r="DZ113" s="301">
        <f t="shared" ca="1" si="549"/>
        <v>0</v>
      </c>
      <c r="EA113" s="301">
        <f t="shared" ca="1" si="549"/>
        <v>0</v>
      </c>
      <c r="EB113" s="301">
        <f t="shared" ca="1" si="549"/>
        <v>0</v>
      </c>
      <c r="EC113" s="301">
        <f t="shared" ca="1" si="549"/>
        <v>0</v>
      </c>
      <c r="ED113" s="301">
        <f t="shared" ca="1" si="549"/>
        <v>0</v>
      </c>
      <c r="EE113" s="301">
        <f t="shared" ca="1" si="549"/>
        <v>0</v>
      </c>
    </row>
    <row r="115" spans="2:135">
      <c r="B115" s="265" t="s">
        <v>167</v>
      </c>
    </row>
    <row r="116" spans="2:135">
      <c r="C116" s="265" t="s">
        <v>156</v>
      </c>
      <c r="F116" s="310">
        <f>F23</f>
        <v>0.6</v>
      </c>
      <c r="G116" s="301">
        <f ca="1">SUMIF($I$8:$EE$8, "&lt;="&amp;$E$8, $I116:$EE116)</f>
        <v>0</v>
      </c>
      <c r="H116" s="301"/>
      <c r="I116" s="301">
        <f t="shared" ref="I116:BT116" si="550">-$F116*I113</f>
        <v>0</v>
      </c>
      <c r="J116" s="301">
        <f t="shared" ca="1" si="550"/>
        <v>0</v>
      </c>
      <c r="K116" s="301">
        <f t="shared" ca="1" si="550"/>
        <v>0</v>
      </c>
      <c r="L116" s="301">
        <f t="shared" ca="1" si="550"/>
        <v>0</v>
      </c>
      <c r="M116" s="301">
        <f t="shared" ca="1" si="550"/>
        <v>0</v>
      </c>
      <c r="N116" s="301">
        <f t="shared" ca="1" si="550"/>
        <v>0</v>
      </c>
      <c r="O116" s="301">
        <f t="shared" ca="1" si="550"/>
        <v>0</v>
      </c>
      <c r="P116" s="301">
        <f t="shared" ca="1" si="550"/>
        <v>0</v>
      </c>
      <c r="Q116" s="301">
        <f t="shared" ca="1" si="550"/>
        <v>0</v>
      </c>
      <c r="R116" s="301">
        <f t="shared" ca="1" si="550"/>
        <v>0</v>
      </c>
      <c r="S116" s="301">
        <f t="shared" ca="1" si="550"/>
        <v>0</v>
      </c>
      <c r="T116" s="301">
        <f t="shared" ca="1" si="550"/>
        <v>0</v>
      </c>
      <c r="U116" s="301">
        <f t="shared" ca="1" si="550"/>
        <v>0</v>
      </c>
      <c r="V116" s="301">
        <f t="shared" ca="1" si="550"/>
        <v>0</v>
      </c>
      <c r="W116" s="301">
        <f t="shared" ca="1" si="550"/>
        <v>0</v>
      </c>
      <c r="X116" s="301">
        <f t="shared" ca="1" si="550"/>
        <v>0</v>
      </c>
      <c r="Y116" s="301">
        <f t="shared" ca="1" si="550"/>
        <v>0</v>
      </c>
      <c r="Z116" s="301">
        <f t="shared" ca="1" si="550"/>
        <v>0</v>
      </c>
      <c r="AA116" s="301">
        <f t="shared" ca="1" si="550"/>
        <v>0</v>
      </c>
      <c r="AB116" s="301">
        <f t="shared" ca="1" si="550"/>
        <v>0</v>
      </c>
      <c r="AC116" s="301">
        <f t="shared" ca="1" si="550"/>
        <v>0</v>
      </c>
      <c r="AD116" s="301">
        <f t="shared" ca="1" si="550"/>
        <v>0</v>
      </c>
      <c r="AE116" s="301">
        <f t="shared" ca="1" si="550"/>
        <v>0</v>
      </c>
      <c r="AF116" s="301">
        <f t="shared" ca="1" si="550"/>
        <v>0</v>
      </c>
      <c r="AG116" s="301">
        <f t="shared" ca="1" si="550"/>
        <v>0</v>
      </c>
      <c r="AH116" s="301">
        <f t="shared" ca="1" si="550"/>
        <v>0</v>
      </c>
      <c r="AI116" s="301">
        <f t="shared" ca="1" si="550"/>
        <v>0</v>
      </c>
      <c r="AJ116" s="301">
        <f t="shared" ca="1" si="550"/>
        <v>0</v>
      </c>
      <c r="AK116" s="301">
        <f t="shared" ca="1" si="550"/>
        <v>0</v>
      </c>
      <c r="AL116" s="301">
        <f t="shared" ca="1" si="550"/>
        <v>0</v>
      </c>
      <c r="AM116" s="301">
        <f t="shared" ca="1" si="550"/>
        <v>0</v>
      </c>
      <c r="AN116" s="301">
        <f t="shared" ca="1" si="550"/>
        <v>0</v>
      </c>
      <c r="AO116" s="301">
        <f t="shared" ca="1" si="550"/>
        <v>0</v>
      </c>
      <c r="AP116" s="301">
        <f t="shared" ca="1" si="550"/>
        <v>0</v>
      </c>
      <c r="AQ116" s="301">
        <f t="shared" ca="1" si="550"/>
        <v>0</v>
      </c>
      <c r="AR116" s="301">
        <f t="shared" ca="1" si="550"/>
        <v>0</v>
      </c>
      <c r="AS116" s="301">
        <f t="shared" ca="1" si="550"/>
        <v>0</v>
      </c>
      <c r="AT116" s="301">
        <f t="shared" ca="1" si="550"/>
        <v>0</v>
      </c>
      <c r="AU116" s="301">
        <f t="shared" ca="1" si="550"/>
        <v>0</v>
      </c>
      <c r="AV116" s="301">
        <f t="shared" ca="1" si="550"/>
        <v>0</v>
      </c>
      <c r="AW116" s="301">
        <f t="shared" ca="1" si="550"/>
        <v>0</v>
      </c>
      <c r="AX116" s="301">
        <f t="shared" ca="1" si="550"/>
        <v>0</v>
      </c>
      <c r="AY116" s="301">
        <f t="shared" ca="1" si="550"/>
        <v>0</v>
      </c>
      <c r="AZ116" s="301">
        <f t="shared" ca="1" si="550"/>
        <v>0</v>
      </c>
      <c r="BA116" s="301">
        <f t="shared" ca="1" si="550"/>
        <v>0</v>
      </c>
      <c r="BB116" s="301">
        <f t="shared" ca="1" si="550"/>
        <v>0</v>
      </c>
      <c r="BC116" s="301">
        <f t="shared" ca="1" si="550"/>
        <v>0</v>
      </c>
      <c r="BD116" s="301">
        <f t="shared" ca="1" si="550"/>
        <v>0</v>
      </c>
      <c r="BE116" s="301">
        <f t="shared" ca="1" si="550"/>
        <v>0</v>
      </c>
      <c r="BF116" s="301">
        <f t="shared" ca="1" si="550"/>
        <v>0</v>
      </c>
      <c r="BG116" s="301">
        <f t="shared" ca="1" si="550"/>
        <v>0</v>
      </c>
      <c r="BH116" s="301">
        <f t="shared" ca="1" si="550"/>
        <v>0</v>
      </c>
      <c r="BI116" s="301">
        <f t="shared" ca="1" si="550"/>
        <v>0</v>
      </c>
      <c r="BJ116" s="301">
        <f t="shared" ca="1" si="550"/>
        <v>0</v>
      </c>
      <c r="BK116" s="301">
        <f t="shared" ca="1" si="550"/>
        <v>0</v>
      </c>
      <c r="BL116" s="301">
        <f t="shared" ca="1" si="550"/>
        <v>0</v>
      </c>
      <c r="BM116" s="301">
        <f t="shared" ca="1" si="550"/>
        <v>0</v>
      </c>
      <c r="BN116" s="301">
        <f t="shared" ca="1" si="550"/>
        <v>0</v>
      </c>
      <c r="BO116" s="301">
        <f t="shared" ca="1" si="550"/>
        <v>0</v>
      </c>
      <c r="BP116" s="301">
        <f t="shared" ca="1" si="550"/>
        <v>0</v>
      </c>
      <c r="BQ116" s="301">
        <f t="shared" ca="1" si="550"/>
        <v>0</v>
      </c>
      <c r="BR116" s="301">
        <f t="shared" ca="1" si="550"/>
        <v>0</v>
      </c>
      <c r="BS116" s="301">
        <f t="shared" ca="1" si="550"/>
        <v>0</v>
      </c>
      <c r="BT116" s="301">
        <f t="shared" ca="1" si="550"/>
        <v>0</v>
      </c>
      <c r="BU116" s="301">
        <f t="shared" ref="BU116:CZ116" ca="1" si="551">-$F116*BU113</f>
        <v>0</v>
      </c>
      <c r="BV116" s="301">
        <f t="shared" ca="1" si="551"/>
        <v>0</v>
      </c>
      <c r="BW116" s="301">
        <f t="shared" ca="1" si="551"/>
        <v>0</v>
      </c>
      <c r="BX116" s="301">
        <f t="shared" ca="1" si="551"/>
        <v>0</v>
      </c>
      <c r="BY116" s="301">
        <f t="shared" ca="1" si="551"/>
        <v>0</v>
      </c>
      <c r="BZ116" s="301">
        <f t="shared" ca="1" si="551"/>
        <v>0</v>
      </c>
      <c r="CA116" s="301">
        <f t="shared" ca="1" si="551"/>
        <v>0</v>
      </c>
      <c r="CB116" s="301">
        <f t="shared" ca="1" si="551"/>
        <v>0</v>
      </c>
      <c r="CC116" s="301">
        <f t="shared" ca="1" si="551"/>
        <v>0</v>
      </c>
      <c r="CD116" s="301">
        <f t="shared" ca="1" si="551"/>
        <v>0</v>
      </c>
      <c r="CE116" s="301">
        <f t="shared" ca="1" si="551"/>
        <v>0</v>
      </c>
      <c r="CF116" s="301">
        <f t="shared" ca="1" si="551"/>
        <v>0</v>
      </c>
      <c r="CG116" s="301">
        <f t="shared" ca="1" si="551"/>
        <v>0</v>
      </c>
      <c r="CH116" s="301">
        <f t="shared" ca="1" si="551"/>
        <v>0</v>
      </c>
      <c r="CI116" s="301">
        <f t="shared" ca="1" si="551"/>
        <v>0</v>
      </c>
      <c r="CJ116" s="301">
        <f t="shared" ca="1" si="551"/>
        <v>0</v>
      </c>
      <c r="CK116" s="301">
        <f t="shared" ca="1" si="551"/>
        <v>0</v>
      </c>
      <c r="CL116" s="301">
        <f t="shared" ca="1" si="551"/>
        <v>0</v>
      </c>
      <c r="CM116" s="301">
        <f t="shared" ca="1" si="551"/>
        <v>0</v>
      </c>
      <c r="CN116" s="301">
        <f t="shared" ca="1" si="551"/>
        <v>0</v>
      </c>
      <c r="CO116" s="301">
        <f t="shared" ca="1" si="551"/>
        <v>0</v>
      </c>
      <c r="CP116" s="301">
        <f t="shared" ca="1" si="551"/>
        <v>0</v>
      </c>
      <c r="CQ116" s="301">
        <f t="shared" ca="1" si="551"/>
        <v>0</v>
      </c>
      <c r="CR116" s="301">
        <f t="shared" ca="1" si="551"/>
        <v>0</v>
      </c>
      <c r="CS116" s="301">
        <f t="shared" ca="1" si="551"/>
        <v>0</v>
      </c>
      <c r="CT116" s="301">
        <f t="shared" ca="1" si="551"/>
        <v>0</v>
      </c>
      <c r="CU116" s="301">
        <f t="shared" ca="1" si="551"/>
        <v>0</v>
      </c>
      <c r="CV116" s="301">
        <f t="shared" ca="1" si="551"/>
        <v>0</v>
      </c>
      <c r="CW116" s="301">
        <f t="shared" ca="1" si="551"/>
        <v>0</v>
      </c>
      <c r="CX116" s="301">
        <f t="shared" ca="1" si="551"/>
        <v>0</v>
      </c>
      <c r="CY116" s="301">
        <f t="shared" ca="1" si="551"/>
        <v>0</v>
      </c>
      <c r="CZ116" s="301">
        <f t="shared" ca="1" si="551"/>
        <v>0</v>
      </c>
      <c r="DA116" s="301">
        <f t="shared" ref="DA116:EE116" ca="1" si="552">-$F116*DA113</f>
        <v>0</v>
      </c>
      <c r="DB116" s="301">
        <f t="shared" ca="1" si="552"/>
        <v>0</v>
      </c>
      <c r="DC116" s="301">
        <f t="shared" ca="1" si="552"/>
        <v>0</v>
      </c>
      <c r="DD116" s="301">
        <f t="shared" ca="1" si="552"/>
        <v>0</v>
      </c>
      <c r="DE116" s="301">
        <f t="shared" ca="1" si="552"/>
        <v>0</v>
      </c>
      <c r="DF116" s="301">
        <f t="shared" ca="1" si="552"/>
        <v>0</v>
      </c>
      <c r="DG116" s="301">
        <f t="shared" ca="1" si="552"/>
        <v>0</v>
      </c>
      <c r="DH116" s="301">
        <f t="shared" ca="1" si="552"/>
        <v>0</v>
      </c>
      <c r="DI116" s="301">
        <f t="shared" ca="1" si="552"/>
        <v>0</v>
      </c>
      <c r="DJ116" s="301">
        <f t="shared" ca="1" si="552"/>
        <v>0</v>
      </c>
      <c r="DK116" s="301">
        <f t="shared" ca="1" si="552"/>
        <v>0</v>
      </c>
      <c r="DL116" s="301">
        <f t="shared" ca="1" si="552"/>
        <v>0</v>
      </c>
      <c r="DM116" s="301">
        <f t="shared" ca="1" si="552"/>
        <v>0</v>
      </c>
      <c r="DN116" s="301">
        <f t="shared" ca="1" si="552"/>
        <v>0</v>
      </c>
      <c r="DO116" s="301">
        <f t="shared" ca="1" si="552"/>
        <v>0</v>
      </c>
      <c r="DP116" s="301">
        <f t="shared" ca="1" si="552"/>
        <v>0</v>
      </c>
      <c r="DQ116" s="301">
        <f t="shared" ca="1" si="552"/>
        <v>0</v>
      </c>
      <c r="DR116" s="301">
        <f t="shared" ca="1" si="552"/>
        <v>0</v>
      </c>
      <c r="DS116" s="301">
        <f t="shared" ca="1" si="552"/>
        <v>0</v>
      </c>
      <c r="DT116" s="301">
        <f t="shared" ca="1" si="552"/>
        <v>0</v>
      </c>
      <c r="DU116" s="301">
        <f t="shared" ca="1" si="552"/>
        <v>0</v>
      </c>
      <c r="DV116" s="301">
        <f t="shared" ca="1" si="552"/>
        <v>0</v>
      </c>
      <c r="DW116" s="301">
        <f t="shared" ca="1" si="552"/>
        <v>0</v>
      </c>
      <c r="DX116" s="301">
        <f t="shared" ca="1" si="552"/>
        <v>0</v>
      </c>
      <c r="DY116" s="301">
        <f t="shared" ca="1" si="552"/>
        <v>0</v>
      </c>
      <c r="DZ116" s="301">
        <f t="shared" ca="1" si="552"/>
        <v>0</v>
      </c>
      <c r="EA116" s="301">
        <f t="shared" ca="1" si="552"/>
        <v>0</v>
      </c>
      <c r="EB116" s="301">
        <f t="shared" ca="1" si="552"/>
        <v>0</v>
      </c>
      <c r="EC116" s="301">
        <f t="shared" ca="1" si="552"/>
        <v>0</v>
      </c>
      <c r="ED116" s="301">
        <f t="shared" ca="1" si="552"/>
        <v>0</v>
      </c>
      <c r="EE116" s="301">
        <f t="shared" ca="1" si="552"/>
        <v>0</v>
      </c>
    </row>
    <row r="117" spans="2:135">
      <c r="C117" s="265" t="str">
        <f>C111</f>
        <v>Promote to GP</v>
      </c>
      <c r="F117" s="310">
        <f>G23</f>
        <v>0.4</v>
      </c>
      <c r="G117" s="301">
        <f ca="1">SUMIF($I$8:$EE$8, "&lt;="&amp;$E$8, $I117:$EE117)</f>
        <v>0</v>
      </c>
      <c r="H117" s="301"/>
      <c r="I117" s="301">
        <f t="shared" ref="I117:BT117" si="553">-$F117*I113</f>
        <v>0</v>
      </c>
      <c r="J117" s="301">
        <f t="shared" ca="1" si="553"/>
        <v>0</v>
      </c>
      <c r="K117" s="301">
        <f t="shared" ca="1" si="553"/>
        <v>0</v>
      </c>
      <c r="L117" s="301">
        <f t="shared" ca="1" si="553"/>
        <v>0</v>
      </c>
      <c r="M117" s="301">
        <f t="shared" ca="1" si="553"/>
        <v>0</v>
      </c>
      <c r="N117" s="301">
        <f t="shared" ca="1" si="553"/>
        <v>0</v>
      </c>
      <c r="O117" s="301">
        <f t="shared" ca="1" si="553"/>
        <v>0</v>
      </c>
      <c r="P117" s="301">
        <f t="shared" ca="1" si="553"/>
        <v>0</v>
      </c>
      <c r="Q117" s="301">
        <f t="shared" ca="1" si="553"/>
        <v>0</v>
      </c>
      <c r="R117" s="301">
        <f t="shared" ca="1" si="553"/>
        <v>0</v>
      </c>
      <c r="S117" s="301">
        <f t="shared" ca="1" si="553"/>
        <v>0</v>
      </c>
      <c r="T117" s="301">
        <f t="shared" ca="1" si="553"/>
        <v>0</v>
      </c>
      <c r="U117" s="301">
        <f t="shared" ca="1" si="553"/>
        <v>0</v>
      </c>
      <c r="V117" s="301">
        <f t="shared" ca="1" si="553"/>
        <v>0</v>
      </c>
      <c r="W117" s="301">
        <f t="shared" ca="1" si="553"/>
        <v>0</v>
      </c>
      <c r="X117" s="301">
        <f t="shared" ca="1" si="553"/>
        <v>0</v>
      </c>
      <c r="Y117" s="301">
        <f t="shared" ca="1" si="553"/>
        <v>0</v>
      </c>
      <c r="Z117" s="301">
        <f t="shared" ca="1" si="553"/>
        <v>0</v>
      </c>
      <c r="AA117" s="301">
        <f t="shared" ca="1" si="553"/>
        <v>0</v>
      </c>
      <c r="AB117" s="301">
        <f t="shared" ca="1" si="553"/>
        <v>0</v>
      </c>
      <c r="AC117" s="301">
        <f t="shared" ca="1" si="553"/>
        <v>0</v>
      </c>
      <c r="AD117" s="301">
        <f t="shared" ca="1" si="553"/>
        <v>0</v>
      </c>
      <c r="AE117" s="301">
        <f t="shared" ca="1" si="553"/>
        <v>0</v>
      </c>
      <c r="AF117" s="301">
        <f t="shared" ca="1" si="553"/>
        <v>0</v>
      </c>
      <c r="AG117" s="301">
        <f t="shared" ca="1" si="553"/>
        <v>0</v>
      </c>
      <c r="AH117" s="301">
        <f t="shared" ca="1" si="553"/>
        <v>0</v>
      </c>
      <c r="AI117" s="301">
        <f t="shared" ca="1" si="553"/>
        <v>0</v>
      </c>
      <c r="AJ117" s="301">
        <f t="shared" ca="1" si="553"/>
        <v>0</v>
      </c>
      <c r="AK117" s="301">
        <f t="shared" ca="1" si="553"/>
        <v>0</v>
      </c>
      <c r="AL117" s="301">
        <f t="shared" ca="1" si="553"/>
        <v>0</v>
      </c>
      <c r="AM117" s="301">
        <f t="shared" ca="1" si="553"/>
        <v>0</v>
      </c>
      <c r="AN117" s="301">
        <f t="shared" ca="1" si="553"/>
        <v>0</v>
      </c>
      <c r="AO117" s="301">
        <f t="shared" ca="1" si="553"/>
        <v>0</v>
      </c>
      <c r="AP117" s="301">
        <f t="shared" ca="1" si="553"/>
        <v>0</v>
      </c>
      <c r="AQ117" s="301">
        <f t="shared" ca="1" si="553"/>
        <v>0</v>
      </c>
      <c r="AR117" s="301">
        <f t="shared" ca="1" si="553"/>
        <v>0</v>
      </c>
      <c r="AS117" s="301">
        <f t="shared" ca="1" si="553"/>
        <v>0</v>
      </c>
      <c r="AT117" s="301">
        <f t="shared" ca="1" si="553"/>
        <v>0</v>
      </c>
      <c r="AU117" s="301">
        <f t="shared" ca="1" si="553"/>
        <v>0</v>
      </c>
      <c r="AV117" s="301">
        <f t="shared" ca="1" si="553"/>
        <v>0</v>
      </c>
      <c r="AW117" s="301">
        <f t="shared" ca="1" si="553"/>
        <v>0</v>
      </c>
      <c r="AX117" s="301">
        <f t="shared" ca="1" si="553"/>
        <v>0</v>
      </c>
      <c r="AY117" s="301">
        <f t="shared" ca="1" si="553"/>
        <v>0</v>
      </c>
      <c r="AZ117" s="301">
        <f t="shared" ca="1" si="553"/>
        <v>0</v>
      </c>
      <c r="BA117" s="301">
        <f t="shared" ca="1" si="553"/>
        <v>0</v>
      </c>
      <c r="BB117" s="301">
        <f t="shared" ca="1" si="553"/>
        <v>0</v>
      </c>
      <c r="BC117" s="301">
        <f t="shared" ca="1" si="553"/>
        <v>0</v>
      </c>
      <c r="BD117" s="301">
        <f t="shared" ca="1" si="553"/>
        <v>0</v>
      </c>
      <c r="BE117" s="301">
        <f t="shared" ca="1" si="553"/>
        <v>0</v>
      </c>
      <c r="BF117" s="301">
        <f t="shared" ca="1" si="553"/>
        <v>0</v>
      </c>
      <c r="BG117" s="301">
        <f t="shared" ca="1" si="553"/>
        <v>0</v>
      </c>
      <c r="BH117" s="301">
        <f t="shared" ca="1" si="553"/>
        <v>0</v>
      </c>
      <c r="BI117" s="301">
        <f t="shared" ca="1" si="553"/>
        <v>0</v>
      </c>
      <c r="BJ117" s="301">
        <f t="shared" ca="1" si="553"/>
        <v>0</v>
      </c>
      <c r="BK117" s="301">
        <f t="shared" ca="1" si="553"/>
        <v>0</v>
      </c>
      <c r="BL117" s="301">
        <f t="shared" ca="1" si="553"/>
        <v>0</v>
      </c>
      <c r="BM117" s="301">
        <f t="shared" ca="1" si="553"/>
        <v>0</v>
      </c>
      <c r="BN117" s="301">
        <f t="shared" ca="1" si="553"/>
        <v>0</v>
      </c>
      <c r="BO117" s="301">
        <f t="shared" ca="1" si="553"/>
        <v>0</v>
      </c>
      <c r="BP117" s="301">
        <f t="shared" ca="1" si="553"/>
        <v>0</v>
      </c>
      <c r="BQ117" s="301">
        <f t="shared" ca="1" si="553"/>
        <v>0</v>
      </c>
      <c r="BR117" s="301">
        <f t="shared" ca="1" si="553"/>
        <v>0</v>
      </c>
      <c r="BS117" s="301">
        <f t="shared" ca="1" si="553"/>
        <v>0</v>
      </c>
      <c r="BT117" s="301">
        <f t="shared" ca="1" si="553"/>
        <v>0</v>
      </c>
      <c r="BU117" s="301">
        <f t="shared" ref="BU117:CZ117" ca="1" si="554">-$F117*BU113</f>
        <v>0</v>
      </c>
      <c r="BV117" s="301">
        <f t="shared" ca="1" si="554"/>
        <v>0</v>
      </c>
      <c r="BW117" s="301">
        <f t="shared" ca="1" si="554"/>
        <v>0</v>
      </c>
      <c r="BX117" s="301">
        <f t="shared" ca="1" si="554"/>
        <v>0</v>
      </c>
      <c r="BY117" s="301">
        <f t="shared" ca="1" si="554"/>
        <v>0</v>
      </c>
      <c r="BZ117" s="301">
        <f t="shared" ca="1" si="554"/>
        <v>0</v>
      </c>
      <c r="CA117" s="301">
        <f t="shared" ca="1" si="554"/>
        <v>0</v>
      </c>
      <c r="CB117" s="301">
        <f t="shared" ca="1" si="554"/>
        <v>0</v>
      </c>
      <c r="CC117" s="301">
        <f t="shared" ca="1" si="554"/>
        <v>0</v>
      </c>
      <c r="CD117" s="301">
        <f t="shared" ca="1" si="554"/>
        <v>0</v>
      </c>
      <c r="CE117" s="301">
        <f t="shared" ca="1" si="554"/>
        <v>0</v>
      </c>
      <c r="CF117" s="301">
        <f t="shared" ca="1" si="554"/>
        <v>0</v>
      </c>
      <c r="CG117" s="301">
        <f t="shared" ca="1" si="554"/>
        <v>0</v>
      </c>
      <c r="CH117" s="301">
        <f t="shared" ca="1" si="554"/>
        <v>0</v>
      </c>
      <c r="CI117" s="301">
        <f t="shared" ca="1" si="554"/>
        <v>0</v>
      </c>
      <c r="CJ117" s="301">
        <f t="shared" ca="1" si="554"/>
        <v>0</v>
      </c>
      <c r="CK117" s="301">
        <f t="shared" ca="1" si="554"/>
        <v>0</v>
      </c>
      <c r="CL117" s="301">
        <f t="shared" ca="1" si="554"/>
        <v>0</v>
      </c>
      <c r="CM117" s="301">
        <f t="shared" ca="1" si="554"/>
        <v>0</v>
      </c>
      <c r="CN117" s="301">
        <f t="shared" ca="1" si="554"/>
        <v>0</v>
      </c>
      <c r="CO117" s="301">
        <f t="shared" ca="1" si="554"/>
        <v>0</v>
      </c>
      <c r="CP117" s="301">
        <f t="shared" ca="1" si="554"/>
        <v>0</v>
      </c>
      <c r="CQ117" s="301">
        <f t="shared" ca="1" si="554"/>
        <v>0</v>
      </c>
      <c r="CR117" s="301">
        <f t="shared" ca="1" si="554"/>
        <v>0</v>
      </c>
      <c r="CS117" s="301">
        <f t="shared" ca="1" si="554"/>
        <v>0</v>
      </c>
      <c r="CT117" s="301">
        <f t="shared" ca="1" si="554"/>
        <v>0</v>
      </c>
      <c r="CU117" s="301">
        <f t="shared" ca="1" si="554"/>
        <v>0</v>
      </c>
      <c r="CV117" s="301">
        <f t="shared" ca="1" si="554"/>
        <v>0</v>
      </c>
      <c r="CW117" s="301">
        <f t="shared" ca="1" si="554"/>
        <v>0</v>
      </c>
      <c r="CX117" s="301">
        <f t="shared" ca="1" si="554"/>
        <v>0</v>
      </c>
      <c r="CY117" s="301">
        <f t="shared" ca="1" si="554"/>
        <v>0</v>
      </c>
      <c r="CZ117" s="301">
        <f t="shared" ca="1" si="554"/>
        <v>0</v>
      </c>
      <c r="DA117" s="301">
        <f t="shared" ref="DA117:EE117" ca="1" si="555">-$F117*DA113</f>
        <v>0</v>
      </c>
      <c r="DB117" s="301">
        <f t="shared" ca="1" si="555"/>
        <v>0</v>
      </c>
      <c r="DC117" s="301">
        <f t="shared" ca="1" si="555"/>
        <v>0</v>
      </c>
      <c r="DD117" s="301">
        <f t="shared" ca="1" si="555"/>
        <v>0</v>
      </c>
      <c r="DE117" s="301">
        <f t="shared" ca="1" si="555"/>
        <v>0</v>
      </c>
      <c r="DF117" s="301">
        <f t="shared" ca="1" si="555"/>
        <v>0</v>
      </c>
      <c r="DG117" s="301">
        <f t="shared" ca="1" si="555"/>
        <v>0</v>
      </c>
      <c r="DH117" s="301">
        <f t="shared" ca="1" si="555"/>
        <v>0</v>
      </c>
      <c r="DI117" s="301">
        <f t="shared" ca="1" si="555"/>
        <v>0</v>
      </c>
      <c r="DJ117" s="301">
        <f t="shared" ca="1" si="555"/>
        <v>0</v>
      </c>
      <c r="DK117" s="301">
        <f t="shared" ca="1" si="555"/>
        <v>0</v>
      </c>
      <c r="DL117" s="301">
        <f t="shared" ca="1" si="555"/>
        <v>0</v>
      </c>
      <c r="DM117" s="301">
        <f t="shared" ca="1" si="555"/>
        <v>0</v>
      </c>
      <c r="DN117" s="301">
        <f t="shared" ca="1" si="555"/>
        <v>0</v>
      </c>
      <c r="DO117" s="301">
        <f t="shared" ca="1" si="555"/>
        <v>0</v>
      </c>
      <c r="DP117" s="301">
        <f t="shared" ca="1" si="555"/>
        <v>0</v>
      </c>
      <c r="DQ117" s="301">
        <f t="shared" ca="1" si="555"/>
        <v>0</v>
      </c>
      <c r="DR117" s="301">
        <f t="shared" ca="1" si="555"/>
        <v>0</v>
      </c>
      <c r="DS117" s="301">
        <f t="shared" ca="1" si="555"/>
        <v>0</v>
      </c>
      <c r="DT117" s="301">
        <f t="shared" ca="1" si="555"/>
        <v>0</v>
      </c>
      <c r="DU117" s="301">
        <f t="shared" ca="1" si="555"/>
        <v>0</v>
      </c>
      <c r="DV117" s="301">
        <f t="shared" ca="1" si="555"/>
        <v>0</v>
      </c>
      <c r="DW117" s="301">
        <f t="shared" ca="1" si="555"/>
        <v>0</v>
      </c>
      <c r="DX117" s="301">
        <f t="shared" ca="1" si="555"/>
        <v>0</v>
      </c>
      <c r="DY117" s="301">
        <f t="shared" ca="1" si="555"/>
        <v>0</v>
      </c>
      <c r="DZ117" s="301">
        <f t="shared" ca="1" si="555"/>
        <v>0</v>
      </c>
      <c r="EA117" s="301">
        <f t="shared" ca="1" si="555"/>
        <v>0</v>
      </c>
      <c r="EB117" s="301">
        <f t="shared" ca="1" si="555"/>
        <v>0</v>
      </c>
      <c r="EC117" s="301">
        <f t="shared" ca="1" si="555"/>
        <v>0</v>
      </c>
      <c r="ED117" s="301">
        <f t="shared" ca="1" si="555"/>
        <v>0</v>
      </c>
      <c r="EE117" s="301">
        <f t="shared" ca="1" si="555"/>
        <v>0</v>
      </c>
    </row>
    <row r="118" spans="2:135">
      <c r="C118" s="291" t="s">
        <v>137</v>
      </c>
      <c r="D118" s="291"/>
      <c r="E118" s="323"/>
      <c r="F118" s="324"/>
      <c r="G118" s="325">
        <f ca="1">SUMIF($I$8:$EE$8, "&lt;="&amp;$E$8, $I118:$EE118)</f>
        <v>0</v>
      </c>
      <c r="H118" s="325"/>
      <c r="I118" s="325">
        <f t="shared" ref="I118:AN118" si="556">I113+SUM(I116:I117)</f>
        <v>0</v>
      </c>
      <c r="J118" s="325">
        <f t="shared" ca="1" si="556"/>
        <v>0</v>
      </c>
      <c r="K118" s="325">
        <f t="shared" ca="1" si="556"/>
        <v>0</v>
      </c>
      <c r="L118" s="325">
        <f t="shared" ca="1" si="556"/>
        <v>0</v>
      </c>
      <c r="M118" s="325">
        <f t="shared" ca="1" si="556"/>
        <v>0</v>
      </c>
      <c r="N118" s="325">
        <f t="shared" ca="1" si="556"/>
        <v>0</v>
      </c>
      <c r="O118" s="325">
        <f t="shared" ca="1" si="556"/>
        <v>0</v>
      </c>
      <c r="P118" s="325">
        <f t="shared" ca="1" si="556"/>
        <v>0</v>
      </c>
      <c r="Q118" s="325">
        <f t="shared" ca="1" si="556"/>
        <v>0</v>
      </c>
      <c r="R118" s="325">
        <f t="shared" ca="1" si="556"/>
        <v>0</v>
      </c>
      <c r="S118" s="325">
        <f t="shared" ca="1" si="556"/>
        <v>0</v>
      </c>
      <c r="T118" s="325">
        <f t="shared" ca="1" si="556"/>
        <v>0</v>
      </c>
      <c r="U118" s="325">
        <f t="shared" ca="1" si="556"/>
        <v>0</v>
      </c>
      <c r="V118" s="325">
        <f t="shared" ca="1" si="556"/>
        <v>0</v>
      </c>
      <c r="W118" s="325">
        <f t="shared" ca="1" si="556"/>
        <v>0</v>
      </c>
      <c r="X118" s="325">
        <f t="shared" ca="1" si="556"/>
        <v>0</v>
      </c>
      <c r="Y118" s="325">
        <f t="shared" ca="1" si="556"/>
        <v>0</v>
      </c>
      <c r="Z118" s="325">
        <f t="shared" ca="1" si="556"/>
        <v>0</v>
      </c>
      <c r="AA118" s="325">
        <f t="shared" ca="1" si="556"/>
        <v>0</v>
      </c>
      <c r="AB118" s="325">
        <f t="shared" ca="1" si="556"/>
        <v>0</v>
      </c>
      <c r="AC118" s="325">
        <f t="shared" ca="1" si="556"/>
        <v>0</v>
      </c>
      <c r="AD118" s="325">
        <f t="shared" ca="1" si="556"/>
        <v>0</v>
      </c>
      <c r="AE118" s="325">
        <f t="shared" ca="1" si="556"/>
        <v>0</v>
      </c>
      <c r="AF118" s="325">
        <f t="shared" ca="1" si="556"/>
        <v>0</v>
      </c>
      <c r="AG118" s="325">
        <f t="shared" ca="1" si="556"/>
        <v>0</v>
      </c>
      <c r="AH118" s="325">
        <f t="shared" ca="1" si="556"/>
        <v>0</v>
      </c>
      <c r="AI118" s="325">
        <f t="shared" ca="1" si="556"/>
        <v>0</v>
      </c>
      <c r="AJ118" s="325">
        <f t="shared" ca="1" si="556"/>
        <v>0</v>
      </c>
      <c r="AK118" s="325">
        <f t="shared" ca="1" si="556"/>
        <v>0</v>
      </c>
      <c r="AL118" s="325">
        <f t="shared" ca="1" si="556"/>
        <v>0</v>
      </c>
      <c r="AM118" s="325">
        <f t="shared" ca="1" si="556"/>
        <v>0</v>
      </c>
      <c r="AN118" s="325">
        <f t="shared" ca="1" si="556"/>
        <v>0</v>
      </c>
      <c r="AO118" s="325">
        <f t="shared" ref="AO118:BT118" ca="1" si="557">AO113+SUM(AO116:AO117)</f>
        <v>0</v>
      </c>
      <c r="AP118" s="325">
        <f t="shared" ca="1" si="557"/>
        <v>0</v>
      </c>
      <c r="AQ118" s="325">
        <f t="shared" ca="1" si="557"/>
        <v>0</v>
      </c>
      <c r="AR118" s="325">
        <f t="shared" ca="1" si="557"/>
        <v>0</v>
      </c>
      <c r="AS118" s="325">
        <f t="shared" ca="1" si="557"/>
        <v>0</v>
      </c>
      <c r="AT118" s="325">
        <f t="shared" ca="1" si="557"/>
        <v>0</v>
      </c>
      <c r="AU118" s="325">
        <f t="shared" ca="1" si="557"/>
        <v>0</v>
      </c>
      <c r="AV118" s="325">
        <f t="shared" ca="1" si="557"/>
        <v>0</v>
      </c>
      <c r="AW118" s="325">
        <f t="shared" ca="1" si="557"/>
        <v>0</v>
      </c>
      <c r="AX118" s="325">
        <f t="shared" ca="1" si="557"/>
        <v>0</v>
      </c>
      <c r="AY118" s="325">
        <f t="shared" ca="1" si="557"/>
        <v>0</v>
      </c>
      <c r="AZ118" s="325">
        <f t="shared" ca="1" si="557"/>
        <v>0</v>
      </c>
      <c r="BA118" s="325">
        <f t="shared" ca="1" si="557"/>
        <v>0</v>
      </c>
      <c r="BB118" s="325">
        <f t="shared" ca="1" si="557"/>
        <v>0</v>
      </c>
      <c r="BC118" s="325">
        <f t="shared" ca="1" si="557"/>
        <v>0</v>
      </c>
      <c r="BD118" s="325">
        <f t="shared" ca="1" si="557"/>
        <v>0</v>
      </c>
      <c r="BE118" s="325">
        <f t="shared" ca="1" si="557"/>
        <v>0</v>
      </c>
      <c r="BF118" s="325">
        <f t="shared" ca="1" si="557"/>
        <v>0</v>
      </c>
      <c r="BG118" s="325">
        <f t="shared" ca="1" si="557"/>
        <v>0</v>
      </c>
      <c r="BH118" s="325">
        <f t="shared" ca="1" si="557"/>
        <v>0</v>
      </c>
      <c r="BI118" s="325">
        <f t="shared" ca="1" si="557"/>
        <v>0</v>
      </c>
      <c r="BJ118" s="325">
        <f t="shared" ca="1" si="557"/>
        <v>0</v>
      </c>
      <c r="BK118" s="325">
        <f t="shared" ca="1" si="557"/>
        <v>0</v>
      </c>
      <c r="BL118" s="325">
        <f t="shared" ca="1" si="557"/>
        <v>0</v>
      </c>
      <c r="BM118" s="325">
        <f t="shared" ca="1" si="557"/>
        <v>0</v>
      </c>
      <c r="BN118" s="325">
        <f t="shared" ca="1" si="557"/>
        <v>0</v>
      </c>
      <c r="BO118" s="325">
        <f t="shared" ca="1" si="557"/>
        <v>0</v>
      </c>
      <c r="BP118" s="325">
        <f t="shared" ca="1" si="557"/>
        <v>0</v>
      </c>
      <c r="BQ118" s="325">
        <f t="shared" ca="1" si="557"/>
        <v>0</v>
      </c>
      <c r="BR118" s="325">
        <f t="shared" ca="1" si="557"/>
        <v>0</v>
      </c>
      <c r="BS118" s="325">
        <f t="shared" ca="1" si="557"/>
        <v>0</v>
      </c>
      <c r="BT118" s="325">
        <f t="shared" ca="1" si="557"/>
        <v>0</v>
      </c>
      <c r="BU118" s="325">
        <f t="shared" ref="BU118:CZ118" ca="1" si="558">BU113+SUM(BU116:BU117)</f>
        <v>0</v>
      </c>
      <c r="BV118" s="325">
        <f t="shared" ca="1" si="558"/>
        <v>0</v>
      </c>
      <c r="BW118" s="325">
        <f t="shared" ca="1" si="558"/>
        <v>0</v>
      </c>
      <c r="BX118" s="325">
        <f t="shared" ca="1" si="558"/>
        <v>0</v>
      </c>
      <c r="BY118" s="325">
        <f t="shared" ca="1" si="558"/>
        <v>0</v>
      </c>
      <c r="BZ118" s="325">
        <f t="shared" ca="1" si="558"/>
        <v>0</v>
      </c>
      <c r="CA118" s="325">
        <f t="shared" ca="1" si="558"/>
        <v>0</v>
      </c>
      <c r="CB118" s="325">
        <f t="shared" ca="1" si="558"/>
        <v>0</v>
      </c>
      <c r="CC118" s="325">
        <f t="shared" ca="1" si="558"/>
        <v>0</v>
      </c>
      <c r="CD118" s="325">
        <f t="shared" ca="1" si="558"/>
        <v>0</v>
      </c>
      <c r="CE118" s="325">
        <f t="shared" ca="1" si="558"/>
        <v>0</v>
      </c>
      <c r="CF118" s="325">
        <f t="shared" ca="1" si="558"/>
        <v>0</v>
      </c>
      <c r="CG118" s="325">
        <f t="shared" ca="1" si="558"/>
        <v>0</v>
      </c>
      <c r="CH118" s="325">
        <f t="shared" ca="1" si="558"/>
        <v>0</v>
      </c>
      <c r="CI118" s="325">
        <f t="shared" ca="1" si="558"/>
        <v>0</v>
      </c>
      <c r="CJ118" s="325">
        <f t="shared" ca="1" si="558"/>
        <v>0</v>
      </c>
      <c r="CK118" s="325">
        <f t="shared" ca="1" si="558"/>
        <v>0</v>
      </c>
      <c r="CL118" s="325">
        <f t="shared" ca="1" si="558"/>
        <v>0</v>
      </c>
      <c r="CM118" s="325">
        <f t="shared" ca="1" si="558"/>
        <v>0</v>
      </c>
      <c r="CN118" s="325">
        <f t="shared" ca="1" si="558"/>
        <v>0</v>
      </c>
      <c r="CO118" s="325">
        <f t="shared" ca="1" si="558"/>
        <v>0</v>
      </c>
      <c r="CP118" s="325">
        <f t="shared" ca="1" si="558"/>
        <v>0</v>
      </c>
      <c r="CQ118" s="325">
        <f t="shared" ca="1" si="558"/>
        <v>0</v>
      </c>
      <c r="CR118" s="325">
        <f t="shared" ca="1" si="558"/>
        <v>0</v>
      </c>
      <c r="CS118" s="325">
        <f t="shared" ca="1" si="558"/>
        <v>0</v>
      </c>
      <c r="CT118" s="325">
        <f t="shared" ca="1" si="558"/>
        <v>0</v>
      </c>
      <c r="CU118" s="325">
        <f t="shared" ca="1" si="558"/>
        <v>0</v>
      </c>
      <c r="CV118" s="325">
        <f t="shared" ca="1" si="558"/>
        <v>0</v>
      </c>
      <c r="CW118" s="325">
        <f t="shared" ca="1" si="558"/>
        <v>0</v>
      </c>
      <c r="CX118" s="325">
        <f t="shared" ca="1" si="558"/>
        <v>0</v>
      </c>
      <c r="CY118" s="325">
        <f t="shared" ca="1" si="558"/>
        <v>0</v>
      </c>
      <c r="CZ118" s="325">
        <f t="shared" ca="1" si="558"/>
        <v>0</v>
      </c>
      <c r="DA118" s="325">
        <f t="shared" ref="DA118:EE118" ca="1" si="559">DA113+SUM(DA116:DA117)</f>
        <v>0</v>
      </c>
      <c r="DB118" s="325">
        <f t="shared" ca="1" si="559"/>
        <v>0</v>
      </c>
      <c r="DC118" s="325">
        <f t="shared" ca="1" si="559"/>
        <v>0</v>
      </c>
      <c r="DD118" s="325">
        <f t="shared" ca="1" si="559"/>
        <v>0</v>
      </c>
      <c r="DE118" s="325">
        <f t="shared" ca="1" si="559"/>
        <v>0</v>
      </c>
      <c r="DF118" s="325">
        <f t="shared" ca="1" si="559"/>
        <v>0</v>
      </c>
      <c r="DG118" s="325">
        <f t="shared" ca="1" si="559"/>
        <v>0</v>
      </c>
      <c r="DH118" s="325">
        <f t="shared" ca="1" si="559"/>
        <v>0</v>
      </c>
      <c r="DI118" s="325">
        <f t="shared" ca="1" si="559"/>
        <v>0</v>
      </c>
      <c r="DJ118" s="325">
        <f t="shared" ca="1" si="559"/>
        <v>0</v>
      </c>
      <c r="DK118" s="325">
        <f t="shared" ca="1" si="559"/>
        <v>0</v>
      </c>
      <c r="DL118" s="325">
        <f t="shared" ca="1" si="559"/>
        <v>0</v>
      </c>
      <c r="DM118" s="325">
        <f t="shared" ca="1" si="559"/>
        <v>0</v>
      </c>
      <c r="DN118" s="325">
        <f t="shared" ca="1" si="559"/>
        <v>0</v>
      </c>
      <c r="DO118" s="325">
        <f t="shared" ca="1" si="559"/>
        <v>0</v>
      </c>
      <c r="DP118" s="325">
        <f t="shared" ca="1" si="559"/>
        <v>0</v>
      </c>
      <c r="DQ118" s="325">
        <f t="shared" ca="1" si="559"/>
        <v>0</v>
      </c>
      <c r="DR118" s="325">
        <f t="shared" ca="1" si="559"/>
        <v>0</v>
      </c>
      <c r="DS118" s="325">
        <f t="shared" ca="1" si="559"/>
        <v>0</v>
      </c>
      <c r="DT118" s="325">
        <f t="shared" ca="1" si="559"/>
        <v>0</v>
      </c>
      <c r="DU118" s="325">
        <f t="shared" ca="1" si="559"/>
        <v>0</v>
      </c>
      <c r="DV118" s="325">
        <f t="shared" ca="1" si="559"/>
        <v>0</v>
      </c>
      <c r="DW118" s="325">
        <f t="shared" ca="1" si="559"/>
        <v>0</v>
      </c>
      <c r="DX118" s="325">
        <f t="shared" ca="1" si="559"/>
        <v>0</v>
      </c>
      <c r="DY118" s="325">
        <f t="shared" ca="1" si="559"/>
        <v>0</v>
      </c>
      <c r="DZ118" s="325">
        <f t="shared" ca="1" si="559"/>
        <v>0</v>
      </c>
      <c r="EA118" s="325">
        <f t="shared" ca="1" si="559"/>
        <v>0</v>
      </c>
      <c r="EB118" s="325">
        <f t="shared" ca="1" si="559"/>
        <v>0</v>
      </c>
      <c r="EC118" s="325">
        <f t="shared" ca="1" si="559"/>
        <v>0</v>
      </c>
      <c r="ED118" s="325">
        <f t="shared" ca="1" si="559"/>
        <v>0</v>
      </c>
      <c r="EE118" s="325">
        <f t="shared" ca="1" si="559"/>
        <v>0</v>
      </c>
    </row>
    <row r="121" spans="2:135">
      <c r="B121" s="265" t="s">
        <v>188</v>
      </c>
    </row>
    <row r="122" spans="2:135">
      <c r="C122" s="326" t="s">
        <v>189</v>
      </c>
      <c r="F122" s="310">
        <f>G11</f>
        <v>0.98</v>
      </c>
    </row>
    <row r="123" spans="2:135">
      <c r="C123" s="265" t="s">
        <v>168</v>
      </c>
      <c r="G123" s="301">
        <f ca="1">SUMIF($I$8:$EE$8, "&lt;="&amp;$E$8, $I123:$EE123)</f>
        <v>-15564.58736</v>
      </c>
      <c r="H123" s="301"/>
      <c r="I123" s="301">
        <f t="shared" ref="I123:BT123" si="560">-I36*$F$122</f>
        <v>-13433.84</v>
      </c>
      <c r="J123" s="301">
        <f t="shared" ca="1" si="560"/>
        <v>0</v>
      </c>
      <c r="K123" s="301">
        <f t="shared" ca="1" si="560"/>
        <v>0</v>
      </c>
      <c r="L123" s="301">
        <f t="shared" ca="1" si="560"/>
        <v>0</v>
      </c>
      <c r="M123" s="301">
        <f t="shared" ca="1" si="560"/>
        <v>0</v>
      </c>
      <c r="N123" s="301">
        <f t="shared" ca="1" si="560"/>
        <v>-147.80849999999998</v>
      </c>
      <c r="O123" s="301">
        <f t="shared" ca="1" si="560"/>
        <v>0</v>
      </c>
      <c r="P123" s="301">
        <f t="shared" ca="1" si="560"/>
        <v>0</v>
      </c>
      <c r="Q123" s="301">
        <f t="shared" ca="1" si="560"/>
        <v>0</v>
      </c>
      <c r="R123" s="301">
        <f t="shared" ca="1" si="560"/>
        <v>0</v>
      </c>
      <c r="S123" s="301">
        <f t="shared" ca="1" si="560"/>
        <v>0</v>
      </c>
      <c r="T123" s="301">
        <f t="shared" ca="1" si="560"/>
        <v>0</v>
      </c>
      <c r="U123" s="301">
        <f t="shared" ca="1" si="560"/>
        <v>0</v>
      </c>
      <c r="V123" s="301">
        <f t="shared" ca="1" si="560"/>
        <v>-77.591499999999996</v>
      </c>
      <c r="W123" s="301">
        <f t="shared" ca="1" si="560"/>
        <v>0</v>
      </c>
      <c r="X123" s="301">
        <f t="shared" ca="1" si="560"/>
        <v>0</v>
      </c>
      <c r="Y123" s="301">
        <f t="shared" ca="1" si="560"/>
        <v>0</v>
      </c>
      <c r="Z123" s="301">
        <f t="shared" ca="1" si="560"/>
        <v>0</v>
      </c>
      <c r="AA123" s="301">
        <f t="shared" ca="1" si="560"/>
        <v>0</v>
      </c>
      <c r="AB123" s="301">
        <f t="shared" ca="1" si="560"/>
        <v>0</v>
      </c>
      <c r="AC123" s="301">
        <f t="shared" ca="1" si="560"/>
        <v>0</v>
      </c>
      <c r="AD123" s="301">
        <f t="shared" ca="1" si="560"/>
        <v>0</v>
      </c>
      <c r="AE123" s="301">
        <f t="shared" ca="1" si="560"/>
        <v>-303.8</v>
      </c>
      <c r="AF123" s="301">
        <f t="shared" ca="1" si="560"/>
        <v>0</v>
      </c>
      <c r="AG123" s="301">
        <f t="shared" ca="1" si="560"/>
        <v>0</v>
      </c>
      <c r="AH123" s="301">
        <f t="shared" ca="1" si="560"/>
        <v>0</v>
      </c>
      <c r="AI123" s="301">
        <f t="shared" ca="1" si="560"/>
        <v>0</v>
      </c>
      <c r="AJ123" s="301">
        <f t="shared" ca="1" si="560"/>
        <v>0</v>
      </c>
      <c r="AK123" s="301">
        <f t="shared" ca="1" si="560"/>
        <v>0</v>
      </c>
      <c r="AL123" s="301">
        <f t="shared" ca="1" si="560"/>
        <v>0</v>
      </c>
      <c r="AM123" s="301">
        <f t="shared" ca="1" si="560"/>
        <v>0</v>
      </c>
      <c r="AN123" s="301">
        <f t="shared" ca="1" si="560"/>
        <v>0</v>
      </c>
      <c r="AO123" s="301">
        <f t="shared" ca="1" si="560"/>
        <v>0</v>
      </c>
      <c r="AP123" s="301">
        <f t="shared" ca="1" si="560"/>
        <v>0</v>
      </c>
      <c r="AQ123" s="301">
        <f t="shared" ca="1" si="560"/>
        <v>0</v>
      </c>
      <c r="AR123" s="301">
        <f t="shared" ca="1" si="560"/>
        <v>0</v>
      </c>
      <c r="AS123" s="301">
        <f t="shared" ca="1" si="560"/>
        <v>0</v>
      </c>
      <c r="AT123" s="301">
        <f t="shared" ca="1" si="560"/>
        <v>0</v>
      </c>
      <c r="AU123" s="301">
        <f t="shared" ca="1" si="560"/>
        <v>0</v>
      </c>
      <c r="AV123" s="301">
        <f t="shared" ca="1" si="560"/>
        <v>0</v>
      </c>
      <c r="AW123" s="301">
        <f t="shared" ca="1" si="560"/>
        <v>0</v>
      </c>
      <c r="AX123" s="301">
        <f t="shared" ca="1" si="560"/>
        <v>0</v>
      </c>
      <c r="AY123" s="301">
        <f t="shared" ca="1" si="560"/>
        <v>-138.25840000000002</v>
      </c>
      <c r="AZ123" s="301">
        <f t="shared" ca="1" si="560"/>
        <v>0</v>
      </c>
      <c r="BA123" s="301">
        <f t="shared" ca="1" si="560"/>
        <v>-243.23599999999999</v>
      </c>
      <c r="BB123" s="301">
        <f t="shared" ca="1" si="560"/>
        <v>-313.60000000000002</v>
      </c>
      <c r="BC123" s="301">
        <f t="shared" ca="1" si="560"/>
        <v>0</v>
      </c>
      <c r="BD123" s="301">
        <f t="shared" ca="1" si="560"/>
        <v>0</v>
      </c>
      <c r="BE123" s="301">
        <f t="shared" ca="1" si="560"/>
        <v>-604.66</v>
      </c>
      <c r="BF123" s="301">
        <f t="shared" ca="1" si="560"/>
        <v>0</v>
      </c>
      <c r="BG123" s="301">
        <f t="shared" ca="1" si="560"/>
        <v>0</v>
      </c>
      <c r="BH123" s="301">
        <f t="shared" ca="1" si="560"/>
        <v>0</v>
      </c>
      <c r="BI123" s="301">
        <f t="shared" ca="1" si="560"/>
        <v>0</v>
      </c>
      <c r="BJ123" s="301">
        <f t="shared" ca="1" si="560"/>
        <v>0</v>
      </c>
      <c r="BK123" s="301">
        <f t="shared" ca="1" si="560"/>
        <v>0</v>
      </c>
      <c r="BL123" s="301">
        <f t="shared" ca="1" si="560"/>
        <v>-215.06296</v>
      </c>
      <c r="BM123" s="301">
        <f t="shared" ca="1" si="560"/>
        <v>0</v>
      </c>
      <c r="BN123" s="301">
        <f t="shared" ca="1" si="560"/>
        <v>0</v>
      </c>
      <c r="BO123" s="301">
        <f t="shared" ca="1" si="560"/>
        <v>0</v>
      </c>
      <c r="BP123" s="301">
        <f t="shared" ca="1" si="560"/>
        <v>-86.73</v>
      </c>
      <c r="BQ123" s="301">
        <f t="shared" ca="1" si="560"/>
        <v>0</v>
      </c>
      <c r="BR123" s="301">
        <f t="shared" ca="1" si="560"/>
        <v>0</v>
      </c>
      <c r="BS123" s="301">
        <f t="shared" ca="1" si="560"/>
        <v>0</v>
      </c>
      <c r="BT123" s="301">
        <f t="shared" ca="1" si="560"/>
        <v>0</v>
      </c>
      <c r="BU123" s="301">
        <f t="shared" ref="BU123:CZ123" ca="1" si="561">-BU36*$F$122</f>
        <v>0</v>
      </c>
      <c r="BV123" s="301">
        <f t="shared" ca="1" si="561"/>
        <v>0</v>
      </c>
      <c r="BW123" s="301">
        <f t="shared" ca="1" si="561"/>
        <v>0</v>
      </c>
      <c r="BX123" s="301">
        <f t="shared" ca="1" si="561"/>
        <v>0</v>
      </c>
      <c r="BY123" s="301">
        <f t="shared" ca="1" si="561"/>
        <v>0</v>
      </c>
      <c r="BZ123" s="301">
        <f t="shared" ca="1" si="561"/>
        <v>0</v>
      </c>
      <c r="CA123" s="301">
        <f t="shared" ca="1" si="561"/>
        <v>0</v>
      </c>
      <c r="CB123" s="301">
        <f t="shared" ca="1" si="561"/>
        <v>0</v>
      </c>
      <c r="CC123" s="301">
        <f t="shared" ca="1" si="561"/>
        <v>0</v>
      </c>
      <c r="CD123" s="301">
        <f t="shared" ca="1" si="561"/>
        <v>0</v>
      </c>
      <c r="CE123" s="301">
        <f t="shared" ca="1" si="561"/>
        <v>0</v>
      </c>
      <c r="CF123" s="301">
        <f t="shared" ca="1" si="561"/>
        <v>0</v>
      </c>
      <c r="CG123" s="301">
        <f t="shared" ca="1" si="561"/>
        <v>0</v>
      </c>
      <c r="CH123" s="301">
        <f t="shared" ca="1" si="561"/>
        <v>0</v>
      </c>
      <c r="CI123" s="301">
        <f t="shared" ca="1" si="561"/>
        <v>0</v>
      </c>
      <c r="CJ123" s="301">
        <f t="shared" ca="1" si="561"/>
        <v>0</v>
      </c>
      <c r="CK123" s="301">
        <f t="shared" ca="1" si="561"/>
        <v>0</v>
      </c>
      <c r="CL123" s="301">
        <f t="shared" ca="1" si="561"/>
        <v>0</v>
      </c>
      <c r="CM123" s="301">
        <f t="shared" ca="1" si="561"/>
        <v>0</v>
      </c>
      <c r="CN123" s="301">
        <f t="shared" ca="1" si="561"/>
        <v>0</v>
      </c>
      <c r="CO123" s="301">
        <f t="shared" ca="1" si="561"/>
        <v>0</v>
      </c>
      <c r="CP123" s="301">
        <f t="shared" ca="1" si="561"/>
        <v>0</v>
      </c>
      <c r="CQ123" s="301">
        <f t="shared" ca="1" si="561"/>
        <v>0</v>
      </c>
      <c r="CR123" s="301">
        <f t="shared" ca="1" si="561"/>
        <v>0</v>
      </c>
      <c r="CS123" s="301">
        <f t="shared" ca="1" si="561"/>
        <v>0</v>
      </c>
      <c r="CT123" s="301">
        <f t="shared" ca="1" si="561"/>
        <v>0</v>
      </c>
      <c r="CU123" s="301">
        <f t="shared" ca="1" si="561"/>
        <v>0</v>
      </c>
      <c r="CV123" s="301">
        <f t="shared" ca="1" si="561"/>
        <v>0</v>
      </c>
      <c r="CW123" s="301">
        <f t="shared" ca="1" si="561"/>
        <v>0</v>
      </c>
      <c r="CX123" s="301">
        <f t="shared" ca="1" si="561"/>
        <v>0</v>
      </c>
      <c r="CY123" s="301">
        <f t="shared" ca="1" si="561"/>
        <v>0</v>
      </c>
      <c r="CZ123" s="301">
        <f t="shared" ca="1" si="561"/>
        <v>0</v>
      </c>
      <c r="DA123" s="301">
        <f t="shared" ref="DA123:EE123" ca="1" si="562">-DA36*$F$122</f>
        <v>0</v>
      </c>
      <c r="DB123" s="301">
        <f t="shared" ca="1" si="562"/>
        <v>0</v>
      </c>
      <c r="DC123" s="301">
        <f t="shared" ca="1" si="562"/>
        <v>0</v>
      </c>
      <c r="DD123" s="301">
        <f t="shared" ca="1" si="562"/>
        <v>0</v>
      </c>
      <c r="DE123" s="301">
        <f t="shared" ca="1" si="562"/>
        <v>0</v>
      </c>
      <c r="DF123" s="301">
        <f t="shared" ca="1" si="562"/>
        <v>0</v>
      </c>
      <c r="DG123" s="301">
        <f t="shared" ca="1" si="562"/>
        <v>0</v>
      </c>
      <c r="DH123" s="301">
        <f t="shared" si="562"/>
        <v>0</v>
      </c>
      <c r="DI123" s="301">
        <f t="shared" si="562"/>
        <v>0</v>
      </c>
      <c r="DJ123" s="301">
        <f t="shared" si="562"/>
        <v>0</v>
      </c>
      <c r="DK123" s="301">
        <f t="shared" si="562"/>
        <v>0</v>
      </c>
      <c r="DL123" s="301">
        <f t="shared" si="562"/>
        <v>0</v>
      </c>
      <c r="DM123" s="301">
        <f t="shared" si="562"/>
        <v>0</v>
      </c>
      <c r="DN123" s="301">
        <f t="shared" si="562"/>
        <v>0</v>
      </c>
      <c r="DO123" s="301">
        <f t="shared" si="562"/>
        <v>0</v>
      </c>
      <c r="DP123" s="301">
        <f t="shared" si="562"/>
        <v>0</v>
      </c>
      <c r="DQ123" s="301">
        <f t="shared" si="562"/>
        <v>0</v>
      </c>
      <c r="DR123" s="301">
        <f t="shared" si="562"/>
        <v>0</v>
      </c>
      <c r="DS123" s="301">
        <f t="shared" si="562"/>
        <v>0</v>
      </c>
      <c r="DT123" s="301">
        <f t="shared" si="562"/>
        <v>0</v>
      </c>
      <c r="DU123" s="301">
        <f t="shared" si="562"/>
        <v>0</v>
      </c>
      <c r="DV123" s="301">
        <f t="shared" si="562"/>
        <v>0</v>
      </c>
      <c r="DW123" s="301">
        <f t="shared" si="562"/>
        <v>0</v>
      </c>
      <c r="DX123" s="301">
        <f t="shared" si="562"/>
        <v>0</v>
      </c>
      <c r="DY123" s="301">
        <f t="shared" si="562"/>
        <v>0</v>
      </c>
      <c r="DZ123" s="301">
        <f t="shared" si="562"/>
        <v>0</v>
      </c>
      <c r="EA123" s="301">
        <f t="shared" si="562"/>
        <v>0</v>
      </c>
      <c r="EB123" s="301">
        <f t="shared" si="562"/>
        <v>0</v>
      </c>
      <c r="EC123" s="301">
        <f t="shared" si="562"/>
        <v>0</v>
      </c>
      <c r="ED123" s="301">
        <f t="shared" si="562"/>
        <v>0</v>
      </c>
      <c r="EE123" s="301">
        <f t="shared" si="562"/>
        <v>0</v>
      </c>
    </row>
    <row r="124" spans="2:135">
      <c r="C124" s="265" t="s">
        <v>160</v>
      </c>
      <c r="G124" s="301">
        <f t="shared" ref="G124:G131" ca="1" si="563">SUMIF($I$8:$EE$8, "&lt;="&amp;$E$8, $I124:$EE124)</f>
        <v>0</v>
      </c>
      <c r="H124" s="301"/>
      <c r="I124" s="301">
        <f t="shared" ref="I124:BT124" si="564">-I35*$F$122</f>
        <v>0</v>
      </c>
      <c r="J124" s="301">
        <f t="shared" si="564"/>
        <v>0</v>
      </c>
      <c r="K124" s="301">
        <f t="shared" ca="1" si="564"/>
        <v>0</v>
      </c>
      <c r="L124" s="301">
        <f t="shared" ca="1" si="564"/>
        <v>0</v>
      </c>
      <c r="M124" s="301">
        <f t="shared" ca="1" si="564"/>
        <v>0</v>
      </c>
      <c r="N124" s="301">
        <f t="shared" ca="1" si="564"/>
        <v>0</v>
      </c>
      <c r="O124" s="301">
        <f t="shared" ca="1" si="564"/>
        <v>0</v>
      </c>
      <c r="P124" s="301">
        <f t="shared" ca="1" si="564"/>
        <v>0</v>
      </c>
      <c r="Q124" s="301">
        <f t="shared" ca="1" si="564"/>
        <v>0</v>
      </c>
      <c r="R124" s="301">
        <f t="shared" ca="1" si="564"/>
        <v>0</v>
      </c>
      <c r="S124" s="301">
        <f t="shared" ca="1" si="564"/>
        <v>0</v>
      </c>
      <c r="T124" s="301">
        <f t="shared" ca="1" si="564"/>
        <v>0</v>
      </c>
      <c r="U124" s="301">
        <f t="shared" ca="1" si="564"/>
        <v>0</v>
      </c>
      <c r="V124" s="301">
        <f t="shared" ca="1" si="564"/>
        <v>0</v>
      </c>
      <c r="W124" s="301">
        <f t="shared" ca="1" si="564"/>
        <v>0</v>
      </c>
      <c r="X124" s="301">
        <f t="shared" ca="1" si="564"/>
        <v>0</v>
      </c>
      <c r="Y124" s="301">
        <f t="shared" ca="1" si="564"/>
        <v>0</v>
      </c>
      <c r="Z124" s="301">
        <f t="shared" ca="1" si="564"/>
        <v>0</v>
      </c>
      <c r="AA124" s="301">
        <f t="shared" ca="1" si="564"/>
        <v>0</v>
      </c>
      <c r="AB124" s="301">
        <f t="shared" ca="1" si="564"/>
        <v>0</v>
      </c>
      <c r="AC124" s="301">
        <f t="shared" ca="1" si="564"/>
        <v>0</v>
      </c>
      <c r="AD124" s="301">
        <f t="shared" ca="1" si="564"/>
        <v>0</v>
      </c>
      <c r="AE124" s="301">
        <f t="shared" ca="1" si="564"/>
        <v>0</v>
      </c>
      <c r="AF124" s="301">
        <f t="shared" ca="1" si="564"/>
        <v>0</v>
      </c>
      <c r="AG124" s="301">
        <f t="shared" ca="1" si="564"/>
        <v>0</v>
      </c>
      <c r="AH124" s="301">
        <f t="shared" ca="1" si="564"/>
        <v>0</v>
      </c>
      <c r="AI124" s="301">
        <f t="shared" ca="1" si="564"/>
        <v>0</v>
      </c>
      <c r="AJ124" s="301">
        <f t="shared" ca="1" si="564"/>
        <v>0</v>
      </c>
      <c r="AK124" s="301">
        <f t="shared" ca="1" si="564"/>
        <v>0</v>
      </c>
      <c r="AL124" s="301">
        <f t="shared" ca="1" si="564"/>
        <v>0</v>
      </c>
      <c r="AM124" s="301">
        <f t="shared" ca="1" si="564"/>
        <v>0</v>
      </c>
      <c r="AN124" s="301">
        <f t="shared" ca="1" si="564"/>
        <v>0</v>
      </c>
      <c r="AO124" s="301">
        <f t="shared" ca="1" si="564"/>
        <v>0</v>
      </c>
      <c r="AP124" s="301">
        <f t="shared" ca="1" si="564"/>
        <v>0</v>
      </c>
      <c r="AQ124" s="301">
        <f t="shared" ca="1" si="564"/>
        <v>0</v>
      </c>
      <c r="AR124" s="301">
        <f t="shared" ca="1" si="564"/>
        <v>0</v>
      </c>
      <c r="AS124" s="301">
        <f t="shared" ca="1" si="564"/>
        <v>0</v>
      </c>
      <c r="AT124" s="301">
        <f t="shared" ca="1" si="564"/>
        <v>0</v>
      </c>
      <c r="AU124" s="301">
        <f t="shared" ca="1" si="564"/>
        <v>0</v>
      </c>
      <c r="AV124" s="301">
        <f t="shared" ca="1" si="564"/>
        <v>0</v>
      </c>
      <c r="AW124" s="301">
        <f t="shared" ca="1" si="564"/>
        <v>0</v>
      </c>
      <c r="AX124" s="301">
        <f t="shared" ca="1" si="564"/>
        <v>0</v>
      </c>
      <c r="AY124" s="301">
        <f t="shared" ca="1" si="564"/>
        <v>0</v>
      </c>
      <c r="AZ124" s="301">
        <f t="shared" ca="1" si="564"/>
        <v>0</v>
      </c>
      <c r="BA124" s="301">
        <f t="shared" ca="1" si="564"/>
        <v>0</v>
      </c>
      <c r="BB124" s="301">
        <f t="shared" ca="1" si="564"/>
        <v>0</v>
      </c>
      <c r="BC124" s="301">
        <f t="shared" ca="1" si="564"/>
        <v>0</v>
      </c>
      <c r="BD124" s="301">
        <f t="shared" ca="1" si="564"/>
        <v>0</v>
      </c>
      <c r="BE124" s="301">
        <f t="shared" ca="1" si="564"/>
        <v>0</v>
      </c>
      <c r="BF124" s="301">
        <f t="shared" ca="1" si="564"/>
        <v>0</v>
      </c>
      <c r="BG124" s="301">
        <f t="shared" ca="1" si="564"/>
        <v>0</v>
      </c>
      <c r="BH124" s="301">
        <f t="shared" ca="1" si="564"/>
        <v>0</v>
      </c>
      <c r="BI124" s="301">
        <f t="shared" ca="1" si="564"/>
        <v>0</v>
      </c>
      <c r="BJ124" s="301">
        <f t="shared" ca="1" si="564"/>
        <v>0</v>
      </c>
      <c r="BK124" s="301">
        <f t="shared" ca="1" si="564"/>
        <v>0</v>
      </c>
      <c r="BL124" s="301">
        <f t="shared" ca="1" si="564"/>
        <v>0</v>
      </c>
      <c r="BM124" s="301">
        <f t="shared" ca="1" si="564"/>
        <v>0</v>
      </c>
      <c r="BN124" s="301">
        <f t="shared" ca="1" si="564"/>
        <v>0</v>
      </c>
      <c r="BO124" s="301">
        <f t="shared" ca="1" si="564"/>
        <v>0</v>
      </c>
      <c r="BP124" s="301">
        <f t="shared" ca="1" si="564"/>
        <v>0</v>
      </c>
      <c r="BQ124" s="301">
        <f t="shared" ca="1" si="564"/>
        <v>0</v>
      </c>
      <c r="BR124" s="301">
        <f t="shared" ca="1" si="564"/>
        <v>0</v>
      </c>
      <c r="BS124" s="301">
        <f t="shared" ca="1" si="564"/>
        <v>0</v>
      </c>
      <c r="BT124" s="301">
        <f t="shared" ca="1" si="564"/>
        <v>0</v>
      </c>
      <c r="BU124" s="301">
        <f t="shared" ref="BU124:CZ124" ca="1" si="565">-BU35*$F$122</f>
        <v>0</v>
      </c>
      <c r="BV124" s="301">
        <f t="shared" ca="1" si="565"/>
        <v>0</v>
      </c>
      <c r="BW124" s="301">
        <f t="shared" ca="1" si="565"/>
        <v>0</v>
      </c>
      <c r="BX124" s="301">
        <f t="shared" ca="1" si="565"/>
        <v>0</v>
      </c>
      <c r="BY124" s="301">
        <f t="shared" ca="1" si="565"/>
        <v>0</v>
      </c>
      <c r="BZ124" s="301">
        <f t="shared" ca="1" si="565"/>
        <v>0</v>
      </c>
      <c r="CA124" s="301">
        <f t="shared" ca="1" si="565"/>
        <v>0</v>
      </c>
      <c r="CB124" s="301">
        <f t="shared" ca="1" si="565"/>
        <v>0</v>
      </c>
      <c r="CC124" s="301">
        <f t="shared" ca="1" si="565"/>
        <v>0</v>
      </c>
      <c r="CD124" s="301">
        <f t="shared" ca="1" si="565"/>
        <v>0</v>
      </c>
      <c r="CE124" s="301">
        <f t="shared" ca="1" si="565"/>
        <v>0</v>
      </c>
      <c r="CF124" s="301">
        <f t="shared" ca="1" si="565"/>
        <v>0</v>
      </c>
      <c r="CG124" s="301">
        <f t="shared" ca="1" si="565"/>
        <v>0</v>
      </c>
      <c r="CH124" s="301">
        <f t="shared" ca="1" si="565"/>
        <v>0</v>
      </c>
      <c r="CI124" s="301">
        <f t="shared" ca="1" si="565"/>
        <v>0</v>
      </c>
      <c r="CJ124" s="301">
        <f t="shared" ca="1" si="565"/>
        <v>0</v>
      </c>
      <c r="CK124" s="301">
        <f t="shared" ca="1" si="565"/>
        <v>0</v>
      </c>
      <c r="CL124" s="301">
        <f t="shared" ca="1" si="565"/>
        <v>0</v>
      </c>
      <c r="CM124" s="301">
        <f t="shared" ca="1" si="565"/>
        <v>0</v>
      </c>
      <c r="CN124" s="301">
        <f t="shared" ca="1" si="565"/>
        <v>0</v>
      </c>
      <c r="CO124" s="301">
        <f t="shared" ca="1" si="565"/>
        <v>0</v>
      </c>
      <c r="CP124" s="301">
        <f t="shared" ca="1" si="565"/>
        <v>0</v>
      </c>
      <c r="CQ124" s="301">
        <f t="shared" ca="1" si="565"/>
        <v>0</v>
      </c>
      <c r="CR124" s="301">
        <f t="shared" ca="1" si="565"/>
        <v>0</v>
      </c>
      <c r="CS124" s="301">
        <f t="shared" ca="1" si="565"/>
        <v>0</v>
      </c>
      <c r="CT124" s="301">
        <f t="shared" ca="1" si="565"/>
        <v>0</v>
      </c>
      <c r="CU124" s="301">
        <f t="shared" ca="1" si="565"/>
        <v>0</v>
      </c>
      <c r="CV124" s="301">
        <f t="shared" ca="1" si="565"/>
        <v>0</v>
      </c>
      <c r="CW124" s="301">
        <f t="shared" ca="1" si="565"/>
        <v>0</v>
      </c>
      <c r="CX124" s="301">
        <f t="shared" ca="1" si="565"/>
        <v>0</v>
      </c>
      <c r="CY124" s="301">
        <f t="shared" ca="1" si="565"/>
        <v>0</v>
      </c>
      <c r="CZ124" s="301">
        <f t="shared" ca="1" si="565"/>
        <v>0</v>
      </c>
      <c r="DA124" s="301">
        <f t="shared" ref="DA124:EE124" ca="1" si="566">-DA35*$F$122</f>
        <v>0</v>
      </c>
      <c r="DB124" s="301">
        <f t="shared" ca="1" si="566"/>
        <v>0</v>
      </c>
      <c r="DC124" s="301">
        <f t="shared" ca="1" si="566"/>
        <v>0</v>
      </c>
      <c r="DD124" s="301">
        <f t="shared" ca="1" si="566"/>
        <v>0</v>
      </c>
      <c r="DE124" s="301">
        <f t="shared" ca="1" si="566"/>
        <v>0</v>
      </c>
      <c r="DF124" s="301">
        <f t="shared" ca="1" si="566"/>
        <v>0</v>
      </c>
      <c r="DG124" s="301">
        <f t="shared" ca="1" si="566"/>
        <v>0</v>
      </c>
      <c r="DH124" s="301">
        <f t="shared" ca="1" si="566"/>
        <v>0</v>
      </c>
      <c r="DI124" s="301">
        <f t="shared" ca="1" si="566"/>
        <v>0</v>
      </c>
      <c r="DJ124" s="301">
        <f t="shared" ca="1" si="566"/>
        <v>0</v>
      </c>
      <c r="DK124" s="301">
        <f t="shared" ca="1" si="566"/>
        <v>0</v>
      </c>
      <c r="DL124" s="301">
        <f t="shared" ca="1" si="566"/>
        <v>0</v>
      </c>
      <c r="DM124" s="301">
        <f t="shared" ca="1" si="566"/>
        <v>0</v>
      </c>
      <c r="DN124" s="301">
        <f t="shared" ca="1" si="566"/>
        <v>0</v>
      </c>
      <c r="DO124" s="301">
        <f t="shared" ca="1" si="566"/>
        <v>0</v>
      </c>
      <c r="DP124" s="301">
        <f t="shared" ca="1" si="566"/>
        <v>0</v>
      </c>
      <c r="DQ124" s="301">
        <f t="shared" ca="1" si="566"/>
        <v>0</v>
      </c>
      <c r="DR124" s="301">
        <f t="shared" ca="1" si="566"/>
        <v>0</v>
      </c>
      <c r="DS124" s="301">
        <f t="shared" ca="1" si="566"/>
        <v>0</v>
      </c>
      <c r="DT124" s="301">
        <f t="shared" ca="1" si="566"/>
        <v>0</v>
      </c>
      <c r="DU124" s="301">
        <f t="shared" ca="1" si="566"/>
        <v>0</v>
      </c>
      <c r="DV124" s="301">
        <f t="shared" ca="1" si="566"/>
        <v>0</v>
      </c>
      <c r="DW124" s="301">
        <f t="shared" ca="1" si="566"/>
        <v>0</v>
      </c>
      <c r="DX124" s="301">
        <f t="shared" ca="1" si="566"/>
        <v>0</v>
      </c>
      <c r="DY124" s="301">
        <f t="shared" ca="1" si="566"/>
        <v>0</v>
      </c>
      <c r="DZ124" s="301">
        <f t="shared" ca="1" si="566"/>
        <v>0</v>
      </c>
      <c r="EA124" s="301">
        <f t="shared" ca="1" si="566"/>
        <v>0</v>
      </c>
      <c r="EB124" s="301">
        <f t="shared" ca="1" si="566"/>
        <v>0</v>
      </c>
      <c r="EC124" s="301">
        <f t="shared" ca="1" si="566"/>
        <v>0</v>
      </c>
      <c r="ED124" s="301">
        <f t="shared" ca="1" si="566"/>
        <v>0</v>
      </c>
      <c r="EE124" s="301">
        <f t="shared" ca="1" si="566"/>
        <v>0</v>
      </c>
    </row>
    <row r="125" spans="2:135">
      <c r="C125" s="265" t="s">
        <v>161</v>
      </c>
      <c r="G125" s="301">
        <f t="shared" ca="1" si="563"/>
        <v>0</v>
      </c>
      <c r="H125" s="301"/>
      <c r="I125" s="301">
        <f t="shared" ref="I125:BT125" si="567">-I45*$F$122</f>
        <v>0</v>
      </c>
      <c r="J125" s="301">
        <f t="shared" si="567"/>
        <v>0</v>
      </c>
      <c r="K125" s="301">
        <f t="shared" ca="1" si="567"/>
        <v>0</v>
      </c>
      <c r="L125" s="301">
        <f t="shared" ca="1" si="567"/>
        <v>0</v>
      </c>
      <c r="M125" s="301">
        <f t="shared" ca="1" si="567"/>
        <v>0</v>
      </c>
      <c r="N125" s="301">
        <f t="shared" ca="1" si="567"/>
        <v>0</v>
      </c>
      <c r="O125" s="301">
        <f t="shared" ca="1" si="567"/>
        <v>0</v>
      </c>
      <c r="P125" s="301">
        <f t="shared" ca="1" si="567"/>
        <v>0</v>
      </c>
      <c r="Q125" s="301">
        <f t="shared" ca="1" si="567"/>
        <v>0</v>
      </c>
      <c r="R125" s="301">
        <f t="shared" ca="1" si="567"/>
        <v>0</v>
      </c>
      <c r="S125" s="301">
        <f t="shared" ca="1" si="567"/>
        <v>0</v>
      </c>
      <c r="T125" s="301">
        <f t="shared" ca="1" si="567"/>
        <v>0</v>
      </c>
      <c r="U125" s="301">
        <f t="shared" ca="1" si="567"/>
        <v>0</v>
      </c>
      <c r="V125" s="301">
        <f t="shared" ca="1" si="567"/>
        <v>0</v>
      </c>
      <c r="W125" s="301">
        <f t="shared" ca="1" si="567"/>
        <v>0</v>
      </c>
      <c r="X125" s="301">
        <f t="shared" ca="1" si="567"/>
        <v>0</v>
      </c>
      <c r="Y125" s="301">
        <f t="shared" ca="1" si="567"/>
        <v>0</v>
      </c>
      <c r="Z125" s="301">
        <f t="shared" ca="1" si="567"/>
        <v>0</v>
      </c>
      <c r="AA125" s="301">
        <f t="shared" ca="1" si="567"/>
        <v>0</v>
      </c>
      <c r="AB125" s="301">
        <f t="shared" ca="1" si="567"/>
        <v>0</v>
      </c>
      <c r="AC125" s="301">
        <f t="shared" ca="1" si="567"/>
        <v>0</v>
      </c>
      <c r="AD125" s="301">
        <f t="shared" ca="1" si="567"/>
        <v>0</v>
      </c>
      <c r="AE125" s="301">
        <f t="shared" ca="1" si="567"/>
        <v>0</v>
      </c>
      <c r="AF125" s="301">
        <f t="shared" ca="1" si="567"/>
        <v>0</v>
      </c>
      <c r="AG125" s="301">
        <f t="shared" ca="1" si="567"/>
        <v>0</v>
      </c>
      <c r="AH125" s="301">
        <f t="shared" ca="1" si="567"/>
        <v>0</v>
      </c>
      <c r="AI125" s="301">
        <f t="shared" ca="1" si="567"/>
        <v>0</v>
      </c>
      <c r="AJ125" s="301">
        <f t="shared" ca="1" si="567"/>
        <v>0</v>
      </c>
      <c r="AK125" s="301">
        <f t="shared" ca="1" si="567"/>
        <v>0</v>
      </c>
      <c r="AL125" s="301">
        <f t="shared" ca="1" si="567"/>
        <v>0</v>
      </c>
      <c r="AM125" s="301">
        <f t="shared" ca="1" si="567"/>
        <v>0</v>
      </c>
      <c r="AN125" s="301">
        <f t="shared" ca="1" si="567"/>
        <v>0</v>
      </c>
      <c r="AO125" s="301">
        <f t="shared" ca="1" si="567"/>
        <v>0</v>
      </c>
      <c r="AP125" s="301">
        <f t="shared" ca="1" si="567"/>
        <v>0</v>
      </c>
      <c r="AQ125" s="301">
        <f t="shared" ca="1" si="567"/>
        <v>0</v>
      </c>
      <c r="AR125" s="301">
        <f t="shared" ca="1" si="567"/>
        <v>0</v>
      </c>
      <c r="AS125" s="301">
        <f t="shared" ca="1" si="567"/>
        <v>0</v>
      </c>
      <c r="AT125" s="301">
        <f t="shared" ca="1" si="567"/>
        <v>0</v>
      </c>
      <c r="AU125" s="301">
        <f t="shared" ca="1" si="567"/>
        <v>0</v>
      </c>
      <c r="AV125" s="301">
        <f t="shared" ca="1" si="567"/>
        <v>0</v>
      </c>
      <c r="AW125" s="301">
        <f t="shared" ca="1" si="567"/>
        <v>0</v>
      </c>
      <c r="AX125" s="301">
        <f t="shared" ca="1" si="567"/>
        <v>0</v>
      </c>
      <c r="AY125" s="301">
        <f t="shared" ca="1" si="567"/>
        <v>0</v>
      </c>
      <c r="AZ125" s="301">
        <f t="shared" ca="1" si="567"/>
        <v>0</v>
      </c>
      <c r="BA125" s="301">
        <f t="shared" ca="1" si="567"/>
        <v>0</v>
      </c>
      <c r="BB125" s="301">
        <f t="shared" ca="1" si="567"/>
        <v>0</v>
      </c>
      <c r="BC125" s="301">
        <f t="shared" ca="1" si="567"/>
        <v>0</v>
      </c>
      <c r="BD125" s="301">
        <f t="shared" ca="1" si="567"/>
        <v>0</v>
      </c>
      <c r="BE125" s="301">
        <f t="shared" ca="1" si="567"/>
        <v>0</v>
      </c>
      <c r="BF125" s="301">
        <f t="shared" ca="1" si="567"/>
        <v>0</v>
      </c>
      <c r="BG125" s="301">
        <f t="shared" ca="1" si="567"/>
        <v>0</v>
      </c>
      <c r="BH125" s="301">
        <f t="shared" ca="1" si="567"/>
        <v>0</v>
      </c>
      <c r="BI125" s="301">
        <f t="shared" ca="1" si="567"/>
        <v>0</v>
      </c>
      <c r="BJ125" s="301">
        <f t="shared" ca="1" si="567"/>
        <v>0</v>
      </c>
      <c r="BK125" s="301">
        <f t="shared" ca="1" si="567"/>
        <v>0</v>
      </c>
      <c r="BL125" s="301">
        <f t="shared" ca="1" si="567"/>
        <v>0</v>
      </c>
      <c r="BM125" s="301">
        <f t="shared" ca="1" si="567"/>
        <v>0</v>
      </c>
      <c r="BN125" s="301">
        <f t="shared" ca="1" si="567"/>
        <v>0</v>
      </c>
      <c r="BO125" s="301">
        <f t="shared" ca="1" si="567"/>
        <v>0</v>
      </c>
      <c r="BP125" s="301">
        <f t="shared" ca="1" si="567"/>
        <v>0</v>
      </c>
      <c r="BQ125" s="301">
        <f t="shared" ca="1" si="567"/>
        <v>0</v>
      </c>
      <c r="BR125" s="301">
        <f t="shared" ca="1" si="567"/>
        <v>0</v>
      </c>
      <c r="BS125" s="301">
        <f t="shared" ca="1" si="567"/>
        <v>0</v>
      </c>
      <c r="BT125" s="301">
        <f t="shared" ca="1" si="567"/>
        <v>0</v>
      </c>
      <c r="BU125" s="301">
        <f t="shared" ref="BU125:CZ125" ca="1" si="568">-BU45*$F$122</f>
        <v>0</v>
      </c>
      <c r="BV125" s="301">
        <f t="shared" ca="1" si="568"/>
        <v>0</v>
      </c>
      <c r="BW125" s="301">
        <f t="shared" ca="1" si="568"/>
        <v>0</v>
      </c>
      <c r="BX125" s="301">
        <f t="shared" ca="1" si="568"/>
        <v>0</v>
      </c>
      <c r="BY125" s="301">
        <f t="shared" ca="1" si="568"/>
        <v>0</v>
      </c>
      <c r="BZ125" s="301">
        <f t="shared" ca="1" si="568"/>
        <v>0</v>
      </c>
      <c r="CA125" s="301">
        <f t="shared" ca="1" si="568"/>
        <v>0</v>
      </c>
      <c r="CB125" s="301">
        <f t="shared" ca="1" si="568"/>
        <v>0</v>
      </c>
      <c r="CC125" s="301">
        <f t="shared" ca="1" si="568"/>
        <v>0</v>
      </c>
      <c r="CD125" s="301">
        <f t="shared" ca="1" si="568"/>
        <v>0</v>
      </c>
      <c r="CE125" s="301">
        <f t="shared" ca="1" si="568"/>
        <v>0</v>
      </c>
      <c r="CF125" s="301">
        <f t="shared" ca="1" si="568"/>
        <v>0</v>
      </c>
      <c r="CG125" s="301">
        <f t="shared" ca="1" si="568"/>
        <v>0</v>
      </c>
      <c r="CH125" s="301">
        <f t="shared" ca="1" si="568"/>
        <v>0</v>
      </c>
      <c r="CI125" s="301">
        <f t="shared" ca="1" si="568"/>
        <v>0</v>
      </c>
      <c r="CJ125" s="301">
        <f t="shared" ca="1" si="568"/>
        <v>0</v>
      </c>
      <c r="CK125" s="301">
        <f t="shared" ca="1" si="568"/>
        <v>0</v>
      </c>
      <c r="CL125" s="301">
        <f t="shared" ca="1" si="568"/>
        <v>0</v>
      </c>
      <c r="CM125" s="301">
        <f t="shared" ca="1" si="568"/>
        <v>0</v>
      </c>
      <c r="CN125" s="301">
        <f t="shared" ca="1" si="568"/>
        <v>0</v>
      </c>
      <c r="CO125" s="301">
        <f t="shared" ca="1" si="568"/>
        <v>0</v>
      </c>
      <c r="CP125" s="301">
        <f t="shared" ca="1" si="568"/>
        <v>0</v>
      </c>
      <c r="CQ125" s="301">
        <f t="shared" ca="1" si="568"/>
        <v>0</v>
      </c>
      <c r="CR125" s="301">
        <f t="shared" ca="1" si="568"/>
        <v>0</v>
      </c>
      <c r="CS125" s="301">
        <f t="shared" ca="1" si="568"/>
        <v>0</v>
      </c>
      <c r="CT125" s="301">
        <f t="shared" ca="1" si="568"/>
        <v>0</v>
      </c>
      <c r="CU125" s="301">
        <f t="shared" ca="1" si="568"/>
        <v>0</v>
      </c>
      <c r="CV125" s="301">
        <f t="shared" ca="1" si="568"/>
        <v>0</v>
      </c>
      <c r="CW125" s="301">
        <f t="shared" ca="1" si="568"/>
        <v>0</v>
      </c>
      <c r="CX125" s="301">
        <f t="shared" ca="1" si="568"/>
        <v>0</v>
      </c>
      <c r="CY125" s="301">
        <f t="shared" ca="1" si="568"/>
        <v>0</v>
      </c>
      <c r="CZ125" s="301">
        <f t="shared" ca="1" si="568"/>
        <v>0</v>
      </c>
      <c r="DA125" s="301">
        <f t="shared" ref="DA125:EE125" ca="1" si="569">-DA45*$F$122</f>
        <v>0</v>
      </c>
      <c r="DB125" s="301">
        <f t="shared" ca="1" si="569"/>
        <v>0</v>
      </c>
      <c r="DC125" s="301">
        <f t="shared" ca="1" si="569"/>
        <v>0</v>
      </c>
      <c r="DD125" s="301">
        <f t="shared" ca="1" si="569"/>
        <v>0</v>
      </c>
      <c r="DE125" s="301">
        <f t="shared" ca="1" si="569"/>
        <v>0</v>
      </c>
      <c r="DF125" s="301">
        <f t="shared" ca="1" si="569"/>
        <v>0</v>
      </c>
      <c r="DG125" s="301">
        <f t="shared" ca="1" si="569"/>
        <v>0</v>
      </c>
      <c r="DH125" s="301">
        <f t="shared" ca="1" si="569"/>
        <v>0</v>
      </c>
      <c r="DI125" s="301">
        <f t="shared" ca="1" si="569"/>
        <v>0</v>
      </c>
      <c r="DJ125" s="301">
        <f t="shared" ca="1" si="569"/>
        <v>0</v>
      </c>
      <c r="DK125" s="301">
        <f t="shared" ca="1" si="569"/>
        <v>0</v>
      </c>
      <c r="DL125" s="301">
        <f t="shared" ca="1" si="569"/>
        <v>0</v>
      </c>
      <c r="DM125" s="301">
        <f t="shared" ca="1" si="569"/>
        <v>0</v>
      </c>
      <c r="DN125" s="301">
        <f t="shared" ca="1" si="569"/>
        <v>0</v>
      </c>
      <c r="DO125" s="301">
        <f t="shared" ca="1" si="569"/>
        <v>0</v>
      </c>
      <c r="DP125" s="301">
        <f t="shared" ca="1" si="569"/>
        <v>0</v>
      </c>
      <c r="DQ125" s="301">
        <f t="shared" ca="1" si="569"/>
        <v>0</v>
      </c>
      <c r="DR125" s="301">
        <f t="shared" ca="1" si="569"/>
        <v>0</v>
      </c>
      <c r="DS125" s="301">
        <f t="shared" ca="1" si="569"/>
        <v>0</v>
      </c>
      <c r="DT125" s="301">
        <f t="shared" ca="1" si="569"/>
        <v>0</v>
      </c>
      <c r="DU125" s="301">
        <f t="shared" ca="1" si="569"/>
        <v>0</v>
      </c>
      <c r="DV125" s="301">
        <f t="shared" ca="1" si="569"/>
        <v>0</v>
      </c>
      <c r="DW125" s="301">
        <f t="shared" ca="1" si="569"/>
        <v>0</v>
      </c>
      <c r="DX125" s="301">
        <f t="shared" ca="1" si="569"/>
        <v>0</v>
      </c>
      <c r="DY125" s="301">
        <f t="shared" ca="1" si="569"/>
        <v>0</v>
      </c>
      <c r="DZ125" s="301">
        <f t="shared" ca="1" si="569"/>
        <v>0</v>
      </c>
      <c r="EA125" s="301">
        <f t="shared" ca="1" si="569"/>
        <v>0</v>
      </c>
      <c r="EB125" s="301">
        <f t="shared" ca="1" si="569"/>
        <v>0</v>
      </c>
      <c r="EC125" s="301">
        <f t="shared" ca="1" si="569"/>
        <v>0</v>
      </c>
      <c r="ED125" s="301">
        <f t="shared" ca="1" si="569"/>
        <v>0</v>
      </c>
      <c r="EE125" s="301">
        <f t="shared" ca="1" si="569"/>
        <v>0</v>
      </c>
    </row>
    <row r="126" spans="2:135">
      <c r="C126" s="265" t="s">
        <v>163</v>
      </c>
      <c r="G126" s="301">
        <f t="shared" ca="1" si="563"/>
        <v>15748.034300818308</v>
      </c>
      <c r="H126" s="301"/>
      <c r="I126" s="301">
        <f t="shared" ref="I126:BT126" si="570">-I56*$F$122</f>
        <v>0</v>
      </c>
      <c r="J126" s="301">
        <f t="shared" ca="1" si="570"/>
        <v>0</v>
      </c>
      <c r="K126" s="301">
        <f t="shared" ca="1" si="570"/>
        <v>0</v>
      </c>
      <c r="L126" s="301">
        <f t="shared" ca="1" si="570"/>
        <v>0</v>
      </c>
      <c r="M126" s="301">
        <f t="shared" ca="1" si="570"/>
        <v>0</v>
      </c>
      <c r="N126" s="301">
        <f t="shared" ca="1" si="570"/>
        <v>0</v>
      </c>
      <c r="O126" s="301">
        <f t="shared" ca="1" si="570"/>
        <v>0</v>
      </c>
      <c r="P126" s="301">
        <f t="shared" ca="1" si="570"/>
        <v>0</v>
      </c>
      <c r="Q126" s="301">
        <f t="shared" ca="1" si="570"/>
        <v>0</v>
      </c>
      <c r="R126" s="301">
        <f t="shared" ca="1" si="570"/>
        <v>0</v>
      </c>
      <c r="S126" s="301">
        <f t="shared" ca="1" si="570"/>
        <v>0</v>
      </c>
      <c r="T126" s="301">
        <f t="shared" ca="1" si="570"/>
        <v>0</v>
      </c>
      <c r="U126" s="301">
        <f t="shared" ca="1" si="570"/>
        <v>0</v>
      </c>
      <c r="V126" s="301">
        <f t="shared" ca="1" si="570"/>
        <v>0</v>
      </c>
      <c r="W126" s="301">
        <f t="shared" ca="1" si="570"/>
        <v>0</v>
      </c>
      <c r="X126" s="301">
        <f t="shared" ca="1" si="570"/>
        <v>0</v>
      </c>
      <c r="Y126" s="301">
        <f t="shared" ca="1" si="570"/>
        <v>0</v>
      </c>
      <c r="Z126" s="301">
        <f t="shared" ca="1" si="570"/>
        <v>0</v>
      </c>
      <c r="AA126" s="301">
        <f t="shared" ca="1" si="570"/>
        <v>0</v>
      </c>
      <c r="AB126" s="301">
        <f t="shared" ca="1" si="570"/>
        <v>0</v>
      </c>
      <c r="AC126" s="301">
        <f t="shared" ca="1" si="570"/>
        <v>0</v>
      </c>
      <c r="AD126" s="301">
        <f t="shared" ca="1" si="570"/>
        <v>0</v>
      </c>
      <c r="AE126" s="301">
        <f t="shared" ca="1" si="570"/>
        <v>0</v>
      </c>
      <c r="AF126" s="301">
        <f t="shared" ca="1" si="570"/>
        <v>0</v>
      </c>
      <c r="AG126" s="301">
        <f t="shared" ca="1" si="570"/>
        <v>0</v>
      </c>
      <c r="AH126" s="301">
        <f t="shared" ca="1" si="570"/>
        <v>0</v>
      </c>
      <c r="AI126" s="301">
        <f t="shared" ca="1" si="570"/>
        <v>0</v>
      </c>
      <c r="AJ126" s="301">
        <f t="shared" ca="1" si="570"/>
        <v>0</v>
      </c>
      <c r="AK126" s="301">
        <f t="shared" ca="1" si="570"/>
        <v>0</v>
      </c>
      <c r="AL126" s="301">
        <f t="shared" ca="1" si="570"/>
        <v>0</v>
      </c>
      <c r="AM126" s="301">
        <f t="shared" ca="1" si="570"/>
        <v>0</v>
      </c>
      <c r="AN126" s="301">
        <f t="shared" ca="1" si="570"/>
        <v>0</v>
      </c>
      <c r="AO126" s="301">
        <f t="shared" ca="1" si="570"/>
        <v>0</v>
      </c>
      <c r="AP126" s="301">
        <f t="shared" ca="1" si="570"/>
        <v>0</v>
      </c>
      <c r="AQ126" s="301">
        <f t="shared" ca="1" si="570"/>
        <v>0</v>
      </c>
      <c r="AR126" s="301">
        <f t="shared" ca="1" si="570"/>
        <v>0</v>
      </c>
      <c r="AS126" s="301">
        <f t="shared" ca="1" si="570"/>
        <v>0</v>
      </c>
      <c r="AT126" s="301">
        <f t="shared" ca="1" si="570"/>
        <v>0</v>
      </c>
      <c r="AU126" s="301">
        <f t="shared" ca="1" si="570"/>
        <v>0</v>
      </c>
      <c r="AV126" s="301">
        <f t="shared" ca="1" si="570"/>
        <v>0</v>
      </c>
      <c r="AW126" s="301">
        <f t="shared" ca="1" si="570"/>
        <v>0</v>
      </c>
      <c r="AX126" s="301">
        <f t="shared" ca="1" si="570"/>
        <v>0</v>
      </c>
      <c r="AY126" s="301">
        <f t="shared" ca="1" si="570"/>
        <v>0</v>
      </c>
      <c r="AZ126" s="301">
        <f t="shared" ca="1" si="570"/>
        <v>0</v>
      </c>
      <c r="BA126" s="301">
        <f t="shared" ca="1" si="570"/>
        <v>0</v>
      </c>
      <c r="BB126" s="301">
        <f t="shared" ca="1" si="570"/>
        <v>0</v>
      </c>
      <c r="BC126" s="301">
        <f t="shared" ca="1" si="570"/>
        <v>0</v>
      </c>
      <c r="BD126" s="301">
        <f t="shared" ca="1" si="570"/>
        <v>0</v>
      </c>
      <c r="BE126" s="301">
        <f t="shared" ca="1" si="570"/>
        <v>0</v>
      </c>
      <c r="BF126" s="301">
        <f t="shared" ca="1" si="570"/>
        <v>0</v>
      </c>
      <c r="BG126" s="301">
        <f t="shared" ca="1" si="570"/>
        <v>0</v>
      </c>
      <c r="BH126" s="301">
        <f t="shared" ca="1" si="570"/>
        <v>0</v>
      </c>
      <c r="BI126" s="301">
        <f t="shared" ca="1" si="570"/>
        <v>0</v>
      </c>
      <c r="BJ126" s="301">
        <f t="shared" ca="1" si="570"/>
        <v>0</v>
      </c>
      <c r="BK126" s="301">
        <f t="shared" ca="1" si="570"/>
        <v>0</v>
      </c>
      <c r="BL126" s="301">
        <f t="shared" ca="1" si="570"/>
        <v>0</v>
      </c>
      <c r="BM126" s="301">
        <f t="shared" ca="1" si="570"/>
        <v>0</v>
      </c>
      <c r="BN126" s="301">
        <f t="shared" ca="1" si="570"/>
        <v>0</v>
      </c>
      <c r="BO126" s="301">
        <f t="shared" ca="1" si="570"/>
        <v>0</v>
      </c>
      <c r="BP126" s="301">
        <f t="shared" ca="1" si="570"/>
        <v>0</v>
      </c>
      <c r="BQ126" s="301">
        <f t="shared" ca="1" si="570"/>
        <v>0</v>
      </c>
      <c r="BR126" s="301">
        <f t="shared" ca="1" si="570"/>
        <v>0</v>
      </c>
      <c r="BS126" s="301">
        <f t="shared" ca="1" si="570"/>
        <v>0</v>
      </c>
      <c r="BT126" s="301">
        <f t="shared" ca="1" si="570"/>
        <v>0</v>
      </c>
      <c r="BU126" s="301">
        <f t="shared" ref="BU126:CZ126" ca="1" si="571">-BU56*$F$122</f>
        <v>0</v>
      </c>
      <c r="BV126" s="301">
        <f t="shared" ca="1" si="571"/>
        <v>0</v>
      </c>
      <c r="BW126" s="301">
        <f t="shared" ca="1" si="571"/>
        <v>0</v>
      </c>
      <c r="BX126" s="301">
        <f t="shared" ca="1" si="571"/>
        <v>0</v>
      </c>
      <c r="BY126" s="301">
        <f t="shared" ca="1" si="571"/>
        <v>0</v>
      </c>
      <c r="BZ126" s="301">
        <f t="shared" ca="1" si="571"/>
        <v>0</v>
      </c>
      <c r="CA126" s="301">
        <f t="shared" ca="1" si="571"/>
        <v>0</v>
      </c>
      <c r="CB126" s="301">
        <f t="shared" ca="1" si="571"/>
        <v>0</v>
      </c>
      <c r="CC126" s="301">
        <f t="shared" ca="1" si="571"/>
        <v>0</v>
      </c>
      <c r="CD126" s="301">
        <f t="shared" ca="1" si="571"/>
        <v>0</v>
      </c>
      <c r="CE126" s="301">
        <f t="shared" ca="1" si="571"/>
        <v>0</v>
      </c>
      <c r="CF126" s="301">
        <f t="shared" ca="1" si="571"/>
        <v>0</v>
      </c>
      <c r="CG126" s="301">
        <f t="shared" ca="1" si="571"/>
        <v>0</v>
      </c>
      <c r="CH126" s="301">
        <f t="shared" ca="1" si="571"/>
        <v>0</v>
      </c>
      <c r="CI126" s="301">
        <f t="shared" ca="1" si="571"/>
        <v>0</v>
      </c>
      <c r="CJ126" s="301">
        <f t="shared" ca="1" si="571"/>
        <v>0</v>
      </c>
      <c r="CK126" s="301">
        <f t="shared" ca="1" si="571"/>
        <v>0</v>
      </c>
      <c r="CL126" s="301">
        <f t="shared" ca="1" si="571"/>
        <v>0</v>
      </c>
      <c r="CM126" s="301">
        <f t="shared" ca="1" si="571"/>
        <v>0</v>
      </c>
      <c r="CN126" s="301">
        <f t="shared" ca="1" si="571"/>
        <v>0</v>
      </c>
      <c r="CO126" s="301">
        <f t="shared" ca="1" si="571"/>
        <v>0</v>
      </c>
      <c r="CP126" s="301">
        <f t="shared" ca="1" si="571"/>
        <v>0</v>
      </c>
      <c r="CQ126" s="301">
        <f t="shared" ca="1" si="571"/>
        <v>0</v>
      </c>
      <c r="CR126" s="301">
        <f t="shared" ca="1" si="571"/>
        <v>0</v>
      </c>
      <c r="CS126" s="301">
        <f t="shared" ca="1" si="571"/>
        <v>0</v>
      </c>
      <c r="CT126" s="301">
        <f t="shared" ca="1" si="571"/>
        <v>0</v>
      </c>
      <c r="CU126" s="301">
        <f t="shared" ca="1" si="571"/>
        <v>0</v>
      </c>
      <c r="CV126" s="301">
        <f t="shared" ca="1" si="571"/>
        <v>0</v>
      </c>
      <c r="CW126" s="301">
        <f t="shared" ca="1" si="571"/>
        <v>0</v>
      </c>
      <c r="CX126" s="301">
        <f t="shared" ca="1" si="571"/>
        <v>0</v>
      </c>
      <c r="CY126" s="301">
        <f t="shared" ca="1" si="571"/>
        <v>0</v>
      </c>
      <c r="CZ126" s="301">
        <f t="shared" ca="1" si="571"/>
        <v>0</v>
      </c>
      <c r="DA126" s="301">
        <f t="shared" ref="DA126:EE126" ca="1" si="572">-DA56*$F$122</f>
        <v>0</v>
      </c>
      <c r="DB126" s="301">
        <f t="shared" ca="1" si="572"/>
        <v>0</v>
      </c>
      <c r="DC126" s="301">
        <f t="shared" ca="1" si="572"/>
        <v>0</v>
      </c>
      <c r="DD126" s="301">
        <f t="shared" ca="1" si="572"/>
        <v>0</v>
      </c>
      <c r="DE126" s="301">
        <f t="shared" ca="1" si="572"/>
        <v>0</v>
      </c>
      <c r="DF126" s="301">
        <f t="shared" ca="1" si="572"/>
        <v>0</v>
      </c>
      <c r="DG126" s="301">
        <f t="shared" ca="1" si="572"/>
        <v>15748.034300818308</v>
      </c>
      <c r="DH126" s="301">
        <f t="shared" ca="1" si="572"/>
        <v>0</v>
      </c>
      <c r="DI126" s="301">
        <f t="shared" ca="1" si="572"/>
        <v>0</v>
      </c>
      <c r="DJ126" s="301">
        <f t="shared" ca="1" si="572"/>
        <v>0</v>
      </c>
      <c r="DK126" s="301">
        <f t="shared" ca="1" si="572"/>
        <v>0</v>
      </c>
      <c r="DL126" s="301">
        <f t="shared" ca="1" si="572"/>
        <v>0</v>
      </c>
      <c r="DM126" s="301">
        <f t="shared" ca="1" si="572"/>
        <v>0</v>
      </c>
      <c r="DN126" s="301">
        <f t="shared" ca="1" si="572"/>
        <v>0</v>
      </c>
      <c r="DO126" s="301">
        <f t="shared" ca="1" si="572"/>
        <v>0</v>
      </c>
      <c r="DP126" s="301">
        <f t="shared" ca="1" si="572"/>
        <v>0</v>
      </c>
      <c r="DQ126" s="301">
        <f t="shared" ca="1" si="572"/>
        <v>0</v>
      </c>
      <c r="DR126" s="301">
        <f t="shared" ca="1" si="572"/>
        <v>0</v>
      </c>
      <c r="DS126" s="301">
        <f t="shared" ca="1" si="572"/>
        <v>0</v>
      </c>
      <c r="DT126" s="301">
        <f t="shared" ca="1" si="572"/>
        <v>0</v>
      </c>
      <c r="DU126" s="301">
        <f t="shared" ca="1" si="572"/>
        <v>0</v>
      </c>
      <c r="DV126" s="301">
        <f t="shared" ca="1" si="572"/>
        <v>0</v>
      </c>
      <c r="DW126" s="301">
        <f t="shared" ca="1" si="572"/>
        <v>0</v>
      </c>
      <c r="DX126" s="301">
        <f t="shared" ca="1" si="572"/>
        <v>0</v>
      </c>
      <c r="DY126" s="301">
        <f t="shared" ca="1" si="572"/>
        <v>0</v>
      </c>
      <c r="DZ126" s="301">
        <f t="shared" ca="1" si="572"/>
        <v>0</v>
      </c>
      <c r="EA126" s="301">
        <f t="shared" ca="1" si="572"/>
        <v>0</v>
      </c>
      <c r="EB126" s="301">
        <f t="shared" ca="1" si="572"/>
        <v>0</v>
      </c>
      <c r="EC126" s="301">
        <f t="shared" ca="1" si="572"/>
        <v>0</v>
      </c>
      <c r="ED126" s="301">
        <f t="shared" ca="1" si="572"/>
        <v>0</v>
      </c>
      <c r="EE126" s="301">
        <f t="shared" ca="1" si="572"/>
        <v>0</v>
      </c>
    </row>
    <row r="127" spans="2:135">
      <c r="C127" s="265" t="s">
        <v>164</v>
      </c>
      <c r="G127" s="301">
        <f t="shared" ca="1" si="563"/>
        <v>11506.380966658697</v>
      </c>
      <c r="H127" s="301"/>
      <c r="I127" s="301">
        <f t="shared" ref="I127:BT127" si="573">-I70*$F$122</f>
        <v>0</v>
      </c>
      <c r="J127" s="301">
        <f t="shared" ca="1" si="573"/>
        <v>0</v>
      </c>
      <c r="K127" s="301">
        <f t="shared" ca="1" si="573"/>
        <v>0</v>
      </c>
      <c r="L127" s="301">
        <f t="shared" ca="1" si="573"/>
        <v>0</v>
      </c>
      <c r="M127" s="301">
        <f t="shared" ca="1" si="573"/>
        <v>0</v>
      </c>
      <c r="N127" s="301">
        <f t="shared" ca="1" si="573"/>
        <v>0</v>
      </c>
      <c r="O127" s="301">
        <f t="shared" ca="1" si="573"/>
        <v>0</v>
      </c>
      <c r="P127" s="301">
        <f t="shared" ca="1" si="573"/>
        <v>0</v>
      </c>
      <c r="Q127" s="301">
        <f t="shared" ca="1" si="573"/>
        <v>0</v>
      </c>
      <c r="R127" s="301">
        <f t="shared" ca="1" si="573"/>
        <v>0</v>
      </c>
      <c r="S127" s="301">
        <f t="shared" ca="1" si="573"/>
        <v>0</v>
      </c>
      <c r="T127" s="301">
        <f t="shared" ca="1" si="573"/>
        <v>0</v>
      </c>
      <c r="U127" s="301">
        <f t="shared" ca="1" si="573"/>
        <v>0</v>
      </c>
      <c r="V127" s="301">
        <f t="shared" ca="1" si="573"/>
        <v>0</v>
      </c>
      <c r="W127" s="301">
        <f t="shared" ca="1" si="573"/>
        <v>0</v>
      </c>
      <c r="X127" s="301">
        <f t="shared" ca="1" si="573"/>
        <v>0</v>
      </c>
      <c r="Y127" s="301">
        <f t="shared" ca="1" si="573"/>
        <v>0</v>
      </c>
      <c r="Z127" s="301">
        <f t="shared" ca="1" si="573"/>
        <v>0</v>
      </c>
      <c r="AA127" s="301">
        <f t="shared" ca="1" si="573"/>
        <v>0</v>
      </c>
      <c r="AB127" s="301">
        <f t="shared" ca="1" si="573"/>
        <v>0</v>
      </c>
      <c r="AC127" s="301">
        <f t="shared" ca="1" si="573"/>
        <v>0</v>
      </c>
      <c r="AD127" s="301">
        <f t="shared" ca="1" si="573"/>
        <v>0</v>
      </c>
      <c r="AE127" s="301">
        <f t="shared" ca="1" si="573"/>
        <v>0</v>
      </c>
      <c r="AF127" s="301">
        <f t="shared" ca="1" si="573"/>
        <v>0</v>
      </c>
      <c r="AG127" s="301">
        <f t="shared" ca="1" si="573"/>
        <v>0</v>
      </c>
      <c r="AH127" s="301">
        <f t="shared" ca="1" si="573"/>
        <v>0</v>
      </c>
      <c r="AI127" s="301">
        <f t="shared" ca="1" si="573"/>
        <v>0</v>
      </c>
      <c r="AJ127" s="301">
        <f t="shared" ca="1" si="573"/>
        <v>0</v>
      </c>
      <c r="AK127" s="301">
        <f t="shared" ca="1" si="573"/>
        <v>0</v>
      </c>
      <c r="AL127" s="301">
        <f t="shared" ca="1" si="573"/>
        <v>0</v>
      </c>
      <c r="AM127" s="301">
        <f t="shared" ca="1" si="573"/>
        <v>0</v>
      </c>
      <c r="AN127" s="301">
        <f t="shared" ca="1" si="573"/>
        <v>0</v>
      </c>
      <c r="AO127" s="301">
        <f t="shared" ca="1" si="573"/>
        <v>0</v>
      </c>
      <c r="AP127" s="301">
        <f t="shared" ca="1" si="573"/>
        <v>0</v>
      </c>
      <c r="AQ127" s="301">
        <f t="shared" ca="1" si="573"/>
        <v>0</v>
      </c>
      <c r="AR127" s="301">
        <f t="shared" ca="1" si="573"/>
        <v>0</v>
      </c>
      <c r="AS127" s="301">
        <f t="shared" ca="1" si="573"/>
        <v>0</v>
      </c>
      <c r="AT127" s="301">
        <f t="shared" ca="1" si="573"/>
        <v>0</v>
      </c>
      <c r="AU127" s="301">
        <f t="shared" ca="1" si="573"/>
        <v>0</v>
      </c>
      <c r="AV127" s="301">
        <f t="shared" ca="1" si="573"/>
        <v>0</v>
      </c>
      <c r="AW127" s="301">
        <f t="shared" ca="1" si="573"/>
        <v>0</v>
      </c>
      <c r="AX127" s="301">
        <f t="shared" ca="1" si="573"/>
        <v>0</v>
      </c>
      <c r="AY127" s="301">
        <f t="shared" ca="1" si="573"/>
        <v>0</v>
      </c>
      <c r="AZ127" s="301">
        <f t="shared" ca="1" si="573"/>
        <v>0</v>
      </c>
      <c r="BA127" s="301">
        <f t="shared" ca="1" si="573"/>
        <v>0</v>
      </c>
      <c r="BB127" s="301">
        <f t="shared" ca="1" si="573"/>
        <v>0</v>
      </c>
      <c r="BC127" s="301">
        <f t="shared" ca="1" si="573"/>
        <v>0</v>
      </c>
      <c r="BD127" s="301">
        <f t="shared" ca="1" si="573"/>
        <v>0</v>
      </c>
      <c r="BE127" s="301">
        <f t="shared" ca="1" si="573"/>
        <v>0</v>
      </c>
      <c r="BF127" s="301">
        <f t="shared" ca="1" si="573"/>
        <v>0</v>
      </c>
      <c r="BG127" s="301">
        <f t="shared" ca="1" si="573"/>
        <v>0</v>
      </c>
      <c r="BH127" s="301">
        <f t="shared" ca="1" si="573"/>
        <v>0</v>
      </c>
      <c r="BI127" s="301">
        <f t="shared" ca="1" si="573"/>
        <v>0</v>
      </c>
      <c r="BJ127" s="301">
        <f t="shared" ca="1" si="573"/>
        <v>0</v>
      </c>
      <c r="BK127" s="301">
        <f t="shared" ca="1" si="573"/>
        <v>0</v>
      </c>
      <c r="BL127" s="301">
        <f t="shared" ca="1" si="573"/>
        <v>0</v>
      </c>
      <c r="BM127" s="301">
        <f t="shared" ca="1" si="573"/>
        <v>0</v>
      </c>
      <c r="BN127" s="301">
        <f t="shared" ca="1" si="573"/>
        <v>0</v>
      </c>
      <c r="BO127" s="301">
        <f t="shared" ca="1" si="573"/>
        <v>0</v>
      </c>
      <c r="BP127" s="301">
        <f t="shared" ca="1" si="573"/>
        <v>0</v>
      </c>
      <c r="BQ127" s="301">
        <f t="shared" ca="1" si="573"/>
        <v>0</v>
      </c>
      <c r="BR127" s="301">
        <f t="shared" ca="1" si="573"/>
        <v>0</v>
      </c>
      <c r="BS127" s="301">
        <f t="shared" ca="1" si="573"/>
        <v>0</v>
      </c>
      <c r="BT127" s="301">
        <f t="shared" ca="1" si="573"/>
        <v>0</v>
      </c>
      <c r="BU127" s="301">
        <f t="shared" ref="BU127:CZ127" ca="1" si="574">-BU70*$F$122</f>
        <v>0</v>
      </c>
      <c r="BV127" s="301">
        <f t="shared" ca="1" si="574"/>
        <v>0</v>
      </c>
      <c r="BW127" s="301">
        <f t="shared" ca="1" si="574"/>
        <v>0</v>
      </c>
      <c r="BX127" s="301">
        <f t="shared" ca="1" si="574"/>
        <v>0</v>
      </c>
      <c r="BY127" s="301">
        <f t="shared" ca="1" si="574"/>
        <v>0</v>
      </c>
      <c r="BZ127" s="301">
        <f t="shared" ca="1" si="574"/>
        <v>0</v>
      </c>
      <c r="CA127" s="301">
        <f t="shared" ca="1" si="574"/>
        <v>0</v>
      </c>
      <c r="CB127" s="301">
        <f t="shared" ca="1" si="574"/>
        <v>0</v>
      </c>
      <c r="CC127" s="301">
        <f t="shared" ca="1" si="574"/>
        <v>0</v>
      </c>
      <c r="CD127" s="301">
        <f t="shared" ca="1" si="574"/>
        <v>0</v>
      </c>
      <c r="CE127" s="301">
        <f t="shared" ca="1" si="574"/>
        <v>0</v>
      </c>
      <c r="CF127" s="301">
        <f t="shared" ca="1" si="574"/>
        <v>0</v>
      </c>
      <c r="CG127" s="301">
        <f t="shared" ca="1" si="574"/>
        <v>0</v>
      </c>
      <c r="CH127" s="301">
        <f t="shared" ca="1" si="574"/>
        <v>0</v>
      </c>
      <c r="CI127" s="301">
        <f t="shared" ca="1" si="574"/>
        <v>0</v>
      </c>
      <c r="CJ127" s="301">
        <f t="shared" ca="1" si="574"/>
        <v>0</v>
      </c>
      <c r="CK127" s="301">
        <f t="shared" ca="1" si="574"/>
        <v>0</v>
      </c>
      <c r="CL127" s="301">
        <f t="shared" ca="1" si="574"/>
        <v>0</v>
      </c>
      <c r="CM127" s="301">
        <f t="shared" ca="1" si="574"/>
        <v>0</v>
      </c>
      <c r="CN127" s="301">
        <f t="shared" ca="1" si="574"/>
        <v>0</v>
      </c>
      <c r="CO127" s="301">
        <f t="shared" ca="1" si="574"/>
        <v>0</v>
      </c>
      <c r="CP127" s="301">
        <f t="shared" ca="1" si="574"/>
        <v>0</v>
      </c>
      <c r="CQ127" s="301">
        <f t="shared" ca="1" si="574"/>
        <v>0</v>
      </c>
      <c r="CR127" s="301">
        <f t="shared" ca="1" si="574"/>
        <v>0</v>
      </c>
      <c r="CS127" s="301">
        <f t="shared" ca="1" si="574"/>
        <v>0</v>
      </c>
      <c r="CT127" s="301">
        <f t="shared" ca="1" si="574"/>
        <v>0</v>
      </c>
      <c r="CU127" s="301">
        <f t="shared" ca="1" si="574"/>
        <v>0</v>
      </c>
      <c r="CV127" s="301">
        <f t="shared" ca="1" si="574"/>
        <v>0</v>
      </c>
      <c r="CW127" s="301">
        <f t="shared" ca="1" si="574"/>
        <v>0</v>
      </c>
      <c r="CX127" s="301">
        <f t="shared" ca="1" si="574"/>
        <v>0</v>
      </c>
      <c r="CY127" s="301">
        <f t="shared" ca="1" si="574"/>
        <v>0</v>
      </c>
      <c r="CZ127" s="301">
        <f t="shared" ca="1" si="574"/>
        <v>0</v>
      </c>
      <c r="DA127" s="301">
        <f t="shared" ref="DA127:EE127" ca="1" si="575">-DA70*$F$122</f>
        <v>0</v>
      </c>
      <c r="DB127" s="301">
        <f t="shared" ca="1" si="575"/>
        <v>0</v>
      </c>
      <c r="DC127" s="301">
        <f t="shared" ca="1" si="575"/>
        <v>0</v>
      </c>
      <c r="DD127" s="301">
        <f t="shared" ca="1" si="575"/>
        <v>0</v>
      </c>
      <c r="DE127" s="301">
        <f t="shared" ca="1" si="575"/>
        <v>0</v>
      </c>
      <c r="DF127" s="301">
        <f t="shared" ca="1" si="575"/>
        <v>0</v>
      </c>
      <c r="DG127" s="301">
        <f t="shared" ca="1" si="575"/>
        <v>11506.380966658697</v>
      </c>
      <c r="DH127" s="301">
        <f t="shared" ca="1" si="575"/>
        <v>0</v>
      </c>
      <c r="DI127" s="301">
        <f t="shared" ca="1" si="575"/>
        <v>0</v>
      </c>
      <c r="DJ127" s="301">
        <f t="shared" ca="1" si="575"/>
        <v>0</v>
      </c>
      <c r="DK127" s="301">
        <f t="shared" ca="1" si="575"/>
        <v>0</v>
      </c>
      <c r="DL127" s="301">
        <f t="shared" ca="1" si="575"/>
        <v>0</v>
      </c>
      <c r="DM127" s="301">
        <f t="shared" ca="1" si="575"/>
        <v>0</v>
      </c>
      <c r="DN127" s="301">
        <f t="shared" ca="1" si="575"/>
        <v>0</v>
      </c>
      <c r="DO127" s="301">
        <f t="shared" ca="1" si="575"/>
        <v>0</v>
      </c>
      <c r="DP127" s="301">
        <f t="shared" ca="1" si="575"/>
        <v>0</v>
      </c>
      <c r="DQ127" s="301">
        <f t="shared" ca="1" si="575"/>
        <v>0</v>
      </c>
      <c r="DR127" s="301">
        <f t="shared" ca="1" si="575"/>
        <v>0</v>
      </c>
      <c r="DS127" s="301">
        <f t="shared" ca="1" si="575"/>
        <v>0</v>
      </c>
      <c r="DT127" s="301">
        <f t="shared" ca="1" si="575"/>
        <v>0</v>
      </c>
      <c r="DU127" s="301">
        <f t="shared" ca="1" si="575"/>
        <v>0</v>
      </c>
      <c r="DV127" s="301">
        <f t="shared" ca="1" si="575"/>
        <v>0</v>
      </c>
      <c r="DW127" s="301">
        <f t="shared" ca="1" si="575"/>
        <v>0</v>
      </c>
      <c r="DX127" s="301">
        <f t="shared" ca="1" si="575"/>
        <v>0</v>
      </c>
      <c r="DY127" s="301">
        <f t="shared" ca="1" si="575"/>
        <v>0</v>
      </c>
      <c r="DZ127" s="301">
        <f t="shared" ca="1" si="575"/>
        <v>0</v>
      </c>
      <c r="EA127" s="301">
        <f t="shared" ca="1" si="575"/>
        <v>0</v>
      </c>
      <c r="EB127" s="301">
        <f t="shared" ca="1" si="575"/>
        <v>0</v>
      </c>
      <c r="EC127" s="301">
        <f t="shared" ca="1" si="575"/>
        <v>0</v>
      </c>
      <c r="ED127" s="301">
        <f t="shared" ca="1" si="575"/>
        <v>0</v>
      </c>
      <c r="EE127" s="301">
        <f t="shared" ca="1" si="575"/>
        <v>0</v>
      </c>
    </row>
    <row r="128" spans="2:135">
      <c r="C128" s="265" t="s">
        <v>165</v>
      </c>
      <c r="G128" s="301">
        <f t="shared" ca="1" si="563"/>
        <v>0</v>
      </c>
      <c r="H128" s="301"/>
      <c r="I128" s="301">
        <f t="shared" ref="I128:BT128" si="576">-I84*$F$122</f>
        <v>0</v>
      </c>
      <c r="J128" s="301">
        <f t="shared" ca="1" si="576"/>
        <v>0</v>
      </c>
      <c r="K128" s="301">
        <f t="shared" ca="1" si="576"/>
        <v>0</v>
      </c>
      <c r="L128" s="301">
        <f t="shared" ca="1" si="576"/>
        <v>0</v>
      </c>
      <c r="M128" s="301">
        <f t="shared" ca="1" si="576"/>
        <v>0</v>
      </c>
      <c r="N128" s="301">
        <f t="shared" ca="1" si="576"/>
        <v>0</v>
      </c>
      <c r="O128" s="301">
        <f t="shared" ca="1" si="576"/>
        <v>0</v>
      </c>
      <c r="P128" s="301">
        <f t="shared" ca="1" si="576"/>
        <v>0</v>
      </c>
      <c r="Q128" s="301">
        <f t="shared" ca="1" si="576"/>
        <v>0</v>
      </c>
      <c r="R128" s="301">
        <f t="shared" ca="1" si="576"/>
        <v>0</v>
      </c>
      <c r="S128" s="301">
        <f t="shared" ca="1" si="576"/>
        <v>0</v>
      </c>
      <c r="T128" s="301">
        <f t="shared" ca="1" si="576"/>
        <v>0</v>
      </c>
      <c r="U128" s="301">
        <f t="shared" ca="1" si="576"/>
        <v>0</v>
      </c>
      <c r="V128" s="301">
        <f t="shared" ca="1" si="576"/>
        <v>0</v>
      </c>
      <c r="W128" s="301">
        <f t="shared" ca="1" si="576"/>
        <v>0</v>
      </c>
      <c r="X128" s="301">
        <f t="shared" ca="1" si="576"/>
        <v>0</v>
      </c>
      <c r="Y128" s="301">
        <f t="shared" ca="1" si="576"/>
        <v>0</v>
      </c>
      <c r="Z128" s="301">
        <f t="shared" ca="1" si="576"/>
        <v>0</v>
      </c>
      <c r="AA128" s="301">
        <f t="shared" ca="1" si="576"/>
        <v>0</v>
      </c>
      <c r="AB128" s="301">
        <f t="shared" ca="1" si="576"/>
        <v>0</v>
      </c>
      <c r="AC128" s="301">
        <f t="shared" ca="1" si="576"/>
        <v>0</v>
      </c>
      <c r="AD128" s="301">
        <f t="shared" ca="1" si="576"/>
        <v>0</v>
      </c>
      <c r="AE128" s="301">
        <f t="shared" ca="1" si="576"/>
        <v>0</v>
      </c>
      <c r="AF128" s="301">
        <f t="shared" ca="1" si="576"/>
        <v>0</v>
      </c>
      <c r="AG128" s="301">
        <f t="shared" ca="1" si="576"/>
        <v>0</v>
      </c>
      <c r="AH128" s="301">
        <f t="shared" ca="1" si="576"/>
        <v>0</v>
      </c>
      <c r="AI128" s="301">
        <f t="shared" ca="1" si="576"/>
        <v>0</v>
      </c>
      <c r="AJ128" s="301">
        <f t="shared" ca="1" si="576"/>
        <v>0</v>
      </c>
      <c r="AK128" s="301">
        <f t="shared" ca="1" si="576"/>
        <v>0</v>
      </c>
      <c r="AL128" s="301">
        <f t="shared" ca="1" si="576"/>
        <v>0</v>
      </c>
      <c r="AM128" s="301">
        <f t="shared" ca="1" si="576"/>
        <v>0</v>
      </c>
      <c r="AN128" s="301">
        <f t="shared" ca="1" si="576"/>
        <v>0</v>
      </c>
      <c r="AO128" s="301">
        <f t="shared" ca="1" si="576"/>
        <v>0</v>
      </c>
      <c r="AP128" s="301">
        <f t="shared" ca="1" si="576"/>
        <v>0</v>
      </c>
      <c r="AQ128" s="301">
        <f t="shared" ca="1" si="576"/>
        <v>0</v>
      </c>
      <c r="AR128" s="301">
        <f t="shared" ca="1" si="576"/>
        <v>0</v>
      </c>
      <c r="AS128" s="301">
        <f t="shared" ca="1" si="576"/>
        <v>0</v>
      </c>
      <c r="AT128" s="301">
        <f t="shared" ca="1" si="576"/>
        <v>0</v>
      </c>
      <c r="AU128" s="301">
        <f t="shared" ca="1" si="576"/>
        <v>0</v>
      </c>
      <c r="AV128" s="301">
        <f t="shared" ca="1" si="576"/>
        <v>0</v>
      </c>
      <c r="AW128" s="301">
        <f t="shared" ca="1" si="576"/>
        <v>0</v>
      </c>
      <c r="AX128" s="301">
        <f t="shared" ca="1" si="576"/>
        <v>0</v>
      </c>
      <c r="AY128" s="301">
        <f t="shared" ca="1" si="576"/>
        <v>0</v>
      </c>
      <c r="AZ128" s="301">
        <f t="shared" ca="1" si="576"/>
        <v>0</v>
      </c>
      <c r="BA128" s="301">
        <f t="shared" ca="1" si="576"/>
        <v>0</v>
      </c>
      <c r="BB128" s="301">
        <f t="shared" ca="1" si="576"/>
        <v>0</v>
      </c>
      <c r="BC128" s="301">
        <f t="shared" ca="1" si="576"/>
        <v>0</v>
      </c>
      <c r="BD128" s="301">
        <f t="shared" ca="1" si="576"/>
        <v>0</v>
      </c>
      <c r="BE128" s="301">
        <f t="shared" ca="1" si="576"/>
        <v>0</v>
      </c>
      <c r="BF128" s="301">
        <f t="shared" ca="1" si="576"/>
        <v>0</v>
      </c>
      <c r="BG128" s="301">
        <f t="shared" ca="1" si="576"/>
        <v>0</v>
      </c>
      <c r="BH128" s="301">
        <f t="shared" ca="1" si="576"/>
        <v>0</v>
      </c>
      <c r="BI128" s="301">
        <f t="shared" ca="1" si="576"/>
        <v>0</v>
      </c>
      <c r="BJ128" s="301">
        <f t="shared" ca="1" si="576"/>
        <v>0</v>
      </c>
      <c r="BK128" s="301">
        <f t="shared" ca="1" si="576"/>
        <v>0</v>
      </c>
      <c r="BL128" s="301">
        <f t="shared" ca="1" si="576"/>
        <v>0</v>
      </c>
      <c r="BM128" s="301">
        <f t="shared" ca="1" si="576"/>
        <v>0</v>
      </c>
      <c r="BN128" s="301">
        <f t="shared" ca="1" si="576"/>
        <v>0</v>
      </c>
      <c r="BO128" s="301">
        <f t="shared" ca="1" si="576"/>
        <v>0</v>
      </c>
      <c r="BP128" s="301">
        <f t="shared" ca="1" si="576"/>
        <v>0</v>
      </c>
      <c r="BQ128" s="301">
        <f t="shared" ca="1" si="576"/>
        <v>0</v>
      </c>
      <c r="BR128" s="301">
        <f t="shared" ca="1" si="576"/>
        <v>0</v>
      </c>
      <c r="BS128" s="301">
        <f t="shared" ca="1" si="576"/>
        <v>0</v>
      </c>
      <c r="BT128" s="301">
        <f t="shared" ca="1" si="576"/>
        <v>0</v>
      </c>
      <c r="BU128" s="301">
        <f t="shared" ref="BU128:CZ128" ca="1" si="577">-BU84*$F$122</f>
        <v>0</v>
      </c>
      <c r="BV128" s="301">
        <f t="shared" ca="1" si="577"/>
        <v>0</v>
      </c>
      <c r="BW128" s="301">
        <f t="shared" ca="1" si="577"/>
        <v>0</v>
      </c>
      <c r="BX128" s="301">
        <f t="shared" ca="1" si="577"/>
        <v>0</v>
      </c>
      <c r="BY128" s="301">
        <f t="shared" ca="1" si="577"/>
        <v>0</v>
      </c>
      <c r="BZ128" s="301">
        <f t="shared" ca="1" si="577"/>
        <v>0</v>
      </c>
      <c r="CA128" s="301">
        <f t="shared" ca="1" si="577"/>
        <v>0</v>
      </c>
      <c r="CB128" s="301">
        <f t="shared" ca="1" si="577"/>
        <v>0</v>
      </c>
      <c r="CC128" s="301">
        <f t="shared" ca="1" si="577"/>
        <v>0</v>
      </c>
      <c r="CD128" s="301">
        <f t="shared" ca="1" si="577"/>
        <v>0</v>
      </c>
      <c r="CE128" s="301">
        <f t="shared" ca="1" si="577"/>
        <v>0</v>
      </c>
      <c r="CF128" s="301">
        <f t="shared" ca="1" si="577"/>
        <v>0</v>
      </c>
      <c r="CG128" s="301">
        <f t="shared" ca="1" si="577"/>
        <v>0</v>
      </c>
      <c r="CH128" s="301">
        <f t="shared" ca="1" si="577"/>
        <v>0</v>
      </c>
      <c r="CI128" s="301">
        <f t="shared" ca="1" si="577"/>
        <v>0</v>
      </c>
      <c r="CJ128" s="301">
        <f t="shared" ca="1" si="577"/>
        <v>0</v>
      </c>
      <c r="CK128" s="301">
        <f t="shared" ca="1" si="577"/>
        <v>0</v>
      </c>
      <c r="CL128" s="301">
        <f t="shared" ca="1" si="577"/>
        <v>0</v>
      </c>
      <c r="CM128" s="301">
        <f t="shared" ca="1" si="577"/>
        <v>0</v>
      </c>
      <c r="CN128" s="301">
        <f t="shared" ca="1" si="577"/>
        <v>0</v>
      </c>
      <c r="CO128" s="301">
        <f t="shared" ca="1" si="577"/>
        <v>0</v>
      </c>
      <c r="CP128" s="301">
        <f t="shared" ca="1" si="577"/>
        <v>0</v>
      </c>
      <c r="CQ128" s="301">
        <f t="shared" ca="1" si="577"/>
        <v>0</v>
      </c>
      <c r="CR128" s="301">
        <f t="shared" ca="1" si="577"/>
        <v>0</v>
      </c>
      <c r="CS128" s="301">
        <f t="shared" ca="1" si="577"/>
        <v>0</v>
      </c>
      <c r="CT128" s="301">
        <f t="shared" ca="1" si="577"/>
        <v>0</v>
      </c>
      <c r="CU128" s="301">
        <f t="shared" ca="1" si="577"/>
        <v>0</v>
      </c>
      <c r="CV128" s="301">
        <f t="shared" ca="1" si="577"/>
        <v>0</v>
      </c>
      <c r="CW128" s="301">
        <f t="shared" ca="1" si="577"/>
        <v>0</v>
      </c>
      <c r="CX128" s="301">
        <f t="shared" ca="1" si="577"/>
        <v>0</v>
      </c>
      <c r="CY128" s="301">
        <f t="shared" ca="1" si="577"/>
        <v>0</v>
      </c>
      <c r="CZ128" s="301">
        <f t="shared" ca="1" si="577"/>
        <v>0</v>
      </c>
      <c r="DA128" s="301">
        <f t="shared" ref="DA128:EE128" ca="1" si="578">-DA84*$F$122</f>
        <v>0</v>
      </c>
      <c r="DB128" s="301">
        <f t="shared" ca="1" si="578"/>
        <v>0</v>
      </c>
      <c r="DC128" s="301">
        <f t="shared" ca="1" si="578"/>
        <v>0</v>
      </c>
      <c r="DD128" s="301">
        <f t="shared" ca="1" si="578"/>
        <v>0</v>
      </c>
      <c r="DE128" s="301">
        <f t="shared" ca="1" si="578"/>
        <v>0</v>
      </c>
      <c r="DF128" s="301">
        <f t="shared" ca="1" si="578"/>
        <v>0</v>
      </c>
      <c r="DG128" s="301">
        <f t="shared" ca="1" si="578"/>
        <v>0</v>
      </c>
      <c r="DH128" s="301">
        <f t="shared" ca="1" si="578"/>
        <v>0</v>
      </c>
      <c r="DI128" s="301">
        <f t="shared" ca="1" si="578"/>
        <v>0</v>
      </c>
      <c r="DJ128" s="301">
        <f t="shared" ca="1" si="578"/>
        <v>0</v>
      </c>
      <c r="DK128" s="301">
        <f t="shared" ca="1" si="578"/>
        <v>0</v>
      </c>
      <c r="DL128" s="301">
        <f t="shared" ca="1" si="578"/>
        <v>0</v>
      </c>
      <c r="DM128" s="301">
        <f t="shared" ca="1" si="578"/>
        <v>0</v>
      </c>
      <c r="DN128" s="301">
        <f t="shared" ca="1" si="578"/>
        <v>0</v>
      </c>
      <c r="DO128" s="301">
        <f t="shared" ca="1" si="578"/>
        <v>0</v>
      </c>
      <c r="DP128" s="301">
        <f t="shared" ca="1" si="578"/>
        <v>0</v>
      </c>
      <c r="DQ128" s="301">
        <f t="shared" ca="1" si="578"/>
        <v>0</v>
      </c>
      <c r="DR128" s="301">
        <f t="shared" ca="1" si="578"/>
        <v>0</v>
      </c>
      <c r="DS128" s="301">
        <f t="shared" ca="1" si="578"/>
        <v>0</v>
      </c>
      <c r="DT128" s="301">
        <f t="shared" ca="1" si="578"/>
        <v>0</v>
      </c>
      <c r="DU128" s="301">
        <f t="shared" ca="1" si="578"/>
        <v>0</v>
      </c>
      <c r="DV128" s="301">
        <f t="shared" ca="1" si="578"/>
        <v>0</v>
      </c>
      <c r="DW128" s="301">
        <f t="shared" ca="1" si="578"/>
        <v>0</v>
      </c>
      <c r="DX128" s="301">
        <f t="shared" ca="1" si="578"/>
        <v>0</v>
      </c>
      <c r="DY128" s="301">
        <f t="shared" ca="1" si="578"/>
        <v>0</v>
      </c>
      <c r="DZ128" s="301">
        <f t="shared" ca="1" si="578"/>
        <v>0</v>
      </c>
      <c r="EA128" s="301">
        <f t="shared" ca="1" si="578"/>
        <v>0</v>
      </c>
      <c r="EB128" s="301">
        <f t="shared" ca="1" si="578"/>
        <v>0</v>
      </c>
      <c r="EC128" s="301">
        <f t="shared" ca="1" si="578"/>
        <v>0</v>
      </c>
      <c r="ED128" s="301">
        <f t="shared" ca="1" si="578"/>
        <v>0</v>
      </c>
      <c r="EE128" s="301">
        <f t="shared" ca="1" si="578"/>
        <v>0</v>
      </c>
    </row>
    <row r="129" spans="3:135">
      <c r="C129" s="265" t="s">
        <v>166</v>
      </c>
      <c r="G129" s="301">
        <f t="shared" ca="1" si="563"/>
        <v>0</v>
      </c>
      <c r="H129" s="301"/>
      <c r="I129" s="301">
        <f t="shared" ref="I129:BT129" si="579">-I103*$F$122</f>
        <v>0</v>
      </c>
      <c r="J129" s="301">
        <f t="shared" ca="1" si="579"/>
        <v>0</v>
      </c>
      <c r="K129" s="301">
        <f t="shared" ca="1" si="579"/>
        <v>0</v>
      </c>
      <c r="L129" s="301">
        <f t="shared" ca="1" si="579"/>
        <v>0</v>
      </c>
      <c r="M129" s="301">
        <f t="shared" ca="1" si="579"/>
        <v>0</v>
      </c>
      <c r="N129" s="301">
        <f t="shared" ca="1" si="579"/>
        <v>0</v>
      </c>
      <c r="O129" s="301">
        <f t="shared" ca="1" si="579"/>
        <v>0</v>
      </c>
      <c r="P129" s="301">
        <f t="shared" ca="1" si="579"/>
        <v>0</v>
      </c>
      <c r="Q129" s="301">
        <f t="shared" ca="1" si="579"/>
        <v>0</v>
      </c>
      <c r="R129" s="301">
        <f t="shared" ca="1" si="579"/>
        <v>0</v>
      </c>
      <c r="S129" s="301">
        <f t="shared" ca="1" si="579"/>
        <v>0</v>
      </c>
      <c r="T129" s="301">
        <f t="shared" ca="1" si="579"/>
        <v>0</v>
      </c>
      <c r="U129" s="301">
        <f t="shared" ca="1" si="579"/>
        <v>0</v>
      </c>
      <c r="V129" s="301">
        <f t="shared" ca="1" si="579"/>
        <v>0</v>
      </c>
      <c r="W129" s="301">
        <f t="shared" ca="1" si="579"/>
        <v>0</v>
      </c>
      <c r="X129" s="301">
        <f t="shared" ca="1" si="579"/>
        <v>0</v>
      </c>
      <c r="Y129" s="301">
        <f t="shared" ca="1" si="579"/>
        <v>0</v>
      </c>
      <c r="Z129" s="301">
        <f t="shared" ca="1" si="579"/>
        <v>0</v>
      </c>
      <c r="AA129" s="301">
        <f t="shared" ca="1" si="579"/>
        <v>0</v>
      </c>
      <c r="AB129" s="301">
        <f t="shared" ca="1" si="579"/>
        <v>0</v>
      </c>
      <c r="AC129" s="301">
        <f t="shared" ca="1" si="579"/>
        <v>0</v>
      </c>
      <c r="AD129" s="301">
        <f t="shared" ca="1" si="579"/>
        <v>0</v>
      </c>
      <c r="AE129" s="301">
        <f t="shared" ca="1" si="579"/>
        <v>0</v>
      </c>
      <c r="AF129" s="301">
        <f t="shared" ca="1" si="579"/>
        <v>0</v>
      </c>
      <c r="AG129" s="301">
        <f t="shared" ca="1" si="579"/>
        <v>0</v>
      </c>
      <c r="AH129" s="301">
        <f t="shared" ca="1" si="579"/>
        <v>0</v>
      </c>
      <c r="AI129" s="301">
        <f t="shared" ca="1" si="579"/>
        <v>0</v>
      </c>
      <c r="AJ129" s="301">
        <f t="shared" ca="1" si="579"/>
        <v>0</v>
      </c>
      <c r="AK129" s="301">
        <f t="shared" ca="1" si="579"/>
        <v>0</v>
      </c>
      <c r="AL129" s="301">
        <f t="shared" ca="1" si="579"/>
        <v>0</v>
      </c>
      <c r="AM129" s="301">
        <f t="shared" ca="1" si="579"/>
        <v>0</v>
      </c>
      <c r="AN129" s="301">
        <f t="shared" ca="1" si="579"/>
        <v>0</v>
      </c>
      <c r="AO129" s="301">
        <f t="shared" ca="1" si="579"/>
        <v>0</v>
      </c>
      <c r="AP129" s="301">
        <f t="shared" ca="1" si="579"/>
        <v>0</v>
      </c>
      <c r="AQ129" s="301">
        <f t="shared" ca="1" si="579"/>
        <v>0</v>
      </c>
      <c r="AR129" s="301">
        <f t="shared" ca="1" si="579"/>
        <v>0</v>
      </c>
      <c r="AS129" s="301">
        <f t="shared" ca="1" si="579"/>
        <v>0</v>
      </c>
      <c r="AT129" s="301">
        <f t="shared" ca="1" si="579"/>
        <v>0</v>
      </c>
      <c r="AU129" s="301">
        <f t="shared" ca="1" si="579"/>
        <v>0</v>
      </c>
      <c r="AV129" s="301">
        <f t="shared" ca="1" si="579"/>
        <v>0</v>
      </c>
      <c r="AW129" s="301">
        <f t="shared" ca="1" si="579"/>
        <v>0</v>
      </c>
      <c r="AX129" s="301">
        <f t="shared" ca="1" si="579"/>
        <v>0</v>
      </c>
      <c r="AY129" s="301">
        <f t="shared" ca="1" si="579"/>
        <v>0</v>
      </c>
      <c r="AZ129" s="301">
        <f t="shared" ca="1" si="579"/>
        <v>0</v>
      </c>
      <c r="BA129" s="301">
        <f t="shared" ca="1" si="579"/>
        <v>0</v>
      </c>
      <c r="BB129" s="301">
        <f t="shared" ca="1" si="579"/>
        <v>0</v>
      </c>
      <c r="BC129" s="301">
        <f t="shared" ca="1" si="579"/>
        <v>0</v>
      </c>
      <c r="BD129" s="301">
        <f t="shared" ca="1" si="579"/>
        <v>0</v>
      </c>
      <c r="BE129" s="301">
        <f t="shared" ca="1" si="579"/>
        <v>0</v>
      </c>
      <c r="BF129" s="301">
        <f t="shared" ca="1" si="579"/>
        <v>0</v>
      </c>
      <c r="BG129" s="301">
        <f t="shared" ca="1" si="579"/>
        <v>0</v>
      </c>
      <c r="BH129" s="301">
        <f t="shared" ca="1" si="579"/>
        <v>0</v>
      </c>
      <c r="BI129" s="301">
        <f t="shared" ca="1" si="579"/>
        <v>0</v>
      </c>
      <c r="BJ129" s="301">
        <f t="shared" ca="1" si="579"/>
        <v>0</v>
      </c>
      <c r="BK129" s="301">
        <f t="shared" ca="1" si="579"/>
        <v>0</v>
      </c>
      <c r="BL129" s="301">
        <f t="shared" ca="1" si="579"/>
        <v>0</v>
      </c>
      <c r="BM129" s="301">
        <f t="shared" ca="1" si="579"/>
        <v>0</v>
      </c>
      <c r="BN129" s="301">
        <f t="shared" ca="1" si="579"/>
        <v>0</v>
      </c>
      <c r="BO129" s="301">
        <f t="shared" ca="1" si="579"/>
        <v>0</v>
      </c>
      <c r="BP129" s="301">
        <f t="shared" ca="1" si="579"/>
        <v>0</v>
      </c>
      <c r="BQ129" s="301">
        <f t="shared" ca="1" si="579"/>
        <v>0</v>
      </c>
      <c r="BR129" s="301">
        <f t="shared" ca="1" si="579"/>
        <v>0</v>
      </c>
      <c r="BS129" s="301">
        <f t="shared" ca="1" si="579"/>
        <v>0</v>
      </c>
      <c r="BT129" s="301">
        <f t="shared" ca="1" si="579"/>
        <v>0</v>
      </c>
      <c r="BU129" s="301">
        <f t="shared" ref="BU129:CZ129" ca="1" si="580">-BU103*$F$122</f>
        <v>0</v>
      </c>
      <c r="BV129" s="301">
        <f t="shared" ca="1" si="580"/>
        <v>0</v>
      </c>
      <c r="BW129" s="301">
        <f t="shared" ca="1" si="580"/>
        <v>0</v>
      </c>
      <c r="BX129" s="301">
        <f t="shared" ca="1" si="580"/>
        <v>0</v>
      </c>
      <c r="BY129" s="301">
        <f t="shared" ca="1" si="580"/>
        <v>0</v>
      </c>
      <c r="BZ129" s="301">
        <f t="shared" ca="1" si="580"/>
        <v>0</v>
      </c>
      <c r="CA129" s="301">
        <f t="shared" ca="1" si="580"/>
        <v>0</v>
      </c>
      <c r="CB129" s="301">
        <f t="shared" ca="1" si="580"/>
        <v>0</v>
      </c>
      <c r="CC129" s="301">
        <f t="shared" ca="1" si="580"/>
        <v>0</v>
      </c>
      <c r="CD129" s="301">
        <f t="shared" ca="1" si="580"/>
        <v>0</v>
      </c>
      <c r="CE129" s="301">
        <f t="shared" ca="1" si="580"/>
        <v>0</v>
      </c>
      <c r="CF129" s="301">
        <f t="shared" ca="1" si="580"/>
        <v>0</v>
      </c>
      <c r="CG129" s="301">
        <f t="shared" ca="1" si="580"/>
        <v>0</v>
      </c>
      <c r="CH129" s="301">
        <f t="shared" ca="1" si="580"/>
        <v>0</v>
      </c>
      <c r="CI129" s="301">
        <f t="shared" ca="1" si="580"/>
        <v>0</v>
      </c>
      <c r="CJ129" s="301">
        <f t="shared" ca="1" si="580"/>
        <v>0</v>
      </c>
      <c r="CK129" s="301">
        <f t="shared" ca="1" si="580"/>
        <v>0</v>
      </c>
      <c r="CL129" s="301">
        <f t="shared" ca="1" si="580"/>
        <v>0</v>
      </c>
      <c r="CM129" s="301">
        <f t="shared" ca="1" si="580"/>
        <v>0</v>
      </c>
      <c r="CN129" s="301">
        <f t="shared" ca="1" si="580"/>
        <v>0</v>
      </c>
      <c r="CO129" s="301">
        <f t="shared" ca="1" si="580"/>
        <v>0</v>
      </c>
      <c r="CP129" s="301">
        <f t="shared" ca="1" si="580"/>
        <v>0</v>
      </c>
      <c r="CQ129" s="301">
        <f t="shared" ca="1" si="580"/>
        <v>0</v>
      </c>
      <c r="CR129" s="301">
        <f t="shared" ca="1" si="580"/>
        <v>0</v>
      </c>
      <c r="CS129" s="301">
        <f t="shared" ca="1" si="580"/>
        <v>0</v>
      </c>
      <c r="CT129" s="301">
        <f t="shared" ca="1" si="580"/>
        <v>0</v>
      </c>
      <c r="CU129" s="301">
        <f t="shared" ca="1" si="580"/>
        <v>0</v>
      </c>
      <c r="CV129" s="301">
        <f t="shared" ca="1" si="580"/>
        <v>0</v>
      </c>
      <c r="CW129" s="301">
        <f t="shared" ca="1" si="580"/>
        <v>0</v>
      </c>
      <c r="CX129" s="301">
        <f t="shared" ca="1" si="580"/>
        <v>0</v>
      </c>
      <c r="CY129" s="301">
        <f t="shared" ca="1" si="580"/>
        <v>0</v>
      </c>
      <c r="CZ129" s="301">
        <f t="shared" ca="1" si="580"/>
        <v>0</v>
      </c>
      <c r="DA129" s="301">
        <f t="shared" ref="DA129:EE129" ca="1" si="581">-DA103*$F$122</f>
        <v>0</v>
      </c>
      <c r="DB129" s="301">
        <f t="shared" ca="1" si="581"/>
        <v>0</v>
      </c>
      <c r="DC129" s="301">
        <f t="shared" ca="1" si="581"/>
        <v>0</v>
      </c>
      <c r="DD129" s="301">
        <f t="shared" ca="1" si="581"/>
        <v>0</v>
      </c>
      <c r="DE129" s="301">
        <f t="shared" ca="1" si="581"/>
        <v>0</v>
      </c>
      <c r="DF129" s="301">
        <f t="shared" ca="1" si="581"/>
        <v>0</v>
      </c>
      <c r="DG129" s="301">
        <f t="shared" ca="1" si="581"/>
        <v>0</v>
      </c>
      <c r="DH129" s="301">
        <f t="shared" ca="1" si="581"/>
        <v>0</v>
      </c>
      <c r="DI129" s="301">
        <f t="shared" ca="1" si="581"/>
        <v>0</v>
      </c>
      <c r="DJ129" s="301">
        <f t="shared" ca="1" si="581"/>
        <v>0</v>
      </c>
      <c r="DK129" s="301">
        <f t="shared" ca="1" si="581"/>
        <v>0</v>
      </c>
      <c r="DL129" s="301">
        <f t="shared" ca="1" si="581"/>
        <v>0</v>
      </c>
      <c r="DM129" s="301">
        <f t="shared" ca="1" si="581"/>
        <v>0</v>
      </c>
      <c r="DN129" s="301">
        <f t="shared" ca="1" si="581"/>
        <v>0</v>
      </c>
      <c r="DO129" s="301">
        <f t="shared" ca="1" si="581"/>
        <v>0</v>
      </c>
      <c r="DP129" s="301">
        <f t="shared" ca="1" si="581"/>
        <v>0</v>
      </c>
      <c r="DQ129" s="301">
        <f t="shared" ca="1" si="581"/>
        <v>0</v>
      </c>
      <c r="DR129" s="301">
        <f t="shared" ca="1" si="581"/>
        <v>0</v>
      </c>
      <c r="DS129" s="301">
        <f t="shared" ca="1" si="581"/>
        <v>0</v>
      </c>
      <c r="DT129" s="301">
        <f t="shared" ca="1" si="581"/>
        <v>0</v>
      </c>
      <c r="DU129" s="301">
        <f t="shared" ca="1" si="581"/>
        <v>0</v>
      </c>
      <c r="DV129" s="301">
        <f t="shared" ca="1" si="581"/>
        <v>0</v>
      </c>
      <c r="DW129" s="301">
        <f t="shared" ca="1" si="581"/>
        <v>0</v>
      </c>
      <c r="DX129" s="301">
        <f t="shared" ca="1" si="581"/>
        <v>0</v>
      </c>
      <c r="DY129" s="301">
        <f t="shared" ca="1" si="581"/>
        <v>0</v>
      </c>
      <c r="DZ129" s="301">
        <f t="shared" ca="1" si="581"/>
        <v>0</v>
      </c>
      <c r="EA129" s="301">
        <f t="shared" ca="1" si="581"/>
        <v>0</v>
      </c>
      <c r="EB129" s="301">
        <f t="shared" ca="1" si="581"/>
        <v>0</v>
      </c>
      <c r="EC129" s="301">
        <f t="shared" ca="1" si="581"/>
        <v>0</v>
      </c>
      <c r="ED129" s="301">
        <f t="shared" ca="1" si="581"/>
        <v>0</v>
      </c>
      <c r="EE129" s="301">
        <f t="shared" ca="1" si="581"/>
        <v>0</v>
      </c>
    </row>
    <row r="130" spans="3:135">
      <c r="C130" s="265" t="s">
        <v>167</v>
      </c>
      <c r="G130" s="301">
        <f t="shared" ca="1" si="563"/>
        <v>0</v>
      </c>
      <c r="H130" s="301"/>
      <c r="I130" s="301">
        <f t="shared" ref="I130:BT130" si="582">-I116*$F$122</f>
        <v>0</v>
      </c>
      <c r="J130" s="301">
        <f t="shared" ca="1" si="582"/>
        <v>0</v>
      </c>
      <c r="K130" s="301">
        <f t="shared" ca="1" si="582"/>
        <v>0</v>
      </c>
      <c r="L130" s="301">
        <f t="shared" ca="1" si="582"/>
        <v>0</v>
      </c>
      <c r="M130" s="301">
        <f t="shared" ca="1" si="582"/>
        <v>0</v>
      </c>
      <c r="N130" s="301">
        <f t="shared" ca="1" si="582"/>
        <v>0</v>
      </c>
      <c r="O130" s="301">
        <f t="shared" ca="1" si="582"/>
        <v>0</v>
      </c>
      <c r="P130" s="301">
        <f t="shared" ca="1" si="582"/>
        <v>0</v>
      </c>
      <c r="Q130" s="301">
        <f t="shared" ca="1" si="582"/>
        <v>0</v>
      </c>
      <c r="R130" s="301">
        <f t="shared" ca="1" si="582"/>
        <v>0</v>
      </c>
      <c r="S130" s="301">
        <f t="shared" ca="1" si="582"/>
        <v>0</v>
      </c>
      <c r="T130" s="301">
        <f t="shared" ca="1" si="582"/>
        <v>0</v>
      </c>
      <c r="U130" s="301">
        <f t="shared" ca="1" si="582"/>
        <v>0</v>
      </c>
      <c r="V130" s="301">
        <f t="shared" ca="1" si="582"/>
        <v>0</v>
      </c>
      <c r="W130" s="301">
        <f t="shared" ca="1" si="582"/>
        <v>0</v>
      </c>
      <c r="X130" s="301">
        <f t="shared" ca="1" si="582"/>
        <v>0</v>
      </c>
      <c r="Y130" s="301">
        <f t="shared" ca="1" si="582"/>
        <v>0</v>
      </c>
      <c r="Z130" s="301">
        <f t="shared" ca="1" si="582"/>
        <v>0</v>
      </c>
      <c r="AA130" s="301">
        <f t="shared" ca="1" si="582"/>
        <v>0</v>
      </c>
      <c r="AB130" s="301">
        <f t="shared" ca="1" si="582"/>
        <v>0</v>
      </c>
      <c r="AC130" s="301">
        <f t="shared" ca="1" si="582"/>
        <v>0</v>
      </c>
      <c r="AD130" s="301">
        <f t="shared" ca="1" si="582"/>
        <v>0</v>
      </c>
      <c r="AE130" s="301">
        <f t="shared" ca="1" si="582"/>
        <v>0</v>
      </c>
      <c r="AF130" s="301">
        <f t="shared" ca="1" si="582"/>
        <v>0</v>
      </c>
      <c r="AG130" s="301">
        <f t="shared" ca="1" si="582"/>
        <v>0</v>
      </c>
      <c r="AH130" s="301">
        <f t="shared" ca="1" si="582"/>
        <v>0</v>
      </c>
      <c r="AI130" s="301">
        <f t="shared" ca="1" si="582"/>
        <v>0</v>
      </c>
      <c r="AJ130" s="301">
        <f t="shared" ca="1" si="582"/>
        <v>0</v>
      </c>
      <c r="AK130" s="301">
        <f t="shared" ca="1" si="582"/>
        <v>0</v>
      </c>
      <c r="AL130" s="301">
        <f t="shared" ca="1" si="582"/>
        <v>0</v>
      </c>
      <c r="AM130" s="301">
        <f t="shared" ca="1" si="582"/>
        <v>0</v>
      </c>
      <c r="AN130" s="301">
        <f t="shared" ca="1" si="582"/>
        <v>0</v>
      </c>
      <c r="AO130" s="301">
        <f t="shared" ca="1" si="582"/>
        <v>0</v>
      </c>
      <c r="AP130" s="301">
        <f t="shared" ca="1" si="582"/>
        <v>0</v>
      </c>
      <c r="AQ130" s="301">
        <f t="shared" ca="1" si="582"/>
        <v>0</v>
      </c>
      <c r="AR130" s="301">
        <f t="shared" ca="1" si="582"/>
        <v>0</v>
      </c>
      <c r="AS130" s="301">
        <f t="shared" ca="1" si="582"/>
        <v>0</v>
      </c>
      <c r="AT130" s="301">
        <f t="shared" ca="1" si="582"/>
        <v>0</v>
      </c>
      <c r="AU130" s="301">
        <f t="shared" ca="1" si="582"/>
        <v>0</v>
      </c>
      <c r="AV130" s="301">
        <f t="shared" ca="1" si="582"/>
        <v>0</v>
      </c>
      <c r="AW130" s="301">
        <f t="shared" ca="1" si="582"/>
        <v>0</v>
      </c>
      <c r="AX130" s="301">
        <f t="shared" ca="1" si="582"/>
        <v>0</v>
      </c>
      <c r="AY130" s="301">
        <f t="shared" ca="1" si="582"/>
        <v>0</v>
      </c>
      <c r="AZ130" s="301">
        <f t="shared" ca="1" si="582"/>
        <v>0</v>
      </c>
      <c r="BA130" s="301">
        <f t="shared" ca="1" si="582"/>
        <v>0</v>
      </c>
      <c r="BB130" s="301">
        <f t="shared" ca="1" si="582"/>
        <v>0</v>
      </c>
      <c r="BC130" s="301">
        <f t="shared" ca="1" si="582"/>
        <v>0</v>
      </c>
      <c r="BD130" s="301">
        <f t="shared" ca="1" si="582"/>
        <v>0</v>
      </c>
      <c r="BE130" s="301">
        <f t="shared" ca="1" si="582"/>
        <v>0</v>
      </c>
      <c r="BF130" s="301">
        <f t="shared" ca="1" si="582"/>
        <v>0</v>
      </c>
      <c r="BG130" s="301">
        <f t="shared" ca="1" si="582"/>
        <v>0</v>
      </c>
      <c r="BH130" s="301">
        <f t="shared" ca="1" si="582"/>
        <v>0</v>
      </c>
      <c r="BI130" s="301">
        <f t="shared" ca="1" si="582"/>
        <v>0</v>
      </c>
      <c r="BJ130" s="301">
        <f t="shared" ca="1" si="582"/>
        <v>0</v>
      </c>
      <c r="BK130" s="301">
        <f t="shared" ca="1" si="582"/>
        <v>0</v>
      </c>
      <c r="BL130" s="301">
        <f t="shared" ca="1" si="582"/>
        <v>0</v>
      </c>
      <c r="BM130" s="301">
        <f t="shared" ca="1" si="582"/>
        <v>0</v>
      </c>
      <c r="BN130" s="301">
        <f t="shared" ca="1" si="582"/>
        <v>0</v>
      </c>
      <c r="BO130" s="301">
        <f t="shared" ca="1" si="582"/>
        <v>0</v>
      </c>
      <c r="BP130" s="301">
        <f t="shared" ca="1" si="582"/>
        <v>0</v>
      </c>
      <c r="BQ130" s="301">
        <f t="shared" ca="1" si="582"/>
        <v>0</v>
      </c>
      <c r="BR130" s="301">
        <f t="shared" ca="1" si="582"/>
        <v>0</v>
      </c>
      <c r="BS130" s="301">
        <f t="shared" ca="1" si="582"/>
        <v>0</v>
      </c>
      <c r="BT130" s="301">
        <f t="shared" ca="1" si="582"/>
        <v>0</v>
      </c>
      <c r="BU130" s="301">
        <f t="shared" ref="BU130:CZ130" ca="1" si="583">-BU116*$F$122</f>
        <v>0</v>
      </c>
      <c r="BV130" s="301">
        <f t="shared" ca="1" si="583"/>
        <v>0</v>
      </c>
      <c r="BW130" s="301">
        <f t="shared" ca="1" si="583"/>
        <v>0</v>
      </c>
      <c r="BX130" s="301">
        <f t="shared" ca="1" si="583"/>
        <v>0</v>
      </c>
      <c r="BY130" s="301">
        <f t="shared" ca="1" si="583"/>
        <v>0</v>
      </c>
      <c r="BZ130" s="301">
        <f t="shared" ca="1" si="583"/>
        <v>0</v>
      </c>
      <c r="CA130" s="301">
        <f t="shared" ca="1" si="583"/>
        <v>0</v>
      </c>
      <c r="CB130" s="301">
        <f t="shared" ca="1" si="583"/>
        <v>0</v>
      </c>
      <c r="CC130" s="301">
        <f t="shared" ca="1" si="583"/>
        <v>0</v>
      </c>
      <c r="CD130" s="301">
        <f t="shared" ca="1" si="583"/>
        <v>0</v>
      </c>
      <c r="CE130" s="301">
        <f t="shared" ca="1" si="583"/>
        <v>0</v>
      </c>
      <c r="CF130" s="301">
        <f t="shared" ca="1" si="583"/>
        <v>0</v>
      </c>
      <c r="CG130" s="301">
        <f t="shared" ca="1" si="583"/>
        <v>0</v>
      </c>
      <c r="CH130" s="301">
        <f t="shared" ca="1" si="583"/>
        <v>0</v>
      </c>
      <c r="CI130" s="301">
        <f t="shared" ca="1" si="583"/>
        <v>0</v>
      </c>
      <c r="CJ130" s="301">
        <f t="shared" ca="1" si="583"/>
        <v>0</v>
      </c>
      <c r="CK130" s="301">
        <f t="shared" ca="1" si="583"/>
        <v>0</v>
      </c>
      <c r="CL130" s="301">
        <f t="shared" ca="1" si="583"/>
        <v>0</v>
      </c>
      <c r="CM130" s="301">
        <f t="shared" ca="1" si="583"/>
        <v>0</v>
      </c>
      <c r="CN130" s="301">
        <f t="shared" ca="1" si="583"/>
        <v>0</v>
      </c>
      <c r="CO130" s="301">
        <f t="shared" ca="1" si="583"/>
        <v>0</v>
      </c>
      <c r="CP130" s="301">
        <f t="shared" ca="1" si="583"/>
        <v>0</v>
      </c>
      <c r="CQ130" s="301">
        <f t="shared" ca="1" si="583"/>
        <v>0</v>
      </c>
      <c r="CR130" s="301">
        <f t="shared" ca="1" si="583"/>
        <v>0</v>
      </c>
      <c r="CS130" s="301">
        <f t="shared" ca="1" si="583"/>
        <v>0</v>
      </c>
      <c r="CT130" s="301">
        <f t="shared" ca="1" si="583"/>
        <v>0</v>
      </c>
      <c r="CU130" s="301">
        <f t="shared" ca="1" si="583"/>
        <v>0</v>
      </c>
      <c r="CV130" s="301">
        <f t="shared" ca="1" si="583"/>
        <v>0</v>
      </c>
      <c r="CW130" s="301">
        <f t="shared" ca="1" si="583"/>
        <v>0</v>
      </c>
      <c r="CX130" s="301">
        <f t="shared" ca="1" si="583"/>
        <v>0</v>
      </c>
      <c r="CY130" s="301">
        <f t="shared" ca="1" si="583"/>
        <v>0</v>
      </c>
      <c r="CZ130" s="301">
        <f t="shared" ca="1" si="583"/>
        <v>0</v>
      </c>
      <c r="DA130" s="301">
        <f t="shared" ref="DA130:EE130" ca="1" si="584">-DA116*$F$122</f>
        <v>0</v>
      </c>
      <c r="DB130" s="301">
        <f t="shared" ca="1" si="584"/>
        <v>0</v>
      </c>
      <c r="DC130" s="301">
        <f t="shared" ca="1" si="584"/>
        <v>0</v>
      </c>
      <c r="DD130" s="301">
        <f t="shared" ca="1" si="584"/>
        <v>0</v>
      </c>
      <c r="DE130" s="301">
        <f t="shared" ca="1" si="584"/>
        <v>0</v>
      </c>
      <c r="DF130" s="301">
        <f t="shared" ca="1" si="584"/>
        <v>0</v>
      </c>
      <c r="DG130" s="301">
        <f t="shared" ca="1" si="584"/>
        <v>0</v>
      </c>
      <c r="DH130" s="301">
        <f t="shared" ca="1" si="584"/>
        <v>0</v>
      </c>
      <c r="DI130" s="301">
        <f t="shared" ca="1" si="584"/>
        <v>0</v>
      </c>
      <c r="DJ130" s="301">
        <f t="shared" ca="1" si="584"/>
        <v>0</v>
      </c>
      <c r="DK130" s="301">
        <f t="shared" ca="1" si="584"/>
        <v>0</v>
      </c>
      <c r="DL130" s="301">
        <f t="shared" ca="1" si="584"/>
        <v>0</v>
      </c>
      <c r="DM130" s="301">
        <f t="shared" ca="1" si="584"/>
        <v>0</v>
      </c>
      <c r="DN130" s="301">
        <f t="shared" ca="1" si="584"/>
        <v>0</v>
      </c>
      <c r="DO130" s="301">
        <f t="shared" ca="1" si="584"/>
        <v>0</v>
      </c>
      <c r="DP130" s="301">
        <f t="shared" ca="1" si="584"/>
        <v>0</v>
      </c>
      <c r="DQ130" s="301">
        <f t="shared" ca="1" si="584"/>
        <v>0</v>
      </c>
      <c r="DR130" s="301">
        <f t="shared" ca="1" si="584"/>
        <v>0</v>
      </c>
      <c r="DS130" s="301">
        <f t="shared" ca="1" si="584"/>
        <v>0</v>
      </c>
      <c r="DT130" s="301">
        <f t="shared" ca="1" si="584"/>
        <v>0</v>
      </c>
      <c r="DU130" s="301">
        <f t="shared" ca="1" si="584"/>
        <v>0</v>
      </c>
      <c r="DV130" s="301">
        <f t="shared" ca="1" si="584"/>
        <v>0</v>
      </c>
      <c r="DW130" s="301">
        <f t="shared" ca="1" si="584"/>
        <v>0</v>
      </c>
      <c r="DX130" s="301">
        <f t="shared" ca="1" si="584"/>
        <v>0</v>
      </c>
      <c r="DY130" s="301">
        <f t="shared" ca="1" si="584"/>
        <v>0</v>
      </c>
      <c r="DZ130" s="301">
        <f t="shared" ca="1" si="584"/>
        <v>0</v>
      </c>
      <c r="EA130" s="301">
        <f t="shared" ca="1" si="584"/>
        <v>0</v>
      </c>
      <c r="EB130" s="301">
        <f t="shared" ca="1" si="584"/>
        <v>0</v>
      </c>
      <c r="EC130" s="301">
        <f t="shared" ca="1" si="584"/>
        <v>0</v>
      </c>
      <c r="ED130" s="301">
        <f t="shared" ca="1" si="584"/>
        <v>0</v>
      </c>
      <c r="EE130" s="301">
        <f t="shared" ca="1" si="584"/>
        <v>0</v>
      </c>
    </row>
    <row r="131" spans="3:135">
      <c r="C131" s="314" t="s">
        <v>190</v>
      </c>
      <c r="D131" s="314"/>
      <c r="E131" s="314"/>
      <c r="F131" s="314"/>
      <c r="G131" s="315">
        <f t="shared" ca="1" si="563"/>
        <v>11689.827907477005</v>
      </c>
      <c r="H131" s="315"/>
      <c r="I131" s="315">
        <f t="shared" ref="I131:AN131" si="585">SUM(I123:I130)</f>
        <v>-13433.84</v>
      </c>
      <c r="J131" s="315">
        <f t="shared" ca="1" si="585"/>
        <v>0</v>
      </c>
      <c r="K131" s="315">
        <f t="shared" ca="1" si="585"/>
        <v>0</v>
      </c>
      <c r="L131" s="315">
        <f t="shared" ca="1" si="585"/>
        <v>0</v>
      </c>
      <c r="M131" s="315">
        <f t="shared" ca="1" si="585"/>
        <v>0</v>
      </c>
      <c r="N131" s="315">
        <f t="shared" ca="1" si="585"/>
        <v>-147.80849999999998</v>
      </c>
      <c r="O131" s="315">
        <f t="shared" ca="1" si="585"/>
        <v>0</v>
      </c>
      <c r="P131" s="315">
        <f t="shared" ca="1" si="585"/>
        <v>0</v>
      </c>
      <c r="Q131" s="315">
        <f t="shared" ca="1" si="585"/>
        <v>0</v>
      </c>
      <c r="R131" s="315">
        <f t="shared" ca="1" si="585"/>
        <v>0</v>
      </c>
      <c r="S131" s="315">
        <f t="shared" ca="1" si="585"/>
        <v>0</v>
      </c>
      <c r="T131" s="315">
        <f t="shared" ca="1" si="585"/>
        <v>0</v>
      </c>
      <c r="U131" s="315">
        <f t="shared" ca="1" si="585"/>
        <v>0</v>
      </c>
      <c r="V131" s="315">
        <f t="shared" ca="1" si="585"/>
        <v>-77.591499999999996</v>
      </c>
      <c r="W131" s="315">
        <f t="shared" ca="1" si="585"/>
        <v>0</v>
      </c>
      <c r="X131" s="315">
        <f t="shared" ca="1" si="585"/>
        <v>0</v>
      </c>
      <c r="Y131" s="315">
        <f t="shared" ca="1" si="585"/>
        <v>0</v>
      </c>
      <c r="Z131" s="315">
        <f t="shared" ca="1" si="585"/>
        <v>0</v>
      </c>
      <c r="AA131" s="315">
        <f t="shared" ca="1" si="585"/>
        <v>0</v>
      </c>
      <c r="AB131" s="315">
        <f t="shared" ca="1" si="585"/>
        <v>0</v>
      </c>
      <c r="AC131" s="315">
        <f t="shared" ca="1" si="585"/>
        <v>0</v>
      </c>
      <c r="AD131" s="315">
        <f t="shared" ca="1" si="585"/>
        <v>0</v>
      </c>
      <c r="AE131" s="315">
        <f t="shared" ca="1" si="585"/>
        <v>-303.8</v>
      </c>
      <c r="AF131" s="315">
        <f t="shared" ca="1" si="585"/>
        <v>0</v>
      </c>
      <c r="AG131" s="315">
        <f t="shared" ca="1" si="585"/>
        <v>0</v>
      </c>
      <c r="AH131" s="315">
        <f t="shared" ca="1" si="585"/>
        <v>0</v>
      </c>
      <c r="AI131" s="315">
        <f t="shared" ca="1" si="585"/>
        <v>0</v>
      </c>
      <c r="AJ131" s="315">
        <f t="shared" ca="1" si="585"/>
        <v>0</v>
      </c>
      <c r="AK131" s="315">
        <f t="shared" ca="1" si="585"/>
        <v>0</v>
      </c>
      <c r="AL131" s="315">
        <f t="shared" ca="1" si="585"/>
        <v>0</v>
      </c>
      <c r="AM131" s="315">
        <f t="shared" ca="1" si="585"/>
        <v>0</v>
      </c>
      <c r="AN131" s="315">
        <f t="shared" ca="1" si="585"/>
        <v>0</v>
      </c>
      <c r="AO131" s="315">
        <f t="shared" ref="AO131:CZ131" ca="1" si="586">SUM(AO123:AO130)</f>
        <v>0</v>
      </c>
      <c r="AP131" s="315">
        <f t="shared" ca="1" si="586"/>
        <v>0</v>
      </c>
      <c r="AQ131" s="315">
        <f t="shared" ca="1" si="586"/>
        <v>0</v>
      </c>
      <c r="AR131" s="315">
        <f t="shared" ca="1" si="586"/>
        <v>0</v>
      </c>
      <c r="AS131" s="315">
        <f t="shared" ca="1" si="586"/>
        <v>0</v>
      </c>
      <c r="AT131" s="315">
        <f t="shared" ca="1" si="586"/>
        <v>0</v>
      </c>
      <c r="AU131" s="315">
        <f t="shared" ca="1" si="586"/>
        <v>0</v>
      </c>
      <c r="AV131" s="315">
        <f t="shared" ca="1" si="586"/>
        <v>0</v>
      </c>
      <c r="AW131" s="315">
        <f t="shared" ca="1" si="586"/>
        <v>0</v>
      </c>
      <c r="AX131" s="315">
        <f t="shared" ca="1" si="586"/>
        <v>0</v>
      </c>
      <c r="AY131" s="315">
        <f t="shared" ca="1" si="586"/>
        <v>-138.25840000000002</v>
      </c>
      <c r="AZ131" s="315">
        <f t="shared" ca="1" si="586"/>
        <v>0</v>
      </c>
      <c r="BA131" s="315">
        <f t="shared" ca="1" si="586"/>
        <v>-243.23599999999999</v>
      </c>
      <c r="BB131" s="315">
        <f t="shared" ca="1" si="586"/>
        <v>-313.60000000000002</v>
      </c>
      <c r="BC131" s="315">
        <f t="shared" ca="1" si="586"/>
        <v>0</v>
      </c>
      <c r="BD131" s="315">
        <f t="shared" ca="1" si="586"/>
        <v>0</v>
      </c>
      <c r="BE131" s="315">
        <f t="shared" ca="1" si="586"/>
        <v>-604.66</v>
      </c>
      <c r="BF131" s="315">
        <f t="shared" ca="1" si="586"/>
        <v>0</v>
      </c>
      <c r="BG131" s="315">
        <f t="shared" ca="1" si="586"/>
        <v>0</v>
      </c>
      <c r="BH131" s="315">
        <f t="shared" ca="1" si="586"/>
        <v>0</v>
      </c>
      <c r="BI131" s="315">
        <f t="shared" ca="1" si="586"/>
        <v>0</v>
      </c>
      <c r="BJ131" s="315">
        <f t="shared" ca="1" si="586"/>
        <v>0</v>
      </c>
      <c r="BK131" s="315">
        <f t="shared" ca="1" si="586"/>
        <v>0</v>
      </c>
      <c r="BL131" s="315">
        <f t="shared" ca="1" si="586"/>
        <v>-215.06296</v>
      </c>
      <c r="BM131" s="315">
        <f t="shared" ca="1" si="586"/>
        <v>0</v>
      </c>
      <c r="BN131" s="315">
        <f t="shared" ca="1" si="586"/>
        <v>0</v>
      </c>
      <c r="BO131" s="315">
        <f t="shared" ca="1" si="586"/>
        <v>0</v>
      </c>
      <c r="BP131" s="315">
        <f t="shared" ca="1" si="586"/>
        <v>-86.73</v>
      </c>
      <c r="BQ131" s="315">
        <f t="shared" ca="1" si="586"/>
        <v>0</v>
      </c>
      <c r="BR131" s="315">
        <f t="shared" ca="1" si="586"/>
        <v>0</v>
      </c>
      <c r="BS131" s="315">
        <f t="shared" ca="1" si="586"/>
        <v>0</v>
      </c>
      <c r="BT131" s="315">
        <f t="shared" ca="1" si="586"/>
        <v>0</v>
      </c>
      <c r="BU131" s="315">
        <f t="shared" ca="1" si="586"/>
        <v>0</v>
      </c>
      <c r="BV131" s="315">
        <f t="shared" ca="1" si="586"/>
        <v>0</v>
      </c>
      <c r="BW131" s="315">
        <f t="shared" ca="1" si="586"/>
        <v>0</v>
      </c>
      <c r="BX131" s="315">
        <f t="shared" ca="1" si="586"/>
        <v>0</v>
      </c>
      <c r="BY131" s="315">
        <f t="shared" ca="1" si="586"/>
        <v>0</v>
      </c>
      <c r="BZ131" s="315">
        <f t="shared" ca="1" si="586"/>
        <v>0</v>
      </c>
      <c r="CA131" s="315">
        <f t="shared" ca="1" si="586"/>
        <v>0</v>
      </c>
      <c r="CB131" s="315">
        <f t="shared" ca="1" si="586"/>
        <v>0</v>
      </c>
      <c r="CC131" s="315">
        <f t="shared" ca="1" si="586"/>
        <v>0</v>
      </c>
      <c r="CD131" s="315">
        <f t="shared" ca="1" si="586"/>
        <v>0</v>
      </c>
      <c r="CE131" s="315">
        <f t="shared" ca="1" si="586"/>
        <v>0</v>
      </c>
      <c r="CF131" s="315">
        <f t="shared" ca="1" si="586"/>
        <v>0</v>
      </c>
      <c r="CG131" s="315">
        <f t="shared" ca="1" si="586"/>
        <v>0</v>
      </c>
      <c r="CH131" s="315">
        <f t="shared" ca="1" si="586"/>
        <v>0</v>
      </c>
      <c r="CI131" s="315">
        <f t="shared" ca="1" si="586"/>
        <v>0</v>
      </c>
      <c r="CJ131" s="315">
        <f t="shared" ca="1" si="586"/>
        <v>0</v>
      </c>
      <c r="CK131" s="315">
        <f t="shared" ca="1" si="586"/>
        <v>0</v>
      </c>
      <c r="CL131" s="315">
        <f t="shared" ca="1" si="586"/>
        <v>0</v>
      </c>
      <c r="CM131" s="315">
        <f t="shared" ca="1" si="586"/>
        <v>0</v>
      </c>
      <c r="CN131" s="315">
        <f t="shared" ca="1" si="586"/>
        <v>0</v>
      </c>
      <c r="CO131" s="315">
        <f t="shared" ca="1" si="586"/>
        <v>0</v>
      </c>
      <c r="CP131" s="315">
        <f t="shared" ca="1" si="586"/>
        <v>0</v>
      </c>
      <c r="CQ131" s="315">
        <f t="shared" ca="1" si="586"/>
        <v>0</v>
      </c>
      <c r="CR131" s="315">
        <f t="shared" ca="1" si="586"/>
        <v>0</v>
      </c>
      <c r="CS131" s="315">
        <f t="shared" ca="1" si="586"/>
        <v>0</v>
      </c>
      <c r="CT131" s="315">
        <f t="shared" ca="1" si="586"/>
        <v>0</v>
      </c>
      <c r="CU131" s="315">
        <f t="shared" ca="1" si="586"/>
        <v>0</v>
      </c>
      <c r="CV131" s="315">
        <f t="shared" ca="1" si="586"/>
        <v>0</v>
      </c>
      <c r="CW131" s="315">
        <f t="shared" ca="1" si="586"/>
        <v>0</v>
      </c>
      <c r="CX131" s="315">
        <f t="shared" ca="1" si="586"/>
        <v>0</v>
      </c>
      <c r="CY131" s="315">
        <f t="shared" ca="1" si="586"/>
        <v>0</v>
      </c>
      <c r="CZ131" s="315">
        <f t="shared" ca="1" si="586"/>
        <v>0</v>
      </c>
      <c r="DA131" s="315">
        <f t="shared" ref="DA131:EE131" ca="1" si="587">SUM(DA123:DA130)</f>
        <v>0</v>
      </c>
      <c r="DB131" s="315">
        <f t="shared" ca="1" si="587"/>
        <v>0</v>
      </c>
      <c r="DC131" s="315">
        <f t="shared" ca="1" si="587"/>
        <v>0</v>
      </c>
      <c r="DD131" s="315">
        <f t="shared" ca="1" si="587"/>
        <v>0</v>
      </c>
      <c r="DE131" s="315">
        <f t="shared" ca="1" si="587"/>
        <v>0</v>
      </c>
      <c r="DF131" s="315">
        <f t="shared" ca="1" si="587"/>
        <v>0</v>
      </c>
      <c r="DG131" s="315">
        <f t="shared" ca="1" si="587"/>
        <v>27254.415267477005</v>
      </c>
      <c r="DH131" s="315">
        <f t="shared" ca="1" si="587"/>
        <v>0</v>
      </c>
      <c r="DI131" s="315">
        <f t="shared" ca="1" si="587"/>
        <v>0</v>
      </c>
      <c r="DJ131" s="315">
        <f t="shared" ca="1" si="587"/>
        <v>0</v>
      </c>
      <c r="DK131" s="315">
        <f t="shared" ca="1" si="587"/>
        <v>0</v>
      </c>
      <c r="DL131" s="315">
        <f t="shared" ca="1" si="587"/>
        <v>0</v>
      </c>
      <c r="DM131" s="315">
        <f t="shared" ca="1" si="587"/>
        <v>0</v>
      </c>
      <c r="DN131" s="315">
        <f t="shared" ca="1" si="587"/>
        <v>0</v>
      </c>
      <c r="DO131" s="315">
        <f t="shared" ca="1" si="587"/>
        <v>0</v>
      </c>
      <c r="DP131" s="315">
        <f t="shared" ca="1" si="587"/>
        <v>0</v>
      </c>
      <c r="DQ131" s="315">
        <f t="shared" ca="1" si="587"/>
        <v>0</v>
      </c>
      <c r="DR131" s="315">
        <f t="shared" ca="1" si="587"/>
        <v>0</v>
      </c>
      <c r="DS131" s="315">
        <f t="shared" ca="1" si="587"/>
        <v>0</v>
      </c>
      <c r="DT131" s="315">
        <f t="shared" ca="1" si="587"/>
        <v>0</v>
      </c>
      <c r="DU131" s="315">
        <f t="shared" ca="1" si="587"/>
        <v>0</v>
      </c>
      <c r="DV131" s="315">
        <f t="shared" ca="1" si="587"/>
        <v>0</v>
      </c>
      <c r="DW131" s="315">
        <f t="shared" ca="1" si="587"/>
        <v>0</v>
      </c>
      <c r="DX131" s="315">
        <f t="shared" ca="1" si="587"/>
        <v>0</v>
      </c>
      <c r="DY131" s="315">
        <f t="shared" ca="1" si="587"/>
        <v>0</v>
      </c>
      <c r="DZ131" s="315">
        <f t="shared" ca="1" si="587"/>
        <v>0</v>
      </c>
      <c r="EA131" s="315">
        <f t="shared" ca="1" si="587"/>
        <v>0</v>
      </c>
      <c r="EB131" s="315">
        <f t="shared" ca="1" si="587"/>
        <v>0</v>
      </c>
      <c r="EC131" s="315">
        <f t="shared" ca="1" si="587"/>
        <v>0</v>
      </c>
      <c r="ED131" s="315">
        <f t="shared" ca="1" si="587"/>
        <v>0</v>
      </c>
      <c r="EE131" s="315">
        <f t="shared" ca="1" si="587"/>
        <v>0</v>
      </c>
    </row>
    <row r="132" spans="3:135">
      <c r="C132" s="319" t="s">
        <v>191</v>
      </c>
      <c r="D132" s="319"/>
      <c r="E132" s="319"/>
      <c r="F132" s="319"/>
      <c r="G132" s="319"/>
      <c r="H132" s="319"/>
    </row>
    <row r="133" spans="3:135">
      <c r="C133" s="319" t="s">
        <v>10</v>
      </c>
      <c r="D133" s="319"/>
      <c r="E133" s="319"/>
      <c r="F133" s="319"/>
      <c r="G133" s="308">
        <f ca="1">IFERROR(XIRR(I131:EE131, $I$8:$EE$8, ), "n/a")</f>
        <v>7.1606448292732258E-2</v>
      </c>
      <c r="H133" s="308"/>
    </row>
    <row r="134" spans="3:135">
      <c r="C134" s="319" t="s">
        <v>5</v>
      </c>
      <c r="D134" s="319"/>
      <c r="E134" s="319"/>
      <c r="F134" s="319"/>
      <c r="G134" s="327">
        <f ca="1">G131</f>
        <v>11689.827907477005</v>
      </c>
      <c r="H134" s="327"/>
    </row>
    <row r="135" spans="3:135">
      <c r="C135" s="319" t="s">
        <v>9</v>
      </c>
      <c r="D135" s="319"/>
      <c r="E135" s="319"/>
      <c r="F135" s="319"/>
      <c r="G135" s="328">
        <f ca="1">-(G131-G123)/G123</f>
        <v>1.7510528635997842</v>
      </c>
      <c r="H135" s="328"/>
    </row>
    <row r="137" spans="3:135">
      <c r="C137" s="326" t="s">
        <v>157</v>
      </c>
      <c r="F137" s="296">
        <f>1-F122</f>
        <v>2.0000000000000018E-2</v>
      </c>
    </row>
    <row r="138" spans="3:135">
      <c r="C138" s="265" t="s">
        <v>168</v>
      </c>
      <c r="G138" s="301">
        <f t="shared" ref="G138:G145" ca="1" si="588">SUMIF($I$8:$EE$8, "&lt;="&amp;$E$8, $I138:$EE138)</f>
        <v>-317.64464000000032</v>
      </c>
      <c r="H138" s="301"/>
      <c r="I138" s="301">
        <f t="shared" ref="I138:BT138" si="589">-I36*$F$137</f>
        <v>-274.16000000000025</v>
      </c>
      <c r="J138" s="301">
        <f t="shared" ca="1" si="589"/>
        <v>0</v>
      </c>
      <c r="K138" s="301">
        <f t="shared" ca="1" si="589"/>
        <v>0</v>
      </c>
      <c r="L138" s="301">
        <f t="shared" ca="1" si="589"/>
        <v>0</v>
      </c>
      <c r="M138" s="301">
        <f t="shared" ca="1" si="589"/>
        <v>0</v>
      </c>
      <c r="N138" s="301">
        <f t="shared" ca="1" si="589"/>
        <v>-3.0165000000000024</v>
      </c>
      <c r="O138" s="301">
        <f t="shared" ca="1" si="589"/>
        <v>0</v>
      </c>
      <c r="P138" s="301">
        <f t="shared" ca="1" si="589"/>
        <v>0</v>
      </c>
      <c r="Q138" s="301">
        <f t="shared" ca="1" si="589"/>
        <v>0</v>
      </c>
      <c r="R138" s="301">
        <f t="shared" ca="1" si="589"/>
        <v>0</v>
      </c>
      <c r="S138" s="301">
        <f t="shared" ca="1" si="589"/>
        <v>0</v>
      </c>
      <c r="T138" s="301">
        <f t="shared" ca="1" si="589"/>
        <v>0</v>
      </c>
      <c r="U138" s="301">
        <f t="shared" ca="1" si="589"/>
        <v>0</v>
      </c>
      <c r="V138" s="301">
        <f t="shared" ca="1" si="589"/>
        <v>-1.5835000000000012</v>
      </c>
      <c r="W138" s="301">
        <f t="shared" ca="1" si="589"/>
        <v>0</v>
      </c>
      <c r="X138" s="301">
        <f t="shared" ca="1" si="589"/>
        <v>0</v>
      </c>
      <c r="Y138" s="301">
        <f t="shared" ca="1" si="589"/>
        <v>0</v>
      </c>
      <c r="Z138" s="301">
        <f t="shared" ca="1" si="589"/>
        <v>0</v>
      </c>
      <c r="AA138" s="301">
        <f t="shared" ca="1" si="589"/>
        <v>0</v>
      </c>
      <c r="AB138" s="301">
        <f t="shared" ca="1" si="589"/>
        <v>0</v>
      </c>
      <c r="AC138" s="301">
        <f t="shared" ca="1" si="589"/>
        <v>0</v>
      </c>
      <c r="AD138" s="301">
        <f t="shared" ca="1" si="589"/>
        <v>0</v>
      </c>
      <c r="AE138" s="301">
        <f t="shared" ca="1" si="589"/>
        <v>-6.2000000000000055</v>
      </c>
      <c r="AF138" s="301">
        <f t="shared" ca="1" si="589"/>
        <v>0</v>
      </c>
      <c r="AG138" s="301">
        <f t="shared" ca="1" si="589"/>
        <v>0</v>
      </c>
      <c r="AH138" s="301">
        <f t="shared" ca="1" si="589"/>
        <v>0</v>
      </c>
      <c r="AI138" s="301">
        <f t="shared" ca="1" si="589"/>
        <v>0</v>
      </c>
      <c r="AJ138" s="301">
        <f t="shared" ca="1" si="589"/>
        <v>0</v>
      </c>
      <c r="AK138" s="301">
        <f t="shared" ca="1" si="589"/>
        <v>0</v>
      </c>
      <c r="AL138" s="301">
        <f t="shared" ca="1" si="589"/>
        <v>0</v>
      </c>
      <c r="AM138" s="301">
        <f t="shared" ca="1" si="589"/>
        <v>0</v>
      </c>
      <c r="AN138" s="301">
        <f t="shared" ca="1" si="589"/>
        <v>0</v>
      </c>
      <c r="AO138" s="301">
        <f t="shared" ca="1" si="589"/>
        <v>0</v>
      </c>
      <c r="AP138" s="301">
        <f t="shared" ca="1" si="589"/>
        <v>0</v>
      </c>
      <c r="AQ138" s="301">
        <f t="shared" ca="1" si="589"/>
        <v>0</v>
      </c>
      <c r="AR138" s="301">
        <f t="shared" ca="1" si="589"/>
        <v>0</v>
      </c>
      <c r="AS138" s="301">
        <f t="shared" ca="1" si="589"/>
        <v>0</v>
      </c>
      <c r="AT138" s="301">
        <f t="shared" ca="1" si="589"/>
        <v>0</v>
      </c>
      <c r="AU138" s="301">
        <f t="shared" ca="1" si="589"/>
        <v>0</v>
      </c>
      <c r="AV138" s="301">
        <f t="shared" ca="1" si="589"/>
        <v>0</v>
      </c>
      <c r="AW138" s="301">
        <f t="shared" ca="1" si="589"/>
        <v>0</v>
      </c>
      <c r="AX138" s="301">
        <f t="shared" ca="1" si="589"/>
        <v>0</v>
      </c>
      <c r="AY138" s="301">
        <f t="shared" ca="1" si="589"/>
        <v>-2.8216000000000028</v>
      </c>
      <c r="AZ138" s="301">
        <f t="shared" ca="1" si="589"/>
        <v>0</v>
      </c>
      <c r="BA138" s="301">
        <f t="shared" ca="1" si="589"/>
        <v>-4.964000000000004</v>
      </c>
      <c r="BB138" s="301">
        <f t="shared" ca="1" si="589"/>
        <v>-6.4000000000000057</v>
      </c>
      <c r="BC138" s="301">
        <f t="shared" ca="1" si="589"/>
        <v>0</v>
      </c>
      <c r="BD138" s="301">
        <f t="shared" ca="1" si="589"/>
        <v>0</v>
      </c>
      <c r="BE138" s="301">
        <f t="shared" ca="1" si="589"/>
        <v>-12.340000000000011</v>
      </c>
      <c r="BF138" s="301">
        <f t="shared" ca="1" si="589"/>
        <v>0</v>
      </c>
      <c r="BG138" s="301">
        <f t="shared" ca="1" si="589"/>
        <v>0</v>
      </c>
      <c r="BH138" s="301">
        <f t="shared" ca="1" si="589"/>
        <v>0</v>
      </c>
      <c r="BI138" s="301">
        <f t="shared" ca="1" si="589"/>
        <v>0</v>
      </c>
      <c r="BJ138" s="301">
        <f t="shared" ca="1" si="589"/>
        <v>0</v>
      </c>
      <c r="BK138" s="301">
        <f t="shared" ca="1" si="589"/>
        <v>0</v>
      </c>
      <c r="BL138" s="301">
        <f t="shared" ca="1" si="589"/>
        <v>-4.389040000000004</v>
      </c>
      <c r="BM138" s="301">
        <f t="shared" ca="1" si="589"/>
        <v>0</v>
      </c>
      <c r="BN138" s="301">
        <f t="shared" ca="1" si="589"/>
        <v>0</v>
      </c>
      <c r="BO138" s="301">
        <f t="shared" ca="1" si="589"/>
        <v>0</v>
      </c>
      <c r="BP138" s="301">
        <f t="shared" ca="1" si="589"/>
        <v>-1.7700000000000016</v>
      </c>
      <c r="BQ138" s="301">
        <f t="shared" ca="1" si="589"/>
        <v>0</v>
      </c>
      <c r="BR138" s="301">
        <f t="shared" ca="1" si="589"/>
        <v>0</v>
      </c>
      <c r="BS138" s="301">
        <f t="shared" ca="1" si="589"/>
        <v>0</v>
      </c>
      <c r="BT138" s="301">
        <f t="shared" ca="1" si="589"/>
        <v>0</v>
      </c>
      <c r="BU138" s="301">
        <f t="shared" ref="BU138:CZ138" ca="1" si="590">-BU36*$F$137</f>
        <v>0</v>
      </c>
      <c r="BV138" s="301">
        <f t="shared" ca="1" si="590"/>
        <v>0</v>
      </c>
      <c r="BW138" s="301">
        <f t="shared" ca="1" si="590"/>
        <v>0</v>
      </c>
      <c r="BX138" s="301">
        <f t="shared" ca="1" si="590"/>
        <v>0</v>
      </c>
      <c r="BY138" s="301">
        <f t="shared" ca="1" si="590"/>
        <v>0</v>
      </c>
      <c r="BZ138" s="301">
        <f t="shared" ca="1" si="590"/>
        <v>0</v>
      </c>
      <c r="CA138" s="301">
        <f t="shared" ca="1" si="590"/>
        <v>0</v>
      </c>
      <c r="CB138" s="301">
        <f t="shared" ca="1" si="590"/>
        <v>0</v>
      </c>
      <c r="CC138" s="301">
        <f t="shared" ca="1" si="590"/>
        <v>0</v>
      </c>
      <c r="CD138" s="301">
        <f t="shared" ca="1" si="590"/>
        <v>0</v>
      </c>
      <c r="CE138" s="301">
        <f t="shared" ca="1" si="590"/>
        <v>0</v>
      </c>
      <c r="CF138" s="301">
        <f t="shared" ca="1" si="590"/>
        <v>0</v>
      </c>
      <c r="CG138" s="301">
        <f t="shared" ca="1" si="590"/>
        <v>0</v>
      </c>
      <c r="CH138" s="301">
        <f t="shared" ca="1" si="590"/>
        <v>0</v>
      </c>
      <c r="CI138" s="301">
        <f t="shared" ca="1" si="590"/>
        <v>0</v>
      </c>
      <c r="CJ138" s="301">
        <f t="shared" ca="1" si="590"/>
        <v>0</v>
      </c>
      <c r="CK138" s="301">
        <f t="shared" ca="1" si="590"/>
        <v>0</v>
      </c>
      <c r="CL138" s="301">
        <f t="shared" ca="1" si="590"/>
        <v>0</v>
      </c>
      <c r="CM138" s="301">
        <f t="shared" ca="1" si="590"/>
        <v>0</v>
      </c>
      <c r="CN138" s="301">
        <f t="shared" ca="1" si="590"/>
        <v>0</v>
      </c>
      <c r="CO138" s="301">
        <f t="shared" ca="1" si="590"/>
        <v>0</v>
      </c>
      <c r="CP138" s="301">
        <f t="shared" ca="1" si="590"/>
        <v>0</v>
      </c>
      <c r="CQ138" s="301">
        <f t="shared" ca="1" si="590"/>
        <v>0</v>
      </c>
      <c r="CR138" s="301">
        <f t="shared" ca="1" si="590"/>
        <v>0</v>
      </c>
      <c r="CS138" s="301">
        <f t="shared" ca="1" si="590"/>
        <v>0</v>
      </c>
      <c r="CT138" s="301">
        <f t="shared" ca="1" si="590"/>
        <v>0</v>
      </c>
      <c r="CU138" s="301">
        <f t="shared" ca="1" si="590"/>
        <v>0</v>
      </c>
      <c r="CV138" s="301">
        <f t="shared" ca="1" si="590"/>
        <v>0</v>
      </c>
      <c r="CW138" s="301">
        <f t="shared" ca="1" si="590"/>
        <v>0</v>
      </c>
      <c r="CX138" s="301">
        <f t="shared" ca="1" si="590"/>
        <v>0</v>
      </c>
      <c r="CY138" s="301">
        <f t="shared" ca="1" si="590"/>
        <v>0</v>
      </c>
      <c r="CZ138" s="301">
        <f t="shared" ca="1" si="590"/>
        <v>0</v>
      </c>
      <c r="DA138" s="301">
        <f t="shared" ref="DA138:EE138" ca="1" si="591">-DA36*$F$137</f>
        <v>0</v>
      </c>
      <c r="DB138" s="301">
        <f t="shared" ca="1" si="591"/>
        <v>0</v>
      </c>
      <c r="DC138" s="301">
        <f t="shared" ca="1" si="591"/>
        <v>0</v>
      </c>
      <c r="DD138" s="301">
        <f t="shared" ca="1" si="591"/>
        <v>0</v>
      </c>
      <c r="DE138" s="301">
        <f t="shared" ca="1" si="591"/>
        <v>0</v>
      </c>
      <c r="DF138" s="301">
        <f t="shared" ca="1" si="591"/>
        <v>0</v>
      </c>
      <c r="DG138" s="301">
        <f t="shared" ca="1" si="591"/>
        <v>0</v>
      </c>
      <c r="DH138" s="301">
        <f t="shared" si="591"/>
        <v>0</v>
      </c>
      <c r="DI138" s="301">
        <f t="shared" si="591"/>
        <v>0</v>
      </c>
      <c r="DJ138" s="301">
        <f t="shared" si="591"/>
        <v>0</v>
      </c>
      <c r="DK138" s="301">
        <f t="shared" si="591"/>
        <v>0</v>
      </c>
      <c r="DL138" s="301">
        <f t="shared" si="591"/>
        <v>0</v>
      </c>
      <c r="DM138" s="301">
        <f t="shared" si="591"/>
        <v>0</v>
      </c>
      <c r="DN138" s="301">
        <f t="shared" si="591"/>
        <v>0</v>
      </c>
      <c r="DO138" s="301">
        <f t="shared" si="591"/>
        <v>0</v>
      </c>
      <c r="DP138" s="301">
        <f t="shared" si="591"/>
        <v>0</v>
      </c>
      <c r="DQ138" s="301">
        <f t="shared" si="591"/>
        <v>0</v>
      </c>
      <c r="DR138" s="301">
        <f t="shared" si="591"/>
        <v>0</v>
      </c>
      <c r="DS138" s="301">
        <f t="shared" si="591"/>
        <v>0</v>
      </c>
      <c r="DT138" s="301">
        <f t="shared" si="591"/>
        <v>0</v>
      </c>
      <c r="DU138" s="301">
        <f t="shared" si="591"/>
        <v>0</v>
      </c>
      <c r="DV138" s="301">
        <f t="shared" si="591"/>
        <v>0</v>
      </c>
      <c r="DW138" s="301">
        <f t="shared" si="591"/>
        <v>0</v>
      </c>
      <c r="DX138" s="301">
        <f t="shared" si="591"/>
        <v>0</v>
      </c>
      <c r="DY138" s="301">
        <f t="shared" si="591"/>
        <v>0</v>
      </c>
      <c r="DZ138" s="301">
        <f t="shared" si="591"/>
        <v>0</v>
      </c>
      <c r="EA138" s="301">
        <f t="shared" si="591"/>
        <v>0</v>
      </c>
      <c r="EB138" s="301">
        <f t="shared" si="591"/>
        <v>0</v>
      </c>
      <c r="EC138" s="301">
        <f t="shared" si="591"/>
        <v>0</v>
      </c>
      <c r="ED138" s="301">
        <f t="shared" si="591"/>
        <v>0</v>
      </c>
      <c r="EE138" s="301">
        <f t="shared" si="591"/>
        <v>0</v>
      </c>
    </row>
    <row r="139" spans="3:135">
      <c r="C139" s="265" t="s">
        <v>160</v>
      </c>
      <c r="G139" s="301">
        <f t="shared" ca="1" si="588"/>
        <v>0</v>
      </c>
      <c r="H139" s="301"/>
      <c r="I139" s="301">
        <f t="shared" ref="I139:BT139" si="592">-I35*$F$137</f>
        <v>0</v>
      </c>
      <c r="J139" s="301">
        <f t="shared" si="592"/>
        <v>0</v>
      </c>
      <c r="K139" s="301">
        <f t="shared" ca="1" si="592"/>
        <v>0</v>
      </c>
      <c r="L139" s="301">
        <f t="shared" ca="1" si="592"/>
        <v>0</v>
      </c>
      <c r="M139" s="301">
        <f t="shared" ca="1" si="592"/>
        <v>0</v>
      </c>
      <c r="N139" s="301">
        <f t="shared" ca="1" si="592"/>
        <v>0</v>
      </c>
      <c r="O139" s="301">
        <f t="shared" ca="1" si="592"/>
        <v>0</v>
      </c>
      <c r="P139" s="301">
        <f t="shared" ca="1" si="592"/>
        <v>0</v>
      </c>
      <c r="Q139" s="301">
        <f t="shared" ca="1" si="592"/>
        <v>0</v>
      </c>
      <c r="R139" s="301">
        <f t="shared" ca="1" si="592"/>
        <v>0</v>
      </c>
      <c r="S139" s="301">
        <f t="shared" ca="1" si="592"/>
        <v>0</v>
      </c>
      <c r="T139" s="301">
        <f t="shared" ca="1" si="592"/>
        <v>0</v>
      </c>
      <c r="U139" s="301">
        <f t="shared" ca="1" si="592"/>
        <v>0</v>
      </c>
      <c r="V139" s="301">
        <f t="shared" ca="1" si="592"/>
        <v>0</v>
      </c>
      <c r="W139" s="301">
        <f t="shared" ca="1" si="592"/>
        <v>0</v>
      </c>
      <c r="X139" s="301">
        <f t="shared" ca="1" si="592"/>
        <v>0</v>
      </c>
      <c r="Y139" s="301">
        <f t="shared" ca="1" si="592"/>
        <v>0</v>
      </c>
      <c r="Z139" s="301">
        <f t="shared" ca="1" si="592"/>
        <v>0</v>
      </c>
      <c r="AA139" s="301">
        <f t="shared" ca="1" si="592"/>
        <v>0</v>
      </c>
      <c r="AB139" s="301">
        <f t="shared" ca="1" si="592"/>
        <v>0</v>
      </c>
      <c r="AC139" s="301">
        <f t="shared" ca="1" si="592"/>
        <v>0</v>
      </c>
      <c r="AD139" s="301">
        <f t="shared" ca="1" si="592"/>
        <v>0</v>
      </c>
      <c r="AE139" s="301">
        <f t="shared" ca="1" si="592"/>
        <v>0</v>
      </c>
      <c r="AF139" s="301">
        <f t="shared" ca="1" si="592"/>
        <v>0</v>
      </c>
      <c r="AG139" s="301">
        <f t="shared" ca="1" si="592"/>
        <v>0</v>
      </c>
      <c r="AH139" s="301">
        <f t="shared" ca="1" si="592"/>
        <v>0</v>
      </c>
      <c r="AI139" s="301">
        <f t="shared" ca="1" si="592"/>
        <v>0</v>
      </c>
      <c r="AJ139" s="301">
        <f t="shared" ca="1" si="592"/>
        <v>0</v>
      </c>
      <c r="AK139" s="301">
        <f t="shared" ca="1" si="592"/>
        <v>0</v>
      </c>
      <c r="AL139" s="301">
        <f t="shared" ca="1" si="592"/>
        <v>0</v>
      </c>
      <c r="AM139" s="301">
        <f t="shared" ca="1" si="592"/>
        <v>0</v>
      </c>
      <c r="AN139" s="301">
        <f t="shared" ca="1" si="592"/>
        <v>0</v>
      </c>
      <c r="AO139" s="301">
        <f t="shared" ca="1" si="592"/>
        <v>0</v>
      </c>
      <c r="AP139" s="301">
        <f t="shared" ca="1" si="592"/>
        <v>0</v>
      </c>
      <c r="AQ139" s="301">
        <f t="shared" ca="1" si="592"/>
        <v>0</v>
      </c>
      <c r="AR139" s="301">
        <f t="shared" ca="1" si="592"/>
        <v>0</v>
      </c>
      <c r="AS139" s="301">
        <f t="shared" ca="1" si="592"/>
        <v>0</v>
      </c>
      <c r="AT139" s="301">
        <f t="shared" ca="1" si="592"/>
        <v>0</v>
      </c>
      <c r="AU139" s="301">
        <f t="shared" ca="1" si="592"/>
        <v>0</v>
      </c>
      <c r="AV139" s="301">
        <f t="shared" ca="1" si="592"/>
        <v>0</v>
      </c>
      <c r="AW139" s="301">
        <f t="shared" ca="1" si="592"/>
        <v>0</v>
      </c>
      <c r="AX139" s="301">
        <f t="shared" ca="1" si="592"/>
        <v>0</v>
      </c>
      <c r="AY139" s="301">
        <f t="shared" ca="1" si="592"/>
        <v>0</v>
      </c>
      <c r="AZ139" s="301">
        <f t="shared" ca="1" si="592"/>
        <v>0</v>
      </c>
      <c r="BA139" s="301">
        <f t="shared" ca="1" si="592"/>
        <v>0</v>
      </c>
      <c r="BB139" s="301">
        <f t="shared" ca="1" si="592"/>
        <v>0</v>
      </c>
      <c r="BC139" s="301">
        <f t="shared" ca="1" si="592"/>
        <v>0</v>
      </c>
      <c r="BD139" s="301">
        <f t="shared" ca="1" si="592"/>
        <v>0</v>
      </c>
      <c r="BE139" s="301">
        <f t="shared" ca="1" si="592"/>
        <v>0</v>
      </c>
      <c r="BF139" s="301">
        <f t="shared" ca="1" si="592"/>
        <v>0</v>
      </c>
      <c r="BG139" s="301">
        <f t="shared" ca="1" si="592"/>
        <v>0</v>
      </c>
      <c r="BH139" s="301">
        <f t="shared" ca="1" si="592"/>
        <v>0</v>
      </c>
      <c r="BI139" s="301">
        <f t="shared" ca="1" si="592"/>
        <v>0</v>
      </c>
      <c r="BJ139" s="301">
        <f t="shared" ca="1" si="592"/>
        <v>0</v>
      </c>
      <c r="BK139" s="301">
        <f t="shared" ca="1" si="592"/>
        <v>0</v>
      </c>
      <c r="BL139" s="301">
        <f t="shared" ca="1" si="592"/>
        <v>0</v>
      </c>
      <c r="BM139" s="301">
        <f t="shared" ca="1" si="592"/>
        <v>0</v>
      </c>
      <c r="BN139" s="301">
        <f t="shared" ca="1" si="592"/>
        <v>0</v>
      </c>
      <c r="BO139" s="301">
        <f t="shared" ca="1" si="592"/>
        <v>0</v>
      </c>
      <c r="BP139" s="301">
        <f t="shared" ca="1" si="592"/>
        <v>0</v>
      </c>
      <c r="BQ139" s="301">
        <f t="shared" ca="1" si="592"/>
        <v>0</v>
      </c>
      <c r="BR139" s="301">
        <f t="shared" ca="1" si="592"/>
        <v>0</v>
      </c>
      <c r="BS139" s="301">
        <f t="shared" ca="1" si="592"/>
        <v>0</v>
      </c>
      <c r="BT139" s="301">
        <f t="shared" ca="1" si="592"/>
        <v>0</v>
      </c>
      <c r="BU139" s="301">
        <f t="shared" ref="BU139:CZ139" ca="1" si="593">-BU35*$F$137</f>
        <v>0</v>
      </c>
      <c r="BV139" s="301">
        <f t="shared" ca="1" si="593"/>
        <v>0</v>
      </c>
      <c r="BW139" s="301">
        <f t="shared" ca="1" si="593"/>
        <v>0</v>
      </c>
      <c r="BX139" s="301">
        <f t="shared" ca="1" si="593"/>
        <v>0</v>
      </c>
      <c r="BY139" s="301">
        <f t="shared" ca="1" si="593"/>
        <v>0</v>
      </c>
      <c r="BZ139" s="301">
        <f t="shared" ca="1" si="593"/>
        <v>0</v>
      </c>
      <c r="CA139" s="301">
        <f t="shared" ca="1" si="593"/>
        <v>0</v>
      </c>
      <c r="CB139" s="301">
        <f t="shared" ca="1" si="593"/>
        <v>0</v>
      </c>
      <c r="CC139" s="301">
        <f t="shared" ca="1" si="593"/>
        <v>0</v>
      </c>
      <c r="CD139" s="301">
        <f t="shared" ca="1" si="593"/>
        <v>0</v>
      </c>
      <c r="CE139" s="301">
        <f t="shared" ca="1" si="593"/>
        <v>0</v>
      </c>
      <c r="CF139" s="301">
        <f t="shared" ca="1" si="593"/>
        <v>0</v>
      </c>
      <c r="CG139" s="301">
        <f t="shared" ca="1" si="593"/>
        <v>0</v>
      </c>
      <c r="CH139" s="301">
        <f t="shared" ca="1" si="593"/>
        <v>0</v>
      </c>
      <c r="CI139" s="301">
        <f t="shared" ca="1" si="593"/>
        <v>0</v>
      </c>
      <c r="CJ139" s="301">
        <f t="shared" ca="1" si="593"/>
        <v>0</v>
      </c>
      <c r="CK139" s="301">
        <f t="shared" ca="1" si="593"/>
        <v>0</v>
      </c>
      <c r="CL139" s="301">
        <f t="shared" ca="1" si="593"/>
        <v>0</v>
      </c>
      <c r="CM139" s="301">
        <f t="shared" ca="1" si="593"/>
        <v>0</v>
      </c>
      <c r="CN139" s="301">
        <f t="shared" ca="1" si="593"/>
        <v>0</v>
      </c>
      <c r="CO139" s="301">
        <f t="shared" ca="1" si="593"/>
        <v>0</v>
      </c>
      <c r="CP139" s="301">
        <f t="shared" ca="1" si="593"/>
        <v>0</v>
      </c>
      <c r="CQ139" s="301">
        <f t="shared" ca="1" si="593"/>
        <v>0</v>
      </c>
      <c r="CR139" s="301">
        <f t="shared" ca="1" si="593"/>
        <v>0</v>
      </c>
      <c r="CS139" s="301">
        <f t="shared" ca="1" si="593"/>
        <v>0</v>
      </c>
      <c r="CT139" s="301">
        <f t="shared" ca="1" si="593"/>
        <v>0</v>
      </c>
      <c r="CU139" s="301">
        <f t="shared" ca="1" si="593"/>
        <v>0</v>
      </c>
      <c r="CV139" s="301">
        <f t="shared" ca="1" si="593"/>
        <v>0</v>
      </c>
      <c r="CW139" s="301">
        <f t="shared" ca="1" si="593"/>
        <v>0</v>
      </c>
      <c r="CX139" s="301">
        <f t="shared" ca="1" si="593"/>
        <v>0</v>
      </c>
      <c r="CY139" s="301">
        <f t="shared" ca="1" si="593"/>
        <v>0</v>
      </c>
      <c r="CZ139" s="301">
        <f t="shared" ca="1" si="593"/>
        <v>0</v>
      </c>
      <c r="DA139" s="301">
        <f t="shared" ref="DA139:EE139" ca="1" si="594">-DA35*$F$137</f>
        <v>0</v>
      </c>
      <c r="DB139" s="301">
        <f t="shared" ca="1" si="594"/>
        <v>0</v>
      </c>
      <c r="DC139" s="301">
        <f t="shared" ca="1" si="594"/>
        <v>0</v>
      </c>
      <c r="DD139" s="301">
        <f t="shared" ca="1" si="594"/>
        <v>0</v>
      </c>
      <c r="DE139" s="301">
        <f t="shared" ca="1" si="594"/>
        <v>0</v>
      </c>
      <c r="DF139" s="301">
        <f t="shared" ca="1" si="594"/>
        <v>0</v>
      </c>
      <c r="DG139" s="301">
        <f t="shared" ca="1" si="594"/>
        <v>0</v>
      </c>
      <c r="DH139" s="301">
        <f t="shared" ca="1" si="594"/>
        <v>0</v>
      </c>
      <c r="DI139" s="301">
        <f t="shared" ca="1" si="594"/>
        <v>0</v>
      </c>
      <c r="DJ139" s="301">
        <f t="shared" ca="1" si="594"/>
        <v>0</v>
      </c>
      <c r="DK139" s="301">
        <f t="shared" ca="1" si="594"/>
        <v>0</v>
      </c>
      <c r="DL139" s="301">
        <f t="shared" ca="1" si="594"/>
        <v>0</v>
      </c>
      <c r="DM139" s="301">
        <f t="shared" ca="1" si="594"/>
        <v>0</v>
      </c>
      <c r="DN139" s="301">
        <f t="shared" ca="1" si="594"/>
        <v>0</v>
      </c>
      <c r="DO139" s="301">
        <f t="shared" ca="1" si="594"/>
        <v>0</v>
      </c>
      <c r="DP139" s="301">
        <f t="shared" ca="1" si="594"/>
        <v>0</v>
      </c>
      <c r="DQ139" s="301">
        <f t="shared" ca="1" si="594"/>
        <v>0</v>
      </c>
      <c r="DR139" s="301">
        <f t="shared" ca="1" si="594"/>
        <v>0</v>
      </c>
      <c r="DS139" s="301">
        <f t="shared" ca="1" si="594"/>
        <v>0</v>
      </c>
      <c r="DT139" s="301">
        <f t="shared" ca="1" si="594"/>
        <v>0</v>
      </c>
      <c r="DU139" s="301">
        <f t="shared" ca="1" si="594"/>
        <v>0</v>
      </c>
      <c r="DV139" s="301">
        <f t="shared" ca="1" si="594"/>
        <v>0</v>
      </c>
      <c r="DW139" s="301">
        <f t="shared" ca="1" si="594"/>
        <v>0</v>
      </c>
      <c r="DX139" s="301">
        <f t="shared" ca="1" si="594"/>
        <v>0</v>
      </c>
      <c r="DY139" s="301">
        <f t="shared" ca="1" si="594"/>
        <v>0</v>
      </c>
      <c r="DZ139" s="301">
        <f t="shared" ca="1" si="594"/>
        <v>0</v>
      </c>
      <c r="EA139" s="301">
        <f t="shared" ca="1" si="594"/>
        <v>0</v>
      </c>
      <c r="EB139" s="301">
        <f t="shared" ca="1" si="594"/>
        <v>0</v>
      </c>
      <c r="EC139" s="301">
        <f t="shared" ca="1" si="594"/>
        <v>0</v>
      </c>
      <c r="ED139" s="301">
        <f t="shared" ca="1" si="594"/>
        <v>0</v>
      </c>
      <c r="EE139" s="301">
        <f t="shared" ca="1" si="594"/>
        <v>0</v>
      </c>
    </row>
    <row r="140" spans="3:135">
      <c r="C140" s="265" t="s">
        <v>161</v>
      </c>
      <c r="G140" s="301">
        <f t="shared" ca="1" si="588"/>
        <v>0</v>
      </c>
      <c r="H140" s="301"/>
      <c r="I140" s="301">
        <f t="shared" ref="I140:BT140" si="595">-I45*$F$137</f>
        <v>0</v>
      </c>
      <c r="J140" s="301">
        <f t="shared" si="595"/>
        <v>0</v>
      </c>
      <c r="K140" s="301">
        <f t="shared" ca="1" si="595"/>
        <v>0</v>
      </c>
      <c r="L140" s="301">
        <f t="shared" ca="1" si="595"/>
        <v>0</v>
      </c>
      <c r="M140" s="301">
        <f t="shared" ca="1" si="595"/>
        <v>0</v>
      </c>
      <c r="N140" s="301">
        <f t="shared" ca="1" si="595"/>
        <v>0</v>
      </c>
      <c r="O140" s="301">
        <f t="shared" ca="1" si="595"/>
        <v>0</v>
      </c>
      <c r="P140" s="301">
        <f t="shared" ca="1" si="595"/>
        <v>0</v>
      </c>
      <c r="Q140" s="301">
        <f t="shared" ca="1" si="595"/>
        <v>0</v>
      </c>
      <c r="R140" s="301">
        <f t="shared" ca="1" si="595"/>
        <v>0</v>
      </c>
      <c r="S140" s="301">
        <f t="shared" ca="1" si="595"/>
        <v>0</v>
      </c>
      <c r="T140" s="301">
        <f t="shared" ca="1" si="595"/>
        <v>0</v>
      </c>
      <c r="U140" s="301">
        <f t="shared" ca="1" si="595"/>
        <v>0</v>
      </c>
      <c r="V140" s="301">
        <f t="shared" ca="1" si="595"/>
        <v>0</v>
      </c>
      <c r="W140" s="301">
        <f t="shared" ca="1" si="595"/>
        <v>0</v>
      </c>
      <c r="X140" s="301">
        <f t="shared" ca="1" si="595"/>
        <v>0</v>
      </c>
      <c r="Y140" s="301">
        <f t="shared" ca="1" si="595"/>
        <v>0</v>
      </c>
      <c r="Z140" s="301">
        <f t="shared" ca="1" si="595"/>
        <v>0</v>
      </c>
      <c r="AA140" s="301">
        <f t="shared" ca="1" si="595"/>
        <v>0</v>
      </c>
      <c r="AB140" s="301">
        <f t="shared" ca="1" si="595"/>
        <v>0</v>
      </c>
      <c r="AC140" s="301">
        <f t="shared" ca="1" si="595"/>
        <v>0</v>
      </c>
      <c r="AD140" s="301">
        <f t="shared" ca="1" si="595"/>
        <v>0</v>
      </c>
      <c r="AE140" s="301">
        <f t="shared" ca="1" si="595"/>
        <v>0</v>
      </c>
      <c r="AF140" s="301">
        <f t="shared" ca="1" si="595"/>
        <v>0</v>
      </c>
      <c r="AG140" s="301">
        <f t="shared" ca="1" si="595"/>
        <v>0</v>
      </c>
      <c r="AH140" s="301">
        <f t="shared" ca="1" si="595"/>
        <v>0</v>
      </c>
      <c r="AI140" s="301">
        <f t="shared" ca="1" si="595"/>
        <v>0</v>
      </c>
      <c r="AJ140" s="301">
        <f t="shared" ca="1" si="595"/>
        <v>0</v>
      </c>
      <c r="AK140" s="301">
        <f t="shared" ca="1" si="595"/>
        <v>0</v>
      </c>
      <c r="AL140" s="301">
        <f t="shared" ca="1" si="595"/>
        <v>0</v>
      </c>
      <c r="AM140" s="301">
        <f t="shared" ca="1" si="595"/>
        <v>0</v>
      </c>
      <c r="AN140" s="301">
        <f t="shared" ca="1" si="595"/>
        <v>0</v>
      </c>
      <c r="AO140" s="301">
        <f t="shared" ca="1" si="595"/>
        <v>0</v>
      </c>
      <c r="AP140" s="301">
        <f t="shared" ca="1" si="595"/>
        <v>0</v>
      </c>
      <c r="AQ140" s="301">
        <f t="shared" ca="1" si="595"/>
        <v>0</v>
      </c>
      <c r="AR140" s="301">
        <f t="shared" ca="1" si="595"/>
        <v>0</v>
      </c>
      <c r="AS140" s="301">
        <f t="shared" ca="1" si="595"/>
        <v>0</v>
      </c>
      <c r="AT140" s="301">
        <f t="shared" ca="1" si="595"/>
        <v>0</v>
      </c>
      <c r="AU140" s="301">
        <f t="shared" ca="1" si="595"/>
        <v>0</v>
      </c>
      <c r="AV140" s="301">
        <f t="shared" ca="1" si="595"/>
        <v>0</v>
      </c>
      <c r="AW140" s="301">
        <f t="shared" ca="1" si="595"/>
        <v>0</v>
      </c>
      <c r="AX140" s="301">
        <f t="shared" ca="1" si="595"/>
        <v>0</v>
      </c>
      <c r="AY140" s="301">
        <f t="shared" ca="1" si="595"/>
        <v>0</v>
      </c>
      <c r="AZ140" s="301">
        <f t="shared" ca="1" si="595"/>
        <v>0</v>
      </c>
      <c r="BA140" s="301">
        <f t="shared" ca="1" si="595"/>
        <v>0</v>
      </c>
      <c r="BB140" s="301">
        <f t="shared" ca="1" si="595"/>
        <v>0</v>
      </c>
      <c r="BC140" s="301">
        <f t="shared" ca="1" si="595"/>
        <v>0</v>
      </c>
      <c r="BD140" s="301">
        <f t="shared" ca="1" si="595"/>
        <v>0</v>
      </c>
      <c r="BE140" s="301">
        <f t="shared" ca="1" si="595"/>
        <v>0</v>
      </c>
      <c r="BF140" s="301">
        <f t="shared" ca="1" si="595"/>
        <v>0</v>
      </c>
      <c r="BG140" s="301">
        <f t="shared" ca="1" si="595"/>
        <v>0</v>
      </c>
      <c r="BH140" s="301">
        <f t="shared" ca="1" si="595"/>
        <v>0</v>
      </c>
      <c r="BI140" s="301">
        <f t="shared" ca="1" si="595"/>
        <v>0</v>
      </c>
      <c r="BJ140" s="301">
        <f t="shared" ca="1" si="595"/>
        <v>0</v>
      </c>
      <c r="BK140" s="301">
        <f t="shared" ca="1" si="595"/>
        <v>0</v>
      </c>
      <c r="BL140" s="301">
        <f t="shared" ca="1" si="595"/>
        <v>0</v>
      </c>
      <c r="BM140" s="301">
        <f t="shared" ca="1" si="595"/>
        <v>0</v>
      </c>
      <c r="BN140" s="301">
        <f t="shared" ca="1" si="595"/>
        <v>0</v>
      </c>
      <c r="BO140" s="301">
        <f t="shared" ca="1" si="595"/>
        <v>0</v>
      </c>
      <c r="BP140" s="301">
        <f t="shared" ca="1" si="595"/>
        <v>0</v>
      </c>
      <c r="BQ140" s="301">
        <f t="shared" ca="1" si="595"/>
        <v>0</v>
      </c>
      <c r="BR140" s="301">
        <f t="shared" ca="1" si="595"/>
        <v>0</v>
      </c>
      <c r="BS140" s="301">
        <f t="shared" ca="1" si="595"/>
        <v>0</v>
      </c>
      <c r="BT140" s="301">
        <f t="shared" ca="1" si="595"/>
        <v>0</v>
      </c>
      <c r="BU140" s="301">
        <f t="shared" ref="BU140:CZ140" ca="1" si="596">-BU45*$F$137</f>
        <v>0</v>
      </c>
      <c r="BV140" s="301">
        <f t="shared" ca="1" si="596"/>
        <v>0</v>
      </c>
      <c r="BW140" s="301">
        <f t="shared" ca="1" si="596"/>
        <v>0</v>
      </c>
      <c r="BX140" s="301">
        <f t="shared" ca="1" si="596"/>
        <v>0</v>
      </c>
      <c r="BY140" s="301">
        <f t="shared" ca="1" si="596"/>
        <v>0</v>
      </c>
      <c r="BZ140" s="301">
        <f t="shared" ca="1" si="596"/>
        <v>0</v>
      </c>
      <c r="CA140" s="301">
        <f t="shared" ca="1" si="596"/>
        <v>0</v>
      </c>
      <c r="CB140" s="301">
        <f t="shared" ca="1" si="596"/>
        <v>0</v>
      </c>
      <c r="CC140" s="301">
        <f t="shared" ca="1" si="596"/>
        <v>0</v>
      </c>
      <c r="CD140" s="301">
        <f t="shared" ca="1" si="596"/>
        <v>0</v>
      </c>
      <c r="CE140" s="301">
        <f t="shared" ca="1" si="596"/>
        <v>0</v>
      </c>
      <c r="CF140" s="301">
        <f t="shared" ca="1" si="596"/>
        <v>0</v>
      </c>
      <c r="CG140" s="301">
        <f t="shared" ca="1" si="596"/>
        <v>0</v>
      </c>
      <c r="CH140" s="301">
        <f t="shared" ca="1" si="596"/>
        <v>0</v>
      </c>
      <c r="CI140" s="301">
        <f t="shared" ca="1" si="596"/>
        <v>0</v>
      </c>
      <c r="CJ140" s="301">
        <f t="shared" ca="1" si="596"/>
        <v>0</v>
      </c>
      <c r="CK140" s="301">
        <f t="shared" ca="1" si="596"/>
        <v>0</v>
      </c>
      <c r="CL140" s="301">
        <f t="shared" ca="1" si="596"/>
        <v>0</v>
      </c>
      <c r="CM140" s="301">
        <f t="shared" ca="1" si="596"/>
        <v>0</v>
      </c>
      <c r="CN140" s="301">
        <f t="shared" ca="1" si="596"/>
        <v>0</v>
      </c>
      <c r="CO140" s="301">
        <f t="shared" ca="1" si="596"/>
        <v>0</v>
      </c>
      <c r="CP140" s="301">
        <f t="shared" ca="1" si="596"/>
        <v>0</v>
      </c>
      <c r="CQ140" s="301">
        <f t="shared" ca="1" si="596"/>
        <v>0</v>
      </c>
      <c r="CR140" s="301">
        <f t="shared" ca="1" si="596"/>
        <v>0</v>
      </c>
      <c r="CS140" s="301">
        <f t="shared" ca="1" si="596"/>
        <v>0</v>
      </c>
      <c r="CT140" s="301">
        <f t="shared" ca="1" si="596"/>
        <v>0</v>
      </c>
      <c r="CU140" s="301">
        <f t="shared" ca="1" si="596"/>
        <v>0</v>
      </c>
      <c r="CV140" s="301">
        <f t="shared" ca="1" si="596"/>
        <v>0</v>
      </c>
      <c r="CW140" s="301">
        <f t="shared" ca="1" si="596"/>
        <v>0</v>
      </c>
      <c r="CX140" s="301">
        <f t="shared" ca="1" si="596"/>
        <v>0</v>
      </c>
      <c r="CY140" s="301">
        <f t="shared" ca="1" si="596"/>
        <v>0</v>
      </c>
      <c r="CZ140" s="301">
        <f t="shared" ca="1" si="596"/>
        <v>0</v>
      </c>
      <c r="DA140" s="301">
        <f t="shared" ref="DA140:EE140" ca="1" si="597">-DA45*$F$137</f>
        <v>0</v>
      </c>
      <c r="DB140" s="301">
        <f t="shared" ca="1" si="597"/>
        <v>0</v>
      </c>
      <c r="DC140" s="301">
        <f t="shared" ca="1" si="597"/>
        <v>0</v>
      </c>
      <c r="DD140" s="301">
        <f t="shared" ca="1" si="597"/>
        <v>0</v>
      </c>
      <c r="DE140" s="301">
        <f t="shared" ca="1" si="597"/>
        <v>0</v>
      </c>
      <c r="DF140" s="301">
        <f t="shared" ca="1" si="597"/>
        <v>0</v>
      </c>
      <c r="DG140" s="301">
        <f t="shared" ca="1" si="597"/>
        <v>0</v>
      </c>
      <c r="DH140" s="301">
        <f t="shared" ca="1" si="597"/>
        <v>0</v>
      </c>
      <c r="DI140" s="301">
        <f t="shared" ca="1" si="597"/>
        <v>0</v>
      </c>
      <c r="DJ140" s="301">
        <f t="shared" ca="1" si="597"/>
        <v>0</v>
      </c>
      <c r="DK140" s="301">
        <f t="shared" ca="1" si="597"/>
        <v>0</v>
      </c>
      <c r="DL140" s="301">
        <f t="shared" ca="1" si="597"/>
        <v>0</v>
      </c>
      <c r="DM140" s="301">
        <f t="shared" ca="1" si="597"/>
        <v>0</v>
      </c>
      <c r="DN140" s="301">
        <f t="shared" ca="1" si="597"/>
        <v>0</v>
      </c>
      <c r="DO140" s="301">
        <f t="shared" ca="1" si="597"/>
        <v>0</v>
      </c>
      <c r="DP140" s="301">
        <f t="shared" ca="1" si="597"/>
        <v>0</v>
      </c>
      <c r="DQ140" s="301">
        <f t="shared" ca="1" si="597"/>
        <v>0</v>
      </c>
      <c r="DR140" s="301">
        <f t="shared" ca="1" si="597"/>
        <v>0</v>
      </c>
      <c r="DS140" s="301">
        <f t="shared" ca="1" si="597"/>
        <v>0</v>
      </c>
      <c r="DT140" s="301">
        <f t="shared" ca="1" si="597"/>
        <v>0</v>
      </c>
      <c r="DU140" s="301">
        <f t="shared" ca="1" si="597"/>
        <v>0</v>
      </c>
      <c r="DV140" s="301">
        <f t="shared" ca="1" si="597"/>
        <v>0</v>
      </c>
      <c r="DW140" s="301">
        <f t="shared" ca="1" si="597"/>
        <v>0</v>
      </c>
      <c r="DX140" s="301">
        <f t="shared" ca="1" si="597"/>
        <v>0</v>
      </c>
      <c r="DY140" s="301">
        <f t="shared" ca="1" si="597"/>
        <v>0</v>
      </c>
      <c r="DZ140" s="301">
        <f t="shared" ca="1" si="597"/>
        <v>0</v>
      </c>
      <c r="EA140" s="301">
        <f t="shared" ca="1" si="597"/>
        <v>0</v>
      </c>
      <c r="EB140" s="301">
        <f t="shared" ca="1" si="597"/>
        <v>0</v>
      </c>
      <c r="EC140" s="301">
        <f t="shared" ca="1" si="597"/>
        <v>0</v>
      </c>
      <c r="ED140" s="301">
        <f t="shared" ca="1" si="597"/>
        <v>0</v>
      </c>
      <c r="EE140" s="301">
        <f t="shared" ca="1" si="597"/>
        <v>0</v>
      </c>
    </row>
    <row r="141" spans="3:135">
      <c r="C141" s="265" t="s">
        <v>163</v>
      </c>
      <c r="G141" s="301">
        <f t="shared" ca="1" si="588"/>
        <v>321.38845511874126</v>
      </c>
      <c r="H141" s="301"/>
      <c r="I141" s="301">
        <f t="shared" ref="I141:BT141" si="598">-I56*$F$137</f>
        <v>0</v>
      </c>
      <c r="J141" s="301">
        <f t="shared" ca="1" si="598"/>
        <v>0</v>
      </c>
      <c r="K141" s="301">
        <f t="shared" ca="1" si="598"/>
        <v>0</v>
      </c>
      <c r="L141" s="301">
        <f t="shared" ca="1" si="598"/>
        <v>0</v>
      </c>
      <c r="M141" s="301">
        <f t="shared" ca="1" si="598"/>
        <v>0</v>
      </c>
      <c r="N141" s="301">
        <f t="shared" ca="1" si="598"/>
        <v>0</v>
      </c>
      <c r="O141" s="301">
        <f t="shared" ca="1" si="598"/>
        <v>0</v>
      </c>
      <c r="P141" s="301">
        <f t="shared" ca="1" si="598"/>
        <v>0</v>
      </c>
      <c r="Q141" s="301">
        <f t="shared" ca="1" si="598"/>
        <v>0</v>
      </c>
      <c r="R141" s="301">
        <f t="shared" ca="1" si="598"/>
        <v>0</v>
      </c>
      <c r="S141" s="301">
        <f t="shared" ca="1" si="598"/>
        <v>0</v>
      </c>
      <c r="T141" s="301">
        <f t="shared" ca="1" si="598"/>
        <v>0</v>
      </c>
      <c r="U141" s="301">
        <f t="shared" ca="1" si="598"/>
        <v>0</v>
      </c>
      <c r="V141" s="301">
        <f t="shared" ca="1" si="598"/>
        <v>0</v>
      </c>
      <c r="W141" s="301">
        <f t="shared" ca="1" si="598"/>
        <v>0</v>
      </c>
      <c r="X141" s="301">
        <f t="shared" ca="1" si="598"/>
        <v>0</v>
      </c>
      <c r="Y141" s="301">
        <f t="shared" ca="1" si="598"/>
        <v>0</v>
      </c>
      <c r="Z141" s="301">
        <f t="shared" ca="1" si="598"/>
        <v>0</v>
      </c>
      <c r="AA141" s="301">
        <f t="shared" ca="1" si="598"/>
        <v>0</v>
      </c>
      <c r="AB141" s="301">
        <f t="shared" ca="1" si="598"/>
        <v>0</v>
      </c>
      <c r="AC141" s="301">
        <f t="shared" ca="1" si="598"/>
        <v>0</v>
      </c>
      <c r="AD141" s="301">
        <f t="shared" ca="1" si="598"/>
        <v>0</v>
      </c>
      <c r="AE141" s="301">
        <f t="shared" ca="1" si="598"/>
        <v>0</v>
      </c>
      <c r="AF141" s="301">
        <f t="shared" ca="1" si="598"/>
        <v>0</v>
      </c>
      <c r="AG141" s="301">
        <f t="shared" ca="1" si="598"/>
        <v>0</v>
      </c>
      <c r="AH141" s="301">
        <f t="shared" ca="1" si="598"/>
        <v>0</v>
      </c>
      <c r="AI141" s="301">
        <f t="shared" ca="1" si="598"/>
        <v>0</v>
      </c>
      <c r="AJ141" s="301">
        <f t="shared" ca="1" si="598"/>
        <v>0</v>
      </c>
      <c r="AK141" s="301">
        <f t="shared" ca="1" si="598"/>
        <v>0</v>
      </c>
      <c r="AL141" s="301">
        <f t="shared" ca="1" si="598"/>
        <v>0</v>
      </c>
      <c r="AM141" s="301">
        <f t="shared" ca="1" si="598"/>
        <v>0</v>
      </c>
      <c r="AN141" s="301">
        <f t="shared" ca="1" si="598"/>
        <v>0</v>
      </c>
      <c r="AO141" s="301">
        <f t="shared" ca="1" si="598"/>
        <v>0</v>
      </c>
      <c r="AP141" s="301">
        <f t="shared" ca="1" si="598"/>
        <v>0</v>
      </c>
      <c r="AQ141" s="301">
        <f t="shared" ca="1" si="598"/>
        <v>0</v>
      </c>
      <c r="AR141" s="301">
        <f t="shared" ca="1" si="598"/>
        <v>0</v>
      </c>
      <c r="AS141" s="301">
        <f t="shared" ca="1" si="598"/>
        <v>0</v>
      </c>
      <c r="AT141" s="301">
        <f t="shared" ca="1" si="598"/>
        <v>0</v>
      </c>
      <c r="AU141" s="301">
        <f t="shared" ca="1" si="598"/>
        <v>0</v>
      </c>
      <c r="AV141" s="301">
        <f t="shared" ca="1" si="598"/>
        <v>0</v>
      </c>
      <c r="AW141" s="301">
        <f t="shared" ca="1" si="598"/>
        <v>0</v>
      </c>
      <c r="AX141" s="301">
        <f t="shared" ca="1" si="598"/>
        <v>0</v>
      </c>
      <c r="AY141" s="301">
        <f t="shared" ca="1" si="598"/>
        <v>0</v>
      </c>
      <c r="AZ141" s="301">
        <f t="shared" ca="1" si="598"/>
        <v>0</v>
      </c>
      <c r="BA141" s="301">
        <f t="shared" ca="1" si="598"/>
        <v>0</v>
      </c>
      <c r="BB141" s="301">
        <f t="shared" ca="1" si="598"/>
        <v>0</v>
      </c>
      <c r="BC141" s="301">
        <f t="shared" ca="1" si="598"/>
        <v>0</v>
      </c>
      <c r="BD141" s="301">
        <f t="shared" ca="1" si="598"/>
        <v>0</v>
      </c>
      <c r="BE141" s="301">
        <f t="shared" ca="1" si="598"/>
        <v>0</v>
      </c>
      <c r="BF141" s="301">
        <f t="shared" ca="1" si="598"/>
        <v>0</v>
      </c>
      <c r="BG141" s="301">
        <f t="shared" ca="1" si="598"/>
        <v>0</v>
      </c>
      <c r="BH141" s="301">
        <f t="shared" ca="1" si="598"/>
        <v>0</v>
      </c>
      <c r="BI141" s="301">
        <f t="shared" ca="1" si="598"/>
        <v>0</v>
      </c>
      <c r="BJ141" s="301">
        <f t="shared" ca="1" si="598"/>
        <v>0</v>
      </c>
      <c r="BK141" s="301">
        <f t="shared" ca="1" si="598"/>
        <v>0</v>
      </c>
      <c r="BL141" s="301">
        <f t="shared" ca="1" si="598"/>
        <v>0</v>
      </c>
      <c r="BM141" s="301">
        <f t="shared" ca="1" si="598"/>
        <v>0</v>
      </c>
      <c r="BN141" s="301">
        <f t="shared" ca="1" si="598"/>
        <v>0</v>
      </c>
      <c r="BO141" s="301">
        <f t="shared" ca="1" si="598"/>
        <v>0</v>
      </c>
      <c r="BP141" s="301">
        <f t="shared" ca="1" si="598"/>
        <v>0</v>
      </c>
      <c r="BQ141" s="301">
        <f t="shared" ca="1" si="598"/>
        <v>0</v>
      </c>
      <c r="BR141" s="301">
        <f t="shared" ca="1" si="598"/>
        <v>0</v>
      </c>
      <c r="BS141" s="301">
        <f t="shared" ca="1" si="598"/>
        <v>0</v>
      </c>
      <c r="BT141" s="301">
        <f t="shared" ca="1" si="598"/>
        <v>0</v>
      </c>
      <c r="BU141" s="301">
        <f t="shared" ref="BU141:CZ141" ca="1" si="599">-BU56*$F$137</f>
        <v>0</v>
      </c>
      <c r="BV141" s="301">
        <f t="shared" ca="1" si="599"/>
        <v>0</v>
      </c>
      <c r="BW141" s="301">
        <f t="shared" ca="1" si="599"/>
        <v>0</v>
      </c>
      <c r="BX141" s="301">
        <f t="shared" ca="1" si="599"/>
        <v>0</v>
      </c>
      <c r="BY141" s="301">
        <f t="shared" ca="1" si="599"/>
        <v>0</v>
      </c>
      <c r="BZ141" s="301">
        <f t="shared" ca="1" si="599"/>
        <v>0</v>
      </c>
      <c r="CA141" s="301">
        <f t="shared" ca="1" si="599"/>
        <v>0</v>
      </c>
      <c r="CB141" s="301">
        <f t="shared" ca="1" si="599"/>
        <v>0</v>
      </c>
      <c r="CC141" s="301">
        <f t="shared" ca="1" si="599"/>
        <v>0</v>
      </c>
      <c r="CD141" s="301">
        <f t="shared" ca="1" si="599"/>
        <v>0</v>
      </c>
      <c r="CE141" s="301">
        <f t="shared" ca="1" si="599"/>
        <v>0</v>
      </c>
      <c r="CF141" s="301">
        <f t="shared" ca="1" si="599"/>
        <v>0</v>
      </c>
      <c r="CG141" s="301">
        <f t="shared" ca="1" si="599"/>
        <v>0</v>
      </c>
      <c r="CH141" s="301">
        <f t="shared" ca="1" si="599"/>
        <v>0</v>
      </c>
      <c r="CI141" s="301">
        <f t="shared" ca="1" si="599"/>
        <v>0</v>
      </c>
      <c r="CJ141" s="301">
        <f t="shared" ca="1" si="599"/>
        <v>0</v>
      </c>
      <c r="CK141" s="301">
        <f t="shared" ca="1" si="599"/>
        <v>0</v>
      </c>
      <c r="CL141" s="301">
        <f t="shared" ca="1" si="599"/>
        <v>0</v>
      </c>
      <c r="CM141" s="301">
        <f t="shared" ca="1" si="599"/>
        <v>0</v>
      </c>
      <c r="CN141" s="301">
        <f t="shared" ca="1" si="599"/>
        <v>0</v>
      </c>
      <c r="CO141" s="301">
        <f t="shared" ca="1" si="599"/>
        <v>0</v>
      </c>
      <c r="CP141" s="301">
        <f t="shared" ca="1" si="599"/>
        <v>0</v>
      </c>
      <c r="CQ141" s="301">
        <f t="shared" ca="1" si="599"/>
        <v>0</v>
      </c>
      <c r="CR141" s="301">
        <f t="shared" ca="1" si="599"/>
        <v>0</v>
      </c>
      <c r="CS141" s="301">
        <f t="shared" ca="1" si="599"/>
        <v>0</v>
      </c>
      <c r="CT141" s="301">
        <f t="shared" ca="1" si="599"/>
        <v>0</v>
      </c>
      <c r="CU141" s="301">
        <f t="shared" ca="1" si="599"/>
        <v>0</v>
      </c>
      <c r="CV141" s="301">
        <f t="shared" ca="1" si="599"/>
        <v>0</v>
      </c>
      <c r="CW141" s="301">
        <f t="shared" ca="1" si="599"/>
        <v>0</v>
      </c>
      <c r="CX141" s="301">
        <f t="shared" ca="1" si="599"/>
        <v>0</v>
      </c>
      <c r="CY141" s="301">
        <f t="shared" ca="1" si="599"/>
        <v>0</v>
      </c>
      <c r="CZ141" s="301">
        <f t="shared" ca="1" si="599"/>
        <v>0</v>
      </c>
      <c r="DA141" s="301">
        <f t="shared" ref="DA141:EE141" ca="1" si="600">-DA56*$F$137</f>
        <v>0</v>
      </c>
      <c r="DB141" s="301">
        <f t="shared" ca="1" si="600"/>
        <v>0</v>
      </c>
      <c r="DC141" s="301">
        <f t="shared" ca="1" si="600"/>
        <v>0</v>
      </c>
      <c r="DD141" s="301">
        <f t="shared" ca="1" si="600"/>
        <v>0</v>
      </c>
      <c r="DE141" s="301">
        <f t="shared" ca="1" si="600"/>
        <v>0</v>
      </c>
      <c r="DF141" s="301">
        <f t="shared" ca="1" si="600"/>
        <v>0</v>
      </c>
      <c r="DG141" s="301">
        <f t="shared" ca="1" si="600"/>
        <v>321.38845511874126</v>
      </c>
      <c r="DH141" s="301">
        <f t="shared" ca="1" si="600"/>
        <v>0</v>
      </c>
      <c r="DI141" s="301">
        <f t="shared" ca="1" si="600"/>
        <v>0</v>
      </c>
      <c r="DJ141" s="301">
        <f t="shared" ca="1" si="600"/>
        <v>0</v>
      </c>
      <c r="DK141" s="301">
        <f t="shared" ca="1" si="600"/>
        <v>0</v>
      </c>
      <c r="DL141" s="301">
        <f t="shared" ca="1" si="600"/>
        <v>0</v>
      </c>
      <c r="DM141" s="301">
        <f t="shared" ca="1" si="600"/>
        <v>0</v>
      </c>
      <c r="DN141" s="301">
        <f t="shared" ca="1" si="600"/>
        <v>0</v>
      </c>
      <c r="DO141" s="301">
        <f t="shared" ca="1" si="600"/>
        <v>0</v>
      </c>
      <c r="DP141" s="301">
        <f t="shared" ca="1" si="600"/>
        <v>0</v>
      </c>
      <c r="DQ141" s="301">
        <f t="shared" ca="1" si="600"/>
        <v>0</v>
      </c>
      <c r="DR141" s="301">
        <f t="shared" ca="1" si="600"/>
        <v>0</v>
      </c>
      <c r="DS141" s="301">
        <f t="shared" ca="1" si="600"/>
        <v>0</v>
      </c>
      <c r="DT141" s="301">
        <f t="shared" ca="1" si="600"/>
        <v>0</v>
      </c>
      <c r="DU141" s="301">
        <f t="shared" ca="1" si="600"/>
        <v>0</v>
      </c>
      <c r="DV141" s="301">
        <f t="shared" ca="1" si="600"/>
        <v>0</v>
      </c>
      <c r="DW141" s="301">
        <f t="shared" ca="1" si="600"/>
        <v>0</v>
      </c>
      <c r="DX141" s="301">
        <f t="shared" ca="1" si="600"/>
        <v>0</v>
      </c>
      <c r="DY141" s="301">
        <f t="shared" ca="1" si="600"/>
        <v>0</v>
      </c>
      <c r="DZ141" s="301">
        <f t="shared" ca="1" si="600"/>
        <v>0</v>
      </c>
      <c r="EA141" s="301">
        <f t="shared" ca="1" si="600"/>
        <v>0</v>
      </c>
      <c r="EB141" s="301">
        <f t="shared" ca="1" si="600"/>
        <v>0</v>
      </c>
      <c r="EC141" s="301">
        <f t="shared" ca="1" si="600"/>
        <v>0</v>
      </c>
      <c r="ED141" s="301">
        <f t="shared" ca="1" si="600"/>
        <v>0</v>
      </c>
      <c r="EE141" s="301">
        <f t="shared" ca="1" si="600"/>
        <v>0</v>
      </c>
    </row>
    <row r="142" spans="3:135">
      <c r="C142" s="265" t="s">
        <v>164</v>
      </c>
      <c r="G142" s="301">
        <f t="shared" ca="1" si="588"/>
        <v>234.82410136038177</v>
      </c>
      <c r="H142" s="301"/>
      <c r="I142" s="301">
        <f t="shared" ref="I142:BT142" si="601">-I70*$F$137</f>
        <v>0</v>
      </c>
      <c r="J142" s="301">
        <f t="shared" ca="1" si="601"/>
        <v>0</v>
      </c>
      <c r="K142" s="301">
        <f t="shared" ca="1" si="601"/>
        <v>0</v>
      </c>
      <c r="L142" s="301">
        <f t="shared" ca="1" si="601"/>
        <v>0</v>
      </c>
      <c r="M142" s="301">
        <f t="shared" ca="1" si="601"/>
        <v>0</v>
      </c>
      <c r="N142" s="301">
        <f t="shared" ca="1" si="601"/>
        <v>0</v>
      </c>
      <c r="O142" s="301">
        <f t="shared" ca="1" si="601"/>
        <v>0</v>
      </c>
      <c r="P142" s="301">
        <f t="shared" ca="1" si="601"/>
        <v>0</v>
      </c>
      <c r="Q142" s="301">
        <f t="shared" ca="1" si="601"/>
        <v>0</v>
      </c>
      <c r="R142" s="301">
        <f t="shared" ca="1" si="601"/>
        <v>0</v>
      </c>
      <c r="S142" s="301">
        <f t="shared" ca="1" si="601"/>
        <v>0</v>
      </c>
      <c r="T142" s="301">
        <f t="shared" ca="1" si="601"/>
        <v>0</v>
      </c>
      <c r="U142" s="301">
        <f t="shared" ca="1" si="601"/>
        <v>0</v>
      </c>
      <c r="V142" s="301">
        <f t="shared" ca="1" si="601"/>
        <v>0</v>
      </c>
      <c r="W142" s="301">
        <f t="shared" ca="1" si="601"/>
        <v>0</v>
      </c>
      <c r="X142" s="301">
        <f t="shared" ca="1" si="601"/>
        <v>0</v>
      </c>
      <c r="Y142" s="301">
        <f t="shared" ca="1" si="601"/>
        <v>0</v>
      </c>
      <c r="Z142" s="301">
        <f t="shared" ca="1" si="601"/>
        <v>0</v>
      </c>
      <c r="AA142" s="301">
        <f t="shared" ca="1" si="601"/>
        <v>0</v>
      </c>
      <c r="AB142" s="301">
        <f t="shared" ca="1" si="601"/>
        <v>0</v>
      </c>
      <c r="AC142" s="301">
        <f t="shared" ca="1" si="601"/>
        <v>0</v>
      </c>
      <c r="AD142" s="301">
        <f t="shared" ca="1" si="601"/>
        <v>0</v>
      </c>
      <c r="AE142" s="301">
        <f t="shared" ca="1" si="601"/>
        <v>0</v>
      </c>
      <c r="AF142" s="301">
        <f t="shared" ca="1" si="601"/>
        <v>0</v>
      </c>
      <c r="AG142" s="301">
        <f t="shared" ca="1" si="601"/>
        <v>0</v>
      </c>
      <c r="AH142" s="301">
        <f t="shared" ca="1" si="601"/>
        <v>0</v>
      </c>
      <c r="AI142" s="301">
        <f t="shared" ca="1" si="601"/>
        <v>0</v>
      </c>
      <c r="AJ142" s="301">
        <f t="shared" ca="1" si="601"/>
        <v>0</v>
      </c>
      <c r="AK142" s="301">
        <f t="shared" ca="1" si="601"/>
        <v>0</v>
      </c>
      <c r="AL142" s="301">
        <f t="shared" ca="1" si="601"/>
        <v>0</v>
      </c>
      <c r="AM142" s="301">
        <f t="shared" ca="1" si="601"/>
        <v>0</v>
      </c>
      <c r="AN142" s="301">
        <f t="shared" ca="1" si="601"/>
        <v>0</v>
      </c>
      <c r="AO142" s="301">
        <f t="shared" ca="1" si="601"/>
        <v>0</v>
      </c>
      <c r="AP142" s="301">
        <f t="shared" ca="1" si="601"/>
        <v>0</v>
      </c>
      <c r="AQ142" s="301">
        <f t="shared" ca="1" si="601"/>
        <v>0</v>
      </c>
      <c r="AR142" s="301">
        <f t="shared" ca="1" si="601"/>
        <v>0</v>
      </c>
      <c r="AS142" s="301">
        <f t="shared" ca="1" si="601"/>
        <v>0</v>
      </c>
      <c r="AT142" s="301">
        <f t="shared" ca="1" si="601"/>
        <v>0</v>
      </c>
      <c r="AU142" s="301">
        <f t="shared" ca="1" si="601"/>
        <v>0</v>
      </c>
      <c r="AV142" s="301">
        <f t="shared" ca="1" si="601"/>
        <v>0</v>
      </c>
      <c r="AW142" s="301">
        <f t="shared" ca="1" si="601"/>
        <v>0</v>
      </c>
      <c r="AX142" s="301">
        <f t="shared" ca="1" si="601"/>
        <v>0</v>
      </c>
      <c r="AY142" s="301">
        <f t="shared" ca="1" si="601"/>
        <v>0</v>
      </c>
      <c r="AZ142" s="301">
        <f t="shared" ca="1" si="601"/>
        <v>0</v>
      </c>
      <c r="BA142" s="301">
        <f t="shared" ca="1" si="601"/>
        <v>0</v>
      </c>
      <c r="BB142" s="301">
        <f t="shared" ca="1" si="601"/>
        <v>0</v>
      </c>
      <c r="BC142" s="301">
        <f t="shared" ca="1" si="601"/>
        <v>0</v>
      </c>
      <c r="BD142" s="301">
        <f t="shared" ca="1" si="601"/>
        <v>0</v>
      </c>
      <c r="BE142" s="301">
        <f t="shared" ca="1" si="601"/>
        <v>0</v>
      </c>
      <c r="BF142" s="301">
        <f t="shared" ca="1" si="601"/>
        <v>0</v>
      </c>
      <c r="BG142" s="301">
        <f t="shared" ca="1" si="601"/>
        <v>0</v>
      </c>
      <c r="BH142" s="301">
        <f t="shared" ca="1" si="601"/>
        <v>0</v>
      </c>
      <c r="BI142" s="301">
        <f t="shared" ca="1" si="601"/>
        <v>0</v>
      </c>
      <c r="BJ142" s="301">
        <f t="shared" ca="1" si="601"/>
        <v>0</v>
      </c>
      <c r="BK142" s="301">
        <f t="shared" ca="1" si="601"/>
        <v>0</v>
      </c>
      <c r="BL142" s="301">
        <f t="shared" ca="1" si="601"/>
        <v>0</v>
      </c>
      <c r="BM142" s="301">
        <f t="shared" ca="1" si="601"/>
        <v>0</v>
      </c>
      <c r="BN142" s="301">
        <f t="shared" ca="1" si="601"/>
        <v>0</v>
      </c>
      <c r="BO142" s="301">
        <f t="shared" ca="1" si="601"/>
        <v>0</v>
      </c>
      <c r="BP142" s="301">
        <f t="shared" ca="1" si="601"/>
        <v>0</v>
      </c>
      <c r="BQ142" s="301">
        <f t="shared" ca="1" si="601"/>
        <v>0</v>
      </c>
      <c r="BR142" s="301">
        <f t="shared" ca="1" si="601"/>
        <v>0</v>
      </c>
      <c r="BS142" s="301">
        <f t="shared" ca="1" si="601"/>
        <v>0</v>
      </c>
      <c r="BT142" s="301">
        <f t="shared" ca="1" si="601"/>
        <v>0</v>
      </c>
      <c r="BU142" s="301">
        <f t="shared" ref="BU142:CZ142" ca="1" si="602">-BU70*$F$137</f>
        <v>0</v>
      </c>
      <c r="BV142" s="301">
        <f t="shared" ca="1" si="602"/>
        <v>0</v>
      </c>
      <c r="BW142" s="301">
        <f t="shared" ca="1" si="602"/>
        <v>0</v>
      </c>
      <c r="BX142" s="301">
        <f t="shared" ca="1" si="602"/>
        <v>0</v>
      </c>
      <c r="BY142" s="301">
        <f t="shared" ca="1" si="602"/>
        <v>0</v>
      </c>
      <c r="BZ142" s="301">
        <f t="shared" ca="1" si="602"/>
        <v>0</v>
      </c>
      <c r="CA142" s="301">
        <f t="shared" ca="1" si="602"/>
        <v>0</v>
      </c>
      <c r="CB142" s="301">
        <f t="shared" ca="1" si="602"/>
        <v>0</v>
      </c>
      <c r="CC142" s="301">
        <f t="shared" ca="1" si="602"/>
        <v>0</v>
      </c>
      <c r="CD142" s="301">
        <f t="shared" ca="1" si="602"/>
        <v>0</v>
      </c>
      <c r="CE142" s="301">
        <f t="shared" ca="1" si="602"/>
        <v>0</v>
      </c>
      <c r="CF142" s="301">
        <f t="shared" ca="1" si="602"/>
        <v>0</v>
      </c>
      <c r="CG142" s="301">
        <f t="shared" ca="1" si="602"/>
        <v>0</v>
      </c>
      <c r="CH142" s="301">
        <f t="shared" ca="1" si="602"/>
        <v>0</v>
      </c>
      <c r="CI142" s="301">
        <f t="shared" ca="1" si="602"/>
        <v>0</v>
      </c>
      <c r="CJ142" s="301">
        <f t="shared" ca="1" si="602"/>
        <v>0</v>
      </c>
      <c r="CK142" s="301">
        <f t="shared" ca="1" si="602"/>
        <v>0</v>
      </c>
      <c r="CL142" s="301">
        <f t="shared" ca="1" si="602"/>
        <v>0</v>
      </c>
      <c r="CM142" s="301">
        <f t="shared" ca="1" si="602"/>
        <v>0</v>
      </c>
      <c r="CN142" s="301">
        <f t="shared" ca="1" si="602"/>
        <v>0</v>
      </c>
      <c r="CO142" s="301">
        <f t="shared" ca="1" si="602"/>
        <v>0</v>
      </c>
      <c r="CP142" s="301">
        <f t="shared" ca="1" si="602"/>
        <v>0</v>
      </c>
      <c r="CQ142" s="301">
        <f t="shared" ca="1" si="602"/>
        <v>0</v>
      </c>
      <c r="CR142" s="301">
        <f t="shared" ca="1" si="602"/>
        <v>0</v>
      </c>
      <c r="CS142" s="301">
        <f t="shared" ca="1" si="602"/>
        <v>0</v>
      </c>
      <c r="CT142" s="301">
        <f t="shared" ca="1" si="602"/>
        <v>0</v>
      </c>
      <c r="CU142" s="301">
        <f t="shared" ca="1" si="602"/>
        <v>0</v>
      </c>
      <c r="CV142" s="301">
        <f t="shared" ca="1" si="602"/>
        <v>0</v>
      </c>
      <c r="CW142" s="301">
        <f t="shared" ca="1" si="602"/>
        <v>0</v>
      </c>
      <c r="CX142" s="301">
        <f t="shared" ca="1" si="602"/>
        <v>0</v>
      </c>
      <c r="CY142" s="301">
        <f t="shared" ca="1" si="602"/>
        <v>0</v>
      </c>
      <c r="CZ142" s="301">
        <f t="shared" ca="1" si="602"/>
        <v>0</v>
      </c>
      <c r="DA142" s="301">
        <f t="shared" ref="DA142:EE142" ca="1" si="603">-DA70*$F$137</f>
        <v>0</v>
      </c>
      <c r="DB142" s="301">
        <f t="shared" ca="1" si="603"/>
        <v>0</v>
      </c>
      <c r="DC142" s="301">
        <f t="shared" ca="1" si="603"/>
        <v>0</v>
      </c>
      <c r="DD142" s="301">
        <f t="shared" ca="1" si="603"/>
        <v>0</v>
      </c>
      <c r="DE142" s="301">
        <f t="shared" ca="1" si="603"/>
        <v>0</v>
      </c>
      <c r="DF142" s="301">
        <f t="shared" ca="1" si="603"/>
        <v>0</v>
      </c>
      <c r="DG142" s="301">
        <f t="shared" ca="1" si="603"/>
        <v>234.82410136038177</v>
      </c>
      <c r="DH142" s="301">
        <f t="shared" ca="1" si="603"/>
        <v>0</v>
      </c>
      <c r="DI142" s="301">
        <f t="shared" ca="1" si="603"/>
        <v>0</v>
      </c>
      <c r="DJ142" s="301">
        <f t="shared" ca="1" si="603"/>
        <v>0</v>
      </c>
      <c r="DK142" s="301">
        <f t="shared" ca="1" si="603"/>
        <v>0</v>
      </c>
      <c r="DL142" s="301">
        <f t="shared" ca="1" si="603"/>
        <v>0</v>
      </c>
      <c r="DM142" s="301">
        <f t="shared" ca="1" si="603"/>
        <v>0</v>
      </c>
      <c r="DN142" s="301">
        <f t="shared" ca="1" si="603"/>
        <v>0</v>
      </c>
      <c r="DO142" s="301">
        <f t="shared" ca="1" si="603"/>
        <v>0</v>
      </c>
      <c r="DP142" s="301">
        <f t="shared" ca="1" si="603"/>
        <v>0</v>
      </c>
      <c r="DQ142" s="301">
        <f t="shared" ca="1" si="603"/>
        <v>0</v>
      </c>
      <c r="DR142" s="301">
        <f t="shared" ca="1" si="603"/>
        <v>0</v>
      </c>
      <c r="DS142" s="301">
        <f t="shared" ca="1" si="603"/>
        <v>0</v>
      </c>
      <c r="DT142" s="301">
        <f t="shared" ca="1" si="603"/>
        <v>0</v>
      </c>
      <c r="DU142" s="301">
        <f t="shared" ca="1" si="603"/>
        <v>0</v>
      </c>
      <c r="DV142" s="301">
        <f t="shared" ca="1" si="603"/>
        <v>0</v>
      </c>
      <c r="DW142" s="301">
        <f t="shared" ca="1" si="603"/>
        <v>0</v>
      </c>
      <c r="DX142" s="301">
        <f t="shared" ca="1" si="603"/>
        <v>0</v>
      </c>
      <c r="DY142" s="301">
        <f t="shared" ca="1" si="603"/>
        <v>0</v>
      </c>
      <c r="DZ142" s="301">
        <f t="shared" ca="1" si="603"/>
        <v>0</v>
      </c>
      <c r="EA142" s="301">
        <f t="shared" ca="1" si="603"/>
        <v>0</v>
      </c>
      <c r="EB142" s="301">
        <f t="shared" ca="1" si="603"/>
        <v>0</v>
      </c>
      <c r="EC142" s="301">
        <f t="shared" ca="1" si="603"/>
        <v>0</v>
      </c>
      <c r="ED142" s="301">
        <f t="shared" ca="1" si="603"/>
        <v>0</v>
      </c>
      <c r="EE142" s="301">
        <f t="shared" ca="1" si="603"/>
        <v>0</v>
      </c>
    </row>
    <row r="143" spans="3:135">
      <c r="C143" s="265" t="s">
        <v>165</v>
      </c>
      <c r="G143" s="301">
        <f t="shared" ca="1" si="588"/>
        <v>0</v>
      </c>
      <c r="H143" s="301"/>
      <c r="I143" s="301">
        <f t="shared" ref="I143:BT143" si="604">-I84*$F$137</f>
        <v>0</v>
      </c>
      <c r="J143" s="301">
        <f t="shared" ca="1" si="604"/>
        <v>0</v>
      </c>
      <c r="K143" s="301">
        <f t="shared" ca="1" si="604"/>
        <v>0</v>
      </c>
      <c r="L143" s="301">
        <f t="shared" ca="1" si="604"/>
        <v>0</v>
      </c>
      <c r="M143" s="301">
        <f t="shared" ca="1" si="604"/>
        <v>0</v>
      </c>
      <c r="N143" s="301">
        <f t="shared" ca="1" si="604"/>
        <v>0</v>
      </c>
      <c r="O143" s="301">
        <f t="shared" ca="1" si="604"/>
        <v>0</v>
      </c>
      <c r="P143" s="301">
        <f t="shared" ca="1" si="604"/>
        <v>0</v>
      </c>
      <c r="Q143" s="301">
        <f t="shared" ca="1" si="604"/>
        <v>0</v>
      </c>
      <c r="R143" s="301">
        <f t="shared" ca="1" si="604"/>
        <v>0</v>
      </c>
      <c r="S143" s="301">
        <f t="shared" ca="1" si="604"/>
        <v>0</v>
      </c>
      <c r="T143" s="301">
        <f t="shared" ca="1" si="604"/>
        <v>0</v>
      </c>
      <c r="U143" s="301">
        <f t="shared" ca="1" si="604"/>
        <v>0</v>
      </c>
      <c r="V143" s="301">
        <f t="shared" ca="1" si="604"/>
        <v>0</v>
      </c>
      <c r="W143" s="301">
        <f t="shared" ca="1" si="604"/>
        <v>0</v>
      </c>
      <c r="X143" s="301">
        <f t="shared" ca="1" si="604"/>
        <v>0</v>
      </c>
      <c r="Y143" s="301">
        <f t="shared" ca="1" si="604"/>
        <v>0</v>
      </c>
      <c r="Z143" s="301">
        <f t="shared" ca="1" si="604"/>
        <v>0</v>
      </c>
      <c r="AA143" s="301">
        <f t="shared" ca="1" si="604"/>
        <v>0</v>
      </c>
      <c r="AB143" s="301">
        <f t="shared" ca="1" si="604"/>
        <v>0</v>
      </c>
      <c r="AC143" s="301">
        <f t="shared" ca="1" si="604"/>
        <v>0</v>
      </c>
      <c r="AD143" s="301">
        <f t="shared" ca="1" si="604"/>
        <v>0</v>
      </c>
      <c r="AE143" s="301">
        <f t="shared" ca="1" si="604"/>
        <v>0</v>
      </c>
      <c r="AF143" s="301">
        <f t="shared" ca="1" si="604"/>
        <v>0</v>
      </c>
      <c r="AG143" s="301">
        <f t="shared" ca="1" si="604"/>
        <v>0</v>
      </c>
      <c r="AH143" s="301">
        <f t="shared" ca="1" si="604"/>
        <v>0</v>
      </c>
      <c r="AI143" s="301">
        <f t="shared" ca="1" si="604"/>
        <v>0</v>
      </c>
      <c r="AJ143" s="301">
        <f t="shared" ca="1" si="604"/>
        <v>0</v>
      </c>
      <c r="AK143" s="301">
        <f t="shared" ca="1" si="604"/>
        <v>0</v>
      </c>
      <c r="AL143" s="301">
        <f t="shared" ca="1" si="604"/>
        <v>0</v>
      </c>
      <c r="AM143" s="301">
        <f t="shared" ca="1" si="604"/>
        <v>0</v>
      </c>
      <c r="AN143" s="301">
        <f t="shared" ca="1" si="604"/>
        <v>0</v>
      </c>
      <c r="AO143" s="301">
        <f t="shared" ca="1" si="604"/>
        <v>0</v>
      </c>
      <c r="AP143" s="301">
        <f t="shared" ca="1" si="604"/>
        <v>0</v>
      </c>
      <c r="AQ143" s="301">
        <f t="shared" ca="1" si="604"/>
        <v>0</v>
      </c>
      <c r="AR143" s="301">
        <f t="shared" ca="1" si="604"/>
        <v>0</v>
      </c>
      <c r="AS143" s="301">
        <f t="shared" ca="1" si="604"/>
        <v>0</v>
      </c>
      <c r="AT143" s="301">
        <f t="shared" ca="1" si="604"/>
        <v>0</v>
      </c>
      <c r="AU143" s="301">
        <f t="shared" ca="1" si="604"/>
        <v>0</v>
      </c>
      <c r="AV143" s="301">
        <f t="shared" ca="1" si="604"/>
        <v>0</v>
      </c>
      <c r="AW143" s="301">
        <f t="shared" ca="1" si="604"/>
        <v>0</v>
      </c>
      <c r="AX143" s="301">
        <f t="shared" ca="1" si="604"/>
        <v>0</v>
      </c>
      <c r="AY143" s="301">
        <f t="shared" ca="1" si="604"/>
        <v>0</v>
      </c>
      <c r="AZ143" s="301">
        <f t="shared" ca="1" si="604"/>
        <v>0</v>
      </c>
      <c r="BA143" s="301">
        <f t="shared" ca="1" si="604"/>
        <v>0</v>
      </c>
      <c r="BB143" s="301">
        <f t="shared" ca="1" si="604"/>
        <v>0</v>
      </c>
      <c r="BC143" s="301">
        <f t="shared" ca="1" si="604"/>
        <v>0</v>
      </c>
      <c r="BD143" s="301">
        <f t="shared" ca="1" si="604"/>
        <v>0</v>
      </c>
      <c r="BE143" s="301">
        <f t="shared" ca="1" si="604"/>
        <v>0</v>
      </c>
      <c r="BF143" s="301">
        <f t="shared" ca="1" si="604"/>
        <v>0</v>
      </c>
      <c r="BG143" s="301">
        <f t="shared" ca="1" si="604"/>
        <v>0</v>
      </c>
      <c r="BH143" s="301">
        <f t="shared" ca="1" si="604"/>
        <v>0</v>
      </c>
      <c r="BI143" s="301">
        <f t="shared" ca="1" si="604"/>
        <v>0</v>
      </c>
      <c r="BJ143" s="301">
        <f t="shared" ca="1" si="604"/>
        <v>0</v>
      </c>
      <c r="BK143" s="301">
        <f t="shared" ca="1" si="604"/>
        <v>0</v>
      </c>
      <c r="BL143" s="301">
        <f t="shared" ca="1" si="604"/>
        <v>0</v>
      </c>
      <c r="BM143" s="301">
        <f t="shared" ca="1" si="604"/>
        <v>0</v>
      </c>
      <c r="BN143" s="301">
        <f t="shared" ca="1" si="604"/>
        <v>0</v>
      </c>
      <c r="BO143" s="301">
        <f t="shared" ca="1" si="604"/>
        <v>0</v>
      </c>
      <c r="BP143" s="301">
        <f t="shared" ca="1" si="604"/>
        <v>0</v>
      </c>
      <c r="BQ143" s="301">
        <f t="shared" ca="1" si="604"/>
        <v>0</v>
      </c>
      <c r="BR143" s="301">
        <f t="shared" ca="1" si="604"/>
        <v>0</v>
      </c>
      <c r="BS143" s="301">
        <f t="shared" ca="1" si="604"/>
        <v>0</v>
      </c>
      <c r="BT143" s="301">
        <f t="shared" ca="1" si="604"/>
        <v>0</v>
      </c>
      <c r="BU143" s="301">
        <f t="shared" ref="BU143:CZ143" ca="1" si="605">-BU84*$F$137</f>
        <v>0</v>
      </c>
      <c r="BV143" s="301">
        <f t="shared" ca="1" si="605"/>
        <v>0</v>
      </c>
      <c r="BW143" s="301">
        <f t="shared" ca="1" si="605"/>
        <v>0</v>
      </c>
      <c r="BX143" s="301">
        <f t="shared" ca="1" si="605"/>
        <v>0</v>
      </c>
      <c r="BY143" s="301">
        <f t="shared" ca="1" si="605"/>
        <v>0</v>
      </c>
      <c r="BZ143" s="301">
        <f t="shared" ca="1" si="605"/>
        <v>0</v>
      </c>
      <c r="CA143" s="301">
        <f t="shared" ca="1" si="605"/>
        <v>0</v>
      </c>
      <c r="CB143" s="301">
        <f t="shared" ca="1" si="605"/>
        <v>0</v>
      </c>
      <c r="CC143" s="301">
        <f t="shared" ca="1" si="605"/>
        <v>0</v>
      </c>
      <c r="CD143" s="301">
        <f t="shared" ca="1" si="605"/>
        <v>0</v>
      </c>
      <c r="CE143" s="301">
        <f t="shared" ca="1" si="605"/>
        <v>0</v>
      </c>
      <c r="CF143" s="301">
        <f t="shared" ca="1" si="605"/>
        <v>0</v>
      </c>
      <c r="CG143" s="301">
        <f t="shared" ca="1" si="605"/>
        <v>0</v>
      </c>
      <c r="CH143" s="301">
        <f t="shared" ca="1" si="605"/>
        <v>0</v>
      </c>
      <c r="CI143" s="301">
        <f t="shared" ca="1" si="605"/>
        <v>0</v>
      </c>
      <c r="CJ143" s="301">
        <f t="shared" ca="1" si="605"/>
        <v>0</v>
      </c>
      <c r="CK143" s="301">
        <f t="shared" ca="1" si="605"/>
        <v>0</v>
      </c>
      <c r="CL143" s="301">
        <f t="shared" ca="1" si="605"/>
        <v>0</v>
      </c>
      <c r="CM143" s="301">
        <f t="shared" ca="1" si="605"/>
        <v>0</v>
      </c>
      <c r="CN143" s="301">
        <f t="shared" ca="1" si="605"/>
        <v>0</v>
      </c>
      <c r="CO143" s="301">
        <f t="shared" ca="1" si="605"/>
        <v>0</v>
      </c>
      <c r="CP143" s="301">
        <f t="shared" ca="1" si="605"/>
        <v>0</v>
      </c>
      <c r="CQ143" s="301">
        <f t="shared" ca="1" si="605"/>
        <v>0</v>
      </c>
      <c r="CR143" s="301">
        <f t="shared" ca="1" si="605"/>
        <v>0</v>
      </c>
      <c r="CS143" s="301">
        <f t="shared" ca="1" si="605"/>
        <v>0</v>
      </c>
      <c r="CT143" s="301">
        <f t="shared" ca="1" si="605"/>
        <v>0</v>
      </c>
      <c r="CU143" s="301">
        <f t="shared" ca="1" si="605"/>
        <v>0</v>
      </c>
      <c r="CV143" s="301">
        <f t="shared" ca="1" si="605"/>
        <v>0</v>
      </c>
      <c r="CW143" s="301">
        <f t="shared" ca="1" si="605"/>
        <v>0</v>
      </c>
      <c r="CX143" s="301">
        <f t="shared" ca="1" si="605"/>
        <v>0</v>
      </c>
      <c r="CY143" s="301">
        <f t="shared" ca="1" si="605"/>
        <v>0</v>
      </c>
      <c r="CZ143" s="301">
        <f t="shared" ca="1" si="605"/>
        <v>0</v>
      </c>
      <c r="DA143" s="301">
        <f t="shared" ref="DA143:EE143" ca="1" si="606">-DA84*$F$137</f>
        <v>0</v>
      </c>
      <c r="DB143" s="301">
        <f t="shared" ca="1" si="606"/>
        <v>0</v>
      </c>
      <c r="DC143" s="301">
        <f t="shared" ca="1" si="606"/>
        <v>0</v>
      </c>
      <c r="DD143" s="301">
        <f t="shared" ca="1" si="606"/>
        <v>0</v>
      </c>
      <c r="DE143" s="301">
        <f t="shared" ca="1" si="606"/>
        <v>0</v>
      </c>
      <c r="DF143" s="301">
        <f t="shared" ca="1" si="606"/>
        <v>0</v>
      </c>
      <c r="DG143" s="301">
        <f t="shared" ca="1" si="606"/>
        <v>0</v>
      </c>
      <c r="DH143" s="301">
        <f t="shared" ca="1" si="606"/>
        <v>0</v>
      </c>
      <c r="DI143" s="301">
        <f t="shared" ca="1" si="606"/>
        <v>0</v>
      </c>
      <c r="DJ143" s="301">
        <f t="shared" ca="1" si="606"/>
        <v>0</v>
      </c>
      <c r="DK143" s="301">
        <f t="shared" ca="1" si="606"/>
        <v>0</v>
      </c>
      <c r="DL143" s="301">
        <f t="shared" ca="1" si="606"/>
        <v>0</v>
      </c>
      <c r="DM143" s="301">
        <f t="shared" ca="1" si="606"/>
        <v>0</v>
      </c>
      <c r="DN143" s="301">
        <f t="shared" ca="1" si="606"/>
        <v>0</v>
      </c>
      <c r="DO143" s="301">
        <f t="shared" ca="1" si="606"/>
        <v>0</v>
      </c>
      <c r="DP143" s="301">
        <f t="shared" ca="1" si="606"/>
        <v>0</v>
      </c>
      <c r="DQ143" s="301">
        <f t="shared" ca="1" si="606"/>
        <v>0</v>
      </c>
      <c r="DR143" s="301">
        <f t="shared" ca="1" si="606"/>
        <v>0</v>
      </c>
      <c r="DS143" s="301">
        <f t="shared" ca="1" si="606"/>
        <v>0</v>
      </c>
      <c r="DT143" s="301">
        <f t="shared" ca="1" si="606"/>
        <v>0</v>
      </c>
      <c r="DU143" s="301">
        <f t="shared" ca="1" si="606"/>
        <v>0</v>
      </c>
      <c r="DV143" s="301">
        <f t="shared" ca="1" si="606"/>
        <v>0</v>
      </c>
      <c r="DW143" s="301">
        <f t="shared" ca="1" si="606"/>
        <v>0</v>
      </c>
      <c r="DX143" s="301">
        <f t="shared" ca="1" si="606"/>
        <v>0</v>
      </c>
      <c r="DY143" s="301">
        <f t="shared" ca="1" si="606"/>
        <v>0</v>
      </c>
      <c r="DZ143" s="301">
        <f t="shared" ca="1" si="606"/>
        <v>0</v>
      </c>
      <c r="EA143" s="301">
        <f t="shared" ca="1" si="606"/>
        <v>0</v>
      </c>
      <c r="EB143" s="301">
        <f t="shared" ca="1" si="606"/>
        <v>0</v>
      </c>
      <c r="EC143" s="301">
        <f t="shared" ca="1" si="606"/>
        <v>0</v>
      </c>
      <c r="ED143" s="301">
        <f t="shared" ca="1" si="606"/>
        <v>0</v>
      </c>
      <c r="EE143" s="301">
        <f t="shared" ca="1" si="606"/>
        <v>0</v>
      </c>
    </row>
    <row r="144" spans="3:135">
      <c r="C144" s="265" t="s">
        <v>166</v>
      </c>
      <c r="G144" s="301">
        <f t="shared" ca="1" si="588"/>
        <v>0</v>
      </c>
      <c r="H144" s="301"/>
      <c r="I144" s="301">
        <f t="shared" ref="I144:BT144" si="607">-I103*$F$137</f>
        <v>0</v>
      </c>
      <c r="J144" s="301">
        <f t="shared" ca="1" si="607"/>
        <v>0</v>
      </c>
      <c r="K144" s="301">
        <f t="shared" ca="1" si="607"/>
        <v>0</v>
      </c>
      <c r="L144" s="301">
        <f t="shared" ca="1" si="607"/>
        <v>0</v>
      </c>
      <c r="M144" s="301">
        <f t="shared" ca="1" si="607"/>
        <v>0</v>
      </c>
      <c r="N144" s="301">
        <f t="shared" ca="1" si="607"/>
        <v>0</v>
      </c>
      <c r="O144" s="301">
        <f t="shared" ca="1" si="607"/>
        <v>0</v>
      </c>
      <c r="P144" s="301">
        <f t="shared" ca="1" si="607"/>
        <v>0</v>
      </c>
      <c r="Q144" s="301">
        <f t="shared" ca="1" si="607"/>
        <v>0</v>
      </c>
      <c r="R144" s="301">
        <f t="shared" ca="1" si="607"/>
        <v>0</v>
      </c>
      <c r="S144" s="301">
        <f t="shared" ca="1" si="607"/>
        <v>0</v>
      </c>
      <c r="T144" s="301">
        <f t="shared" ca="1" si="607"/>
        <v>0</v>
      </c>
      <c r="U144" s="301">
        <f t="shared" ca="1" si="607"/>
        <v>0</v>
      </c>
      <c r="V144" s="301">
        <f t="shared" ca="1" si="607"/>
        <v>0</v>
      </c>
      <c r="W144" s="301">
        <f t="shared" ca="1" si="607"/>
        <v>0</v>
      </c>
      <c r="X144" s="301">
        <f t="shared" ca="1" si="607"/>
        <v>0</v>
      </c>
      <c r="Y144" s="301">
        <f t="shared" ca="1" si="607"/>
        <v>0</v>
      </c>
      <c r="Z144" s="301">
        <f t="shared" ca="1" si="607"/>
        <v>0</v>
      </c>
      <c r="AA144" s="301">
        <f t="shared" ca="1" si="607"/>
        <v>0</v>
      </c>
      <c r="AB144" s="301">
        <f t="shared" ca="1" si="607"/>
        <v>0</v>
      </c>
      <c r="AC144" s="301">
        <f t="shared" ca="1" si="607"/>
        <v>0</v>
      </c>
      <c r="AD144" s="301">
        <f t="shared" ca="1" si="607"/>
        <v>0</v>
      </c>
      <c r="AE144" s="301">
        <f t="shared" ca="1" si="607"/>
        <v>0</v>
      </c>
      <c r="AF144" s="301">
        <f t="shared" ca="1" si="607"/>
        <v>0</v>
      </c>
      <c r="AG144" s="301">
        <f t="shared" ca="1" si="607"/>
        <v>0</v>
      </c>
      <c r="AH144" s="301">
        <f t="shared" ca="1" si="607"/>
        <v>0</v>
      </c>
      <c r="AI144" s="301">
        <f t="shared" ca="1" si="607"/>
        <v>0</v>
      </c>
      <c r="AJ144" s="301">
        <f t="shared" ca="1" si="607"/>
        <v>0</v>
      </c>
      <c r="AK144" s="301">
        <f t="shared" ca="1" si="607"/>
        <v>0</v>
      </c>
      <c r="AL144" s="301">
        <f t="shared" ca="1" si="607"/>
        <v>0</v>
      </c>
      <c r="AM144" s="301">
        <f t="shared" ca="1" si="607"/>
        <v>0</v>
      </c>
      <c r="AN144" s="301">
        <f t="shared" ca="1" si="607"/>
        <v>0</v>
      </c>
      <c r="AO144" s="301">
        <f t="shared" ca="1" si="607"/>
        <v>0</v>
      </c>
      <c r="AP144" s="301">
        <f t="shared" ca="1" si="607"/>
        <v>0</v>
      </c>
      <c r="AQ144" s="301">
        <f t="shared" ca="1" si="607"/>
        <v>0</v>
      </c>
      <c r="AR144" s="301">
        <f t="shared" ca="1" si="607"/>
        <v>0</v>
      </c>
      <c r="AS144" s="301">
        <f t="shared" ca="1" si="607"/>
        <v>0</v>
      </c>
      <c r="AT144" s="301">
        <f t="shared" ca="1" si="607"/>
        <v>0</v>
      </c>
      <c r="AU144" s="301">
        <f t="shared" ca="1" si="607"/>
        <v>0</v>
      </c>
      <c r="AV144" s="301">
        <f t="shared" ca="1" si="607"/>
        <v>0</v>
      </c>
      <c r="AW144" s="301">
        <f t="shared" ca="1" si="607"/>
        <v>0</v>
      </c>
      <c r="AX144" s="301">
        <f t="shared" ca="1" si="607"/>
        <v>0</v>
      </c>
      <c r="AY144" s="301">
        <f t="shared" ca="1" si="607"/>
        <v>0</v>
      </c>
      <c r="AZ144" s="301">
        <f t="shared" ca="1" si="607"/>
        <v>0</v>
      </c>
      <c r="BA144" s="301">
        <f t="shared" ca="1" si="607"/>
        <v>0</v>
      </c>
      <c r="BB144" s="301">
        <f t="shared" ca="1" si="607"/>
        <v>0</v>
      </c>
      <c r="BC144" s="301">
        <f t="shared" ca="1" si="607"/>
        <v>0</v>
      </c>
      <c r="BD144" s="301">
        <f t="shared" ca="1" si="607"/>
        <v>0</v>
      </c>
      <c r="BE144" s="301">
        <f t="shared" ca="1" si="607"/>
        <v>0</v>
      </c>
      <c r="BF144" s="301">
        <f t="shared" ca="1" si="607"/>
        <v>0</v>
      </c>
      <c r="BG144" s="301">
        <f t="shared" ca="1" si="607"/>
        <v>0</v>
      </c>
      <c r="BH144" s="301">
        <f t="shared" ca="1" si="607"/>
        <v>0</v>
      </c>
      <c r="BI144" s="301">
        <f t="shared" ca="1" si="607"/>
        <v>0</v>
      </c>
      <c r="BJ144" s="301">
        <f t="shared" ca="1" si="607"/>
        <v>0</v>
      </c>
      <c r="BK144" s="301">
        <f t="shared" ca="1" si="607"/>
        <v>0</v>
      </c>
      <c r="BL144" s="301">
        <f t="shared" ca="1" si="607"/>
        <v>0</v>
      </c>
      <c r="BM144" s="301">
        <f t="shared" ca="1" si="607"/>
        <v>0</v>
      </c>
      <c r="BN144" s="301">
        <f t="shared" ca="1" si="607"/>
        <v>0</v>
      </c>
      <c r="BO144" s="301">
        <f t="shared" ca="1" si="607"/>
        <v>0</v>
      </c>
      <c r="BP144" s="301">
        <f t="shared" ca="1" si="607"/>
        <v>0</v>
      </c>
      <c r="BQ144" s="301">
        <f t="shared" ca="1" si="607"/>
        <v>0</v>
      </c>
      <c r="BR144" s="301">
        <f t="shared" ca="1" si="607"/>
        <v>0</v>
      </c>
      <c r="BS144" s="301">
        <f t="shared" ca="1" si="607"/>
        <v>0</v>
      </c>
      <c r="BT144" s="301">
        <f t="shared" ca="1" si="607"/>
        <v>0</v>
      </c>
      <c r="BU144" s="301">
        <f t="shared" ref="BU144:CZ144" ca="1" si="608">-BU103*$F$137</f>
        <v>0</v>
      </c>
      <c r="BV144" s="301">
        <f t="shared" ca="1" si="608"/>
        <v>0</v>
      </c>
      <c r="BW144" s="301">
        <f t="shared" ca="1" si="608"/>
        <v>0</v>
      </c>
      <c r="BX144" s="301">
        <f t="shared" ca="1" si="608"/>
        <v>0</v>
      </c>
      <c r="BY144" s="301">
        <f t="shared" ca="1" si="608"/>
        <v>0</v>
      </c>
      <c r="BZ144" s="301">
        <f t="shared" ca="1" si="608"/>
        <v>0</v>
      </c>
      <c r="CA144" s="301">
        <f t="shared" ca="1" si="608"/>
        <v>0</v>
      </c>
      <c r="CB144" s="301">
        <f t="shared" ca="1" si="608"/>
        <v>0</v>
      </c>
      <c r="CC144" s="301">
        <f t="shared" ca="1" si="608"/>
        <v>0</v>
      </c>
      <c r="CD144" s="301">
        <f t="shared" ca="1" si="608"/>
        <v>0</v>
      </c>
      <c r="CE144" s="301">
        <f t="shared" ca="1" si="608"/>
        <v>0</v>
      </c>
      <c r="CF144" s="301">
        <f t="shared" ca="1" si="608"/>
        <v>0</v>
      </c>
      <c r="CG144" s="301">
        <f t="shared" ca="1" si="608"/>
        <v>0</v>
      </c>
      <c r="CH144" s="301">
        <f t="shared" ca="1" si="608"/>
        <v>0</v>
      </c>
      <c r="CI144" s="301">
        <f t="shared" ca="1" si="608"/>
        <v>0</v>
      </c>
      <c r="CJ144" s="301">
        <f t="shared" ca="1" si="608"/>
        <v>0</v>
      </c>
      <c r="CK144" s="301">
        <f t="shared" ca="1" si="608"/>
        <v>0</v>
      </c>
      <c r="CL144" s="301">
        <f t="shared" ca="1" si="608"/>
        <v>0</v>
      </c>
      <c r="CM144" s="301">
        <f t="shared" ca="1" si="608"/>
        <v>0</v>
      </c>
      <c r="CN144" s="301">
        <f t="shared" ca="1" si="608"/>
        <v>0</v>
      </c>
      <c r="CO144" s="301">
        <f t="shared" ca="1" si="608"/>
        <v>0</v>
      </c>
      <c r="CP144" s="301">
        <f t="shared" ca="1" si="608"/>
        <v>0</v>
      </c>
      <c r="CQ144" s="301">
        <f t="shared" ca="1" si="608"/>
        <v>0</v>
      </c>
      <c r="CR144" s="301">
        <f t="shared" ca="1" si="608"/>
        <v>0</v>
      </c>
      <c r="CS144" s="301">
        <f t="shared" ca="1" si="608"/>
        <v>0</v>
      </c>
      <c r="CT144" s="301">
        <f t="shared" ca="1" si="608"/>
        <v>0</v>
      </c>
      <c r="CU144" s="301">
        <f t="shared" ca="1" si="608"/>
        <v>0</v>
      </c>
      <c r="CV144" s="301">
        <f t="shared" ca="1" si="608"/>
        <v>0</v>
      </c>
      <c r="CW144" s="301">
        <f t="shared" ca="1" si="608"/>
        <v>0</v>
      </c>
      <c r="CX144" s="301">
        <f t="shared" ca="1" si="608"/>
        <v>0</v>
      </c>
      <c r="CY144" s="301">
        <f t="shared" ca="1" si="608"/>
        <v>0</v>
      </c>
      <c r="CZ144" s="301">
        <f t="shared" ca="1" si="608"/>
        <v>0</v>
      </c>
      <c r="DA144" s="301">
        <f t="shared" ref="DA144:EE144" ca="1" si="609">-DA103*$F$137</f>
        <v>0</v>
      </c>
      <c r="DB144" s="301">
        <f t="shared" ca="1" si="609"/>
        <v>0</v>
      </c>
      <c r="DC144" s="301">
        <f t="shared" ca="1" si="609"/>
        <v>0</v>
      </c>
      <c r="DD144" s="301">
        <f t="shared" ca="1" si="609"/>
        <v>0</v>
      </c>
      <c r="DE144" s="301">
        <f t="shared" ca="1" si="609"/>
        <v>0</v>
      </c>
      <c r="DF144" s="301">
        <f t="shared" ca="1" si="609"/>
        <v>0</v>
      </c>
      <c r="DG144" s="301">
        <f t="shared" ca="1" si="609"/>
        <v>0</v>
      </c>
      <c r="DH144" s="301">
        <f t="shared" ca="1" si="609"/>
        <v>0</v>
      </c>
      <c r="DI144" s="301">
        <f t="shared" ca="1" si="609"/>
        <v>0</v>
      </c>
      <c r="DJ144" s="301">
        <f t="shared" ca="1" si="609"/>
        <v>0</v>
      </c>
      <c r="DK144" s="301">
        <f t="shared" ca="1" si="609"/>
        <v>0</v>
      </c>
      <c r="DL144" s="301">
        <f t="shared" ca="1" si="609"/>
        <v>0</v>
      </c>
      <c r="DM144" s="301">
        <f t="shared" ca="1" si="609"/>
        <v>0</v>
      </c>
      <c r="DN144" s="301">
        <f t="shared" ca="1" si="609"/>
        <v>0</v>
      </c>
      <c r="DO144" s="301">
        <f t="shared" ca="1" si="609"/>
        <v>0</v>
      </c>
      <c r="DP144" s="301">
        <f t="shared" ca="1" si="609"/>
        <v>0</v>
      </c>
      <c r="DQ144" s="301">
        <f t="shared" ca="1" si="609"/>
        <v>0</v>
      </c>
      <c r="DR144" s="301">
        <f t="shared" ca="1" si="609"/>
        <v>0</v>
      </c>
      <c r="DS144" s="301">
        <f t="shared" ca="1" si="609"/>
        <v>0</v>
      </c>
      <c r="DT144" s="301">
        <f t="shared" ca="1" si="609"/>
        <v>0</v>
      </c>
      <c r="DU144" s="301">
        <f t="shared" ca="1" si="609"/>
        <v>0</v>
      </c>
      <c r="DV144" s="301">
        <f t="shared" ca="1" si="609"/>
        <v>0</v>
      </c>
      <c r="DW144" s="301">
        <f t="shared" ca="1" si="609"/>
        <v>0</v>
      </c>
      <c r="DX144" s="301">
        <f t="shared" ca="1" si="609"/>
        <v>0</v>
      </c>
      <c r="DY144" s="301">
        <f t="shared" ca="1" si="609"/>
        <v>0</v>
      </c>
      <c r="DZ144" s="301">
        <f t="shared" ca="1" si="609"/>
        <v>0</v>
      </c>
      <c r="EA144" s="301">
        <f t="shared" ca="1" si="609"/>
        <v>0</v>
      </c>
      <c r="EB144" s="301">
        <f t="shared" ca="1" si="609"/>
        <v>0</v>
      </c>
      <c r="EC144" s="301">
        <f t="shared" ca="1" si="609"/>
        <v>0</v>
      </c>
      <c r="ED144" s="301">
        <f t="shared" ca="1" si="609"/>
        <v>0</v>
      </c>
      <c r="EE144" s="301">
        <f t="shared" ca="1" si="609"/>
        <v>0</v>
      </c>
    </row>
    <row r="145" spans="2:135">
      <c r="C145" s="265" t="s">
        <v>167</v>
      </c>
      <c r="G145" s="301">
        <f t="shared" ca="1" si="588"/>
        <v>0</v>
      </c>
      <c r="H145" s="301"/>
      <c r="I145" s="301">
        <f t="shared" ref="I145:BT145" si="610">-I116*$F$137</f>
        <v>0</v>
      </c>
      <c r="J145" s="301">
        <f t="shared" ca="1" si="610"/>
        <v>0</v>
      </c>
      <c r="K145" s="301">
        <f t="shared" ca="1" si="610"/>
        <v>0</v>
      </c>
      <c r="L145" s="301">
        <f t="shared" ca="1" si="610"/>
        <v>0</v>
      </c>
      <c r="M145" s="301">
        <f t="shared" ca="1" si="610"/>
        <v>0</v>
      </c>
      <c r="N145" s="301">
        <f t="shared" ca="1" si="610"/>
        <v>0</v>
      </c>
      <c r="O145" s="301">
        <f t="shared" ca="1" si="610"/>
        <v>0</v>
      </c>
      <c r="P145" s="301">
        <f t="shared" ca="1" si="610"/>
        <v>0</v>
      </c>
      <c r="Q145" s="301">
        <f t="shared" ca="1" si="610"/>
        <v>0</v>
      </c>
      <c r="R145" s="301">
        <f t="shared" ca="1" si="610"/>
        <v>0</v>
      </c>
      <c r="S145" s="301">
        <f t="shared" ca="1" si="610"/>
        <v>0</v>
      </c>
      <c r="T145" s="301">
        <f t="shared" ca="1" si="610"/>
        <v>0</v>
      </c>
      <c r="U145" s="301">
        <f t="shared" ca="1" si="610"/>
        <v>0</v>
      </c>
      <c r="V145" s="301">
        <f t="shared" ca="1" si="610"/>
        <v>0</v>
      </c>
      <c r="W145" s="301">
        <f t="shared" ca="1" si="610"/>
        <v>0</v>
      </c>
      <c r="X145" s="301">
        <f t="shared" ca="1" si="610"/>
        <v>0</v>
      </c>
      <c r="Y145" s="301">
        <f t="shared" ca="1" si="610"/>
        <v>0</v>
      </c>
      <c r="Z145" s="301">
        <f t="shared" ca="1" si="610"/>
        <v>0</v>
      </c>
      <c r="AA145" s="301">
        <f t="shared" ca="1" si="610"/>
        <v>0</v>
      </c>
      <c r="AB145" s="301">
        <f t="shared" ca="1" si="610"/>
        <v>0</v>
      </c>
      <c r="AC145" s="301">
        <f t="shared" ca="1" si="610"/>
        <v>0</v>
      </c>
      <c r="AD145" s="301">
        <f t="shared" ca="1" si="610"/>
        <v>0</v>
      </c>
      <c r="AE145" s="301">
        <f t="shared" ca="1" si="610"/>
        <v>0</v>
      </c>
      <c r="AF145" s="301">
        <f t="shared" ca="1" si="610"/>
        <v>0</v>
      </c>
      <c r="AG145" s="301">
        <f t="shared" ca="1" si="610"/>
        <v>0</v>
      </c>
      <c r="AH145" s="301">
        <f t="shared" ca="1" si="610"/>
        <v>0</v>
      </c>
      <c r="AI145" s="301">
        <f t="shared" ca="1" si="610"/>
        <v>0</v>
      </c>
      <c r="AJ145" s="301">
        <f t="shared" ca="1" si="610"/>
        <v>0</v>
      </c>
      <c r="AK145" s="301">
        <f t="shared" ca="1" si="610"/>
        <v>0</v>
      </c>
      <c r="AL145" s="301">
        <f t="shared" ca="1" si="610"/>
        <v>0</v>
      </c>
      <c r="AM145" s="301">
        <f t="shared" ca="1" si="610"/>
        <v>0</v>
      </c>
      <c r="AN145" s="301">
        <f t="shared" ca="1" si="610"/>
        <v>0</v>
      </c>
      <c r="AO145" s="301">
        <f t="shared" ca="1" si="610"/>
        <v>0</v>
      </c>
      <c r="AP145" s="301">
        <f t="shared" ca="1" si="610"/>
        <v>0</v>
      </c>
      <c r="AQ145" s="301">
        <f t="shared" ca="1" si="610"/>
        <v>0</v>
      </c>
      <c r="AR145" s="301">
        <f t="shared" ca="1" si="610"/>
        <v>0</v>
      </c>
      <c r="AS145" s="301">
        <f t="shared" ca="1" si="610"/>
        <v>0</v>
      </c>
      <c r="AT145" s="301">
        <f t="shared" ca="1" si="610"/>
        <v>0</v>
      </c>
      <c r="AU145" s="301">
        <f t="shared" ca="1" si="610"/>
        <v>0</v>
      </c>
      <c r="AV145" s="301">
        <f t="shared" ca="1" si="610"/>
        <v>0</v>
      </c>
      <c r="AW145" s="301">
        <f t="shared" ca="1" si="610"/>
        <v>0</v>
      </c>
      <c r="AX145" s="301">
        <f t="shared" ca="1" si="610"/>
        <v>0</v>
      </c>
      <c r="AY145" s="301">
        <f t="shared" ca="1" si="610"/>
        <v>0</v>
      </c>
      <c r="AZ145" s="301">
        <f t="shared" ca="1" si="610"/>
        <v>0</v>
      </c>
      <c r="BA145" s="301">
        <f t="shared" ca="1" si="610"/>
        <v>0</v>
      </c>
      <c r="BB145" s="301">
        <f t="shared" ca="1" si="610"/>
        <v>0</v>
      </c>
      <c r="BC145" s="301">
        <f t="shared" ca="1" si="610"/>
        <v>0</v>
      </c>
      <c r="BD145" s="301">
        <f t="shared" ca="1" si="610"/>
        <v>0</v>
      </c>
      <c r="BE145" s="301">
        <f t="shared" ca="1" si="610"/>
        <v>0</v>
      </c>
      <c r="BF145" s="301">
        <f t="shared" ca="1" si="610"/>
        <v>0</v>
      </c>
      <c r="BG145" s="301">
        <f t="shared" ca="1" si="610"/>
        <v>0</v>
      </c>
      <c r="BH145" s="301">
        <f t="shared" ca="1" si="610"/>
        <v>0</v>
      </c>
      <c r="BI145" s="301">
        <f t="shared" ca="1" si="610"/>
        <v>0</v>
      </c>
      <c r="BJ145" s="301">
        <f t="shared" ca="1" si="610"/>
        <v>0</v>
      </c>
      <c r="BK145" s="301">
        <f t="shared" ca="1" si="610"/>
        <v>0</v>
      </c>
      <c r="BL145" s="301">
        <f t="shared" ca="1" si="610"/>
        <v>0</v>
      </c>
      <c r="BM145" s="301">
        <f t="shared" ca="1" si="610"/>
        <v>0</v>
      </c>
      <c r="BN145" s="301">
        <f t="shared" ca="1" si="610"/>
        <v>0</v>
      </c>
      <c r="BO145" s="301">
        <f t="shared" ca="1" si="610"/>
        <v>0</v>
      </c>
      <c r="BP145" s="301">
        <f t="shared" ca="1" si="610"/>
        <v>0</v>
      </c>
      <c r="BQ145" s="301">
        <f t="shared" ca="1" si="610"/>
        <v>0</v>
      </c>
      <c r="BR145" s="301">
        <f t="shared" ca="1" si="610"/>
        <v>0</v>
      </c>
      <c r="BS145" s="301">
        <f t="shared" ca="1" si="610"/>
        <v>0</v>
      </c>
      <c r="BT145" s="301">
        <f t="shared" ca="1" si="610"/>
        <v>0</v>
      </c>
      <c r="BU145" s="301">
        <f t="shared" ref="BU145:CZ145" ca="1" si="611">-BU116*$F$137</f>
        <v>0</v>
      </c>
      <c r="BV145" s="301">
        <f t="shared" ca="1" si="611"/>
        <v>0</v>
      </c>
      <c r="BW145" s="301">
        <f t="shared" ca="1" si="611"/>
        <v>0</v>
      </c>
      <c r="BX145" s="301">
        <f t="shared" ca="1" si="611"/>
        <v>0</v>
      </c>
      <c r="BY145" s="301">
        <f t="shared" ca="1" si="611"/>
        <v>0</v>
      </c>
      <c r="BZ145" s="301">
        <f t="shared" ca="1" si="611"/>
        <v>0</v>
      </c>
      <c r="CA145" s="301">
        <f t="shared" ca="1" si="611"/>
        <v>0</v>
      </c>
      <c r="CB145" s="301">
        <f t="shared" ca="1" si="611"/>
        <v>0</v>
      </c>
      <c r="CC145" s="301">
        <f t="shared" ca="1" si="611"/>
        <v>0</v>
      </c>
      <c r="CD145" s="301">
        <f t="shared" ca="1" si="611"/>
        <v>0</v>
      </c>
      <c r="CE145" s="301">
        <f t="shared" ca="1" si="611"/>
        <v>0</v>
      </c>
      <c r="CF145" s="301">
        <f t="shared" ca="1" si="611"/>
        <v>0</v>
      </c>
      <c r="CG145" s="301">
        <f t="shared" ca="1" si="611"/>
        <v>0</v>
      </c>
      <c r="CH145" s="301">
        <f t="shared" ca="1" si="611"/>
        <v>0</v>
      </c>
      <c r="CI145" s="301">
        <f t="shared" ca="1" si="611"/>
        <v>0</v>
      </c>
      <c r="CJ145" s="301">
        <f t="shared" ca="1" si="611"/>
        <v>0</v>
      </c>
      <c r="CK145" s="301">
        <f t="shared" ca="1" si="611"/>
        <v>0</v>
      </c>
      <c r="CL145" s="301">
        <f t="shared" ca="1" si="611"/>
        <v>0</v>
      </c>
      <c r="CM145" s="301">
        <f t="shared" ca="1" si="611"/>
        <v>0</v>
      </c>
      <c r="CN145" s="301">
        <f t="shared" ca="1" si="611"/>
        <v>0</v>
      </c>
      <c r="CO145" s="301">
        <f t="shared" ca="1" si="611"/>
        <v>0</v>
      </c>
      <c r="CP145" s="301">
        <f t="shared" ca="1" si="611"/>
        <v>0</v>
      </c>
      <c r="CQ145" s="301">
        <f t="shared" ca="1" si="611"/>
        <v>0</v>
      </c>
      <c r="CR145" s="301">
        <f t="shared" ca="1" si="611"/>
        <v>0</v>
      </c>
      <c r="CS145" s="301">
        <f t="shared" ca="1" si="611"/>
        <v>0</v>
      </c>
      <c r="CT145" s="301">
        <f t="shared" ca="1" si="611"/>
        <v>0</v>
      </c>
      <c r="CU145" s="301">
        <f t="shared" ca="1" si="611"/>
        <v>0</v>
      </c>
      <c r="CV145" s="301">
        <f t="shared" ca="1" si="611"/>
        <v>0</v>
      </c>
      <c r="CW145" s="301">
        <f t="shared" ca="1" si="611"/>
        <v>0</v>
      </c>
      <c r="CX145" s="301">
        <f t="shared" ca="1" si="611"/>
        <v>0</v>
      </c>
      <c r="CY145" s="301">
        <f t="shared" ca="1" si="611"/>
        <v>0</v>
      </c>
      <c r="CZ145" s="301">
        <f t="shared" ca="1" si="611"/>
        <v>0</v>
      </c>
      <c r="DA145" s="301">
        <f t="shared" ref="DA145:EE145" ca="1" si="612">-DA116*$F$137</f>
        <v>0</v>
      </c>
      <c r="DB145" s="301">
        <f t="shared" ca="1" si="612"/>
        <v>0</v>
      </c>
      <c r="DC145" s="301">
        <f t="shared" ca="1" si="612"/>
        <v>0</v>
      </c>
      <c r="DD145" s="301">
        <f t="shared" ca="1" si="612"/>
        <v>0</v>
      </c>
      <c r="DE145" s="301">
        <f t="shared" ca="1" si="612"/>
        <v>0</v>
      </c>
      <c r="DF145" s="301">
        <f t="shared" ca="1" si="612"/>
        <v>0</v>
      </c>
      <c r="DG145" s="301">
        <f t="shared" ca="1" si="612"/>
        <v>0</v>
      </c>
      <c r="DH145" s="301">
        <f t="shared" ca="1" si="612"/>
        <v>0</v>
      </c>
      <c r="DI145" s="301">
        <f t="shared" ca="1" si="612"/>
        <v>0</v>
      </c>
      <c r="DJ145" s="301">
        <f t="shared" ca="1" si="612"/>
        <v>0</v>
      </c>
      <c r="DK145" s="301">
        <f t="shared" ca="1" si="612"/>
        <v>0</v>
      </c>
      <c r="DL145" s="301">
        <f t="shared" ca="1" si="612"/>
        <v>0</v>
      </c>
      <c r="DM145" s="301">
        <f t="shared" ca="1" si="612"/>
        <v>0</v>
      </c>
      <c r="DN145" s="301">
        <f t="shared" ca="1" si="612"/>
        <v>0</v>
      </c>
      <c r="DO145" s="301">
        <f t="shared" ca="1" si="612"/>
        <v>0</v>
      </c>
      <c r="DP145" s="301">
        <f t="shared" ca="1" si="612"/>
        <v>0</v>
      </c>
      <c r="DQ145" s="301">
        <f t="shared" ca="1" si="612"/>
        <v>0</v>
      </c>
      <c r="DR145" s="301">
        <f t="shared" ca="1" si="612"/>
        <v>0</v>
      </c>
      <c r="DS145" s="301">
        <f t="shared" ca="1" si="612"/>
        <v>0</v>
      </c>
      <c r="DT145" s="301">
        <f t="shared" ca="1" si="612"/>
        <v>0</v>
      </c>
      <c r="DU145" s="301">
        <f t="shared" ca="1" si="612"/>
        <v>0</v>
      </c>
      <c r="DV145" s="301">
        <f t="shared" ca="1" si="612"/>
        <v>0</v>
      </c>
      <c r="DW145" s="301">
        <f t="shared" ca="1" si="612"/>
        <v>0</v>
      </c>
      <c r="DX145" s="301">
        <f t="shared" ca="1" si="612"/>
        <v>0</v>
      </c>
      <c r="DY145" s="301">
        <f t="shared" ca="1" si="612"/>
        <v>0</v>
      </c>
      <c r="DZ145" s="301">
        <f t="shared" ca="1" si="612"/>
        <v>0</v>
      </c>
      <c r="EA145" s="301">
        <f t="shared" ca="1" si="612"/>
        <v>0</v>
      </c>
      <c r="EB145" s="301">
        <f t="shared" ca="1" si="612"/>
        <v>0</v>
      </c>
      <c r="EC145" s="301">
        <f t="shared" ca="1" si="612"/>
        <v>0</v>
      </c>
      <c r="ED145" s="301">
        <f t="shared" ca="1" si="612"/>
        <v>0</v>
      </c>
      <c r="EE145" s="301">
        <f t="shared" ca="1" si="612"/>
        <v>0</v>
      </c>
    </row>
    <row r="146" spans="2:135">
      <c r="C146" s="314" t="s">
        <v>192</v>
      </c>
      <c r="D146" s="314"/>
      <c r="E146" s="314"/>
      <c r="F146" s="314"/>
      <c r="G146" s="315">
        <f ca="1">SUMIF($I$8:$EE$8, "&lt;="&amp;$E$8, $I146:$EE146)</f>
        <v>238.56791647912269</v>
      </c>
      <c r="H146" s="315"/>
      <c r="I146" s="315">
        <f t="shared" ref="I146:AN146" si="613">SUM(I138:I145)</f>
        <v>-274.16000000000025</v>
      </c>
      <c r="J146" s="315">
        <f t="shared" ca="1" si="613"/>
        <v>0</v>
      </c>
      <c r="K146" s="315">
        <f t="shared" ca="1" si="613"/>
        <v>0</v>
      </c>
      <c r="L146" s="315">
        <f t="shared" ca="1" si="613"/>
        <v>0</v>
      </c>
      <c r="M146" s="315">
        <f t="shared" ca="1" si="613"/>
        <v>0</v>
      </c>
      <c r="N146" s="315">
        <f t="shared" ca="1" si="613"/>
        <v>-3.0165000000000024</v>
      </c>
      <c r="O146" s="315">
        <f t="shared" ca="1" si="613"/>
        <v>0</v>
      </c>
      <c r="P146" s="315">
        <f t="shared" ca="1" si="613"/>
        <v>0</v>
      </c>
      <c r="Q146" s="315">
        <f t="shared" ca="1" si="613"/>
        <v>0</v>
      </c>
      <c r="R146" s="315">
        <f t="shared" ca="1" si="613"/>
        <v>0</v>
      </c>
      <c r="S146" s="315">
        <f t="shared" ca="1" si="613"/>
        <v>0</v>
      </c>
      <c r="T146" s="315">
        <f t="shared" ca="1" si="613"/>
        <v>0</v>
      </c>
      <c r="U146" s="315">
        <f t="shared" ca="1" si="613"/>
        <v>0</v>
      </c>
      <c r="V146" s="315">
        <f t="shared" ca="1" si="613"/>
        <v>-1.5835000000000012</v>
      </c>
      <c r="W146" s="315">
        <f t="shared" ca="1" si="613"/>
        <v>0</v>
      </c>
      <c r="X146" s="315">
        <f t="shared" ca="1" si="613"/>
        <v>0</v>
      </c>
      <c r="Y146" s="315">
        <f t="shared" ca="1" si="613"/>
        <v>0</v>
      </c>
      <c r="Z146" s="315">
        <f t="shared" ca="1" si="613"/>
        <v>0</v>
      </c>
      <c r="AA146" s="315">
        <f t="shared" ca="1" si="613"/>
        <v>0</v>
      </c>
      <c r="AB146" s="315">
        <f t="shared" ca="1" si="613"/>
        <v>0</v>
      </c>
      <c r="AC146" s="315">
        <f t="shared" ca="1" si="613"/>
        <v>0</v>
      </c>
      <c r="AD146" s="315">
        <f t="shared" ca="1" si="613"/>
        <v>0</v>
      </c>
      <c r="AE146" s="315">
        <f t="shared" ca="1" si="613"/>
        <v>-6.2000000000000055</v>
      </c>
      <c r="AF146" s="315">
        <f t="shared" ca="1" si="613"/>
        <v>0</v>
      </c>
      <c r="AG146" s="315">
        <f t="shared" ca="1" si="613"/>
        <v>0</v>
      </c>
      <c r="AH146" s="315">
        <f t="shared" ca="1" si="613"/>
        <v>0</v>
      </c>
      <c r="AI146" s="315">
        <f t="shared" ca="1" si="613"/>
        <v>0</v>
      </c>
      <c r="AJ146" s="315">
        <f t="shared" ca="1" si="613"/>
        <v>0</v>
      </c>
      <c r="AK146" s="315">
        <f t="shared" ca="1" si="613"/>
        <v>0</v>
      </c>
      <c r="AL146" s="315">
        <f t="shared" ca="1" si="613"/>
        <v>0</v>
      </c>
      <c r="AM146" s="315">
        <f t="shared" ca="1" si="613"/>
        <v>0</v>
      </c>
      <c r="AN146" s="315">
        <f t="shared" ca="1" si="613"/>
        <v>0</v>
      </c>
      <c r="AO146" s="315">
        <f t="shared" ref="AO146:CZ146" ca="1" si="614">SUM(AO138:AO145)</f>
        <v>0</v>
      </c>
      <c r="AP146" s="315">
        <f t="shared" ca="1" si="614"/>
        <v>0</v>
      </c>
      <c r="AQ146" s="315">
        <f t="shared" ca="1" si="614"/>
        <v>0</v>
      </c>
      <c r="AR146" s="315">
        <f t="shared" ca="1" si="614"/>
        <v>0</v>
      </c>
      <c r="AS146" s="315">
        <f t="shared" ca="1" si="614"/>
        <v>0</v>
      </c>
      <c r="AT146" s="315">
        <f t="shared" ca="1" si="614"/>
        <v>0</v>
      </c>
      <c r="AU146" s="315">
        <f t="shared" ca="1" si="614"/>
        <v>0</v>
      </c>
      <c r="AV146" s="315">
        <f t="shared" ca="1" si="614"/>
        <v>0</v>
      </c>
      <c r="AW146" s="315">
        <f t="shared" ca="1" si="614"/>
        <v>0</v>
      </c>
      <c r="AX146" s="315">
        <f t="shared" ca="1" si="614"/>
        <v>0</v>
      </c>
      <c r="AY146" s="315">
        <f t="shared" ca="1" si="614"/>
        <v>-2.8216000000000028</v>
      </c>
      <c r="AZ146" s="315">
        <f t="shared" ca="1" si="614"/>
        <v>0</v>
      </c>
      <c r="BA146" s="315">
        <f t="shared" ca="1" si="614"/>
        <v>-4.964000000000004</v>
      </c>
      <c r="BB146" s="315">
        <f t="shared" ca="1" si="614"/>
        <v>-6.4000000000000057</v>
      </c>
      <c r="BC146" s="315">
        <f t="shared" ca="1" si="614"/>
        <v>0</v>
      </c>
      <c r="BD146" s="315">
        <f t="shared" ca="1" si="614"/>
        <v>0</v>
      </c>
      <c r="BE146" s="315">
        <f t="shared" ca="1" si="614"/>
        <v>-12.340000000000011</v>
      </c>
      <c r="BF146" s="315">
        <f t="shared" ca="1" si="614"/>
        <v>0</v>
      </c>
      <c r="BG146" s="315">
        <f t="shared" ca="1" si="614"/>
        <v>0</v>
      </c>
      <c r="BH146" s="315">
        <f t="shared" ca="1" si="614"/>
        <v>0</v>
      </c>
      <c r="BI146" s="315">
        <f t="shared" ca="1" si="614"/>
        <v>0</v>
      </c>
      <c r="BJ146" s="315">
        <f t="shared" ca="1" si="614"/>
        <v>0</v>
      </c>
      <c r="BK146" s="315">
        <f t="shared" ca="1" si="614"/>
        <v>0</v>
      </c>
      <c r="BL146" s="315">
        <f t="shared" ca="1" si="614"/>
        <v>-4.389040000000004</v>
      </c>
      <c r="BM146" s="315">
        <f t="shared" ca="1" si="614"/>
        <v>0</v>
      </c>
      <c r="BN146" s="315">
        <f t="shared" ca="1" si="614"/>
        <v>0</v>
      </c>
      <c r="BO146" s="315">
        <f t="shared" ca="1" si="614"/>
        <v>0</v>
      </c>
      <c r="BP146" s="315">
        <f t="shared" ca="1" si="614"/>
        <v>-1.7700000000000016</v>
      </c>
      <c r="BQ146" s="315">
        <f t="shared" ca="1" si="614"/>
        <v>0</v>
      </c>
      <c r="BR146" s="315">
        <f t="shared" ca="1" si="614"/>
        <v>0</v>
      </c>
      <c r="BS146" s="315">
        <f t="shared" ca="1" si="614"/>
        <v>0</v>
      </c>
      <c r="BT146" s="315">
        <f t="shared" ca="1" si="614"/>
        <v>0</v>
      </c>
      <c r="BU146" s="315">
        <f t="shared" ca="1" si="614"/>
        <v>0</v>
      </c>
      <c r="BV146" s="315">
        <f t="shared" ca="1" si="614"/>
        <v>0</v>
      </c>
      <c r="BW146" s="315">
        <f t="shared" ca="1" si="614"/>
        <v>0</v>
      </c>
      <c r="BX146" s="315">
        <f t="shared" ca="1" si="614"/>
        <v>0</v>
      </c>
      <c r="BY146" s="315">
        <f t="shared" ca="1" si="614"/>
        <v>0</v>
      </c>
      <c r="BZ146" s="315">
        <f t="shared" ca="1" si="614"/>
        <v>0</v>
      </c>
      <c r="CA146" s="315">
        <f t="shared" ca="1" si="614"/>
        <v>0</v>
      </c>
      <c r="CB146" s="315">
        <f t="shared" ca="1" si="614"/>
        <v>0</v>
      </c>
      <c r="CC146" s="315">
        <f t="shared" ca="1" si="614"/>
        <v>0</v>
      </c>
      <c r="CD146" s="315">
        <f t="shared" ca="1" si="614"/>
        <v>0</v>
      </c>
      <c r="CE146" s="315">
        <f t="shared" ca="1" si="614"/>
        <v>0</v>
      </c>
      <c r="CF146" s="315">
        <f t="shared" ca="1" si="614"/>
        <v>0</v>
      </c>
      <c r="CG146" s="315">
        <f t="shared" ca="1" si="614"/>
        <v>0</v>
      </c>
      <c r="CH146" s="315">
        <f t="shared" ca="1" si="614"/>
        <v>0</v>
      </c>
      <c r="CI146" s="315">
        <f t="shared" ca="1" si="614"/>
        <v>0</v>
      </c>
      <c r="CJ146" s="315">
        <f t="shared" ca="1" si="614"/>
        <v>0</v>
      </c>
      <c r="CK146" s="315">
        <f t="shared" ca="1" si="614"/>
        <v>0</v>
      </c>
      <c r="CL146" s="315">
        <f t="shared" ca="1" si="614"/>
        <v>0</v>
      </c>
      <c r="CM146" s="315">
        <f t="shared" ca="1" si="614"/>
        <v>0</v>
      </c>
      <c r="CN146" s="315">
        <f t="shared" ca="1" si="614"/>
        <v>0</v>
      </c>
      <c r="CO146" s="315">
        <f t="shared" ca="1" si="614"/>
        <v>0</v>
      </c>
      <c r="CP146" s="315">
        <f t="shared" ca="1" si="614"/>
        <v>0</v>
      </c>
      <c r="CQ146" s="315">
        <f t="shared" ca="1" si="614"/>
        <v>0</v>
      </c>
      <c r="CR146" s="315">
        <f t="shared" ca="1" si="614"/>
        <v>0</v>
      </c>
      <c r="CS146" s="315">
        <f t="shared" ca="1" si="614"/>
        <v>0</v>
      </c>
      <c r="CT146" s="315">
        <f t="shared" ca="1" si="614"/>
        <v>0</v>
      </c>
      <c r="CU146" s="315">
        <f t="shared" ca="1" si="614"/>
        <v>0</v>
      </c>
      <c r="CV146" s="315">
        <f t="shared" ca="1" si="614"/>
        <v>0</v>
      </c>
      <c r="CW146" s="315">
        <f t="shared" ca="1" si="614"/>
        <v>0</v>
      </c>
      <c r="CX146" s="315">
        <f t="shared" ca="1" si="614"/>
        <v>0</v>
      </c>
      <c r="CY146" s="315">
        <f t="shared" ca="1" si="614"/>
        <v>0</v>
      </c>
      <c r="CZ146" s="315">
        <f t="shared" ca="1" si="614"/>
        <v>0</v>
      </c>
      <c r="DA146" s="315">
        <f t="shared" ref="DA146:EE146" ca="1" si="615">SUM(DA138:DA145)</f>
        <v>0</v>
      </c>
      <c r="DB146" s="315">
        <f t="shared" ca="1" si="615"/>
        <v>0</v>
      </c>
      <c r="DC146" s="315">
        <f t="shared" ca="1" si="615"/>
        <v>0</v>
      </c>
      <c r="DD146" s="315">
        <f t="shared" ca="1" si="615"/>
        <v>0</v>
      </c>
      <c r="DE146" s="315">
        <f t="shared" ca="1" si="615"/>
        <v>0</v>
      </c>
      <c r="DF146" s="315">
        <f t="shared" ca="1" si="615"/>
        <v>0</v>
      </c>
      <c r="DG146" s="315">
        <f t="shared" ca="1" si="615"/>
        <v>556.21255647912301</v>
      </c>
      <c r="DH146" s="315">
        <f t="shared" ca="1" si="615"/>
        <v>0</v>
      </c>
      <c r="DI146" s="315">
        <f t="shared" ca="1" si="615"/>
        <v>0</v>
      </c>
      <c r="DJ146" s="315">
        <f t="shared" ca="1" si="615"/>
        <v>0</v>
      </c>
      <c r="DK146" s="315">
        <f t="shared" ca="1" si="615"/>
        <v>0</v>
      </c>
      <c r="DL146" s="315">
        <f t="shared" ca="1" si="615"/>
        <v>0</v>
      </c>
      <c r="DM146" s="315">
        <f t="shared" ca="1" si="615"/>
        <v>0</v>
      </c>
      <c r="DN146" s="315">
        <f t="shared" ca="1" si="615"/>
        <v>0</v>
      </c>
      <c r="DO146" s="315">
        <f t="shared" ca="1" si="615"/>
        <v>0</v>
      </c>
      <c r="DP146" s="315">
        <f t="shared" ca="1" si="615"/>
        <v>0</v>
      </c>
      <c r="DQ146" s="315">
        <f t="shared" ca="1" si="615"/>
        <v>0</v>
      </c>
      <c r="DR146" s="315">
        <f t="shared" ca="1" si="615"/>
        <v>0</v>
      </c>
      <c r="DS146" s="315">
        <f t="shared" ca="1" si="615"/>
        <v>0</v>
      </c>
      <c r="DT146" s="315">
        <f t="shared" ca="1" si="615"/>
        <v>0</v>
      </c>
      <c r="DU146" s="315">
        <f t="shared" ca="1" si="615"/>
        <v>0</v>
      </c>
      <c r="DV146" s="315">
        <f t="shared" ca="1" si="615"/>
        <v>0</v>
      </c>
      <c r="DW146" s="315">
        <f t="shared" ca="1" si="615"/>
        <v>0</v>
      </c>
      <c r="DX146" s="315">
        <f t="shared" ca="1" si="615"/>
        <v>0</v>
      </c>
      <c r="DY146" s="315">
        <f t="shared" ca="1" si="615"/>
        <v>0</v>
      </c>
      <c r="DZ146" s="315">
        <f t="shared" ca="1" si="615"/>
        <v>0</v>
      </c>
      <c r="EA146" s="315">
        <f t="shared" ca="1" si="615"/>
        <v>0</v>
      </c>
      <c r="EB146" s="315">
        <f t="shared" ca="1" si="615"/>
        <v>0</v>
      </c>
      <c r="EC146" s="315">
        <f t="shared" ca="1" si="615"/>
        <v>0</v>
      </c>
      <c r="ED146" s="315">
        <f t="shared" ca="1" si="615"/>
        <v>0</v>
      </c>
      <c r="EE146" s="315">
        <f t="shared" ca="1" si="615"/>
        <v>0</v>
      </c>
    </row>
    <row r="147" spans="2:135">
      <c r="C147" s="319" t="s">
        <v>193</v>
      </c>
      <c r="D147" s="319"/>
      <c r="E147" s="319"/>
      <c r="F147" s="319"/>
      <c r="G147" s="319"/>
      <c r="H147" s="319"/>
    </row>
    <row r="148" spans="2:135">
      <c r="C148" s="319" t="s">
        <v>10</v>
      </c>
      <c r="D148" s="319"/>
      <c r="E148" s="319"/>
      <c r="F148" s="319"/>
      <c r="G148" s="308">
        <f ca="1">IFERROR(XIRR(I146:EE146, $I$8:$EE$8, ), "n/a")</f>
        <v>7.1606448292732258E-2</v>
      </c>
      <c r="H148" s="308"/>
    </row>
    <row r="149" spans="2:135">
      <c r="C149" s="319" t="s">
        <v>5</v>
      </c>
      <c r="D149" s="319"/>
      <c r="E149" s="319"/>
      <c r="F149" s="319"/>
      <c r="G149" s="327">
        <f ca="1">G146</f>
        <v>238.56791647912269</v>
      </c>
      <c r="H149" s="327"/>
    </row>
    <row r="150" spans="2:135">
      <c r="C150" s="319" t="s">
        <v>9</v>
      </c>
      <c r="D150" s="319"/>
      <c r="E150" s="319"/>
      <c r="F150" s="319"/>
      <c r="G150" s="328">
        <f ca="1">-(G146-G138)/G138</f>
        <v>1.7510528635997837</v>
      </c>
      <c r="H150" s="328"/>
    </row>
    <row r="152" spans="2:135">
      <c r="C152" s="265" t="s">
        <v>194</v>
      </c>
      <c r="G152" s="301">
        <f ca="1">SUMIF($I$8:$EE$8, "&lt;="&amp;$E$8, $I152:$EE152)</f>
        <v>0</v>
      </c>
      <c r="H152" s="301"/>
      <c r="I152" s="301">
        <f t="shared" ref="I152:BT152" si="616">-I49</f>
        <v>0</v>
      </c>
      <c r="J152" s="301">
        <f t="shared" si="616"/>
        <v>0</v>
      </c>
      <c r="K152" s="301">
        <f t="shared" ca="1" si="616"/>
        <v>0</v>
      </c>
      <c r="L152" s="301">
        <f t="shared" ca="1" si="616"/>
        <v>0</v>
      </c>
      <c r="M152" s="301">
        <f t="shared" ca="1" si="616"/>
        <v>0</v>
      </c>
      <c r="N152" s="301">
        <f t="shared" ca="1" si="616"/>
        <v>0</v>
      </c>
      <c r="O152" s="301">
        <f t="shared" ca="1" si="616"/>
        <v>0</v>
      </c>
      <c r="P152" s="301">
        <f t="shared" ca="1" si="616"/>
        <v>0</v>
      </c>
      <c r="Q152" s="301">
        <f t="shared" ca="1" si="616"/>
        <v>0</v>
      </c>
      <c r="R152" s="301">
        <f t="shared" ca="1" si="616"/>
        <v>0</v>
      </c>
      <c r="S152" s="301">
        <f t="shared" ca="1" si="616"/>
        <v>0</v>
      </c>
      <c r="T152" s="301">
        <f t="shared" ca="1" si="616"/>
        <v>0</v>
      </c>
      <c r="U152" s="301">
        <f t="shared" ca="1" si="616"/>
        <v>0</v>
      </c>
      <c r="V152" s="301">
        <f t="shared" ca="1" si="616"/>
        <v>0</v>
      </c>
      <c r="W152" s="301">
        <f t="shared" ca="1" si="616"/>
        <v>0</v>
      </c>
      <c r="X152" s="301">
        <f t="shared" ca="1" si="616"/>
        <v>0</v>
      </c>
      <c r="Y152" s="301">
        <f t="shared" ca="1" si="616"/>
        <v>0</v>
      </c>
      <c r="Z152" s="301">
        <f t="shared" ca="1" si="616"/>
        <v>0</v>
      </c>
      <c r="AA152" s="301">
        <f t="shared" ca="1" si="616"/>
        <v>0</v>
      </c>
      <c r="AB152" s="301">
        <f t="shared" ca="1" si="616"/>
        <v>0</v>
      </c>
      <c r="AC152" s="301">
        <f t="shared" ca="1" si="616"/>
        <v>0</v>
      </c>
      <c r="AD152" s="301">
        <f t="shared" ca="1" si="616"/>
        <v>0</v>
      </c>
      <c r="AE152" s="301">
        <f t="shared" ca="1" si="616"/>
        <v>0</v>
      </c>
      <c r="AF152" s="301">
        <f t="shared" ca="1" si="616"/>
        <v>0</v>
      </c>
      <c r="AG152" s="301">
        <f t="shared" ca="1" si="616"/>
        <v>0</v>
      </c>
      <c r="AH152" s="301">
        <f t="shared" ca="1" si="616"/>
        <v>0</v>
      </c>
      <c r="AI152" s="301">
        <f t="shared" ca="1" si="616"/>
        <v>0</v>
      </c>
      <c r="AJ152" s="301">
        <f t="shared" ca="1" si="616"/>
        <v>0</v>
      </c>
      <c r="AK152" s="301">
        <f t="shared" ca="1" si="616"/>
        <v>0</v>
      </c>
      <c r="AL152" s="301">
        <f t="shared" ca="1" si="616"/>
        <v>0</v>
      </c>
      <c r="AM152" s="301">
        <f t="shared" ca="1" si="616"/>
        <v>0</v>
      </c>
      <c r="AN152" s="301">
        <f t="shared" ca="1" si="616"/>
        <v>0</v>
      </c>
      <c r="AO152" s="301">
        <f t="shared" ca="1" si="616"/>
        <v>0</v>
      </c>
      <c r="AP152" s="301">
        <f t="shared" ca="1" si="616"/>
        <v>0</v>
      </c>
      <c r="AQ152" s="301">
        <f t="shared" ca="1" si="616"/>
        <v>0</v>
      </c>
      <c r="AR152" s="301">
        <f t="shared" ca="1" si="616"/>
        <v>0</v>
      </c>
      <c r="AS152" s="301">
        <f t="shared" ca="1" si="616"/>
        <v>0</v>
      </c>
      <c r="AT152" s="301">
        <f t="shared" ca="1" si="616"/>
        <v>0</v>
      </c>
      <c r="AU152" s="301">
        <f t="shared" ca="1" si="616"/>
        <v>0</v>
      </c>
      <c r="AV152" s="301">
        <f t="shared" ca="1" si="616"/>
        <v>0</v>
      </c>
      <c r="AW152" s="301">
        <f t="shared" ca="1" si="616"/>
        <v>0</v>
      </c>
      <c r="AX152" s="301">
        <f t="shared" ca="1" si="616"/>
        <v>0</v>
      </c>
      <c r="AY152" s="301">
        <f t="shared" ca="1" si="616"/>
        <v>0</v>
      </c>
      <c r="AZ152" s="301">
        <f t="shared" ca="1" si="616"/>
        <v>0</v>
      </c>
      <c r="BA152" s="301">
        <f t="shared" ca="1" si="616"/>
        <v>0</v>
      </c>
      <c r="BB152" s="301">
        <f t="shared" ca="1" si="616"/>
        <v>0</v>
      </c>
      <c r="BC152" s="301">
        <f t="shared" ca="1" si="616"/>
        <v>0</v>
      </c>
      <c r="BD152" s="301">
        <f t="shared" ca="1" si="616"/>
        <v>0</v>
      </c>
      <c r="BE152" s="301">
        <f t="shared" ca="1" si="616"/>
        <v>0</v>
      </c>
      <c r="BF152" s="301">
        <f t="shared" ca="1" si="616"/>
        <v>0</v>
      </c>
      <c r="BG152" s="301">
        <f t="shared" ca="1" si="616"/>
        <v>0</v>
      </c>
      <c r="BH152" s="301">
        <f t="shared" ca="1" si="616"/>
        <v>0</v>
      </c>
      <c r="BI152" s="301">
        <f t="shared" ca="1" si="616"/>
        <v>0</v>
      </c>
      <c r="BJ152" s="301">
        <f t="shared" ca="1" si="616"/>
        <v>0</v>
      </c>
      <c r="BK152" s="301">
        <f t="shared" ca="1" si="616"/>
        <v>0</v>
      </c>
      <c r="BL152" s="301">
        <f t="shared" ca="1" si="616"/>
        <v>0</v>
      </c>
      <c r="BM152" s="301">
        <f t="shared" ca="1" si="616"/>
        <v>0</v>
      </c>
      <c r="BN152" s="301">
        <f t="shared" ca="1" si="616"/>
        <v>0</v>
      </c>
      <c r="BO152" s="301">
        <f t="shared" ca="1" si="616"/>
        <v>0</v>
      </c>
      <c r="BP152" s="301">
        <f t="shared" ca="1" si="616"/>
        <v>0</v>
      </c>
      <c r="BQ152" s="301">
        <f t="shared" ca="1" si="616"/>
        <v>0</v>
      </c>
      <c r="BR152" s="301">
        <f t="shared" ca="1" si="616"/>
        <v>0</v>
      </c>
      <c r="BS152" s="301">
        <f t="shared" ca="1" si="616"/>
        <v>0</v>
      </c>
      <c r="BT152" s="301">
        <f t="shared" ca="1" si="616"/>
        <v>0</v>
      </c>
      <c r="BU152" s="301">
        <f t="shared" ref="BU152:CZ152" ca="1" si="617">-BU49</f>
        <v>0</v>
      </c>
      <c r="BV152" s="301">
        <f t="shared" ca="1" si="617"/>
        <v>0</v>
      </c>
      <c r="BW152" s="301">
        <f t="shared" ca="1" si="617"/>
        <v>0</v>
      </c>
      <c r="BX152" s="301">
        <f t="shared" ca="1" si="617"/>
        <v>0</v>
      </c>
      <c r="BY152" s="301">
        <f t="shared" ca="1" si="617"/>
        <v>0</v>
      </c>
      <c r="BZ152" s="301">
        <f t="shared" ca="1" si="617"/>
        <v>0</v>
      </c>
      <c r="CA152" s="301">
        <f t="shared" ca="1" si="617"/>
        <v>0</v>
      </c>
      <c r="CB152" s="301">
        <f t="shared" ca="1" si="617"/>
        <v>0</v>
      </c>
      <c r="CC152" s="301">
        <f t="shared" ca="1" si="617"/>
        <v>0</v>
      </c>
      <c r="CD152" s="301">
        <f t="shared" ca="1" si="617"/>
        <v>0</v>
      </c>
      <c r="CE152" s="301">
        <f t="shared" ca="1" si="617"/>
        <v>0</v>
      </c>
      <c r="CF152" s="301">
        <f t="shared" ca="1" si="617"/>
        <v>0</v>
      </c>
      <c r="CG152" s="301">
        <f t="shared" ca="1" si="617"/>
        <v>0</v>
      </c>
      <c r="CH152" s="301">
        <f t="shared" ca="1" si="617"/>
        <v>0</v>
      </c>
      <c r="CI152" s="301">
        <f t="shared" ca="1" si="617"/>
        <v>0</v>
      </c>
      <c r="CJ152" s="301">
        <f t="shared" ca="1" si="617"/>
        <v>0</v>
      </c>
      <c r="CK152" s="301">
        <f t="shared" ca="1" si="617"/>
        <v>0</v>
      </c>
      <c r="CL152" s="301">
        <f t="shared" ca="1" si="617"/>
        <v>0</v>
      </c>
      <c r="CM152" s="301">
        <f t="shared" ca="1" si="617"/>
        <v>0</v>
      </c>
      <c r="CN152" s="301">
        <f t="shared" ca="1" si="617"/>
        <v>0</v>
      </c>
      <c r="CO152" s="301">
        <f t="shared" ca="1" si="617"/>
        <v>0</v>
      </c>
      <c r="CP152" s="301">
        <f t="shared" ca="1" si="617"/>
        <v>0</v>
      </c>
      <c r="CQ152" s="301">
        <f t="shared" ca="1" si="617"/>
        <v>0</v>
      </c>
      <c r="CR152" s="301">
        <f t="shared" ca="1" si="617"/>
        <v>0</v>
      </c>
      <c r="CS152" s="301">
        <f t="shared" ca="1" si="617"/>
        <v>0</v>
      </c>
      <c r="CT152" s="301">
        <f t="shared" ca="1" si="617"/>
        <v>0</v>
      </c>
      <c r="CU152" s="301">
        <f t="shared" ca="1" si="617"/>
        <v>0</v>
      </c>
      <c r="CV152" s="301">
        <f t="shared" ca="1" si="617"/>
        <v>0</v>
      </c>
      <c r="CW152" s="301">
        <f t="shared" ca="1" si="617"/>
        <v>0</v>
      </c>
      <c r="CX152" s="301">
        <f t="shared" ca="1" si="617"/>
        <v>0</v>
      </c>
      <c r="CY152" s="301">
        <f t="shared" ca="1" si="617"/>
        <v>0</v>
      </c>
      <c r="CZ152" s="301">
        <f t="shared" ca="1" si="617"/>
        <v>0</v>
      </c>
      <c r="DA152" s="301">
        <f t="shared" ref="DA152:EE152" ca="1" si="618">-DA49</f>
        <v>0</v>
      </c>
      <c r="DB152" s="301">
        <f t="shared" ca="1" si="618"/>
        <v>0</v>
      </c>
      <c r="DC152" s="301">
        <f t="shared" ca="1" si="618"/>
        <v>0</v>
      </c>
      <c r="DD152" s="301">
        <f t="shared" ca="1" si="618"/>
        <v>0</v>
      </c>
      <c r="DE152" s="301">
        <f t="shared" ca="1" si="618"/>
        <v>0</v>
      </c>
      <c r="DF152" s="301">
        <f t="shared" ca="1" si="618"/>
        <v>0</v>
      </c>
      <c r="DG152" s="301">
        <f t="shared" ca="1" si="618"/>
        <v>0</v>
      </c>
      <c r="DH152" s="301">
        <f t="shared" ca="1" si="618"/>
        <v>0</v>
      </c>
      <c r="DI152" s="301">
        <f t="shared" ca="1" si="618"/>
        <v>0</v>
      </c>
      <c r="DJ152" s="301">
        <f t="shared" ca="1" si="618"/>
        <v>0</v>
      </c>
      <c r="DK152" s="301">
        <f t="shared" ca="1" si="618"/>
        <v>0</v>
      </c>
      <c r="DL152" s="301">
        <f t="shared" ca="1" si="618"/>
        <v>0</v>
      </c>
      <c r="DM152" s="301">
        <f t="shared" ca="1" si="618"/>
        <v>0</v>
      </c>
      <c r="DN152" s="301">
        <f t="shared" ca="1" si="618"/>
        <v>0</v>
      </c>
      <c r="DO152" s="301">
        <f t="shared" ca="1" si="618"/>
        <v>0</v>
      </c>
      <c r="DP152" s="301">
        <f t="shared" ca="1" si="618"/>
        <v>0</v>
      </c>
      <c r="DQ152" s="301">
        <f t="shared" ca="1" si="618"/>
        <v>0</v>
      </c>
      <c r="DR152" s="301">
        <f t="shared" ca="1" si="618"/>
        <v>0</v>
      </c>
      <c r="DS152" s="301">
        <f t="shared" ca="1" si="618"/>
        <v>0</v>
      </c>
      <c r="DT152" s="301">
        <f t="shared" ca="1" si="618"/>
        <v>0</v>
      </c>
      <c r="DU152" s="301">
        <f t="shared" ca="1" si="618"/>
        <v>0</v>
      </c>
      <c r="DV152" s="301">
        <f t="shared" ca="1" si="618"/>
        <v>0</v>
      </c>
      <c r="DW152" s="301">
        <f t="shared" ca="1" si="618"/>
        <v>0</v>
      </c>
      <c r="DX152" s="301">
        <f t="shared" ca="1" si="618"/>
        <v>0</v>
      </c>
      <c r="DY152" s="301">
        <f t="shared" ca="1" si="618"/>
        <v>0</v>
      </c>
      <c r="DZ152" s="301">
        <f t="shared" ca="1" si="618"/>
        <v>0</v>
      </c>
      <c r="EA152" s="301">
        <f t="shared" ca="1" si="618"/>
        <v>0</v>
      </c>
      <c r="EB152" s="301">
        <f t="shared" ca="1" si="618"/>
        <v>0</v>
      </c>
      <c r="EC152" s="301">
        <f t="shared" ca="1" si="618"/>
        <v>0</v>
      </c>
      <c r="ED152" s="301">
        <f t="shared" ca="1" si="618"/>
        <v>0</v>
      </c>
      <c r="EE152" s="301">
        <f t="shared" ca="1" si="618"/>
        <v>0</v>
      </c>
    </row>
    <row r="153" spans="2:135">
      <c r="C153" s="265" t="s">
        <v>195</v>
      </c>
      <c r="G153" s="301">
        <f ca="1">SUMIF($I$8:$EE$8, "&lt;="&amp;$E$8, $I153:$EE153)</f>
        <v>0</v>
      </c>
      <c r="H153" s="301"/>
      <c r="I153" s="301">
        <f t="shared" ref="I153:BT153" si="619">-I92</f>
        <v>0</v>
      </c>
      <c r="J153" s="301">
        <f t="shared" ca="1" si="619"/>
        <v>0</v>
      </c>
      <c r="K153" s="301">
        <f t="shared" ca="1" si="619"/>
        <v>0</v>
      </c>
      <c r="L153" s="301">
        <f t="shared" ca="1" si="619"/>
        <v>0</v>
      </c>
      <c r="M153" s="301">
        <f t="shared" ca="1" si="619"/>
        <v>0</v>
      </c>
      <c r="N153" s="301">
        <f t="shared" ca="1" si="619"/>
        <v>0</v>
      </c>
      <c r="O153" s="301">
        <f t="shared" ca="1" si="619"/>
        <v>0</v>
      </c>
      <c r="P153" s="301">
        <f t="shared" ca="1" si="619"/>
        <v>0</v>
      </c>
      <c r="Q153" s="301">
        <f t="shared" ca="1" si="619"/>
        <v>0</v>
      </c>
      <c r="R153" s="301">
        <f t="shared" ca="1" si="619"/>
        <v>0</v>
      </c>
      <c r="S153" s="301">
        <f t="shared" ca="1" si="619"/>
        <v>0</v>
      </c>
      <c r="T153" s="301">
        <f t="shared" ca="1" si="619"/>
        <v>0</v>
      </c>
      <c r="U153" s="301">
        <f t="shared" ca="1" si="619"/>
        <v>0</v>
      </c>
      <c r="V153" s="301">
        <f t="shared" ca="1" si="619"/>
        <v>0</v>
      </c>
      <c r="W153" s="301">
        <f t="shared" ca="1" si="619"/>
        <v>0</v>
      </c>
      <c r="X153" s="301">
        <f t="shared" ca="1" si="619"/>
        <v>0</v>
      </c>
      <c r="Y153" s="301">
        <f t="shared" ca="1" si="619"/>
        <v>0</v>
      </c>
      <c r="Z153" s="301">
        <f t="shared" ca="1" si="619"/>
        <v>0</v>
      </c>
      <c r="AA153" s="301">
        <f t="shared" ca="1" si="619"/>
        <v>0</v>
      </c>
      <c r="AB153" s="301">
        <f t="shared" ca="1" si="619"/>
        <v>0</v>
      </c>
      <c r="AC153" s="301">
        <f t="shared" ca="1" si="619"/>
        <v>0</v>
      </c>
      <c r="AD153" s="301">
        <f t="shared" ca="1" si="619"/>
        <v>0</v>
      </c>
      <c r="AE153" s="301">
        <f t="shared" ca="1" si="619"/>
        <v>0</v>
      </c>
      <c r="AF153" s="301">
        <f t="shared" ca="1" si="619"/>
        <v>0</v>
      </c>
      <c r="AG153" s="301">
        <f t="shared" ca="1" si="619"/>
        <v>0</v>
      </c>
      <c r="AH153" s="301">
        <f t="shared" ca="1" si="619"/>
        <v>0</v>
      </c>
      <c r="AI153" s="301">
        <f t="shared" ca="1" si="619"/>
        <v>0</v>
      </c>
      <c r="AJ153" s="301">
        <f t="shared" ca="1" si="619"/>
        <v>0</v>
      </c>
      <c r="AK153" s="301">
        <f t="shared" ca="1" si="619"/>
        <v>0</v>
      </c>
      <c r="AL153" s="301">
        <f t="shared" ca="1" si="619"/>
        <v>0</v>
      </c>
      <c r="AM153" s="301">
        <f t="shared" ca="1" si="619"/>
        <v>0</v>
      </c>
      <c r="AN153" s="301">
        <f t="shared" ca="1" si="619"/>
        <v>0</v>
      </c>
      <c r="AO153" s="301">
        <f t="shared" ca="1" si="619"/>
        <v>0</v>
      </c>
      <c r="AP153" s="301">
        <f t="shared" ca="1" si="619"/>
        <v>0</v>
      </c>
      <c r="AQ153" s="301">
        <f t="shared" ca="1" si="619"/>
        <v>0</v>
      </c>
      <c r="AR153" s="301">
        <f t="shared" ca="1" si="619"/>
        <v>0</v>
      </c>
      <c r="AS153" s="301">
        <f t="shared" ca="1" si="619"/>
        <v>0</v>
      </c>
      <c r="AT153" s="301">
        <f t="shared" ca="1" si="619"/>
        <v>0</v>
      </c>
      <c r="AU153" s="301">
        <f t="shared" ca="1" si="619"/>
        <v>0</v>
      </c>
      <c r="AV153" s="301">
        <f t="shared" ca="1" si="619"/>
        <v>0</v>
      </c>
      <c r="AW153" s="301">
        <f t="shared" ca="1" si="619"/>
        <v>0</v>
      </c>
      <c r="AX153" s="301">
        <f t="shared" ca="1" si="619"/>
        <v>0</v>
      </c>
      <c r="AY153" s="301">
        <f t="shared" ca="1" si="619"/>
        <v>0</v>
      </c>
      <c r="AZ153" s="301">
        <f t="shared" ca="1" si="619"/>
        <v>0</v>
      </c>
      <c r="BA153" s="301">
        <f t="shared" ca="1" si="619"/>
        <v>0</v>
      </c>
      <c r="BB153" s="301">
        <f t="shared" ca="1" si="619"/>
        <v>0</v>
      </c>
      <c r="BC153" s="301">
        <f t="shared" ca="1" si="619"/>
        <v>0</v>
      </c>
      <c r="BD153" s="301">
        <f t="shared" ca="1" si="619"/>
        <v>0</v>
      </c>
      <c r="BE153" s="301">
        <f t="shared" ca="1" si="619"/>
        <v>0</v>
      </c>
      <c r="BF153" s="301">
        <f t="shared" ca="1" si="619"/>
        <v>0</v>
      </c>
      <c r="BG153" s="301">
        <f t="shared" ca="1" si="619"/>
        <v>0</v>
      </c>
      <c r="BH153" s="301">
        <f t="shared" ca="1" si="619"/>
        <v>0</v>
      </c>
      <c r="BI153" s="301">
        <f t="shared" ca="1" si="619"/>
        <v>0</v>
      </c>
      <c r="BJ153" s="301">
        <f t="shared" ca="1" si="619"/>
        <v>0</v>
      </c>
      <c r="BK153" s="301">
        <f t="shared" ca="1" si="619"/>
        <v>0</v>
      </c>
      <c r="BL153" s="301">
        <f t="shared" ca="1" si="619"/>
        <v>0</v>
      </c>
      <c r="BM153" s="301">
        <f t="shared" ca="1" si="619"/>
        <v>0</v>
      </c>
      <c r="BN153" s="301">
        <f t="shared" ca="1" si="619"/>
        <v>0</v>
      </c>
      <c r="BO153" s="301">
        <f t="shared" ca="1" si="619"/>
        <v>0</v>
      </c>
      <c r="BP153" s="301">
        <f t="shared" ca="1" si="619"/>
        <v>0</v>
      </c>
      <c r="BQ153" s="301">
        <f t="shared" ca="1" si="619"/>
        <v>0</v>
      </c>
      <c r="BR153" s="301">
        <f t="shared" ca="1" si="619"/>
        <v>0</v>
      </c>
      <c r="BS153" s="301">
        <f t="shared" ca="1" si="619"/>
        <v>0</v>
      </c>
      <c r="BT153" s="301">
        <f t="shared" ca="1" si="619"/>
        <v>0</v>
      </c>
      <c r="BU153" s="301">
        <f t="shared" ref="BU153:CZ153" ca="1" si="620">-BU92</f>
        <v>0</v>
      </c>
      <c r="BV153" s="301">
        <f t="shared" ca="1" si="620"/>
        <v>0</v>
      </c>
      <c r="BW153" s="301">
        <f t="shared" ca="1" si="620"/>
        <v>0</v>
      </c>
      <c r="BX153" s="301">
        <f t="shared" ca="1" si="620"/>
        <v>0</v>
      </c>
      <c r="BY153" s="301">
        <f t="shared" ca="1" si="620"/>
        <v>0</v>
      </c>
      <c r="BZ153" s="301">
        <f t="shared" ca="1" si="620"/>
        <v>0</v>
      </c>
      <c r="CA153" s="301">
        <f t="shared" ca="1" si="620"/>
        <v>0</v>
      </c>
      <c r="CB153" s="301">
        <f t="shared" ca="1" si="620"/>
        <v>0</v>
      </c>
      <c r="CC153" s="301">
        <f t="shared" ca="1" si="620"/>
        <v>0</v>
      </c>
      <c r="CD153" s="301">
        <f t="shared" ca="1" si="620"/>
        <v>0</v>
      </c>
      <c r="CE153" s="301">
        <f t="shared" ca="1" si="620"/>
        <v>0</v>
      </c>
      <c r="CF153" s="301">
        <f t="shared" ca="1" si="620"/>
        <v>0</v>
      </c>
      <c r="CG153" s="301">
        <f t="shared" ca="1" si="620"/>
        <v>0</v>
      </c>
      <c r="CH153" s="301">
        <f t="shared" ca="1" si="620"/>
        <v>0</v>
      </c>
      <c r="CI153" s="301">
        <f t="shared" ca="1" si="620"/>
        <v>0</v>
      </c>
      <c r="CJ153" s="301">
        <f t="shared" ca="1" si="620"/>
        <v>0</v>
      </c>
      <c r="CK153" s="301">
        <f t="shared" ca="1" si="620"/>
        <v>0</v>
      </c>
      <c r="CL153" s="301">
        <f t="shared" ca="1" si="620"/>
        <v>0</v>
      </c>
      <c r="CM153" s="301">
        <f t="shared" ca="1" si="620"/>
        <v>0</v>
      </c>
      <c r="CN153" s="301">
        <f t="shared" ca="1" si="620"/>
        <v>0</v>
      </c>
      <c r="CO153" s="301">
        <f t="shared" ca="1" si="620"/>
        <v>0</v>
      </c>
      <c r="CP153" s="301">
        <f t="shared" ca="1" si="620"/>
        <v>0</v>
      </c>
      <c r="CQ153" s="301">
        <f t="shared" ca="1" si="620"/>
        <v>0</v>
      </c>
      <c r="CR153" s="301">
        <f t="shared" ca="1" si="620"/>
        <v>0</v>
      </c>
      <c r="CS153" s="301">
        <f t="shared" ca="1" si="620"/>
        <v>0</v>
      </c>
      <c r="CT153" s="301">
        <f t="shared" ca="1" si="620"/>
        <v>0</v>
      </c>
      <c r="CU153" s="301">
        <f t="shared" ca="1" si="620"/>
        <v>0</v>
      </c>
      <c r="CV153" s="301">
        <f t="shared" ca="1" si="620"/>
        <v>0</v>
      </c>
      <c r="CW153" s="301">
        <f t="shared" ca="1" si="620"/>
        <v>0</v>
      </c>
      <c r="CX153" s="301">
        <f t="shared" ca="1" si="620"/>
        <v>0</v>
      </c>
      <c r="CY153" s="301">
        <f t="shared" ca="1" si="620"/>
        <v>0</v>
      </c>
      <c r="CZ153" s="301">
        <f t="shared" ca="1" si="620"/>
        <v>0</v>
      </c>
      <c r="DA153" s="301">
        <f t="shared" ref="DA153:EE153" ca="1" si="621">-DA92</f>
        <v>0</v>
      </c>
      <c r="DB153" s="301">
        <f t="shared" ca="1" si="621"/>
        <v>0</v>
      </c>
      <c r="DC153" s="301">
        <f t="shared" ca="1" si="621"/>
        <v>0</v>
      </c>
      <c r="DD153" s="301">
        <f t="shared" ca="1" si="621"/>
        <v>0</v>
      </c>
      <c r="DE153" s="301">
        <f t="shared" ca="1" si="621"/>
        <v>0</v>
      </c>
      <c r="DF153" s="301">
        <f t="shared" ca="1" si="621"/>
        <v>0</v>
      </c>
      <c r="DG153" s="301">
        <f t="shared" ca="1" si="621"/>
        <v>0</v>
      </c>
      <c r="DH153" s="301">
        <f t="shared" ca="1" si="621"/>
        <v>0</v>
      </c>
      <c r="DI153" s="301">
        <f t="shared" ca="1" si="621"/>
        <v>0</v>
      </c>
      <c r="DJ153" s="301">
        <f t="shared" ca="1" si="621"/>
        <v>0</v>
      </c>
      <c r="DK153" s="301">
        <f t="shared" ca="1" si="621"/>
        <v>0</v>
      </c>
      <c r="DL153" s="301">
        <f t="shared" ca="1" si="621"/>
        <v>0</v>
      </c>
      <c r="DM153" s="301">
        <f t="shared" ca="1" si="621"/>
        <v>0</v>
      </c>
      <c r="DN153" s="301">
        <f t="shared" ca="1" si="621"/>
        <v>0</v>
      </c>
      <c r="DO153" s="301">
        <f t="shared" ca="1" si="621"/>
        <v>0</v>
      </c>
      <c r="DP153" s="301">
        <f t="shared" ca="1" si="621"/>
        <v>0</v>
      </c>
      <c r="DQ153" s="301">
        <f t="shared" ca="1" si="621"/>
        <v>0</v>
      </c>
      <c r="DR153" s="301">
        <f t="shared" ca="1" si="621"/>
        <v>0</v>
      </c>
      <c r="DS153" s="301">
        <f t="shared" ca="1" si="621"/>
        <v>0</v>
      </c>
      <c r="DT153" s="301">
        <f t="shared" ca="1" si="621"/>
        <v>0</v>
      </c>
      <c r="DU153" s="301">
        <f t="shared" ca="1" si="621"/>
        <v>0</v>
      </c>
      <c r="DV153" s="301">
        <f t="shared" ca="1" si="621"/>
        <v>0</v>
      </c>
      <c r="DW153" s="301">
        <f t="shared" ca="1" si="621"/>
        <v>0</v>
      </c>
      <c r="DX153" s="301">
        <f t="shared" ca="1" si="621"/>
        <v>0</v>
      </c>
      <c r="DY153" s="301">
        <f t="shared" ca="1" si="621"/>
        <v>0</v>
      </c>
      <c r="DZ153" s="301">
        <f t="shared" ca="1" si="621"/>
        <v>0</v>
      </c>
      <c r="EA153" s="301">
        <f t="shared" ca="1" si="621"/>
        <v>0</v>
      </c>
      <c r="EB153" s="301">
        <f t="shared" ca="1" si="621"/>
        <v>0</v>
      </c>
      <c r="EC153" s="301">
        <f t="shared" ca="1" si="621"/>
        <v>0</v>
      </c>
      <c r="ED153" s="301">
        <f t="shared" ca="1" si="621"/>
        <v>0</v>
      </c>
      <c r="EE153" s="301">
        <f t="shared" ca="1" si="621"/>
        <v>0</v>
      </c>
    </row>
    <row r="154" spans="2:135">
      <c r="C154" s="265" t="s">
        <v>196</v>
      </c>
      <c r="G154" s="301">
        <f ca="1">SUMIF($I$8:$EE$8, "&lt;="&amp;$E$8, $I154:$EE154)</f>
        <v>0</v>
      </c>
      <c r="H154" s="301"/>
      <c r="I154" s="301">
        <f t="shared" ref="I154:BT154" si="622">-I111</f>
        <v>0</v>
      </c>
      <c r="J154" s="301">
        <f t="shared" ca="1" si="622"/>
        <v>0</v>
      </c>
      <c r="K154" s="301">
        <f t="shared" ca="1" si="622"/>
        <v>0</v>
      </c>
      <c r="L154" s="301">
        <f t="shared" ca="1" si="622"/>
        <v>0</v>
      </c>
      <c r="M154" s="301">
        <f t="shared" ca="1" si="622"/>
        <v>0</v>
      </c>
      <c r="N154" s="301">
        <f t="shared" ca="1" si="622"/>
        <v>0</v>
      </c>
      <c r="O154" s="301">
        <f t="shared" ca="1" si="622"/>
        <v>0</v>
      </c>
      <c r="P154" s="301">
        <f t="shared" ca="1" si="622"/>
        <v>0</v>
      </c>
      <c r="Q154" s="301">
        <f t="shared" ca="1" si="622"/>
        <v>0</v>
      </c>
      <c r="R154" s="301">
        <f t="shared" ca="1" si="622"/>
        <v>0</v>
      </c>
      <c r="S154" s="301">
        <f t="shared" ca="1" si="622"/>
        <v>0</v>
      </c>
      <c r="T154" s="301">
        <f t="shared" ca="1" si="622"/>
        <v>0</v>
      </c>
      <c r="U154" s="301">
        <f t="shared" ca="1" si="622"/>
        <v>0</v>
      </c>
      <c r="V154" s="301">
        <f t="shared" ca="1" si="622"/>
        <v>0</v>
      </c>
      <c r="W154" s="301">
        <f t="shared" ca="1" si="622"/>
        <v>0</v>
      </c>
      <c r="X154" s="301">
        <f t="shared" ca="1" si="622"/>
        <v>0</v>
      </c>
      <c r="Y154" s="301">
        <f t="shared" ca="1" si="622"/>
        <v>0</v>
      </c>
      <c r="Z154" s="301">
        <f t="shared" ca="1" si="622"/>
        <v>0</v>
      </c>
      <c r="AA154" s="301">
        <f t="shared" ca="1" si="622"/>
        <v>0</v>
      </c>
      <c r="AB154" s="301">
        <f t="shared" ca="1" si="622"/>
        <v>0</v>
      </c>
      <c r="AC154" s="301">
        <f t="shared" ca="1" si="622"/>
        <v>0</v>
      </c>
      <c r="AD154" s="301">
        <f t="shared" ca="1" si="622"/>
        <v>0</v>
      </c>
      <c r="AE154" s="301">
        <f t="shared" ca="1" si="622"/>
        <v>0</v>
      </c>
      <c r="AF154" s="301">
        <f t="shared" ca="1" si="622"/>
        <v>0</v>
      </c>
      <c r="AG154" s="301">
        <f t="shared" ca="1" si="622"/>
        <v>0</v>
      </c>
      <c r="AH154" s="301">
        <f t="shared" ca="1" si="622"/>
        <v>0</v>
      </c>
      <c r="AI154" s="301">
        <f t="shared" ca="1" si="622"/>
        <v>0</v>
      </c>
      <c r="AJ154" s="301">
        <f t="shared" ca="1" si="622"/>
        <v>0</v>
      </c>
      <c r="AK154" s="301">
        <f t="shared" ca="1" si="622"/>
        <v>0</v>
      </c>
      <c r="AL154" s="301">
        <f t="shared" ca="1" si="622"/>
        <v>0</v>
      </c>
      <c r="AM154" s="301">
        <f t="shared" ca="1" si="622"/>
        <v>0</v>
      </c>
      <c r="AN154" s="301">
        <f t="shared" ca="1" si="622"/>
        <v>0</v>
      </c>
      <c r="AO154" s="301">
        <f t="shared" ca="1" si="622"/>
        <v>0</v>
      </c>
      <c r="AP154" s="301">
        <f t="shared" ca="1" si="622"/>
        <v>0</v>
      </c>
      <c r="AQ154" s="301">
        <f t="shared" ca="1" si="622"/>
        <v>0</v>
      </c>
      <c r="AR154" s="301">
        <f t="shared" ca="1" si="622"/>
        <v>0</v>
      </c>
      <c r="AS154" s="301">
        <f t="shared" ca="1" si="622"/>
        <v>0</v>
      </c>
      <c r="AT154" s="301">
        <f t="shared" ca="1" si="622"/>
        <v>0</v>
      </c>
      <c r="AU154" s="301">
        <f t="shared" ca="1" si="622"/>
        <v>0</v>
      </c>
      <c r="AV154" s="301">
        <f t="shared" ca="1" si="622"/>
        <v>0</v>
      </c>
      <c r="AW154" s="301">
        <f t="shared" ca="1" si="622"/>
        <v>0</v>
      </c>
      <c r="AX154" s="301">
        <f t="shared" ca="1" si="622"/>
        <v>0</v>
      </c>
      <c r="AY154" s="301">
        <f t="shared" ca="1" si="622"/>
        <v>0</v>
      </c>
      <c r="AZ154" s="301">
        <f t="shared" ca="1" si="622"/>
        <v>0</v>
      </c>
      <c r="BA154" s="301">
        <f t="shared" ca="1" si="622"/>
        <v>0</v>
      </c>
      <c r="BB154" s="301">
        <f t="shared" ca="1" si="622"/>
        <v>0</v>
      </c>
      <c r="BC154" s="301">
        <f t="shared" ca="1" si="622"/>
        <v>0</v>
      </c>
      <c r="BD154" s="301">
        <f t="shared" ca="1" si="622"/>
        <v>0</v>
      </c>
      <c r="BE154" s="301">
        <f t="shared" ca="1" si="622"/>
        <v>0</v>
      </c>
      <c r="BF154" s="301">
        <f t="shared" ca="1" si="622"/>
        <v>0</v>
      </c>
      <c r="BG154" s="301">
        <f t="shared" ca="1" si="622"/>
        <v>0</v>
      </c>
      <c r="BH154" s="301">
        <f t="shared" ca="1" si="622"/>
        <v>0</v>
      </c>
      <c r="BI154" s="301">
        <f t="shared" ca="1" si="622"/>
        <v>0</v>
      </c>
      <c r="BJ154" s="301">
        <f t="shared" ca="1" si="622"/>
        <v>0</v>
      </c>
      <c r="BK154" s="301">
        <f t="shared" ca="1" si="622"/>
        <v>0</v>
      </c>
      <c r="BL154" s="301">
        <f t="shared" ca="1" si="622"/>
        <v>0</v>
      </c>
      <c r="BM154" s="301">
        <f t="shared" ca="1" si="622"/>
        <v>0</v>
      </c>
      <c r="BN154" s="301">
        <f t="shared" ca="1" si="622"/>
        <v>0</v>
      </c>
      <c r="BO154" s="301">
        <f t="shared" ca="1" si="622"/>
        <v>0</v>
      </c>
      <c r="BP154" s="301">
        <f t="shared" ca="1" si="622"/>
        <v>0</v>
      </c>
      <c r="BQ154" s="301">
        <f t="shared" ca="1" si="622"/>
        <v>0</v>
      </c>
      <c r="BR154" s="301">
        <f t="shared" ca="1" si="622"/>
        <v>0</v>
      </c>
      <c r="BS154" s="301">
        <f t="shared" ca="1" si="622"/>
        <v>0</v>
      </c>
      <c r="BT154" s="301">
        <f t="shared" ca="1" si="622"/>
        <v>0</v>
      </c>
      <c r="BU154" s="301">
        <f t="shared" ref="BU154:CZ154" ca="1" si="623">-BU111</f>
        <v>0</v>
      </c>
      <c r="BV154" s="301">
        <f t="shared" ca="1" si="623"/>
        <v>0</v>
      </c>
      <c r="BW154" s="301">
        <f t="shared" ca="1" si="623"/>
        <v>0</v>
      </c>
      <c r="BX154" s="301">
        <f t="shared" ca="1" si="623"/>
        <v>0</v>
      </c>
      <c r="BY154" s="301">
        <f t="shared" ca="1" si="623"/>
        <v>0</v>
      </c>
      <c r="BZ154" s="301">
        <f t="shared" ca="1" si="623"/>
        <v>0</v>
      </c>
      <c r="CA154" s="301">
        <f t="shared" ca="1" si="623"/>
        <v>0</v>
      </c>
      <c r="CB154" s="301">
        <f t="shared" ca="1" si="623"/>
        <v>0</v>
      </c>
      <c r="CC154" s="301">
        <f t="shared" ca="1" si="623"/>
        <v>0</v>
      </c>
      <c r="CD154" s="301">
        <f t="shared" ca="1" si="623"/>
        <v>0</v>
      </c>
      <c r="CE154" s="301">
        <f t="shared" ca="1" si="623"/>
        <v>0</v>
      </c>
      <c r="CF154" s="301">
        <f t="shared" ca="1" si="623"/>
        <v>0</v>
      </c>
      <c r="CG154" s="301">
        <f t="shared" ca="1" si="623"/>
        <v>0</v>
      </c>
      <c r="CH154" s="301">
        <f t="shared" ca="1" si="623"/>
        <v>0</v>
      </c>
      <c r="CI154" s="301">
        <f t="shared" ca="1" si="623"/>
        <v>0</v>
      </c>
      <c r="CJ154" s="301">
        <f t="shared" ca="1" si="623"/>
        <v>0</v>
      </c>
      <c r="CK154" s="301">
        <f t="shared" ca="1" si="623"/>
        <v>0</v>
      </c>
      <c r="CL154" s="301">
        <f t="shared" ca="1" si="623"/>
        <v>0</v>
      </c>
      <c r="CM154" s="301">
        <f t="shared" ca="1" si="623"/>
        <v>0</v>
      </c>
      <c r="CN154" s="301">
        <f t="shared" ca="1" si="623"/>
        <v>0</v>
      </c>
      <c r="CO154" s="301">
        <f t="shared" ca="1" si="623"/>
        <v>0</v>
      </c>
      <c r="CP154" s="301">
        <f t="shared" ca="1" si="623"/>
        <v>0</v>
      </c>
      <c r="CQ154" s="301">
        <f t="shared" ca="1" si="623"/>
        <v>0</v>
      </c>
      <c r="CR154" s="301">
        <f t="shared" ca="1" si="623"/>
        <v>0</v>
      </c>
      <c r="CS154" s="301">
        <f t="shared" ca="1" si="623"/>
        <v>0</v>
      </c>
      <c r="CT154" s="301">
        <f t="shared" ca="1" si="623"/>
        <v>0</v>
      </c>
      <c r="CU154" s="301">
        <f t="shared" ca="1" si="623"/>
        <v>0</v>
      </c>
      <c r="CV154" s="301">
        <f t="shared" ca="1" si="623"/>
        <v>0</v>
      </c>
      <c r="CW154" s="301">
        <f t="shared" ca="1" si="623"/>
        <v>0</v>
      </c>
      <c r="CX154" s="301">
        <f t="shared" ca="1" si="623"/>
        <v>0</v>
      </c>
      <c r="CY154" s="301">
        <f t="shared" ca="1" si="623"/>
        <v>0</v>
      </c>
      <c r="CZ154" s="301">
        <f t="shared" ca="1" si="623"/>
        <v>0</v>
      </c>
      <c r="DA154" s="301">
        <f t="shared" ref="DA154:EE154" ca="1" si="624">-DA111</f>
        <v>0</v>
      </c>
      <c r="DB154" s="301">
        <f t="shared" ca="1" si="624"/>
        <v>0</v>
      </c>
      <c r="DC154" s="301">
        <f t="shared" ca="1" si="624"/>
        <v>0</v>
      </c>
      <c r="DD154" s="301">
        <f t="shared" ca="1" si="624"/>
        <v>0</v>
      </c>
      <c r="DE154" s="301">
        <f t="shared" ca="1" si="624"/>
        <v>0</v>
      </c>
      <c r="DF154" s="301">
        <f t="shared" ca="1" si="624"/>
        <v>0</v>
      </c>
      <c r="DG154" s="301">
        <f t="shared" ca="1" si="624"/>
        <v>0</v>
      </c>
      <c r="DH154" s="301">
        <f t="shared" ca="1" si="624"/>
        <v>0</v>
      </c>
      <c r="DI154" s="301">
        <f t="shared" ca="1" si="624"/>
        <v>0</v>
      </c>
      <c r="DJ154" s="301">
        <f t="shared" ca="1" si="624"/>
        <v>0</v>
      </c>
      <c r="DK154" s="301">
        <f t="shared" ca="1" si="624"/>
        <v>0</v>
      </c>
      <c r="DL154" s="301">
        <f t="shared" ca="1" si="624"/>
        <v>0</v>
      </c>
      <c r="DM154" s="301">
        <f t="shared" ca="1" si="624"/>
        <v>0</v>
      </c>
      <c r="DN154" s="301">
        <f t="shared" ca="1" si="624"/>
        <v>0</v>
      </c>
      <c r="DO154" s="301">
        <f t="shared" ca="1" si="624"/>
        <v>0</v>
      </c>
      <c r="DP154" s="301">
        <f t="shared" ca="1" si="624"/>
        <v>0</v>
      </c>
      <c r="DQ154" s="301">
        <f t="shared" ca="1" si="624"/>
        <v>0</v>
      </c>
      <c r="DR154" s="301">
        <f t="shared" ca="1" si="624"/>
        <v>0</v>
      </c>
      <c r="DS154" s="301">
        <f t="shared" ca="1" si="624"/>
        <v>0</v>
      </c>
      <c r="DT154" s="301">
        <f t="shared" ca="1" si="624"/>
        <v>0</v>
      </c>
      <c r="DU154" s="301">
        <f t="shared" ca="1" si="624"/>
        <v>0</v>
      </c>
      <c r="DV154" s="301">
        <f t="shared" ca="1" si="624"/>
        <v>0</v>
      </c>
      <c r="DW154" s="301">
        <f t="shared" ca="1" si="624"/>
        <v>0</v>
      </c>
      <c r="DX154" s="301">
        <f t="shared" ca="1" si="624"/>
        <v>0</v>
      </c>
      <c r="DY154" s="301">
        <f t="shared" ca="1" si="624"/>
        <v>0</v>
      </c>
      <c r="DZ154" s="301">
        <f t="shared" ca="1" si="624"/>
        <v>0</v>
      </c>
      <c r="EA154" s="301">
        <f t="shared" ca="1" si="624"/>
        <v>0</v>
      </c>
      <c r="EB154" s="301">
        <f t="shared" ca="1" si="624"/>
        <v>0</v>
      </c>
      <c r="EC154" s="301">
        <f t="shared" ca="1" si="624"/>
        <v>0</v>
      </c>
      <c r="ED154" s="301">
        <f t="shared" ca="1" si="624"/>
        <v>0</v>
      </c>
      <c r="EE154" s="301">
        <f t="shared" ca="1" si="624"/>
        <v>0</v>
      </c>
    </row>
    <row r="155" spans="2:135">
      <c r="C155" s="265" t="s">
        <v>197</v>
      </c>
      <c r="G155" s="301">
        <f ca="1">SUMIF($I$8:$EE$8, "&lt;="&amp;$E$8, $I155:$EE155)</f>
        <v>0</v>
      </c>
      <c r="H155" s="301"/>
      <c r="I155" s="301">
        <f t="shared" ref="I155:BT155" si="625">-I117</f>
        <v>0</v>
      </c>
      <c r="J155" s="301">
        <f t="shared" ca="1" si="625"/>
        <v>0</v>
      </c>
      <c r="K155" s="301">
        <f t="shared" ca="1" si="625"/>
        <v>0</v>
      </c>
      <c r="L155" s="301">
        <f t="shared" ca="1" si="625"/>
        <v>0</v>
      </c>
      <c r="M155" s="301">
        <f t="shared" ca="1" si="625"/>
        <v>0</v>
      </c>
      <c r="N155" s="301">
        <f t="shared" ca="1" si="625"/>
        <v>0</v>
      </c>
      <c r="O155" s="301">
        <f t="shared" ca="1" si="625"/>
        <v>0</v>
      </c>
      <c r="P155" s="301">
        <f t="shared" ca="1" si="625"/>
        <v>0</v>
      </c>
      <c r="Q155" s="301">
        <f t="shared" ca="1" si="625"/>
        <v>0</v>
      </c>
      <c r="R155" s="301">
        <f t="shared" ca="1" si="625"/>
        <v>0</v>
      </c>
      <c r="S155" s="301">
        <f t="shared" ca="1" si="625"/>
        <v>0</v>
      </c>
      <c r="T155" s="301">
        <f t="shared" ca="1" si="625"/>
        <v>0</v>
      </c>
      <c r="U155" s="301">
        <f t="shared" ca="1" si="625"/>
        <v>0</v>
      </c>
      <c r="V155" s="301">
        <f t="shared" ca="1" si="625"/>
        <v>0</v>
      </c>
      <c r="W155" s="301">
        <f t="shared" ca="1" si="625"/>
        <v>0</v>
      </c>
      <c r="X155" s="301">
        <f t="shared" ca="1" si="625"/>
        <v>0</v>
      </c>
      <c r="Y155" s="301">
        <f t="shared" ca="1" si="625"/>
        <v>0</v>
      </c>
      <c r="Z155" s="301">
        <f t="shared" ca="1" si="625"/>
        <v>0</v>
      </c>
      <c r="AA155" s="301">
        <f t="shared" ca="1" si="625"/>
        <v>0</v>
      </c>
      <c r="AB155" s="301">
        <f t="shared" ca="1" si="625"/>
        <v>0</v>
      </c>
      <c r="AC155" s="301">
        <f t="shared" ca="1" si="625"/>
        <v>0</v>
      </c>
      <c r="AD155" s="301">
        <f t="shared" ca="1" si="625"/>
        <v>0</v>
      </c>
      <c r="AE155" s="301">
        <f t="shared" ca="1" si="625"/>
        <v>0</v>
      </c>
      <c r="AF155" s="301">
        <f t="shared" ca="1" si="625"/>
        <v>0</v>
      </c>
      <c r="AG155" s="301">
        <f t="shared" ca="1" si="625"/>
        <v>0</v>
      </c>
      <c r="AH155" s="301">
        <f t="shared" ca="1" si="625"/>
        <v>0</v>
      </c>
      <c r="AI155" s="301">
        <f t="shared" ca="1" si="625"/>
        <v>0</v>
      </c>
      <c r="AJ155" s="301">
        <f t="shared" ca="1" si="625"/>
        <v>0</v>
      </c>
      <c r="AK155" s="301">
        <f t="shared" ca="1" si="625"/>
        <v>0</v>
      </c>
      <c r="AL155" s="301">
        <f t="shared" ca="1" si="625"/>
        <v>0</v>
      </c>
      <c r="AM155" s="301">
        <f t="shared" ca="1" si="625"/>
        <v>0</v>
      </c>
      <c r="AN155" s="301">
        <f t="shared" ca="1" si="625"/>
        <v>0</v>
      </c>
      <c r="AO155" s="301">
        <f t="shared" ca="1" si="625"/>
        <v>0</v>
      </c>
      <c r="AP155" s="301">
        <f t="shared" ca="1" si="625"/>
        <v>0</v>
      </c>
      <c r="AQ155" s="301">
        <f t="shared" ca="1" si="625"/>
        <v>0</v>
      </c>
      <c r="AR155" s="301">
        <f t="shared" ca="1" si="625"/>
        <v>0</v>
      </c>
      <c r="AS155" s="301">
        <f t="shared" ca="1" si="625"/>
        <v>0</v>
      </c>
      <c r="AT155" s="301">
        <f t="shared" ca="1" si="625"/>
        <v>0</v>
      </c>
      <c r="AU155" s="301">
        <f t="shared" ca="1" si="625"/>
        <v>0</v>
      </c>
      <c r="AV155" s="301">
        <f t="shared" ca="1" si="625"/>
        <v>0</v>
      </c>
      <c r="AW155" s="301">
        <f t="shared" ca="1" si="625"/>
        <v>0</v>
      </c>
      <c r="AX155" s="301">
        <f t="shared" ca="1" si="625"/>
        <v>0</v>
      </c>
      <c r="AY155" s="301">
        <f t="shared" ca="1" si="625"/>
        <v>0</v>
      </c>
      <c r="AZ155" s="301">
        <f t="shared" ca="1" si="625"/>
        <v>0</v>
      </c>
      <c r="BA155" s="301">
        <f t="shared" ca="1" si="625"/>
        <v>0</v>
      </c>
      <c r="BB155" s="301">
        <f t="shared" ca="1" si="625"/>
        <v>0</v>
      </c>
      <c r="BC155" s="301">
        <f t="shared" ca="1" si="625"/>
        <v>0</v>
      </c>
      <c r="BD155" s="301">
        <f t="shared" ca="1" si="625"/>
        <v>0</v>
      </c>
      <c r="BE155" s="301">
        <f t="shared" ca="1" si="625"/>
        <v>0</v>
      </c>
      <c r="BF155" s="301">
        <f t="shared" ca="1" si="625"/>
        <v>0</v>
      </c>
      <c r="BG155" s="301">
        <f t="shared" ca="1" si="625"/>
        <v>0</v>
      </c>
      <c r="BH155" s="301">
        <f t="shared" ca="1" si="625"/>
        <v>0</v>
      </c>
      <c r="BI155" s="301">
        <f t="shared" ca="1" si="625"/>
        <v>0</v>
      </c>
      <c r="BJ155" s="301">
        <f t="shared" ca="1" si="625"/>
        <v>0</v>
      </c>
      <c r="BK155" s="301">
        <f t="shared" ca="1" si="625"/>
        <v>0</v>
      </c>
      <c r="BL155" s="301">
        <f t="shared" ca="1" si="625"/>
        <v>0</v>
      </c>
      <c r="BM155" s="301">
        <f t="shared" ca="1" si="625"/>
        <v>0</v>
      </c>
      <c r="BN155" s="301">
        <f t="shared" ca="1" si="625"/>
        <v>0</v>
      </c>
      <c r="BO155" s="301">
        <f t="shared" ca="1" si="625"/>
        <v>0</v>
      </c>
      <c r="BP155" s="301">
        <f t="shared" ca="1" si="625"/>
        <v>0</v>
      </c>
      <c r="BQ155" s="301">
        <f t="shared" ca="1" si="625"/>
        <v>0</v>
      </c>
      <c r="BR155" s="301">
        <f t="shared" ca="1" si="625"/>
        <v>0</v>
      </c>
      <c r="BS155" s="301">
        <f t="shared" ca="1" si="625"/>
        <v>0</v>
      </c>
      <c r="BT155" s="301">
        <f t="shared" ca="1" si="625"/>
        <v>0</v>
      </c>
      <c r="BU155" s="301">
        <f t="shared" ref="BU155:CZ155" ca="1" si="626">-BU117</f>
        <v>0</v>
      </c>
      <c r="BV155" s="301">
        <f t="shared" ca="1" si="626"/>
        <v>0</v>
      </c>
      <c r="BW155" s="301">
        <f t="shared" ca="1" si="626"/>
        <v>0</v>
      </c>
      <c r="BX155" s="301">
        <f t="shared" ca="1" si="626"/>
        <v>0</v>
      </c>
      <c r="BY155" s="301">
        <f t="shared" ca="1" si="626"/>
        <v>0</v>
      </c>
      <c r="BZ155" s="301">
        <f t="shared" ca="1" si="626"/>
        <v>0</v>
      </c>
      <c r="CA155" s="301">
        <f t="shared" ca="1" si="626"/>
        <v>0</v>
      </c>
      <c r="CB155" s="301">
        <f t="shared" ca="1" si="626"/>
        <v>0</v>
      </c>
      <c r="CC155" s="301">
        <f t="shared" ca="1" si="626"/>
        <v>0</v>
      </c>
      <c r="CD155" s="301">
        <f t="shared" ca="1" si="626"/>
        <v>0</v>
      </c>
      <c r="CE155" s="301">
        <f t="shared" ca="1" si="626"/>
        <v>0</v>
      </c>
      <c r="CF155" s="301">
        <f t="shared" ca="1" si="626"/>
        <v>0</v>
      </c>
      <c r="CG155" s="301">
        <f t="shared" ca="1" si="626"/>
        <v>0</v>
      </c>
      <c r="CH155" s="301">
        <f t="shared" ca="1" si="626"/>
        <v>0</v>
      </c>
      <c r="CI155" s="301">
        <f t="shared" ca="1" si="626"/>
        <v>0</v>
      </c>
      <c r="CJ155" s="301">
        <f t="shared" ca="1" si="626"/>
        <v>0</v>
      </c>
      <c r="CK155" s="301">
        <f t="shared" ca="1" si="626"/>
        <v>0</v>
      </c>
      <c r="CL155" s="301">
        <f t="shared" ca="1" si="626"/>
        <v>0</v>
      </c>
      <c r="CM155" s="301">
        <f t="shared" ca="1" si="626"/>
        <v>0</v>
      </c>
      <c r="CN155" s="301">
        <f t="shared" ca="1" si="626"/>
        <v>0</v>
      </c>
      <c r="CO155" s="301">
        <f t="shared" ca="1" si="626"/>
        <v>0</v>
      </c>
      <c r="CP155" s="301">
        <f t="shared" ca="1" si="626"/>
        <v>0</v>
      </c>
      <c r="CQ155" s="301">
        <f t="shared" ca="1" si="626"/>
        <v>0</v>
      </c>
      <c r="CR155" s="301">
        <f t="shared" ca="1" si="626"/>
        <v>0</v>
      </c>
      <c r="CS155" s="301">
        <f t="shared" ca="1" si="626"/>
        <v>0</v>
      </c>
      <c r="CT155" s="301">
        <f t="shared" ca="1" si="626"/>
        <v>0</v>
      </c>
      <c r="CU155" s="301">
        <f t="shared" ca="1" si="626"/>
        <v>0</v>
      </c>
      <c r="CV155" s="301">
        <f t="shared" ca="1" si="626"/>
        <v>0</v>
      </c>
      <c r="CW155" s="301">
        <f t="shared" ca="1" si="626"/>
        <v>0</v>
      </c>
      <c r="CX155" s="301">
        <f t="shared" ca="1" si="626"/>
        <v>0</v>
      </c>
      <c r="CY155" s="301">
        <f t="shared" ca="1" si="626"/>
        <v>0</v>
      </c>
      <c r="CZ155" s="301">
        <f t="shared" ca="1" si="626"/>
        <v>0</v>
      </c>
      <c r="DA155" s="301">
        <f t="shared" ref="DA155:EE155" ca="1" si="627">-DA117</f>
        <v>0</v>
      </c>
      <c r="DB155" s="301">
        <f t="shared" ca="1" si="627"/>
        <v>0</v>
      </c>
      <c r="DC155" s="301">
        <f t="shared" ca="1" si="627"/>
        <v>0</v>
      </c>
      <c r="DD155" s="301">
        <f t="shared" ca="1" si="627"/>
        <v>0</v>
      </c>
      <c r="DE155" s="301">
        <f t="shared" ca="1" si="627"/>
        <v>0</v>
      </c>
      <c r="DF155" s="301">
        <f t="shared" ca="1" si="627"/>
        <v>0</v>
      </c>
      <c r="DG155" s="301">
        <f t="shared" ca="1" si="627"/>
        <v>0</v>
      </c>
      <c r="DH155" s="301">
        <f t="shared" ca="1" si="627"/>
        <v>0</v>
      </c>
      <c r="DI155" s="301">
        <f t="shared" ca="1" si="627"/>
        <v>0</v>
      </c>
      <c r="DJ155" s="301">
        <f t="shared" ca="1" si="627"/>
        <v>0</v>
      </c>
      <c r="DK155" s="301">
        <f t="shared" ca="1" si="627"/>
        <v>0</v>
      </c>
      <c r="DL155" s="301">
        <f t="shared" ca="1" si="627"/>
        <v>0</v>
      </c>
      <c r="DM155" s="301">
        <f t="shared" ca="1" si="627"/>
        <v>0</v>
      </c>
      <c r="DN155" s="301">
        <f t="shared" ca="1" si="627"/>
        <v>0</v>
      </c>
      <c r="DO155" s="301">
        <f t="shared" ca="1" si="627"/>
        <v>0</v>
      </c>
      <c r="DP155" s="301">
        <f t="shared" ca="1" si="627"/>
        <v>0</v>
      </c>
      <c r="DQ155" s="301">
        <f t="shared" ca="1" si="627"/>
        <v>0</v>
      </c>
      <c r="DR155" s="301">
        <f t="shared" ca="1" si="627"/>
        <v>0</v>
      </c>
      <c r="DS155" s="301">
        <f t="shared" ca="1" si="627"/>
        <v>0</v>
      </c>
      <c r="DT155" s="301">
        <f t="shared" ca="1" si="627"/>
        <v>0</v>
      </c>
      <c r="DU155" s="301">
        <f t="shared" ca="1" si="627"/>
        <v>0</v>
      </c>
      <c r="DV155" s="301">
        <f t="shared" ca="1" si="627"/>
        <v>0</v>
      </c>
      <c r="DW155" s="301">
        <f t="shared" ca="1" si="627"/>
        <v>0</v>
      </c>
      <c r="DX155" s="301">
        <f t="shared" ca="1" si="627"/>
        <v>0</v>
      </c>
      <c r="DY155" s="301">
        <f t="shared" ca="1" si="627"/>
        <v>0</v>
      </c>
      <c r="DZ155" s="301">
        <f t="shared" ca="1" si="627"/>
        <v>0</v>
      </c>
      <c r="EA155" s="301">
        <f t="shared" ca="1" si="627"/>
        <v>0</v>
      </c>
      <c r="EB155" s="301">
        <f t="shared" ca="1" si="627"/>
        <v>0</v>
      </c>
      <c r="EC155" s="301">
        <f t="shared" ca="1" si="627"/>
        <v>0</v>
      </c>
      <c r="ED155" s="301">
        <f t="shared" ca="1" si="627"/>
        <v>0</v>
      </c>
      <c r="EE155" s="301">
        <f t="shared" ca="1" si="627"/>
        <v>0</v>
      </c>
    </row>
    <row r="156" spans="2:135">
      <c r="C156" s="314" t="s">
        <v>198</v>
      </c>
      <c r="D156" s="314"/>
      <c r="E156" s="314"/>
      <c r="F156" s="314"/>
      <c r="G156" s="315">
        <f ca="1">SUMIF($I$8:$EE$8, "&lt;="&amp;$E$8, $I156:$EE156)</f>
        <v>0</v>
      </c>
      <c r="H156" s="315"/>
      <c r="I156" s="315">
        <f t="shared" ref="I156:AN156" si="628">SUM(I152:I155)</f>
        <v>0</v>
      </c>
      <c r="J156" s="315">
        <f t="shared" ca="1" si="628"/>
        <v>0</v>
      </c>
      <c r="K156" s="315">
        <f t="shared" ca="1" si="628"/>
        <v>0</v>
      </c>
      <c r="L156" s="315">
        <f t="shared" ca="1" si="628"/>
        <v>0</v>
      </c>
      <c r="M156" s="315">
        <f t="shared" ca="1" si="628"/>
        <v>0</v>
      </c>
      <c r="N156" s="315">
        <f t="shared" ca="1" si="628"/>
        <v>0</v>
      </c>
      <c r="O156" s="315">
        <f t="shared" ca="1" si="628"/>
        <v>0</v>
      </c>
      <c r="P156" s="315">
        <f t="shared" ca="1" si="628"/>
        <v>0</v>
      </c>
      <c r="Q156" s="315">
        <f t="shared" ca="1" si="628"/>
        <v>0</v>
      </c>
      <c r="R156" s="315">
        <f t="shared" ca="1" si="628"/>
        <v>0</v>
      </c>
      <c r="S156" s="315">
        <f t="shared" ca="1" si="628"/>
        <v>0</v>
      </c>
      <c r="T156" s="315">
        <f t="shared" ca="1" si="628"/>
        <v>0</v>
      </c>
      <c r="U156" s="315">
        <f t="shared" ca="1" si="628"/>
        <v>0</v>
      </c>
      <c r="V156" s="315">
        <f t="shared" ca="1" si="628"/>
        <v>0</v>
      </c>
      <c r="W156" s="315">
        <f t="shared" ca="1" si="628"/>
        <v>0</v>
      </c>
      <c r="X156" s="315">
        <f t="shared" ca="1" si="628"/>
        <v>0</v>
      </c>
      <c r="Y156" s="315">
        <f t="shared" ca="1" si="628"/>
        <v>0</v>
      </c>
      <c r="Z156" s="315">
        <f t="shared" ca="1" si="628"/>
        <v>0</v>
      </c>
      <c r="AA156" s="315">
        <f t="shared" ca="1" si="628"/>
        <v>0</v>
      </c>
      <c r="AB156" s="315">
        <f t="shared" ca="1" si="628"/>
        <v>0</v>
      </c>
      <c r="AC156" s="315">
        <f t="shared" ca="1" si="628"/>
        <v>0</v>
      </c>
      <c r="AD156" s="315">
        <f t="shared" ca="1" si="628"/>
        <v>0</v>
      </c>
      <c r="AE156" s="315">
        <f t="shared" ca="1" si="628"/>
        <v>0</v>
      </c>
      <c r="AF156" s="315">
        <f t="shared" ca="1" si="628"/>
        <v>0</v>
      </c>
      <c r="AG156" s="315">
        <f t="shared" ca="1" si="628"/>
        <v>0</v>
      </c>
      <c r="AH156" s="315">
        <f t="shared" ca="1" si="628"/>
        <v>0</v>
      </c>
      <c r="AI156" s="315">
        <f t="shared" ca="1" si="628"/>
        <v>0</v>
      </c>
      <c r="AJ156" s="315">
        <f t="shared" ca="1" si="628"/>
        <v>0</v>
      </c>
      <c r="AK156" s="315">
        <f t="shared" ca="1" si="628"/>
        <v>0</v>
      </c>
      <c r="AL156" s="315">
        <f t="shared" ca="1" si="628"/>
        <v>0</v>
      </c>
      <c r="AM156" s="315">
        <f t="shared" ca="1" si="628"/>
        <v>0</v>
      </c>
      <c r="AN156" s="315">
        <f t="shared" ca="1" si="628"/>
        <v>0</v>
      </c>
      <c r="AO156" s="315">
        <f t="shared" ref="AO156:CZ156" ca="1" si="629">SUM(AO152:AO155)</f>
        <v>0</v>
      </c>
      <c r="AP156" s="315">
        <f t="shared" ca="1" si="629"/>
        <v>0</v>
      </c>
      <c r="AQ156" s="315">
        <f t="shared" ca="1" si="629"/>
        <v>0</v>
      </c>
      <c r="AR156" s="315">
        <f t="shared" ca="1" si="629"/>
        <v>0</v>
      </c>
      <c r="AS156" s="315">
        <f t="shared" ca="1" si="629"/>
        <v>0</v>
      </c>
      <c r="AT156" s="315">
        <f t="shared" ca="1" si="629"/>
        <v>0</v>
      </c>
      <c r="AU156" s="315">
        <f t="shared" ca="1" si="629"/>
        <v>0</v>
      </c>
      <c r="AV156" s="315">
        <f t="shared" ca="1" si="629"/>
        <v>0</v>
      </c>
      <c r="AW156" s="315">
        <f t="shared" ca="1" si="629"/>
        <v>0</v>
      </c>
      <c r="AX156" s="315">
        <f t="shared" ca="1" si="629"/>
        <v>0</v>
      </c>
      <c r="AY156" s="315">
        <f t="shared" ca="1" si="629"/>
        <v>0</v>
      </c>
      <c r="AZ156" s="315">
        <f t="shared" ca="1" si="629"/>
        <v>0</v>
      </c>
      <c r="BA156" s="315">
        <f t="shared" ca="1" si="629"/>
        <v>0</v>
      </c>
      <c r="BB156" s="315">
        <f t="shared" ca="1" si="629"/>
        <v>0</v>
      </c>
      <c r="BC156" s="315">
        <f t="shared" ca="1" si="629"/>
        <v>0</v>
      </c>
      <c r="BD156" s="315">
        <f t="shared" ca="1" si="629"/>
        <v>0</v>
      </c>
      <c r="BE156" s="315">
        <f t="shared" ca="1" si="629"/>
        <v>0</v>
      </c>
      <c r="BF156" s="315">
        <f t="shared" ca="1" si="629"/>
        <v>0</v>
      </c>
      <c r="BG156" s="315">
        <f t="shared" ca="1" si="629"/>
        <v>0</v>
      </c>
      <c r="BH156" s="315">
        <f t="shared" ca="1" si="629"/>
        <v>0</v>
      </c>
      <c r="BI156" s="315">
        <f t="shared" ca="1" si="629"/>
        <v>0</v>
      </c>
      <c r="BJ156" s="315">
        <f t="shared" ca="1" si="629"/>
        <v>0</v>
      </c>
      <c r="BK156" s="315">
        <f t="shared" ca="1" si="629"/>
        <v>0</v>
      </c>
      <c r="BL156" s="315">
        <f t="shared" ca="1" si="629"/>
        <v>0</v>
      </c>
      <c r="BM156" s="315">
        <f t="shared" ca="1" si="629"/>
        <v>0</v>
      </c>
      <c r="BN156" s="315">
        <f t="shared" ca="1" si="629"/>
        <v>0</v>
      </c>
      <c r="BO156" s="315">
        <f t="shared" ca="1" si="629"/>
        <v>0</v>
      </c>
      <c r="BP156" s="315">
        <f t="shared" ca="1" si="629"/>
        <v>0</v>
      </c>
      <c r="BQ156" s="315">
        <f t="shared" ca="1" si="629"/>
        <v>0</v>
      </c>
      <c r="BR156" s="315">
        <f t="shared" ca="1" si="629"/>
        <v>0</v>
      </c>
      <c r="BS156" s="315">
        <f t="shared" ca="1" si="629"/>
        <v>0</v>
      </c>
      <c r="BT156" s="315">
        <f t="shared" ca="1" si="629"/>
        <v>0</v>
      </c>
      <c r="BU156" s="315">
        <f t="shared" ca="1" si="629"/>
        <v>0</v>
      </c>
      <c r="BV156" s="315">
        <f t="shared" ca="1" si="629"/>
        <v>0</v>
      </c>
      <c r="BW156" s="315">
        <f t="shared" ca="1" si="629"/>
        <v>0</v>
      </c>
      <c r="BX156" s="315">
        <f t="shared" ca="1" si="629"/>
        <v>0</v>
      </c>
      <c r="BY156" s="315">
        <f t="shared" ca="1" si="629"/>
        <v>0</v>
      </c>
      <c r="BZ156" s="315">
        <f t="shared" ca="1" si="629"/>
        <v>0</v>
      </c>
      <c r="CA156" s="315">
        <f t="shared" ca="1" si="629"/>
        <v>0</v>
      </c>
      <c r="CB156" s="315">
        <f t="shared" ca="1" si="629"/>
        <v>0</v>
      </c>
      <c r="CC156" s="315">
        <f t="shared" ca="1" si="629"/>
        <v>0</v>
      </c>
      <c r="CD156" s="315">
        <f t="shared" ca="1" si="629"/>
        <v>0</v>
      </c>
      <c r="CE156" s="315">
        <f t="shared" ca="1" si="629"/>
        <v>0</v>
      </c>
      <c r="CF156" s="315">
        <f t="shared" ca="1" si="629"/>
        <v>0</v>
      </c>
      <c r="CG156" s="315">
        <f t="shared" ca="1" si="629"/>
        <v>0</v>
      </c>
      <c r="CH156" s="315">
        <f t="shared" ca="1" si="629"/>
        <v>0</v>
      </c>
      <c r="CI156" s="315">
        <f t="shared" ca="1" si="629"/>
        <v>0</v>
      </c>
      <c r="CJ156" s="315">
        <f t="shared" ca="1" si="629"/>
        <v>0</v>
      </c>
      <c r="CK156" s="315">
        <f t="shared" ca="1" si="629"/>
        <v>0</v>
      </c>
      <c r="CL156" s="315">
        <f t="shared" ca="1" si="629"/>
        <v>0</v>
      </c>
      <c r="CM156" s="315">
        <f t="shared" ca="1" si="629"/>
        <v>0</v>
      </c>
      <c r="CN156" s="315">
        <f t="shared" ca="1" si="629"/>
        <v>0</v>
      </c>
      <c r="CO156" s="315">
        <f t="shared" ca="1" si="629"/>
        <v>0</v>
      </c>
      <c r="CP156" s="315">
        <f t="shared" ca="1" si="629"/>
        <v>0</v>
      </c>
      <c r="CQ156" s="315">
        <f t="shared" ca="1" si="629"/>
        <v>0</v>
      </c>
      <c r="CR156" s="315">
        <f t="shared" ca="1" si="629"/>
        <v>0</v>
      </c>
      <c r="CS156" s="315">
        <f t="shared" ca="1" si="629"/>
        <v>0</v>
      </c>
      <c r="CT156" s="315">
        <f t="shared" ca="1" si="629"/>
        <v>0</v>
      </c>
      <c r="CU156" s="315">
        <f t="shared" ca="1" si="629"/>
        <v>0</v>
      </c>
      <c r="CV156" s="315">
        <f t="shared" ca="1" si="629"/>
        <v>0</v>
      </c>
      <c r="CW156" s="315">
        <f t="shared" ca="1" si="629"/>
        <v>0</v>
      </c>
      <c r="CX156" s="315">
        <f t="shared" ca="1" si="629"/>
        <v>0</v>
      </c>
      <c r="CY156" s="315">
        <f t="shared" ca="1" si="629"/>
        <v>0</v>
      </c>
      <c r="CZ156" s="315">
        <f t="shared" ca="1" si="629"/>
        <v>0</v>
      </c>
      <c r="DA156" s="315">
        <f t="shared" ref="DA156:EE156" ca="1" si="630">SUM(DA152:DA155)</f>
        <v>0</v>
      </c>
      <c r="DB156" s="315">
        <f t="shared" ca="1" si="630"/>
        <v>0</v>
      </c>
      <c r="DC156" s="315">
        <f t="shared" ca="1" si="630"/>
        <v>0</v>
      </c>
      <c r="DD156" s="315">
        <f t="shared" ca="1" si="630"/>
        <v>0</v>
      </c>
      <c r="DE156" s="315">
        <f t="shared" ca="1" si="630"/>
        <v>0</v>
      </c>
      <c r="DF156" s="315">
        <f t="shared" ca="1" si="630"/>
        <v>0</v>
      </c>
      <c r="DG156" s="315">
        <f t="shared" ca="1" si="630"/>
        <v>0</v>
      </c>
      <c r="DH156" s="315">
        <f t="shared" ca="1" si="630"/>
        <v>0</v>
      </c>
      <c r="DI156" s="315">
        <f t="shared" ca="1" si="630"/>
        <v>0</v>
      </c>
      <c r="DJ156" s="315">
        <f t="shared" ca="1" si="630"/>
        <v>0</v>
      </c>
      <c r="DK156" s="315">
        <f t="shared" ca="1" si="630"/>
        <v>0</v>
      </c>
      <c r="DL156" s="315">
        <f t="shared" ca="1" si="630"/>
        <v>0</v>
      </c>
      <c r="DM156" s="315">
        <f t="shared" ca="1" si="630"/>
        <v>0</v>
      </c>
      <c r="DN156" s="315">
        <f t="shared" ca="1" si="630"/>
        <v>0</v>
      </c>
      <c r="DO156" s="315">
        <f t="shared" ca="1" si="630"/>
        <v>0</v>
      </c>
      <c r="DP156" s="315">
        <f t="shared" ca="1" si="630"/>
        <v>0</v>
      </c>
      <c r="DQ156" s="315">
        <f t="shared" ca="1" si="630"/>
        <v>0</v>
      </c>
      <c r="DR156" s="315">
        <f t="shared" ca="1" si="630"/>
        <v>0</v>
      </c>
      <c r="DS156" s="315">
        <f t="shared" ca="1" si="630"/>
        <v>0</v>
      </c>
      <c r="DT156" s="315">
        <f t="shared" ca="1" si="630"/>
        <v>0</v>
      </c>
      <c r="DU156" s="315">
        <f t="shared" ca="1" si="630"/>
        <v>0</v>
      </c>
      <c r="DV156" s="315">
        <f t="shared" ca="1" si="630"/>
        <v>0</v>
      </c>
      <c r="DW156" s="315">
        <f t="shared" ca="1" si="630"/>
        <v>0</v>
      </c>
      <c r="DX156" s="315">
        <f t="shared" ca="1" si="630"/>
        <v>0</v>
      </c>
      <c r="DY156" s="315">
        <f t="shared" ca="1" si="630"/>
        <v>0</v>
      </c>
      <c r="DZ156" s="315">
        <f t="shared" ca="1" si="630"/>
        <v>0</v>
      </c>
      <c r="EA156" s="315">
        <f t="shared" ca="1" si="630"/>
        <v>0</v>
      </c>
      <c r="EB156" s="315">
        <f t="shared" ca="1" si="630"/>
        <v>0</v>
      </c>
      <c r="EC156" s="315">
        <f t="shared" ca="1" si="630"/>
        <v>0</v>
      </c>
      <c r="ED156" s="315">
        <f t="shared" ca="1" si="630"/>
        <v>0</v>
      </c>
      <c r="EE156" s="315">
        <f t="shared" ca="1" si="630"/>
        <v>0</v>
      </c>
    </row>
    <row r="157" spans="2:135">
      <c r="G157" s="301">
        <f ca="1">+G156+G146</f>
        <v>238.56791647912269</v>
      </c>
      <c r="H157" s="301"/>
      <c r="I157" s="301">
        <f t="shared" ref="I157:BT157" si="631">+I156+I146</f>
        <v>-274.16000000000025</v>
      </c>
      <c r="J157" s="301">
        <f t="shared" ca="1" si="631"/>
        <v>0</v>
      </c>
      <c r="K157" s="301">
        <f t="shared" ca="1" si="631"/>
        <v>0</v>
      </c>
      <c r="L157" s="301">
        <f t="shared" ca="1" si="631"/>
        <v>0</v>
      </c>
      <c r="M157" s="301">
        <f t="shared" ca="1" si="631"/>
        <v>0</v>
      </c>
      <c r="N157" s="301">
        <f t="shared" ca="1" si="631"/>
        <v>-3.0165000000000024</v>
      </c>
      <c r="O157" s="301">
        <f t="shared" ca="1" si="631"/>
        <v>0</v>
      </c>
      <c r="P157" s="301">
        <f t="shared" ca="1" si="631"/>
        <v>0</v>
      </c>
      <c r="Q157" s="301">
        <f t="shared" ca="1" si="631"/>
        <v>0</v>
      </c>
      <c r="R157" s="301">
        <f t="shared" ca="1" si="631"/>
        <v>0</v>
      </c>
      <c r="S157" s="301">
        <f t="shared" ca="1" si="631"/>
        <v>0</v>
      </c>
      <c r="T157" s="301">
        <f t="shared" ca="1" si="631"/>
        <v>0</v>
      </c>
      <c r="U157" s="301">
        <f t="shared" ca="1" si="631"/>
        <v>0</v>
      </c>
      <c r="V157" s="301">
        <f t="shared" ca="1" si="631"/>
        <v>-1.5835000000000012</v>
      </c>
      <c r="W157" s="301">
        <f t="shared" ca="1" si="631"/>
        <v>0</v>
      </c>
      <c r="X157" s="301">
        <f t="shared" ca="1" si="631"/>
        <v>0</v>
      </c>
      <c r="Y157" s="301">
        <f t="shared" ca="1" si="631"/>
        <v>0</v>
      </c>
      <c r="Z157" s="301">
        <f t="shared" ca="1" si="631"/>
        <v>0</v>
      </c>
      <c r="AA157" s="301">
        <f t="shared" ca="1" si="631"/>
        <v>0</v>
      </c>
      <c r="AB157" s="301">
        <f t="shared" ca="1" si="631"/>
        <v>0</v>
      </c>
      <c r="AC157" s="301">
        <f t="shared" ca="1" si="631"/>
        <v>0</v>
      </c>
      <c r="AD157" s="301">
        <f t="shared" ca="1" si="631"/>
        <v>0</v>
      </c>
      <c r="AE157" s="301">
        <f t="shared" ca="1" si="631"/>
        <v>-6.2000000000000055</v>
      </c>
      <c r="AF157" s="301">
        <f t="shared" ca="1" si="631"/>
        <v>0</v>
      </c>
      <c r="AG157" s="301">
        <f t="shared" ca="1" si="631"/>
        <v>0</v>
      </c>
      <c r="AH157" s="301">
        <f t="shared" ca="1" si="631"/>
        <v>0</v>
      </c>
      <c r="AI157" s="301">
        <f t="shared" ca="1" si="631"/>
        <v>0</v>
      </c>
      <c r="AJ157" s="301">
        <f t="shared" ca="1" si="631"/>
        <v>0</v>
      </c>
      <c r="AK157" s="301">
        <f t="shared" ca="1" si="631"/>
        <v>0</v>
      </c>
      <c r="AL157" s="301">
        <f t="shared" ca="1" si="631"/>
        <v>0</v>
      </c>
      <c r="AM157" s="301">
        <f t="shared" ca="1" si="631"/>
        <v>0</v>
      </c>
      <c r="AN157" s="301">
        <f t="shared" ca="1" si="631"/>
        <v>0</v>
      </c>
      <c r="AO157" s="301">
        <f t="shared" ca="1" si="631"/>
        <v>0</v>
      </c>
      <c r="AP157" s="301">
        <f t="shared" ca="1" si="631"/>
        <v>0</v>
      </c>
      <c r="AQ157" s="301">
        <f t="shared" ca="1" si="631"/>
        <v>0</v>
      </c>
      <c r="AR157" s="301">
        <f t="shared" ca="1" si="631"/>
        <v>0</v>
      </c>
      <c r="AS157" s="301">
        <f t="shared" ca="1" si="631"/>
        <v>0</v>
      </c>
      <c r="AT157" s="301">
        <f t="shared" ca="1" si="631"/>
        <v>0</v>
      </c>
      <c r="AU157" s="301">
        <f t="shared" ca="1" si="631"/>
        <v>0</v>
      </c>
      <c r="AV157" s="301">
        <f t="shared" ca="1" si="631"/>
        <v>0</v>
      </c>
      <c r="AW157" s="301">
        <f t="shared" ca="1" si="631"/>
        <v>0</v>
      </c>
      <c r="AX157" s="301">
        <f t="shared" ca="1" si="631"/>
        <v>0</v>
      </c>
      <c r="AY157" s="301">
        <f t="shared" ca="1" si="631"/>
        <v>-2.8216000000000028</v>
      </c>
      <c r="AZ157" s="301">
        <f t="shared" ca="1" si="631"/>
        <v>0</v>
      </c>
      <c r="BA157" s="301">
        <f t="shared" ca="1" si="631"/>
        <v>-4.964000000000004</v>
      </c>
      <c r="BB157" s="301">
        <f t="shared" ca="1" si="631"/>
        <v>-6.4000000000000057</v>
      </c>
      <c r="BC157" s="301">
        <f t="shared" ca="1" si="631"/>
        <v>0</v>
      </c>
      <c r="BD157" s="301">
        <f t="shared" ca="1" si="631"/>
        <v>0</v>
      </c>
      <c r="BE157" s="301">
        <f t="shared" ca="1" si="631"/>
        <v>-12.340000000000011</v>
      </c>
      <c r="BF157" s="301">
        <f t="shared" ca="1" si="631"/>
        <v>0</v>
      </c>
      <c r="BG157" s="301">
        <f t="shared" ca="1" si="631"/>
        <v>0</v>
      </c>
      <c r="BH157" s="301">
        <f t="shared" ca="1" si="631"/>
        <v>0</v>
      </c>
      <c r="BI157" s="301">
        <f t="shared" ca="1" si="631"/>
        <v>0</v>
      </c>
      <c r="BJ157" s="301">
        <f t="shared" ca="1" si="631"/>
        <v>0</v>
      </c>
      <c r="BK157" s="301">
        <f t="shared" ca="1" si="631"/>
        <v>0</v>
      </c>
      <c r="BL157" s="301">
        <f t="shared" ca="1" si="631"/>
        <v>-4.389040000000004</v>
      </c>
      <c r="BM157" s="301">
        <f t="shared" ca="1" si="631"/>
        <v>0</v>
      </c>
      <c r="BN157" s="301">
        <f t="shared" ca="1" si="631"/>
        <v>0</v>
      </c>
      <c r="BO157" s="301">
        <f t="shared" ca="1" si="631"/>
        <v>0</v>
      </c>
      <c r="BP157" s="301">
        <f t="shared" ca="1" si="631"/>
        <v>-1.7700000000000016</v>
      </c>
      <c r="BQ157" s="301">
        <f t="shared" ca="1" si="631"/>
        <v>0</v>
      </c>
      <c r="BR157" s="301">
        <f t="shared" ca="1" si="631"/>
        <v>0</v>
      </c>
      <c r="BS157" s="301">
        <f t="shared" ca="1" si="631"/>
        <v>0</v>
      </c>
      <c r="BT157" s="301">
        <f t="shared" ca="1" si="631"/>
        <v>0</v>
      </c>
      <c r="BU157" s="301">
        <f t="shared" ref="BU157:CZ157" ca="1" si="632">+BU156+BU146</f>
        <v>0</v>
      </c>
      <c r="BV157" s="301">
        <f t="shared" ca="1" si="632"/>
        <v>0</v>
      </c>
      <c r="BW157" s="301">
        <f t="shared" ca="1" si="632"/>
        <v>0</v>
      </c>
      <c r="BX157" s="301">
        <f t="shared" ca="1" si="632"/>
        <v>0</v>
      </c>
      <c r="BY157" s="301">
        <f t="shared" ca="1" si="632"/>
        <v>0</v>
      </c>
      <c r="BZ157" s="301">
        <f t="shared" ca="1" si="632"/>
        <v>0</v>
      </c>
      <c r="CA157" s="301">
        <f t="shared" ca="1" si="632"/>
        <v>0</v>
      </c>
      <c r="CB157" s="301">
        <f t="shared" ca="1" si="632"/>
        <v>0</v>
      </c>
      <c r="CC157" s="301">
        <f t="shared" ca="1" si="632"/>
        <v>0</v>
      </c>
      <c r="CD157" s="301">
        <f t="shared" ca="1" si="632"/>
        <v>0</v>
      </c>
      <c r="CE157" s="301">
        <f t="shared" ca="1" si="632"/>
        <v>0</v>
      </c>
      <c r="CF157" s="301">
        <f t="shared" ca="1" si="632"/>
        <v>0</v>
      </c>
      <c r="CG157" s="301">
        <f t="shared" ca="1" si="632"/>
        <v>0</v>
      </c>
      <c r="CH157" s="301">
        <f t="shared" ca="1" si="632"/>
        <v>0</v>
      </c>
      <c r="CI157" s="301">
        <f t="shared" ca="1" si="632"/>
        <v>0</v>
      </c>
      <c r="CJ157" s="301">
        <f t="shared" ca="1" si="632"/>
        <v>0</v>
      </c>
      <c r="CK157" s="301">
        <f t="shared" ca="1" si="632"/>
        <v>0</v>
      </c>
      <c r="CL157" s="301">
        <f t="shared" ca="1" si="632"/>
        <v>0</v>
      </c>
      <c r="CM157" s="301">
        <f t="shared" ca="1" si="632"/>
        <v>0</v>
      </c>
      <c r="CN157" s="301">
        <f t="shared" ca="1" si="632"/>
        <v>0</v>
      </c>
      <c r="CO157" s="301">
        <f t="shared" ca="1" si="632"/>
        <v>0</v>
      </c>
      <c r="CP157" s="301">
        <f t="shared" ca="1" si="632"/>
        <v>0</v>
      </c>
      <c r="CQ157" s="301">
        <f t="shared" ca="1" si="632"/>
        <v>0</v>
      </c>
      <c r="CR157" s="301">
        <f t="shared" ca="1" si="632"/>
        <v>0</v>
      </c>
      <c r="CS157" s="301">
        <f t="shared" ca="1" si="632"/>
        <v>0</v>
      </c>
      <c r="CT157" s="301">
        <f t="shared" ca="1" si="632"/>
        <v>0</v>
      </c>
      <c r="CU157" s="301">
        <f t="shared" ca="1" si="632"/>
        <v>0</v>
      </c>
      <c r="CV157" s="301">
        <f t="shared" ca="1" si="632"/>
        <v>0</v>
      </c>
      <c r="CW157" s="301">
        <f t="shared" ca="1" si="632"/>
        <v>0</v>
      </c>
      <c r="CX157" s="301">
        <f t="shared" ca="1" si="632"/>
        <v>0</v>
      </c>
      <c r="CY157" s="301">
        <f t="shared" ca="1" si="632"/>
        <v>0</v>
      </c>
      <c r="CZ157" s="301">
        <f t="shared" ca="1" si="632"/>
        <v>0</v>
      </c>
      <c r="DA157" s="301">
        <f t="shared" ref="DA157:EE157" ca="1" si="633">+DA156+DA146</f>
        <v>0</v>
      </c>
      <c r="DB157" s="301">
        <f t="shared" ca="1" si="633"/>
        <v>0</v>
      </c>
      <c r="DC157" s="301">
        <f t="shared" ca="1" si="633"/>
        <v>0</v>
      </c>
      <c r="DD157" s="301">
        <f t="shared" ca="1" si="633"/>
        <v>0</v>
      </c>
      <c r="DE157" s="301">
        <f t="shared" ca="1" si="633"/>
        <v>0</v>
      </c>
      <c r="DF157" s="301">
        <f t="shared" ca="1" si="633"/>
        <v>0</v>
      </c>
      <c r="DG157" s="301">
        <f t="shared" ca="1" si="633"/>
        <v>556.21255647912301</v>
      </c>
      <c r="DH157" s="301">
        <f t="shared" ca="1" si="633"/>
        <v>0</v>
      </c>
      <c r="DI157" s="301">
        <f t="shared" ca="1" si="633"/>
        <v>0</v>
      </c>
      <c r="DJ157" s="301">
        <f t="shared" ca="1" si="633"/>
        <v>0</v>
      </c>
      <c r="DK157" s="301">
        <f t="shared" ca="1" si="633"/>
        <v>0</v>
      </c>
      <c r="DL157" s="301">
        <f t="shared" ca="1" si="633"/>
        <v>0</v>
      </c>
      <c r="DM157" s="301">
        <f t="shared" ca="1" si="633"/>
        <v>0</v>
      </c>
      <c r="DN157" s="301">
        <f t="shared" ca="1" si="633"/>
        <v>0</v>
      </c>
      <c r="DO157" s="301">
        <f t="shared" ca="1" si="633"/>
        <v>0</v>
      </c>
      <c r="DP157" s="301">
        <f t="shared" ca="1" si="633"/>
        <v>0</v>
      </c>
      <c r="DQ157" s="301">
        <f t="shared" ca="1" si="633"/>
        <v>0</v>
      </c>
      <c r="DR157" s="301">
        <f t="shared" ca="1" si="633"/>
        <v>0</v>
      </c>
      <c r="DS157" s="301">
        <f t="shared" ca="1" si="633"/>
        <v>0</v>
      </c>
      <c r="DT157" s="301">
        <f t="shared" ca="1" si="633"/>
        <v>0</v>
      </c>
      <c r="DU157" s="301">
        <f t="shared" ca="1" si="633"/>
        <v>0</v>
      </c>
      <c r="DV157" s="301">
        <f t="shared" ca="1" si="633"/>
        <v>0</v>
      </c>
      <c r="DW157" s="301">
        <f t="shared" ca="1" si="633"/>
        <v>0</v>
      </c>
      <c r="DX157" s="301">
        <f t="shared" ca="1" si="633"/>
        <v>0</v>
      </c>
      <c r="DY157" s="301">
        <f t="shared" ca="1" si="633"/>
        <v>0</v>
      </c>
      <c r="DZ157" s="301">
        <f t="shared" ca="1" si="633"/>
        <v>0</v>
      </c>
      <c r="EA157" s="301">
        <f t="shared" ca="1" si="633"/>
        <v>0</v>
      </c>
      <c r="EB157" s="301">
        <f t="shared" ca="1" si="633"/>
        <v>0</v>
      </c>
      <c r="EC157" s="301">
        <f t="shared" ca="1" si="633"/>
        <v>0</v>
      </c>
      <c r="ED157" s="301">
        <f t="shared" ca="1" si="633"/>
        <v>0</v>
      </c>
      <c r="EE157" s="301">
        <f t="shared" ca="1" si="633"/>
        <v>0</v>
      </c>
    </row>
    <row r="158" spans="2:135">
      <c r="G158" s="329">
        <f ca="1">XIRR(I157:EE157,I8:EE8)</f>
        <v>7.1606448292732258E-2</v>
      </c>
      <c r="H158" s="329"/>
      <c r="I158" s="301"/>
      <c r="J158" s="301"/>
      <c r="K158" s="301"/>
      <c r="L158" s="301"/>
      <c r="M158" s="301"/>
      <c r="N158" s="301"/>
      <c r="O158" s="301"/>
      <c r="P158" s="301"/>
      <c r="Q158" s="301"/>
      <c r="R158" s="301"/>
      <c r="S158" s="301"/>
      <c r="T158" s="301"/>
      <c r="U158" s="301"/>
      <c r="V158" s="301"/>
      <c r="W158" s="301"/>
      <c r="X158" s="301"/>
      <c r="Y158" s="301"/>
      <c r="Z158" s="301"/>
      <c r="AA158" s="301"/>
      <c r="AB158" s="301"/>
      <c r="AC158" s="301"/>
      <c r="AD158" s="301"/>
      <c r="AE158" s="301"/>
      <c r="AF158" s="301"/>
      <c r="AG158" s="301"/>
      <c r="AH158" s="301"/>
      <c r="AI158" s="301"/>
      <c r="AJ158" s="301"/>
      <c r="AK158" s="301"/>
      <c r="AL158" s="301"/>
      <c r="AM158" s="301"/>
      <c r="AN158" s="301"/>
      <c r="AO158" s="301"/>
      <c r="AP158" s="301"/>
      <c r="AQ158" s="301"/>
      <c r="AR158" s="301"/>
      <c r="AS158" s="301"/>
      <c r="AT158" s="301"/>
      <c r="AU158" s="301"/>
      <c r="AV158" s="301"/>
      <c r="AW158" s="301"/>
      <c r="AX158" s="301"/>
      <c r="AY158" s="301"/>
      <c r="AZ158" s="301"/>
      <c r="BA158" s="301"/>
      <c r="BB158" s="301"/>
      <c r="BC158" s="301"/>
      <c r="BD158" s="301"/>
      <c r="BE158" s="301"/>
      <c r="BF158" s="301"/>
      <c r="BG158" s="301"/>
      <c r="BH158" s="301"/>
      <c r="BI158" s="301"/>
      <c r="BJ158" s="301"/>
      <c r="BK158" s="301"/>
      <c r="BL158" s="301"/>
      <c r="BM158" s="301"/>
      <c r="BN158" s="301"/>
      <c r="BO158" s="301"/>
      <c r="BP158" s="301"/>
      <c r="BQ158" s="301"/>
      <c r="BR158" s="301"/>
      <c r="BS158" s="301"/>
      <c r="BT158" s="301"/>
      <c r="BU158" s="301"/>
      <c r="BV158" s="301"/>
      <c r="BW158" s="301"/>
      <c r="BX158" s="301"/>
      <c r="BY158" s="301"/>
      <c r="BZ158" s="301"/>
      <c r="CA158" s="301"/>
      <c r="CB158" s="301"/>
      <c r="CC158" s="301"/>
      <c r="CD158" s="301"/>
      <c r="CE158" s="301"/>
      <c r="CF158" s="301"/>
      <c r="CG158" s="301"/>
      <c r="CH158" s="301"/>
      <c r="CI158" s="301"/>
      <c r="CJ158" s="301"/>
      <c r="CK158" s="301"/>
      <c r="CL158" s="301"/>
      <c r="CM158" s="301"/>
      <c r="CN158" s="301"/>
      <c r="CO158" s="301"/>
      <c r="CP158" s="301"/>
      <c r="CQ158" s="301"/>
      <c r="CR158" s="301"/>
      <c r="CS158" s="301"/>
      <c r="CT158" s="301"/>
      <c r="CU158" s="301"/>
      <c r="CV158" s="301"/>
      <c r="CW158" s="301"/>
      <c r="CX158" s="301"/>
      <c r="CY158" s="301"/>
      <c r="CZ158" s="301"/>
      <c r="DA158" s="301"/>
      <c r="DB158" s="301"/>
      <c r="DC158" s="301"/>
      <c r="DD158" s="301"/>
      <c r="DE158" s="301"/>
      <c r="DF158" s="301"/>
      <c r="DG158" s="301"/>
      <c r="DH158" s="301"/>
      <c r="DI158" s="301"/>
      <c r="DJ158" s="301"/>
      <c r="DK158" s="301"/>
      <c r="DL158" s="301"/>
      <c r="DM158" s="301"/>
      <c r="DN158" s="301"/>
      <c r="DO158" s="301"/>
      <c r="DP158" s="301"/>
      <c r="DQ158" s="301"/>
      <c r="DR158" s="301"/>
      <c r="DS158" s="301"/>
      <c r="DT158" s="301"/>
      <c r="DU158" s="301"/>
      <c r="DV158" s="301"/>
      <c r="DW158" s="301"/>
      <c r="DX158" s="301"/>
      <c r="DY158" s="301"/>
      <c r="DZ158" s="301"/>
      <c r="EA158" s="301"/>
      <c r="EB158" s="301"/>
      <c r="EC158" s="301"/>
      <c r="ED158" s="301"/>
      <c r="EE158" s="301"/>
    </row>
    <row r="159" spans="2:135" ht="15" thickBot="1">
      <c r="G159" s="301"/>
      <c r="H159" s="301"/>
      <c r="I159" s="301"/>
      <c r="J159" s="301"/>
      <c r="K159" s="301"/>
      <c r="L159" s="301"/>
      <c r="M159" s="301"/>
      <c r="N159" s="301"/>
      <c r="O159" s="301"/>
      <c r="P159" s="301"/>
      <c r="Q159" s="301"/>
      <c r="R159" s="301"/>
      <c r="S159" s="301"/>
      <c r="T159" s="301"/>
      <c r="U159" s="301"/>
      <c r="V159" s="301"/>
      <c r="W159" s="301"/>
      <c r="X159" s="301"/>
      <c r="Y159" s="301"/>
      <c r="Z159" s="301"/>
      <c r="AA159" s="301"/>
      <c r="AB159" s="301"/>
      <c r="AC159" s="301"/>
      <c r="AD159" s="301"/>
      <c r="AE159" s="301"/>
      <c r="AF159" s="301"/>
      <c r="AG159" s="301"/>
      <c r="AH159" s="301"/>
      <c r="AI159" s="301"/>
      <c r="AJ159" s="301"/>
      <c r="AK159" s="301"/>
      <c r="AL159" s="301"/>
      <c r="AM159" s="301"/>
      <c r="AN159" s="301"/>
      <c r="AO159" s="301"/>
      <c r="AP159" s="301"/>
      <c r="AQ159" s="301"/>
      <c r="AR159" s="301"/>
      <c r="AS159" s="301"/>
      <c r="AT159" s="301"/>
      <c r="AU159" s="301"/>
      <c r="AV159" s="301"/>
      <c r="AW159" s="301"/>
      <c r="AX159" s="301"/>
      <c r="AY159" s="301"/>
      <c r="AZ159" s="301"/>
      <c r="BA159" s="301"/>
      <c r="BB159" s="301"/>
      <c r="BC159" s="301"/>
      <c r="BD159" s="301"/>
      <c r="BE159" s="301"/>
      <c r="BF159" s="301"/>
      <c r="BG159" s="301"/>
      <c r="BH159" s="301"/>
      <c r="BI159" s="301"/>
      <c r="BJ159" s="301"/>
      <c r="BK159" s="301"/>
      <c r="BL159" s="301"/>
      <c r="BM159" s="301"/>
      <c r="BN159" s="301"/>
      <c r="BO159" s="301"/>
      <c r="BP159" s="301"/>
      <c r="BQ159" s="301"/>
      <c r="BR159" s="301"/>
      <c r="BS159" s="301"/>
      <c r="BT159" s="301"/>
      <c r="BU159" s="301"/>
      <c r="BV159" s="301"/>
      <c r="BW159" s="301"/>
      <c r="BX159" s="301"/>
      <c r="BY159" s="301"/>
      <c r="BZ159" s="301"/>
      <c r="CA159" s="301"/>
      <c r="CB159" s="301"/>
      <c r="CC159" s="301"/>
      <c r="CD159" s="301"/>
      <c r="CE159" s="301"/>
      <c r="CF159" s="301"/>
      <c r="CG159" s="301"/>
      <c r="CH159" s="301"/>
      <c r="CI159" s="301"/>
      <c r="CJ159" s="301"/>
      <c r="CK159" s="301"/>
      <c r="CL159" s="301"/>
      <c r="CM159" s="301"/>
      <c r="CN159" s="301"/>
      <c r="CO159" s="301"/>
      <c r="CP159" s="301"/>
      <c r="CQ159" s="301"/>
      <c r="CR159" s="301"/>
      <c r="CS159" s="301"/>
      <c r="CT159" s="301"/>
      <c r="CU159" s="301"/>
      <c r="CV159" s="301"/>
      <c r="CW159" s="301"/>
      <c r="CX159" s="301"/>
      <c r="CY159" s="301"/>
      <c r="CZ159" s="301"/>
      <c r="DA159" s="301"/>
      <c r="DB159" s="301"/>
      <c r="DC159" s="301"/>
      <c r="DD159" s="301"/>
      <c r="DE159" s="301"/>
      <c r="DF159" s="301"/>
      <c r="DG159" s="301"/>
      <c r="DH159" s="301"/>
      <c r="DI159" s="301"/>
      <c r="DJ159" s="301"/>
      <c r="DK159" s="301"/>
      <c r="DL159" s="301"/>
      <c r="DM159" s="301"/>
      <c r="DN159" s="301"/>
      <c r="DO159" s="301"/>
      <c r="DP159" s="301"/>
      <c r="DQ159" s="301"/>
      <c r="DR159" s="301"/>
      <c r="DS159" s="301"/>
      <c r="DT159" s="301"/>
      <c r="DU159" s="301"/>
      <c r="DV159" s="301"/>
      <c r="DW159" s="301"/>
      <c r="DX159" s="301"/>
      <c r="DY159" s="301"/>
      <c r="DZ159" s="301"/>
      <c r="EA159" s="301"/>
      <c r="EB159" s="301"/>
      <c r="EC159" s="301"/>
      <c r="ED159" s="301"/>
      <c r="EE159" s="301"/>
    </row>
    <row r="160" spans="2:135">
      <c r="B160" s="330" t="s">
        <v>199</v>
      </c>
      <c r="C160" s="331"/>
      <c r="D160" s="331"/>
      <c r="E160" s="331"/>
      <c r="F160" s="331"/>
      <c r="G160" s="332"/>
      <c r="H160" s="332"/>
      <c r="I160" s="332"/>
      <c r="J160" s="332"/>
      <c r="K160" s="332"/>
      <c r="L160" s="332"/>
      <c r="M160" s="332"/>
      <c r="N160" s="332"/>
      <c r="O160" s="332"/>
      <c r="P160" s="332"/>
      <c r="Q160" s="332"/>
      <c r="R160" s="332"/>
      <c r="S160" s="332"/>
      <c r="T160" s="332"/>
      <c r="U160" s="332"/>
      <c r="V160" s="332"/>
      <c r="W160" s="332"/>
      <c r="X160" s="332"/>
      <c r="Y160" s="332"/>
      <c r="Z160" s="332"/>
      <c r="AA160" s="332"/>
      <c r="AB160" s="332"/>
      <c r="AC160" s="332"/>
      <c r="AD160" s="332"/>
      <c r="AE160" s="332"/>
      <c r="AF160" s="332"/>
      <c r="AG160" s="332"/>
      <c r="AH160" s="332"/>
      <c r="AI160" s="332"/>
      <c r="AJ160" s="332"/>
      <c r="AK160" s="332"/>
      <c r="AL160" s="332"/>
      <c r="AM160" s="332"/>
      <c r="AN160" s="332"/>
      <c r="AO160" s="332"/>
      <c r="AP160" s="332"/>
      <c r="AQ160" s="332"/>
      <c r="AR160" s="332"/>
      <c r="AS160" s="332"/>
      <c r="AT160" s="332"/>
      <c r="AU160" s="332"/>
      <c r="AV160" s="332"/>
      <c r="AW160" s="332"/>
      <c r="AX160" s="332"/>
      <c r="AY160" s="332"/>
      <c r="AZ160" s="332"/>
      <c r="BA160" s="332"/>
      <c r="BB160" s="332"/>
      <c r="BC160" s="332"/>
      <c r="BD160" s="332"/>
      <c r="BE160" s="332"/>
      <c r="BF160" s="332"/>
      <c r="BG160" s="332"/>
      <c r="BH160" s="332"/>
      <c r="BI160" s="332"/>
      <c r="BJ160" s="332"/>
      <c r="BK160" s="332"/>
      <c r="BL160" s="332"/>
      <c r="BM160" s="332"/>
      <c r="BN160" s="332"/>
      <c r="BO160" s="332"/>
      <c r="BP160" s="332"/>
      <c r="BQ160" s="332"/>
      <c r="BR160" s="332"/>
      <c r="BS160" s="332"/>
      <c r="BT160" s="332"/>
      <c r="BU160" s="332"/>
      <c r="BV160" s="332"/>
      <c r="BW160" s="332"/>
      <c r="BX160" s="332"/>
      <c r="BY160" s="332"/>
      <c r="BZ160" s="332"/>
      <c r="CA160" s="332"/>
      <c r="CB160" s="332"/>
      <c r="CC160" s="332"/>
      <c r="CD160" s="332"/>
      <c r="CE160" s="332"/>
      <c r="CF160" s="332"/>
      <c r="CG160" s="332"/>
      <c r="CH160" s="332"/>
      <c r="CI160" s="332"/>
      <c r="CJ160" s="332"/>
      <c r="CK160" s="332"/>
      <c r="CL160" s="332"/>
      <c r="CM160" s="332"/>
      <c r="CN160" s="332"/>
      <c r="CO160" s="332"/>
      <c r="CP160" s="332"/>
      <c r="CQ160" s="332"/>
      <c r="CR160" s="332"/>
      <c r="CS160" s="332"/>
      <c r="CT160" s="332"/>
      <c r="CU160" s="332"/>
      <c r="CV160" s="332"/>
      <c r="CW160" s="332"/>
      <c r="CX160" s="332"/>
      <c r="CY160" s="332"/>
      <c r="CZ160" s="332"/>
      <c r="DA160" s="332"/>
      <c r="DB160" s="332"/>
      <c r="DC160" s="332"/>
      <c r="DD160" s="332"/>
      <c r="DE160" s="332"/>
      <c r="DF160" s="332"/>
      <c r="DG160" s="332"/>
      <c r="DH160" s="332"/>
      <c r="DI160" s="332"/>
      <c r="DJ160" s="332"/>
      <c r="DK160" s="332"/>
      <c r="DL160" s="332"/>
      <c r="DM160" s="332"/>
      <c r="DN160" s="332"/>
      <c r="DO160" s="332"/>
      <c r="DP160" s="332"/>
      <c r="DQ160" s="332"/>
      <c r="DR160" s="332"/>
      <c r="DS160" s="332"/>
      <c r="DT160" s="332"/>
      <c r="DU160" s="332"/>
      <c r="DV160" s="332"/>
      <c r="DW160" s="332"/>
      <c r="DX160" s="332"/>
      <c r="DY160" s="332"/>
      <c r="DZ160" s="332"/>
      <c r="EA160" s="332"/>
      <c r="EB160" s="332"/>
      <c r="EC160" s="332"/>
      <c r="ED160" s="332"/>
      <c r="EE160" s="333"/>
    </row>
    <row r="161" spans="2:135">
      <c r="B161" s="334">
        <v>1</v>
      </c>
      <c r="C161" s="265" t="s">
        <v>200</v>
      </c>
      <c r="G161" s="301">
        <f ca="1">SUMIF($I$8:$EE$8, "&lt;="&amp;$E$8, $I161:$EE161)</f>
        <v>238.56791647912269</v>
      </c>
      <c r="H161" s="301"/>
      <c r="I161" s="301">
        <f>SUM(I146,I156*$B$161)</f>
        <v>-274.16000000000025</v>
      </c>
      <c r="J161" s="301">
        <f ca="1">SUM(J146,J156*$B$161)</f>
        <v>0</v>
      </c>
      <c r="K161" s="301">
        <f t="shared" ref="K161:BU161" ca="1" si="634">SUM(K146,K156*$B$161)</f>
        <v>0</v>
      </c>
      <c r="L161" s="301">
        <f t="shared" ca="1" si="634"/>
        <v>0</v>
      </c>
      <c r="M161" s="301">
        <f t="shared" ca="1" si="634"/>
        <v>0</v>
      </c>
      <c r="N161" s="301">
        <f t="shared" ca="1" si="634"/>
        <v>-3.0165000000000024</v>
      </c>
      <c r="O161" s="301">
        <f t="shared" ca="1" si="634"/>
        <v>0</v>
      </c>
      <c r="P161" s="301">
        <f t="shared" ca="1" si="634"/>
        <v>0</v>
      </c>
      <c r="Q161" s="301">
        <f t="shared" ca="1" si="634"/>
        <v>0</v>
      </c>
      <c r="R161" s="301">
        <f t="shared" ca="1" si="634"/>
        <v>0</v>
      </c>
      <c r="S161" s="301">
        <f t="shared" ca="1" si="634"/>
        <v>0</v>
      </c>
      <c r="T161" s="301">
        <f t="shared" ca="1" si="634"/>
        <v>0</v>
      </c>
      <c r="U161" s="301">
        <f t="shared" ca="1" si="634"/>
        <v>0</v>
      </c>
      <c r="V161" s="301">
        <f t="shared" ca="1" si="634"/>
        <v>-1.5835000000000012</v>
      </c>
      <c r="W161" s="301">
        <f t="shared" ca="1" si="634"/>
        <v>0</v>
      </c>
      <c r="X161" s="301">
        <f t="shared" ca="1" si="634"/>
        <v>0</v>
      </c>
      <c r="Y161" s="301">
        <f t="shared" ca="1" si="634"/>
        <v>0</v>
      </c>
      <c r="Z161" s="301">
        <f t="shared" ca="1" si="634"/>
        <v>0</v>
      </c>
      <c r="AA161" s="301">
        <f t="shared" ca="1" si="634"/>
        <v>0</v>
      </c>
      <c r="AB161" s="301">
        <f t="shared" ca="1" si="634"/>
        <v>0</v>
      </c>
      <c r="AC161" s="301">
        <f t="shared" ca="1" si="634"/>
        <v>0</v>
      </c>
      <c r="AD161" s="301">
        <f t="shared" ca="1" si="634"/>
        <v>0</v>
      </c>
      <c r="AE161" s="301">
        <f t="shared" ca="1" si="634"/>
        <v>-6.2000000000000055</v>
      </c>
      <c r="AF161" s="301">
        <f t="shared" ca="1" si="634"/>
        <v>0</v>
      </c>
      <c r="AG161" s="301">
        <f t="shared" ca="1" si="634"/>
        <v>0</v>
      </c>
      <c r="AH161" s="301">
        <f t="shared" ca="1" si="634"/>
        <v>0</v>
      </c>
      <c r="AI161" s="301">
        <f t="shared" ca="1" si="634"/>
        <v>0</v>
      </c>
      <c r="AJ161" s="301">
        <f t="shared" ca="1" si="634"/>
        <v>0</v>
      </c>
      <c r="AK161" s="301">
        <f t="shared" ca="1" si="634"/>
        <v>0</v>
      </c>
      <c r="AL161" s="301">
        <f t="shared" ca="1" si="634"/>
        <v>0</v>
      </c>
      <c r="AM161" s="301">
        <f t="shared" ca="1" si="634"/>
        <v>0</v>
      </c>
      <c r="AN161" s="301">
        <f t="shared" ca="1" si="634"/>
        <v>0</v>
      </c>
      <c r="AO161" s="301">
        <f t="shared" ca="1" si="634"/>
        <v>0</v>
      </c>
      <c r="AP161" s="301">
        <f t="shared" ca="1" si="634"/>
        <v>0</v>
      </c>
      <c r="AQ161" s="301">
        <f ca="1">SUM(AQ146,AQ156*$B$161)</f>
        <v>0</v>
      </c>
      <c r="AR161" s="301">
        <f t="shared" ca="1" si="634"/>
        <v>0</v>
      </c>
      <c r="AS161" s="301">
        <f t="shared" ca="1" si="634"/>
        <v>0</v>
      </c>
      <c r="AT161" s="301">
        <f t="shared" ca="1" si="634"/>
        <v>0</v>
      </c>
      <c r="AU161" s="301">
        <f t="shared" ca="1" si="634"/>
        <v>0</v>
      </c>
      <c r="AV161" s="301">
        <f t="shared" ca="1" si="634"/>
        <v>0</v>
      </c>
      <c r="AW161" s="301">
        <f t="shared" ca="1" si="634"/>
        <v>0</v>
      </c>
      <c r="AX161" s="301">
        <f t="shared" ca="1" si="634"/>
        <v>0</v>
      </c>
      <c r="AY161" s="301">
        <f t="shared" ca="1" si="634"/>
        <v>-2.8216000000000028</v>
      </c>
      <c r="AZ161" s="301">
        <f t="shared" ca="1" si="634"/>
        <v>0</v>
      </c>
      <c r="BA161" s="301">
        <f t="shared" ca="1" si="634"/>
        <v>-4.964000000000004</v>
      </c>
      <c r="BB161" s="301">
        <f t="shared" ca="1" si="634"/>
        <v>-6.4000000000000057</v>
      </c>
      <c r="BC161" s="301">
        <f t="shared" ca="1" si="634"/>
        <v>0</v>
      </c>
      <c r="BD161" s="301">
        <f t="shared" ca="1" si="634"/>
        <v>0</v>
      </c>
      <c r="BE161" s="301">
        <f t="shared" ca="1" si="634"/>
        <v>-12.340000000000011</v>
      </c>
      <c r="BF161" s="301">
        <f t="shared" ca="1" si="634"/>
        <v>0</v>
      </c>
      <c r="BG161" s="301">
        <f t="shared" ca="1" si="634"/>
        <v>0</v>
      </c>
      <c r="BH161" s="301">
        <f t="shared" ca="1" si="634"/>
        <v>0</v>
      </c>
      <c r="BI161" s="301">
        <f t="shared" ca="1" si="634"/>
        <v>0</v>
      </c>
      <c r="BJ161" s="301">
        <f t="shared" ca="1" si="634"/>
        <v>0</v>
      </c>
      <c r="BK161" s="301">
        <f t="shared" ca="1" si="634"/>
        <v>0</v>
      </c>
      <c r="BL161" s="301">
        <f t="shared" ca="1" si="634"/>
        <v>-4.389040000000004</v>
      </c>
      <c r="BM161" s="301">
        <f t="shared" ca="1" si="634"/>
        <v>0</v>
      </c>
      <c r="BN161" s="301">
        <f t="shared" ca="1" si="634"/>
        <v>0</v>
      </c>
      <c r="BO161" s="301">
        <f t="shared" ca="1" si="634"/>
        <v>0</v>
      </c>
      <c r="BP161" s="301">
        <f t="shared" ca="1" si="634"/>
        <v>-1.7700000000000016</v>
      </c>
      <c r="BQ161" s="301">
        <f t="shared" ca="1" si="634"/>
        <v>0</v>
      </c>
      <c r="BR161" s="301">
        <f t="shared" ca="1" si="634"/>
        <v>0</v>
      </c>
      <c r="BS161" s="301">
        <f t="shared" ca="1" si="634"/>
        <v>0</v>
      </c>
      <c r="BT161" s="301">
        <f t="shared" ca="1" si="634"/>
        <v>0</v>
      </c>
      <c r="BU161" s="301">
        <f t="shared" ca="1" si="634"/>
        <v>0</v>
      </c>
      <c r="BV161" s="301">
        <f t="shared" ref="BV161:CZ161" ca="1" si="635">SUM(BV146,BV156*$B$161)</f>
        <v>0</v>
      </c>
      <c r="BW161" s="301">
        <f t="shared" ca="1" si="635"/>
        <v>0</v>
      </c>
      <c r="BX161" s="301">
        <f t="shared" ca="1" si="635"/>
        <v>0</v>
      </c>
      <c r="BY161" s="301">
        <f t="shared" ca="1" si="635"/>
        <v>0</v>
      </c>
      <c r="BZ161" s="301">
        <f t="shared" ca="1" si="635"/>
        <v>0</v>
      </c>
      <c r="CA161" s="301">
        <f t="shared" ca="1" si="635"/>
        <v>0</v>
      </c>
      <c r="CB161" s="301">
        <f t="shared" ca="1" si="635"/>
        <v>0</v>
      </c>
      <c r="CC161" s="301">
        <f t="shared" ca="1" si="635"/>
        <v>0</v>
      </c>
      <c r="CD161" s="301">
        <f t="shared" ca="1" si="635"/>
        <v>0</v>
      </c>
      <c r="CE161" s="301">
        <f t="shared" ca="1" si="635"/>
        <v>0</v>
      </c>
      <c r="CF161" s="301">
        <f t="shared" ca="1" si="635"/>
        <v>0</v>
      </c>
      <c r="CG161" s="301">
        <f t="shared" ca="1" si="635"/>
        <v>0</v>
      </c>
      <c r="CH161" s="301">
        <f t="shared" ca="1" si="635"/>
        <v>0</v>
      </c>
      <c r="CI161" s="301">
        <f t="shared" ca="1" si="635"/>
        <v>0</v>
      </c>
      <c r="CJ161" s="301">
        <f t="shared" ca="1" si="635"/>
        <v>0</v>
      </c>
      <c r="CK161" s="301">
        <f t="shared" ca="1" si="635"/>
        <v>0</v>
      </c>
      <c r="CL161" s="301">
        <f t="shared" ca="1" si="635"/>
        <v>0</v>
      </c>
      <c r="CM161" s="301">
        <f t="shared" ca="1" si="635"/>
        <v>0</v>
      </c>
      <c r="CN161" s="301">
        <f t="shared" ca="1" si="635"/>
        <v>0</v>
      </c>
      <c r="CO161" s="301">
        <f t="shared" ca="1" si="635"/>
        <v>0</v>
      </c>
      <c r="CP161" s="301">
        <f t="shared" ca="1" si="635"/>
        <v>0</v>
      </c>
      <c r="CQ161" s="301">
        <f t="shared" ca="1" si="635"/>
        <v>0</v>
      </c>
      <c r="CR161" s="301">
        <f t="shared" ca="1" si="635"/>
        <v>0</v>
      </c>
      <c r="CS161" s="301">
        <f t="shared" ca="1" si="635"/>
        <v>0</v>
      </c>
      <c r="CT161" s="301">
        <f t="shared" ca="1" si="635"/>
        <v>0</v>
      </c>
      <c r="CU161" s="301">
        <f t="shared" ca="1" si="635"/>
        <v>0</v>
      </c>
      <c r="CV161" s="301">
        <f t="shared" ca="1" si="635"/>
        <v>0</v>
      </c>
      <c r="CW161" s="301">
        <f t="shared" ca="1" si="635"/>
        <v>0</v>
      </c>
      <c r="CX161" s="301">
        <f t="shared" ca="1" si="635"/>
        <v>0</v>
      </c>
      <c r="CY161" s="301">
        <f t="shared" ca="1" si="635"/>
        <v>0</v>
      </c>
      <c r="CZ161" s="301">
        <f t="shared" ca="1" si="635"/>
        <v>0</v>
      </c>
      <c r="DA161" s="301">
        <f t="shared" ref="DA161:EE161" ca="1" si="636">SUM(DA146,DA156*$B$161)</f>
        <v>0</v>
      </c>
      <c r="DB161" s="301">
        <f t="shared" ca="1" si="636"/>
        <v>0</v>
      </c>
      <c r="DC161" s="301">
        <f t="shared" ca="1" si="636"/>
        <v>0</v>
      </c>
      <c r="DD161" s="301">
        <f t="shared" ca="1" si="636"/>
        <v>0</v>
      </c>
      <c r="DE161" s="301">
        <f t="shared" ca="1" si="636"/>
        <v>0</v>
      </c>
      <c r="DF161" s="301">
        <f t="shared" ca="1" si="636"/>
        <v>0</v>
      </c>
      <c r="DG161" s="301">
        <f t="shared" ca="1" si="636"/>
        <v>556.21255647912301</v>
      </c>
      <c r="DH161" s="301">
        <f t="shared" ca="1" si="636"/>
        <v>0</v>
      </c>
      <c r="DI161" s="301">
        <f t="shared" ca="1" si="636"/>
        <v>0</v>
      </c>
      <c r="DJ161" s="301">
        <f t="shared" ca="1" si="636"/>
        <v>0</v>
      </c>
      <c r="DK161" s="301">
        <f t="shared" ca="1" si="636"/>
        <v>0</v>
      </c>
      <c r="DL161" s="301">
        <f t="shared" ca="1" si="636"/>
        <v>0</v>
      </c>
      <c r="DM161" s="301">
        <f t="shared" ca="1" si="636"/>
        <v>0</v>
      </c>
      <c r="DN161" s="301">
        <f t="shared" ca="1" si="636"/>
        <v>0</v>
      </c>
      <c r="DO161" s="301">
        <f t="shared" ca="1" si="636"/>
        <v>0</v>
      </c>
      <c r="DP161" s="301">
        <f t="shared" ca="1" si="636"/>
        <v>0</v>
      </c>
      <c r="DQ161" s="301">
        <f t="shared" ca="1" si="636"/>
        <v>0</v>
      </c>
      <c r="DR161" s="301">
        <f t="shared" ca="1" si="636"/>
        <v>0</v>
      </c>
      <c r="DS161" s="301">
        <f t="shared" ca="1" si="636"/>
        <v>0</v>
      </c>
      <c r="DT161" s="301">
        <f t="shared" ca="1" si="636"/>
        <v>0</v>
      </c>
      <c r="DU161" s="301">
        <f t="shared" ca="1" si="636"/>
        <v>0</v>
      </c>
      <c r="DV161" s="301">
        <f t="shared" ca="1" si="636"/>
        <v>0</v>
      </c>
      <c r="DW161" s="301">
        <f t="shared" ca="1" si="636"/>
        <v>0</v>
      </c>
      <c r="DX161" s="301">
        <f t="shared" ca="1" si="636"/>
        <v>0</v>
      </c>
      <c r="DY161" s="301">
        <f t="shared" ca="1" si="636"/>
        <v>0</v>
      </c>
      <c r="DZ161" s="301">
        <f t="shared" ca="1" si="636"/>
        <v>0</v>
      </c>
      <c r="EA161" s="301">
        <f t="shared" ca="1" si="636"/>
        <v>0</v>
      </c>
      <c r="EB161" s="301">
        <f t="shared" ca="1" si="636"/>
        <v>0</v>
      </c>
      <c r="EC161" s="301">
        <f t="shared" ca="1" si="636"/>
        <v>0</v>
      </c>
      <c r="ED161" s="301">
        <f t="shared" ca="1" si="636"/>
        <v>0</v>
      </c>
      <c r="EE161" s="335">
        <f t="shared" ca="1" si="636"/>
        <v>0</v>
      </c>
    </row>
    <row r="162" spans="2:135">
      <c r="B162" s="336"/>
      <c r="C162" s="265" t="s">
        <v>7</v>
      </c>
      <c r="G162" s="301">
        <f ca="1">-G138</f>
        <v>317.64464000000032</v>
      </c>
      <c r="H162" s="301"/>
      <c r="I162" s="301"/>
      <c r="J162" s="301"/>
      <c r="K162" s="301"/>
      <c r="L162" s="301"/>
      <c r="M162" s="301"/>
      <c r="N162" s="301"/>
      <c r="O162" s="301"/>
      <c r="P162" s="301"/>
      <c r="Q162" s="301"/>
      <c r="R162" s="301"/>
      <c r="S162" s="301"/>
      <c r="T162" s="301"/>
      <c r="U162" s="301"/>
      <c r="V162" s="301"/>
      <c r="W162" s="301"/>
      <c r="X162" s="301"/>
      <c r="Y162" s="301"/>
      <c r="Z162" s="301"/>
      <c r="AA162" s="301"/>
      <c r="AB162" s="301"/>
      <c r="AC162" s="301"/>
      <c r="AD162" s="301"/>
      <c r="AE162" s="301"/>
      <c r="AF162" s="301"/>
      <c r="AG162" s="301"/>
      <c r="AH162" s="301"/>
      <c r="AI162" s="301"/>
      <c r="AJ162" s="301"/>
      <c r="AK162" s="301"/>
      <c r="AL162" s="301"/>
      <c r="AM162" s="301"/>
      <c r="AN162" s="301"/>
      <c r="AO162" s="301"/>
      <c r="AP162" s="301"/>
      <c r="AQ162" s="301"/>
      <c r="AR162" s="301"/>
      <c r="AS162" s="301"/>
      <c r="AT162" s="301"/>
      <c r="AU162" s="301"/>
      <c r="AV162" s="301"/>
      <c r="AW162" s="301"/>
      <c r="AX162" s="301"/>
      <c r="AY162" s="301"/>
      <c r="AZ162" s="301"/>
      <c r="BA162" s="301"/>
      <c r="BB162" s="301"/>
      <c r="BC162" s="301"/>
      <c r="BD162" s="301"/>
      <c r="BE162" s="301"/>
      <c r="BF162" s="301"/>
      <c r="BG162" s="301"/>
      <c r="BH162" s="301"/>
      <c r="BI162" s="301"/>
      <c r="BJ162" s="301"/>
      <c r="BK162" s="301"/>
      <c r="BL162" s="301"/>
      <c r="BM162" s="301"/>
      <c r="BN162" s="301"/>
      <c r="BO162" s="301"/>
      <c r="BP162" s="301"/>
      <c r="BQ162" s="301"/>
      <c r="BR162" s="301"/>
      <c r="BS162" s="301"/>
      <c r="BT162" s="301"/>
      <c r="BU162" s="301"/>
      <c r="BV162" s="301"/>
      <c r="BW162" s="301"/>
      <c r="BX162" s="301"/>
      <c r="BY162" s="301"/>
      <c r="BZ162" s="301"/>
      <c r="CA162" s="301"/>
      <c r="CB162" s="301"/>
      <c r="CC162" s="301"/>
      <c r="CD162" s="301"/>
      <c r="CE162" s="301"/>
      <c r="CF162" s="301"/>
      <c r="CG162" s="301"/>
      <c r="CH162" s="301"/>
      <c r="CI162" s="301"/>
      <c r="CJ162" s="301"/>
      <c r="CK162" s="301"/>
      <c r="CL162" s="301"/>
      <c r="CM162" s="301"/>
      <c r="CN162" s="301"/>
      <c r="CO162" s="301"/>
      <c r="CP162" s="301"/>
      <c r="CQ162" s="301"/>
      <c r="CR162" s="301"/>
      <c r="CS162" s="301"/>
      <c r="CT162" s="301"/>
      <c r="CU162" s="301"/>
      <c r="CV162" s="301"/>
      <c r="CW162" s="301"/>
      <c r="CX162" s="301"/>
      <c r="CY162" s="301"/>
      <c r="CZ162" s="301"/>
      <c r="DA162" s="301"/>
      <c r="DB162" s="301"/>
      <c r="DC162" s="301"/>
      <c r="DD162" s="301"/>
      <c r="DE162" s="301"/>
      <c r="DF162" s="301"/>
      <c r="DG162" s="301"/>
      <c r="DH162" s="301"/>
      <c r="DI162" s="301"/>
      <c r="DJ162" s="301"/>
      <c r="DK162" s="301"/>
      <c r="DL162" s="301"/>
      <c r="DM162" s="301"/>
      <c r="DN162" s="301"/>
      <c r="DO162" s="301"/>
      <c r="DP162" s="301"/>
      <c r="DQ162" s="301"/>
      <c r="DR162" s="301"/>
      <c r="DS162" s="301"/>
      <c r="DT162" s="301"/>
      <c r="DU162" s="301"/>
      <c r="DV162" s="301"/>
      <c r="DW162" s="301"/>
      <c r="DX162" s="301"/>
      <c r="DY162" s="301"/>
      <c r="DZ162" s="301"/>
      <c r="EA162" s="301"/>
      <c r="EB162" s="301"/>
      <c r="EC162" s="301"/>
      <c r="ED162" s="301"/>
      <c r="EE162" s="335"/>
    </row>
    <row r="163" spans="2:135">
      <c r="B163" s="336"/>
      <c r="C163" s="265" t="s">
        <v>9</v>
      </c>
      <c r="G163" s="328">
        <f ca="1">-(G161-G138)/G138</f>
        <v>1.7510528635997837</v>
      </c>
      <c r="H163" s="328"/>
      <c r="I163" s="301"/>
      <c r="J163" s="301"/>
      <c r="K163" s="301"/>
      <c r="L163" s="301"/>
      <c r="M163" s="301"/>
      <c r="N163" s="301"/>
      <c r="O163" s="301"/>
      <c r="P163" s="301"/>
      <c r="Q163" s="301"/>
      <c r="R163" s="301"/>
      <c r="S163" s="301"/>
      <c r="T163" s="301"/>
      <c r="U163" s="301"/>
      <c r="V163" s="301"/>
      <c r="W163" s="301"/>
      <c r="X163" s="301"/>
      <c r="Y163" s="301"/>
      <c r="Z163" s="301"/>
      <c r="AA163" s="301"/>
      <c r="AB163" s="301"/>
      <c r="AC163" s="301"/>
      <c r="AD163" s="301"/>
      <c r="AE163" s="301"/>
      <c r="AF163" s="301"/>
      <c r="AG163" s="301"/>
      <c r="AH163" s="301"/>
      <c r="AI163" s="301"/>
      <c r="AJ163" s="301"/>
      <c r="AK163" s="301"/>
      <c r="AL163" s="301"/>
      <c r="AM163" s="301"/>
      <c r="AN163" s="301"/>
      <c r="AO163" s="301"/>
      <c r="AP163" s="301"/>
      <c r="AQ163" s="301"/>
      <c r="AR163" s="301"/>
      <c r="AS163" s="301"/>
      <c r="AT163" s="301"/>
      <c r="AU163" s="301"/>
      <c r="AV163" s="301"/>
      <c r="AW163" s="301"/>
      <c r="AX163" s="301"/>
      <c r="AY163" s="301"/>
      <c r="AZ163" s="301"/>
      <c r="BA163" s="301"/>
      <c r="BB163" s="301"/>
      <c r="BC163" s="301"/>
      <c r="BD163" s="301"/>
      <c r="BE163" s="301"/>
      <c r="BF163" s="301"/>
      <c r="BG163" s="301"/>
      <c r="BH163" s="301"/>
      <c r="BI163" s="301"/>
      <c r="BJ163" s="301"/>
      <c r="BK163" s="301"/>
      <c r="BL163" s="301"/>
      <c r="BM163" s="301"/>
      <c r="BN163" s="301"/>
      <c r="BO163" s="301"/>
      <c r="BP163" s="301"/>
      <c r="BQ163" s="301"/>
      <c r="BR163" s="301"/>
      <c r="BS163" s="301"/>
      <c r="BT163" s="301"/>
      <c r="BU163" s="301"/>
      <c r="BV163" s="301"/>
      <c r="BW163" s="301"/>
      <c r="BX163" s="301"/>
      <c r="BY163" s="301"/>
      <c r="BZ163" s="301"/>
      <c r="CA163" s="301"/>
      <c r="CB163" s="301"/>
      <c r="CC163" s="301"/>
      <c r="CD163" s="301"/>
      <c r="CE163" s="301"/>
      <c r="CF163" s="301"/>
      <c r="CG163" s="301"/>
      <c r="CH163" s="301"/>
      <c r="CI163" s="301"/>
      <c r="CJ163" s="301"/>
      <c r="CK163" s="301"/>
      <c r="CL163" s="301"/>
      <c r="CM163" s="301"/>
      <c r="CN163" s="301"/>
      <c r="CO163" s="301"/>
      <c r="CP163" s="301"/>
      <c r="CQ163" s="301"/>
      <c r="CR163" s="301"/>
      <c r="CS163" s="301"/>
      <c r="CT163" s="301"/>
      <c r="CU163" s="301"/>
      <c r="CV163" s="301"/>
      <c r="CW163" s="301"/>
      <c r="CX163" s="301"/>
      <c r="CY163" s="301"/>
      <c r="CZ163" s="301"/>
      <c r="DA163" s="301"/>
      <c r="DB163" s="301"/>
      <c r="DC163" s="301"/>
      <c r="DD163" s="301"/>
      <c r="DE163" s="301"/>
      <c r="DF163" s="301"/>
      <c r="DG163" s="301"/>
      <c r="DH163" s="301"/>
      <c r="DI163" s="301"/>
      <c r="DJ163" s="301"/>
      <c r="DK163" s="301"/>
      <c r="DL163" s="301"/>
      <c r="DM163" s="301"/>
      <c r="DN163" s="301"/>
      <c r="DO163" s="301"/>
      <c r="DP163" s="301"/>
      <c r="DQ163" s="301"/>
      <c r="DR163" s="301"/>
      <c r="DS163" s="301"/>
      <c r="DT163" s="301"/>
      <c r="DU163" s="301"/>
      <c r="DV163" s="301"/>
      <c r="DW163" s="301"/>
      <c r="DX163" s="301"/>
      <c r="DY163" s="301"/>
      <c r="DZ163" s="301"/>
      <c r="EA163" s="301"/>
      <c r="EB163" s="301"/>
      <c r="EC163" s="301"/>
      <c r="ED163" s="301"/>
      <c r="EE163" s="335"/>
    </row>
    <row r="164" spans="2:135">
      <c r="B164" s="336"/>
      <c r="C164" s="265" t="s">
        <v>10</v>
      </c>
      <c r="G164" s="308">
        <f ca="1">IFERROR(XIRR(I161:EE161, $I$8:$EE$8, ), "n/a")</f>
        <v>7.1606448292732258E-2</v>
      </c>
      <c r="H164" s="308"/>
      <c r="I164" s="301"/>
      <c r="J164" s="301"/>
      <c r="K164" s="301"/>
      <c r="L164" s="301"/>
      <c r="M164" s="301"/>
      <c r="N164" s="301"/>
      <c r="O164" s="301"/>
      <c r="P164" s="301"/>
      <c r="Q164" s="301"/>
      <c r="R164" s="301"/>
      <c r="S164" s="301"/>
      <c r="T164" s="301"/>
      <c r="U164" s="301"/>
      <c r="V164" s="301"/>
      <c r="W164" s="301"/>
      <c r="X164" s="301"/>
      <c r="Y164" s="301"/>
      <c r="Z164" s="301"/>
      <c r="AA164" s="301"/>
      <c r="AB164" s="301"/>
      <c r="AC164" s="301"/>
      <c r="AD164" s="301"/>
      <c r="AE164" s="301"/>
      <c r="AF164" s="301"/>
      <c r="AG164" s="301"/>
      <c r="AH164" s="301"/>
      <c r="AI164" s="301"/>
      <c r="AJ164" s="301"/>
      <c r="AK164" s="301"/>
      <c r="AL164" s="301"/>
      <c r="AM164" s="301"/>
      <c r="AN164" s="301"/>
      <c r="AO164" s="301"/>
      <c r="AP164" s="301"/>
      <c r="AQ164" s="301"/>
      <c r="AR164" s="301"/>
      <c r="AS164" s="301"/>
      <c r="AT164" s="301"/>
      <c r="AU164" s="301"/>
      <c r="AV164" s="301"/>
      <c r="AW164" s="301"/>
      <c r="AX164" s="301"/>
      <c r="AY164" s="301"/>
      <c r="AZ164" s="301"/>
      <c r="BA164" s="301"/>
      <c r="BB164" s="301"/>
      <c r="BC164" s="301"/>
      <c r="BD164" s="301"/>
      <c r="BE164" s="301"/>
      <c r="BF164" s="301"/>
      <c r="BG164" s="301"/>
      <c r="BH164" s="301"/>
      <c r="BI164" s="301"/>
      <c r="BJ164" s="301"/>
      <c r="BK164" s="301"/>
      <c r="BL164" s="301"/>
      <c r="BM164" s="301"/>
      <c r="BN164" s="301"/>
      <c r="BO164" s="301"/>
      <c r="BP164" s="301"/>
      <c r="BQ164" s="301"/>
      <c r="BR164" s="301"/>
      <c r="BS164" s="301"/>
      <c r="BT164" s="301"/>
      <c r="BU164" s="301"/>
      <c r="BV164" s="301"/>
      <c r="BW164" s="301"/>
      <c r="BX164" s="301"/>
      <c r="BY164" s="301"/>
      <c r="BZ164" s="301"/>
      <c r="CA164" s="301"/>
      <c r="CB164" s="301"/>
      <c r="CC164" s="301"/>
      <c r="CD164" s="301"/>
      <c r="CE164" s="301"/>
      <c r="CF164" s="301"/>
      <c r="CG164" s="301"/>
      <c r="CH164" s="301"/>
      <c r="CI164" s="301"/>
      <c r="CJ164" s="301"/>
      <c r="CK164" s="301"/>
      <c r="CL164" s="301"/>
      <c r="CM164" s="301"/>
      <c r="CN164" s="301"/>
      <c r="CO164" s="301"/>
      <c r="CP164" s="301"/>
      <c r="CQ164" s="301"/>
      <c r="CR164" s="301"/>
      <c r="CS164" s="301"/>
      <c r="CT164" s="301"/>
      <c r="CU164" s="301"/>
      <c r="CV164" s="301"/>
      <c r="CW164" s="301"/>
      <c r="CX164" s="301"/>
      <c r="CY164" s="301"/>
      <c r="CZ164" s="301"/>
      <c r="DA164" s="301"/>
      <c r="DB164" s="301"/>
      <c r="DC164" s="301"/>
      <c r="DD164" s="301"/>
      <c r="DE164" s="301"/>
      <c r="DF164" s="301"/>
      <c r="DG164" s="301"/>
      <c r="DH164" s="301"/>
      <c r="DI164" s="301"/>
      <c r="DJ164" s="301"/>
      <c r="DK164" s="301"/>
      <c r="DL164" s="301"/>
      <c r="DM164" s="301"/>
      <c r="DN164" s="301"/>
      <c r="DO164" s="301"/>
      <c r="DP164" s="301"/>
      <c r="DQ164" s="301"/>
      <c r="DR164" s="301"/>
      <c r="DS164" s="301"/>
      <c r="DT164" s="301"/>
      <c r="DU164" s="301"/>
      <c r="DV164" s="301"/>
      <c r="DW164" s="301"/>
      <c r="DX164" s="301"/>
      <c r="DY164" s="301"/>
      <c r="DZ164" s="301"/>
      <c r="EA164" s="301"/>
      <c r="EB164" s="301"/>
      <c r="EC164" s="301"/>
      <c r="ED164" s="301"/>
      <c r="EE164" s="335"/>
    </row>
    <row r="165" spans="2:135" ht="15" thickBot="1">
      <c r="B165" s="337"/>
      <c r="C165" s="338"/>
      <c r="D165" s="338"/>
      <c r="E165" s="338"/>
      <c r="F165" s="338"/>
      <c r="G165" s="339"/>
      <c r="H165" s="339"/>
      <c r="I165" s="339"/>
      <c r="J165" s="339"/>
      <c r="K165" s="339"/>
      <c r="L165" s="339"/>
      <c r="M165" s="339"/>
      <c r="N165" s="339"/>
      <c r="O165" s="339"/>
      <c r="P165" s="339"/>
      <c r="Q165" s="339"/>
      <c r="R165" s="339"/>
      <c r="S165" s="339"/>
      <c r="T165" s="339"/>
      <c r="U165" s="339"/>
      <c r="V165" s="339"/>
      <c r="W165" s="339"/>
      <c r="X165" s="339"/>
      <c r="Y165" s="339"/>
      <c r="Z165" s="339"/>
      <c r="AA165" s="339"/>
      <c r="AB165" s="339"/>
      <c r="AC165" s="339"/>
      <c r="AD165" s="339"/>
      <c r="AE165" s="339"/>
      <c r="AF165" s="339"/>
      <c r="AG165" s="339"/>
      <c r="AH165" s="339"/>
      <c r="AI165" s="339"/>
      <c r="AJ165" s="339"/>
      <c r="AK165" s="339"/>
      <c r="AL165" s="339"/>
      <c r="AM165" s="339"/>
      <c r="AN165" s="339"/>
      <c r="AO165" s="339"/>
      <c r="AP165" s="339"/>
      <c r="AQ165" s="339"/>
      <c r="AR165" s="339"/>
      <c r="AS165" s="339"/>
      <c r="AT165" s="339"/>
      <c r="AU165" s="339"/>
      <c r="AV165" s="339"/>
      <c r="AW165" s="339"/>
      <c r="AX165" s="339"/>
      <c r="AY165" s="339"/>
      <c r="AZ165" s="339"/>
      <c r="BA165" s="339"/>
      <c r="BB165" s="339"/>
      <c r="BC165" s="339"/>
      <c r="BD165" s="339"/>
      <c r="BE165" s="339"/>
      <c r="BF165" s="339"/>
      <c r="BG165" s="339"/>
      <c r="BH165" s="339"/>
      <c r="BI165" s="339"/>
      <c r="BJ165" s="339"/>
      <c r="BK165" s="339"/>
      <c r="BL165" s="339"/>
      <c r="BM165" s="339"/>
      <c r="BN165" s="339"/>
      <c r="BO165" s="339"/>
      <c r="BP165" s="339"/>
      <c r="BQ165" s="339"/>
      <c r="BR165" s="339"/>
      <c r="BS165" s="339"/>
      <c r="BT165" s="339"/>
      <c r="BU165" s="339"/>
      <c r="BV165" s="339"/>
      <c r="BW165" s="339"/>
      <c r="BX165" s="339"/>
      <c r="BY165" s="339"/>
      <c r="BZ165" s="339"/>
      <c r="CA165" s="339"/>
      <c r="CB165" s="339"/>
      <c r="CC165" s="339"/>
      <c r="CD165" s="339"/>
      <c r="CE165" s="339"/>
      <c r="CF165" s="339"/>
      <c r="CG165" s="339"/>
      <c r="CH165" s="339"/>
      <c r="CI165" s="339"/>
      <c r="CJ165" s="339"/>
      <c r="CK165" s="339"/>
      <c r="CL165" s="339"/>
      <c r="CM165" s="339"/>
      <c r="CN165" s="339"/>
      <c r="CO165" s="339"/>
      <c r="CP165" s="339"/>
      <c r="CQ165" s="339"/>
      <c r="CR165" s="339"/>
      <c r="CS165" s="339"/>
      <c r="CT165" s="339"/>
      <c r="CU165" s="339"/>
      <c r="CV165" s="339"/>
      <c r="CW165" s="339"/>
      <c r="CX165" s="339"/>
      <c r="CY165" s="339"/>
      <c r="CZ165" s="339"/>
      <c r="DA165" s="339"/>
      <c r="DB165" s="339"/>
      <c r="DC165" s="339"/>
      <c r="DD165" s="339"/>
      <c r="DE165" s="339"/>
      <c r="DF165" s="339"/>
      <c r="DG165" s="339"/>
      <c r="DH165" s="339"/>
      <c r="DI165" s="339"/>
      <c r="DJ165" s="339"/>
      <c r="DK165" s="339"/>
      <c r="DL165" s="339"/>
      <c r="DM165" s="339"/>
      <c r="DN165" s="339"/>
      <c r="DO165" s="339"/>
      <c r="DP165" s="339"/>
      <c r="DQ165" s="339"/>
      <c r="DR165" s="339"/>
      <c r="DS165" s="339"/>
      <c r="DT165" s="339"/>
      <c r="DU165" s="339"/>
      <c r="DV165" s="339"/>
      <c r="DW165" s="339"/>
      <c r="DX165" s="339"/>
      <c r="DY165" s="339"/>
      <c r="DZ165" s="339"/>
      <c r="EA165" s="339"/>
      <c r="EB165" s="339"/>
      <c r="EC165" s="339"/>
      <c r="ED165" s="339"/>
      <c r="EE165" s="340"/>
    </row>
    <row r="167" spans="2:135">
      <c r="C167" s="291" t="s">
        <v>201</v>
      </c>
      <c r="D167" s="291"/>
      <c r="E167" s="291"/>
      <c r="F167" s="325"/>
      <c r="G167" s="325">
        <f ca="1">SUMIF($I$8:$EE$8, "&lt;="&amp;$E$8, $I167:$EE167)</f>
        <v>11928.395823956129</v>
      </c>
      <c r="H167" s="325"/>
      <c r="I167" s="325">
        <f>I131+I146+I156</f>
        <v>-13708</v>
      </c>
      <c r="J167" s="325">
        <f t="shared" ref="J167:BT167" ca="1" si="637">J131+J146+J156</f>
        <v>0</v>
      </c>
      <c r="K167" s="325">
        <f t="shared" ca="1" si="637"/>
        <v>0</v>
      </c>
      <c r="L167" s="325">
        <f t="shared" ca="1" si="637"/>
        <v>0</v>
      </c>
      <c r="M167" s="325">
        <f t="shared" ca="1" si="637"/>
        <v>0</v>
      </c>
      <c r="N167" s="325">
        <f t="shared" ca="1" si="637"/>
        <v>-150.82499999999999</v>
      </c>
      <c r="O167" s="325">
        <f t="shared" ca="1" si="637"/>
        <v>0</v>
      </c>
      <c r="P167" s="325">
        <f t="shared" ca="1" si="637"/>
        <v>0</v>
      </c>
      <c r="Q167" s="325">
        <f t="shared" ca="1" si="637"/>
        <v>0</v>
      </c>
      <c r="R167" s="325">
        <f t="shared" ca="1" si="637"/>
        <v>0</v>
      </c>
      <c r="S167" s="325">
        <f t="shared" ca="1" si="637"/>
        <v>0</v>
      </c>
      <c r="T167" s="325">
        <f t="shared" ca="1" si="637"/>
        <v>0</v>
      </c>
      <c r="U167" s="325">
        <f t="shared" ca="1" si="637"/>
        <v>0</v>
      </c>
      <c r="V167" s="325">
        <f t="shared" ca="1" si="637"/>
        <v>-79.174999999999997</v>
      </c>
      <c r="W167" s="325">
        <f t="shared" ca="1" si="637"/>
        <v>0</v>
      </c>
      <c r="X167" s="325">
        <f t="shared" ca="1" si="637"/>
        <v>0</v>
      </c>
      <c r="Y167" s="325">
        <f t="shared" ca="1" si="637"/>
        <v>0</v>
      </c>
      <c r="Z167" s="325">
        <f t="shared" ca="1" si="637"/>
        <v>0</v>
      </c>
      <c r="AA167" s="325">
        <f t="shared" ca="1" si="637"/>
        <v>0</v>
      </c>
      <c r="AB167" s="325">
        <f t="shared" ca="1" si="637"/>
        <v>0</v>
      </c>
      <c r="AC167" s="325">
        <f t="shared" ca="1" si="637"/>
        <v>0</v>
      </c>
      <c r="AD167" s="325">
        <f t="shared" ca="1" si="637"/>
        <v>0</v>
      </c>
      <c r="AE167" s="325">
        <f t="shared" ca="1" si="637"/>
        <v>-310</v>
      </c>
      <c r="AF167" s="325">
        <f t="shared" ca="1" si="637"/>
        <v>0</v>
      </c>
      <c r="AG167" s="325">
        <f t="shared" ca="1" si="637"/>
        <v>0</v>
      </c>
      <c r="AH167" s="325">
        <f t="shared" ca="1" si="637"/>
        <v>0</v>
      </c>
      <c r="AI167" s="325">
        <f t="shared" ca="1" si="637"/>
        <v>0</v>
      </c>
      <c r="AJ167" s="325">
        <f t="shared" ca="1" si="637"/>
        <v>0</v>
      </c>
      <c r="AK167" s="325">
        <f t="shared" ca="1" si="637"/>
        <v>0</v>
      </c>
      <c r="AL167" s="325">
        <f t="shared" ca="1" si="637"/>
        <v>0</v>
      </c>
      <c r="AM167" s="325">
        <f t="shared" ca="1" si="637"/>
        <v>0</v>
      </c>
      <c r="AN167" s="325">
        <f t="shared" ca="1" si="637"/>
        <v>0</v>
      </c>
      <c r="AO167" s="325">
        <f t="shared" ca="1" si="637"/>
        <v>0</v>
      </c>
      <c r="AP167" s="325">
        <f t="shared" ca="1" si="637"/>
        <v>0</v>
      </c>
      <c r="AQ167" s="325">
        <f t="shared" ca="1" si="637"/>
        <v>0</v>
      </c>
      <c r="AR167" s="325">
        <f t="shared" ca="1" si="637"/>
        <v>0</v>
      </c>
      <c r="AS167" s="325">
        <f t="shared" ca="1" si="637"/>
        <v>0</v>
      </c>
      <c r="AT167" s="325">
        <f t="shared" ca="1" si="637"/>
        <v>0</v>
      </c>
      <c r="AU167" s="325">
        <f t="shared" ca="1" si="637"/>
        <v>0</v>
      </c>
      <c r="AV167" s="325">
        <f t="shared" ca="1" si="637"/>
        <v>0</v>
      </c>
      <c r="AW167" s="325">
        <f t="shared" ca="1" si="637"/>
        <v>0</v>
      </c>
      <c r="AX167" s="325">
        <f t="shared" ca="1" si="637"/>
        <v>0</v>
      </c>
      <c r="AY167" s="325">
        <f t="shared" ca="1" si="637"/>
        <v>-141.08000000000001</v>
      </c>
      <c r="AZ167" s="325">
        <f t="shared" ca="1" si="637"/>
        <v>0</v>
      </c>
      <c r="BA167" s="325">
        <f t="shared" ca="1" si="637"/>
        <v>-248.2</v>
      </c>
      <c r="BB167" s="325">
        <f t="shared" ca="1" si="637"/>
        <v>-320</v>
      </c>
      <c r="BC167" s="325">
        <f t="shared" ca="1" si="637"/>
        <v>0</v>
      </c>
      <c r="BD167" s="325">
        <f t="shared" ca="1" si="637"/>
        <v>0</v>
      </c>
      <c r="BE167" s="325">
        <f t="shared" ca="1" si="637"/>
        <v>-617</v>
      </c>
      <c r="BF167" s="325">
        <f t="shared" ca="1" si="637"/>
        <v>0</v>
      </c>
      <c r="BG167" s="325">
        <f t="shared" ca="1" si="637"/>
        <v>0</v>
      </c>
      <c r="BH167" s="325">
        <f t="shared" ca="1" si="637"/>
        <v>0</v>
      </c>
      <c r="BI167" s="325">
        <f t="shared" ca="1" si="637"/>
        <v>0</v>
      </c>
      <c r="BJ167" s="325">
        <f t="shared" ca="1" si="637"/>
        <v>0</v>
      </c>
      <c r="BK167" s="325">
        <f t="shared" ca="1" si="637"/>
        <v>0</v>
      </c>
      <c r="BL167" s="325">
        <f t="shared" ca="1" si="637"/>
        <v>-219.452</v>
      </c>
      <c r="BM167" s="325">
        <f t="shared" ca="1" si="637"/>
        <v>0</v>
      </c>
      <c r="BN167" s="325">
        <f t="shared" ca="1" si="637"/>
        <v>0</v>
      </c>
      <c r="BO167" s="325">
        <f t="shared" ca="1" si="637"/>
        <v>0</v>
      </c>
      <c r="BP167" s="325">
        <f t="shared" ca="1" si="637"/>
        <v>-88.5</v>
      </c>
      <c r="BQ167" s="325">
        <f t="shared" ca="1" si="637"/>
        <v>0</v>
      </c>
      <c r="BR167" s="325">
        <f t="shared" ca="1" si="637"/>
        <v>0</v>
      </c>
      <c r="BS167" s="325">
        <f t="shared" ca="1" si="637"/>
        <v>0</v>
      </c>
      <c r="BT167" s="325">
        <f t="shared" ca="1" si="637"/>
        <v>0</v>
      </c>
      <c r="BU167" s="325">
        <f t="shared" ref="BU167:CZ167" ca="1" si="638">BU131+BU146+BU156</f>
        <v>0</v>
      </c>
      <c r="BV167" s="325">
        <f t="shared" ca="1" si="638"/>
        <v>0</v>
      </c>
      <c r="BW167" s="325">
        <f ca="1">BW131+BW146+BW156</f>
        <v>0</v>
      </c>
      <c r="BX167" s="325">
        <f t="shared" ca="1" si="638"/>
        <v>0</v>
      </c>
      <c r="BY167" s="325">
        <f t="shared" ca="1" si="638"/>
        <v>0</v>
      </c>
      <c r="BZ167" s="325">
        <f t="shared" ca="1" si="638"/>
        <v>0</v>
      </c>
      <c r="CA167" s="325">
        <f t="shared" ca="1" si="638"/>
        <v>0</v>
      </c>
      <c r="CB167" s="325">
        <f t="shared" ca="1" si="638"/>
        <v>0</v>
      </c>
      <c r="CC167" s="325">
        <f t="shared" ca="1" si="638"/>
        <v>0</v>
      </c>
      <c r="CD167" s="325">
        <f t="shared" ca="1" si="638"/>
        <v>0</v>
      </c>
      <c r="CE167" s="325">
        <f t="shared" ca="1" si="638"/>
        <v>0</v>
      </c>
      <c r="CF167" s="325">
        <f t="shared" ca="1" si="638"/>
        <v>0</v>
      </c>
      <c r="CG167" s="325">
        <f t="shared" ca="1" si="638"/>
        <v>0</v>
      </c>
      <c r="CH167" s="325">
        <f t="shared" ca="1" si="638"/>
        <v>0</v>
      </c>
      <c r="CI167" s="325">
        <f t="shared" ca="1" si="638"/>
        <v>0</v>
      </c>
      <c r="CJ167" s="325">
        <f t="shared" ca="1" si="638"/>
        <v>0</v>
      </c>
      <c r="CK167" s="325">
        <f t="shared" ca="1" si="638"/>
        <v>0</v>
      </c>
      <c r="CL167" s="325">
        <f t="shared" ca="1" si="638"/>
        <v>0</v>
      </c>
      <c r="CM167" s="325">
        <f t="shared" ca="1" si="638"/>
        <v>0</v>
      </c>
      <c r="CN167" s="325">
        <f t="shared" ca="1" si="638"/>
        <v>0</v>
      </c>
      <c r="CO167" s="325">
        <f t="shared" ca="1" si="638"/>
        <v>0</v>
      </c>
      <c r="CP167" s="325">
        <f t="shared" ca="1" si="638"/>
        <v>0</v>
      </c>
      <c r="CQ167" s="325">
        <f t="shared" ca="1" si="638"/>
        <v>0</v>
      </c>
      <c r="CR167" s="325">
        <f t="shared" ca="1" si="638"/>
        <v>0</v>
      </c>
      <c r="CS167" s="325">
        <f t="shared" ca="1" si="638"/>
        <v>0</v>
      </c>
      <c r="CT167" s="325">
        <f t="shared" ca="1" si="638"/>
        <v>0</v>
      </c>
      <c r="CU167" s="325">
        <f t="shared" ca="1" si="638"/>
        <v>0</v>
      </c>
      <c r="CV167" s="325">
        <f t="shared" ca="1" si="638"/>
        <v>0</v>
      </c>
      <c r="CW167" s="325">
        <f t="shared" ca="1" si="638"/>
        <v>0</v>
      </c>
      <c r="CX167" s="325">
        <f t="shared" ca="1" si="638"/>
        <v>0</v>
      </c>
      <c r="CY167" s="325">
        <f t="shared" ca="1" si="638"/>
        <v>0</v>
      </c>
      <c r="CZ167" s="325">
        <f t="shared" ca="1" si="638"/>
        <v>0</v>
      </c>
      <c r="DA167" s="325">
        <f t="shared" ref="DA167:EE167" ca="1" si="639">DA131+DA146+DA156</f>
        <v>0</v>
      </c>
      <c r="DB167" s="325">
        <f t="shared" ca="1" si="639"/>
        <v>0</v>
      </c>
      <c r="DC167" s="325">
        <f t="shared" ca="1" si="639"/>
        <v>0</v>
      </c>
      <c r="DD167" s="325">
        <f t="shared" ca="1" si="639"/>
        <v>0</v>
      </c>
      <c r="DE167" s="325">
        <f t="shared" ca="1" si="639"/>
        <v>0</v>
      </c>
      <c r="DF167" s="325">
        <f t="shared" ca="1" si="639"/>
        <v>0</v>
      </c>
      <c r="DG167" s="325">
        <f t="shared" ca="1" si="639"/>
        <v>27810.627823956129</v>
      </c>
      <c r="DH167" s="325">
        <f t="shared" ca="1" si="639"/>
        <v>0</v>
      </c>
      <c r="DI167" s="325">
        <f t="shared" ca="1" si="639"/>
        <v>0</v>
      </c>
      <c r="DJ167" s="325">
        <f t="shared" ca="1" si="639"/>
        <v>0</v>
      </c>
      <c r="DK167" s="325">
        <f t="shared" ca="1" si="639"/>
        <v>0</v>
      </c>
      <c r="DL167" s="325">
        <f t="shared" ca="1" si="639"/>
        <v>0</v>
      </c>
      <c r="DM167" s="325">
        <f t="shared" ca="1" si="639"/>
        <v>0</v>
      </c>
      <c r="DN167" s="325">
        <f t="shared" ca="1" si="639"/>
        <v>0</v>
      </c>
      <c r="DO167" s="325">
        <f t="shared" ca="1" si="639"/>
        <v>0</v>
      </c>
      <c r="DP167" s="325">
        <f t="shared" ca="1" si="639"/>
        <v>0</v>
      </c>
      <c r="DQ167" s="325">
        <f t="shared" ca="1" si="639"/>
        <v>0</v>
      </c>
      <c r="DR167" s="325">
        <f t="shared" ca="1" si="639"/>
        <v>0</v>
      </c>
      <c r="DS167" s="325">
        <f t="shared" ca="1" si="639"/>
        <v>0</v>
      </c>
      <c r="DT167" s="325">
        <f t="shared" ca="1" si="639"/>
        <v>0</v>
      </c>
      <c r="DU167" s="325">
        <f t="shared" ca="1" si="639"/>
        <v>0</v>
      </c>
      <c r="DV167" s="325">
        <f t="shared" ca="1" si="639"/>
        <v>0</v>
      </c>
      <c r="DW167" s="325">
        <f t="shared" ca="1" si="639"/>
        <v>0</v>
      </c>
      <c r="DX167" s="325">
        <f t="shared" ca="1" si="639"/>
        <v>0</v>
      </c>
      <c r="DY167" s="325">
        <f t="shared" ca="1" si="639"/>
        <v>0</v>
      </c>
      <c r="DZ167" s="325">
        <f t="shared" ca="1" si="639"/>
        <v>0</v>
      </c>
      <c r="EA167" s="325">
        <f t="shared" ca="1" si="639"/>
        <v>0</v>
      </c>
      <c r="EB167" s="325">
        <f t="shared" ca="1" si="639"/>
        <v>0</v>
      </c>
      <c r="EC167" s="325">
        <f t="shared" ca="1" si="639"/>
        <v>0</v>
      </c>
      <c r="ED167" s="325">
        <f t="shared" ca="1" si="639"/>
        <v>0</v>
      </c>
      <c r="EE167" s="325">
        <f t="shared" ca="1" si="639"/>
        <v>0</v>
      </c>
    </row>
    <row r="168" spans="2:135">
      <c r="C168" s="291" t="s">
        <v>137</v>
      </c>
      <c r="D168" s="291"/>
      <c r="E168" s="291"/>
      <c r="F168" s="291"/>
      <c r="G168" s="308">
        <f ca="1">IFERROR(XIRR(I167:EE167, $I$8:$EE$8, ), "n/a")</f>
        <v>7.1606448292732258E-2</v>
      </c>
      <c r="H168" s="308"/>
      <c r="I168" s="325">
        <f ca="1">G167-G29</f>
        <v>0</v>
      </c>
      <c r="J168" s="325"/>
      <c r="K168" s="325"/>
      <c r="L168" s="325"/>
      <c r="M168" s="325"/>
      <c r="N168" s="325"/>
      <c r="O168" s="325"/>
      <c r="P168" s="325"/>
      <c r="Q168" s="325"/>
      <c r="R168" s="325"/>
      <c r="S168" s="325"/>
      <c r="T168" s="325"/>
      <c r="U168" s="325"/>
      <c r="V168" s="325"/>
      <c r="W168" s="325"/>
      <c r="X168" s="325"/>
      <c r="Y168" s="325"/>
      <c r="Z168" s="325"/>
      <c r="AA168" s="325"/>
      <c r="AB168" s="325"/>
      <c r="AC168" s="325"/>
      <c r="AD168" s="325"/>
      <c r="AE168" s="325"/>
      <c r="AF168" s="325"/>
      <c r="AG168" s="325"/>
      <c r="AH168" s="325"/>
      <c r="AI168" s="325"/>
      <c r="AJ168" s="325"/>
      <c r="AK168" s="325"/>
      <c r="AL168" s="325"/>
      <c r="AM168" s="325"/>
      <c r="AN168" s="325"/>
      <c r="AO168" s="325"/>
      <c r="AP168" s="325"/>
      <c r="AQ168" s="325"/>
      <c r="AR168" s="325"/>
      <c r="AS168" s="325"/>
      <c r="AT168" s="325"/>
      <c r="AU168" s="325"/>
      <c r="AV168" s="325"/>
      <c r="AW168" s="325"/>
      <c r="AX168" s="325"/>
      <c r="AY168" s="325"/>
      <c r="AZ168" s="325"/>
      <c r="BA168" s="325"/>
      <c r="BB168" s="325"/>
      <c r="BC168" s="325"/>
      <c r="BD168" s="325"/>
      <c r="BE168" s="325"/>
      <c r="BF168" s="325"/>
      <c r="BG168" s="325"/>
      <c r="BH168" s="325"/>
      <c r="BI168" s="325"/>
      <c r="BJ168" s="325"/>
      <c r="BK168" s="325"/>
      <c r="BL168" s="325"/>
      <c r="BM168" s="325"/>
      <c r="BN168" s="325"/>
      <c r="BO168" s="325"/>
      <c r="BP168" s="325"/>
      <c r="BQ168" s="325"/>
      <c r="BR168" s="325"/>
      <c r="BS168" s="325"/>
      <c r="BT168" s="325"/>
      <c r="BU168" s="325"/>
      <c r="BV168" s="325"/>
      <c r="BW168" s="325"/>
      <c r="BX168" s="325"/>
      <c r="BY168" s="325"/>
      <c r="BZ168" s="325"/>
      <c r="CA168" s="325"/>
      <c r="CB168" s="325"/>
      <c r="CC168" s="325"/>
      <c r="CD168" s="325"/>
      <c r="CE168" s="325"/>
      <c r="CF168" s="325"/>
      <c r="CG168" s="325"/>
      <c r="CH168" s="325"/>
      <c r="CI168" s="325"/>
      <c r="CJ168" s="325"/>
      <c r="CK168" s="325"/>
      <c r="CL168" s="325"/>
      <c r="CM168" s="325"/>
      <c r="CN168" s="325"/>
      <c r="CO168" s="325"/>
      <c r="CP168" s="325"/>
      <c r="CQ168" s="325"/>
      <c r="CR168" s="325"/>
      <c r="CS168" s="325"/>
      <c r="CT168" s="325"/>
      <c r="CU168" s="325"/>
      <c r="CV168" s="325"/>
      <c r="CW168" s="325"/>
      <c r="CX168" s="325"/>
      <c r="CY168" s="325"/>
      <c r="CZ168" s="325"/>
      <c r="DA168" s="325"/>
      <c r="DB168" s="325"/>
      <c r="DC168" s="325"/>
      <c r="DD168" s="325"/>
      <c r="DE168" s="325"/>
      <c r="DF168" s="325"/>
      <c r="DG168" s="325"/>
      <c r="DH168" s="325"/>
      <c r="DI168" s="325"/>
      <c r="DJ168" s="325"/>
      <c r="DK168" s="325"/>
      <c r="DL168" s="325"/>
      <c r="DM168" s="325"/>
      <c r="DN168" s="325"/>
      <c r="DO168" s="325"/>
      <c r="DP168" s="325"/>
      <c r="DQ168" s="325"/>
      <c r="DR168" s="325"/>
      <c r="DS168" s="325"/>
      <c r="DT168" s="325"/>
      <c r="DU168" s="325"/>
      <c r="DV168" s="325"/>
      <c r="DW168" s="325"/>
      <c r="DX168" s="325"/>
      <c r="DY168" s="325"/>
      <c r="DZ168" s="325"/>
      <c r="EA168" s="325"/>
      <c r="EB168" s="325"/>
      <c r="EC168" s="325"/>
      <c r="ED168" s="325"/>
      <c r="EE168" s="325"/>
    </row>
    <row r="170" spans="2:135" ht="15">
      <c r="C170"/>
      <c r="E170"/>
    </row>
    <row r="172" spans="2:135" customFormat="1" ht="15"/>
    <row r="173" spans="2:135" customFormat="1" ht="15"/>
    <row r="174" spans="2:135" customFormat="1" ht="15"/>
    <row r="175" spans="2:135" customFormat="1" ht="15"/>
    <row r="176" spans="2:135" customFormat="1" ht="15"/>
    <row r="177" spans="15:24" customFormat="1" ht="15"/>
    <row r="178" spans="15:24" customFormat="1" ht="15"/>
    <row r="179" spans="15:24" customFormat="1" ht="15"/>
    <row r="180" spans="15:24" customFormat="1" ht="15">
      <c r="O180" s="265"/>
      <c r="P180" s="265"/>
      <c r="Q180" s="265"/>
      <c r="R180" s="265"/>
      <c r="S180" s="265"/>
      <c r="T180" s="265"/>
      <c r="U180" s="265"/>
      <c r="V180" s="265"/>
      <c r="W180" s="265"/>
      <c r="X180" s="265"/>
    </row>
    <row r="181" spans="15:24" customFormat="1" ht="15">
      <c r="O181" s="265"/>
      <c r="P181" s="265"/>
      <c r="Q181" s="265"/>
      <c r="R181" s="265"/>
      <c r="S181" s="265"/>
      <c r="T181" s="265"/>
      <c r="U181" s="265"/>
      <c r="V181" s="265"/>
      <c r="W181" s="265"/>
      <c r="X181" s="265"/>
    </row>
    <row r="182" spans="15:24" customFormat="1" ht="15">
      <c r="O182" s="265"/>
      <c r="P182" s="265"/>
      <c r="Q182" s="265"/>
      <c r="R182" s="265"/>
      <c r="S182" s="265"/>
      <c r="T182" s="265"/>
      <c r="U182" s="265"/>
      <c r="V182" s="265"/>
      <c r="W182" s="265"/>
      <c r="X182" s="265"/>
    </row>
    <row r="183" spans="15:24" customFormat="1" ht="15">
      <c r="O183" s="265"/>
      <c r="P183" s="265"/>
      <c r="Q183" s="265"/>
      <c r="R183" s="265"/>
      <c r="S183" s="265"/>
      <c r="T183" s="265"/>
      <c r="U183" s="265"/>
      <c r="V183" s="265"/>
      <c r="W183" s="265"/>
      <c r="X183" s="265"/>
    </row>
    <row r="184" spans="15:24" customFormat="1" ht="15">
      <c r="O184" s="265"/>
      <c r="P184" s="265"/>
      <c r="Q184" s="265"/>
      <c r="R184" s="265"/>
      <c r="S184" s="265"/>
      <c r="T184" s="265"/>
      <c r="U184" s="265"/>
      <c r="V184" s="265"/>
      <c r="W184" s="265"/>
      <c r="X184" s="265"/>
    </row>
    <row r="185" spans="15:24" customFormat="1" ht="15">
      <c r="O185" s="265"/>
      <c r="P185" s="265"/>
      <c r="Q185" s="265"/>
      <c r="R185" s="265"/>
      <c r="S185" s="265"/>
      <c r="T185" s="265"/>
      <c r="U185" s="265"/>
      <c r="V185" s="265"/>
      <c r="W185" s="265"/>
      <c r="X185" s="265"/>
    </row>
    <row r="186" spans="15:24" customFormat="1" ht="15">
      <c r="O186" s="265"/>
      <c r="P186" s="265"/>
      <c r="Q186" s="265"/>
      <c r="R186" s="265"/>
      <c r="S186" s="265"/>
      <c r="T186" s="265"/>
      <c r="U186" s="265"/>
      <c r="V186" s="265"/>
      <c r="W186" s="265"/>
      <c r="X186" s="265"/>
    </row>
    <row r="187" spans="15:24" customFormat="1" ht="15">
      <c r="O187" s="265"/>
      <c r="P187" s="265"/>
      <c r="Q187" s="265"/>
      <c r="R187" s="265"/>
      <c r="S187" s="265"/>
      <c r="T187" s="265"/>
      <c r="U187" s="265"/>
      <c r="V187" s="265"/>
      <c r="W187" s="265"/>
      <c r="X187" s="265"/>
    </row>
    <row r="188" spans="15:24" customFormat="1" ht="15">
      <c r="O188" s="265"/>
      <c r="P188" s="265"/>
      <c r="Q188" s="265"/>
      <c r="R188" s="265"/>
      <c r="S188" s="265"/>
      <c r="T188" s="265"/>
      <c r="U188" s="265"/>
      <c r="V188" s="265"/>
      <c r="W188" s="265"/>
      <c r="X188" s="265"/>
    </row>
    <row r="189" spans="15:24" customFormat="1" ht="15">
      <c r="O189" s="265"/>
      <c r="P189" s="265"/>
      <c r="Q189" s="265"/>
      <c r="R189" s="265"/>
      <c r="S189" s="265"/>
      <c r="T189" s="265"/>
      <c r="U189" s="265"/>
      <c r="V189" s="265"/>
      <c r="W189" s="265"/>
      <c r="X189" s="265"/>
    </row>
    <row r="190" spans="15:24" customFormat="1" ht="15">
      <c r="O190" s="265"/>
      <c r="P190" s="265"/>
      <c r="Q190" s="265"/>
      <c r="R190" s="265"/>
      <c r="S190" s="265"/>
      <c r="T190" s="265"/>
      <c r="U190" s="265"/>
      <c r="V190" s="265"/>
      <c r="W190" s="265"/>
      <c r="X190" s="265"/>
    </row>
    <row r="191" spans="15:24" customFormat="1" ht="15">
      <c r="O191" s="265"/>
      <c r="P191" s="265"/>
      <c r="Q191" s="265"/>
      <c r="R191" s="265"/>
      <c r="S191" s="265"/>
      <c r="T191" s="265"/>
      <c r="U191" s="265"/>
      <c r="V191" s="265"/>
      <c r="W191" s="265"/>
      <c r="X191" s="265"/>
    </row>
    <row r="192" spans="15:24" customFormat="1" ht="15">
      <c r="O192" s="265"/>
      <c r="P192" s="265"/>
      <c r="Q192" s="265"/>
      <c r="R192" s="265"/>
      <c r="S192" s="265"/>
      <c r="T192" s="265"/>
      <c r="U192" s="265"/>
      <c r="V192" s="265"/>
      <c r="W192" s="265"/>
      <c r="X192" s="265"/>
    </row>
    <row r="193" spans="15:24" customFormat="1" ht="15">
      <c r="O193" s="265"/>
      <c r="P193" s="265"/>
      <c r="Q193" s="265"/>
      <c r="R193" s="265"/>
      <c r="S193" s="265"/>
      <c r="T193" s="265"/>
      <c r="U193" s="265"/>
      <c r="V193" s="265"/>
      <c r="W193" s="265"/>
      <c r="X193" s="265"/>
    </row>
    <row r="194" spans="15:24" customFormat="1" ht="15">
      <c r="O194" s="265"/>
      <c r="P194" s="265"/>
      <c r="Q194" s="265"/>
      <c r="R194" s="265"/>
      <c r="S194" s="265"/>
      <c r="T194" s="265"/>
      <c r="U194" s="265"/>
      <c r="V194" s="265"/>
      <c r="W194" s="265"/>
      <c r="X194" s="265"/>
    </row>
    <row r="195" spans="15:24" customFormat="1" ht="15">
      <c r="O195" s="265"/>
      <c r="P195" s="265"/>
      <c r="Q195" s="265"/>
      <c r="R195" s="265"/>
      <c r="S195" s="265"/>
      <c r="T195" s="265"/>
      <c r="U195" s="265"/>
      <c r="V195" s="265"/>
      <c r="W195" s="265"/>
      <c r="X195" s="265"/>
    </row>
    <row r="196" spans="15:24" customFormat="1" ht="15">
      <c r="O196" s="265"/>
      <c r="P196" s="265"/>
      <c r="Q196" s="265"/>
      <c r="R196" s="265"/>
      <c r="S196" s="265"/>
      <c r="T196" s="265"/>
      <c r="U196" s="265"/>
      <c r="V196" s="265"/>
      <c r="W196" s="265"/>
      <c r="X196" s="265"/>
    </row>
    <row r="197" spans="15:24" customFormat="1" ht="15">
      <c r="O197" s="265"/>
      <c r="P197" s="265"/>
      <c r="Q197" s="265"/>
      <c r="R197" s="265"/>
      <c r="S197" s="265"/>
      <c r="T197" s="265"/>
      <c r="U197" s="265"/>
      <c r="V197" s="265"/>
      <c r="W197" s="265"/>
      <c r="X197" s="265"/>
    </row>
    <row r="198" spans="15:24" customFormat="1" ht="15">
      <c r="O198" s="265"/>
      <c r="P198" s="265"/>
      <c r="Q198" s="265"/>
      <c r="R198" s="265"/>
      <c r="S198" s="265"/>
      <c r="T198" s="265"/>
      <c r="U198" s="265"/>
      <c r="V198" s="265"/>
      <c r="W198" s="265"/>
      <c r="X198" s="265"/>
    </row>
    <row r="199" spans="15:24" customFormat="1" ht="15">
      <c r="O199" s="265"/>
      <c r="P199" s="265"/>
      <c r="Q199" s="265"/>
      <c r="R199" s="265"/>
      <c r="S199" s="265"/>
      <c r="T199" s="265"/>
      <c r="U199" s="265"/>
      <c r="V199" s="265"/>
      <c r="W199" s="265"/>
      <c r="X199" s="265"/>
    </row>
    <row r="200" spans="15:24" customFormat="1" ht="15">
      <c r="O200" s="265"/>
      <c r="P200" s="265"/>
      <c r="Q200" s="265"/>
      <c r="R200" s="265"/>
      <c r="S200" s="265"/>
      <c r="T200" s="265"/>
      <c r="U200" s="265"/>
      <c r="V200" s="265"/>
      <c r="W200" s="265"/>
      <c r="X200" s="265"/>
    </row>
    <row r="201" spans="15:24" customFormat="1" ht="15"/>
    <row r="202" spans="15:24" customFormat="1" ht="15"/>
    <row r="203" spans="15:24" customFormat="1" ht="15"/>
    <row r="204" spans="15:24" customFormat="1" ht="15"/>
    <row r="205" spans="15:24" customFormat="1" ht="15"/>
    <row r="206" spans="15:24" customFormat="1" ht="15"/>
    <row r="207" spans="15:24" customFormat="1" ht="15"/>
    <row r="208" spans="15:24" customFormat="1" ht="15"/>
    <row r="209" spans="3:30" customFormat="1" ht="15"/>
    <row r="210" spans="3:30">
      <c r="C210" s="319"/>
      <c r="G210" s="327"/>
      <c r="H210" s="327"/>
      <c r="J210" s="319"/>
      <c r="N210" s="327"/>
      <c r="O210" s="341"/>
      <c r="Q210" s="319"/>
      <c r="T210" s="327"/>
      <c r="U210" s="327"/>
      <c r="V210" s="341"/>
      <c r="X210" s="319"/>
      <c r="AB210" s="327"/>
      <c r="AC210" s="341"/>
      <c r="AD210" s="341"/>
    </row>
    <row r="211" spans="3:30">
      <c r="C211" s="319"/>
      <c r="G211" s="328"/>
      <c r="H211" s="328"/>
      <c r="J211" s="319"/>
      <c r="N211" s="328"/>
      <c r="Q211" s="319"/>
      <c r="T211" s="328"/>
      <c r="U211" s="328"/>
      <c r="X211" s="319"/>
      <c r="AB211" s="328"/>
    </row>
    <row r="213" spans="3:30">
      <c r="C213" s="326"/>
      <c r="J213" s="326"/>
      <c r="Q213" s="326"/>
      <c r="X213" s="326"/>
    </row>
    <row r="214" spans="3:30">
      <c r="C214" s="319"/>
      <c r="G214" s="308"/>
      <c r="H214" s="308"/>
      <c r="J214" s="319"/>
      <c r="N214" s="308"/>
      <c r="Q214" s="319"/>
      <c r="T214" s="308"/>
      <c r="U214" s="308"/>
      <c r="X214" s="319"/>
      <c r="AB214" s="308"/>
    </row>
    <row r="215" spans="3:30">
      <c r="C215" s="319"/>
      <c r="G215" s="327"/>
      <c r="H215" s="327"/>
      <c r="J215" s="319"/>
      <c r="N215" s="327"/>
      <c r="O215" s="341"/>
      <c r="Q215" s="319"/>
      <c r="T215" s="327"/>
      <c r="U215" s="327"/>
      <c r="V215" s="341"/>
      <c r="X215" s="319"/>
      <c r="AB215" s="327"/>
      <c r="AC215" s="341"/>
      <c r="AD215" s="341"/>
    </row>
    <row r="216" spans="3:30">
      <c r="C216" s="319"/>
      <c r="G216" s="328"/>
      <c r="H216" s="328"/>
      <c r="J216" s="319"/>
      <c r="N216" s="328"/>
      <c r="Q216" s="319"/>
      <c r="T216" s="328"/>
      <c r="U216" s="328"/>
      <c r="X216" s="319"/>
      <c r="AB216" s="328"/>
    </row>
    <row r="218" spans="3:30">
      <c r="C218" s="326"/>
      <c r="J218" s="326"/>
      <c r="Q218" s="326"/>
      <c r="X218" s="326"/>
    </row>
    <row r="219" spans="3:30">
      <c r="C219" s="319"/>
      <c r="G219" s="308"/>
      <c r="H219" s="308"/>
      <c r="J219" s="319"/>
      <c r="N219" s="308"/>
      <c r="Q219" s="319"/>
      <c r="T219" s="308"/>
      <c r="U219" s="308"/>
      <c r="X219" s="319"/>
      <c r="AB219" s="308"/>
    </row>
    <row r="220" spans="3:30">
      <c r="C220" s="319"/>
      <c r="G220" s="327"/>
      <c r="H220" s="327"/>
      <c r="J220" s="319"/>
      <c r="N220" s="327"/>
      <c r="O220" s="341"/>
      <c r="Q220" s="319"/>
      <c r="T220" s="327"/>
      <c r="U220" s="327"/>
      <c r="V220" s="341"/>
      <c r="X220" s="319"/>
      <c r="AB220" s="327"/>
      <c r="AC220" s="341"/>
      <c r="AD220" s="341"/>
    </row>
    <row r="221" spans="3:30">
      <c r="C221" s="319"/>
      <c r="G221" s="328"/>
      <c r="H221" s="328"/>
      <c r="J221" s="319"/>
      <c r="N221" s="328"/>
      <c r="Q221" s="319"/>
      <c r="T221" s="328"/>
      <c r="U221" s="328"/>
      <c r="X221" s="319"/>
      <c r="AB221" s="328"/>
    </row>
  </sheetData>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58ABF-F462-40D5-8F62-3FD6B1DF9177}">
  <dimension ref="B2:O47"/>
  <sheetViews>
    <sheetView topLeftCell="A34" zoomScaleNormal="100" zoomScaleSheetLayoutView="100" workbookViewId="0">
      <selection activeCell="F13" sqref="F13"/>
    </sheetView>
  </sheetViews>
  <sheetFormatPr baseColWidth="10" defaultColWidth="9.1640625" defaultRowHeight="15" outlineLevelRow="1"/>
  <cols>
    <col min="1" max="1" width="3" style="896" customWidth="1"/>
    <col min="2" max="2" width="27.83203125" style="1359" customWidth="1"/>
    <col min="3" max="3" width="9.1640625" style="896" bestFit="1" customWidth="1"/>
    <col min="4" max="4" width="10.1640625" style="1249" bestFit="1" customWidth="1"/>
    <col min="5" max="5" width="14.5" style="896" customWidth="1"/>
    <col min="6" max="6" width="14.6640625" style="896" bestFit="1" customWidth="1"/>
    <col min="7" max="7" width="14" style="896" customWidth="1"/>
    <col min="8" max="8" width="13.83203125" style="1249" customWidth="1"/>
    <col min="9" max="9" width="22.5" style="1249" customWidth="1"/>
    <col min="10" max="11" width="9.1640625" style="896"/>
    <col min="12" max="12" width="10.83203125" style="896" bestFit="1" customWidth="1"/>
    <col min="13" max="16384" width="9.1640625" style="896"/>
  </cols>
  <sheetData>
    <row r="2" spans="2:15">
      <c r="B2" s="1315" t="s">
        <v>2097</v>
      </c>
    </row>
    <row r="3" spans="2:15">
      <c r="B3" s="1315" t="s">
        <v>2140</v>
      </c>
      <c r="D3" s="1316"/>
      <c r="E3" s="1317" t="s">
        <v>2141</v>
      </c>
    </row>
    <row r="4" spans="2:15">
      <c r="B4" s="1253" t="s">
        <v>2142</v>
      </c>
    </row>
    <row r="6" spans="2:15" ht="15" customHeight="1">
      <c r="B6" s="1313"/>
      <c r="C6" s="1312"/>
      <c r="D6" s="1312"/>
      <c r="E6" s="1312" t="s">
        <v>2143</v>
      </c>
      <c r="F6" s="1312" t="s">
        <v>2144</v>
      </c>
      <c r="G6" s="1312"/>
      <c r="H6" s="1312"/>
      <c r="I6" s="1312"/>
      <c r="O6" s="896">
        <v>39272</v>
      </c>
    </row>
    <row r="7" spans="2:15" ht="15" customHeight="1">
      <c r="B7" s="1375" t="s">
        <v>478</v>
      </c>
      <c r="C7" s="1376" t="s">
        <v>2145</v>
      </c>
      <c r="D7" s="1376" t="s">
        <v>471</v>
      </c>
      <c r="E7" s="1376" t="s">
        <v>2066</v>
      </c>
      <c r="F7" s="1376" t="s">
        <v>2066</v>
      </c>
      <c r="G7" s="1312" t="s">
        <v>2146</v>
      </c>
      <c r="H7" s="1376" t="s">
        <v>2147</v>
      </c>
      <c r="I7" s="1312" t="s">
        <v>2148</v>
      </c>
      <c r="O7" s="896">
        <f>D21/O6</f>
        <v>0.55253106539009977</v>
      </c>
    </row>
    <row r="8" spans="2:15" ht="20" customHeight="1">
      <c r="B8" s="1318" t="s">
        <v>2149</v>
      </c>
      <c r="C8" s="1319"/>
      <c r="D8" s="1319"/>
      <c r="E8" s="1319"/>
      <c r="F8" s="1319"/>
      <c r="G8" s="1320"/>
      <c r="H8" s="1319"/>
      <c r="I8" s="1320"/>
    </row>
    <row r="9" spans="2:15" ht="20" customHeight="1">
      <c r="B9" s="1321" t="s">
        <v>2150</v>
      </c>
      <c r="C9" s="1322" t="s">
        <v>2151</v>
      </c>
      <c r="D9" s="1323">
        <v>3194</v>
      </c>
      <c r="E9" s="1324">
        <v>3.01</v>
      </c>
      <c r="F9" s="1324">
        <v>6.1865998747651849</v>
      </c>
      <c r="G9" s="1325">
        <f t="shared" ref="G9:G21" si="0">+F9/E9-1</f>
        <v>1.0553487956030514</v>
      </c>
      <c r="H9" s="1323" t="s">
        <v>2152</v>
      </c>
      <c r="I9" s="1326" t="s">
        <v>2150</v>
      </c>
      <c r="K9" s="1327">
        <f>D9*E9</f>
        <v>9613.9399999999987</v>
      </c>
      <c r="L9" s="1328">
        <f>D9*F9</f>
        <v>19760</v>
      </c>
    </row>
    <row r="10" spans="2:15" ht="20" customHeight="1">
      <c r="B10" s="1321" t="s">
        <v>1564</v>
      </c>
      <c r="C10" s="1329">
        <v>130</v>
      </c>
      <c r="D10" s="1323">
        <v>4288</v>
      </c>
      <c r="E10" s="1324">
        <v>2.82</v>
      </c>
      <c r="F10" s="1324">
        <v>6.1427728544776121</v>
      </c>
      <c r="G10" s="1325">
        <f t="shared" si="0"/>
        <v>1.1782882462686568</v>
      </c>
      <c r="H10" s="1330" t="s">
        <v>2152</v>
      </c>
      <c r="I10" s="1331" t="s">
        <v>1564</v>
      </c>
      <c r="K10" s="1327">
        <f t="shared" ref="K10:K18" si="1">D10*E10</f>
        <v>12092.16</v>
      </c>
      <c r="L10" s="1328">
        <f t="shared" ref="L10:L18" si="2">D10*F10</f>
        <v>26340.21</v>
      </c>
    </row>
    <row r="11" spans="2:15" ht="20" customHeight="1">
      <c r="B11" s="1321" t="s">
        <v>1969</v>
      </c>
      <c r="C11" s="1332" t="s">
        <v>2153</v>
      </c>
      <c r="D11" s="1323">
        <v>1028</v>
      </c>
      <c r="E11" s="1324">
        <v>3.84</v>
      </c>
      <c r="F11" s="1324">
        <v>6.0311284046692606</v>
      </c>
      <c r="G11" s="1325">
        <f t="shared" si="0"/>
        <v>0.57060635538261995</v>
      </c>
      <c r="H11" s="1323" t="s">
        <v>2154</v>
      </c>
      <c r="I11" s="1333" t="s">
        <v>2155</v>
      </c>
      <c r="K11" s="1327">
        <f t="shared" si="1"/>
        <v>3947.52</v>
      </c>
      <c r="L11" s="1328">
        <f t="shared" si="2"/>
        <v>6200</v>
      </c>
    </row>
    <row r="12" spans="2:15" ht="20" customHeight="1">
      <c r="B12" s="1321" t="s">
        <v>1560</v>
      </c>
      <c r="C12" s="1329">
        <v>180</v>
      </c>
      <c r="D12" s="1323">
        <v>874</v>
      </c>
      <c r="E12" s="1324">
        <v>2.75</v>
      </c>
      <c r="F12" s="1324">
        <v>6.0996563573883158</v>
      </c>
      <c r="G12" s="1325">
        <f t="shared" si="0"/>
        <v>1.2180568572321149</v>
      </c>
      <c r="H12" s="1334" t="s">
        <v>2154</v>
      </c>
      <c r="I12" s="1331" t="s">
        <v>2156</v>
      </c>
      <c r="K12" s="1327">
        <f t="shared" si="1"/>
        <v>2403.5</v>
      </c>
      <c r="L12" s="1328">
        <f t="shared" si="2"/>
        <v>5331.0996563573881</v>
      </c>
    </row>
    <row r="13" spans="2:15" ht="20" customHeight="1">
      <c r="B13" s="1335" t="s">
        <v>2157</v>
      </c>
      <c r="C13" s="1329">
        <v>110</v>
      </c>
      <c r="D13" s="1323">
        <v>2539</v>
      </c>
      <c r="E13" s="1324">
        <v>4.84</v>
      </c>
      <c r="F13" s="1324">
        <v>6.1001732965734545</v>
      </c>
      <c r="G13" s="1325">
        <f t="shared" si="0"/>
        <v>0.26036638358955666</v>
      </c>
      <c r="H13" s="1323" t="s">
        <v>2152</v>
      </c>
      <c r="I13" s="1333" t="s">
        <v>2157</v>
      </c>
      <c r="K13" s="1327">
        <f t="shared" si="1"/>
        <v>12288.76</v>
      </c>
      <c r="L13" s="1328">
        <f t="shared" si="2"/>
        <v>15488.34</v>
      </c>
    </row>
    <row r="14" spans="2:15" ht="20" customHeight="1">
      <c r="B14" s="1335" t="s">
        <v>1569</v>
      </c>
      <c r="C14" s="1332" t="s">
        <v>2158</v>
      </c>
      <c r="D14" s="1323">
        <v>2269</v>
      </c>
      <c r="E14" s="1324">
        <v>4.0199999999999996</v>
      </c>
      <c r="F14" s="1324">
        <v>5.5</v>
      </c>
      <c r="G14" s="1325">
        <f t="shared" si="0"/>
        <v>0.3681592039800996</v>
      </c>
      <c r="H14" s="1323" t="s">
        <v>2154</v>
      </c>
      <c r="I14" s="1333" t="s">
        <v>2159</v>
      </c>
      <c r="K14" s="1327">
        <f t="shared" si="1"/>
        <v>9121.3799999999992</v>
      </c>
      <c r="L14" s="1328">
        <f t="shared" si="2"/>
        <v>12479.5</v>
      </c>
    </row>
    <row r="15" spans="2:15" ht="20" customHeight="1">
      <c r="B15" s="1335" t="s">
        <v>2160</v>
      </c>
      <c r="C15" s="1322" t="s">
        <v>2161</v>
      </c>
      <c r="D15" s="1323">
        <v>872</v>
      </c>
      <c r="E15" s="1336">
        <v>4</v>
      </c>
      <c r="F15" s="1324">
        <v>6</v>
      </c>
      <c r="G15" s="1325">
        <f>+F15/E15-1</f>
        <v>0.5</v>
      </c>
      <c r="H15" s="1337" t="s">
        <v>2154</v>
      </c>
      <c r="I15" s="1326" t="s">
        <v>2162</v>
      </c>
      <c r="K15" s="1327">
        <f>D15*E15</f>
        <v>3488</v>
      </c>
      <c r="L15" s="1328">
        <f>D15*F15</f>
        <v>5232</v>
      </c>
      <c r="N15" s="1338" t="s">
        <v>2163</v>
      </c>
    </row>
    <row r="16" spans="2:15" ht="20" customHeight="1">
      <c r="B16" s="1335" t="s">
        <v>2164</v>
      </c>
      <c r="C16" s="1329">
        <v>160</v>
      </c>
      <c r="D16" s="1323">
        <f>1764+371-371</f>
        <v>1764</v>
      </c>
      <c r="E16" s="1324">
        <v>3.65</v>
      </c>
      <c r="F16" s="1324">
        <f>(10826-(2.88*371*0))/D16</f>
        <v>6.1371882086167799</v>
      </c>
      <c r="G16" s="1325">
        <f t="shared" si="0"/>
        <v>0.68142142701829589</v>
      </c>
      <c r="H16" s="1339" t="s">
        <v>2154</v>
      </c>
      <c r="I16" s="1340" t="s">
        <v>2165</v>
      </c>
      <c r="K16" s="1327">
        <f t="shared" si="1"/>
        <v>6438.5999999999995</v>
      </c>
      <c r="L16" s="1328">
        <f t="shared" si="2"/>
        <v>10826</v>
      </c>
    </row>
    <row r="17" spans="2:13" ht="20" customHeight="1">
      <c r="B17" s="1335" t="s">
        <v>1565</v>
      </c>
      <c r="C17" s="1329">
        <v>70</v>
      </c>
      <c r="D17" s="1323">
        <v>2904</v>
      </c>
      <c r="E17" s="1324">
        <v>3.6</v>
      </c>
      <c r="F17" s="1324">
        <v>5.75</v>
      </c>
      <c r="G17" s="1325">
        <f t="shared" si="0"/>
        <v>0.5972222222222221</v>
      </c>
      <c r="H17" s="1339" t="s">
        <v>2152</v>
      </c>
      <c r="I17" s="1340" t="s">
        <v>1565</v>
      </c>
      <c r="K17" s="1327">
        <f t="shared" si="1"/>
        <v>10454.4</v>
      </c>
      <c r="L17" s="1328">
        <f t="shared" si="2"/>
        <v>16698</v>
      </c>
    </row>
    <row r="18" spans="2:13" ht="20" customHeight="1">
      <c r="B18" s="1335" t="s">
        <v>2166</v>
      </c>
      <c r="C18" s="1329">
        <v>80</v>
      </c>
      <c r="D18" s="1323">
        <f>1095+316-316</f>
        <v>1095</v>
      </c>
      <c r="E18" s="1341">
        <v>3.55</v>
      </c>
      <c r="F18" s="1324">
        <f>(6315-750.5)/D18</f>
        <v>5.0817351598173515</v>
      </c>
      <c r="G18" s="1325">
        <f>+F18/E18-1</f>
        <v>0.43147469290629625</v>
      </c>
      <c r="H18" s="1339" t="s">
        <v>2154</v>
      </c>
      <c r="I18" s="1340" t="s">
        <v>2167</v>
      </c>
      <c r="K18" s="1327">
        <f t="shared" si="1"/>
        <v>3887.25</v>
      </c>
      <c r="L18" s="1328">
        <f t="shared" si="2"/>
        <v>5564.5</v>
      </c>
    </row>
    <row r="19" spans="2:13" ht="20" customHeight="1">
      <c r="B19" s="1335" t="s">
        <v>2168</v>
      </c>
      <c r="C19" s="1342">
        <v>10</v>
      </c>
      <c r="D19" s="1323">
        <v>872</v>
      </c>
      <c r="E19" s="1324">
        <v>6</v>
      </c>
      <c r="F19" s="1324">
        <v>6.1</v>
      </c>
      <c r="G19" s="1325">
        <f>+F19/E19-1</f>
        <v>1.6666666666666607E-2</v>
      </c>
      <c r="H19" s="1337" t="s">
        <v>2154</v>
      </c>
      <c r="I19" s="1326" t="s">
        <v>2160</v>
      </c>
      <c r="K19" s="1327"/>
      <c r="L19" s="1328"/>
    </row>
    <row r="20" spans="2:13" ht="19.5" hidden="1" customHeight="1">
      <c r="B20" s="1335"/>
      <c r="C20" s="1329"/>
      <c r="D20" s="1323"/>
      <c r="E20" s="1341"/>
      <c r="F20" s="1324"/>
      <c r="G20" s="1343"/>
      <c r="H20" s="1339"/>
      <c r="I20" s="1340"/>
      <c r="K20" s="1327"/>
      <c r="L20" s="1328"/>
    </row>
    <row r="21" spans="2:13" ht="20" customHeight="1" thickBot="1">
      <c r="B21" s="1344" t="s">
        <v>2169</v>
      </c>
      <c r="C21" s="1345"/>
      <c r="D21" s="1346">
        <f>SUM(D9:D19)</f>
        <v>21699</v>
      </c>
      <c r="E21" s="1347">
        <f>SUMPRODUCT($D$9:$D$19, E9:E19)/$D$21</f>
        <v>3.6392234665191943</v>
      </c>
      <c r="F21" s="1347">
        <f>SUMPRODUCT($D$9:$D$19, F9:F19)/$D$21</f>
        <v>5.9559818266444253</v>
      </c>
      <c r="G21" s="1348">
        <f t="shared" si="0"/>
        <v>0.63660788666576162</v>
      </c>
      <c r="H21" s="1349"/>
      <c r="I21" s="1350"/>
      <c r="K21" s="1351">
        <f>SUM(K9:K18)</f>
        <v>73735.509999999995</v>
      </c>
      <c r="L21" s="1351">
        <f>SUM(L9:L18)</f>
        <v>123919.64965635739</v>
      </c>
      <c r="M21" s="1351">
        <f>L21-K21</f>
        <v>50184.139656357394</v>
      </c>
    </row>
    <row r="22" spans="2:13" ht="20" customHeight="1" outlineLevel="1">
      <c r="B22" s="1352" t="s">
        <v>2170</v>
      </c>
      <c r="C22" s="1353"/>
      <c r="D22" s="1354"/>
      <c r="E22" s="1353"/>
      <c r="F22" s="1353"/>
      <c r="G22" s="1355"/>
      <c r="H22" s="1356"/>
      <c r="I22" s="1357"/>
      <c r="M22" s="896">
        <f>M21/K21</f>
        <v>0.68059663052927144</v>
      </c>
    </row>
    <row r="23" spans="2:13" ht="20" customHeight="1" outlineLevel="1">
      <c r="B23" s="1335" t="s">
        <v>2171</v>
      </c>
      <c r="C23" s="1342">
        <v>50</v>
      </c>
      <c r="D23" s="1358" t="s">
        <v>2172</v>
      </c>
      <c r="E23" s="1324" t="s">
        <v>462</v>
      </c>
      <c r="F23" s="1341" t="s">
        <v>2173</v>
      </c>
      <c r="G23" s="1341" t="s">
        <v>2173</v>
      </c>
      <c r="H23" s="1337" t="s">
        <v>2154</v>
      </c>
      <c r="I23" s="1326" t="s">
        <v>2174</v>
      </c>
    </row>
    <row r="24" spans="2:13" ht="20" customHeight="1" outlineLevel="1">
      <c r="B24" s="1359" t="s">
        <v>2175</v>
      </c>
      <c r="C24" s="1342">
        <v>50</v>
      </c>
      <c r="D24" s="1323">
        <v>1706</v>
      </c>
      <c r="E24" s="1324">
        <v>3.7</v>
      </c>
      <c r="F24" s="1360">
        <v>5.25</v>
      </c>
      <c r="G24" s="1325">
        <f>+F24/E24-1</f>
        <v>0.41891891891891886</v>
      </c>
      <c r="H24" s="1337" t="s">
        <v>2154</v>
      </c>
      <c r="I24" s="1326" t="s">
        <v>2174</v>
      </c>
      <c r="L24" s="1361"/>
    </row>
    <row r="25" spans="2:13" ht="20" customHeight="1" outlineLevel="1">
      <c r="B25" s="1359" t="s">
        <v>2176</v>
      </c>
      <c r="C25" s="1342">
        <v>90</v>
      </c>
      <c r="D25" s="1323">
        <v>2769</v>
      </c>
      <c r="E25" s="1324">
        <v>4.5999999999999996</v>
      </c>
      <c r="F25" s="1360">
        <v>3.75</v>
      </c>
      <c r="G25" s="1325">
        <f>+F25/E25-1</f>
        <v>-0.18478260869565211</v>
      </c>
      <c r="H25" s="1337" t="s">
        <v>2154</v>
      </c>
      <c r="I25" s="1326" t="s">
        <v>2177</v>
      </c>
      <c r="L25" s="1361"/>
    </row>
    <row r="26" spans="2:13" ht="20" customHeight="1" outlineLevel="1">
      <c r="B26" s="1359" t="s">
        <v>2178</v>
      </c>
      <c r="C26" s="1342">
        <v>90</v>
      </c>
      <c r="D26" s="1323">
        <v>2769</v>
      </c>
      <c r="E26" s="1324">
        <v>4.5999999999999996</v>
      </c>
      <c r="F26" s="1360">
        <v>4.25</v>
      </c>
      <c r="G26" s="1325">
        <f>+F26/E26-1</f>
        <v>-7.6086956521739024E-2</v>
      </c>
      <c r="H26" s="1337" t="s">
        <v>2154</v>
      </c>
      <c r="I26" s="1326" t="s">
        <v>2177</v>
      </c>
      <c r="L26" s="1361"/>
    </row>
    <row r="27" spans="2:13" ht="20" customHeight="1" outlineLevel="1">
      <c r="B27" s="1359" t="s">
        <v>2179</v>
      </c>
      <c r="C27" s="1342">
        <v>170</v>
      </c>
      <c r="D27" s="1323">
        <v>600</v>
      </c>
      <c r="E27" s="1324">
        <v>3.23</v>
      </c>
      <c r="F27" s="1360">
        <v>6</v>
      </c>
      <c r="G27" s="1325">
        <f>+F27/E27-1</f>
        <v>0.85758513931888536</v>
      </c>
      <c r="H27" s="1337" t="s">
        <v>2154</v>
      </c>
      <c r="I27" s="1326" t="s">
        <v>2180</v>
      </c>
      <c r="L27" s="1361"/>
    </row>
    <row r="28" spans="2:13" ht="20" customHeight="1" outlineLevel="1">
      <c r="B28" s="1359" t="s">
        <v>2181</v>
      </c>
      <c r="C28" s="1342">
        <v>300</v>
      </c>
      <c r="D28" s="1323">
        <v>5097</v>
      </c>
      <c r="E28" s="1324">
        <v>2.75</v>
      </c>
      <c r="F28" s="1360">
        <v>2.5</v>
      </c>
      <c r="G28" s="1325">
        <f>+F28/E28-1</f>
        <v>-9.0909090909090939E-2</v>
      </c>
      <c r="H28" s="1337" t="s">
        <v>2154</v>
      </c>
      <c r="I28" s="1326" t="s">
        <v>2182</v>
      </c>
      <c r="J28" s="1362" t="s">
        <v>2183</v>
      </c>
      <c r="L28" s="1361"/>
    </row>
    <row r="29" spans="2:13" ht="2.25" customHeight="1" outlineLevel="1">
      <c r="F29" s="1250"/>
    </row>
    <row r="30" spans="2:13" ht="20" customHeight="1" outlineLevel="1" thickBot="1">
      <c r="B30" s="1344" t="s">
        <v>2184</v>
      </c>
      <c r="C30" s="1345"/>
      <c r="D30" s="1346">
        <f>SUM(D21:D29)</f>
        <v>34640</v>
      </c>
      <c r="E30" s="1347">
        <f>(SUMPRODUCT($D$9:$D$19, E9:E19)+SUMPRODUCT($D$23:$D$29,E23:E29))/$D$30</f>
        <v>3.6578885681293301</v>
      </c>
      <c r="F30" s="1347">
        <f>(SUMPRODUCT($D$9:$D$19, F9:F19)+SUMPRODUCT($D$23:$D$29,F23:F29))/$D$30</f>
        <v>5.100746237192765</v>
      </c>
      <c r="G30" s="1348">
        <f>+F30/E30-1</f>
        <v>0.39445096322366169</v>
      </c>
      <c r="H30" s="1349"/>
      <c r="I30" s="1350"/>
      <c r="L30" s="1363">
        <v>0.83451781541352477</v>
      </c>
    </row>
    <row r="31" spans="2:13" ht="15" customHeight="1">
      <c r="B31" s="1364" t="s">
        <v>2185</v>
      </c>
      <c r="C31" s="1281"/>
      <c r="D31" s="1365"/>
      <c r="E31" s="1281"/>
      <c r="F31" s="1281"/>
      <c r="G31" s="1366"/>
      <c r="H31" s="1367"/>
      <c r="I31" s="1368"/>
    </row>
    <row r="32" spans="2:13" ht="15" customHeight="1">
      <c r="B32" s="1364" t="s">
        <v>2186</v>
      </c>
    </row>
    <row r="33" spans="2:12" ht="15" customHeight="1">
      <c r="B33" s="1364" t="s">
        <v>2187</v>
      </c>
    </row>
    <row r="34" spans="2:12" ht="15" customHeight="1">
      <c r="B34" s="1364" t="s">
        <v>2188</v>
      </c>
    </row>
    <row r="35" spans="2:12" ht="15" customHeight="1">
      <c r="B35" s="1364" t="s">
        <v>2189</v>
      </c>
    </row>
    <row r="36" spans="2:12" ht="15" customHeight="1">
      <c r="B36" s="1364" t="s">
        <v>2190</v>
      </c>
    </row>
    <row r="37" spans="2:12">
      <c r="B37" s="1369" t="s">
        <v>2191</v>
      </c>
    </row>
    <row r="38" spans="2:12" ht="16">
      <c r="B38" s="1335" t="s">
        <v>2192</v>
      </c>
      <c r="C38" s="1342">
        <v>170</v>
      </c>
      <c r="D38" s="1323">
        <v>867</v>
      </c>
      <c r="E38" s="1324">
        <v>3.37</v>
      </c>
      <c r="F38" s="1324">
        <v>6.5</v>
      </c>
      <c r="G38" s="1370">
        <f>+F38/E38-1</f>
        <v>0.92878338278931749</v>
      </c>
      <c r="H38" s="1337" t="s">
        <v>2154</v>
      </c>
      <c r="I38" s="1326" t="s">
        <v>2193</v>
      </c>
    </row>
    <row r="39" spans="2:12" ht="16">
      <c r="B39" s="1335" t="s">
        <v>2194</v>
      </c>
      <c r="C39" s="1342">
        <v>170</v>
      </c>
      <c r="D39" s="1323">
        <v>867</v>
      </c>
      <c r="E39" s="1324">
        <v>3.37</v>
      </c>
      <c r="F39" s="1324">
        <v>6.5</v>
      </c>
      <c r="G39" s="1370">
        <f>+F39/E39-1</f>
        <v>0.92878338278931749</v>
      </c>
      <c r="H39" s="1337" t="s">
        <v>2154</v>
      </c>
      <c r="I39" s="1326" t="s">
        <v>2193</v>
      </c>
    </row>
    <row r="40" spans="2:12" ht="16">
      <c r="B40" s="1335" t="s">
        <v>2195</v>
      </c>
      <c r="C40" s="1342">
        <v>170</v>
      </c>
      <c r="D40" s="1323">
        <v>867</v>
      </c>
      <c r="E40" s="1324">
        <v>3.37</v>
      </c>
      <c r="F40" s="1324">
        <v>5</v>
      </c>
      <c r="G40" s="1370">
        <f>+F40/E40-1</f>
        <v>0.48367952522255186</v>
      </c>
      <c r="H40" s="1337" t="s">
        <v>2154</v>
      </c>
      <c r="I40" s="1326" t="s">
        <v>2193</v>
      </c>
    </row>
    <row r="41" spans="2:12" ht="16">
      <c r="B41" s="1256" t="s">
        <v>2196</v>
      </c>
      <c r="C41" s="1255">
        <v>50</v>
      </c>
      <c r="D41" s="1371">
        <v>1850</v>
      </c>
      <c r="E41" s="1324">
        <v>3.7</v>
      </c>
      <c r="F41" s="1324">
        <v>5.75</v>
      </c>
      <c r="G41" s="1370">
        <f>+F41/E41-1</f>
        <v>0.55405405405405395</v>
      </c>
      <c r="H41" s="1337" t="s">
        <v>2154</v>
      </c>
      <c r="I41" s="1326" t="s">
        <v>2197</v>
      </c>
    </row>
    <row r="42" spans="2:12" ht="16">
      <c r="B42" s="1359" t="s">
        <v>2198</v>
      </c>
      <c r="C42" s="1249" t="s">
        <v>1956</v>
      </c>
      <c r="D42" s="1372">
        <f>867+5259</f>
        <v>6126</v>
      </c>
      <c r="E42" s="1324">
        <f>((2.1*5259)+(867*3.5))/D42</f>
        <v>2.2981390793339864</v>
      </c>
      <c r="F42" s="1324">
        <f>((3.33*5259)+(867*3.95))/D42</f>
        <v>3.4177473065621942</v>
      </c>
      <c r="G42" s="1370">
        <f>+F42/E42-1</f>
        <v>0.487180361404705</v>
      </c>
      <c r="H42" s="1337" t="s">
        <v>2154</v>
      </c>
      <c r="I42" s="1326" t="s">
        <v>2199</v>
      </c>
    </row>
    <row r="44" spans="2:12" ht="16">
      <c r="B44" s="1335" t="s">
        <v>2177</v>
      </c>
      <c r="C44" s="1332" t="s">
        <v>2200</v>
      </c>
      <c r="D44" s="1323">
        <v>2769</v>
      </c>
      <c r="E44" s="1324">
        <v>4.17</v>
      </c>
      <c r="F44" s="1324">
        <v>0</v>
      </c>
      <c r="G44" s="1373">
        <f t="shared" ref="G44" si="3">+F44/E44-1</f>
        <v>-1</v>
      </c>
      <c r="H44" s="1323" t="s">
        <v>2154</v>
      </c>
      <c r="I44" s="1326" t="s">
        <v>2201</v>
      </c>
      <c r="K44" s="1327">
        <f t="shared" ref="K44" si="4">D44*E44</f>
        <v>11546.73</v>
      </c>
      <c r="L44" s="1328">
        <f t="shared" ref="L44" si="5">D44*F44</f>
        <v>0</v>
      </c>
    </row>
    <row r="47" spans="2:12">
      <c r="D47" s="1374"/>
    </row>
  </sheetData>
  <pageMargins left="0.7" right="0.7" top="0.75" bottom="0.75" header="0.3" footer="0.3"/>
  <pageSetup scale="54" orientation="portrait" verticalDpi="1200" r:id="rId1"/>
  <colBreaks count="1" manualBreakCount="1">
    <brk id="12" max="37"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5A683-FCD2-4C97-80FD-4D30FA927878}">
  <sheetPr>
    <pageSetUpPr fitToPage="1"/>
  </sheetPr>
  <dimension ref="B2:M41"/>
  <sheetViews>
    <sheetView topLeftCell="A16" zoomScale="85" zoomScaleNormal="85" workbookViewId="0">
      <selection activeCell="F13" sqref="F13"/>
    </sheetView>
  </sheetViews>
  <sheetFormatPr baseColWidth="10" defaultColWidth="9.1640625" defaultRowHeight="15" outlineLevelCol="1"/>
  <cols>
    <col min="1" max="1" width="4.6640625" style="896" bestFit="1" customWidth="1"/>
    <col min="2" max="2" width="9.33203125" style="896" bestFit="1" customWidth="1"/>
    <col min="3" max="3" width="24.1640625" style="896" customWidth="1"/>
    <col min="4" max="4" width="20" style="896" hidden="1" customWidth="1" outlineLevel="1"/>
    <col min="5" max="5" width="8.5" style="896" customWidth="1" collapsed="1"/>
    <col min="6" max="6" width="11.5" style="896" bestFit="1" customWidth="1"/>
    <col min="7" max="7" width="14.6640625" style="896" bestFit="1" customWidth="1"/>
    <col min="8" max="8" width="9.5" style="896" bestFit="1" customWidth="1"/>
    <col min="9" max="10" width="13.33203125" style="896" customWidth="1"/>
    <col min="11" max="11" width="14.1640625" style="896" customWidth="1"/>
    <col min="12" max="12" width="11.83203125" style="896" customWidth="1"/>
    <col min="13" max="13" width="2" style="896" customWidth="1"/>
    <col min="14" max="16384" width="9.1640625" style="896"/>
  </cols>
  <sheetData>
    <row r="2" spans="2:13">
      <c r="B2" s="1253" t="s">
        <v>2097</v>
      </c>
      <c r="C2"/>
      <c r="D2"/>
    </row>
    <row r="3" spans="2:13">
      <c r="B3" s="1253" t="s">
        <v>2098</v>
      </c>
      <c r="E3" s="1248"/>
      <c r="F3" s="1254"/>
    </row>
    <row r="4" spans="2:13">
      <c r="B4" s="1253" t="s">
        <v>2099</v>
      </c>
      <c r="E4" s="1254"/>
    </row>
    <row r="6" spans="2:13" ht="15" customHeight="1">
      <c r="B6" s="1312" t="s">
        <v>2100</v>
      </c>
      <c r="C6" s="1313" t="s">
        <v>2101</v>
      </c>
      <c r="D6" s="1313" t="s">
        <v>2102</v>
      </c>
      <c r="E6" s="1314" t="s">
        <v>417</v>
      </c>
      <c r="F6" s="1314" t="s">
        <v>2103</v>
      </c>
      <c r="G6" s="1314" t="s">
        <v>2104</v>
      </c>
      <c r="H6" s="1314" t="s">
        <v>506</v>
      </c>
      <c r="I6" s="1314" t="s">
        <v>2105</v>
      </c>
      <c r="J6" s="1314" t="s">
        <v>2106</v>
      </c>
      <c r="K6" s="1314" t="s">
        <v>2107</v>
      </c>
      <c r="L6" s="1314" t="s">
        <v>2107</v>
      </c>
      <c r="M6" s="1314"/>
    </row>
    <row r="7" spans="2:13" ht="15" customHeight="1">
      <c r="B7" s="1312"/>
      <c r="C7" s="1312"/>
      <c r="D7" s="1312"/>
      <c r="E7" s="1314"/>
      <c r="F7" s="1314"/>
      <c r="G7" s="1314"/>
      <c r="H7" s="1314"/>
      <c r="I7" s="1314" t="s">
        <v>2066</v>
      </c>
      <c r="J7" s="1314" t="s">
        <v>2202</v>
      </c>
      <c r="K7" s="1314" t="s">
        <v>2066</v>
      </c>
      <c r="L7" s="1314" t="s">
        <v>2202</v>
      </c>
      <c r="M7" s="1314"/>
    </row>
    <row r="8" spans="2:13" ht="20" customHeight="1">
      <c r="B8" s="1255">
        <v>20</v>
      </c>
      <c r="C8" s="1256" t="s">
        <v>2108</v>
      </c>
      <c r="D8" s="1256">
        <v>1</v>
      </c>
      <c r="E8" s="1257">
        <v>3194</v>
      </c>
      <c r="F8" s="1258">
        <v>40847</v>
      </c>
      <c r="G8" s="1258">
        <v>44500</v>
      </c>
      <c r="H8" s="1259">
        <v>120</v>
      </c>
      <c r="I8" s="1257">
        <v>19760</v>
      </c>
      <c r="J8" s="1260">
        <f>I8/E8</f>
        <v>6.1865998747651849</v>
      </c>
      <c r="K8" s="1257">
        <f>L8*E8</f>
        <v>237120</v>
      </c>
      <c r="L8" s="1260">
        <f>J8*12</f>
        <v>74.239198497182215</v>
      </c>
      <c r="M8" s="1260"/>
    </row>
    <row r="9" spans="2:13" ht="20" customHeight="1">
      <c r="B9" s="1255">
        <v>40</v>
      </c>
      <c r="C9" s="1256" t="s">
        <v>1569</v>
      </c>
      <c r="D9" s="1256">
        <v>1</v>
      </c>
      <c r="E9" s="1257">
        <v>2269</v>
      </c>
      <c r="F9" s="1258">
        <v>43243</v>
      </c>
      <c r="G9" s="1258">
        <v>46904</v>
      </c>
      <c r="H9" s="1259">
        <v>121</v>
      </c>
      <c r="I9" s="1257">
        <v>12479.5</v>
      </c>
      <c r="J9" s="1260">
        <f t="shared" ref="J9:J17" si="0">I9/E9</f>
        <v>5.5</v>
      </c>
      <c r="K9" s="1257">
        <f t="shared" ref="K9:K18" si="1">L9*E9</f>
        <v>149754</v>
      </c>
      <c r="L9" s="1260">
        <f t="shared" ref="L9:L18" si="2">J9*12</f>
        <v>66</v>
      </c>
      <c r="M9" s="1260"/>
    </row>
    <row r="10" spans="2:13" ht="20" customHeight="1">
      <c r="B10" s="1255">
        <v>70</v>
      </c>
      <c r="C10" s="1256" t="s">
        <v>2109</v>
      </c>
      <c r="D10" s="1256">
        <v>1</v>
      </c>
      <c r="E10" s="1257">
        <v>2904</v>
      </c>
      <c r="F10" s="1258">
        <v>41487</v>
      </c>
      <c r="G10" s="1258">
        <v>45291</v>
      </c>
      <c r="H10" s="1259">
        <v>60</v>
      </c>
      <c r="I10" s="1257">
        <v>17199</v>
      </c>
      <c r="J10" s="1260">
        <f t="shared" si="0"/>
        <v>5.9225206611570247</v>
      </c>
      <c r="K10" s="1257">
        <f t="shared" si="1"/>
        <v>206388.00000000003</v>
      </c>
      <c r="L10" s="1260">
        <f t="shared" si="2"/>
        <v>71.070247933884303</v>
      </c>
      <c r="M10" s="1260"/>
    </row>
    <row r="11" spans="2:13" ht="20" customHeight="1">
      <c r="B11" s="1255" t="s">
        <v>2110</v>
      </c>
      <c r="C11" s="1256" t="s">
        <v>1567</v>
      </c>
      <c r="D11" s="1256">
        <v>1</v>
      </c>
      <c r="E11" s="1257">
        <v>2539</v>
      </c>
      <c r="F11" s="1258">
        <v>43160</v>
      </c>
      <c r="G11" s="1258">
        <v>44985</v>
      </c>
      <c r="H11" s="1259">
        <v>60</v>
      </c>
      <c r="I11" s="1257">
        <v>15488.34</v>
      </c>
      <c r="J11" s="1260">
        <f t="shared" si="0"/>
        <v>6.1001732965734545</v>
      </c>
      <c r="K11" s="1257">
        <f t="shared" si="1"/>
        <v>185860.08000000002</v>
      </c>
      <c r="L11" s="1260">
        <f t="shared" si="2"/>
        <v>73.202079558881451</v>
      </c>
      <c r="M11" s="1260"/>
    </row>
    <row r="12" spans="2:13" ht="20" customHeight="1">
      <c r="B12" s="1255" t="s">
        <v>1561</v>
      </c>
      <c r="C12" s="1256" t="s">
        <v>2111</v>
      </c>
      <c r="D12" s="1256">
        <v>1</v>
      </c>
      <c r="E12" s="1257">
        <v>1028</v>
      </c>
      <c r="F12" s="1258">
        <v>42723</v>
      </c>
      <c r="G12" s="1258">
        <v>44681</v>
      </c>
      <c r="H12" s="1259">
        <v>65</v>
      </c>
      <c r="I12" s="1257">
        <v>6200</v>
      </c>
      <c r="J12" s="1260">
        <f t="shared" si="0"/>
        <v>6.0311284046692606</v>
      </c>
      <c r="K12" s="1257">
        <f t="shared" si="1"/>
        <v>74400</v>
      </c>
      <c r="L12" s="1260">
        <f t="shared" si="2"/>
        <v>72.373540856031127</v>
      </c>
      <c r="M12" s="1260"/>
    </row>
    <row r="13" spans="2:13" ht="20" customHeight="1">
      <c r="B13" s="1255" t="s">
        <v>2112</v>
      </c>
      <c r="C13" s="1256" t="s">
        <v>1564</v>
      </c>
      <c r="D13" s="1256">
        <v>1</v>
      </c>
      <c r="E13" s="1257">
        <v>4288</v>
      </c>
      <c r="F13" s="1258">
        <v>41487</v>
      </c>
      <c r="G13" s="1258">
        <v>45138</v>
      </c>
      <c r="H13" s="1259">
        <v>120</v>
      </c>
      <c r="I13" s="1257">
        <v>26340.21</v>
      </c>
      <c r="J13" s="1260">
        <f t="shared" si="0"/>
        <v>6.1427728544776121</v>
      </c>
      <c r="K13" s="1257">
        <f t="shared" si="1"/>
        <v>316082.52</v>
      </c>
      <c r="L13" s="1260">
        <f t="shared" si="2"/>
        <v>73.713274253731342</v>
      </c>
      <c r="M13" s="1260"/>
    </row>
    <row r="14" spans="2:13" ht="20" customHeight="1">
      <c r="B14" s="1255" t="s">
        <v>2113</v>
      </c>
      <c r="C14" s="1256" t="s">
        <v>2114</v>
      </c>
      <c r="D14" s="1256">
        <v>1</v>
      </c>
      <c r="E14" s="1257">
        <v>2860</v>
      </c>
      <c r="F14" s="1258">
        <v>41456</v>
      </c>
      <c r="G14" s="1258">
        <v>45107</v>
      </c>
      <c r="H14" s="1259">
        <v>120</v>
      </c>
      <c r="I14" s="1257">
        <v>8845</v>
      </c>
      <c r="J14" s="1260">
        <f t="shared" si="0"/>
        <v>3.0926573426573425</v>
      </c>
      <c r="K14" s="1257">
        <f t="shared" si="1"/>
        <v>106139.99999999999</v>
      </c>
      <c r="L14" s="1260">
        <f t="shared" si="2"/>
        <v>37.111888111888106</v>
      </c>
      <c r="M14" s="1260"/>
    </row>
    <row r="15" spans="2:13" ht="20" customHeight="1">
      <c r="B15" s="1255" t="s">
        <v>1965</v>
      </c>
      <c r="C15" s="1256" t="s">
        <v>2115</v>
      </c>
      <c r="D15" s="1256">
        <v>1</v>
      </c>
      <c r="E15" s="1257">
        <f>874+872</f>
        <v>1746</v>
      </c>
      <c r="F15" s="1258">
        <v>42825</v>
      </c>
      <c r="G15" s="1258">
        <v>44834</v>
      </c>
      <c r="H15" s="1259">
        <v>67</v>
      </c>
      <c r="I15" s="1257">
        <v>10650</v>
      </c>
      <c r="J15" s="1260">
        <f t="shared" si="0"/>
        <v>6.0996563573883158</v>
      </c>
      <c r="K15" s="1257">
        <f t="shared" si="1"/>
        <v>127799.99999999999</v>
      </c>
      <c r="L15" s="1260">
        <f t="shared" si="2"/>
        <v>73.19587628865979</v>
      </c>
      <c r="M15" s="1260"/>
    </row>
    <row r="16" spans="2:13" ht="20" customHeight="1">
      <c r="B16" s="1255">
        <v>80</v>
      </c>
      <c r="C16" s="1256" t="s">
        <v>2116</v>
      </c>
      <c r="D16" s="1256">
        <v>1</v>
      </c>
      <c r="E16" s="1257">
        <v>1095</v>
      </c>
      <c r="F16" s="1258">
        <v>43708</v>
      </c>
      <c r="G16" s="1258">
        <v>47422</v>
      </c>
      <c r="H16" s="1261">
        <v>120</v>
      </c>
      <c r="I16" s="1257">
        <v>6504.4</v>
      </c>
      <c r="J16" s="1260">
        <f t="shared" si="0"/>
        <v>5.940091324200913</v>
      </c>
      <c r="K16" s="1257">
        <f t="shared" si="1"/>
        <v>78052.799999999988</v>
      </c>
      <c r="L16" s="1260">
        <f t="shared" si="2"/>
        <v>71.281095890410953</v>
      </c>
      <c r="M16" s="1260"/>
    </row>
    <row r="17" spans="2:13" ht="20" customHeight="1">
      <c r="B17" s="1255" t="s">
        <v>2117</v>
      </c>
      <c r="C17" s="1256" t="s">
        <v>1568</v>
      </c>
      <c r="D17" s="1256">
        <v>1</v>
      </c>
      <c r="E17" s="1257">
        <v>1764</v>
      </c>
      <c r="F17" s="1258">
        <v>43431</v>
      </c>
      <c r="G17" s="1258">
        <v>47269</v>
      </c>
      <c r="H17" s="1261">
        <v>126</v>
      </c>
      <c r="I17" s="1257">
        <v>11151.14</v>
      </c>
      <c r="J17" s="1260">
        <f t="shared" si="0"/>
        <v>6.3215079365079365</v>
      </c>
      <c r="K17" s="1257">
        <f t="shared" si="1"/>
        <v>133813.68000000002</v>
      </c>
      <c r="L17" s="1260">
        <f t="shared" si="2"/>
        <v>75.858095238095245</v>
      </c>
      <c r="M17" s="1260"/>
    </row>
    <row r="18" spans="2:13" ht="20" customHeight="1">
      <c r="B18" s="1255">
        <v>50</v>
      </c>
      <c r="C18" s="1256" t="s">
        <v>2118</v>
      </c>
      <c r="D18" s="1256">
        <v>1</v>
      </c>
      <c r="E18" s="1257">
        <v>1706</v>
      </c>
      <c r="F18" s="1262">
        <v>44196</v>
      </c>
      <c r="G18" s="1258">
        <f>EOMONTH(F18,180)</f>
        <v>49674</v>
      </c>
      <c r="H18" s="1261">
        <v>180</v>
      </c>
      <c r="I18" s="1261">
        <f>J18*E18</f>
        <v>8956.5</v>
      </c>
      <c r="J18" s="1263">
        <v>5.25</v>
      </c>
      <c r="K18" s="1257">
        <f t="shared" si="1"/>
        <v>107478</v>
      </c>
      <c r="L18" s="1260">
        <f t="shared" si="2"/>
        <v>63</v>
      </c>
      <c r="M18" s="1263"/>
    </row>
    <row r="19" spans="2:13" ht="20" customHeight="1">
      <c r="B19" s="1255">
        <v>90</v>
      </c>
      <c r="C19" s="1256" t="s">
        <v>2119</v>
      </c>
      <c r="D19" s="1256">
        <v>0</v>
      </c>
      <c r="E19" s="1257">
        <v>2769</v>
      </c>
      <c r="F19" s="1263">
        <v>0</v>
      </c>
      <c r="G19" s="1263">
        <v>0</v>
      </c>
      <c r="H19" s="1261">
        <v>0</v>
      </c>
      <c r="I19" s="1263">
        <v>0</v>
      </c>
      <c r="J19" s="1263">
        <v>0</v>
      </c>
      <c r="K19" s="1263">
        <v>0</v>
      </c>
      <c r="L19" s="1263">
        <v>0</v>
      </c>
      <c r="M19" s="1263"/>
    </row>
    <row r="20" spans="2:13" ht="20" customHeight="1">
      <c r="B20" s="1255" t="s">
        <v>2120</v>
      </c>
      <c r="C20" s="1256" t="s">
        <v>2119</v>
      </c>
      <c r="D20" s="1256">
        <v>0</v>
      </c>
      <c r="E20" s="1257">
        <v>867</v>
      </c>
      <c r="F20" s="1263">
        <v>0</v>
      </c>
      <c r="G20" s="1263">
        <v>0</v>
      </c>
      <c r="H20" s="1261">
        <v>0</v>
      </c>
      <c r="I20" s="1263">
        <v>0</v>
      </c>
      <c r="J20" s="1263">
        <v>0</v>
      </c>
      <c r="K20" s="1263">
        <v>0</v>
      </c>
      <c r="L20" s="1263">
        <v>0</v>
      </c>
      <c r="M20" s="1263"/>
    </row>
    <row r="21" spans="2:13" ht="20" customHeight="1">
      <c r="B21" s="1255" t="s">
        <v>2121</v>
      </c>
      <c r="C21" s="1256" t="s">
        <v>2119</v>
      </c>
      <c r="D21" s="1256">
        <v>0</v>
      </c>
      <c r="E21" s="1257">
        <v>5259</v>
      </c>
      <c r="F21" s="1263">
        <v>0</v>
      </c>
      <c r="G21" s="1263">
        <v>0</v>
      </c>
      <c r="H21" s="1261">
        <v>0</v>
      </c>
      <c r="I21" s="1263">
        <v>0</v>
      </c>
      <c r="J21" s="1263">
        <v>0</v>
      </c>
      <c r="K21" s="1263">
        <v>0</v>
      </c>
      <c r="L21" s="1263">
        <v>0</v>
      </c>
      <c r="M21" s="1263"/>
    </row>
    <row r="22" spans="2:13" ht="20" customHeight="1">
      <c r="B22" s="1255" t="s">
        <v>2122</v>
      </c>
      <c r="C22" s="1256" t="s">
        <v>2119</v>
      </c>
      <c r="D22" s="1256">
        <v>0</v>
      </c>
      <c r="E22" s="1257">
        <v>4841</v>
      </c>
      <c r="F22" s="1263">
        <v>0</v>
      </c>
      <c r="G22" s="1263">
        <v>0</v>
      </c>
      <c r="H22" s="1261">
        <v>0</v>
      </c>
      <c r="I22" s="1263">
        <v>0</v>
      </c>
      <c r="J22" s="1263">
        <v>0</v>
      </c>
      <c r="K22" s="1263">
        <v>0</v>
      </c>
      <c r="L22" s="1263">
        <v>0</v>
      </c>
      <c r="M22" s="1263"/>
    </row>
    <row r="23" spans="2:13" ht="1" customHeight="1">
      <c r="B23" s="1255"/>
      <c r="C23" s="1256"/>
      <c r="D23" s="1256"/>
      <c r="E23" s="1257"/>
      <c r="F23" s="1263"/>
      <c r="G23" s="1263"/>
      <c r="H23" s="1261"/>
      <c r="I23" s="1263"/>
      <c r="J23" s="1263"/>
      <c r="K23" s="1263"/>
      <c r="L23" s="1263"/>
      <c r="M23" s="1263"/>
    </row>
    <row r="24" spans="2:13" ht="20" customHeight="1">
      <c r="B24" s="1264" t="s">
        <v>2123</v>
      </c>
      <c r="C24" s="1265"/>
      <c r="D24" s="1265"/>
      <c r="E24" s="1266">
        <f>SUM(E8:E23)</f>
        <v>39129</v>
      </c>
      <c r="F24" s="1267"/>
      <c r="G24" s="1268"/>
      <c r="H24" s="1269"/>
      <c r="I24" s="1270">
        <f>SUM(I8:I18)</f>
        <v>143574.08999999997</v>
      </c>
      <c r="J24" s="1271">
        <f>SUM(I8:I18)/SUM($E$8:$E$18)</f>
        <v>5.6540814397668635</v>
      </c>
      <c r="K24" s="1270">
        <f>+I24*12</f>
        <v>1722889.0799999996</v>
      </c>
      <c r="L24" s="1271">
        <f>SUM(K8:K18)/SUM($E$8:$E$18)</f>
        <v>67.84897727720238</v>
      </c>
      <c r="M24" s="1271"/>
    </row>
    <row r="25" spans="2:13" ht="20" customHeight="1">
      <c r="B25" s="1272"/>
      <c r="C25" s="1273" t="s">
        <v>2124</v>
      </c>
      <c r="D25" s="1274"/>
      <c r="E25" s="1275">
        <f>SUMIF(D8:D23,1,E8:E23)/E24</f>
        <v>0.64895601727618901</v>
      </c>
      <c r="F25" s="1276"/>
      <c r="G25" s="1641"/>
      <c r="H25" s="1641"/>
      <c r="I25" s="1641"/>
      <c r="J25" s="1277"/>
      <c r="K25" s="1278"/>
      <c r="L25" s="1278"/>
      <c r="M25" s="1278"/>
    </row>
    <row r="26" spans="2:13" ht="20" customHeight="1">
      <c r="B26" s="1279" t="s">
        <v>2125</v>
      </c>
      <c r="C26" s="1280"/>
      <c r="D26" s="1281"/>
      <c r="E26" s="1282"/>
      <c r="F26" s="1283"/>
      <c r="G26" s="1280"/>
      <c r="H26" s="1280"/>
      <c r="I26" s="1280"/>
      <c r="J26" s="1284"/>
      <c r="K26" s="1285"/>
      <c r="L26" s="1285"/>
      <c r="M26" s="1285"/>
    </row>
    <row r="27" spans="2:13" ht="20" customHeight="1">
      <c r="B27" s="1255">
        <v>80</v>
      </c>
      <c r="C27" s="1256" t="s">
        <v>2116</v>
      </c>
      <c r="D27" s="1256" t="s">
        <v>2126</v>
      </c>
      <c r="E27" s="1257">
        <v>316</v>
      </c>
      <c r="F27" s="1286">
        <f>+F16</f>
        <v>43708</v>
      </c>
      <c r="G27" s="1286">
        <f>+G16</f>
        <v>47422</v>
      </c>
      <c r="H27" s="1263">
        <v>0</v>
      </c>
      <c r="I27" s="1261">
        <v>750.5</v>
      </c>
      <c r="J27" s="1263">
        <f>+I27/E27</f>
        <v>2.375</v>
      </c>
      <c r="K27" s="1261">
        <f>+I27*12</f>
        <v>9006</v>
      </c>
      <c r="L27" s="1260">
        <f t="shared" ref="L27:L29" si="3">J27*12</f>
        <v>28.5</v>
      </c>
      <c r="M27" s="1260"/>
    </row>
    <row r="28" spans="2:13" ht="20" customHeight="1">
      <c r="B28" s="1255">
        <v>130</v>
      </c>
      <c r="C28" s="1256" t="s">
        <v>2127</v>
      </c>
      <c r="D28" s="1256"/>
      <c r="E28" s="1257">
        <v>700</v>
      </c>
      <c r="F28" s="1286">
        <f>+F13</f>
        <v>41487</v>
      </c>
      <c r="G28" s="1286">
        <f>+G13</f>
        <v>45138</v>
      </c>
      <c r="H28" s="1263">
        <v>0</v>
      </c>
      <c r="I28" s="1261">
        <v>1915</v>
      </c>
      <c r="J28" s="1263">
        <f>+I28/E28</f>
        <v>2.7357142857142858</v>
      </c>
      <c r="K28" s="1261">
        <f>+I28*12</f>
        <v>22980</v>
      </c>
      <c r="L28" s="1260">
        <f t="shared" si="3"/>
        <v>32.828571428571429</v>
      </c>
      <c r="M28" s="1260"/>
    </row>
    <row r="29" spans="2:13" ht="20" customHeight="1">
      <c r="B29" s="1255">
        <v>160</v>
      </c>
      <c r="C29" s="1256" t="s">
        <v>1568</v>
      </c>
      <c r="D29" s="1281"/>
      <c r="E29" s="1257">
        <v>371</v>
      </c>
      <c r="F29" s="1286">
        <f>+F17</f>
        <v>43431</v>
      </c>
      <c r="G29" s="1286">
        <f>+G17</f>
        <v>47269</v>
      </c>
      <c r="H29" s="1263">
        <v>0</v>
      </c>
      <c r="I29" s="1261">
        <f>+J29*E29</f>
        <v>1068.48</v>
      </c>
      <c r="J29" s="1263">
        <v>2.88</v>
      </c>
      <c r="K29" s="1261">
        <f>+I29*12</f>
        <v>12821.76</v>
      </c>
      <c r="L29" s="1260">
        <f t="shared" si="3"/>
        <v>34.56</v>
      </c>
      <c r="M29" s="1260"/>
    </row>
    <row r="30" spans="2:13" ht="20" customHeight="1">
      <c r="B30" s="1255">
        <v>300</v>
      </c>
      <c r="C30" s="1256" t="s">
        <v>2119</v>
      </c>
      <c r="D30" s="1281"/>
      <c r="E30" s="1257">
        <v>775</v>
      </c>
      <c r="F30" s="1263">
        <v>0</v>
      </c>
      <c r="G30" s="1263">
        <v>0</v>
      </c>
      <c r="H30" s="1263">
        <v>0</v>
      </c>
      <c r="I30" s="1263">
        <v>0</v>
      </c>
      <c r="J30" s="1263">
        <v>0</v>
      </c>
      <c r="K30" s="1263">
        <v>0</v>
      </c>
      <c r="L30" s="1263">
        <v>0</v>
      </c>
      <c r="M30" s="1263"/>
    </row>
    <row r="31" spans="2:13" ht="20" customHeight="1">
      <c r="B31" s="1255">
        <v>50</v>
      </c>
      <c r="C31" s="1256" t="s">
        <v>2119</v>
      </c>
      <c r="D31" s="1281"/>
      <c r="E31" s="1257">
        <v>218</v>
      </c>
      <c r="F31" s="1263">
        <v>0</v>
      </c>
      <c r="G31" s="1263">
        <v>0</v>
      </c>
      <c r="H31" s="1263">
        <v>0</v>
      </c>
      <c r="I31" s="1263">
        <v>0</v>
      </c>
      <c r="J31" s="1263">
        <v>0</v>
      </c>
      <c r="K31" s="1263">
        <v>0</v>
      </c>
      <c r="L31" s="1263">
        <v>0</v>
      </c>
      <c r="M31" s="1263"/>
    </row>
    <row r="32" spans="2:13" ht="1" customHeight="1">
      <c r="B32" s="1255"/>
      <c r="C32" s="1256"/>
      <c r="D32" s="1281"/>
      <c r="E32" s="1257"/>
      <c r="F32" s="1286"/>
      <c r="G32" s="1286"/>
      <c r="H32" s="1263"/>
      <c r="I32" s="1263"/>
      <c r="J32" s="1263"/>
      <c r="K32" s="1263"/>
      <c r="L32" s="1263"/>
      <c r="M32" s="1263"/>
    </row>
    <row r="33" spans="2:13" ht="20" customHeight="1">
      <c r="B33" s="1264" t="s">
        <v>2123</v>
      </c>
      <c r="C33" s="1287"/>
      <c r="D33" s="1288"/>
      <c r="E33" s="1289">
        <f>SUM(E27:E32)</f>
        <v>2380</v>
      </c>
      <c r="F33" s="1290"/>
      <c r="G33" s="1291"/>
      <c r="H33" s="1291"/>
      <c r="I33" s="1270">
        <f>SUM(I27:I30)</f>
        <v>3733.98</v>
      </c>
      <c r="J33" s="1271">
        <f>SUM(I27:I29)/SUM(E27:E29)</f>
        <v>2.6921268925739006</v>
      </c>
      <c r="K33" s="1270">
        <f>+I33*12</f>
        <v>44807.76</v>
      </c>
      <c r="L33" s="1271">
        <f>+J33*12</f>
        <v>32.305522710886805</v>
      </c>
      <c r="M33" s="1271"/>
    </row>
    <row r="34" spans="2:13" ht="5" customHeight="1">
      <c r="B34" s="1279"/>
      <c r="C34" s="1256"/>
      <c r="D34" s="1281"/>
      <c r="E34" s="1292"/>
      <c r="F34" s="1293"/>
      <c r="G34" s="1280"/>
      <c r="H34" s="1280"/>
      <c r="I34" s="1294"/>
      <c r="J34" s="1295"/>
      <c r="K34" s="1294"/>
      <c r="L34" s="1295"/>
      <c r="M34" s="1295"/>
    </row>
    <row r="35" spans="2:13" ht="20" customHeight="1" thickBot="1">
      <c r="B35" s="1296" t="s">
        <v>2128</v>
      </c>
      <c r="C35" s="1297"/>
      <c r="D35" s="1298"/>
      <c r="E35" s="1299">
        <f>+E33+E24</f>
        <v>41509</v>
      </c>
      <c r="F35" s="1300" t="s">
        <v>2129</v>
      </c>
      <c r="G35" s="1301"/>
      <c r="H35" s="1301"/>
      <c r="I35" s="1302">
        <f>+I33+I24</f>
        <v>147308.06999999998</v>
      </c>
      <c r="J35" s="1303" t="s">
        <v>462</v>
      </c>
      <c r="K35" s="1302">
        <f>+K33+K24</f>
        <v>1767696.8399999996</v>
      </c>
      <c r="L35" s="1303">
        <f>+K35/E35</f>
        <v>42.58586908863137</v>
      </c>
      <c r="M35" s="1303"/>
    </row>
    <row r="36" spans="2:13" ht="17" thickTop="1">
      <c r="B36" s="1304" t="s">
        <v>2130</v>
      </c>
      <c r="C36" s="1281"/>
      <c r="D36" s="1281"/>
      <c r="E36" s="1305"/>
      <c r="F36" s="1281"/>
      <c r="G36" s="1281"/>
      <c r="H36" s="1306"/>
      <c r="I36" s="1285"/>
      <c r="J36" s="1285"/>
      <c r="K36" s="1285"/>
      <c r="L36" s="1285"/>
      <c r="M36" s="1285"/>
    </row>
    <row r="37" spans="2:13">
      <c r="B37" s="1307" t="s">
        <v>2131</v>
      </c>
      <c r="C37" s="1281"/>
      <c r="D37" s="1281"/>
      <c r="E37" s="1305"/>
      <c r="F37" s="1281"/>
      <c r="G37" s="1281"/>
      <c r="H37" s="1306"/>
      <c r="I37" s="1285"/>
      <c r="J37" s="1285"/>
      <c r="K37" s="1285"/>
      <c r="L37" s="1285"/>
      <c r="M37" s="1285"/>
    </row>
    <row r="38" spans="2:13">
      <c r="B38" s="1307" t="s">
        <v>2132</v>
      </c>
      <c r="C38" s="1281"/>
      <c r="D38" s="1281"/>
      <c r="E38" s="1305"/>
      <c r="F38" s="1281"/>
      <c r="G38" s="1281"/>
      <c r="H38" s="1306"/>
      <c r="I38" s="1285"/>
      <c r="J38" s="1285"/>
      <c r="K38" s="1285"/>
      <c r="L38" s="1285"/>
      <c r="M38" s="1285"/>
    </row>
    <row r="39" spans="2:13">
      <c r="B39" s="1307" t="s">
        <v>2133</v>
      </c>
      <c r="H39" s="1308"/>
      <c r="I39" s="1308"/>
      <c r="J39" s="1309"/>
      <c r="K39" s="1308"/>
      <c r="L39" s="1308"/>
      <c r="M39" s="1308"/>
    </row>
    <row r="40" spans="2:13">
      <c r="B40" s="1307" t="s">
        <v>2134</v>
      </c>
      <c r="H40" s="1308"/>
      <c r="I40" s="1308"/>
      <c r="J40" s="1309"/>
      <c r="K40" s="1308"/>
      <c r="L40" s="1308"/>
      <c r="M40" s="1308"/>
    </row>
    <row r="41" spans="2:13">
      <c r="B41" s="1307" t="s">
        <v>2135</v>
      </c>
    </row>
  </sheetData>
  <mergeCells count="1">
    <mergeCell ref="G25:I25"/>
  </mergeCells>
  <pageMargins left="0.7" right="0.7" top="0.75" bottom="0.75" header="0.3" footer="0.3"/>
  <pageSetup scale="58" orientation="portrait" verticalDpi="4294967295"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19CCE-CE56-4367-8B8C-D49CB3224087}">
  <dimension ref="B3:I15"/>
  <sheetViews>
    <sheetView showGridLines="0" zoomScale="130" zoomScaleNormal="130" workbookViewId="0">
      <selection activeCell="C179" sqref="C179"/>
    </sheetView>
  </sheetViews>
  <sheetFormatPr baseColWidth="10" defaultColWidth="9.1640625" defaultRowHeight="13"/>
  <cols>
    <col min="1" max="1" width="9.1640625" style="927"/>
    <col min="2" max="2" width="13.33203125" style="927" bestFit="1" customWidth="1"/>
    <col min="3" max="4" width="13" style="927" customWidth="1"/>
    <col min="5" max="5" width="24" style="927" customWidth="1"/>
    <col min="6" max="6" width="21.83203125" style="927" customWidth="1"/>
    <col min="7" max="7" width="16" style="927" customWidth="1"/>
    <col min="8" max="8" width="9.6640625" style="927" bestFit="1" customWidth="1"/>
    <col min="9" max="9" width="50.83203125" style="927" bestFit="1" customWidth="1"/>
    <col min="10" max="16384" width="9.1640625" style="927"/>
  </cols>
  <sheetData>
    <row r="3" spans="2:9" ht="15">
      <c r="B3" s="1085" t="s">
        <v>1519</v>
      </c>
      <c r="C3" s="1085" t="s">
        <v>138</v>
      </c>
      <c r="D3" s="1085" t="s">
        <v>1537</v>
      </c>
      <c r="E3" s="1086" t="s">
        <v>48</v>
      </c>
      <c r="F3" s="1086" t="s">
        <v>1520</v>
      </c>
      <c r="G3" s="1086" t="s">
        <v>1521</v>
      </c>
      <c r="H3" s="1086" t="s">
        <v>1522</v>
      </c>
      <c r="I3" s="1085" t="s">
        <v>608</v>
      </c>
    </row>
    <row r="4" spans="2:9" ht="15">
      <c r="B4" s="1087">
        <v>1</v>
      </c>
      <c r="C4" s="1088">
        <v>42551</v>
      </c>
      <c r="D4" s="1088">
        <f>EOMONTH(C4,0)</f>
        <v>42551</v>
      </c>
      <c r="E4" s="1089">
        <v>1500000</v>
      </c>
      <c r="F4" s="1089">
        <v>1500000</v>
      </c>
      <c r="G4" s="1089">
        <v>0</v>
      </c>
      <c r="H4" s="1090" t="s">
        <v>1523</v>
      </c>
      <c r="I4" s="1091" t="s">
        <v>1524</v>
      </c>
    </row>
    <row r="5" spans="2:9" ht="15">
      <c r="B5" s="1087">
        <v>2</v>
      </c>
      <c r="C5" s="1088">
        <v>42551</v>
      </c>
      <c r="D5" s="1088">
        <f t="shared" ref="D5:D14" si="0">EOMONTH(C5,0)</f>
        <v>42551</v>
      </c>
      <c r="E5" s="1089">
        <v>33750</v>
      </c>
      <c r="F5" s="1089">
        <v>33750</v>
      </c>
      <c r="G5" s="1089">
        <v>0</v>
      </c>
      <c r="H5" s="1090" t="s">
        <v>1523</v>
      </c>
      <c r="I5" s="1091" t="s">
        <v>1525</v>
      </c>
    </row>
    <row r="6" spans="2:9" ht="15">
      <c r="B6" s="1087">
        <v>3</v>
      </c>
      <c r="C6" s="1088">
        <v>42551</v>
      </c>
      <c r="D6" s="1088">
        <f t="shared" si="0"/>
        <v>42551</v>
      </c>
      <c r="E6" s="1089">
        <v>12174158.15</v>
      </c>
      <c r="F6" s="1089">
        <v>11900000</v>
      </c>
      <c r="G6" s="1089">
        <v>274158.15000000002</v>
      </c>
      <c r="H6" s="1090" t="s">
        <v>1523</v>
      </c>
      <c r="I6" s="1091" t="s">
        <v>1526</v>
      </c>
    </row>
    <row r="7" spans="2:9" ht="15">
      <c r="B7" s="1087">
        <v>7</v>
      </c>
      <c r="C7" s="1088">
        <v>42703</v>
      </c>
      <c r="D7" s="1088">
        <f t="shared" si="0"/>
        <v>42704</v>
      </c>
      <c r="E7" s="1209">
        <v>150825</v>
      </c>
      <c r="F7" s="1089">
        <v>147808.5</v>
      </c>
      <c r="G7" s="1089">
        <v>3016.5</v>
      </c>
      <c r="H7" s="1090" t="s">
        <v>1523</v>
      </c>
      <c r="I7" s="1091" t="s">
        <v>1527</v>
      </c>
    </row>
    <row r="8" spans="2:9" ht="15">
      <c r="B8" s="1092" t="s">
        <v>1528</v>
      </c>
      <c r="C8" s="1088">
        <v>42943</v>
      </c>
      <c r="D8" s="1088">
        <f t="shared" si="0"/>
        <v>42947</v>
      </c>
      <c r="E8" s="1209">
        <v>79175</v>
      </c>
      <c r="F8" s="1089">
        <v>77591.5</v>
      </c>
      <c r="G8" s="1089">
        <v>1583.5</v>
      </c>
      <c r="H8" s="1090" t="s">
        <v>1523</v>
      </c>
      <c r="I8" s="1091" t="s">
        <v>1529</v>
      </c>
    </row>
    <row r="9" spans="2:9" ht="15">
      <c r="B9" s="1087">
        <v>18</v>
      </c>
      <c r="C9" s="1088">
        <v>43193</v>
      </c>
      <c r="D9" s="1088">
        <f t="shared" si="0"/>
        <v>43220</v>
      </c>
      <c r="E9" s="1209">
        <v>310000</v>
      </c>
      <c r="F9" s="1089">
        <v>303800</v>
      </c>
      <c r="G9" s="1089">
        <v>6200</v>
      </c>
      <c r="H9" s="1090" t="s">
        <v>1523</v>
      </c>
      <c r="I9" s="1091" t="s">
        <v>1530</v>
      </c>
    </row>
    <row r="10" spans="2:9" ht="15">
      <c r="B10" s="1087">
        <v>33</v>
      </c>
      <c r="C10" s="1088">
        <v>43805</v>
      </c>
      <c r="D10" s="1088">
        <f t="shared" si="0"/>
        <v>43830</v>
      </c>
      <c r="E10" s="1089">
        <v>141080</v>
      </c>
      <c r="F10" s="1089">
        <v>138180</v>
      </c>
      <c r="G10" s="1089">
        <v>2900</v>
      </c>
      <c r="H10" s="1093" t="s">
        <v>1523</v>
      </c>
      <c r="I10" s="1094" t="s">
        <v>1516</v>
      </c>
    </row>
    <row r="11" spans="2:9" ht="15">
      <c r="B11" s="1087">
        <v>35</v>
      </c>
      <c r="C11" s="1088">
        <v>43866</v>
      </c>
      <c r="D11" s="1088">
        <f t="shared" si="0"/>
        <v>43890</v>
      </c>
      <c r="E11" s="1089">
        <v>248200</v>
      </c>
      <c r="F11" s="1089">
        <v>243236</v>
      </c>
      <c r="G11" s="1089">
        <v>4964</v>
      </c>
      <c r="H11" s="1093" t="s">
        <v>1523</v>
      </c>
      <c r="I11" s="1094" t="s">
        <v>1531</v>
      </c>
    </row>
    <row r="12" spans="2:9" ht="15">
      <c r="B12" s="1087">
        <v>37</v>
      </c>
      <c r="C12" s="1088">
        <v>43897</v>
      </c>
      <c r="D12" s="1088">
        <f t="shared" si="0"/>
        <v>43921</v>
      </c>
      <c r="E12" s="1089">
        <v>160300</v>
      </c>
      <c r="F12" s="1089">
        <v>157094</v>
      </c>
      <c r="G12" s="1089">
        <v>3206</v>
      </c>
      <c r="H12" s="1093" t="s">
        <v>1523</v>
      </c>
      <c r="I12" s="1094" t="s">
        <v>1532</v>
      </c>
    </row>
    <row r="13" spans="2:9" ht="15">
      <c r="B13" s="1087">
        <v>38</v>
      </c>
      <c r="C13" s="1088">
        <v>43907</v>
      </c>
      <c r="D13" s="1088">
        <f t="shared" si="0"/>
        <v>43921</v>
      </c>
      <c r="E13" s="1095">
        <v>159700</v>
      </c>
      <c r="F13" s="1089">
        <v>156506</v>
      </c>
      <c r="G13" s="1089">
        <v>3194</v>
      </c>
      <c r="H13" s="1090" t="s">
        <v>1523</v>
      </c>
      <c r="I13" s="1094" t="s">
        <v>1533</v>
      </c>
    </row>
    <row r="14" spans="2:9" ht="15">
      <c r="B14" s="1096">
        <v>42</v>
      </c>
      <c r="C14" s="1097">
        <v>44004</v>
      </c>
      <c r="D14" s="1088">
        <f t="shared" si="0"/>
        <v>44012</v>
      </c>
      <c r="E14" s="1098">
        <v>617000</v>
      </c>
      <c r="F14" s="1099">
        <v>604660</v>
      </c>
      <c r="G14" s="1099">
        <v>12340</v>
      </c>
      <c r="H14" s="1100" t="s">
        <v>1523</v>
      </c>
      <c r="I14" s="1101" t="s">
        <v>1534</v>
      </c>
    </row>
    <row r="15" spans="2:9">
      <c r="C15" s="1102" t="s">
        <v>84</v>
      </c>
      <c r="D15" s="1108"/>
      <c r="E15" s="1103">
        <f>SUM(E4:E14)</f>
        <v>15574188.15</v>
      </c>
    </row>
  </sheetData>
  <pageMargins left="0.7" right="0.7" top="0.75" bottom="0.75" header="0.3" footer="0.3"/>
  <pageSetup orientation="portrait" verticalDpi="0"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37E8D-041C-4F5D-B0ED-D2DA47F64326}">
  <dimension ref="A1:M175"/>
  <sheetViews>
    <sheetView showGridLines="0" topLeftCell="A142" workbookViewId="0">
      <selection activeCell="C179" sqref="C179"/>
    </sheetView>
  </sheetViews>
  <sheetFormatPr baseColWidth="10" defaultColWidth="9.1640625" defaultRowHeight="13"/>
  <cols>
    <col min="1" max="1" width="9.1640625" style="1200"/>
    <col min="2" max="2" width="11.5" style="927" customWidth="1"/>
    <col min="3" max="3" width="15.6640625" style="927" customWidth="1"/>
    <col min="4" max="4" width="10" style="927" customWidth="1"/>
    <col min="5" max="5" width="7.1640625" style="927" customWidth="1"/>
    <col min="6" max="6" width="36.83203125" style="927" customWidth="1"/>
    <col min="7" max="8" width="8.5" style="927" customWidth="1"/>
    <col min="9" max="10" width="11.5" style="927" customWidth="1"/>
    <col min="11" max="11" width="14.33203125" style="927" customWidth="1"/>
    <col min="12" max="12" width="63.5" style="927" customWidth="1"/>
    <col min="13" max="16384" width="9.1640625" style="927"/>
  </cols>
  <sheetData>
    <row r="1" spans="1:12" ht="15" customHeight="1">
      <c r="A1" s="1199">
        <v>2020</v>
      </c>
      <c r="B1" s="1642" t="s">
        <v>1398</v>
      </c>
      <c r="C1" s="1642"/>
      <c r="D1" s="1642"/>
      <c r="E1" s="1642"/>
      <c r="F1" s="1642"/>
      <c r="G1" s="1642"/>
      <c r="H1" s="1642"/>
      <c r="I1" s="1642"/>
      <c r="J1" s="1642"/>
      <c r="K1" s="1642"/>
      <c r="L1" s="1642"/>
    </row>
    <row r="2" spans="1:12" ht="15.75" customHeight="1">
      <c r="B2" s="1643" t="s">
        <v>1405</v>
      </c>
      <c r="C2" s="1643"/>
      <c r="D2" s="1643"/>
      <c r="E2" s="1643"/>
      <c r="F2" s="1643"/>
      <c r="G2" s="1643"/>
      <c r="H2" s="1643"/>
      <c r="I2" s="1643"/>
      <c r="J2" s="1643"/>
      <c r="K2" s="1643"/>
      <c r="L2" s="1643"/>
    </row>
    <row r="3" spans="1:12" ht="15" customHeight="1">
      <c r="B3" s="1642" t="s">
        <v>1952</v>
      </c>
      <c r="C3" s="1642"/>
      <c r="D3" s="1642"/>
      <c r="E3" s="1642"/>
      <c r="F3" s="1642"/>
      <c r="G3" s="1642"/>
      <c r="H3" s="1642"/>
      <c r="I3" s="1642"/>
      <c r="J3" s="1642"/>
      <c r="K3" s="1642"/>
      <c r="L3" s="1642"/>
    </row>
    <row r="4" spans="1:12" ht="15" customHeight="1">
      <c r="B4" s="1642" t="s">
        <v>1951</v>
      </c>
      <c r="C4" s="1642"/>
      <c r="D4" s="1642"/>
      <c r="E4" s="1642"/>
      <c r="F4" s="1642"/>
      <c r="G4" s="1642"/>
      <c r="H4" s="1642"/>
      <c r="I4" s="1642"/>
      <c r="J4" s="1642"/>
      <c r="K4" s="1642"/>
      <c r="L4" s="1642"/>
    </row>
    <row r="5" spans="1:12" ht="15" customHeight="1">
      <c r="B5" s="1642" t="s">
        <v>1408</v>
      </c>
      <c r="C5" s="1642"/>
      <c r="D5" s="1642"/>
      <c r="E5" s="1642"/>
      <c r="F5" s="1642"/>
      <c r="G5" s="1642"/>
      <c r="H5" s="1642"/>
      <c r="I5" s="1642"/>
      <c r="J5" s="1642"/>
      <c r="K5" s="1642"/>
      <c r="L5" s="1642"/>
    </row>
    <row r="6" spans="1:12" ht="15" customHeight="1">
      <c r="B6" s="997" t="s">
        <v>475</v>
      </c>
      <c r="C6" s="997" t="s">
        <v>454</v>
      </c>
      <c r="D6" s="997" t="s">
        <v>138</v>
      </c>
      <c r="E6" s="997" t="s">
        <v>1409</v>
      </c>
      <c r="F6" s="997" t="s">
        <v>1410</v>
      </c>
      <c r="G6" s="997" t="s">
        <v>1411</v>
      </c>
      <c r="H6" s="997" t="s">
        <v>1412</v>
      </c>
      <c r="I6" s="1192" t="s">
        <v>749</v>
      </c>
      <c r="J6" s="1192" t="s">
        <v>750</v>
      </c>
      <c r="K6" s="1192" t="s">
        <v>1415</v>
      </c>
      <c r="L6" s="997" t="s">
        <v>1416</v>
      </c>
    </row>
    <row r="7" spans="1:12" s="1177" customFormat="1" ht="15" customHeight="1">
      <c r="A7" s="1201"/>
      <c r="B7" s="1188" t="s">
        <v>1950</v>
      </c>
      <c r="C7" s="1191"/>
      <c r="D7" s="1191"/>
      <c r="E7" s="1191"/>
      <c r="F7" s="1188" t="s">
        <v>1949</v>
      </c>
      <c r="G7" s="1191"/>
      <c r="H7" s="1191"/>
      <c r="I7" s="1190"/>
      <c r="J7" s="1190"/>
      <c r="K7" s="1189">
        <v>0</v>
      </c>
      <c r="L7" s="1188" t="s">
        <v>1419</v>
      </c>
    </row>
    <row r="8" spans="1:12" s="1177" customFormat="1" ht="15" customHeight="1">
      <c r="A8" s="1201"/>
      <c r="B8" s="984" t="s">
        <v>1420</v>
      </c>
      <c r="C8" s="984" t="s">
        <v>1421</v>
      </c>
      <c r="D8" s="1185">
        <v>42629</v>
      </c>
      <c r="E8" s="1184">
        <v>42705</v>
      </c>
      <c r="F8" s="984" t="s">
        <v>1686</v>
      </c>
      <c r="G8" s="984" t="s">
        <v>1948</v>
      </c>
      <c r="H8" s="984" t="s">
        <v>1947</v>
      </c>
      <c r="I8" s="990">
        <v>5665</v>
      </c>
      <c r="J8" s="990">
        <v>0</v>
      </c>
      <c r="K8" s="990">
        <v>5665</v>
      </c>
      <c r="L8" s="1173" t="s">
        <v>1692</v>
      </c>
    </row>
    <row r="9" spans="1:12" s="1177" customFormat="1" ht="15" customHeight="1">
      <c r="A9" s="1201"/>
      <c r="B9" s="984" t="s">
        <v>1420</v>
      </c>
      <c r="C9" s="984" t="s">
        <v>1421</v>
      </c>
      <c r="D9" s="1185">
        <v>42643</v>
      </c>
      <c r="E9" s="1184">
        <v>42705</v>
      </c>
      <c r="F9" s="984" t="s">
        <v>1775</v>
      </c>
      <c r="G9" s="984" t="s">
        <v>1946</v>
      </c>
      <c r="H9" s="984" t="s">
        <v>1945</v>
      </c>
      <c r="I9" s="990">
        <v>2187</v>
      </c>
      <c r="J9" s="990">
        <v>0</v>
      </c>
      <c r="K9" s="990">
        <v>7852</v>
      </c>
      <c r="L9" s="1173" t="s">
        <v>1944</v>
      </c>
    </row>
    <row r="10" spans="1:12" s="1177" customFormat="1" ht="15" customHeight="1">
      <c r="A10" s="1201"/>
      <c r="B10" s="984" t="s">
        <v>1420</v>
      </c>
      <c r="C10" s="984" t="s">
        <v>1421</v>
      </c>
      <c r="D10" s="1185">
        <v>42655</v>
      </c>
      <c r="E10" s="1184">
        <v>42705</v>
      </c>
      <c r="F10" s="984" t="s">
        <v>1686</v>
      </c>
      <c r="G10" s="984" t="s">
        <v>1943</v>
      </c>
      <c r="H10" s="984" t="s">
        <v>1942</v>
      </c>
      <c r="I10" s="990">
        <v>581</v>
      </c>
      <c r="J10" s="990">
        <v>0</v>
      </c>
      <c r="K10" s="990">
        <v>8433</v>
      </c>
      <c r="L10" s="1173" t="s">
        <v>1692</v>
      </c>
    </row>
    <row r="11" spans="1:12" s="1177" customFormat="1" ht="15" customHeight="1">
      <c r="A11" s="1201"/>
      <c r="B11" s="984" t="s">
        <v>1420</v>
      </c>
      <c r="C11" s="984" t="s">
        <v>1421</v>
      </c>
      <c r="D11" s="1185">
        <v>42674</v>
      </c>
      <c r="E11" s="1184">
        <v>42705</v>
      </c>
      <c r="F11" s="984" t="s">
        <v>1775</v>
      </c>
      <c r="G11" s="984" t="s">
        <v>1941</v>
      </c>
      <c r="H11" s="984" t="s">
        <v>1940</v>
      </c>
      <c r="I11" s="990">
        <v>1816.13</v>
      </c>
      <c r="J11" s="990">
        <v>0</v>
      </c>
      <c r="K11" s="990">
        <v>10249.129999999999</v>
      </c>
      <c r="L11" s="1173" t="s">
        <v>1939</v>
      </c>
    </row>
    <row r="12" spans="1:12" s="1177" customFormat="1" ht="15" customHeight="1">
      <c r="A12" s="1201"/>
      <c r="B12" s="984" t="s">
        <v>1420</v>
      </c>
      <c r="C12" s="984" t="s">
        <v>1421</v>
      </c>
      <c r="D12" s="1185">
        <v>42689</v>
      </c>
      <c r="E12" s="1184">
        <v>42705</v>
      </c>
      <c r="F12" s="984" t="s">
        <v>1686</v>
      </c>
      <c r="G12" s="984" t="s">
        <v>1938</v>
      </c>
      <c r="H12" s="984" t="s">
        <v>1937</v>
      </c>
      <c r="I12" s="990">
        <v>1272</v>
      </c>
      <c r="J12" s="990">
        <v>0</v>
      </c>
      <c r="K12" s="990">
        <v>11521.13</v>
      </c>
      <c r="L12" s="1173" t="s">
        <v>1692</v>
      </c>
    </row>
    <row r="13" spans="1:12" s="1177" customFormat="1" ht="15" customHeight="1">
      <c r="A13" s="1201"/>
      <c r="B13" s="984" t="s">
        <v>1420</v>
      </c>
      <c r="C13" s="984" t="s">
        <v>1421</v>
      </c>
      <c r="D13" s="1185">
        <v>42689</v>
      </c>
      <c r="E13" s="1184">
        <v>42705</v>
      </c>
      <c r="F13" s="984" t="s">
        <v>1686</v>
      </c>
      <c r="G13" s="984" t="s">
        <v>1936</v>
      </c>
      <c r="H13" s="984" t="s">
        <v>1935</v>
      </c>
      <c r="I13" s="990">
        <v>2275.8000000000002</v>
      </c>
      <c r="J13" s="990">
        <v>0</v>
      </c>
      <c r="K13" s="990">
        <v>13796.93</v>
      </c>
      <c r="L13" s="1173" t="s">
        <v>1692</v>
      </c>
    </row>
    <row r="14" spans="1:12" s="1177" customFormat="1" ht="15" customHeight="1">
      <c r="A14" s="1201"/>
      <c r="B14" s="984" t="s">
        <v>1420</v>
      </c>
      <c r="C14" s="984" t="s">
        <v>1421</v>
      </c>
      <c r="D14" s="1185">
        <v>42689</v>
      </c>
      <c r="E14" s="1184">
        <v>42705</v>
      </c>
      <c r="F14" s="984" t="s">
        <v>1686</v>
      </c>
      <c r="G14" s="984" t="s">
        <v>1934</v>
      </c>
      <c r="H14" s="984" t="s">
        <v>1933</v>
      </c>
      <c r="I14" s="990">
        <v>1164</v>
      </c>
      <c r="J14" s="990">
        <v>0</v>
      </c>
      <c r="K14" s="990">
        <v>14960.93</v>
      </c>
      <c r="L14" s="1173" t="s">
        <v>1692</v>
      </c>
    </row>
    <row r="15" spans="1:12" s="1177" customFormat="1" ht="15" customHeight="1">
      <c r="A15" s="1201"/>
      <c r="B15" s="984" t="s">
        <v>1420</v>
      </c>
      <c r="C15" s="984" t="s">
        <v>1421</v>
      </c>
      <c r="D15" s="1185">
        <v>42735</v>
      </c>
      <c r="E15" s="1184">
        <v>42705</v>
      </c>
      <c r="F15" s="984" t="s">
        <v>1932</v>
      </c>
      <c r="G15" s="984" t="s">
        <v>1931</v>
      </c>
      <c r="H15" s="984"/>
      <c r="I15" s="990">
        <v>3867.29</v>
      </c>
      <c r="J15" s="990">
        <v>0</v>
      </c>
      <c r="K15" s="990">
        <v>18828.22</v>
      </c>
      <c r="L15" s="1173" t="s">
        <v>1930</v>
      </c>
    </row>
    <row r="16" spans="1:12" s="1177" customFormat="1" ht="15" customHeight="1">
      <c r="A16" s="1201"/>
      <c r="B16" s="984" t="s">
        <v>1420</v>
      </c>
      <c r="C16" s="984" t="s">
        <v>1421</v>
      </c>
      <c r="D16" s="1185">
        <v>42720</v>
      </c>
      <c r="E16" s="1184">
        <v>42795</v>
      </c>
      <c r="F16" s="984" t="s">
        <v>1686</v>
      </c>
      <c r="G16" s="984" t="s">
        <v>1929</v>
      </c>
      <c r="H16" s="984" t="s">
        <v>1928</v>
      </c>
      <c r="I16" s="990">
        <v>13353.63</v>
      </c>
      <c r="J16" s="990">
        <v>0</v>
      </c>
      <c r="K16" s="990">
        <v>32181.85</v>
      </c>
      <c r="L16" s="1173" t="s">
        <v>1923</v>
      </c>
    </row>
    <row r="17" spans="1:12" s="1177" customFormat="1" ht="15" customHeight="1">
      <c r="A17" s="1201"/>
      <c r="B17" s="984" t="s">
        <v>1420</v>
      </c>
      <c r="C17" s="984" t="s">
        <v>1421</v>
      </c>
      <c r="D17" s="1185">
        <v>42720</v>
      </c>
      <c r="E17" s="1184">
        <v>42795</v>
      </c>
      <c r="F17" s="984" t="s">
        <v>1686</v>
      </c>
      <c r="G17" s="984" t="s">
        <v>1927</v>
      </c>
      <c r="H17" s="984" t="s">
        <v>1926</v>
      </c>
      <c r="I17" s="990">
        <v>6234.29</v>
      </c>
      <c r="J17" s="990">
        <v>0</v>
      </c>
      <c r="K17" s="990">
        <v>38416.14</v>
      </c>
      <c r="L17" s="1173" t="s">
        <v>1923</v>
      </c>
    </row>
    <row r="18" spans="1:12" s="1177" customFormat="1" ht="15" customHeight="1">
      <c r="A18" s="1201"/>
      <c r="B18" s="984" t="s">
        <v>1420</v>
      </c>
      <c r="C18" s="984" t="s">
        <v>1421</v>
      </c>
      <c r="D18" s="1185">
        <v>42720</v>
      </c>
      <c r="E18" s="1184">
        <v>42795</v>
      </c>
      <c r="F18" s="984" t="s">
        <v>1686</v>
      </c>
      <c r="G18" s="984" t="s">
        <v>1925</v>
      </c>
      <c r="H18" s="984" t="s">
        <v>1924</v>
      </c>
      <c r="I18" s="990">
        <v>2880</v>
      </c>
      <c r="J18" s="990">
        <v>0</v>
      </c>
      <c r="K18" s="990">
        <v>41296.14</v>
      </c>
      <c r="L18" s="1173" t="s">
        <v>1923</v>
      </c>
    </row>
    <row r="19" spans="1:12" s="1177" customFormat="1" ht="15" customHeight="1">
      <c r="A19" s="1201"/>
      <c r="B19" s="984" t="s">
        <v>1420</v>
      </c>
      <c r="C19" s="984" t="s">
        <v>1421</v>
      </c>
      <c r="D19" s="1185">
        <v>42748</v>
      </c>
      <c r="E19" s="1184">
        <v>42826</v>
      </c>
      <c r="F19" s="984" t="s">
        <v>1686</v>
      </c>
      <c r="G19" s="984" t="s">
        <v>1922</v>
      </c>
      <c r="H19" s="984" t="s">
        <v>1921</v>
      </c>
      <c r="I19" s="990">
        <v>4284</v>
      </c>
      <c r="J19" s="990">
        <v>0</v>
      </c>
      <c r="K19" s="990">
        <v>45580.14</v>
      </c>
      <c r="L19" s="1173" t="s">
        <v>1918</v>
      </c>
    </row>
    <row r="20" spans="1:12" s="1177" customFormat="1" ht="15" customHeight="1">
      <c r="A20" s="1201"/>
      <c r="B20" s="984" t="s">
        <v>1420</v>
      </c>
      <c r="C20" s="984" t="s">
        <v>1421</v>
      </c>
      <c r="D20" s="1185">
        <v>42748</v>
      </c>
      <c r="E20" s="1184">
        <v>42826</v>
      </c>
      <c r="F20" s="984" t="s">
        <v>1686</v>
      </c>
      <c r="G20" s="984" t="s">
        <v>1920</v>
      </c>
      <c r="H20" s="984" t="s">
        <v>1919</v>
      </c>
      <c r="I20" s="990">
        <v>2743.04</v>
      </c>
      <c r="J20" s="990">
        <v>0</v>
      </c>
      <c r="K20" s="990">
        <v>48323.18</v>
      </c>
      <c r="L20" s="1173" t="s">
        <v>1918</v>
      </c>
    </row>
    <row r="21" spans="1:12" s="1177" customFormat="1" ht="15" customHeight="1">
      <c r="A21" s="1201"/>
      <c r="B21" s="984" t="s">
        <v>1420</v>
      </c>
      <c r="C21" s="984" t="s">
        <v>1421</v>
      </c>
      <c r="D21" s="1185">
        <v>42842</v>
      </c>
      <c r="E21" s="1184">
        <v>42826</v>
      </c>
      <c r="F21" s="984" t="s">
        <v>1691</v>
      </c>
      <c r="G21" s="984" t="s">
        <v>1917</v>
      </c>
      <c r="H21" s="984" t="s">
        <v>1916</v>
      </c>
      <c r="I21" s="990">
        <v>2100</v>
      </c>
      <c r="J21" s="990">
        <v>0</v>
      </c>
      <c r="K21" s="990">
        <v>50423.18</v>
      </c>
      <c r="L21" s="1173" t="s">
        <v>1915</v>
      </c>
    </row>
    <row r="22" spans="1:12" s="1177" customFormat="1" ht="15" customHeight="1">
      <c r="A22" s="1201"/>
      <c r="B22" s="984" t="s">
        <v>1420</v>
      </c>
      <c r="C22" s="984" t="s">
        <v>1421</v>
      </c>
      <c r="D22" s="1185">
        <v>42766</v>
      </c>
      <c r="E22" s="1184">
        <v>42856</v>
      </c>
      <c r="F22" s="984" t="s">
        <v>1775</v>
      </c>
      <c r="G22" s="984" t="s">
        <v>1914</v>
      </c>
      <c r="H22" s="984" t="s">
        <v>1913</v>
      </c>
      <c r="I22" s="990">
        <v>2671.3</v>
      </c>
      <c r="J22" s="990">
        <v>0</v>
      </c>
      <c r="K22" s="990">
        <v>53094.48</v>
      </c>
      <c r="L22" s="1173" t="s">
        <v>1908</v>
      </c>
    </row>
    <row r="23" spans="1:12" s="1177" customFormat="1" ht="15" customHeight="1">
      <c r="A23" s="1201"/>
      <c r="B23" s="984" t="s">
        <v>1420</v>
      </c>
      <c r="C23" s="984" t="s">
        <v>1421</v>
      </c>
      <c r="D23" s="1185">
        <v>42803</v>
      </c>
      <c r="E23" s="1184">
        <v>42856</v>
      </c>
      <c r="F23" s="984" t="s">
        <v>1775</v>
      </c>
      <c r="G23" s="984" t="s">
        <v>1912</v>
      </c>
      <c r="H23" s="984" t="s">
        <v>1911</v>
      </c>
      <c r="I23" s="990">
        <v>2807.25</v>
      </c>
      <c r="J23" s="990">
        <v>0</v>
      </c>
      <c r="K23" s="990">
        <v>55901.73</v>
      </c>
      <c r="L23" s="1173" t="s">
        <v>1908</v>
      </c>
    </row>
    <row r="24" spans="1:12" s="1177" customFormat="1" ht="15" customHeight="1">
      <c r="A24" s="1201"/>
      <c r="B24" s="984" t="s">
        <v>1420</v>
      </c>
      <c r="C24" s="984" t="s">
        <v>1421</v>
      </c>
      <c r="D24" s="1185">
        <v>42836</v>
      </c>
      <c r="E24" s="1184">
        <v>42856</v>
      </c>
      <c r="F24" s="984" t="s">
        <v>1775</v>
      </c>
      <c r="G24" s="984" t="s">
        <v>1910</v>
      </c>
      <c r="H24" s="984" t="s">
        <v>1909</v>
      </c>
      <c r="I24" s="990">
        <v>8125.09</v>
      </c>
      <c r="J24" s="990">
        <v>0</v>
      </c>
      <c r="K24" s="990">
        <v>64026.82</v>
      </c>
      <c r="L24" s="1173" t="s">
        <v>1908</v>
      </c>
    </row>
    <row r="25" spans="1:12" s="1177" customFormat="1" ht="15" customHeight="1">
      <c r="A25" s="1201"/>
      <c r="B25" s="984" t="s">
        <v>1420</v>
      </c>
      <c r="C25" s="984" t="s">
        <v>1421</v>
      </c>
      <c r="D25" s="1185">
        <v>42773</v>
      </c>
      <c r="E25" s="1184">
        <v>42887</v>
      </c>
      <c r="F25" s="984" t="s">
        <v>1686</v>
      </c>
      <c r="G25" s="984" t="s">
        <v>1907</v>
      </c>
      <c r="H25" s="984" t="s">
        <v>1906</v>
      </c>
      <c r="I25" s="990">
        <v>6400</v>
      </c>
      <c r="J25" s="990">
        <v>0</v>
      </c>
      <c r="K25" s="990">
        <v>70426.820000000007</v>
      </c>
      <c r="L25" s="1173" t="s">
        <v>1735</v>
      </c>
    </row>
    <row r="26" spans="1:12" s="1177" customFormat="1" ht="15" customHeight="1">
      <c r="A26" s="1201"/>
      <c r="B26" s="984" t="s">
        <v>1420</v>
      </c>
      <c r="C26" s="984" t="s">
        <v>1421</v>
      </c>
      <c r="D26" s="1185">
        <v>42773</v>
      </c>
      <c r="E26" s="1184">
        <v>42887</v>
      </c>
      <c r="F26" s="984" t="s">
        <v>1686</v>
      </c>
      <c r="G26" s="984" t="s">
        <v>1905</v>
      </c>
      <c r="H26" s="984" t="s">
        <v>1904</v>
      </c>
      <c r="I26" s="990">
        <v>472.5</v>
      </c>
      <c r="J26" s="990">
        <v>0</v>
      </c>
      <c r="K26" s="990">
        <v>70899.320000000007</v>
      </c>
      <c r="L26" s="1173" t="s">
        <v>1735</v>
      </c>
    </row>
    <row r="27" spans="1:12" s="1177" customFormat="1" ht="15" customHeight="1">
      <c r="A27" s="1201"/>
      <c r="B27" s="984" t="s">
        <v>1420</v>
      </c>
      <c r="C27" s="984" t="s">
        <v>1421</v>
      </c>
      <c r="D27" s="1185">
        <v>42773</v>
      </c>
      <c r="E27" s="1184">
        <v>42887</v>
      </c>
      <c r="F27" s="984" t="s">
        <v>1686</v>
      </c>
      <c r="G27" s="984" t="s">
        <v>1903</v>
      </c>
      <c r="H27" s="984" t="s">
        <v>1902</v>
      </c>
      <c r="I27" s="990">
        <v>525</v>
      </c>
      <c r="J27" s="990">
        <v>0</v>
      </c>
      <c r="K27" s="990">
        <v>71424.320000000007</v>
      </c>
      <c r="L27" s="1173" t="s">
        <v>1735</v>
      </c>
    </row>
    <row r="28" spans="1:12" s="1177" customFormat="1" ht="15" customHeight="1">
      <c r="A28" s="1201"/>
      <c r="B28" s="984" t="s">
        <v>1420</v>
      </c>
      <c r="C28" s="984" t="s">
        <v>1421</v>
      </c>
      <c r="D28" s="1185">
        <v>42773</v>
      </c>
      <c r="E28" s="1184">
        <v>42887</v>
      </c>
      <c r="F28" s="984" t="s">
        <v>1686</v>
      </c>
      <c r="G28" s="984" t="s">
        <v>1901</v>
      </c>
      <c r="H28" s="984" t="s">
        <v>1900</v>
      </c>
      <c r="I28" s="990">
        <v>5042.5</v>
      </c>
      <c r="J28" s="990">
        <v>0</v>
      </c>
      <c r="K28" s="990">
        <v>76466.820000000007</v>
      </c>
      <c r="L28" s="1173" t="s">
        <v>1735</v>
      </c>
    </row>
    <row r="29" spans="1:12" s="1177" customFormat="1" ht="15" customHeight="1">
      <c r="A29" s="1201"/>
      <c r="B29" s="984" t="s">
        <v>1420</v>
      </c>
      <c r="C29" s="984" t="s">
        <v>1421</v>
      </c>
      <c r="D29" s="1185">
        <v>42797</v>
      </c>
      <c r="E29" s="1184">
        <v>42887</v>
      </c>
      <c r="F29" s="984" t="s">
        <v>1893</v>
      </c>
      <c r="G29" s="984" t="s">
        <v>1899</v>
      </c>
      <c r="H29" s="984" t="s">
        <v>1898</v>
      </c>
      <c r="I29" s="990">
        <v>8696.25</v>
      </c>
      <c r="J29" s="990">
        <v>0</v>
      </c>
      <c r="K29" s="990">
        <v>85163.07</v>
      </c>
      <c r="L29" s="1173" t="s">
        <v>1890</v>
      </c>
    </row>
    <row r="30" spans="1:12" s="1177" customFormat="1" ht="15" customHeight="1">
      <c r="A30" s="1201"/>
      <c r="B30" s="984" t="s">
        <v>1420</v>
      </c>
      <c r="C30" s="984" t="s">
        <v>1421</v>
      </c>
      <c r="D30" s="1185">
        <v>42804</v>
      </c>
      <c r="E30" s="1184">
        <v>42887</v>
      </c>
      <c r="F30" s="984" t="s">
        <v>1686</v>
      </c>
      <c r="G30" s="984" t="s">
        <v>1897</v>
      </c>
      <c r="H30" s="984" t="s">
        <v>1896</v>
      </c>
      <c r="I30" s="990">
        <v>2466.3200000000002</v>
      </c>
      <c r="J30" s="990">
        <v>0</v>
      </c>
      <c r="K30" s="990">
        <v>87629.39</v>
      </c>
      <c r="L30" s="1173" t="s">
        <v>1735</v>
      </c>
    </row>
    <row r="31" spans="1:12" s="1177" customFormat="1" ht="15" customHeight="1">
      <c r="A31" s="1201"/>
      <c r="B31" s="984" t="s">
        <v>1420</v>
      </c>
      <c r="C31" s="984" t="s">
        <v>1421</v>
      </c>
      <c r="D31" s="1185">
        <v>42804</v>
      </c>
      <c r="E31" s="1184">
        <v>42887</v>
      </c>
      <c r="F31" s="984" t="s">
        <v>1686</v>
      </c>
      <c r="G31" s="984" t="s">
        <v>1895</v>
      </c>
      <c r="H31" s="984" t="s">
        <v>1894</v>
      </c>
      <c r="I31" s="990">
        <v>7875</v>
      </c>
      <c r="J31" s="990">
        <v>0</v>
      </c>
      <c r="K31" s="990">
        <v>95504.39</v>
      </c>
      <c r="L31" s="1173" t="s">
        <v>1735</v>
      </c>
    </row>
    <row r="32" spans="1:12" s="1177" customFormat="1" ht="15" customHeight="1">
      <c r="A32" s="1201"/>
      <c r="B32" s="984" t="s">
        <v>1420</v>
      </c>
      <c r="C32" s="984" t="s">
        <v>1421</v>
      </c>
      <c r="D32" s="1185">
        <v>42831</v>
      </c>
      <c r="E32" s="1184">
        <v>42887</v>
      </c>
      <c r="F32" s="984" t="s">
        <v>1893</v>
      </c>
      <c r="G32" s="984" t="s">
        <v>1892</v>
      </c>
      <c r="H32" s="984" t="s">
        <v>1891</v>
      </c>
      <c r="I32" s="990">
        <v>462.5</v>
      </c>
      <c r="J32" s="990">
        <v>0</v>
      </c>
      <c r="K32" s="990">
        <v>95966.89</v>
      </c>
      <c r="L32" s="1173" t="s">
        <v>1890</v>
      </c>
    </row>
    <row r="33" spans="1:12" s="1177" customFormat="1" ht="15" customHeight="1">
      <c r="A33" s="1201"/>
      <c r="B33" s="984" t="s">
        <v>1420</v>
      </c>
      <c r="C33" s="984" t="s">
        <v>1421</v>
      </c>
      <c r="D33" s="1185">
        <v>42859</v>
      </c>
      <c r="E33" s="1184">
        <v>42917</v>
      </c>
      <c r="F33" s="984" t="s">
        <v>1686</v>
      </c>
      <c r="G33" s="984" t="s">
        <v>1889</v>
      </c>
      <c r="H33" s="984" t="s">
        <v>1888</v>
      </c>
      <c r="I33" s="990">
        <v>16150</v>
      </c>
      <c r="J33" s="990">
        <v>0</v>
      </c>
      <c r="K33" s="990">
        <v>112116.89</v>
      </c>
      <c r="L33" s="1173" t="s">
        <v>1735</v>
      </c>
    </row>
    <row r="34" spans="1:12" s="1177" customFormat="1" ht="15" customHeight="1">
      <c r="A34" s="1201"/>
      <c r="B34" s="984" t="s">
        <v>1420</v>
      </c>
      <c r="C34" s="984" t="s">
        <v>1421</v>
      </c>
      <c r="D34" s="1185">
        <v>42894</v>
      </c>
      <c r="E34" s="1184">
        <v>42948</v>
      </c>
      <c r="F34" s="984" t="s">
        <v>1686</v>
      </c>
      <c r="G34" s="984" t="s">
        <v>1887</v>
      </c>
      <c r="H34" s="984" t="s">
        <v>1886</v>
      </c>
      <c r="I34" s="990">
        <v>12905.83</v>
      </c>
      <c r="J34" s="990">
        <v>0</v>
      </c>
      <c r="K34" s="990">
        <v>125022.72</v>
      </c>
      <c r="L34" s="1173" t="s">
        <v>1735</v>
      </c>
    </row>
    <row r="35" spans="1:12" s="1177" customFormat="1" ht="15" customHeight="1">
      <c r="A35" s="1201"/>
      <c r="B35" s="984" t="s">
        <v>1420</v>
      </c>
      <c r="C35" s="984" t="s">
        <v>1421</v>
      </c>
      <c r="D35" s="1185">
        <v>42921</v>
      </c>
      <c r="E35" s="1184">
        <v>42948</v>
      </c>
      <c r="F35" s="984" t="s">
        <v>1691</v>
      </c>
      <c r="G35" s="984" t="s">
        <v>1885</v>
      </c>
      <c r="H35" s="984" t="s">
        <v>1884</v>
      </c>
      <c r="I35" s="990">
        <v>7950</v>
      </c>
      <c r="J35" s="990">
        <v>0</v>
      </c>
      <c r="K35" s="990">
        <v>132972.72</v>
      </c>
      <c r="L35" s="1173" t="s">
        <v>1735</v>
      </c>
    </row>
    <row r="36" spans="1:12" s="1177" customFormat="1" ht="15" customHeight="1">
      <c r="A36" s="1201"/>
      <c r="B36" s="984" t="s">
        <v>1420</v>
      </c>
      <c r="C36" s="984" t="s">
        <v>1421</v>
      </c>
      <c r="D36" s="1185">
        <v>42978</v>
      </c>
      <c r="E36" s="1184">
        <v>42948</v>
      </c>
      <c r="F36" s="984" t="s">
        <v>1876</v>
      </c>
      <c r="G36" s="984" t="s">
        <v>1875</v>
      </c>
      <c r="H36" s="984"/>
      <c r="I36" s="990">
        <v>0</v>
      </c>
      <c r="J36" s="990">
        <v>3867.29</v>
      </c>
      <c r="K36" s="990">
        <v>129105.43</v>
      </c>
      <c r="L36" s="1173" t="s">
        <v>1883</v>
      </c>
    </row>
    <row r="37" spans="1:12" s="1177" customFormat="1" ht="15" customHeight="1">
      <c r="A37" s="1201"/>
      <c r="B37" s="984" t="s">
        <v>1420</v>
      </c>
      <c r="C37" s="984" t="s">
        <v>1421</v>
      </c>
      <c r="D37" s="1185">
        <v>42978</v>
      </c>
      <c r="E37" s="1184">
        <v>42948</v>
      </c>
      <c r="F37" s="984" t="s">
        <v>1876</v>
      </c>
      <c r="G37" s="984" t="s">
        <v>1875</v>
      </c>
      <c r="H37" s="984"/>
      <c r="I37" s="990">
        <v>0</v>
      </c>
      <c r="J37" s="990">
        <v>2187</v>
      </c>
      <c r="K37" s="990">
        <v>126918.43</v>
      </c>
      <c r="L37" s="1173" t="s">
        <v>1882</v>
      </c>
    </row>
    <row r="38" spans="1:12" s="1177" customFormat="1" ht="15" customHeight="1">
      <c r="A38" s="1201"/>
      <c r="B38" s="984" t="s">
        <v>1420</v>
      </c>
      <c r="C38" s="984" t="s">
        <v>1421</v>
      </c>
      <c r="D38" s="1185">
        <v>42978</v>
      </c>
      <c r="E38" s="1184">
        <v>42948</v>
      </c>
      <c r="F38" s="984" t="s">
        <v>1876</v>
      </c>
      <c r="G38" s="984" t="s">
        <v>1875</v>
      </c>
      <c r="H38" s="984"/>
      <c r="I38" s="990">
        <v>0</v>
      </c>
      <c r="J38" s="990">
        <v>1816.13</v>
      </c>
      <c r="K38" s="990">
        <v>125102.3</v>
      </c>
      <c r="L38" s="1173" t="s">
        <v>1881</v>
      </c>
    </row>
    <row r="39" spans="1:12" s="1177" customFormat="1" ht="15" customHeight="1">
      <c r="A39" s="1201"/>
      <c r="B39" s="984" t="s">
        <v>1420</v>
      </c>
      <c r="C39" s="984" t="s">
        <v>1421</v>
      </c>
      <c r="D39" s="1185">
        <v>42978</v>
      </c>
      <c r="E39" s="1184">
        <v>42948</v>
      </c>
      <c r="F39" s="984" t="s">
        <v>1876</v>
      </c>
      <c r="G39" s="984" t="s">
        <v>1875</v>
      </c>
      <c r="H39" s="984"/>
      <c r="I39" s="990">
        <v>0</v>
      </c>
      <c r="J39" s="990">
        <v>8696.25</v>
      </c>
      <c r="K39" s="990">
        <v>116406.05</v>
      </c>
      <c r="L39" s="1173" t="s">
        <v>1880</v>
      </c>
    </row>
    <row r="40" spans="1:12" s="1177" customFormat="1" ht="15" customHeight="1">
      <c r="A40" s="1201"/>
      <c r="B40" s="984" t="s">
        <v>1420</v>
      </c>
      <c r="C40" s="984" t="s">
        <v>1421</v>
      </c>
      <c r="D40" s="1185">
        <v>42978</v>
      </c>
      <c r="E40" s="1184">
        <v>42948</v>
      </c>
      <c r="F40" s="984" t="s">
        <v>1876</v>
      </c>
      <c r="G40" s="984" t="s">
        <v>1875</v>
      </c>
      <c r="H40" s="984"/>
      <c r="I40" s="990">
        <v>0</v>
      </c>
      <c r="J40" s="990">
        <v>462.5</v>
      </c>
      <c r="K40" s="990">
        <v>115943.55</v>
      </c>
      <c r="L40" s="1173" t="s">
        <v>1879</v>
      </c>
    </row>
    <row r="41" spans="1:12" s="1177" customFormat="1" ht="15" customHeight="1">
      <c r="A41" s="1201"/>
      <c r="B41" s="984" t="s">
        <v>1420</v>
      </c>
      <c r="C41" s="984" t="s">
        <v>1421</v>
      </c>
      <c r="D41" s="1185">
        <v>42978</v>
      </c>
      <c r="E41" s="1184">
        <v>42948</v>
      </c>
      <c r="F41" s="984" t="s">
        <v>1876</v>
      </c>
      <c r="G41" s="984" t="s">
        <v>1875</v>
      </c>
      <c r="H41" s="984"/>
      <c r="I41" s="990">
        <v>0</v>
      </c>
      <c r="J41" s="990">
        <v>2671.3</v>
      </c>
      <c r="K41" s="990">
        <v>113272.25</v>
      </c>
      <c r="L41" s="1173" t="s">
        <v>1878</v>
      </c>
    </row>
    <row r="42" spans="1:12" s="1177" customFormat="1" ht="15" customHeight="1">
      <c r="A42" s="1201"/>
      <c r="B42" s="984" t="s">
        <v>1420</v>
      </c>
      <c r="C42" s="984" t="s">
        <v>1421</v>
      </c>
      <c r="D42" s="1185">
        <v>42978</v>
      </c>
      <c r="E42" s="1184">
        <v>42948</v>
      </c>
      <c r="F42" s="984" t="s">
        <v>1876</v>
      </c>
      <c r="G42" s="984" t="s">
        <v>1875</v>
      </c>
      <c r="H42" s="984"/>
      <c r="I42" s="990">
        <v>0</v>
      </c>
      <c r="J42" s="990">
        <v>2807.25</v>
      </c>
      <c r="K42" s="990">
        <v>110465</v>
      </c>
      <c r="L42" s="1173" t="s">
        <v>1877</v>
      </c>
    </row>
    <row r="43" spans="1:12" s="1177" customFormat="1" ht="15" customHeight="1">
      <c r="A43" s="1201"/>
      <c r="B43" s="984" t="s">
        <v>1420</v>
      </c>
      <c r="C43" s="984" t="s">
        <v>1421</v>
      </c>
      <c r="D43" s="1185">
        <v>42978</v>
      </c>
      <c r="E43" s="1184">
        <v>42948</v>
      </c>
      <c r="F43" s="984" t="s">
        <v>1876</v>
      </c>
      <c r="G43" s="984" t="s">
        <v>1875</v>
      </c>
      <c r="H43" s="984"/>
      <c r="I43" s="990">
        <v>0</v>
      </c>
      <c r="J43" s="990">
        <v>8125.09</v>
      </c>
      <c r="K43" s="990">
        <v>102339.91</v>
      </c>
      <c r="L43" s="1173" t="s">
        <v>1874</v>
      </c>
    </row>
    <row r="44" spans="1:12" s="1177" customFormat="1" ht="15" customHeight="1">
      <c r="A44" s="1201"/>
      <c r="B44" s="984" t="s">
        <v>1420</v>
      </c>
      <c r="C44" s="984" t="s">
        <v>1421</v>
      </c>
      <c r="D44" s="1185">
        <v>42935</v>
      </c>
      <c r="E44" s="1184">
        <v>42979</v>
      </c>
      <c r="F44" s="984" t="s">
        <v>1827</v>
      </c>
      <c r="G44" s="984" t="s">
        <v>1873</v>
      </c>
      <c r="H44" s="984" t="s">
        <v>1872</v>
      </c>
      <c r="I44" s="990">
        <v>1200</v>
      </c>
      <c r="J44" s="990">
        <v>0</v>
      </c>
      <c r="K44" s="990">
        <v>103539.91</v>
      </c>
      <c r="L44" s="1173" t="s">
        <v>1871</v>
      </c>
    </row>
    <row r="45" spans="1:12" s="1177" customFormat="1" ht="15" customHeight="1">
      <c r="A45" s="1201"/>
      <c r="B45" s="984" t="s">
        <v>1420</v>
      </c>
      <c r="C45" s="984" t="s">
        <v>1421</v>
      </c>
      <c r="D45" s="1185">
        <v>42947</v>
      </c>
      <c r="E45" s="1184">
        <v>42979</v>
      </c>
      <c r="F45" s="984" t="s">
        <v>1695</v>
      </c>
      <c r="G45" s="984" t="s">
        <v>1870</v>
      </c>
      <c r="H45" s="984" t="s">
        <v>1869</v>
      </c>
      <c r="I45" s="990">
        <v>223973.24</v>
      </c>
      <c r="J45" s="990">
        <v>0</v>
      </c>
      <c r="K45" s="990">
        <v>327513.15000000002</v>
      </c>
      <c r="L45" s="1173" t="s">
        <v>1735</v>
      </c>
    </row>
    <row r="46" spans="1:12" s="1177" customFormat="1" ht="15" customHeight="1">
      <c r="A46" s="1201"/>
      <c r="B46" s="984" t="s">
        <v>1420</v>
      </c>
      <c r="C46" s="984" t="s">
        <v>1421</v>
      </c>
      <c r="D46" s="1185">
        <v>43008</v>
      </c>
      <c r="E46" s="1184">
        <v>42979</v>
      </c>
      <c r="F46" s="984"/>
      <c r="G46" s="984" t="s">
        <v>1868</v>
      </c>
      <c r="H46" s="984"/>
      <c r="I46" s="990">
        <v>720</v>
      </c>
      <c r="J46" s="990">
        <v>0</v>
      </c>
      <c r="K46" s="990">
        <v>328233.15000000002</v>
      </c>
      <c r="L46" s="1173" t="s">
        <v>1867</v>
      </c>
    </row>
    <row r="47" spans="1:12" s="1177" customFormat="1" ht="15" customHeight="1">
      <c r="A47" s="1201"/>
      <c r="B47" s="984" t="s">
        <v>1420</v>
      </c>
      <c r="C47" s="984" t="s">
        <v>1421</v>
      </c>
      <c r="D47" s="1185">
        <v>42963</v>
      </c>
      <c r="E47" s="1184">
        <v>43009</v>
      </c>
      <c r="F47" s="984" t="s">
        <v>1686</v>
      </c>
      <c r="G47" s="984" t="s">
        <v>1866</v>
      </c>
      <c r="H47" s="984" t="s">
        <v>1865</v>
      </c>
      <c r="I47" s="990">
        <v>2007.5</v>
      </c>
      <c r="J47" s="990">
        <v>0</v>
      </c>
      <c r="K47" s="990">
        <v>330240.65000000002</v>
      </c>
      <c r="L47" s="1173" t="s">
        <v>1864</v>
      </c>
    </row>
    <row r="48" spans="1:12" s="1177" customFormat="1" ht="15" customHeight="1">
      <c r="A48" s="1201"/>
      <c r="B48" s="984" t="s">
        <v>1420</v>
      </c>
      <c r="C48" s="984" t="s">
        <v>1421</v>
      </c>
      <c r="D48" s="1185">
        <v>42963</v>
      </c>
      <c r="E48" s="1184">
        <v>43009</v>
      </c>
      <c r="F48" s="984" t="s">
        <v>1686</v>
      </c>
      <c r="G48" s="984" t="s">
        <v>1863</v>
      </c>
      <c r="H48" s="984" t="s">
        <v>1862</v>
      </c>
      <c r="I48" s="990">
        <v>75.92</v>
      </c>
      <c r="J48" s="990">
        <v>0</v>
      </c>
      <c r="K48" s="990">
        <v>330316.57</v>
      </c>
      <c r="L48" s="1173" t="s">
        <v>1861</v>
      </c>
    </row>
    <row r="49" spans="1:12" s="1177" customFormat="1" ht="15" customHeight="1">
      <c r="A49" s="1201"/>
      <c r="B49" s="984" t="s">
        <v>1420</v>
      </c>
      <c r="C49" s="984" t="s">
        <v>1421</v>
      </c>
      <c r="D49" s="1185">
        <v>42963</v>
      </c>
      <c r="E49" s="1184">
        <v>43009</v>
      </c>
      <c r="F49" s="984" t="s">
        <v>1686</v>
      </c>
      <c r="G49" s="984" t="s">
        <v>1860</v>
      </c>
      <c r="H49" s="984" t="s">
        <v>1859</v>
      </c>
      <c r="I49" s="990">
        <v>3380.9</v>
      </c>
      <c r="J49" s="990">
        <v>0</v>
      </c>
      <c r="K49" s="990">
        <v>333697.46999999997</v>
      </c>
      <c r="L49" s="1173" t="s">
        <v>1858</v>
      </c>
    </row>
    <row r="50" spans="1:12" s="1177" customFormat="1" ht="15" customHeight="1">
      <c r="A50" s="1201"/>
      <c r="B50" s="984" t="s">
        <v>1420</v>
      </c>
      <c r="C50" s="984" t="s">
        <v>1421</v>
      </c>
      <c r="D50" s="1185">
        <v>42975</v>
      </c>
      <c r="E50" s="1184">
        <v>43009</v>
      </c>
      <c r="F50" s="984" t="s">
        <v>1691</v>
      </c>
      <c r="G50" s="984" t="s">
        <v>1857</v>
      </c>
      <c r="H50" s="984" t="s">
        <v>1856</v>
      </c>
      <c r="I50" s="990">
        <v>5000</v>
      </c>
      <c r="J50" s="990">
        <v>0</v>
      </c>
      <c r="K50" s="990">
        <v>338697.47</v>
      </c>
      <c r="L50" s="1173" t="s">
        <v>1835</v>
      </c>
    </row>
    <row r="51" spans="1:12" s="1177" customFormat="1" ht="15" customHeight="1">
      <c r="A51" s="1201"/>
      <c r="B51" s="984" t="s">
        <v>1420</v>
      </c>
      <c r="C51" s="984" t="s">
        <v>1421</v>
      </c>
      <c r="D51" s="1185">
        <v>42993</v>
      </c>
      <c r="E51" s="1184">
        <v>43009</v>
      </c>
      <c r="F51" s="984" t="s">
        <v>1686</v>
      </c>
      <c r="G51" s="984" t="s">
        <v>1855</v>
      </c>
      <c r="H51" s="984" t="s">
        <v>1854</v>
      </c>
      <c r="I51" s="990">
        <v>862.5</v>
      </c>
      <c r="J51" s="990">
        <v>0</v>
      </c>
      <c r="K51" s="990">
        <v>339559.97</v>
      </c>
      <c r="L51" s="1173" t="s">
        <v>1793</v>
      </c>
    </row>
    <row r="52" spans="1:12" s="1177" customFormat="1" ht="15" customHeight="1">
      <c r="A52" s="1201"/>
      <c r="B52" s="984" t="s">
        <v>1420</v>
      </c>
      <c r="C52" s="984" t="s">
        <v>1421</v>
      </c>
      <c r="D52" s="1185">
        <v>42993</v>
      </c>
      <c r="E52" s="1184">
        <v>43009</v>
      </c>
      <c r="F52" s="984" t="s">
        <v>1686</v>
      </c>
      <c r="G52" s="984" t="s">
        <v>1853</v>
      </c>
      <c r="H52" s="984" t="s">
        <v>1852</v>
      </c>
      <c r="I52" s="990">
        <v>2751.25</v>
      </c>
      <c r="J52" s="990">
        <v>0</v>
      </c>
      <c r="K52" s="990">
        <v>342311.22</v>
      </c>
      <c r="L52" s="1173" t="s">
        <v>1841</v>
      </c>
    </row>
    <row r="53" spans="1:12" s="1177" customFormat="1" ht="15" customHeight="1">
      <c r="A53" s="1201"/>
      <c r="B53" s="984" t="s">
        <v>1420</v>
      </c>
      <c r="C53" s="984" t="s">
        <v>1421</v>
      </c>
      <c r="D53" s="1185">
        <v>42993</v>
      </c>
      <c r="E53" s="1184">
        <v>43009</v>
      </c>
      <c r="F53" s="984" t="s">
        <v>1686</v>
      </c>
      <c r="G53" s="984" t="s">
        <v>1851</v>
      </c>
      <c r="H53" s="984" t="s">
        <v>1850</v>
      </c>
      <c r="I53" s="990">
        <v>7490</v>
      </c>
      <c r="J53" s="990">
        <v>0</v>
      </c>
      <c r="K53" s="990">
        <v>349801.22</v>
      </c>
      <c r="L53" s="1173" t="s">
        <v>1838</v>
      </c>
    </row>
    <row r="54" spans="1:12" s="1177" customFormat="1" ht="15" customHeight="1">
      <c r="A54" s="1201"/>
      <c r="B54" s="984" t="s">
        <v>1420</v>
      </c>
      <c r="C54" s="984" t="s">
        <v>1421</v>
      </c>
      <c r="D54" s="1185">
        <v>43012</v>
      </c>
      <c r="E54" s="1184">
        <v>43009</v>
      </c>
      <c r="F54" s="984" t="s">
        <v>1849</v>
      </c>
      <c r="G54" s="984" t="s">
        <v>1848</v>
      </c>
      <c r="H54" s="984" t="s">
        <v>1847</v>
      </c>
      <c r="I54" s="990">
        <v>1710.05</v>
      </c>
      <c r="J54" s="990">
        <v>0</v>
      </c>
      <c r="K54" s="990">
        <v>351511.27</v>
      </c>
      <c r="L54" s="1173" t="s">
        <v>1846</v>
      </c>
    </row>
    <row r="55" spans="1:12" s="1177" customFormat="1" ht="15" customHeight="1">
      <c r="A55" s="1201"/>
      <c r="B55" s="984" t="s">
        <v>1420</v>
      </c>
      <c r="C55" s="984" t="s">
        <v>1421</v>
      </c>
      <c r="D55" s="1185">
        <v>43012</v>
      </c>
      <c r="E55" s="1184">
        <v>43009</v>
      </c>
      <c r="F55" s="984" t="s">
        <v>1686</v>
      </c>
      <c r="G55" s="984" t="s">
        <v>1845</v>
      </c>
      <c r="H55" s="984" t="s">
        <v>1844</v>
      </c>
      <c r="I55" s="990">
        <v>1762.5</v>
      </c>
      <c r="J55" s="990">
        <v>0</v>
      </c>
      <c r="K55" s="990">
        <v>353273.77</v>
      </c>
      <c r="L55" s="1173" t="s">
        <v>1793</v>
      </c>
    </row>
    <row r="56" spans="1:12" s="1177" customFormat="1" ht="15" customHeight="1">
      <c r="A56" s="1201"/>
      <c r="B56" s="984" t="s">
        <v>1420</v>
      </c>
      <c r="C56" s="984" t="s">
        <v>1421</v>
      </c>
      <c r="D56" s="1185">
        <v>43012</v>
      </c>
      <c r="E56" s="1184">
        <v>43009</v>
      </c>
      <c r="F56" s="984" t="s">
        <v>1686</v>
      </c>
      <c r="G56" s="984" t="s">
        <v>1843</v>
      </c>
      <c r="H56" s="984" t="s">
        <v>1842</v>
      </c>
      <c r="I56" s="990">
        <v>2665.76</v>
      </c>
      <c r="J56" s="990">
        <v>0</v>
      </c>
      <c r="K56" s="990">
        <v>355939.53</v>
      </c>
      <c r="L56" s="1173" t="s">
        <v>1841</v>
      </c>
    </row>
    <row r="57" spans="1:12" s="1177" customFormat="1" ht="15" customHeight="1">
      <c r="A57" s="1201"/>
      <c r="B57" s="984" t="s">
        <v>1420</v>
      </c>
      <c r="C57" s="984" t="s">
        <v>1421</v>
      </c>
      <c r="D57" s="1185">
        <v>43012</v>
      </c>
      <c r="E57" s="1184">
        <v>43009</v>
      </c>
      <c r="F57" s="984" t="s">
        <v>1686</v>
      </c>
      <c r="G57" s="984" t="s">
        <v>1840</v>
      </c>
      <c r="H57" s="984" t="s">
        <v>1839</v>
      </c>
      <c r="I57" s="990">
        <v>1255</v>
      </c>
      <c r="J57" s="990">
        <v>0</v>
      </c>
      <c r="K57" s="990">
        <v>357194.53</v>
      </c>
      <c r="L57" s="1173" t="s">
        <v>1838</v>
      </c>
    </row>
    <row r="58" spans="1:12" s="1177" customFormat="1" ht="15" customHeight="1">
      <c r="A58" s="1201"/>
      <c r="B58" s="984" t="s">
        <v>1420</v>
      </c>
      <c r="C58" s="984" t="s">
        <v>1421</v>
      </c>
      <c r="D58" s="1185">
        <v>43017</v>
      </c>
      <c r="E58" s="1184">
        <v>43009</v>
      </c>
      <c r="F58" s="984" t="s">
        <v>1691</v>
      </c>
      <c r="G58" s="984" t="s">
        <v>1837</v>
      </c>
      <c r="H58" s="984" t="s">
        <v>1836</v>
      </c>
      <c r="I58" s="990">
        <v>5000</v>
      </c>
      <c r="J58" s="990">
        <v>0</v>
      </c>
      <c r="K58" s="990">
        <v>362194.53</v>
      </c>
      <c r="L58" s="1173" t="s">
        <v>1835</v>
      </c>
    </row>
    <row r="59" spans="1:12" s="1177" customFormat="1" ht="15" customHeight="1">
      <c r="A59" s="1201"/>
      <c r="B59" s="984" t="s">
        <v>1420</v>
      </c>
      <c r="C59" s="984" t="s">
        <v>1421</v>
      </c>
      <c r="D59" s="1185">
        <v>42947</v>
      </c>
      <c r="E59" s="1184">
        <v>43040</v>
      </c>
      <c r="F59" s="984" t="s">
        <v>1695</v>
      </c>
      <c r="G59" s="984" t="s">
        <v>1834</v>
      </c>
      <c r="H59" s="984" t="s">
        <v>1833</v>
      </c>
      <c r="I59" s="990">
        <v>24885.919999999998</v>
      </c>
      <c r="J59" s="990">
        <v>0</v>
      </c>
      <c r="K59" s="990">
        <v>387080.45</v>
      </c>
      <c r="L59" s="1173" t="s">
        <v>1828</v>
      </c>
    </row>
    <row r="60" spans="1:12" s="1177" customFormat="1" ht="15" customHeight="1">
      <c r="A60" s="1201"/>
      <c r="B60" s="984" t="s">
        <v>1420</v>
      </c>
      <c r="C60" s="984" t="s">
        <v>1421</v>
      </c>
      <c r="D60" s="1185">
        <v>43008</v>
      </c>
      <c r="E60" s="1184">
        <v>43040</v>
      </c>
      <c r="F60" s="984" t="s">
        <v>1695</v>
      </c>
      <c r="G60" s="984" t="s">
        <v>1832</v>
      </c>
      <c r="H60" s="984" t="s">
        <v>1831</v>
      </c>
      <c r="I60" s="990">
        <v>361592.81</v>
      </c>
      <c r="J60" s="990">
        <v>0</v>
      </c>
      <c r="K60" s="990">
        <v>748673.26</v>
      </c>
      <c r="L60" s="1173" t="s">
        <v>1735</v>
      </c>
    </row>
    <row r="61" spans="1:12" s="1177" customFormat="1" ht="15" customHeight="1">
      <c r="A61" s="1201"/>
      <c r="B61" s="984" t="s">
        <v>1420</v>
      </c>
      <c r="C61" s="984" t="s">
        <v>1421</v>
      </c>
      <c r="D61" s="1185">
        <v>43008</v>
      </c>
      <c r="E61" s="1184">
        <v>43040</v>
      </c>
      <c r="F61" s="984" t="s">
        <v>1695</v>
      </c>
      <c r="G61" s="984" t="s">
        <v>1832</v>
      </c>
      <c r="H61" s="984" t="s">
        <v>1831</v>
      </c>
      <c r="I61" s="990">
        <v>0</v>
      </c>
      <c r="J61" s="990">
        <v>361592.81</v>
      </c>
      <c r="K61" s="990">
        <v>387080.45</v>
      </c>
      <c r="L61" s="1173" t="s">
        <v>1735</v>
      </c>
    </row>
    <row r="62" spans="1:12" s="1177" customFormat="1" ht="15" customHeight="1">
      <c r="A62" s="1201"/>
      <c r="B62" s="984" t="s">
        <v>1420</v>
      </c>
      <c r="C62" s="984" t="s">
        <v>1421</v>
      </c>
      <c r="D62" s="1185">
        <v>43008</v>
      </c>
      <c r="E62" s="1184">
        <v>43040</v>
      </c>
      <c r="F62" s="984" t="s">
        <v>1695</v>
      </c>
      <c r="G62" s="984" t="s">
        <v>1832</v>
      </c>
      <c r="H62" s="984" t="s">
        <v>1831</v>
      </c>
      <c r="I62" s="990">
        <v>361592.81</v>
      </c>
      <c r="J62" s="990">
        <v>0</v>
      </c>
      <c r="K62" s="990">
        <v>748673.26</v>
      </c>
      <c r="L62" s="1173" t="s">
        <v>1735</v>
      </c>
    </row>
    <row r="63" spans="1:12" s="1177" customFormat="1" ht="15" customHeight="1">
      <c r="A63" s="1201"/>
      <c r="B63" s="984" t="s">
        <v>1420</v>
      </c>
      <c r="C63" s="984" t="s">
        <v>1421</v>
      </c>
      <c r="D63" s="1185">
        <v>43008</v>
      </c>
      <c r="E63" s="1184">
        <v>43040</v>
      </c>
      <c r="F63" s="984" t="s">
        <v>1695</v>
      </c>
      <c r="G63" s="984" t="s">
        <v>1830</v>
      </c>
      <c r="H63" s="984" t="s">
        <v>1829</v>
      </c>
      <c r="I63" s="990">
        <v>40176.99</v>
      </c>
      <c r="J63" s="990">
        <v>0</v>
      </c>
      <c r="K63" s="990">
        <v>788850.25</v>
      </c>
      <c r="L63" s="1173" t="s">
        <v>1828</v>
      </c>
    </row>
    <row r="64" spans="1:12" s="1177" customFormat="1" ht="15" customHeight="1">
      <c r="A64" s="1201"/>
      <c r="B64" s="984" t="s">
        <v>1420</v>
      </c>
      <c r="C64" s="984" t="s">
        <v>1421</v>
      </c>
      <c r="D64" s="1185">
        <v>42984</v>
      </c>
      <c r="E64" s="1184">
        <v>43070</v>
      </c>
      <c r="F64" s="984" t="s">
        <v>1827</v>
      </c>
      <c r="G64" s="984" t="s">
        <v>1826</v>
      </c>
      <c r="H64" s="984" t="s">
        <v>1825</v>
      </c>
      <c r="I64" s="990">
        <v>300</v>
      </c>
      <c r="J64" s="990">
        <v>0</v>
      </c>
      <c r="K64" s="990">
        <v>789150.25</v>
      </c>
      <c r="L64" s="1173" t="s">
        <v>1692</v>
      </c>
    </row>
    <row r="65" spans="1:12" s="1177" customFormat="1" ht="15" customHeight="1">
      <c r="A65" s="1201"/>
      <c r="B65" s="984" t="s">
        <v>1420</v>
      </c>
      <c r="C65" s="984" t="s">
        <v>1421</v>
      </c>
      <c r="D65" s="1185">
        <v>42989</v>
      </c>
      <c r="E65" s="1184">
        <v>43070</v>
      </c>
      <c r="F65" s="984" t="s">
        <v>1775</v>
      </c>
      <c r="G65" s="984" t="s">
        <v>1824</v>
      </c>
      <c r="H65" s="984" t="s">
        <v>1823</v>
      </c>
      <c r="I65" s="990">
        <v>13150.05</v>
      </c>
      <c r="J65" s="990">
        <v>0</v>
      </c>
      <c r="K65" s="990">
        <v>802300.3</v>
      </c>
      <c r="L65" s="1173" t="s">
        <v>1735</v>
      </c>
    </row>
    <row r="66" spans="1:12" s="1177" customFormat="1" ht="15" customHeight="1">
      <c r="A66" s="1201"/>
      <c r="B66" s="984" t="s">
        <v>1420</v>
      </c>
      <c r="C66" s="984" t="s">
        <v>1421</v>
      </c>
      <c r="D66" s="1185">
        <v>43008</v>
      </c>
      <c r="E66" s="1184">
        <v>43070</v>
      </c>
      <c r="F66" s="984" t="s">
        <v>1695</v>
      </c>
      <c r="G66" s="984" t="s">
        <v>1822</v>
      </c>
      <c r="H66" s="984" t="s">
        <v>1821</v>
      </c>
      <c r="I66" s="990">
        <v>361592.81</v>
      </c>
      <c r="J66" s="990">
        <v>0</v>
      </c>
      <c r="K66" s="990">
        <v>1163893.1100000001</v>
      </c>
      <c r="L66" s="1173" t="s">
        <v>1735</v>
      </c>
    </row>
    <row r="67" spans="1:12" s="1177" customFormat="1" ht="15" customHeight="1">
      <c r="A67" s="1201"/>
      <c r="B67" s="984" t="s">
        <v>1420</v>
      </c>
      <c r="C67" s="984" t="s">
        <v>1421</v>
      </c>
      <c r="D67" s="1185">
        <v>43018</v>
      </c>
      <c r="E67" s="1184">
        <v>43070</v>
      </c>
      <c r="F67" s="984" t="s">
        <v>1678</v>
      </c>
      <c r="G67" s="984" t="s">
        <v>1820</v>
      </c>
      <c r="H67" s="984" t="s">
        <v>1819</v>
      </c>
      <c r="I67" s="990">
        <v>7143.64</v>
      </c>
      <c r="J67" s="990">
        <v>0</v>
      </c>
      <c r="K67" s="990">
        <v>1171036.75</v>
      </c>
      <c r="L67" s="1173" t="s">
        <v>1675</v>
      </c>
    </row>
    <row r="68" spans="1:12" s="1177" customFormat="1" ht="15" customHeight="1">
      <c r="A68" s="1201"/>
      <c r="B68" s="984" t="s">
        <v>1420</v>
      </c>
      <c r="C68" s="984" t="s">
        <v>1421</v>
      </c>
      <c r="D68" s="1185">
        <v>43021</v>
      </c>
      <c r="E68" s="1184">
        <v>43070</v>
      </c>
      <c r="F68" s="984" t="s">
        <v>1751</v>
      </c>
      <c r="G68" s="984" t="s">
        <v>1818</v>
      </c>
      <c r="H68" s="984" t="s">
        <v>1817</v>
      </c>
      <c r="I68" s="990">
        <v>1200</v>
      </c>
      <c r="J68" s="990">
        <v>0</v>
      </c>
      <c r="K68" s="990">
        <v>1172236.75</v>
      </c>
      <c r="L68" s="1173" t="s">
        <v>1816</v>
      </c>
    </row>
    <row r="69" spans="1:12" s="1177" customFormat="1" ht="15" customHeight="1">
      <c r="A69" s="1201"/>
      <c r="B69" s="984" t="s">
        <v>1420</v>
      </c>
      <c r="C69" s="984" t="s">
        <v>1421</v>
      </c>
      <c r="D69" s="1185">
        <v>43021</v>
      </c>
      <c r="E69" s="1184">
        <v>43070</v>
      </c>
      <c r="F69" s="984" t="s">
        <v>1751</v>
      </c>
      <c r="G69" s="984" t="s">
        <v>1815</v>
      </c>
      <c r="H69" s="984" t="s">
        <v>1814</v>
      </c>
      <c r="I69" s="990">
        <v>6060.32</v>
      </c>
      <c r="J69" s="990">
        <v>0</v>
      </c>
      <c r="K69" s="990">
        <v>1178297.07</v>
      </c>
      <c r="L69" s="1173" t="s">
        <v>1813</v>
      </c>
    </row>
    <row r="70" spans="1:12" s="1177" customFormat="1" ht="15" customHeight="1">
      <c r="A70" s="1201"/>
      <c r="B70" s="984" t="s">
        <v>1420</v>
      </c>
      <c r="C70" s="984" t="s">
        <v>1421</v>
      </c>
      <c r="D70" s="1185">
        <v>43044</v>
      </c>
      <c r="E70" s="1184">
        <v>43070</v>
      </c>
      <c r="F70" s="984" t="s">
        <v>1691</v>
      </c>
      <c r="G70" s="984" t="s">
        <v>1812</v>
      </c>
      <c r="H70" s="984" t="s">
        <v>1811</v>
      </c>
      <c r="I70" s="990">
        <v>7500</v>
      </c>
      <c r="J70" s="990">
        <v>0</v>
      </c>
      <c r="K70" s="990">
        <v>1185797.07</v>
      </c>
      <c r="L70" s="1173" t="s">
        <v>1675</v>
      </c>
    </row>
    <row r="71" spans="1:12" s="1177" customFormat="1" ht="15" customHeight="1">
      <c r="A71" s="1201"/>
      <c r="B71" s="984" t="s">
        <v>1420</v>
      </c>
      <c r="C71" s="984" t="s">
        <v>1421</v>
      </c>
      <c r="D71" s="1185">
        <v>43054</v>
      </c>
      <c r="E71" s="1184">
        <v>43070</v>
      </c>
      <c r="F71" s="984" t="s">
        <v>1686</v>
      </c>
      <c r="G71" s="984" t="s">
        <v>1810</v>
      </c>
      <c r="H71" s="984" t="s">
        <v>1809</v>
      </c>
      <c r="I71" s="990">
        <v>1359.75</v>
      </c>
      <c r="J71" s="990">
        <v>0</v>
      </c>
      <c r="K71" s="990">
        <v>1187156.82</v>
      </c>
      <c r="L71" s="1173" t="s">
        <v>1698</v>
      </c>
    </row>
    <row r="72" spans="1:12" s="1177" customFormat="1" ht="15" customHeight="1">
      <c r="A72" s="1201"/>
      <c r="B72" s="984" t="s">
        <v>1420</v>
      </c>
      <c r="C72" s="984" t="s">
        <v>1421</v>
      </c>
      <c r="D72" s="1185">
        <v>43054</v>
      </c>
      <c r="E72" s="1184">
        <v>43070</v>
      </c>
      <c r="F72" s="984" t="s">
        <v>1686</v>
      </c>
      <c r="G72" s="984" t="s">
        <v>1808</v>
      </c>
      <c r="H72" s="984" t="s">
        <v>1807</v>
      </c>
      <c r="I72" s="990">
        <v>225</v>
      </c>
      <c r="J72" s="990">
        <v>0</v>
      </c>
      <c r="K72" s="990">
        <v>1187381.82</v>
      </c>
      <c r="L72" s="1173" t="s">
        <v>1793</v>
      </c>
    </row>
    <row r="73" spans="1:12" s="1177" customFormat="1" ht="15" customHeight="1">
      <c r="A73" s="1201"/>
      <c r="B73" s="984" t="s">
        <v>1420</v>
      </c>
      <c r="C73" s="984" t="s">
        <v>1421</v>
      </c>
      <c r="D73" s="1185">
        <v>43054</v>
      </c>
      <c r="E73" s="1184">
        <v>43070</v>
      </c>
      <c r="F73" s="984" t="s">
        <v>1686</v>
      </c>
      <c r="G73" s="984" t="s">
        <v>1806</v>
      </c>
      <c r="H73" s="984" t="s">
        <v>1805</v>
      </c>
      <c r="I73" s="990">
        <v>2815.7</v>
      </c>
      <c r="J73" s="990">
        <v>0</v>
      </c>
      <c r="K73" s="990">
        <v>1190197.52</v>
      </c>
      <c r="L73" s="1173" t="s">
        <v>1683</v>
      </c>
    </row>
    <row r="74" spans="1:12" s="1177" customFormat="1" ht="15" customHeight="1">
      <c r="A74" s="1201"/>
      <c r="B74" s="984" t="s">
        <v>1420</v>
      </c>
      <c r="C74" s="984" t="s">
        <v>1421</v>
      </c>
      <c r="D74" s="1185">
        <v>43054</v>
      </c>
      <c r="E74" s="1184">
        <v>43070</v>
      </c>
      <c r="F74" s="984" t="s">
        <v>1686</v>
      </c>
      <c r="G74" s="984" t="s">
        <v>1804</v>
      </c>
      <c r="H74" s="984" t="s">
        <v>1803</v>
      </c>
      <c r="I74" s="990">
        <v>4500</v>
      </c>
      <c r="J74" s="990">
        <v>0</v>
      </c>
      <c r="K74" s="990">
        <v>1194697.52</v>
      </c>
      <c r="L74" s="1173" t="s">
        <v>1802</v>
      </c>
    </row>
    <row r="75" spans="1:12" s="1177" customFormat="1" ht="15" customHeight="1">
      <c r="A75" s="1201"/>
      <c r="B75" s="984" t="s">
        <v>1420</v>
      </c>
      <c r="C75" s="984" t="s">
        <v>1421</v>
      </c>
      <c r="D75" s="1185">
        <v>43073</v>
      </c>
      <c r="E75" s="1184">
        <v>43070</v>
      </c>
      <c r="F75" s="984" t="s">
        <v>1691</v>
      </c>
      <c r="G75" s="984" t="s">
        <v>1801</v>
      </c>
      <c r="H75" s="984" t="s">
        <v>1800</v>
      </c>
      <c r="I75" s="990">
        <v>7500</v>
      </c>
      <c r="J75" s="990">
        <v>0</v>
      </c>
      <c r="K75" s="990">
        <v>1202197.52</v>
      </c>
      <c r="L75" s="1173" t="s">
        <v>1675</v>
      </c>
    </row>
    <row r="76" spans="1:12" s="1177" customFormat="1" ht="15" customHeight="1">
      <c r="A76" s="1201"/>
      <c r="B76" s="984" t="s">
        <v>1420</v>
      </c>
      <c r="C76" s="984" t="s">
        <v>1421</v>
      </c>
      <c r="D76" s="1185">
        <v>43074</v>
      </c>
      <c r="E76" s="1184">
        <v>43070</v>
      </c>
      <c r="F76" s="984" t="s">
        <v>1678</v>
      </c>
      <c r="G76" s="984" t="s">
        <v>1799</v>
      </c>
      <c r="H76" s="984" t="s">
        <v>1798</v>
      </c>
      <c r="I76" s="990">
        <v>7780.5</v>
      </c>
      <c r="J76" s="990">
        <v>0</v>
      </c>
      <c r="K76" s="990">
        <v>1209978.02</v>
      </c>
      <c r="L76" s="1173" t="s">
        <v>1675</v>
      </c>
    </row>
    <row r="77" spans="1:12" s="1177" customFormat="1" ht="15" customHeight="1">
      <c r="A77" s="1201"/>
      <c r="B77" s="984" t="s">
        <v>1420</v>
      </c>
      <c r="C77" s="984" t="s">
        <v>1421</v>
      </c>
      <c r="D77" s="1185">
        <v>43076</v>
      </c>
      <c r="E77" s="1184">
        <v>43070</v>
      </c>
      <c r="F77" s="984" t="s">
        <v>1678</v>
      </c>
      <c r="G77" s="984" t="s">
        <v>1797</v>
      </c>
      <c r="H77" s="984" t="s">
        <v>1796</v>
      </c>
      <c r="I77" s="990">
        <v>10711.44</v>
      </c>
      <c r="J77" s="990">
        <v>0</v>
      </c>
      <c r="K77" s="990">
        <v>1220689.46</v>
      </c>
      <c r="L77" s="1173" t="s">
        <v>1675</v>
      </c>
    </row>
    <row r="78" spans="1:12" s="1177" customFormat="1" ht="15" customHeight="1">
      <c r="A78" s="1201"/>
      <c r="B78" s="984" t="s">
        <v>1420</v>
      </c>
      <c r="C78" s="984" t="s">
        <v>1421</v>
      </c>
      <c r="D78" s="1185">
        <v>43083</v>
      </c>
      <c r="E78" s="1184">
        <v>43070</v>
      </c>
      <c r="F78" s="984" t="s">
        <v>1686</v>
      </c>
      <c r="G78" s="984" t="s">
        <v>1795</v>
      </c>
      <c r="H78" s="984" t="s">
        <v>1794</v>
      </c>
      <c r="I78" s="990">
        <v>1276.96</v>
      </c>
      <c r="J78" s="990">
        <v>0</v>
      </c>
      <c r="K78" s="990">
        <v>1221966.42</v>
      </c>
      <c r="L78" s="1173" t="s">
        <v>1793</v>
      </c>
    </row>
    <row r="79" spans="1:12" s="1177" customFormat="1" ht="15" customHeight="1">
      <c r="A79" s="1201"/>
      <c r="B79" s="984" t="s">
        <v>1420</v>
      </c>
      <c r="C79" s="984" t="s">
        <v>1421</v>
      </c>
      <c r="D79" s="1185">
        <v>43083</v>
      </c>
      <c r="E79" s="1184">
        <v>43070</v>
      </c>
      <c r="F79" s="984" t="s">
        <v>1686</v>
      </c>
      <c r="G79" s="984" t="s">
        <v>1792</v>
      </c>
      <c r="H79" s="984" t="s">
        <v>1791</v>
      </c>
      <c r="I79" s="990">
        <v>5169.1899999999996</v>
      </c>
      <c r="J79" s="990">
        <v>0</v>
      </c>
      <c r="K79" s="990">
        <v>1227135.6100000001</v>
      </c>
      <c r="L79" s="1173" t="s">
        <v>1683</v>
      </c>
    </row>
    <row r="80" spans="1:12" s="1177" customFormat="1" ht="15" customHeight="1">
      <c r="A80" s="1201"/>
      <c r="B80" s="984" t="s">
        <v>1420</v>
      </c>
      <c r="C80" s="984" t="s">
        <v>1421</v>
      </c>
      <c r="D80" s="1185">
        <v>43100</v>
      </c>
      <c r="E80" s="1184">
        <v>43070</v>
      </c>
      <c r="F80" s="984" t="s">
        <v>1790</v>
      </c>
      <c r="G80" s="984" t="s">
        <v>1789</v>
      </c>
      <c r="H80" s="984"/>
      <c r="I80" s="990">
        <v>1500</v>
      </c>
      <c r="J80" s="990">
        <v>0</v>
      </c>
      <c r="K80" s="990">
        <v>1228635.6100000001</v>
      </c>
      <c r="L80" s="1173" t="s">
        <v>1788</v>
      </c>
    </row>
    <row r="81" spans="1:12" s="1177" customFormat="1" ht="15" customHeight="1">
      <c r="A81" s="1201"/>
      <c r="B81" s="984" t="s">
        <v>1420</v>
      </c>
      <c r="C81" s="984" t="s">
        <v>1421</v>
      </c>
      <c r="D81" s="1185">
        <v>43100</v>
      </c>
      <c r="E81" s="1184">
        <v>43070</v>
      </c>
      <c r="F81" s="984" t="s">
        <v>1787</v>
      </c>
      <c r="G81" s="984" t="s">
        <v>1786</v>
      </c>
      <c r="H81" s="984"/>
      <c r="I81" s="990">
        <v>399450.7</v>
      </c>
      <c r="J81" s="990">
        <v>0</v>
      </c>
      <c r="K81" s="990">
        <v>1628086.31</v>
      </c>
      <c r="L81" s="1173" t="s">
        <v>1758</v>
      </c>
    </row>
    <row r="82" spans="1:12" s="1177" customFormat="1" ht="15" customHeight="1">
      <c r="A82" s="1201"/>
      <c r="B82" s="984" t="s">
        <v>1420</v>
      </c>
      <c r="C82" s="984" t="s">
        <v>1421</v>
      </c>
      <c r="D82" s="1185">
        <v>43100</v>
      </c>
      <c r="E82" s="1184">
        <v>43070</v>
      </c>
      <c r="F82" s="984" t="s">
        <v>1784</v>
      </c>
      <c r="G82" s="984" t="s">
        <v>1785</v>
      </c>
      <c r="H82" s="984"/>
      <c r="I82" s="990">
        <v>67035.14</v>
      </c>
      <c r="J82" s="990">
        <v>0</v>
      </c>
      <c r="K82" s="990">
        <v>1695121.45</v>
      </c>
      <c r="L82" s="1173" t="s">
        <v>1784</v>
      </c>
    </row>
    <row r="83" spans="1:12" s="1177" customFormat="1" ht="15" customHeight="1">
      <c r="A83" s="1201"/>
      <c r="B83" s="984" t="s">
        <v>1420</v>
      </c>
      <c r="C83" s="984" t="s">
        <v>1421</v>
      </c>
      <c r="D83" s="1185">
        <v>43108</v>
      </c>
      <c r="E83" s="1184">
        <v>43070</v>
      </c>
      <c r="F83" s="984" t="s">
        <v>1695</v>
      </c>
      <c r="G83" s="984" t="s">
        <v>1783</v>
      </c>
      <c r="H83" s="984" t="s">
        <v>1782</v>
      </c>
      <c r="I83" s="990">
        <v>0</v>
      </c>
      <c r="J83" s="990">
        <v>361592.81</v>
      </c>
      <c r="K83" s="990">
        <v>1333528.6399999999</v>
      </c>
      <c r="L83" s="1173" t="s">
        <v>1735</v>
      </c>
    </row>
    <row r="84" spans="1:12" s="1177" customFormat="1" ht="15" customHeight="1">
      <c r="A84" s="1201"/>
      <c r="B84" s="984" t="s">
        <v>1420</v>
      </c>
      <c r="C84" s="984" t="s">
        <v>1421</v>
      </c>
      <c r="D84" s="1185">
        <v>43108</v>
      </c>
      <c r="E84" s="1184">
        <v>43070</v>
      </c>
      <c r="F84" s="984" t="s">
        <v>1695</v>
      </c>
      <c r="G84" s="984" t="s">
        <v>1783</v>
      </c>
      <c r="H84" s="984" t="s">
        <v>1782</v>
      </c>
      <c r="I84" s="990">
        <v>361592.81</v>
      </c>
      <c r="J84" s="990">
        <v>0</v>
      </c>
      <c r="K84" s="990">
        <v>1695121.45</v>
      </c>
      <c r="L84" s="1173" t="s">
        <v>1735</v>
      </c>
    </row>
    <row r="85" spans="1:12" s="1177" customFormat="1" ht="15" customHeight="1">
      <c r="A85" s="1201"/>
      <c r="B85" s="984" t="s">
        <v>1420</v>
      </c>
      <c r="C85" s="984" t="s">
        <v>1421</v>
      </c>
      <c r="D85" s="1185">
        <v>43108</v>
      </c>
      <c r="E85" s="1184">
        <v>43070</v>
      </c>
      <c r="F85" s="984" t="s">
        <v>1695</v>
      </c>
      <c r="G85" s="984" t="s">
        <v>1783</v>
      </c>
      <c r="H85" s="984" t="s">
        <v>1782</v>
      </c>
      <c r="I85" s="990">
        <v>0</v>
      </c>
      <c r="J85" s="990">
        <v>361592.81</v>
      </c>
      <c r="K85" s="990">
        <v>1333528.6399999999</v>
      </c>
      <c r="L85" s="1173" t="s">
        <v>1735</v>
      </c>
    </row>
    <row r="86" spans="1:12" s="1177" customFormat="1" ht="15" customHeight="1">
      <c r="A86" s="1201"/>
      <c r="B86" s="984" t="s">
        <v>1420</v>
      </c>
      <c r="C86" s="984" t="s">
        <v>1421</v>
      </c>
      <c r="D86" s="1185">
        <v>42863</v>
      </c>
      <c r="E86" s="1184">
        <v>43101</v>
      </c>
      <c r="F86" s="984" t="s">
        <v>1775</v>
      </c>
      <c r="G86" s="984" t="s">
        <v>1781</v>
      </c>
      <c r="H86" s="984" t="s">
        <v>1780</v>
      </c>
      <c r="I86" s="990">
        <v>392.5</v>
      </c>
      <c r="J86" s="990">
        <v>0</v>
      </c>
      <c r="K86" s="990">
        <v>1333921.1399999999</v>
      </c>
      <c r="L86" s="1173" t="s">
        <v>1735</v>
      </c>
    </row>
    <row r="87" spans="1:12" s="1177" customFormat="1" ht="15" customHeight="1">
      <c r="A87" s="1201"/>
      <c r="B87" s="984" t="s">
        <v>1420</v>
      </c>
      <c r="C87" s="984" t="s">
        <v>1421</v>
      </c>
      <c r="D87" s="1185">
        <v>42893</v>
      </c>
      <c r="E87" s="1184">
        <v>43101</v>
      </c>
      <c r="F87" s="984" t="s">
        <v>1775</v>
      </c>
      <c r="G87" s="984" t="s">
        <v>1779</v>
      </c>
      <c r="H87" s="984" t="s">
        <v>1778</v>
      </c>
      <c r="I87" s="990">
        <v>7992.27</v>
      </c>
      <c r="J87" s="990">
        <v>0</v>
      </c>
      <c r="K87" s="990">
        <v>1341913.4099999999</v>
      </c>
      <c r="L87" s="1173" t="s">
        <v>1735</v>
      </c>
    </row>
    <row r="88" spans="1:12" s="1177" customFormat="1" ht="15" customHeight="1">
      <c r="A88" s="1201"/>
      <c r="B88" s="984" t="s">
        <v>1420</v>
      </c>
      <c r="C88" s="984" t="s">
        <v>1421</v>
      </c>
      <c r="D88" s="1185">
        <v>42927</v>
      </c>
      <c r="E88" s="1184">
        <v>43101</v>
      </c>
      <c r="F88" s="984" t="s">
        <v>1775</v>
      </c>
      <c r="G88" s="984" t="s">
        <v>1777</v>
      </c>
      <c r="H88" s="984" t="s">
        <v>1776</v>
      </c>
      <c r="I88" s="990">
        <v>9953.4599999999991</v>
      </c>
      <c r="J88" s="990">
        <v>0</v>
      </c>
      <c r="K88" s="990">
        <v>1351866.87</v>
      </c>
      <c r="L88" s="1173" t="s">
        <v>1735</v>
      </c>
    </row>
    <row r="89" spans="1:12" s="1177" customFormat="1" ht="15" customHeight="1">
      <c r="A89" s="1201"/>
      <c r="B89" s="984" t="s">
        <v>1420</v>
      </c>
      <c r="C89" s="984" t="s">
        <v>1421</v>
      </c>
      <c r="D89" s="1185">
        <v>42956</v>
      </c>
      <c r="E89" s="1184">
        <v>43101</v>
      </c>
      <c r="F89" s="984" t="s">
        <v>1775</v>
      </c>
      <c r="G89" s="984" t="s">
        <v>1774</v>
      </c>
      <c r="H89" s="984" t="s">
        <v>1773</v>
      </c>
      <c r="I89" s="990">
        <v>13630.5</v>
      </c>
      <c r="J89" s="990">
        <v>0</v>
      </c>
      <c r="K89" s="990">
        <v>1365497.37</v>
      </c>
      <c r="L89" s="1173" t="s">
        <v>1735</v>
      </c>
    </row>
    <row r="90" spans="1:12" s="1177" customFormat="1" ht="15" customHeight="1">
      <c r="A90" s="1201"/>
      <c r="B90" s="984" t="s">
        <v>1420</v>
      </c>
      <c r="C90" s="984" t="s">
        <v>1421</v>
      </c>
      <c r="D90" s="1185">
        <v>43069</v>
      </c>
      <c r="E90" s="1184">
        <v>43101</v>
      </c>
      <c r="F90" s="984" t="s">
        <v>1695</v>
      </c>
      <c r="G90" s="984" t="s">
        <v>1772</v>
      </c>
      <c r="H90" s="984" t="s">
        <v>1771</v>
      </c>
      <c r="I90" s="990">
        <v>399450.7</v>
      </c>
      <c r="J90" s="990">
        <v>0</v>
      </c>
      <c r="K90" s="990">
        <v>1764948.07</v>
      </c>
      <c r="L90" s="1173" t="s">
        <v>1735</v>
      </c>
    </row>
    <row r="91" spans="1:12" s="1177" customFormat="1" ht="15" customHeight="1">
      <c r="A91" s="1201"/>
      <c r="B91" s="984" t="s">
        <v>1420</v>
      </c>
      <c r="C91" s="984" t="s">
        <v>1421</v>
      </c>
      <c r="D91" s="1185">
        <v>43069</v>
      </c>
      <c r="E91" s="1184">
        <v>43101</v>
      </c>
      <c r="F91" s="984" t="s">
        <v>1695</v>
      </c>
      <c r="G91" s="984" t="s">
        <v>1772</v>
      </c>
      <c r="H91" s="984" t="s">
        <v>1771</v>
      </c>
      <c r="I91" s="990">
        <v>0</v>
      </c>
      <c r="J91" s="990">
        <v>399450.7</v>
      </c>
      <c r="K91" s="990">
        <v>1365497.37</v>
      </c>
      <c r="L91" s="1173" t="s">
        <v>1735</v>
      </c>
    </row>
    <row r="92" spans="1:12" s="1177" customFormat="1" ht="15" customHeight="1">
      <c r="A92" s="1201"/>
      <c r="B92" s="984" t="s">
        <v>1420</v>
      </c>
      <c r="C92" s="984" t="s">
        <v>1421</v>
      </c>
      <c r="D92" s="1185">
        <v>43069</v>
      </c>
      <c r="E92" s="1184">
        <v>43101</v>
      </c>
      <c r="F92" s="984" t="s">
        <v>1695</v>
      </c>
      <c r="G92" s="984" t="s">
        <v>1772</v>
      </c>
      <c r="H92" s="984" t="s">
        <v>1771</v>
      </c>
      <c r="I92" s="990">
        <v>399450.7</v>
      </c>
      <c r="J92" s="990">
        <v>0</v>
      </c>
      <c r="K92" s="990">
        <v>1764948.07</v>
      </c>
      <c r="L92" s="1173" t="s">
        <v>1735</v>
      </c>
    </row>
    <row r="93" spans="1:12" s="1177" customFormat="1" ht="15" customHeight="1">
      <c r="A93" s="1201"/>
      <c r="B93" s="984" t="s">
        <v>1420</v>
      </c>
      <c r="C93" s="984" t="s">
        <v>1421</v>
      </c>
      <c r="D93" s="1185">
        <v>43069</v>
      </c>
      <c r="E93" s="1184">
        <v>43101</v>
      </c>
      <c r="F93" s="984" t="s">
        <v>1695</v>
      </c>
      <c r="G93" s="984" t="s">
        <v>1770</v>
      </c>
      <c r="H93" s="984" t="s">
        <v>1769</v>
      </c>
      <c r="I93" s="990">
        <v>399450.7</v>
      </c>
      <c r="J93" s="990">
        <v>0</v>
      </c>
      <c r="K93" s="990">
        <v>2164398.77</v>
      </c>
      <c r="L93" s="1173" t="s">
        <v>1735</v>
      </c>
    </row>
    <row r="94" spans="1:12" s="1177" customFormat="1" ht="15" customHeight="1">
      <c r="A94" s="1201"/>
      <c r="B94" s="984" t="s">
        <v>1420</v>
      </c>
      <c r="C94" s="984" t="s">
        <v>1421</v>
      </c>
      <c r="D94" s="1185">
        <v>43069</v>
      </c>
      <c r="E94" s="1184">
        <v>43101</v>
      </c>
      <c r="F94" s="984" t="s">
        <v>1695</v>
      </c>
      <c r="G94" s="984" t="s">
        <v>1768</v>
      </c>
      <c r="H94" s="984" t="s">
        <v>1767</v>
      </c>
      <c r="I94" s="990">
        <v>44383.43</v>
      </c>
      <c r="J94" s="990">
        <v>0</v>
      </c>
      <c r="K94" s="990">
        <v>2208782.2000000002</v>
      </c>
      <c r="L94" s="1173" t="s">
        <v>1735</v>
      </c>
    </row>
    <row r="95" spans="1:12" s="1177" customFormat="1" ht="15" customHeight="1">
      <c r="A95" s="1201"/>
      <c r="B95" s="984" t="s">
        <v>1420</v>
      </c>
      <c r="C95" s="984" t="s">
        <v>1421</v>
      </c>
      <c r="D95" s="1185">
        <v>43087</v>
      </c>
      <c r="E95" s="1184">
        <v>43101</v>
      </c>
      <c r="F95" s="984" t="s">
        <v>1755</v>
      </c>
      <c r="G95" s="984" t="s">
        <v>1766</v>
      </c>
      <c r="H95" s="984" t="s">
        <v>1762</v>
      </c>
      <c r="I95" s="990">
        <v>2650</v>
      </c>
      <c r="J95" s="990">
        <v>0</v>
      </c>
      <c r="K95" s="990">
        <v>2211432.2000000002</v>
      </c>
      <c r="L95" s="1173" t="s">
        <v>1761</v>
      </c>
    </row>
    <row r="96" spans="1:12" s="1177" customFormat="1" ht="15" customHeight="1">
      <c r="A96" s="1201"/>
      <c r="B96" s="984" t="s">
        <v>1420</v>
      </c>
      <c r="C96" s="984" t="s">
        <v>1421</v>
      </c>
      <c r="D96" s="1185">
        <v>43087</v>
      </c>
      <c r="E96" s="1184">
        <v>43101</v>
      </c>
      <c r="F96" s="984" t="s">
        <v>1755</v>
      </c>
      <c r="G96" s="984" t="s">
        <v>1765</v>
      </c>
      <c r="H96" s="984" t="s">
        <v>1764</v>
      </c>
      <c r="I96" s="990">
        <v>0</v>
      </c>
      <c r="J96" s="990">
        <v>2650</v>
      </c>
      <c r="K96" s="990">
        <v>2208782.2000000002</v>
      </c>
      <c r="L96" s="1173" t="s">
        <v>1761</v>
      </c>
    </row>
    <row r="97" spans="1:12" s="1177" customFormat="1" ht="15" customHeight="1">
      <c r="A97" s="1201"/>
      <c r="B97" s="984" t="s">
        <v>1420</v>
      </c>
      <c r="C97" s="984" t="s">
        <v>1421</v>
      </c>
      <c r="D97" s="1185">
        <v>43087</v>
      </c>
      <c r="E97" s="1184">
        <v>43101</v>
      </c>
      <c r="F97" s="984" t="s">
        <v>1755</v>
      </c>
      <c r="G97" s="984" t="s">
        <v>1763</v>
      </c>
      <c r="H97" s="984" t="s">
        <v>1762</v>
      </c>
      <c r="I97" s="990">
        <v>2650</v>
      </c>
      <c r="J97" s="990">
        <v>0</v>
      </c>
      <c r="K97" s="990">
        <v>2211432.2000000002</v>
      </c>
      <c r="L97" s="1173" t="s">
        <v>1761</v>
      </c>
    </row>
    <row r="98" spans="1:12" s="1177" customFormat="1" ht="15" customHeight="1">
      <c r="A98" s="1201"/>
      <c r="B98" s="984" t="s">
        <v>1420</v>
      </c>
      <c r="C98" s="984" t="s">
        <v>1421</v>
      </c>
      <c r="D98" s="1185">
        <v>43101</v>
      </c>
      <c r="E98" s="1184">
        <v>43101</v>
      </c>
      <c r="F98" s="984" t="s">
        <v>1759</v>
      </c>
      <c r="G98" s="984" t="s">
        <v>1760</v>
      </c>
      <c r="H98" s="984" t="s">
        <v>1759</v>
      </c>
      <c r="I98" s="990">
        <v>0</v>
      </c>
      <c r="J98" s="990">
        <v>399450.7</v>
      </c>
      <c r="K98" s="990">
        <v>1811981.5</v>
      </c>
      <c r="L98" s="1173" t="s">
        <v>1758</v>
      </c>
    </row>
    <row r="99" spans="1:12" s="1177" customFormat="1" ht="15" customHeight="1">
      <c r="A99" s="1201"/>
      <c r="B99" s="984" t="s">
        <v>1420</v>
      </c>
      <c r="C99" s="984" t="s">
        <v>1421</v>
      </c>
      <c r="D99" s="1185">
        <v>43104</v>
      </c>
      <c r="E99" s="1184">
        <v>43101</v>
      </c>
      <c r="F99" s="984" t="s">
        <v>1691</v>
      </c>
      <c r="G99" s="984" t="s">
        <v>1757</v>
      </c>
      <c r="H99" s="984" t="s">
        <v>1756</v>
      </c>
      <c r="I99" s="990">
        <v>7500</v>
      </c>
      <c r="J99" s="990">
        <v>0</v>
      </c>
      <c r="K99" s="990">
        <v>1819481.5</v>
      </c>
      <c r="L99" s="1173" t="s">
        <v>1675</v>
      </c>
    </row>
    <row r="100" spans="1:12" s="1177" customFormat="1" ht="15" customHeight="1">
      <c r="A100" s="1201"/>
      <c r="B100" s="984" t="s">
        <v>1420</v>
      </c>
      <c r="C100" s="984" t="s">
        <v>1421</v>
      </c>
      <c r="D100" s="1185">
        <v>43119</v>
      </c>
      <c r="E100" s="1184">
        <v>43101</v>
      </c>
      <c r="F100" s="984" t="s">
        <v>1755</v>
      </c>
      <c r="G100" s="984" t="s">
        <v>1754</v>
      </c>
      <c r="H100" s="984" t="s">
        <v>1753</v>
      </c>
      <c r="I100" s="990">
        <v>1850</v>
      </c>
      <c r="J100" s="990">
        <v>0</v>
      </c>
      <c r="K100" s="990">
        <v>1821331.5</v>
      </c>
      <c r="L100" s="1173" t="s">
        <v>1752</v>
      </c>
    </row>
    <row r="101" spans="1:12" s="1177" customFormat="1" ht="15" customHeight="1">
      <c r="A101" s="1201"/>
      <c r="B101" s="984" t="s">
        <v>1420</v>
      </c>
      <c r="C101" s="984" t="s">
        <v>1421</v>
      </c>
      <c r="D101" s="1185">
        <v>43122</v>
      </c>
      <c r="E101" s="1184">
        <v>43101</v>
      </c>
      <c r="F101" s="984" t="s">
        <v>1751</v>
      </c>
      <c r="G101" s="984" t="s">
        <v>1750</v>
      </c>
      <c r="H101" s="984" t="s">
        <v>1749</v>
      </c>
      <c r="I101" s="990">
        <v>1850</v>
      </c>
      <c r="J101" s="990">
        <v>0</v>
      </c>
      <c r="K101" s="990">
        <v>1823181.5</v>
      </c>
      <c r="L101" s="1173" t="s">
        <v>1748</v>
      </c>
    </row>
    <row r="102" spans="1:12" s="1177" customFormat="1" ht="15" customHeight="1">
      <c r="A102" s="1201"/>
      <c r="B102" s="984" t="s">
        <v>1420</v>
      </c>
      <c r="C102" s="984" t="s">
        <v>1421</v>
      </c>
      <c r="D102" s="1185">
        <v>43131</v>
      </c>
      <c r="E102" s="1184">
        <v>43101</v>
      </c>
      <c r="F102" s="984" t="s">
        <v>1695</v>
      </c>
      <c r="G102" s="984" t="s">
        <v>1747</v>
      </c>
      <c r="H102" s="984" t="s">
        <v>1746</v>
      </c>
      <c r="I102" s="990">
        <v>0</v>
      </c>
      <c r="J102" s="990">
        <v>399450.7</v>
      </c>
      <c r="K102" s="990">
        <v>1423730.8</v>
      </c>
      <c r="L102" s="1173" t="s">
        <v>1735</v>
      </c>
    </row>
    <row r="103" spans="1:12" s="1177" customFormat="1" ht="15" customHeight="1">
      <c r="A103" s="1201"/>
      <c r="B103" s="984" t="s">
        <v>1420</v>
      </c>
      <c r="C103" s="984" t="s">
        <v>1421</v>
      </c>
      <c r="D103" s="1185">
        <v>43131</v>
      </c>
      <c r="E103" s="1184">
        <v>43101</v>
      </c>
      <c r="F103" s="984" t="s">
        <v>1695</v>
      </c>
      <c r="G103" s="984" t="s">
        <v>1747</v>
      </c>
      <c r="H103" s="984" t="s">
        <v>1746</v>
      </c>
      <c r="I103" s="990">
        <v>399450.7</v>
      </c>
      <c r="J103" s="990">
        <v>0</v>
      </c>
      <c r="K103" s="990">
        <v>1823181.5</v>
      </c>
      <c r="L103" s="1173" t="s">
        <v>1735</v>
      </c>
    </row>
    <row r="104" spans="1:12" s="1177" customFormat="1" ht="15" customHeight="1">
      <c r="A104" s="1201"/>
      <c r="B104" s="984" t="s">
        <v>1420</v>
      </c>
      <c r="C104" s="984" t="s">
        <v>1421</v>
      </c>
      <c r="D104" s="1185">
        <v>43131</v>
      </c>
      <c r="E104" s="1184">
        <v>43101</v>
      </c>
      <c r="F104" s="984" t="s">
        <v>1695</v>
      </c>
      <c r="G104" s="984" t="s">
        <v>1747</v>
      </c>
      <c r="H104" s="984" t="s">
        <v>1746</v>
      </c>
      <c r="I104" s="990">
        <v>0</v>
      </c>
      <c r="J104" s="990">
        <v>399450.7</v>
      </c>
      <c r="K104" s="990">
        <v>1423730.8</v>
      </c>
      <c r="L104" s="1173" t="s">
        <v>1735</v>
      </c>
    </row>
    <row r="105" spans="1:12" s="1177" customFormat="1" ht="15" customHeight="1">
      <c r="A105" s="1201"/>
      <c r="B105" s="984" t="s">
        <v>1420</v>
      </c>
      <c r="C105" s="984" t="s">
        <v>1421</v>
      </c>
      <c r="D105" s="1185">
        <v>43131</v>
      </c>
      <c r="E105" s="1184">
        <v>43101</v>
      </c>
      <c r="F105" s="984"/>
      <c r="G105" s="984" t="s">
        <v>1744</v>
      </c>
      <c r="H105" s="984"/>
      <c r="I105" s="990">
        <v>3000</v>
      </c>
      <c r="J105" s="990">
        <v>0</v>
      </c>
      <c r="K105" s="990">
        <v>1426730.8</v>
      </c>
      <c r="L105" s="1173" t="s">
        <v>1745</v>
      </c>
    </row>
    <row r="106" spans="1:12" s="1177" customFormat="1" ht="15" customHeight="1">
      <c r="A106" s="1201"/>
      <c r="B106" s="984" t="s">
        <v>1420</v>
      </c>
      <c r="C106" s="984" t="s">
        <v>1421</v>
      </c>
      <c r="D106" s="1185">
        <v>43131</v>
      </c>
      <c r="E106" s="1184">
        <v>43101</v>
      </c>
      <c r="F106" s="984"/>
      <c r="G106" s="984" t="s">
        <v>1744</v>
      </c>
      <c r="H106" s="984"/>
      <c r="I106" s="990">
        <v>2680</v>
      </c>
      <c r="J106" s="990">
        <v>0</v>
      </c>
      <c r="K106" s="990">
        <v>1429410.8</v>
      </c>
      <c r="L106" s="1173" t="s">
        <v>1743</v>
      </c>
    </row>
    <row r="107" spans="1:12" s="1177" customFormat="1" ht="15" customHeight="1">
      <c r="A107" s="1201"/>
      <c r="B107" s="984" t="s">
        <v>1420</v>
      </c>
      <c r="C107" s="984" t="s">
        <v>1421</v>
      </c>
      <c r="D107" s="1185">
        <v>43100</v>
      </c>
      <c r="E107" s="1184">
        <v>43132</v>
      </c>
      <c r="F107" s="984" t="s">
        <v>1695</v>
      </c>
      <c r="G107" s="984" t="s">
        <v>1742</v>
      </c>
      <c r="H107" s="984" t="s">
        <v>1741</v>
      </c>
      <c r="I107" s="990">
        <v>58180.67</v>
      </c>
      <c r="J107" s="990">
        <v>0</v>
      </c>
      <c r="K107" s="990">
        <v>1487591.47</v>
      </c>
      <c r="L107" s="1173" t="s">
        <v>1735</v>
      </c>
    </row>
    <row r="108" spans="1:12" s="1177" customFormat="1" ht="15" customHeight="1">
      <c r="A108" s="1201"/>
      <c r="B108" s="984" t="s">
        <v>1420</v>
      </c>
      <c r="C108" s="984" t="s">
        <v>1421</v>
      </c>
      <c r="D108" s="1185">
        <v>43100</v>
      </c>
      <c r="E108" s="1184">
        <v>43132</v>
      </c>
      <c r="F108" s="984" t="s">
        <v>1695</v>
      </c>
      <c r="G108" s="984" t="s">
        <v>1740</v>
      </c>
      <c r="H108" s="984" t="s">
        <v>1739</v>
      </c>
      <c r="I108" s="990">
        <v>6464.53</v>
      </c>
      <c r="J108" s="990">
        <v>0</v>
      </c>
      <c r="K108" s="990">
        <v>1494056</v>
      </c>
      <c r="L108" s="1173" t="s">
        <v>1735</v>
      </c>
    </row>
    <row r="109" spans="1:12" s="1177" customFormat="1" ht="15" customHeight="1">
      <c r="A109" s="1201"/>
      <c r="B109" s="984" t="s">
        <v>1420</v>
      </c>
      <c r="C109" s="984" t="s">
        <v>1421</v>
      </c>
      <c r="D109" s="1185">
        <v>43130</v>
      </c>
      <c r="E109" s="1184">
        <v>43132</v>
      </c>
      <c r="F109" s="984" t="s">
        <v>1738</v>
      </c>
      <c r="G109" s="984" t="s">
        <v>1737</v>
      </c>
      <c r="H109" s="984" t="s">
        <v>1736</v>
      </c>
      <c r="I109" s="990">
        <v>1468.51</v>
      </c>
      <c r="J109" s="990">
        <v>0</v>
      </c>
      <c r="K109" s="990">
        <v>1495524.51</v>
      </c>
      <c r="L109" s="1173" t="s">
        <v>1735</v>
      </c>
    </row>
    <row r="110" spans="1:12" s="1177" customFormat="1" ht="15" customHeight="1">
      <c r="A110" s="1201"/>
      <c r="B110" s="984" t="s">
        <v>1420</v>
      </c>
      <c r="C110" s="984" t="s">
        <v>1421</v>
      </c>
      <c r="D110" s="1185">
        <v>43159</v>
      </c>
      <c r="E110" s="1184">
        <v>43132</v>
      </c>
      <c r="F110" s="984"/>
      <c r="G110" s="984" t="s">
        <v>1734</v>
      </c>
      <c r="H110" s="984"/>
      <c r="I110" s="990">
        <v>9750</v>
      </c>
      <c r="J110" s="990">
        <v>0</v>
      </c>
      <c r="K110" s="990">
        <v>1505274.51</v>
      </c>
      <c r="L110" s="1173" t="s">
        <v>1733</v>
      </c>
    </row>
    <row r="111" spans="1:12" s="1177" customFormat="1" ht="15" customHeight="1">
      <c r="A111" s="1201"/>
      <c r="B111" s="984" t="s">
        <v>1420</v>
      </c>
      <c r="C111" s="984" t="s">
        <v>1421</v>
      </c>
      <c r="D111" s="1185">
        <v>43159</v>
      </c>
      <c r="E111" s="1184">
        <v>43132</v>
      </c>
      <c r="F111" s="984" t="s">
        <v>1731</v>
      </c>
      <c r="G111" s="984" t="s">
        <v>1732</v>
      </c>
      <c r="H111" s="984"/>
      <c r="I111" s="990">
        <v>6750</v>
      </c>
      <c r="J111" s="990">
        <v>0</v>
      </c>
      <c r="K111" s="990">
        <v>1512024.51</v>
      </c>
      <c r="L111" s="1173" t="s">
        <v>1731</v>
      </c>
    </row>
    <row r="112" spans="1:12" s="1177" customFormat="1" ht="15" customHeight="1">
      <c r="A112" s="1201"/>
      <c r="B112" s="984" t="s">
        <v>1420</v>
      </c>
      <c r="C112" s="984" t="s">
        <v>1421</v>
      </c>
      <c r="D112" s="1185">
        <v>43115</v>
      </c>
      <c r="E112" s="1184">
        <v>43160</v>
      </c>
      <c r="F112" s="984" t="s">
        <v>1686</v>
      </c>
      <c r="G112" s="984" t="s">
        <v>1730</v>
      </c>
      <c r="H112" s="984" t="s">
        <v>1729</v>
      </c>
      <c r="I112" s="990">
        <v>2945</v>
      </c>
      <c r="J112" s="990">
        <v>0</v>
      </c>
      <c r="K112" s="990">
        <v>1514969.51</v>
      </c>
      <c r="L112" s="1173" t="s">
        <v>1683</v>
      </c>
    </row>
    <row r="113" spans="1:12" s="1177" customFormat="1" ht="15" customHeight="1">
      <c r="A113" s="1201"/>
      <c r="B113" s="984" t="s">
        <v>1420</v>
      </c>
      <c r="C113" s="984" t="s">
        <v>1421</v>
      </c>
      <c r="D113" s="1185">
        <v>43116</v>
      </c>
      <c r="E113" s="1184">
        <v>43160</v>
      </c>
      <c r="F113" s="984" t="s">
        <v>1678</v>
      </c>
      <c r="G113" s="984" t="s">
        <v>1728</v>
      </c>
      <c r="H113" s="984" t="s">
        <v>1727</v>
      </c>
      <c r="I113" s="990">
        <v>10648.51</v>
      </c>
      <c r="J113" s="990">
        <v>0</v>
      </c>
      <c r="K113" s="990">
        <v>1525618.02</v>
      </c>
      <c r="L113" s="1173" t="s">
        <v>1675</v>
      </c>
    </row>
    <row r="114" spans="1:12" s="1177" customFormat="1" ht="15" customHeight="1">
      <c r="A114" s="1201"/>
      <c r="B114" s="984" t="s">
        <v>1420</v>
      </c>
      <c r="C114" s="984" t="s">
        <v>1421</v>
      </c>
      <c r="D114" s="1185">
        <v>43117</v>
      </c>
      <c r="E114" s="1184">
        <v>43160</v>
      </c>
      <c r="F114" s="984" t="s">
        <v>1686</v>
      </c>
      <c r="G114" s="984" t="s">
        <v>1726</v>
      </c>
      <c r="H114" s="984" t="s">
        <v>1725</v>
      </c>
      <c r="I114" s="990">
        <v>1127.43</v>
      </c>
      <c r="J114" s="990">
        <v>0</v>
      </c>
      <c r="K114" s="990">
        <v>1526745.45</v>
      </c>
      <c r="L114" s="1173" t="s">
        <v>1683</v>
      </c>
    </row>
    <row r="115" spans="1:12" s="1177" customFormat="1" ht="15" customHeight="1">
      <c r="A115" s="1201"/>
      <c r="B115" s="984" t="s">
        <v>1420</v>
      </c>
      <c r="C115" s="984" t="s">
        <v>1421</v>
      </c>
      <c r="D115" s="1185">
        <v>43131</v>
      </c>
      <c r="E115" s="1184">
        <v>43160</v>
      </c>
      <c r="F115" s="984" t="s">
        <v>1695</v>
      </c>
      <c r="G115" s="984" t="s">
        <v>1724</v>
      </c>
      <c r="H115" s="984" t="s">
        <v>1723</v>
      </c>
      <c r="I115" s="990">
        <v>9816.94</v>
      </c>
      <c r="J115" s="990">
        <v>0</v>
      </c>
      <c r="K115" s="990">
        <v>1536562.39</v>
      </c>
      <c r="L115" s="1173" t="s">
        <v>1692</v>
      </c>
    </row>
    <row r="116" spans="1:12" s="1177" customFormat="1" ht="15" customHeight="1">
      <c r="A116" s="1201"/>
      <c r="B116" s="984" t="s">
        <v>1420</v>
      </c>
      <c r="C116" s="984" t="s">
        <v>1421</v>
      </c>
      <c r="D116" s="1185">
        <v>43131</v>
      </c>
      <c r="E116" s="1184">
        <v>43160</v>
      </c>
      <c r="F116" s="984" t="s">
        <v>1695</v>
      </c>
      <c r="G116" s="984" t="s">
        <v>1722</v>
      </c>
      <c r="H116" s="984" t="s">
        <v>1721</v>
      </c>
      <c r="I116" s="990">
        <v>1090.77</v>
      </c>
      <c r="J116" s="990">
        <v>0</v>
      </c>
      <c r="K116" s="990">
        <v>1537653.16</v>
      </c>
      <c r="L116" s="1173" t="s">
        <v>1692</v>
      </c>
    </row>
    <row r="117" spans="1:12" s="1177" customFormat="1" ht="15" customHeight="1">
      <c r="A117" s="1201"/>
      <c r="B117" s="984" t="s">
        <v>1420</v>
      </c>
      <c r="C117" s="984" t="s">
        <v>1421</v>
      </c>
      <c r="D117" s="1185">
        <v>43135</v>
      </c>
      <c r="E117" s="1184">
        <v>43160</v>
      </c>
      <c r="F117" s="984" t="s">
        <v>1691</v>
      </c>
      <c r="G117" s="984" t="s">
        <v>1720</v>
      </c>
      <c r="H117" s="984" t="s">
        <v>1719</v>
      </c>
      <c r="I117" s="990">
        <v>7435</v>
      </c>
      <c r="J117" s="990">
        <v>0</v>
      </c>
      <c r="K117" s="990">
        <v>1545088.16</v>
      </c>
      <c r="L117" s="1173" t="s">
        <v>1675</v>
      </c>
    </row>
    <row r="118" spans="1:12" s="1177" customFormat="1" ht="15" customHeight="1">
      <c r="A118" s="1201"/>
      <c r="B118" s="984" t="s">
        <v>1420</v>
      </c>
      <c r="C118" s="984" t="s">
        <v>1421</v>
      </c>
      <c r="D118" s="1185">
        <v>43137</v>
      </c>
      <c r="E118" s="1184">
        <v>43160</v>
      </c>
      <c r="F118" s="984" t="s">
        <v>1678</v>
      </c>
      <c r="G118" s="984" t="s">
        <v>1718</v>
      </c>
      <c r="H118" s="984" t="s">
        <v>1717</v>
      </c>
      <c r="I118" s="990">
        <v>1970.5</v>
      </c>
      <c r="J118" s="990">
        <v>0</v>
      </c>
      <c r="K118" s="990">
        <v>1547058.66</v>
      </c>
      <c r="L118" s="1173" t="s">
        <v>1675</v>
      </c>
    </row>
    <row r="119" spans="1:12" s="1177" customFormat="1" ht="15" customHeight="1">
      <c r="A119" s="1201"/>
      <c r="B119" s="984" t="s">
        <v>1420</v>
      </c>
      <c r="C119" s="984" t="s">
        <v>1421</v>
      </c>
      <c r="D119" s="1185">
        <v>43152</v>
      </c>
      <c r="E119" s="1184">
        <v>43160</v>
      </c>
      <c r="F119" s="984" t="s">
        <v>1665</v>
      </c>
      <c r="G119" s="984" t="s">
        <v>1716</v>
      </c>
      <c r="H119" s="984" t="s">
        <v>1715</v>
      </c>
      <c r="I119" s="990">
        <v>9750</v>
      </c>
      <c r="J119" s="990">
        <v>0</v>
      </c>
      <c r="K119" s="990">
        <v>1556808.66</v>
      </c>
      <c r="L119" s="1173" t="s">
        <v>1714</v>
      </c>
    </row>
    <row r="120" spans="1:12" s="1177" customFormat="1" ht="15" customHeight="1">
      <c r="A120" s="1201"/>
      <c r="B120" s="984" t="s">
        <v>1420</v>
      </c>
      <c r="C120" s="984" t="s">
        <v>1421</v>
      </c>
      <c r="D120" s="1185">
        <v>43154</v>
      </c>
      <c r="E120" s="1184">
        <v>43160</v>
      </c>
      <c r="F120" s="984" t="s">
        <v>1665</v>
      </c>
      <c r="G120" s="984" t="s">
        <v>1713</v>
      </c>
      <c r="H120" s="984" t="s">
        <v>1712</v>
      </c>
      <c r="I120" s="990">
        <v>2555.96</v>
      </c>
      <c r="J120" s="990">
        <v>0</v>
      </c>
      <c r="K120" s="990">
        <v>1559364.62</v>
      </c>
      <c r="L120" s="1173" t="s">
        <v>1711</v>
      </c>
    </row>
    <row r="121" spans="1:12" s="1177" customFormat="1" ht="15" customHeight="1">
      <c r="A121" s="1201"/>
      <c r="B121" s="984" t="s">
        <v>1420</v>
      </c>
      <c r="C121" s="984" t="s">
        <v>1421</v>
      </c>
      <c r="D121" s="1185">
        <v>43181</v>
      </c>
      <c r="E121" s="1184">
        <v>43160</v>
      </c>
      <c r="F121" s="984"/>
      <c r="G121" s="984" t="s">
        <v>1708</v>
      </c>
      <c r="H121" s="984"/>
      <c r="I121" s="990">
        <v>0</v>
      </c>
      <c r="J121" s="990">
        <v>9750</v>
      </c>
      <c r="K121" s="990">
        <v>1549614.62</v>
      </c>
      <c r="L121" s="1173" t="s">
        <v>1710</v>
      </c>
    </row>
    <row r="122" spans="1:12" s="1177" customFormat="1" ht="15" customHeight="1">
      <c r="A122" s="1201"/>
      <c r="B122" s="984" t="s">
        <v>1420</v>
      </c>
      <c r="C122" s="984" t="s">
        <v>1421</v>
      </c>
      <c r="D122" s="1185">
        <v>43181</v>
      </c>
      <c r="E122" s="1184">
        <v>43160</v>
      </c>
      <c r="F122" s="984"/>
      <c r="G122" s="984" t="s">
        <v>1708</v>
      </c>
      <c r="H122" s="984"/>
      <c r="I122" s="990">
        <v>3806.25</v>
      </c>
      <c r="J122" s="990">
        <v>0</v>
      </c>
      <c r="K122" s="990">
        <v>1553420.87</v>
      </c>
      <c r="L122" s="1173" t="s">
        <v>1709</v>
      </c>
    </row>
    <row r="123" spans="1:12" s="1177" customFormat="1" ht="15" customHeight="1">
      <c r="A123" s="1201"/>
      <c r="B123" s="984" t="s">
        <v>1420</v>
      </c>
      <c r="C123" s="984" t="s">
        <v>1421</v>
      </c>
      <c r="D123" s="1185">
        <v>43181</v>
      </c>
      <c r="E123" s="1184">
        <v>43160</v>
      </c>
      <c r="F123" s="984"/>
      <c r="G123" s="984" t="s">
        <v>1708</v>
      </c>
      <c r="H123" s="984"/>
      <c r="I123" s="990">
        <v>125</v>
      </c>
      <c r="J123" s="990">
        <v>0</v>
      </c>
      <c r="K123" s="990">
        <v>1553545.87</v>
      </c>
      <c r="L123" s="1173" t="s">
        <v>1707</v>
      </c>
    </row>
    <row r="124" spans="1:12" s="1177" customFormat="1" ht="15" customHeight="1">
      <c r="A124" s="1201"/>
      <c r="B124" s="984" t="s">
        <v>1420</v>
      </c>
      <c r="C124" s="984" t="s">
        <v>1421</v>
      </c>
      <c r="D124" s="1185">
        <v>43186</v>
      </c>
      <c r="E124" s="1184">
        <v>43160</v>
      </c>
      <c r="F124" s="984" t="s">
        <v>1706</v>
      </c>
      <c r="G124" s="984" t="s">
        <v>1705</v>
      </c>
      <c r="H124" s="984" t="s">
        <v>1704</v>
      </c>
      <c r="I124" s="990">
        <v>4739.1899999999996</v>
      </c>
      <c r="J124" s="990">
        <v>0</v>
      </c>
      <c r="K124" s="990">
        <v>1558285.06</v>
      </c>
      <c r="L124" s="1173" t="s">
        <v>1703</v>
      </c>
    </row>
    <row r="125" spans="1:12" s="1177" customFormat="1" ht="15" customHeight="1">
      <c r="A125" s="1201"/>
      <c r="B125" s="984" t="s">
        <v>1420</v>
      </c>
      <c r="C125" s="984" t="s">
        <v>1421</v>
      </c>
      <c r="D125" s="1185">
        <v>43190</v>
      </c>
      <c r="E125" s="1184">
        <v>43160</v>
      </c>
      <c r="F125" s="984"/>
      <c r="G125" s="984" t="s">
        <v>1702</v>
      </c>
      <c r="H125" s="984"/>
      <c r="I125" s="990">
        <v>925</v>
      </c>
      <c r="J125" s="990">
        <v>0</v>
      </c>
      <c r="K125" s="990">
        <v>1559210.06</v>
      </c>
      <c r="L125" s="1173" t="s">
        <v>1701</v>
      </c>
    </row>
    <row r="126" spans="1:12" s="1177" customFormat="1" ht="15" customHeight="1">
      <c r="A126" s="1201"/>
      <c r="B126" s="984" t="s">
        <v>1420</v>
      </c>
      <c r="C126" s="984" t="s">
        <v>1421</v>
      </c>
      <c r="D126" s="1185">
        <v>43146</v>
      </c>
      <c r="E126" s="1184">
        <v>43191</v>
      </c>
      <c r="F126" s="984" t="s">
        <v>1686</v>
      </c>
      <c r="G126" s="984" t="s">
        <v>1700</v>
      </c>
      <c r="H126" s="984" t="s">
        <v>1699</v>
      </c>
      <c r="I126" s="990">
        <v>675</v>
      </c>
      <c r="J126" s="990">
        <v>0</v>
      </c>
      <c r="K126" s="990">
        <v>1559885.06</v>
      </c>
      <c r="L126" s="1173" t="s">
        <v>1698</v>
      </c>
    </row>
    <row r="127" spans="1:12" s="1177" customFormat="1" ht="15" customHeight="1">
      <c r="A127" s="1201"/>
      <c r="B127" s="984" t="s">
        <v>1420</v>
      </c>
      <c r="C127" s="984" t="s">
        <v>1421</v>
      </c>
      <c r="D127" s="1185">
        <v>43146</v>
      </c>
      <c r="E127" s="1184">
        <v>43191</v>
      </c>
      <c r="F127" s="984" t="s">
        <v>1686</v>
      </c>
      <c r="G127" s="984" t="s">
        <v>1697</v>
      </c>
      <c r="H127" s="984" t="s">
        <v>1696</v>
      </c>
      <c r="I127" s="990">
        <v>337.5</v>
      </c>
      <c r="J127" s="990">
        <v>0</v>
      </c>
      <c r="K127" s="990">
        <v>1560222.56</v>
      </c>
      <c r="L127" s="1173" t="s">
        <v>1683</v>
      </c>
    </row>
    <row r="128" spans="1:12" s="1177" customFormat="1" ht="15" customHeight="1">
      <c r="A128" s="1201"/>
      <c r="B128" s="984" t="s">
        <v>1420</v>
      </c>
      <c r="C128" s="984" t="s">
        <v>1421</v>
      </c>
      <c r="D128" s="1185">
        <v>43159</v>
      </c>
      <c r="E128" s="1184">
        <v>43191</v>
      </c>
      <c r="F128" s="984" t="s">
        <v>1695</v>
      </c>
      <c r="G128" s="984" t="s">
        <v>1694</v>
      </c>
      <c r="H128" s="984" t="s">
        <v>1693</v>
      </c>
      <c r="I128" s="990">
        <v>28090</v>
      </c>
      <c r="J128" s="990">
        <v>0</v>
      </c>
      <c r="K128" s="990">
        <v>1588312.56</v>
      </c>
      <c r="L128" s="1173" t="s">
        <v>1692</v>
      </c>
    </row>
    <row r="129" spans="1:12" s="1177" customFormat="1" ht="15" customHeight="1">
      <c r="A129" s="1201"/>
      <c r="B129" s="984" t="s">
        <v>1420</v>
      </c>
      <c r="C129" s="984" t="s">
        <v>1421</v>
      </c>
      <c r="D129" s="1185">
        <v>43164</v>
      </c>
      <c r="E129" s="1184">
        <v>43191</v>
      </c>
      <c r="F129" s="984" t="s">
        <v>1691</v>
      </c>
      <c r="G129" s="984" t="s">
        <v>1690</v>
      </c>
      <c r="H129" s="984" t="s">
        <v>1689</v>
      </c>
      <c r="I129" s="990">
        <v>2600</v>
      </c>
      <c r="J129" s="990">
        <v>0</v>
      </c>
      <c r="K129" s="990">
        <v>1590912.56</v>
      </c>
      <c r="L129" s="1173" t="s">
        <v>1675</v>
      </c>
    </row>
    <row r="130" spans="1:12" s="1177" customFormat="1" ht="15" customHeight="1">
      <c r="A130" s="1201"/>
      <c r="B130" s="984" t="s">
        <v>1420</v>
      </c>
      <c r="C130" s="984" t="s">
        <v>1421</v>
      </c>
      <c r="D130" s="1185">
        <v>43165</v>
      </c>
      <c r="E130" s="1184">
        <v>43191</v>
      </c>
      <c r="F130" s="984" t="s">
        <v>1678</v>
      </c>
      <c r="G130" s="984" t="s">
        <v>1688</v>
      </c>
      <c r="H130" s="984" t="s">
        <v>1687</v>
      </c>
      <c r="I130" s="990">
        <v>816</v>
      </c>
      <c r="J130" s="990">
        <v>0</v>
      </c>
      <c r="K130" s="990">
        <v>1591728.56</v>
      </c>
      <c r="L130" s="1173" t="s">
        <v>1675</v>
      </c>
    </row>
    <row r="131" spans="1:12" s="1177" customFormat="1" ht="15" customHeight="1">
      <c r="A131" s="1201"/>
      <c r="B131" s="984" t="s">
        <v>1420</v>
      </c>
      <c r="C131" s="984" t="s">
        <v>1421</v>
      </c>
      <c r="D131" s="1185">
        <v>43173</v>
      </c>
      <c r="E131" s="1184">
        <v>43191</v>
      </c>
      <c r="F131" s="984" t="s">
        <v>1686</v>
      </c>
      <c r="G131" s="984" t="s">
        <v>1685</v>
      </c>
      <c r="H131" s="984" t="s">
        <v>1684</v>
      </c>
      <c r="I131" s="990">
        <v>190</v>
      </c>
      <c r="J131" s="990">
        <v>0</v>
      </c>
      <c r="K131" s="990">
        <v>1591918.56</v>
      </c>
      <c r="L131" s="1173" t="s">
        <v>1683</v>
      </c>
    </row>
    <row r="132" spans="1:12" s="1177" customFormat="1" ht="15" customHeight="1">
      <c r="A132" s="1201"/>
      <c r="B132" s="984" t="s">
        <v>1420</v>
      </c>
      <c r="C132" s="984" t="s">
        <v>1421</v>
      </c>
      <c r="D132" s="1185">
        <v>43189</v>
      </c>
      <c r="E132" s="1184">
        <v>43191</v>
      </c>
      <c r="F132" s="984" t="s">
        <v>1682</v>
      </c>
      <c r="G132" s="984" t="s">
        <v>1681</v>
      </c>
      <c r="H132" s="984" t="s">
        <v>1680</v>
      </c>
      <c r="I132" s="990">
        <v>1500</v>
      </c>
      <c r="J132" s="990">
        <v>0</v>
      </c>
      <c r="K132" s="990">
        <v>1593418.56</v>
      </c>
      <c r="L132" s="1173" t="s">
        <v>1679</v>
      </c>
    </row>
    <row r="133" spans="1:12" s="1177" customFormat="1" ht="15" customHeight="1">
      <c r="A133" s="1201"/>
      <c r="B133" s="984" t="s">
        <v>1420</v>
      </c>
      <c r="C133" s="984" t="s">
        <v>1421</v>
      </c>
      <c r="D133" s="1185">
        <v>43195</v>
      </c>
      <c r="E133" s="1184">
        <v>43191</v>
      </c>
      <c r="F133" s="984" t="s">
        <v>1678</v>
      </c>
      <c r="G133" s="984" t="s">
        <v>1677</v>
      </c>
      <c r="H133" s="984" t="s">
        <v>1676</v>
      </c>
      <c r="I133" s="990">
        <v>4559.5</v>
      </c>
      <c r="J133" s="990">
        <v>0</v>
      </c>
      <c r="K133" s="990">
        <v>1597978.06</v>
      </c>
      <c r="L133" s="1173" t="s">
        <v>1675</v>
      </c>
    </row>
    <row r="134" spans="1:12" s="1177" customFormat="1" ht="15" customHeight="1">
      <c r="A134" s="1201"/>
      <c r="B134" s="984" t="s">
        <v>1420</v>
      </c>
      <c r="C134" s="984" t="s">
        <v>1421</v>
      </c>
      <c r="D134" s="1185">
        <v>43202</v>
      </c>
      <c r="E134" s="1184">
        <v>43191</v>
      </c>
      <c r="F134" s="984" t="s">
        <v>1665</v>
      </c>
      <c r="G134" s="984" t="s">
        <v>1674</v>
      </c>
      <c r="H134" s="984" t="s">
        <v>1673</v>
      </c>
      <c r="I134" s="990">
        <v>50197.13</v>
      </c>
      <c r="J134" s="990">
        <v>0</v>
      </c>
      <c r="K134" s="990">
        <v>1648175.19</v>
      </c>
      <c r="L134" s="1173" t="s">
        <v>1662</v>
      </c>
    </row>
    <row r="135" spans="1:12" s="1177" customFormat="1" ht="15" customHeight="1">
      <c r="A135" s="1201"/>
      <c r="B135" s="984" t="s">
        <v>1420</v>
      </c>
      <c r="C135" s="984" t="s">
        <v>1421</v>
      </c>
      <c r="D135" s="1185">
        <v>43202</v>
      </c>
      <c r="E135" s="1184">
        <v>43191</v>
      </c>
      <c r="F135" s="984" t="s">
        <v>1665</v>
      </c>
      <c r="G135" s="984" t="s">
        <v>1674</v>
      </c>
      <c r="H135" s="984" t="s">
        <v>1673</v>
      </c>
      <c r="I135" s="990">
        <v>0</v>
      </c>
      <c r="J135" s="990">
        <v>50197.13</v>
      </c>
      <c r="K135" s="990">
        <v>1597978.06</v>
      </c>
      <c r="L135" s="1173" t="s">
        <v>1662</v>
      </c>
    </row>
    <row r="136" spans="1:12" s="1177" customFormat="1" ht="15" customHeight="1">
      <c r="A136" s="1201"/>
      <c r="B136" s="984" t="s">
        <v>1420</v>
      </c>
      <c r="C136" s="984" t="s">
        <v>1421</v>
      </c>
      <c r="D136" s="1185">
        <v>43202</v>
      </c>
      <c r="E136" s="1184">
        <v>43191</v>
      </c>
      <c r="F136" s="984" t="s">
        <v>1665</v>
      </c>
      <c r="G136" s="984" t="s">
        <v>1674</v>
      </c>
      <c r="H136" s="984" t="s">
        <v>1673</v>
      </c>
      <c r="I136" s="990">
        <v>50197.13</v>
      </c>
      <c r="J136" s="990">
        <v>0</v>
      </c>
      <c r="K136" s="990">
        <v>1648175.19</v>
      </c>
      <c r="L136" s="1173" t="s">
        <v>1662</v>
      </c>
    </row>
    <row r="137" spans="1:12" s="1177" customFormat="1" ht="15" customHeight="1">
      <c r="A137" s="1201"/>
      <c r="B137" s="984" t="s">
        <v>1420</v>
      </c>
      <c r="C137" s="984" t="s">
        <v>1421</v>
      </c>
      <c r="D137" s="1185">
        <v>43206</v>
      </c>
      <c r="E137" s="1184">
        <v>43191</v>
      </c>
      <c r="F137" s="984" t="s">
        <v>1672</v>
      </c>
      <c r="G137" s="984" t="s">
        <v>1671</v>
      </c>
      <c r="H137" s="984" t="s">
        <v>1670</v>
      </c>
      <c r="I137" s="990">
        <v>0</v>
      </c>
      <c r="J137" s="990">
        <v>300</v>
      </c>
      <c r="K137" s="990">
        <v>1647875.19</v>
      </c>
      <c r="L137" s="1173" t="s">
        <v>1669</v>
      </c>
    </row>
    <row r="138" spans="1:12" s="1177" customFormat="1" ht="15" customHeight="1">
      <c r="A138" s="1201"/>
      <c r="B138" s="984" t="s">
        <v>1420</v>
      </c>
      <c r="C138" s="984" t="s">
        <v>1421</v>
      </c>
      <c r="D138" s="1185">
        <v>43242</v>
      </c>
      <c r="E138" s="1184">
        <v>43221</v>
      </c>
      <c r="F138" s="984" t="s">
        <v>1668</v>
      </c>
      <c r="G138" s="984" t="s">
        <v>1667</v>
      </c>
      <c r="H138" s="984"/>
      <c r="I138" s="990">
        <v>1850</v>
      </c>
      <c r="J138" s="990">
        <v>0</v>
      </c>
      <c r="K138" s="990">
        <v>1649725.19</v>
      </c>
      <c r="L138" s="1173" t="s">
        <v>1666</v>
      </c>
    </row>
    <row r="139" spans="1:12" s="1177" customFormat="1" ht="15" customHeight="1">
      <c r="A139" s="1201"/>
      <c r="B139" s="984" t="s">
        <v>1420</v>
      </c>
      <c r="C139" s="984" t="s">
        <v>1421</v>
      </c>
      <c r="D139" s="1185">
        <v>43281</v>
      </c>
      <c r="E139" s="1184">
        <v>43252</v>
      </c>
      <c r="F139" s="984" t="s">
        <v>1665</v>
      </c>
      <c r="G139" s="984" t="s">
        <v>1664</v>
      </c>
      <c r="H139" s="984" t="s">
        <v>1663</v>
      </c>
      <c r="I139" s="990">
        <v>0</v>
      </c>
      <c r="J139" s="990">
        <v>50197.13</v>
      </c>
      <c r="K139" s="990">
        <v>1599528.06</v>
      </c>
      <c r="L139" s="1173" t="s">
        <v>1662</v>
      </c>
    </row>
    <row r="140" spans="1:12" s="1177" customFormat="1" ht="15" customHeight="1">
      <c r="A140" s="1201"/>
      <c r="B140" s="984" t="s">
        <v>1420</v>
      </c>
      <c r="C140" s="984" t="s">
        <v>1421</v>
      </c>
      <c r="D140" s="1185">
        <v>43281</v>
      </c>
      <c r="E140" s="1184">
        <v>43252</v>
      </c>
      <c r="F140" s="984" t="s">
        <v>1665</v>
      </c>
      <c r="G140" s="984" t="s">
        <v>1664</v>
      </c>
      <c r="H140" s="984" t="s">
        <v>1663</v>
      </c>
      <c r="I140" s="990">
        <v>50197.13</v>
      </c>
      <c r="J140" s="990">
        <v>0</v>
      </c>
      <c r="K140" s="990">
        <v>1649725.19</v>
      </c>
      <c r="L140" s="1173" t="s">
        <v>1662</v>
      </c>
    </row>
    <row r="141" spans="1:12" s="1177" customFormat="1" ht="15" customHeight="1">
      <c r="A141" s="1201"/>
      <c r="B141" s="984" t="s">
        <v>1420</v>
      </c>
      <c r="C141" s="984" t="s">
        <v>1421</v>
      </c>
      <c r="D141" s="1185">
        <v>43281</v>
      </c>
      <c r="E141" s="1184">
        <v>43252</v>
      </c>
      <c r="F141" s="984" t="s">
        <v>1665</v>
      </c>
      <c r="G141" s="984" t="s">
        <v>1664</v>
      </c>
      <c r="H141" s="984" t="s">
        <v>1663</v>
      </c>
      <c r="I141" s="990">
        <v>0</v>
      </c>
      <c r="J141" s="990">
        <v>50197.13</v>
      </c>
      <c r="K141" s="990">
        <v>1599528.06</v>
      </c>
      <c r="L141" s="1173" t="s">
        <v>1662</v>
      </c>
    </row>
    <row r="142" spans="1:12" s="1177" customFormat="1" ht="15" customHeight="1">
      <c r="A142" s="1201"/>
      <c r="B142" s="984" t="s">
        <v>1420</v>
      </c>
      <c r="C142" s="984" t="s">
        <v>1421</v>
      </c>
      <c r="D142" s="1185">
        <v>43281</v>
      </c>
      <c r="E142" s="1184">
        <v>43252</v>
      </c>
      <c r="F142" s="984" t="s">
        <v>1661</v>
      </c>
      <c r="G142" s="984" t="s">
        <v>1660</v>
      </c>
      <c r="H142" s="984"/>
      <c r="I142" s="990">
        <v>50197.13</v>
      </c>
      <c r="J142" s="990">
        <v>0</v>
      </c>
      <c r="K142" s="990">
        <v>1649725.19</v>
      </c>
      <c r="L142" s="1173" t="s">
        <v>1659</v>
      </c>
    </row>
    <row r="143" spans="1:12" s="1177" customFormat="1" ht="15" customHeight="1">
      <c r="A143" s="1201"/>
      <c r="B143" s="984" t="s">
        <v>1420</v>
      </c>
      <c r="C143" s="984" t="s">
        <v>1421</v>
      </c>
      <c r="D143" s="1185">
        <v>43496</v>
      </c>
      <c r="E143" s="1184">
        <v>43466</v>
      </c>
      <c r="F143" s="984" t="s">
        <v>1658</v>
      </c>
      <c r="G143" s="984" t="s">
        <v>1657</v>
      </c>
      <c r="H143" s="984"/>
      <c r="I143" s="990">
        <v>0.5</v>
      </c>
      <c r="J143" s="990">
        <v>0</v>
      </c>
      <c r="K143" s="990">
        <v>1649725.69</v>
      </c>
      <c r="L143" s="1173" t="s">
        <v>1656</v>
      </c>
    </row>
    <row r="144" spans="1:12" s="1177" customFormat="1" ht="15" customHeight="1">
      <c r="A144" s="1201"/>
      <c r="B144" s="984" t="s">
        <v>1420</v>
      </c>
      <c r="C144" s="984" t="s">
        <v>1421</v>
      </c>
      <c r="D144" s="1185">
        <v>43755</v>
      </c>
      <c r="E144" s="1184">
        <v>43770</v>
      </c>
      <c r="F144" s="984" t="s">
        <v>1579</v>
      </c>
      <c r="G144" s="984" t="s">
        <v>1577</v>
      </c>
      <c r="H144" s="984" t="s">
        <v>1655</v>
      </c>
      <c r="I144" s="990">
        <v>7750</v>
      </c>
      <c r="J144" s="990">
        <v>0</v>
      </c>
      <c r="K144" s="990">
        <v>1657475.69</v>
      </c>
      <c r="L144" s="1173" t="s">
        <v>1576</v>
      </c>
    </row>
    <row r="145" spans="1:12" s="1177" customFormat="1" ht="15" customHeight="1">
      <c r="A145" s="1201"/>
      <c r="B145" s="984" t="s">
        <v>1420</v>
      </c>
      <c r="C145" s="984" t="s">
        <v>1421</v>
      </c>
      <c r="D145" s="1185">
        <v>43788</v>
      </c>
      <c r="E145" s="1184">
        <v>43770</v>
      </c>
      <c r="F145" s="984" t="s">
        <v>1654</v>
      </c>
      <c r="G145" s="984" t="s">
        <v>1581</v>
      </c>
      <c r="H145" s="984" t="s">
        <v>1653</v>
      </c>
      <c r="I145" s="990">
        <v>7750</v>
      </c>
      <c r="J145" s="990">
        <v>0</v>
      </c>
      <c r="K145" s="990">
        <v>1665225.69</v>
      </c>
      <c r="L145" s="1173" t="s">
        <v>1580</v>
      </c>
    </row>
    <row r="146" spans="1:12" s="1177" customFormat="1" ht="15" customHeight="1">
      <c r="A146" s="1201"/>
      <c r="B146" s="1182"/>
      <c r="C146" s="1182"/>
      <c r="D146" s="1183"/>
      <c r="E146" s="1183"/>
      <c r="F146" s="1179" t="s">
        <v>1652</v>
      </c>
      <c r="G146" s="1182"/>
      <c r="H146" s="1182"/>
      <c r="I146" s="1186">
        <v>4541731.12</v>
      </c>
      <c r="J146" s="1181" t="s">
        <v>1651</v>
      </c>
      <c r="K146" s="1180" t="s">
        <v>1650</v>
      </c>
      <c r="L146" s="1179" t="s">
        <v>1470</v>
      </c>
    </row>
    <row r="147" spans="1:12" ht="15" customHeight="1">
      <c r="B147" s="984"/>
      <c r="C147" s="984"/>
      <c r="D147" s="984"/>
      <c r="E147" s="984"/>
      <c r="F147" s="984"/>
      <c r="G147" s="984"/>
      <c r="H147" s="984"/>
      <c r="I147" s="989"/>
      <c r="J147" s="989"/>
      <c r="K147" s="989"/>
      <c r="L147" s="984"/>
    </row>
    <row r="148" spans="1:12" s="1177" customFormat="1" ht="15" customHeight="1">
      <c r="A148" s="1201"/>
      <c r="B148" s="1179" t="s">
        <v>1649</v>
      </c>
      <c r="C148" s="1182"/>
      <c r="D148" s="1182"/>
      <c r="E148" s="1182"/>
      <c r="F148" s="1179" t="s">
        <v>1648</v>
      </c>
      <c r="G148" s="1182"/>
      <c r="H148" s="1182"/>
      <c r="I148" s="1187"/>
      <c r="J148" s="1187"/>
      <c r="K148" s="1186">
        <v>0</v>
      </c>
      <c r="L148" s="1179" t="s">
        <v>1419</v>
      </c>
    </row>
    <row r="149" spans="1:12" s="1177" customFormat="1" ht="15" customHeight="1">
      <c r="A149" s="1201"/>
      <c r="B149" s="984" t="s">
        <v>1420</v>
      </c>
      <c r="C149" s="984" t="s">
        <v>1421</v>
      </c>
      <c r="D149" s="1185">
        <v>43810</v>
      </c>
      <c r="E149" s="1184">
        <v>43862</v>
      </c>
      <c r="F149" s="984" t="s">
        <v>1647</v>
      </c>
      <c r="G149" s="984" t="s">
        <v>1646</v>
      </c>
      <c r="H149" s="984" t="s">
        <v>1645</v>
      </c>
      <c r="I149" s="990">
        <v>1750</v>
      </c>
      <c r="J149" s="990">
        <v>0</v>
      </c>
      <c r="K149" s="990">
        <v>1750</v>
      </c>
      <c r="L149" s="1173" t="s">
        <v>1644</v>
      </c>
    </row>
    <row r="150" spans="1:12" s="1177" customFormat="1" ht="15" customHeight="1">
      <c r="A150" s="1202" t="s">
        <v>1953</v>
      </c>
      <c r="B150" s="984" t="s">
        <v>1420</v>
      </c>
      <c r="C150" s="984" t="s">
        <v>1421</v>
      </c>
      <c r="D150" s="1185">
        <v>43846</v>
      </c>
      <c r="E150" s="1184">
        <v>43862</v>
      </c>
      <c r="F150" s="984" t="s">
        <v>1599</v>
      </c>
      <c r="G150" s="984" t="s">
        <v>1643</v>
      </c>
      <c r="H150" s="984" t="s">
        <v>1642</v>
      </c>
      <c r="I150" s="990">
        <v>12616</v>
      </c>
      <c r="J150" s="990">
        <v>0</v>
      </c>
      <c r="K150" s="990">
        <v>14366</v>
      </c>
      <c r="L150" s="1173" t="s">
        <v>1641</v>
      </c>
    </row>
    <row r="151" spans="1:12" s="1177" customFormat="1" ht="15" customHeight="1">
      <c r="A151" s="1202" t="s">
        <v>1953</v>
      </c>
      <c r="B151" s="984" t="s">
        <v>1420</v>
      </c>
      <c r="C151" s="984" t="s">
        <v>1421</v>
      </c>
      <c r="D151" s="1185">
        <v>43866</v>
      </c>
      <c r="E151" s="1184">
        <v>43862</v>
      </c>
      <c r="F151" s="984" t="s">
        <v>1599</v>
      </c>
      <c r="G151" s="984" t="s">
        <v>1640</v>
      </c>
      <c r="H151" s="984" t="s">
        <v>1639</v>
      </c>
      <c r="I151" s="990">
        <v>104515.2</v>
      </c>
      <c r="J151" s="990">
        <v>0</v>
      </c>
      <c r="K151" s="990">
        <v>118881.2</v>
      </c>
      <c r="L151" s="1173" t="s">
        <v>1638</v>
      </c>
    </row>
    <row r="152" spans="1:12" s="1177" customFormat="1" ht="15" customHeight="1">
      <c r="A152" s="1202" t="s">
        <v>1953</v>
      </c>
      <c r="B152" s="984" t="s">
        <v>1420</v>
      </c>
      <c r="C152" s="984" t="s">
        <v>1421</v>
      </c>
      <c r="D152" s="1185">
        <v>43866</v>
      </c>
      <c r="E152" s="1184">
        <v>43862</v>
      </c>
      <c r="F152" s="984" t="s">
        <v>1599</v>
      </c>
      <c r="G152" s="984" t="s">
        <v>1637</v>
      </c>
      <c r="H152" s="984" t="s">
        <v>1636</v>
      </c>
      <c r="I152" s="990">
        <v>11612.8</v>
      </c>
      <c r="J152" s="990">
        <v>0</v>
      </c>
      <c r="K152" s="990">
        <v>130494</v>
      </c>
      <c r="L152" s="1173" t="s">
        <v>1635</v>
      </c>
    </row>
    <row r="153" spans="1:12" s="1177" customFormat="1" ht="15" customHeight="1">
      <c r="A153" s="1202" t="s">
        <v>1956</v>
      </c>
      <c r="B153" s="984" t="s">
        <v>1420</v>
      </c>
      <c r="C153" s="984" t="s">
        <v>1421</v>
      </c>
      <c r="D153" s="1185">
        <v>43872</v>
      </c>
      <c r="E153" s="1184">
        <v>43862</v>
      </c>
      <c r="F153" s="984" t="s">
        <v>1616</v>
      </c>
      <c r="G153" s="984" t="s">
        <v>1634</v>
      </c>
      <c r="H153" s="984" t="s">
        <v>1633</v>
      </c>
      <c r="I153" s="990">
        <v>20000</v>
      </c>
      <c r="J153" s="990">
        <v>0</v>
      </c>
      <c r="K153" s="990">
        <v>150494</v>
      </c>
      <c r="L153" s="1173" t="s">
        <v>1632</v>
      </c>
    </row>
    <row r="154" spans="1:12" s="1177" customFormat="1" ht="15" customHeight="1">
      <c r="A154" s="1202" t="s">
        <v>1957</v>
      </c>
      <c r="B154" s="984" t="s">
        <v>1420</v>
      </c>
      <c r="C154" s="984" t="s">
        <v>1421</v>
      </c>
      <c r="D154" s="1185">
        <v>43872</v>
      </c>
      <c r="E154" s="1184">
        <v>43862</v>
      </c>
      <c r="F154" s="984" t="s">
        <v>1608</v>
      </c>
      <c r="G154" s="984" t="s">
        <v>1631</v>
      </c>
      <c r="H154" s="984" t="s">
        <v>1630</v>
      </c>
      <c r="I154" s="990">
        <v>2500</v>
      </c>
      <c r="J154" s="990">
        <v>0</v>
      </c>
      <c r="K154" s="990">
        <v>152994</v>
      </c>
      <c r="L154" s="1173" t="s">
        <v>1629</v>
      </c>
    </row>
    <row r="155" spans="1:12" s="1177" customFormat="1" ht="15" customHeight="1">
      <c r="A155" s="1202" t="s">
        <v>1953</v>
      </c>
      <c r="B155" s="984" t="s">
        <v>1420</v>
      </c>
      <c r="C155" s="984" t="s">
        <v>1421</v>
      </c>
      <c r="D155" s="1185">
        <v>43873</v>
      </c>
      <c r="E155" s="1184">
        <v>43922</v>
      </c>
      <c r="F155" s="984" t="s">
        <v>1627</v>
      </c>
      <c r="G155" s="984" t="s">
        <v>1626</v>
      </c>
      <c r="H155" s="984" t="s">
        <v>1625</v>
      </c>
      <c r="I155" s="990">
        <v>13298</v>
      </c>
      <c r="J155" s="990">
        <v>0</v>
      </c>
      <c r="K155" s="990">
        <v>166292</v>
      </c>
      <c r="L155" s="1173" t="s">
        <v>1628</v>
      </c>
    </row>
    <row r="156" spans="1:12" s="1177" customFormat="1" ht="15" customHeight="1">
      <c r="A156" s="1202" t="s">
        <v>1953</v>
      </c>
      <c r="B156" s="984" t="s">
        <v>1420</v>
      </c>
      <c r="C156" s="984" t="s">
        <v>1421</v>
      </c>
      <c r="D156" s="1185">
        <v>43873</v>
      </c>
      <c r="E156" s="1184">
        <v>43922</v>
      </c>
      <c r="F156" s="984" t="s">
        <v>1627</v>
      </c>
      <c r="G156" s="984" t="s">
        <v>1626</v>
      </c>
      <c r="H156" s="984" t="s">
        <v>1625</v>
      </c>
      <c r="I156" s="990">
        <v>3443</v>
      </c>
      <c r="J156" s="990">
        <v>0</v>
      </c>
      <c r="K156" s="990">
        <v>169735</v>
      </c>
      <c r="L156" s="1173" t="s">
        <v>1624</v>
      </c>
    </row>
    <row r="157" spans="1:12" s="1177" customFormat="1" ht="15" customHeight="1">
      <c r="A157" s="1202" t="s">
        <v>1956</v>
      </c>
      <c r="B157" s="984" t="s">
        <v>1420</v>
      </c>
      <c r="C157" s="984" t="s">
        <v>1421</v>
      </c>
      <c r="D157" s="1185">
        <v>43907</v>
      </c>
      <c r="E157" s="1184">
        <v>43922</v>
      </c>
      <c r="F157" s="984" t="s">
        <v>1616</v>
      </c>
      <c r="G157" s="984" t="s">
        <v>1623</v>
      </c>
      <c r="H157" s="984" t="s">
        <v>1622</v>
      </c>
      <c r="I157" s="990">
        <v>28675</v>
      </c>
      <c r="J157" s="990">
        <v>0</v>
      </c>
      <c r="K157" s="990">
        <v>198410</v>
      </c>
      <c r="L157" s="1173" t="s">
        <v>1621</v>
      </c>
    </row>
    <row r="158" spans="1:12" s="1177" customFormat="1" ht="15" customHeight="1">
      <c r="A158" s="1202" t="s">
        <v>1957</v>
      </c>
      <c r="B158" s="984" t="s">
        <v>1420</v>
      </c>
      <c r="C158" s="984" t="s">
        <v>1421</v>
      </c>
      <c r="D158" s="1185">
        <v>43913</v>
      </c>
      <c r="E158" s="1184">
        <v>43922</v>
      </c>
      <c r="F158" s="984" t="s">
        <v>1620</v>
      </c>
      <c r="G158" s="984" t="s">
        <v>1619</v>
      </c>
      <c r="H158" s="984" t="s">
        <v>1618</v>
      </c>
      <c r="I158" s="990">
        <v>3643</v>
      </c>
      <c r="J158" s="990">
        <v>0</v>
      </c>
      <c r="K158" s="990">
        <v>202053</v>
      </c>
      <c r="L158" s="1173" t="s">
        <v>1617</v>
      </c>
    </row>
    <row r="159" spans="1:12" s="1177" customFormat="1" ht="15" customHeight="1">
      <c r="A159" s="1202" t="s">
        <v>1956</v>
      </c>
      <c r="B159" s="984" t="s">
        <v>1420</v>
      </c>
      <c r="C159" s="984" t="s">
        <v>1421</v>
      </c>
      <c r="D159" s="1185">
        <v>43920</v>
      </c>
      <c r="E159" s="1184">
        <v>43922</v>
      </c>
      <c r="F159" s="984" t="s">
        <v>1616</v>
      </c>
      <c r="G159" s="984" t="s">
        <v>1615</v>
      </c>
      <c r="H159" s="984" t="s">
        <v>1614</v>
      </c>
      <c r="I159" s="990">
        <v>25125</v>
      </c>
      <c r="J159" s="990">
        <v>0</v>
      </c>
      <c r="K159" s="990">
        <v>227178</v>
      </c>
      <c r="L159" s="1173" t="s">
        <v>1613</v>
      </c>
    </row>
    <row r="160" spans="1:12" s="1177" customFormat="1" ht="15" customHeight="1">
      <c r="A160" s="1202" t="s">
        <v>1957</v>
      </c>
      <c r="B160" s="984" t="s">
        <v>1420</v>
      </c>
      <c r="C160" s="984" t="s">
        <v>1421</v>
      </c>
      <c r="D160" s="1185">
        <v>43928</v>
      </c>
      <c r="E160" s="1184">
        <v>43922</v>
      </c>
      <c r="F160" s="984" t="s">
        <v>1612</v>
      </c>
      <c r="G160" s="984" t="s">
        <v>1611</v>
      </c>
      <c r="H160" s="984" t="s">
        <v>1610</v>
      </c>
      <c r="I160" s="990">
        <v>2860</v>
      </c>
      <c r="J160" s="990">
        <v>0</v>
      </c>
      <c r="K160" s="990">
        <v>230038</v>
      </c>
      <c r="L160" s="1173" t="s">
        <v>1609</v>
      </c>
    </row>
    <row r="161" spans="1:13" s="1177" customFormat="1" ht="15" customHeight="1">
      <c r="A161" s="1202" t="s">
        <v>1957</v>
      </c>
      <c r="B161" s="984" t="s">
        <v>1420</v>
      </c>
      <c r="C161" s="984" t="s">
        <v>1421</v>
      </c>
      <c r="D161" s="1185">
        <v>43896</v>
      </c>
      <c r="E161" s="1184">
        <v>43952</v>
      </c>
      <c r="F161" s="984" t="s">
        <v>1608</v>
      </c>
      <c r="G161" s="984" t="s">
        <v>1607</v>
      </c>
      <c r="H161" s="984" t="s">
        <v>1606</v>
      </c>
      <c r="I161" s="990">
        <v>4000</v>
      </c>
      <c r="J161" s="990">
        <v>0</v>
      </c>
      <c r="K161" s="990">
        <v>234038</v>
      </c>
      <c r="L161" s="1173" t="s">
        <v>1605</v>
      </c>
    </row>
    <row r="162" spans="1:13" s="1177" customFormat="1" ht="15" customHeight="1">
      <c r="A162" s="1202" t="s">
        <v>1957</v>
      </c>
      <c r="B162" s="984" t="s">
        <v>1420</v>
      </c>
      <c r="C162" s="984" t="s">
        <v>1421</v>
      </c>
      <c r="D162" s="1185">
        <v>43923</v>
      </c>
      <c r="E162" s="1184">
        <v>43952</v>
      </c>
      <c r="F162" s="984" t="s">
        <v>1603</v>
      </c>
      <c r="G162" s="984" t="s">
        <v>1602</v>
      </c>
      <c r="H162" s="984" t="s">
        <v>1601</v>
      </c>
      <c r="I162" s="990">
        <v>1400</v>
      </c>
      <c r="J162" s="990">
        <v>0</v>
      </c>
      <c r="K162" s="990">
        <v>235438</v>
      </c>
      <c r="L162" s="1173" t="s">
        <v>1604</v>
      </c>
    </row>
    <row r="163" spans="1:13" s="1177" customFormat="1" ht="15" customHeight="1">
      <c r="A163" s="1202" t="s">
        <v>1957</v>
      </c>
      <c r="B163" s="984" t="s">
        <v>1420</v>
      </c>
      <c r="C163" s="984" t="s">
        <v>1421</v>
      </c>
      <c r="D163" s="1185">
        <v>43923</v>
      </c>
      <c r="E163" s="1184">
        <v>43952</v>
      </c>
      <c r="F163" s="984" t="s">
        <v>1603</v>
      </c>
      <c r="G163" s="984" t="s">
        <v>1602</v>
      </c>
      <c r="H163" s="984" t="s">
        <v>1601</v>
      </c>
      <c r="I163" s="990">
        <v>3840</v>
      </c>
      <c r="J163" s="990">
        <v>0</v>
      </c>
      <c r="K163" s="990">
        <v>239278</v>
      </c>
      <c r="L163" s="1173" t="s">
        <v>1600</v>
      </c>
    </row>
    <row r="164" spans="1:13" s="1177" customFormat="1" ht="15" customHeight="1">
      <c r="A164" s="1202" t="s">
        <v>1953</v>
      </c>
      <c r="B164" s="984" t="s">
        <v>1420</v>
      </c>
      <c r="C164" s="984" t="s">
        <v>1421</v>
      </c>
      <c r="D164" s="1185">
        <v>43966</v>
      </c>
      <c r="E164" s="1184">
        <v>43983</v>
      </c>
      <c r="F164" s="984" t="s">
        <v>1599</v>
      </c>
      <c r="G164" s="984" t="s">
        <v>1598</v>
      </c>
      <c r="H164" s="984" t="s">
        <v>1597</v>
      </c>
      <c r="I164" s="990">
        <v>2265</v>
      </c>
      <c r="J164" s="990">
        <v>0</v>
      </c>
      <c r="K164" s="990">
        <v>241543</v>
      </c>
      <c r="L164" s="1173" t="s">
        <v>1596</v>
      </c>
    </row>
    <row r="165" spans="1:13" s="1177" customFormat="1" ht="15" customHeight="1">
      <c r="A165" s="1202" t="s">
        <v>1958</v>
      </c>
      <c r="B165" s="984" t="s">
        <v>1420</v>
      </c>
      <c r="C165" s="984" t="s">
        <v>1421</v>
      </c>
      <c r="D165" s="1185">
        <v>43966</v>
      </c>
      <c r="E165" s="1184">
        <v>44044</v>
      </c>
      <c r="F165" s="984" t="s">
        <v>1595</v>
      </c>
      <c r="G165" s="984" t="s">
        <v>1594</v>
      </c>
      <c r="H165" s="984" t="s">
        <v>1593</v>
      </c>
      <c r="I165" s="990">
        <v>13500</v>
      </c>
      <c r="J165" s="990">
        <v>0</v>
      </c>
      <c r="K165" s="990">
        <v>255043</v>
      </c>
      <c r="L165" s="1173" t="s">
        <v>1592</v>
      </c>
    </row>
    <row r="166" spans="1:13" s="1177" customFormat="1" ht="15" customHeight="1">
      <c r="A166" s="1201"/>
      <c r="B166" s="1182"/>
      <c r="C166" s="1182"/>
      <c r="D166" s="1183"/>
      <c r="E166" s="1183"/>
      <c r="F166" s="1179" t="s">
        <v>1591</v>
      </c>
      <c r="G166" s="1182"/>
      <c r="H166" s="1182"/>
      <c r="I166" s="1181" t="s">
        <v>1590</v>
      </c>
      <c r="J166" s="1181" t="s">
        <v>1468</v>
      </c>
      <c r="K166" s="1181" t="s">
        <v>1589</v>
      </c>
      <c r="L166" s="1179" t="s">
        <v>1470</v>
      </c>
    </row>
    <row r="167" spans="1:13" ht="15" customHeight="1">
      <c r="B167" s="984"/>
      <c r="C167" s="984"/>
      <c r="D167" s="984"/>
      <c r="E167" s="984"/>
      <c r="F167" s="984"/>
      <c r="G167" s="984"/>
      <c r="H167" s="984"/>
      <c r="I167" s="989"/>
      <c r="J167" s="989"/>
      <c r="K167" s="989"/>
      <c r="L167" s="984"/>
    </row>
    <row r="168" spans="1:13" s="1177" customFormat="1" ht="15" customHeight="1">
      <c r="A168" s="1201"/>
      <c r="B168" s="1179" t="s">
        <v>1588</v>
      </c>
      <c r="C168" s="1182"/>
      <c r="D168" s="1182"/>
      <c r="E168" s="1182"/>
      <c r="F168" s="1179" t="s">
        <v>1587</v>
      </c>
      <c r="G168" s="1182"/>
      <c r="H168" s="1182"/>
      <c r="I168" s="1187"/>
      <c r="J168" s="1187"/>
      <c r="K168" s="1186">
        <v>0</v>
      </c>
      <c r="L168" s="1179" t="s">
        <v>1419</v>
      </c>
    </row>
    <row r="169" spans="1:13" s="1177" customFormat="1" ht="15" customHeight="1">
      <c r="A169" s="1201"/>
      <c r="B169" s="984" t="s">
        <v>1420</v>
      </c>
      <c r="C169" s="984" t="s">
        <v>1421</v>
      </c>
      <c r="D169" s="1185">
        <v>43312</v>
      </c>
      <c r="E169" s="1184">
        <v>43282</v>
      </c>
      <c r="F169" s="984"/>
      <c r="G169" s="984" t="s">
        <v>1586</v>
      </c>
      <c r="H169" s="984"/>
      <c r="I169" s="990">
        <v>0</v>
      </c>
      <c r="J169" s="990">
        <v>1649725.19</v>
      </c>
      <c r="K169" s="990">
        <v>-1649725.19</v>
      </c>
      <c r="L169" s="1173" t="s">
        <v>1585</v>
      </c>
    </row>
    <row r="170" spans="1:13" s="1177" customFormat="1" ht="15" customHeight="1">
      <c r="A170" s="1201"/>
      <c r="B170" s="984" t="s">
        <v>1420</v>
      </c>
      <c r="C170" s="984" t="s">
        <v>1421</v>
      </c>
      <c r="D170" s="1185">
        <v>43496</v>
      </c>
      <c r="E170" s="1184">
        <v>43466</v>
      </c>
      <c r="F170" s="984" t="s">
        <v>1583</v>
      </c>
      <c r="G170" s="984" t="s">
        <v>1584</v>
      </c>
      <c r="H170" s="984"/>
      <c r="I170" s="990">
        <v>0</v>
      </c>
      <c r="J170" s="990">
        <v>0.5</v>
      </c>
      <c r="K170" s="990">
        <v>-1649725.69</v>
      </c>
      <c r="L170" s="1173" t="s">
        <v>1583</v>
      </c>
    </row>
    <row r="171" spans="1:13" s="1177" customFormat="1" ht="15" customHeight="1">
      <c r="A171" s="1201"/>
      <c r="B171" s="984" t="s">
        <v>1420</v>
      </c>
      <c r="C171" s="984" t="s">
        <v>1421</v>
      </c>
      <c r="D171" s="1185">
        <v>43799</v>
      </c>
      <c r="E171" s="1184">
        <v>43770</v>
      </c>
      <c r="F171" s="984" t="s">
        <v>1579</v>
      </c>
      <c r="G171" s="984" t="s">
        <v>1582</v>
      </c>
      <c r="H171" s="984" t="s">
        <v>1581</v>
      </c>
      <c r="I171" s="990">
        <v>0</v>
      </c>
      <c r="J171" s="990">
        <v>7750</v>
      </c>
      <c r="K171" s="990">
        <v>-1657475.69</v>
      </c>
      <c r="L171" s="1173" t="s">
        <v>1580</v>
      </c>
    </row>
    <row r="172" spans="1:13" s="1177" customFormat="1" ht="15" customHeight="1">
      <c r="A172" s="1201"/>
      <c r="B172" s="984" t="s">
        <v>1420</v>
      </c>
      <c r="C172" s="984" t="s">
        <v>1421</v>
      </c>
      <c r="D172" s="1185">
        <v>43799</v>
      </c>
      <c r="E172" s="1184">
        <v>43770</v>
      </c>
      <c r="F172" s="984" t="s">
        <v>1579</v>
      </c>
      <c r="G172" s="984" t="s">
        <v>1578</v>
      </c>
      <c r="H172" s="984" t="s">
        <v>1577</v>
      </c>
      <c r="I172" s="990">
        <v>0</v>
      </c>
      <c r="J172" s="990">
        <v>7750</v>
      </c>
      <c r="K172" s="990">
        <v>-1665225.69</v>
      </c>
      <c r="L172" s="1173" t="s">
        <v>1576</v>
      </c>
    </row>
    <row r="173" spans="1:13" s="1177" customFormat="1" ht="15" customHeight="1">
      <c r="A173" s="1201"/>
      <c r="B173" s="1182"/>
      <c r="C173" s="1182"/>
      <c r="D173" s="1183"/>
      <c r="E173" s="1183"/>
      <c r="F173" s="1179" t="s">
        <v>1575</v>
      </c>
      <c r="G173" s="1182"/>
      <c r="H173" s="1182"/>
      <c r="I173" s="1181" t="s">
        <v>1468</v>
      </c>
      <c r="J173" s="1181" t="s">
        <v>1574</v>
      </c>
      <c r="K173" s="1180" t="s">
        <v>1573</v>
      </c>
      <c r="L173" s="1179" t="s">
        <v>1470</v>
      </c>
      <c r="M173" s="1178" t="s">
        <v>1572</v>
      </c>
    </row>
    <row r="174" spans="1:13" ht="15" customHeight="1">
      <c r="B174" s="984"/>
      <c r="C174" s="984"/>
      <c r="D174" s="984"/>
      <c r="E174" s="984"/>
      <c r="F174" s="984"/>
      <c r="G174" s="984"/>
      <c r="H174" s="984"/>
      <c r="I174" s="1176"/>
      <c r="J174" s="1176"/>
      <c r="K174" s="989"/>
      <c r="L174" s="984"/>
    </row>
    <row r="175" spans="1:13" ht="15" customHeight="1">
      <c r="B175" s="1173"/>
      <c r="C175" s="1173"/>
      <c r="D175" s="1173"/>
      <c r="E175" s="1173"/>
      <c r="F175" s="1173"/>
      <c r="G175" s="1173"/>
      <c r="H175" s="1173"/>
      <c r="I175" s="1175">
        <v>4796774.12</v>
      </c>
      <c r="J175" s="1175">
        <v>4541731.12</v>
      </c>
      <c r="K175" s="1174"/>
      <c r="L175" s="1173"/>
    </row>
  </sheetData>
  <mergeCells count="5">
    <mergeCell ref="B1:L1"/>
    <mergeCell ref="B2:L2"/>
    <mergeCell ref="B3:L3"/>
    <mergeCell ref="B4:L4"/>
    <mergeCell ref="B5:L5"/>
  </mergeCells>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T1067"/>
  <sheetViews>
    <sheetView showGridLines="0" workbookViewId="0">
      <pane xSplit="2" ySplit="8" topLeftCell="C9" activePane="bottomRight" state="frozen"/>
      <selection activeCell="C179" sqref="C179"/>
      <selection pane="topRight" activeCell="C179" sqref="C179"/>
      <selection pane="bottomLeft" activeCell="C179" sqref="C179"/>
      <selection pane="bottomRight" activeCell="C179" sqref="C179"/>
    </sheetView>
  </sheetViews>
  <sheetFormatPr baseColWidth="10" defaultColWidth="8.6640625" defaultRowHeight="14" outlineLevelCol="1"/>
  <cols>
    <col min="1" max="1" width="8.6640625" style="1"/>
    <col min="2" max="11" width="11.33203125" style="1" bestFit="1" customWidth="1"/>
    <col min="12" max="20" width="11.33203125" style="1" customWidth="1" outlineLevel="1"/>
    <col min="21" max="16384" width="8.6640625" style="1"/>
  </cols>
  <sheetData>
    <row r="1" spans="2:20" ht="15" thickBot="1"/>
    <row r="2" spans="2:20" ht="15" thickBot="1">
      <c r="B2" s="1" t="s">
        <v>241</v>
      </c>
      <c r="E2" s="386">
        <f>+Assumptions!E40</f>
        <v>30</v>
      </c>
      <c r="I2" s="387">
        <f>+Assumptions!F43</f>
        <v>1</v>
      </c>
      <c r="J2" s="19"/>
      <c r="K2" s="19"/>
      <c r="L2" s="1" t="s">
        <v>241</v>
      </c>
      <c r="O2" s="386">
        <f>+Assumptions!E72</f>
        <v>30</v>
      </c>
      <c r="S2" s="387">
        <f>+Assumptions!F73</f>
        <v>1</v>
      </c>
      <c r="T2" s="19"/>
    </row>
    <row r="3" spans="2:20">
      <c r="I3" s="203" t="s">
        <v>242</v>
      </c>
      <c r="J3" s="388">
        <f>+Assumptions!D32</f>
        <v>0.09</v>
      </c>
      <c r="K3" s="19"/>
      <c r="S3" s="203" t="s">
        <v>242</v>
      </c>
      <c r="T3" s="388">
        <f>+Assumptions!D66</f>
        <v>5.1999999999999998E-2</v>
      </c>
    </row>
    <row r="4" spans="2:20">
      <c r="I4" s="203" t="s">
        <v>243</v>
      </c>
      <c r="J4" s="389">
        <f>+Assumptions!D31</f>
        <v>525</v>
      </c>
      <c r="S4" s="203" t="s">
        <v>243</v>
      </c>
      <c r="T4" s="389">
        <f>+Assumptions!D65</f>
        <v>490</v>
      </c>
    </row>
    <row r="5" spans="2:20">
      <c r="I5" s="203" t="s">
        <v>498</v>
      </c>
      <c r="J5" s="388">
        <f>+Assumptions!D33</f>
        <v>5.0000000000000001E-3</v>
      </c>
      <c r="S5" s="203"/>
      <c r="T5" s="389"/>
    </row>
    <row r="7" spans="2:20">
      <c r="B7" s="390" t="s">
        <v>249</v>
      </c>
      <c r="C7" s="390"/>
      <c r="D7" s="390"/>
      <c r="E7" s="390"/>
      <c r="F7" s="390"/>
      <c r="G7" s="390"/>
      <c r="H7" s="390"/>
      <c r="I7" s="390"/>
      <c r="J7" s="390"/>
      <c r="L7" s="390" t="s">
        <v>248</v>
      </c>
      <c r="M7" s="390"/>
      <c r="N7" s="390"/>
      <c r="O7" s="390"/>
      <c r="P7" s="390"/>
      <c r="Q7" s="390"/>
      <c r="R7" s="390"/>
      <c r="S7" s="390"/>
      <c r="T7" s="390"/>
    </row>
    <row r="8" spans="2:20">
      <c r="B8" s="19" t="s">
        <v>244</v>
      </c>
      <c r="C8" s="19" t="s">
        <v>87</v>
      </c>
      <c r="D8" s="19" t="s">
        <v>245</v>
      </c>
      <c r="E8" s="19" t="s">
        <v>88</v>
      </c>
      <c r="F8" s="19" t="s">
        <v>89</v>
      </c>
      <c r="G8" s="19" t="s">
        <v>85</v>
      </c>
      <c r="H8" s="391" t="s">
        <v>246</v>
      </c>
      <c r="I8" s="19" t="s">
        <v>247</v>
      </c>
      <c r="J8" s="19" t="s">
        <v>42</v>
      </c>
      <c r="L8" s="19" t="s">
        <v>244</v>
      </c>
      <c r="M8" s="19" t="s">
        <v>87</v>
      </c>
      <c r="N8" s="19" t="s">
        <v>245</v>
      </c>
      <c r="O8" s="19" t="s">
        <v>88</v>
      </c>
      <c r="P8" s="19" t="s">
        <v>89</v>
      </c>
      <c r="Q8" s="19" t="s">
        <v>85</v>
      </c>
      <c r="R8" s="391" t="s">
        <v>246</v>
      </c>
      <c r="S8" s="19" t="s">
        <v>247</v>
      </c>
      <c r="T8" s="19" t="s">
        <v>42</v>
      </c>
    </row>
    <row r="9" spans="2:20">
      <c r="B9" s="392">
        <f>INDEX('Monthly Cash Flow'!$K$15:$GT$15,MATCH(C9,'Monthly Cash Flow'!$K$13:$GT$13))</f>
        <v>44408</v>
      </c>
      <c r="C9" s="404">
        <f>+Assumptions!F39+1</f>
        <v>61</v>
      </c>
      <c r="D9" s="361">
        <f ca="1">INDEX('Monthly Cash Flow'!$L$137:$GT$137, MATCH(C9, 'Monthly Cash Flow'!$L$13:$GT$13, 0))</f>
        <v>0</v>
      </c>
      <c r="E9" s="18">
        <f t="shared" ref="E9:E72" ca="1" si="0">-PMT(J9/12,$E$2*12,$D$9,)</f>
        <v>0</v>
      </c>
      <c r="F9" s="18">
        <f ca="1">D9*J9/12</f>
        <v>0</v>
      </c>
      <c r="G9" s="18">
        <f t="shared" ref="G9:G68" ca="1" si="1">+E9-F9</f>
        <v>0</v>
      </c>
      <c r="H9" s="393">
        <f ca="1">+D9-G9</f>
        <v>0</v>
      </c>
      <c r="I9" s="388">
        <f>MAX($J$5, INDEX(LIBOR!$M$3:$M$122,MATCH(B9,LIBOR!$N$3:$N$122)))</f>
        <v>5.0000000000000001E-3</v>
      </c>
      <c r="J9" s="394">
        <f>IF($I$2=1,I9+$J$4/10000,$J$3)</f>
        <v>5.7499999999999996E-2</v>
      </c>
      <c r="L9" s="392">
        <f>INDEX('Monthly Cash Flow'!$K$15:$GT$15,MATCH(M9,'Monthly Cash Flow'!$K$13:$GT$13))</f>
        <v>44408</v>
      </c>
      <c r="M9" s="404">
        <f>+Assumptions!F71+1</f>
        <v>61</v>
      </c>
      <c r="N9" s="361">
        <f>+Assumptions!F96</f>
        <v>0</v>
      </c>
      <c r="O9" s="18">
        <f t="shared" ref="O9:O72" si="2">-PMT(T9/12,$O$2*12,$N$9,)</f>
        <v>0</v>
      </c>
      <c r="P9" s="18">
        <f>N9*T9/12</f>
        <v>0</v>
      </c>
      <c r="Q9" s="18">
        <f t="shared" ref="Q9:Q72" si="3">+O9-P9</f>
        <v>0</v>
      </c>
      <c r="R9" s="393">
        <f>+N9-Q9</f>
        <v>0</v>
      </c>
      <c r="S9" s="388">
        <f>INDEX(LIBOR!$M$3:$M$122,MATCH(L9,LIBOR!$N$3:$N$122))</f>
        <v>1.3485000000000001E-3</v>
      </c>
      <c r="T9" s="394">
        <f>IF($S$2=1,S9+$T$4/10000,$T$3)</f>
        <v>5.0348500000000004E-2</v>
      </c>
    </row>
    <row r="10" spans="2:20">
      <c r="B10" s="392">
        <f>EOMONTH(B9,1)</f>
        <v>44439</v>
      </c>
      <c r="C10" s="347">
        <f>+C9+1</f>
        <v>62</v>
      </c>
      <c r="D10" s="18">
        <f ca="1">INDEX('Monthly Cash Flow'!$L$137:$GT$137, MATCH(C10, 'Monthly Cash Flow'!$L$13:$GT$13, 0))</f>
        <v>0</v>
      </c>
      <c r="E10" s="18">
        <f t="shared" ca="1" si="0"/>
        <v>0</v>
      </c>
      <c r="F10" s="18">
        <f t="shared" ref="F10:F68" ca="1" si="4">D10*J10/12</f>
        <v>0</v>
      </c>
      <c r="G10" s="18">
        <f t="shared" ca="1" si="1"/>
        <v>0</v>
      </c>
      <c r="H10" s="393">
        <f t="shared" ref="H10:H68" ca="1" si="5">+D10-G10</f>
        <v>0</v>
      </c>
      <c r="I10" s="388">
        <f>MAX($J$5, INDEX(LIBOR!$M$3:$M$122,MATCH(B10,LIBOR!$N$3:$N$122)))</f>
        <v>5.0000000000000001E-3</v>
      </c>
      <c r="J10" s="394">
        <f t="shared" ref="J10:J68" si="6">IF($I$2=1,I10+$J$4/10000,$J$3)</f>
        <v>5.7499999999999996E-2</v>
      </c>
      <c r="L10" s="392">
        <f>EOMONTH(L9,1)</f>
        <v>44439</v>
      </c>
      <c r="M10" s="347">
        <f>+M9+1</f>
        <v>62</v>
      </c>
      <c r="N10" s="18">
        <v>7661.1380409741769</v>
      </c>
      <c r="O10" s="18">
        <f t="shared" si="2"/>
        <v>0</v>
      </c>
      <c r="P10" s="18">
        <f t="shared" ref="P10:P73" si="7">N10*T10/12</f>
        <v>32.135792683572333</v>
      </c>
      <c r="Q10" s="18">
        <f t="shared" si="3"/>
        <v>-32.135792683572333</v>
      </c>
      <c r="R10" s="393">
        <f t="shared" ref="R10:R73" si="8">+N10-Q10</f>
        <v>7693.2738336577495</v>
      </c>
      <c r="S10" s="388">
        <f>INDEX(LIBOR!$M$3:$M$122,MATCH(L10,LIBOR!$N$3:$N$122))</f>
        <v>1.3358000000000001E-3</v>
      </c>
      <c r="T10" s="394">
        <f t="shared" ref="T10:T73" si="9">IF($S$2=1,S10+$T$4/10000,$T$3)</f>
        <v>5.03358E-2</v>
      </c>
    </row>
    <row r="11" spans="2:20">
      <c r="B11" s="392">
        <f t="shared" ref="B11:B74" si="10">EOMONTH(B10,1)</f>
        <v>44469</v>
      </c>
      <c r="C11" s="347">
        <f t="shared" ref="C11:C74" si="11">+C10+1</f>
        <v>63</v>
      </c>
      <c r="D11" s="18">
        <f ca="1">INDEX('Monthly Cash Flow'!$L$137:$GT$137, MATCH(C11, 'Monthly Cash Flow'!$L$13:$GT$13, 0))</f>
        <v>0</v>
      </c>
      <c r="E11" s="18">
        <f t="shared" ca="1" si="0"/>
        <v>0</v>
      </c>
      <c r="F11" s="18">
        <f t="shared" ca="1" si="4"/>
        <v>0</v>
      </c>
      <c r="G11" s="18">
        <f t="shared" ca="1" si="1"/>
        <v>0</v>
      </c>
      <c r="H11" s="393">
        <f t="shared" ca="1" si="5"/>
        <v>0</v>
      </c>
      <c r="I11" s="388">
        <f>MAX($J$5, INDEX(LIBOR!$M$3:$M$122,MATCH(B11,LIBOR!$N$3:$N$122)))</f>
        <v>5.0000000000000001E-3</v>
      </c>
      <c r="J11" s="394">
        <f t="shared" si="6"/>
        <v>5.7499999999999996E-2</v>
      </c>
      <c r="L11" s="392">
        <f t="shared" ref="L11:L74" si="12">EOMONTH(L10,1)</f>
        <v>44469</v>
      </c>
      <c r="M11" s="347">
        <f t="shared" ref="M11:M74" si="13">+M10+1</f>
        <v>63</v>
      </c>
      <c r="N11" s="18">
        <v>7652.028319931057</v>
      </c>
      <c r="O11" s="18">
        <f t="shared" si="2"/>
        <v>0</v>
      </c>
      <c r="P11" s="18">
        <f t="shared" si="7"/>
        <v>32.114351287599995</v>
      </c>
      <c r="Q11" s="18">
        <f t="shared" si="3"/>
        <v>-32.114351287599995</v>
      </c>
      <c r="R11" s="393">
        <f t="shared" si="8"/>
        <v>7684.1426712186567</v>
      </c>
      <c r="S11" s="388">
        <f>INDEX(LIBOR!$M$3:$M$122,MATCH(L11,LIBOR!$N$3:$N$122))</f>
        <v>1.3621E-3</v>
      </c>
      <c r="T11" s="394">
        <f t="shared" si="9"/>
        <v>5.03621E-2</v>
      </c>
    </row>
    <row r="12" spans="2:20">
      <c r="B12" s="392">
        <f t="shared" si="10"/>
        <v>44500</v>
      </c>
      <c r="C12" s="347">
        <f t="shared" si="11"/>
        <v>64</v>
      </c>
      <c r="D12" s="18">
        <f ca="1">INDEX('Monthly Cash Flow'!$L$137:$GT$137, MATCH(C12, 'Monthly Cash Flow'!$L$13:$GT$13, 0))</f>
        <v>0</v>
      </c>
      <c r="E12" s="18">
        <f t="shared" ca="1" si="0"/>
        <v>0</v>
      </c>
      <c r="F12" s="18">
        <f t="shared" ca="1" si="4"/>
        <v>0</v>
      </c>
      <c r="G12" s="18">
        <f t="shared" ca="1" si="1"/>
        <v>0</v>
      </c>
      <c r="H12" s="393">
        <f t="shared" ca="1" si="5"/>
        <v>0</v>
      </c>
      <c r="I12" s="388">
        <f>MAX($J$5, INDEX(LIBOR!$M$3:$M$122,MATCH(B12,LIBOR!$N$3:$N$122)))</f>
        <v>5.0000000000000001E-3</v>
      </c>
      <c r="J12" s="394">
        <f t="shared" si="6"/>
        <v>5.7499999999999996E-2</v>
      </c>
      <c r="L12" s="392">
        <f t="shared" si="12"/>
        <v>44500</v>
      </c>
      <c r="M12" s="347">
        <f t="shared" si="13"/>
        <v>64</v>
      </c>
      <c r="N12" s="18">
        <v>7642.8992979301565</v>
      </c>
      <c r="O12" s="18">
        <f t="shared" si="2"/>
        <v>0</v>
      </c>
      <c r="P12" s="18">
        <f t="shared" si="7"/>
        <v>32.096674055795106</v>
      </c>
      <c r="Q12" s="18">
        <f t="shared" si="3"/>
        <v>-32.096674055795106</v>
      </c>
      <c r="R12" s="393">
        <f t="shared" si="8"/>
        <v>7674.9959719859517</v>
      </c>
      <c r="S12" s="388">
        <f>INDEX(LIBOR!$M$3:$M$122,MATCH(L12,LIBOR!$N$3:$N$122))</f>
        <v>1.3944999999999999E-3</v>
      </c>
      <c r="T12" s="394">
        <f t="shared" si="9"/>
        <v>5.0394500000000002E-2</v>
      </c>
    </row>
    <row r="13" spans="2:20">
      <c r="B13" s="392">
        <f t="shared" si="10"/>
        <v>44530</v>
      </c>
      <c r="C13" s="347">
        <f t="shared" si="11"/>
        <v>65</v>
      </c>
      <c r="D13" s="18">
        <f ca="1">INDEX('Monthly Cash Flow'!$L$137:$GT$137, MATCH(C13, 'Monthly Cash Flow'!$L$13:$GT$13, 0))</f>
        <v>0</v>
      </c>
      <c r="E13" s="18">
        <f t="shared" ca="1" si="0"/>
        <v>0</v>
      </c>
      <c r="F13" s="18">
        <f t="shared" ca="1" si="4"/>
        <v>0</v>
      </c>
      <c r="G13" s="18">
        <f t="shared" ca="1" si="1"/>
        <v>0</v>
      </c>
      <c r="H13" s="393">
        <f t="shared" ca="1" si="5"/>
        <v>0</v>
      </c>
      <c r="I13" s="388">
        <f>MAX($J$5, INDEX(LIBOR!$M$3:$M$122,MATCH(B13,LIBOR!$N$3:$N$122)))</f>
        <v>5.0000000000000001E-3</v>
      </c>
      <c r="J13" s="394">
        <f t="shared" si="6"/>
        <v>5.7499999999999996E-2</v>
      </c>
      <c r="L13" s="392">
        <f t="shared" si="12"/>
        <v>44530</v>
      </c>
      <c r="M13" s="347">
        <f t="shared" si="13"/>
        <v>65</v>
      </c>
      <c r="N13" s="18">
        <v>7633.750682866249</v>
      </c>
      <c r="O13" s="18">
        <f t="shared" si="2"/>
        <v>0</v>
      </c>
      <c r="P13" s="18">
        <f t="shared" si="7"/>
        <v>32.092097027002644</v>
      </c>
      <c r="Q13" s="18">
        <f t="shared" si="3"/>
        <v>-32.092097027002644</v>
      </c>
      <c r="R13" s="393">
        <f t="shared" si="8"/>
        <v>7665.8427798932516</v>
      </c>
      <c r="S13" s="388">
        <f>INDEX(LIBOR!$M$3:$M$122,MATCH(L13,LIBOR!$N$3:$N$122))</f>
        <v>1.4476999999999999E-3</v>
      </c>
      <c r="T13" s="394">
        <f t="shared" si="9"/>
        <v>5.0447700000000005E-2</v>
      </c>
    </row>
    <row r="14" spans="2:20">
      <c r="B14" s="392">
        <f t="shared" si="10"/>
        <v>44561</v>
      </c>
      <c r="C14" s="347">
        <f t="shared" si="11"/>
        <v>66</v>
      </c>
      <c r="D14" s="18">
        <f ca="1">INDEX('Monthly Cash Flow'!$L$137:$GT$137, MATCH(C14, 'Monthly Cash Flow'!$L$13:$GT$13, 0))</f>
        <v>0</v>
      </c>
      <c r="E14" s="18">
        <f t="shared" ca="1" si="0"/>
        <v>0</v>
      </c>
      <c r="F14" s="18">
        <f t="shared" ca="1" si="4"/>
        <v>0</v>
      </c>
      <c r="G14" s="18">
        <f t="shared" ca="1" si="1"/>
        <v>0</v>
      </c>
      <c r="H14" s="393">
        <f t="shared" ca="1" si="5"/>
        <v>0</v>
      </c>
      <c r="I14" s="388">
        <f>MAX($J$5, INDEX(LIBOR!$M$3:$M$122,MATCH(B14,LIBOR!$N$3:$N$122)))</f>
        <v>5.0000000000000001E-3</v>
      </c>
      <c r="J14" s="394">
        <f t="shared" si="6"/>
        <v>5.7499999999999996E-2</v>
      </c>
      <c r="L14" s="392">
        <f t="shared" si="12"/>
        <v>44561</v>
      </c>
      <c r="M14" s="347">
        <f t="shared" si="13"/>
        <v>66</v>
      </c>
      <c r="N14" s="18">
        <v>7624.5819015150082</v>
      </c>
      <c r="O14" s="18">
        <f t="shared" si="2"/>
        <v>0</v>
      </c>
      <c r="P14" s="18">
        <f t="shared" si="7"/>
        <v>32.091293379834056</v>
      </c>
      <c r="Q14" s="18">
        <f t="shared" si="3"/>
        <v>-32.091293379834056</v>
      </c>
      <c r="R14" s="393">
        <f t="shared" si="8"/>
        <v>7656.6731948948427</v>
      </c>
      <c r="S14" s="388">
        <f>INDEX(LIBOR!$M$3:$M$122,MATCH(L14,LIBOR!$N$3:$N$122))</f>
        <v>1.5070999999999999E-3</v>
      </c>
      <c r="T14" s="394">
        <f t="shared" si="9"/>
        <v>5.0507099999999999E-2</v>
      </c>
    </row>
    <row r="15" spans="2:20">
      <c r="B15" s="392">
        <f t="shared" si="10"/>
        <v>44592</v>
      </c>
      <c r="C15" s="347">
        <f t="shared" si="11"/>
        <v>67</v>
      </c>
      <c r="D15" s="18">
        <f ca="1">INDEX('Monthly Cash Flow'!$L$137:$GT$137, MATCH(C15, 'Monthly Cash Flow'!$L$13:$GT$13, 0))</f>
        <v>0</v>
      </c>
      <c r="E15" s="18">
        <f t="shared" ca="1" si="0"/>
        <v>0</v>
      </c>
      <c r="F15" s="18">
        <f t="shared" ca="1" si="4"/>
        <v>0</v>
      </c>
      <c r="G15" s="18">
        <f t="shared" ca="1" si="1"/>
        <v>0</v>
      </c>
      <c r="H15" s="393">
        <f t="shared" ca="1" si="5"/>
        <v>0</v>
      </c>
      <c r="I15" s="388">
        <f>MAX($J$5, INDEX(LIBOR!$M$3:$M$122,MATCH(B15,LIBOR!$N$3:$N$122)))</f>
        <v>5.0000000000000001E-3</v>
      </c>
      <c r="J15" s="394">
        <f t="shared" si="6"/>
        <v>5.7499999999999996E-2</v>
      </c>
      <c r="L15" s="392">
        <f t="shared" si="12"/>
        <v>44592</v>
      </c>
      <c r="M15" s="347">
        <f t="shared" si="13"/>
        <v>67</v>
      </c>
      <c r="N15" s="18">
        <v>7615.392676927816</v>
      </c>
      <c r="O15" s="18">
        <f t="shared" si="2"/>
        <v>0</v>
      </c>
      <c r="P15" s="18">
        <f t="shared" si="7"/>
        <v>32.077239725727146</v>
      </c>
      <c r="Q15" s="18">
        <f t="shared" si="3"/>
        <v>-32.077239725727146</v>
      </c>
      <c r="R15" s="393">
        <f t="shared" si="8"/>
        <v>7647.4699166535429</v>
      </c>
      <c r="S15" s="388">
        <f>INDEX(LIBOR!$M$3:$M$122,MATCH(L15,LIBOR!$N$3:$N$122))</f>
        <v>1.5459E-3</v>
      </c>
      <c r="T15" s="394">
        <f t="shared" si="9"/>
        <v>5.0545900000000005E-2</v>
      </c>
    </row>
    <row r="16" spans="2:20">
      <c r="B16" s="392">
        <f t="shared" si="10"/>
        <v>44620</v>
      </c>
      <c r="C16" s="347">
        <f t="shared" si="11"/>
        <v>68</v>
      </c>
      <c r="D16" s="18">
        <f ca="1">INDEX('Monthly Cash Flow'!$L$137:$GT$137, MATCH(C16, 'Monthly Cash Flow'!$L$13:$GT$13, 0))</f>
        <v>0</v>
      </c>
      <c r="E16" s="18">
        <f t="shared" ca="1" si="0"/>
        <v>0</v>
      </c>
      <c r="F16" s="18">
        <f t="shared" ca="1" si="4"/>
        <v>0</v>
      </c>
      <c r="G16" s="18">
        <f t="shared" ca="1" si="1"/>
        <v>0</v>
      </c>
      <c r="H16" s="393">
        <f t="shared" ca="1" si="5"/>
        <v>0</v>
      </c>
      <c r="I16" s="388">
        <f>MAX($J$5, INDEX(LIBOR!$M$3:$M$122,MATCH(B16,LIBOR!$N$3:$N$122)))</f>
        <v>5.0000000000000001E-3</v>
      </c>
      <c r="J16" s="394">
        <f t="shared" si="6"/>
        <v>5.7499999999999996E-2</v>
      </c>
      <c r="L16" s="392">
        <f t="shared" si="12"/>
        <v>44620</v>
      </c>
      <c r="M16" s="347">
        <f t="shared" si="13"/>
        <v>68</v>
      </c>
      <c r="N16" s="18">
        <v>7606.1822921119256</v>
      </c>
      <c r="O16" s="18">
        <f t="shared" si="2"/>
        <v>0</v>
      </c>
      <c r="P16" s="18">
        <f t="shared" si="7"/>
        <v>32.05853712479334</v>
      </c>
      <c r="Q16" s="18">
        <f t="shared" si="3"/>
        <v>-32.05853712479334</v>
      </c>
      <c r="R16" s="393">
        <f t="shared" si="8"/>
        <v>7638.240829236719</v>
      </c>
      <c r="S16" s="388">
        <f>INDEX(LIBOR!$M$3:$M$122,MATCH(L16,LIBOR!$N$3:$N$122))</f>
        <v>1.5776E-3</v>
      </c>
      <c r="T16" s="394">
        <f t="shared" si="9"/>
        <v>5.05776E-2</v>
      </c>
    </row>
    <row r="17" spans="2:20">
      <c r="B17" s="392">
        <f t="shared" si="10"/>
        <v>44651</v>
      </c>
      <c r="C17" s="347">
        <f t="shared" si="11"/>
        <v>69</v>
      </c>
      <c r="D17" s="18">
        <f ca="1">INDEX('Monthly Cash Flow'!$L$137:$GT$137, MATCH(C17, 'Monthly Cash Flow'!$L$13:$GT$13, 0))</f>
        <v>0</v>
      </c>
      <c r="E17" s="18">
        <f t="shared" ca="1" si="0"/>
        <v>0</v>
      </c>
      <c r="F17" s="18">
        <f t="shared" ca="1" si="4"/>
        <v>0</v>
      </c>
      <c r="G17" s="18">
        <f t="shared" ca="1" si="1"/>
        <v>0</v>
      </c>
      <c r="H17" s="393">
        <f t="shared" ca="1" si="5"/>
        <v>0</v>
      </c>
      <c r="I17" s="388">
        <f>MAX($J$5, INDEX(LIBOR!$M$3:$M$122,MATCH(B17,LIBOR!$N$3:$N$122)))</f>
        <v>5.0000000000000001E-3</v>
      </c>
      <c r="J17" s="394">
        <f t="shared" si="6"/>
        <v>5.7499999999999996E-2</v>
      </c>
      <c r="L17" s="392">
        <f t="shared" si="12"/>
        <v>44651</v>
      </c>
      <c r="M17" s="347">
        <f t="shared" si="13"/>
        <v>69</v>
      </c>
      <c r="N17" s="18">
        <v>7596.9522587098927</v>
      </c>
      <c r="O17" s="18">
        <f t="shared" si="2"/>
        <v>0</v>
      </c>
      <c r="P17" s="18">
        <f t="shared" si="7"/>
        <v>32.024255859301171</v>
      </c>
      <c r="Q17" s="18">
        <f t="shared" si="3"/>
        <v>-32.024255859301171</v>
      </c>
      <c r="R17" s="393">
        <f t="shared" si="8"/>
        <v>7628.9765145691936</v>
      </c>
      <c r="S17" s="388">
        <f>INDEX(LIBOR!$M$3:$M$122,MATCH(L17,LIBOR!$N$3:$N$122))</f>
        <v>1.5849E-3</v>
      </c>
      <c r="T17" s="394">
        <f t="shared" si="9"/>
        <v>5.0584900000000002E-2</v>
      </c>
    </row>
    <row r="18" spans="2:20">
      <c r="B18" s="392">
        <f t="shared" si="10"/>
        <v>44681</v>
      </c>
      <c r="C18" s="347">
        <f t="shared" si="11"/>
        <v>70</v>
      </c>
      <c r="D18" s="18">
        <f ca="1">INDEX('Monthly Cash Flow'!$L$137:$GT$137, MATCH(C18, 'Monthly Cash Flow'!$L$13:$GT$13, 0))</f>
        <v>0</v>
      </c>
      <c r="E18" s="18">
        <f t="shared" ca="1" si="0"/>
        <v>0</v>
      </c>
      <c r="F18" s="18">
        <f t="shared" ca="1" si="4"/>
        <v>0</v>
      </c>
      <c r="G18" s="18">
        <f t="shared" ca="1" si="1"/>
        <v>0</v>
      </c>
      <c r="H18" s="393">
        <f t="shared" ca="1" si="5"/>
        <v>0</v>
      </c>
      <c r="I18" s="388">
        <f>MAX($J$5, INDEX(LIBOR!$M$3:$M$122,MATCH(B18,LIBOR!$N$3:$N$122)))</f>
        <v>5.0000000000000001E-3</v>
      </c>
      <c r="J18" s="394">
        <f t="shared" si="6"/>
        <v>5.7499999999999996E-2</v>
      </c>
      <c r="L18" s="392">
        <f t="shared" si="12"/>
        <v>44681</v>
      </c>
      <c r="M18" s="347">
        <f t="shared" si="13"/>
        <v>70</v>
      </c>
      <c r="N18" s="18">
        <v>7587.7019933339188</v>
      </c>
      <c r="O18" s="18">
        <f t="shared" si="2"/>
        <v>0</v>
      </c>
      <c r="P18" s="18">
        <f t="shared" si="7"/>
        <v>31.966482651116248</v>
      </c>
      <c r="Q18" s="18">
        <f t="shared" si="3"/>
        <v>-31.966482651116248</v>
      </c>
      <c r="R18" s="393">
        <f t="shared" si="8"/>
        <v>7619.668475985035</v>
      </c>
      <c r="S18" s="388">
        <f>INDEX(LIBOR!$M$3:$M$122,MATCH(L18,LIBOR!$N$3:$N$122))</f>
        <v>1.5552000000000001E-3</v>
      </c>
      <c r="T18" s="394">
        <f t="shared" si="9"/>
        <v>5.0555200000000002E-2</v>
      </c>
    </row>
    <row r="19" spans="2:20">
      <c r="B19" s="392">
        <f t="shared" si="10"/>
        <v>44712</v>
      </c>
      <c r="C19" s="347">
        <f t="shared" si="11"/>
        <v>71</v>
      </c>
      <c r="D19" s="18">
        <f ca="1">INDEX('Monthly Cash Flow'!$L$137:$GT$137, MATCH(C19, 'Monthly Cash Flow'!$L$13:$GT$13, 0))</f>
        <v>0</v>
      </c>
      <c r="E19" s="18">
        <f t="shared" ca="1" si="0"/>
        <v>0</v>
      </c>
      <c r="F19" s="18">
        <f t="shared" ca="1" si="4"/>
        <v>0</v>
      </c>
      <c r="G19" s="18">
        <f t="shared" ca="1" si="1"/>
        <v>0</v>
      </c>
      <c r="H19" s="393">
        <f t="shared" ca="1" si="5"/>
        <v>0</v>
      </c>
      <c r="I19" s="388">
        <f>MAX($J$5, INDEX(LIBOR!$M$3:$M$122,MATCH(B19,LIBOR!$N$3:$N$122)))</f>
        <v>5.0000000000000001E-3</v>
      </c>
      <c r="J19" s="394">
        <f t="shared" si="6"/>
        <v>5.7499999999999996E-2</v>
      </c>
      <c r="L19" s="392">
        <f t="shared" si="12"/>
        <v>44712</v>
      </c>
      <c r="M19" s="347">
        <f t="shared" si="13"/>
        <v>71</v>
      </c>
      <c r="N19" s="18">
        <v>7578.4305015824966</v>
      </c>
      <c r="O19" s="18">
        <f t="shared" si="2"/>
        <v>0</v>
      </c>
      <c r="P19" s="18">
        <f t="shared" si="7"/>
        <v>31.903297804036914</v>
      </c>
      <c r="Q19" s="18">
        <f t="shared" si="3"/>
        <v>-31.903297804036914</v>
      </c>
      <c r="R19" s="393">
        <f t="shared" si="8"/>
        <v>7610.3337993865334</v>
      </c>
      <c r="S19" s="388">
        <f>INDEX(LIBOR!$M$3:$M$122,MATCH(L19,LIBOR!$N$3:$N$122))</f>
        <v>1.5169999999999999E-3</v>
      </c>
      <c r="T19" s="394">
        <f t="shared" si="9"/>
        <v>5.0516999999999999E-2</v>
      </c>
    </row>
    <row r="20" spans="2:20">
      <c r="B20" s="392">
        <f t="shared" si="10"/>
        <v>44742</v>
      </c>
      <c r="C20" s="347">
        <f t="shared" si="11"/>
        <v>72</v>
      </c>
      <c r="D20" s="18">
        <f ca="1">INDEX('Monthly Cash Flow'!$L$137:$GT$137, MATCH(C20, 'Monthly Cash Flow'!$L$13:$GT$13, 0))</f>
        <v>0</v>
      </c>
      <c r="E20" s="18">
        <f t="shared" ca="1" si="0"/>
        <v>0</v>
      </c>
      <c r="F20" s="18">
        <f t="shared" ca="1" si="4"/>
        <v>0</v>
      </c>
      <c r="G20" s="18">
        <f t="shared" ca="1" si="1"/>
        <v>0</v>
      </c>
      <c r="H20" s="393">
        <f t="shared" ca="1" si="5"/>
        <v>0</v>
      </c>
      <c r="I20" s="388">
        <f>MAX($J$5, INDEX(LIBOR!$M$3:$M$122,MATCH(B20,LIBOR!$N$3:$N$122)))</f>
        <v>5.0000000000000001E-3</v>
      </c>
      <c r="J20" s="394">
        <f t="shared" si="6"/>
        <v>5.7499999999999996E-2</v>
      </c>
      <c r="L20" s="392">
        <f t="shared" si="12"/>
        <v>44742</v>
      </c>
      <c r="M20" s="347">
        <f t="shared" si="13"/>
        <v>72</v>
      </c>
      <c r="N20" s="18">
        <v>7569.1368927018284</v>
      </c>
      <c r="O20" s="18">
        <f t="shared" si="2"/>
        <v>0</v>
      </c>
      <c r="P20" s="18">
        <f t="shared" si="7"/>
        <v>31.849540369392301</v>
      </c>
      <c r="Q20" s="18">
        <f t="shared" si="3"/>
        <v>-31.849540369392301</v>
      </c>
      <c r="R20" s="393">
        <f t="shared" si="8"/>
        <v>7600.9864330712207</v>
      </c>
      <c r="S20" s="388">
        <f>INDEX(LIBOR!$M$3:$M$122,MATCH(L20,LIBOR!$N$3:$N$122))</f>
        <v>1.4938E-3</v>
      </c>
      <c r="T20" s="394">
        <f t="shared" si="9"/>
        <v>5.0493800000000005E-2</v>
      </c>
    </row>
    <row r="21" spans="2:20">
      <c r="B21" s="392">
        <f t="shared" si="10"/>
        <v>44773</v>
      </c>
      <c r="C21" s="347">
        <f t="shared" si="11"/>
        <v>73</v>
      </c>
      <c r="D21" s="18">
        <f ca="1">INDEX('Monthly Cash Flow'!$L$137:$GT$137, MATCH(C21, 'Monthly Cash Flow'!$L$13:$GT$13, 0))</f>
        <v>0</v>
      </c>
      <c r="E21" s="18">
        <f t="shared" ca="1" si="0"/>
        <v>0</v>
      </c>
      <c r="F21" s="18">
        <f t="shared" ca="1" si="4"/>
        <v>0</v>
      </c>
      <c r="G21" s="18">
        <f t="shared" ca="1" si="1"/>
        <v>0</v>
      </c>
      <c r="H21" s="393">
        <f t="shared" ca="1" si="5"/>
        <v>0</v>
      </c>
      <c r="I21" s="388">
        <f>MAX($J$5, INDEX(LIBOR!$M$3:$M$122,MATCH(B21,LIBOR!$N$3:$N$122)))</f>
        <v>5.0000000000000001E-3</v>
      </c>
      <c r="J21" s="394">
        <f t="shared" si="6"/>
        <v>5.7499999999999996E-2</v>
      </c>
      <c r="L21" s="392">
        <f t="shared" si="12"/>
        <v>44773</v>
      </c>
      <c r="M21" s="347">
        <f t="shared" si="13"/>
        <v>73</v>
      </c>
      <c r="N21" s="18">
        <v>7559.8218207809205</v>
      </c>
      <c r="O21" s="18">
        <f t="shared" si="2"/>
        <v>0</v>
      </c>
      <c r="P21" s="18">
        <f t="shared" si="7"/>
        <v>31.795476604931434</v>
      </c>
      <c r="Q21" s="18">
        <f t="shared" si="3"/>
        <v>-31.795476604931434</v>
      </c>
      <c r="R21" s="393">
        <f t="shared" si="8"/>
        <v>7591.617297385852</v>
      </c>
      <c r="S21" s="388">
        <f>INDEX(LIBOR!$M$3:$M$122,MATCH(L21,LIBOR!$N$3:$N$122))</f>
        <v>1.4702000000000001E-3</v>
      </c>
      <c r="T21" s="394">
        <f t="shared" si="9"/>
        <v>5.04702E-2</v>
      </c>
    </row>
    <row r="22" spans="2:20">
      <c r="B22" s="392">
        <f t="shared" si="10"/>
        <v>44804</v>
      </c>
      <c r="C22" s="347">
        <f t="shared" si="11"/>
        <v>74</v>
      </c>
      <c r="D22" s="18">
        <f ca="1">INDEX('Monthly Cash Flow'!$L$137:$GT$137, MATCH(C22, 'Monthly Cash Flow'!$L$13:$GT$13, 0))</f>
        <v>0</v>
      </c>
      <c r="E22" s="18">
        <f t="shared" ca="1" si="0"/>
        <v>0</v>
      </c>
      <c r="F22" s="18">
        <f t="shared" ca="1" si="4"/>
        <v>0</v>
      </c>
      <c r="G22" s="18">
        <f t="shared" ca="1" si="1"/>
        <v>0</v>
      </c>
      <c r="H22" s="393">
        <f t="shared" ca="1" si="5"/>
        <v>0</v>
      </c>
      <c r="I22" s="388">
        <f>MAX($J$5, INDEX(LIBOR!$M$3:$M$122,MATCH(B22,LIBOR!$N$3:$N$122)))</f>
        <v>5.0000000000000001E-3</v>
      </c>
      <c r="J22" s="394">
        <f t="shared" si="6"/>
        <v>5.7499999999999996E-2</v>
      </c>
      <c r="L22" s="392">
        <f t="shared" si="12"/>
        <v>44804</v>
      </c>
      <c r="M22" s="347">
        <f t="shared" si="13"/>
        <v>74</v>
      </c>
      <c r="N22" s="18">
        <v>7550.4831646165812</v>
      </c>
      <c r="O22" s="18">
        <f t="shared" si="2"/>
        <v>0</v>
      </c>
      <c r="P22" s="18">
        <f t="shared" si="7"/>
        <v>31.765574801165386</v>
      </c>
      <c r="Q22" s="18">
        <f t="shared" si="3"/>
        <v>-31.765574801165386</v>
      </c>
      <c r="R22" s="393">
        <f t="shared" si="8"/>
        <v>7582.2487394177469</v>
      </c>
      <c r="S22" s="388">
        <f>INDEX(LIBOR!$M$3:$M$122,MATCH(L22,LIBOR!$N$3:$N$122))</f>
        <v>1.4851E-3</v>
      </c>
      <c r="T22" s="394">
        <f t="shared" si="9"/>
        <v>5.0485100000000005E-2</v>
      </c>
    </row>
    <row r="23" spans="2:20">
      <c r="B23" s="392">
        <f t="shared" si="10"/>
        <v>44834</v>
      </c>
      <c r="C23" s="347">
        <f t="shared" si="11"/>
        <v>75</v>
      </c>
      <c r="D23" s="18">
        <f ca="1">INDEX('Monthly Cash Flow'!$L$137:$GT$137, MATCH(C23, 'Monthly Cash Flow'!$L$13:$GT$13, 0))</f>
        <v>0</v>
      </c>
      <c r="E23" s="18">
        <f t="shared" ca="1" si="0"/>
        <v>0</v>
      </c>
      <c r="F23" s="18">
        <f t="shared" ca="1" si="4"/>
        <v>0</v>
      </c>
      <c r="G23" s="18">
        <f t="shared" ca="1" si="1"/>
        <v>0</v>
      </c>
      <c r="H23" s="393">
        <f t="shared" ca="1" si="5"/>
        <v>0</v>
      </c>
      <c r="I23" s="388">
        <f>MAX($J$5, INDEX(LIBOR!$M$3:$M$122,MATCH(B23,LIBOR!$N$3:$N$122)))</f>
        <v>5.0000000000000001E-3</v>
      </c>
      <c r="J23" s="394">
        <f t="shared" si="6"/>
        <v>5.7499999999999996E-2</v>
      </c>
      <c r="L23" s="392">
        <f t="shared" si="12"/>
        <v>44834</v>
      </c>
      <c r="M23" s="347">
        <f t="shared" si="13"/>
        <v>75</v>
      </c>
      <c r="N23" s="18">
        <v>7541.1184580581703</v>
      </c>
      <c r="O23" s="18">
        <f t="shared" si="2"/>
        <v>0</v>
      </c>
      <c r="P23" s="18">
        <f t="shared" si="7"/>
        <v>31.757346578536019</v>
      </c>
      <c r="Q23" s="18">
        <f t="shared" si="3"/>
        <v>-31.757346578536019</v>
      </c>
      <c r="R23" s="393">
        <f t="shared" si="8"/>
        <v>7572.8758046367066</v>
      </c>
      <c r="S23" s="388">
        <f>INDEX(LIBOR!$M$3:$M$122,MATCH(L23,LIBOR!$N$3:$N$122))</f>
        <v>1.5347E-3</v>
      </c>
      <c r="T23" s="394">
        <f t="shared" si="9"/>
        <v>5.0534700000000002E-2</v>
      </c>
    </row>
    <row r="24" spans="2:20">
      <c r="B24" s="392">
        <f t="shared" si="10"/>
        <v>44865</v>
      </c>
      <c r="C24" s="347">
        <f t="shared" si="11"/>
        <v>76</v>
      </c>
      <c r="D24" s="18">
        <f ca="1">INDEX('Monthly Cash Flow'!$L$137:$GT$137, MATCH(C24, 'Monthly Cash Flow'!$L$13:$GT$13, 0))</f>
        <v>0</v>
      </c>
      <c r="E24" s="18">
        <f t="shared" ca="1" si="0"/>
        <v>0</v>
      </c>
      <c r="F24" s="18">
        <f t="shared" ca="1" si="4"/>
        <v>0</v>
      </c>
      <c r="G24" s="18">
        <f t="shared" ca="1" si="1"/>
        <v>0</v>
      </c>
      <c r="H24" s="393">
        <f t="shared" ca="1" si="5"/>
        <v>0</v>
      </c>
      <c r="I24" s="388">
        <f>MAX($J$5, INDEX(LIBOR!$M$3:$M$122,MATCH(B24,LIBOR!$N$3:$N$122)))</f>
        <v>5.0000000000000001E-3</v>
      </c>
      <c r="J24" s="394">
        <f t="shared" si="6"/>
        <v>5.7499999999999996E-2</v>
      </c>
      <c r="K24" s="25"/>
      <c r="L24" s="392">
        <f t="shared" si="12"/>
        <v>44865</v>
      </c>
      <c r="M24" s="347">
        <f t="shared" si="13"/>
        <v>76</v>
      </c>
      <c r="N24" s="18">
        <v>7531.7282502622129</v>
      </c>
      <c r="O24" s="18">
        <f t="shared" si="2"/>
        <v>0</v>
      </c>
      <c r="P24" s="18">
        <f t="shared" si="7"/>
        <v>31.75295036587838</v>
      </c>
      <c r="Q24" s="18">
        <f t="shared" si="3"/>
        <v>-31.75295036587838</v>
      </c>
      <c r="R24" s="393">
        <f t="shared" si="8"/>
        <v>7563.4812006280908</v>
      </c>
      <c r="S24" s="388">
        <f>INDEX(LIBOR!$M$3:$M$122,MATCH(L24,LIBOR!$N$3:$N$122))</f>
        <v>1.5907E-3</v>
      </c>
      <c r="T24" s="394">
        <f t="shared" si="9"/>
        <v>5.0590700000000002E-2</v>
      </c>
    </row>
    <row r="25" spans="2:20">
      <c r="B25" s="392">
        <f t="shared" si="10"/>
        <v>44895</v>
      </c>
      <c r="C25" s="347">
        <f t="shared" si="11"/>
        <v>77</v>
      </c>
      <c r="D25" s="18">
        <f ca="1">INDEX('Monthly Cash Flow'!$L$137:$GT$137, MATCH(C25, 'Monthly Cash Flow'!$L$13:$GT$13, 0))</f>
        <v>0</v>
      </c>
      <c r="E25" s="18">
        <f t="shared" ca="1" si="0"/>
        <v>0</v>
      </c>
      <c r="F25" s="18">
        <f t="shared" ca="1" si="4"/>
        <v>0</v>
      </c>
      <c r="G25" s="18">
        <f t="shared" ca="1" si="1"/>
        <v>0</v>
      </c>
      <c r="H25" s="393">
        <f t="shared" ca="1" si="5"/>
        <v>0</v>
      </c>
      <c r="I25" s="388">
        <f>MAX($J$5, INDEX(LIBOR!$M$3:$M$122,MATCH(B25,LIBOR!$N$3:$N$122)))</f>
        <v>3.90987E-2</v>
      </c>
      <c r="J25" s="394">
        <f t="shared" si="6"/>
        <v>9.1598700000000005E-2</v>
      </c>
      <c r="L25" s="392">
        <f t="shared" si="12"/>
        <v>44895</v>
      </c>
      <c r="M25" s="347">
        <f t="shared" si="13"/>
        <v>77</v>
      </c>
      <c r="N25" s="18">
        <v>7522.309210136772</v>
      </c>
      <c r="O25" s="18">
        <f t="shared" si="2"/>
        <v>0</v>
      </c>
      <c r="P25" s="18">
        <f t="shared" si="7"/>
        <v>55.225471867589704</v>
      </c>
      <c r="Q25" s="18">
        <f t="shared" si="3"/>
        <v>-55.225471867589704</v>
      </c>
      <c r="R25" s="393">
        <f t="shared" si="8"/>
        <v>7577.5346820043615</v>
      </c>
      <c r="S25" s="388">
        <f>INDEX(LIBOR!$M$3:$M$122,MATCH(L25,LIBOR!$N$3:$N$122))</f>
        <v>3.90987E-2</v>
      </c>
      <c r="T25" s="394">
        <f t="shared" si="9"/>
        <v>8.8098700000000002E-2</v>
      </c>
    </row>
    <row r="26" spans="2:20">
      <c r="B26" s="392">
        <f t="shared" si="10"/>
        <v>44926</v>
      </c>
      <c r="C26" s="347">
        <f t="shared" si="11"/>
        <v>78</v>
      </c>
      <c r="D26" s="18">
        <f ca="1">INDEX('Monthly Cash Flow'!$L$137:$GT$137, MATCH(C26, 'Monthly Cash Flow'!$L$13:$GT$13, 0))</f>
        <v>0</v>
      </c>
      <c r="E26" s="18">
        <f t="shared" ca="1" si="0"/>
        <v>0</v>
      </c>
      <c r="F26" s="18">
        <f t="shared" ca="1" si="4"/>
        <v>0</v>
      </c>
      <c r="G26" s="18">
        <f t="shared" ca="1" si="1"/>
        <v>0</v>
      </c>
      <c r="H26" s="393">
        <f t="shared" ca="1" si="5"/>
        <v>0</v>
      </c>
      <c r="I26" s="388">
        <f>MAX($J$5, INDEX(LIBOR!$M$3:$M$122,MATCH(B26,LIBOR!$N$3:$N$122)))</f>
        <v>4.44781E-2</v>
      </c>
      <c r="J26" s="394">
        <f t="shared" si="6"/>
        <v>9.6978099999999998E-2</v>
      </c>
      <c r="L26" s="392">
        <f t="shared" si="12"/>
        <v>44926</v>
      </c>
      <c r="M26" s="347">
        <f t="shared" si="13"/>
        <v>78</v>
      </c>
      <c r="N26" s="18">
        <v>7512.859705403077</v>
      </c>
      <c r="O26" s="18">
        <f t="shared" si="2"/>
        <v>0</v>
      </c>
      <c r="P26" s="18">
        <f t="shared" si="7"/>
        <v>58.52398756896995</v>
      </c>
      <c r="Q26" s="18">
        <f t="shared" si="3"/>
        <v>-58.52398756896995</v>
      </c>
      <c r="R26" s="393">
        <f t="shared" si="8"/>
        <v>7571.3836929720474</v>
      </c>
      <c r="S26" s="388">
        <f>INDEX(LIBOR!$M$3:$M$122,MATCH(L26,LIBOR!$N$3:$N$122))</f>
        <v>4.44781E-2</v>
      </c>
      <c r="T26" s="394">
        <f t="shared" si="9"/>
        <v>9.3478100000000008E-2</v>
      </c>
    </row>
    <row r="27" spans="2:20">
      <c r="B27" s="392">
        <f t="shared" si="10"/>
        <v>44957</v>
      </c>
      <c r="C27" s="347">
        <f t="shared" si="11"/>
        <v>79</v>
      </c>
      <c r="D27" s="18">
        <f ca="1">INDEX('Monthly Cash Flow'!$L$137:$GT$137, MATCH(C27, 'Monthly Cash Flow'!$L$13:$GT$13, 0))</f>
        <v>0</v>
      </c>
      <c r="E27" s="18">
        <f t="shared" ca="1" si="0"/>
        <v>0</v>
      </c>
      <c r="F27" s="18">
        <f t="shared" ca="1" si="4"/>
        <v>0</v>
      </c>
      <c r="G27" s="18">
        <f t="shared" ca="1" si="1"/>
        <v>0</v>
      </c>
      <c r="H27" s="393">
        <f t="shared" ca="1" si="5"/>
        <v>0</v>
      </c>
      <c r="I27" s="388">
        <f>MAX($J$5, INDEX(LIBOR!$M$3:$M$122,MATCH(B27,LIBOR!$N$3:$N$122)))</f>
        <v>4.8152599999999997E-2</v>
      </c>
      <c r="J27" s="394">
        <f t="shared" si="6"/>
        <v>0.10065259999999999</v>
      </c>
      <c r="L27" s="392">
        <f t="shared" si="12"/>
        <v>44957</v>
      </c>
      <c r="M27" s="347">
        <f t="shared" si="13"/>
        <v>79</v>
      </c>
      <c r="N27" s="18">
        <v>7503.3792840161386</v>
      </c>
      <c r="O27" s="18">
        <f t="shared" si="2"/>
        <v>0</v>
      </c>
      <c r="P27" s="18">
        <f t="shared" si="7"/>
        <v>60.747733852358863</v>
      </c>
      <c r="Q27" s="18">
        <f t="shared" si="3"/>
        <v>-60.747733852358863</v>
      </c>
      <c r="R27" s="393">
        <f t="shared" si="8"/>
        <v>7564.1270178684972</v>
      </c>
      <c r="S27" s="388">
        <f>INDEX(LIBOR!$M$3:$M$122,MATCH(L27,LIBOR!$N$3:$N$122))</f>
        <v>4.8152599999999997E-2</v>
      </c>
      <c r="T27" s="394">
        <f t="shared" si="9"/>
        <v>9.7152600000000006E-2</v>
      </c>
    </row>
    <row r="28" spans="2:20">
      <c r="B28" s="392">
        <f t="shared" si="10"/>
        <v>44985</v>
      </c>
      <c r="C28" s="347">
        <f t="shared" si="11"/>
        <v>80</v>
      </c>
      <c r="D28" s="18">
        <f ca="1">INDEX('Monthly Cash Flow'!$L$137:$GT$137, MATCH(C28, 'Monthly Cash Flow'!$L$13:$GT$13, 0))</f>
        <v>0</v>
      </c>
      <c r="E28" s="18">
        <f t="shared" ca="1" si="0"/>
        <v>0</v>
      </c>
      <c r="F28" s="18">
        <f t="shared" ca="1" si="4"/>
        <v>0</v>
      </c>
      <c r="G28" s="18">
        <f t="shared" ca="1" si="1"/>
        <v>0</v>
      </c>
      <c r="H28" s="393">
        <f t="shared" ca="1" si="5"/>
        <v>0</v>
      </c>
      <c r="I28" s="388">
        <f>MAX($J$5, INDEX(LIBOR!$M$3:$M$122,MATCH(B28,LIBOR!$N$3:$N$122)))</f>
        <v>5.02318E-2</v>
      </c>
      <c r="J28" s="394">
        <f t="shared" si="6"/>
        <v>0.1027318</v>
      </c>
      <c r="L28" s="392">
        <f t="shared" si="12"/>
        <v>44985</v>
      </c>
      <c r="M28" s="347">
        <f t="shared" si="13"/>
        <v>80</v>
      </c>
      <c r="N28" s="18">
        <v>7493.8645859638755</v>
      </c>
      <c r="O28" s="18">
        <f t="shared" si="2"/>
        <v>0</v>
      </c>
      <c r="P28" s="18">
        <f t="shared" si="7"/>
        <v>61.969139318454182</v>
      </c>
      <c r="Q28" s="18">
        <f t="shared" si="3"/>
        <v>-61.969139318454182</v>
      </c>
      <c r="R28" s="393">
        <f t="shared" si="8"/>
        <v>7555.8337252823294</v>
      </c>
      <c r="S28" s="388">
        <f>INDEX(LIBOR!$M$3:$M$122,MATCH(L28,LIBOR!$N$3:$N$122))</f>
        <v>5.02318E-2</v>
      </c>
      <c r="T28" s="394">
        <f t="shared" si="9"/>
        <v>9.9231800000000009E-2</v>
      </c>
    </row>
    <row r="29" spans="2:20">
      <c r="B29" s="392">
        <f t="shared" si="10"/>
        <v>45016</v>
      </c>
      <c r="C29" s="347">
        <f t="shared" si="11"/>
        <v>81</v>
      </c>
      <c r="D29" s="18">
        <f ca="1">INDEX('Monthly Cash Flow'!$L$137:$GT$137, MATCH(C29, 'Monthly Cash Flow'!$L$13:$GT$13, 0))</f>
        <v>0</v>
      </c>
      <c r="E29" s="18">
        <f t="shared" ca="1" si="0"/>
        <v>0</v>
      </c>
      <c r="F29" s="18">
        <f t="shared" ca="1" si="4"/>
        <v>0</v>
      </c>
      <c r="G29" s="18">
        <f t="shared" ca="1" si="1"/>
        <v>0</v>
      </c>
      <c r="H29" s="393">
        <f t="shared" ca="1" si="5"/>
        <v>0</v>
      </c>
      <c r="I29" s="388">
        <f>MAX($J$5, INDEX(LIBOR!$M$3:$M$122,MATCH(B29,LIBOR!$N$3:$N$122)))</f>
        <v>5.0998799999999997E-2</v>
      </c>
      <c r="J29" s="394">
        <f t="shared" si="6"/>
        <v>0.1034988</v>
      </c>
      <c r="L29" s="392">
        <f t="shared" si="12"/>
        <v>45016</v>
      </c>
      <c r="M29" s="347">
        <f t="shared" si="13"/>
        <v>81</v>
      </c>
      <c r="N29" s="18">
        <v>7484.3141266665771</v>
      </c>
      <c r="O29" s="18">
        <f t="shared" si="2"/>
        <v>0</v>
      </c>
      <c r="P29" s="18">
        <f t="shared" si="7"/>
        <v>62.368535957475473</v>
      </c>
      <c r="Q29" s="18">
        <f t="shared" si="3"/>
        <v>-62.368535957475473</v>
      </c>
      <c r="R29" s="393">
        <f t="shared" si="8"/>
        <v>7546.6826626240527</v>
      </c>
      <c r="S29" s="388">
        <f>INDEX(LIBOR!$M$3:$M$122,MATCH(L29,LIBOR!$N$3:$N$122))</f>
        <v>5.0998799999999997E-2</v>
      </c>
      <c r="T29" s="394">
        <f t="shared" si="9"/>
        <v>9.9998799999999999E-2</v>
      </c>
    </row>
    <row r="30" spans="2:20">
      <c r="B30" s="392">
        <f t="shared" si="10"/>
        <v>45046</v>
      </c>
      <c r="C30" s="347">
        <f t="shared" si="11"/>
        <v>82</v>
      </c>
      <c r="D30" s="18">
        <f ca="1">INDEX('Monthly Cash Flow'!$L$137:$GT$137, MATCH(C30, 'Monthly Cash Flow'!$L$13:$GT$13, 0))</f>
        <v>0</v>
      </c>
      <c r="E30" s="18">
        <f t="shared" ca="1" si="0"/>
        <v>0</v>
      </c>
      <c r="F30" s="18">
        <f t="shared" ca="1" si="4"/>
        <v>0</v>
      </c>
      <c r="G30" s="18">
        <f t="shared" ca="1" si="1"/>
        <v>0</v>
      </c>
      <c r="H30" s="393">
        <f t="shared" ca="1" si="5"/>
        <v>0</v>
      </c>
      <c r="I30" s="388">
        <f>MAX($J$5, INDEX(LIBOR!$M$3:$M$122,MATCH(B30,LIBOR!$N$3:$N$122)))</f>
        <v>5.1074399999999999E-2</v>
      </c>
      <c r="J30" s="394">
        <f t="shared" si="6"/>
        <v>0.1035744</v>
      </c>
      <c r="L30" s="392">
        <f t="shared" si="12"/>
        <v>45046</v>
      </c>
      <c r="M30" s="347">
        <f t="shared" si="13"/>
        <v>82</v>
      </c>
      <c r="N30" s="18">
        <v>7474.7278895797162</v>
      </c>
      <c r="O30" s="18">
        <f t="shared" si="2"/>
        <v>0</v>
      </c>
      <c r="P30" s="18">
        <f t="shared" si="7"/>
        <v>62.335742392746369</v>
      </c>
      <c r="Q30" s="18">
        <f t="shared" si="3"/>
        <v>-62.335742392746369</v>
      </c>
      <c r="R30" s="393">
        <f t="shared" si="8"/>
        <v>7537.0636319724626</v>
      </c>
      <c r="S30" s="388">
        <f>INDEX(LIBOR!$M$3:$M$122,MATCH(L30,LIBOR!$N$3:$N$122))</f>
        <v>5.1074399999999999E-2</v>
      </c>
      <c r="T30" s="394">
        <f t="shared" si="9"/>
        <v>0.10007440000000001</v>
      </c>
    </row>
    <row r="31" spans="2:20">
      <c r="B31" s="392">
        <f t="shared" si="10"/>
        <v>45077</v>
      </c>
      <c r="C31" s="347">
        <f t="shared" si="11"/>
        <v>83</v>
      </c>
      <c r="D31" s="18">
        <f ca="1">INDEX('Monthly Cash Flow'!$L$137:$GT$137, MATCH(C31, 'Monthly Cash Flow'!$L$13:$GT$13, 0))</f>
        <v>0</v>
      </c>
      <c r="E31" s="18">
        <f t="shared" ca="1" si="0"/>
        <v>0</v>
      </c>
      <c r="F31" s="18">
        <f t="shared" ca="1" si="4"/>
        <v>0</v>
      </c>
      <c r="G31" s="18">
        <f t="shared" ca="1" si="1"/>
        <v>0</v>
      </c>
      <c r="H31" s="393">
        <f t="shared" ca="1" si="5"/>
        <v>0</v>
      </c>
      <c r="I31" s="388">
        <f>MAX($J$5, INDEX(LIBOR!$M$3:$M$122,MATCH(B31,LIBOR!$N$3:$N$122)))</f>
        <v>5.08242E-2</v>
      </c>
      <c r="J31" s="394">
        <f t="shared" si="6"/>
        <v>0.1033242</v>
      </c>
      <c r="L31" s="392">
        <f t="shared" si="12"/>
        <v>45077</v>
      </c>
      <c r="M31" s="347">
        <f t="shared" si="13"/>
        <v>83</v>
      </c>
      <c r="N31" s="18">
        <v>7465.1029224226149</v>
      </c>
      <c r="O31" s="18">
        <f t="shared" si="2"/>
        <v>0</v>
      </c>
      <c r="P31" s="18">
        <f t="shared" si="7"/>
        <v>62.099827262374966</v>
      </c>
      <c r="Q31" s="18">
        <f t="shared" si="3"/>
        <v>-62.099827262374966</v>
      </c>
      <c r="R31" s="393">
        <f t="shared" si="8"/>
        <v>7527.2027496849896</v>
      </c>
      <c r="S31" s="388">
        <f>INDEX(LIBOR!$M$3:$M$122,MATCH(L31,LIBOR!$N$3:$N$122))</f>
        <v>5.08242E-2</v>
      </c>
      <c r="T31" s="394">
        <f t="shared" si="9"/>
        <v>9.9824200000000002E-2</v>
      </c>
    </row>
    <row r="32" spans="2:20">
      <c r="B32" s="392">
        <f t="shared" si="10"/>
        <v>45107</v>
      </c>
      <c r="C32" s="347">
        <f t="shared" si="11"/>
        <v>84</v>
      </c>
      <c r="D32" s="18">
        <f ca="1">INDEX('Monthly Cash Flow'!$L$137:$GT$137, MATCH(C32, 'Monthly Cash Flow'!$L$13:$GT$13, 0))</f>
        <v>0</v>
      </c>
      <c r="E32" s="18">
        <f t="shared" ca="1" si="0"/>
        <v>0</v>
      </c>
      <c r="F32" s="18">
        <f t="shared" ca="1" si="4"/>
        <v>0</v>
      </c>
      <c r="G32" s="18">
        <f t="shared" ca="1" si="1"/>
        <v>0</v>
      </c>
      <c r="H32" s="393">
        <f t="shared" ca="1" si="5"/>
        <v>0</v>
      </c>
      <c r="I32" s="388">
        <f>MAX($J$5, INDEX(LIBOR!$M$3:$M$122,MATCH(B32,LIBOR!$N$3:$N$122)))</f>
        <v>5.02967E-2</v>
      </c>
      <c r="J32" s="394">
        <f t="shared" si="6"/>
        <v>0.10279669999999999</v>
      </c>
      <c r="L32" s="392">
        <f t="shared" si="12"/>
        <v>45107</v>
      </c>
      <c r="M32" s="347">
        <f t="shared" si="13"/>
        <v>84</v>
      </c>
      <c r="N32" s="18">
        <v>7455.4393690486286</v>
      </c>
      <c r="O32" s="18">
        <f t="shared" si="2"/>
        <v>0</v>
      </c>
      <c r="P32" s="18">
        <f t="shared" si="7"/>
        <v>61.691710533050916</v>
      </c>
      <c r="Q32" s="18">
        <f t="shared" si="3"/>
        <v>-61.691710533050916</v>
      </c>
      <c r="R32" s="393">
        <f t="shared" si="8"/>
        <v>7517.1310795816798</v>
      </c>
      <c r="S32" s="388">
        <f>INDEX(LIBOR!$M$3:$M$122,MATCH(L32,LIBOR!$N$3:$N$122))</f>
        <v>5.02967E-2</v>
      </c>
      <c r="T32" s="394">
        <f t="shared" si="9"/>
        <v>9.9296700000000002E-2</v>
      </c>
    </row>
    <row r="33" spans="2:20">
      <c r="B33" s="392">
        <f t="shared" si="10"/>
        <v>45138</v>
      </c>
      <c r="C33" s="347">
        <f t="shared" si="11"/>
        <v>85</v>
      </c>
      <c r="D33" s="18">
        <f ca="1">INDEX('Monthly Cash Flow'!$L$137:$GT$137, MATCH(C33, 'Monthly Cash Flow'!$L$13:$GT$13, 0))</f>
        <v>0</v>
      </c>
      <c r="E33" s="18">
        <f t="shared" ca="1" si="0"/>
        <v>0</v>
      </c>
      <c r="F33" s="18">
        <f t="shared" ca="1" si="4"/>
        <v>0</v>
      </c>
      <c r="G33" s="18">
        <f t="shared" ca="1" si="1"/>
        <v>0</v>
      </c>
      <c r="H33" s="393">
        <f t="shared" ca="1" si="5"/>
        <v>0</v>
      </c>
      <c r="I33" s="388">
        <f>MAX($J$5, INDEX(LIBOR!$M$3:$M$122,MATCH(B33,LIBOR!$N$3:$N$122)))</f>
        <v>4.9586600000000002E-2</v>
      </c>
      <c r="J33" s="394">
        <f t="shared" si="6"/>
        <v>0.1020866</v>
      </c>
      <c r="L33" s="392">
        <f t="shared" si="12"/>
        <v>45138</v>
      </c>
      <c r="M33" s="347">
        <f t="shared" si="13"/>
        <v>85</v>
      </c>
      <c r="N33" s="18">
        <v>7445.738517631773</v>
      </c>
      <c r="O33" s="18">
        <f t="shared" si="2"/>
        <v>0</v>
      </c>
      <c r="P33" s="18">
        <f t="shared" si="7"/>
        <v>61.170837078529708</v>
      </c>
      <c r="Q33" s="18">
        <f t="shared" si="3"/>
        <v>-61.170837078529708</v>
      </c>
      <c r="R33" s="393">
        <f t="shared" si="8"/>
        <v>7506.909354710303</v>
      </c>
      <c r="S33" s="388">
        <f>INDEX(LIBOR!$M$3:$M$122,MATCH(L33,LIBOR!$N$3:$N$122))</f>
        <v>4.9586600000000002E-2</v>
      </c>
      <c r="T33" s="394">
        <f t="shared" si="9"/>
        <v>9.8586599999999996E-2</v>
      </c>
    </row>
    <row r="34" spans="2:20">
      <c r="B34" s="392">
        <f t="shared" si="10"/>
        <v>45169</v>
      </c>
      <c r="C34" s="347">
        <f t="shared" si="11"/>
        <v>86</v>
      </c>
      <c r="D34" s="18">
        <f ca="1">INDEX('Monthly Cash Flow'!$L$137:$GT$137, MATCH(C34, 'Monthly Cash Flow'!$L$13:$GT$13, 0))</f>
        <v>0</v>
      </c>
      <c r="E34" s="18">
        <f t="shared" ca="1" si="0"/>
        <v>0</v>
      </c>
      <c r="F34" s="18">
        <f t="shared" ca="1" si="4"/>
        <v>0</v>
      </c>
      <c r="G34" s="18">
        <f t="shared" ca="1" si="1"/>
        <v>0</v>
      </c>
      <c r="H34" s="393">
        <f t="shared" ca="1" si="5"/>
        <v>0</v>
      </c>
      <c r="I34" s="388">
        <f>MAX($J$5, INDEX(LIBOR!$M$3:$M$122,MATCH(B34,LIBOR!$N$3:$N$122)))</f>
        <v>4.8841200000000001E-2</v>
      </c>
      <c r="J34" s="394">
        <f t="shared" si="6"/>
        <v>0.10134119999999999</v>
      </c>
      <c r="L34" s="392">
        <f t="shared" si="12"/>
        <v>45169</v>
      </c>
      <c r="M34" s="347">
        <f t="shared" si="13"/>
        <v>86</v>
      </c>
      <c r="N34" s="18">
        <v>7435.9989285387119</v>
      </c>
      <c r="O34" s="18">
        <f t="shared" si="2"/>
        <v>0</v>
      </c>
      <c r="P34" s="18">
        <f t="shared" si="7"/>
        <v>60.628921530578488</v>
      </c>
      <c r="Q34" s="18">
        <f t="shared" si="3"/>
        <v>-60.628921530578488</v>
      </c>
      <c r="R34" s="393">
        <f t="shared" si="8"/>
        <v>7496.6278500692906</v>
      </c>
      <c r="S34" s="388">
        <f>INDEX(LIBOR!$M$3:$M$122,MATCH(L34,LIBOR!$N$3:$N$122))</f>
        <v>4.8841200000000001E-2</v>
      </c>
      <c r="T34" s="394">
        <f t="shared" si="9"/>
        <v>9.7841200000000003E-2</v>
      </c>
    </row>
    <row r="35" spans="2:20">
      <c r="B35" s="392">
        <f t="shared" si="10"/>
        <v>45199</v>
      </c>
      <c r="C35" s="347">
        <f t="shared" si="11"/>
        <v>87</v>
      </c>
      <c r="D35" s="18">
        <f ca="1">INDEX('Monthly Cash Flow'!$L$137:$GT$137, MATCH(C35, 'Monthly Cash Flow'!$L$13:$GT$13, 0))</f>
        <v>0</v>
      </c>
      <c r="E35" s="18">
        <f t="shared" ca="1" si="0"/>
        <v>0</v>
      </c>
      <c r="F35" s="18">
        <f t="shared" ca="1" si="4"/>
        <v>0</v>
      </c>
      <c r="G35" s="18">
        <f t="shared" ca="1" si="1"/>
        <v>0</v>
      </c>
      <c r="H35" s="393">
        <f t="shared" ca="1" si="5"/>
        <v>0</v>
      </c>
      <c r="I35" s="388">
        <f>MAX($J$5, INDEX(LIBOR!$M$3:$M$122,MATCH(B35,LIBOR!$N$3:$N$122)))</f>
        <v>4.7955400000000002E-2</v>
      </c>
      <c r="J35" s="394">
        <f t="shared" si="6"/>
        <v>0.1004554</v>
      </c>
      <c r="L35" s="392">
        <f t="shared" si="12"/>
        <v>45199</v>
      </c>
      <c r="M35" s="347">
        <f t="shared" si="13"/>
        <v>87</v>
      </c>
      <c r="N35" s="18">
        <v>7426.2221115570837</v>
      </c>
      <c r="O35" s="18">
        <f t="shared" si="2"/>
        <v>0</v>
      </c>
      <c r="P35" s="18">
        <f t="shared" si="7"/>
        <v>60.001027942905132</v>
      </c>
      <c r="Q35" s="18">
        <f t="shared" si="3"/>
        <v>-60.001027942905132</v>
      </c>
      <c r="R35" s="393">
        <f t="shared" si="8"/>
        <v>7486.223139499989</v>
      </c>
      <c r="S35" s="388">
        <f>INDEX(LIBOR!$M$3:$M$122,MATCH(L35,LIBOR!$N$3:$N$122))</f>
        <v>4.7955400000000002E-2</v>
      </c>
      <c r="T35" s="394">
        <f t="shared" si="9"/>
        <v>9.6955399999999997E-2</v>
      </c>
    </row>
    <row r="36" spans="2:20">
      <c r="B36" s="392">
        <f t="shared" si="10"/>
        <v>45230</v>
      </c>
      <c r="C36" s="347">
        <f t="shared" si="11"/>
        <v>88</v>
      </c>
      <c r="D36" s="18">
        <f ca="1">INDEX('Monthly Cash Flow'!$L$137:$GT$137, MATCH(C36, 'Monthly Cash Flow'!$L$13:$GT$13, 0))</f>
        <v>0</v>
      </c>
      <c r="E36" s="18">
        <f t="shared" ca="1" si="0"/>
        <v>0</v>
      </c>
      <c r="F36" s="18">
        <f t="shared" ca="1" si="4"/>
        <v>0</v>
      </c>
      <c r="G36" s="18">
        <f t="shared" ca="1" si="1"/>
        <v>0</v>
      </c>
      <c r="H36" s="393">
        <f t="shared" ca="1" si="5"/>
        <v>0</v>
      </c>
      <c r="I36" s="388">
        <f>MAX($J$5, INDEX(LIBOR!$M$3:$M$122,MATCH(B36,LIBOR!$N$3:$N$122)))</f>
        <v>4.7155799999999998E-2</v>
      </c>
      <c r="J36" s="394">
        <f t="shared" si="6"/>
        <v>9.9655799999999989E-2</v>
      </c>
      <c r="L36" s="392">
        <f t="shared" si="12"/>
        <v>45230</v>
      </c>
      <c r="M36" s="347">
        <f t="shared" si="13"/>
        <v>88</v>
      </c>
      <c r="N36" s="18">
        <v>7416.4106356561997</v>
      </c>
      <c r="O36" s="18">
        <f t="shared" si="2"/>
        <v>0</v>
      </c>
      <c r="P36" s="18">
        <f t="shared" si="7"/>
        <v>59.4275748166692</v>
      </c>
      <c r="Q36" s="18">
        <f t="shared" si="3"/>
        <v>-59.4275748166692</v>
      </c>
      <c r="R36" s="393">
        <f t="shared" si="8"/>
        <v>7475.8382104728689</v>
      </c>
      <c r="S36" s="388">
        <f>INDEX(LIBOR!$M$3:$M$122,MATCH(L36,LIBOR!$N$3:$N$122))</f>
        <v>4.7155799999999998E-2</v>
      </c>
      <c r="T36" s="394">
        <f t="shared" si="9"/>
        <v>9.61558E-2</v>
      </c>
    </row>
    <row r="37" spans="2:20">
      <c r="B37" s="392">
        <f t="shared" si="10"/>
        <v>45260</v>
      </c>
      <c r="C37" s="347">
        <f t="shared" si="11"/>
        <v>89</v>
      </c>
      <c r="D37" s="18">
        <f ca="1">INDEX('Monthly Cash Flow'!$L$137:$GT$137, MATCH(C37, 'Monthly Cash Flow'!$L$13:$GT$13, 0))</f>
        <v>0</v>
      </c>
      <c r="E37" s="18">
        <f t="shared" ca="1" si="0"/>
        <v>0</v>
      </c>
      <c r="F37" s="18">
        <f t="shared" ca="1" si="4"/>
        <v>0</v>
      </c>
      <c r="G37" s="18">
        <f t="shared" ca="1" si="1"/>
        <v>0</v>
      </c>
      <c r="H37" s="393">
        <f t="shared" ca="1" si="5"/>
        <v>0</v>
      </c>
      <c r="I37" s="388">
        <f>MAX($J$5, INDEX(LIBOR!$M$3:$M$122,MATCH(B37,LIBOR!$N$3:$N$122)))</f>
        <v>4.6134599999999998E-2</v>
      </c>
      <c r="J37" s="394">
        <f t="shared" si="6"/>
        <v>9.8634599999999989E-2</v>
      </c>
      <c r="L37" s="392">
        <f t="shared" si="12"/>
        <v>45260</v>
      </c>
      <c r="M37" s="347">
        <f t="shared" si="13"/>
        <v>89</v>
      </c>
      <c r="N37" s="18">
        <v>7406.5626973734197</v>
      </c>
      <c r="O37" s="18">
        <f t="shared" si="2"/>
        <v>0</v>
      </c>
      <c r="P37" s="18">
        <f t="shared" si="7"/>
        <v>58.718364965795111</v>
      </c>
      <c r="Q37" s="18">
        <f t="shared" si="3"/>
        <v>-58.718364965795111</v>
      </c>
      <c r="R37" s="393">
        <f t="shared" si="8"/>
        <v>7465.2810623392152</v>
      </c>
      <c r="S37" s="388">
        <f>INDEX(LIBOR!$M$3:$M$122,MATCH(L37,LIBOR!$N$3:$N$122))</f>
        <v>4.6134599999999998E-2</v>
      </c>
      <c r="T37" s="394">
        <f t="shared" si="9"/>
        <v>9.51346E-2</v>
      </c>
    </row>
    <row r="38" spans="2:20">
      <c r="B38" s="392">
        <f t="shared" si="10"/>
        <v>45291</v>
      </c>
      <c r="C38" s="347">
        <f t="shared" si="11"/>
        <v>90</v>
      </c>
      <c r="D38" s="18">
        <f ca="1">INDEX('Monthly Cash Flow'!$L$137:$GT$137, MATCH(C38, 'Monthly Cash Flow'!$L$13:$GT$13, 0))</f>
        <v>0</v>
      </c>
      <c r="E38" s="18">
        <f t="shared" ca="1" si="0"/>
        <v>0</v>
      </c>
      <c r="F38" s="18">
        <f t="shared" ca="1" si="4"/>
        <v>0</v>
      </c>
      <c r="G38" s="18">
        <f t="shared" ca="1" si="1"/>
        <v>0</v>
      </c>
      <c r="H38" s="393">
        <f t="shared" ca="1" si="5"/>
        <v>0</v>
      </c>
      <c r="I38" s="388">
        <f>MAX($J$5, INDEX(LIBOR!$M$3:$M$122,MATCH(B38,LIBOR!$N$3:$N$122)))</f>
        <v>4.50652E-2</v>
      </c>
      <c r="J38" s="394">
        <f t="shared" si="6"/>
        <v>9.7565199999999991E-2</v>
      </c>
      <c r="L38" s="392">
        <f t="shared" si="12"/>
        <v>45291</v>
      </c>
      <c r="M38" s="347">
        <f t="shared" si="13"/>
        <v>90</v>
      </c>
      <c r="N38" s="18">
        <v>7396.6806171483568</v>
      </c>
      <c r="O38" s="18">
        <f t="shared" si="2"/>
        <v>0</v>
      </c>
      <c r="P38" s="18">
        <f t="shared" si="7"/>
        <v>57.980853465681967</v>
      </c>
      <c r="Q38" s="18">
        <f t="shared" si="3"/>
        <v>-57.980853465681967</v>
      </c>
      <c r="R38" s="393">
        <f t="shared" si="8"/>
        <v>7454.661470614039</v>
      </c>
      <c r="S38" s="388">
        <f>INDEX(LIBOR!$M$3:$M$122,MATCH(L38,LIBOR!$N$3:$N$122))</f>
        <v>4.50652E-2</v>
      </c>
      <c r="T38" s="394">
        <f t="shared" si="9"/>
        <v>9.4065200000000002E-2</v>
      </c>
    </row>
    <row r="39" spans="2:20">
      <c r="B39" s="392">
        <f t="shared" si="10"/>
        <v>45322</v>
      </c>
      <c r="C39" s="347">
        <f t="shared" si="11"/>
        <v>91</v>
      </c>
      <c r="D39" s="18">
        <f ca="1">INDEX('Monthly Cash Flow'!$L$137:$GT$137, MATCH(C39, 'Monthly Cash Flow'!$L$13:$GT$13, 0))</f>
        <v>0</v>
      </c>
      <c r="E39" s="18">
        <f t="shared" ca="1" si="0"/>
        <v>0</v>
      </c>
      <c r="F39" s="18">
        <f t="shared" ca="1" si="4"/>
        <v>0</v>
      </c>
      <c r="G39" s="18">
        <f t="shared" ca="1" si="1"/>
        <v>0</v>
      </c>
      <c r="H39" s="393">
        <f t="shared" ca="1" si="5"/>
        <v>0</v>
      </c>
      <c r="I39" s="388">
        <f>MAX($J$5, INDEX(LIBOR!$M$3:$M$122,MATCH(B39,LIBOR!$N$3:$N$122)))</f>
        <v>4.4078199999999998E-2</v>
      </c>
      <c r="J39" s="394">
        <f t="shared" si="6"/>
        <v>9.6578200000000003E-2</v>
      </c>
      <c r="L39" s="392">
        <f t="shared" si="12"/>
        <v>45322</v>
      </c>
      <c r="M39" s="347">
        <f t="shared" si="13"/>
        <v>91</v>
      </c>
      <c r="N39" s="18">
        <v>7386.7666433690965</v>
      </c>
      <c r="O39" s="18">
        <f t="shared" si="2"/>
        <v>0</v>
      </c>
      <c r="P39" s="18">
        <f t="shared" si="7"/>
        <v>57.295578582069787</v>
      </c>
      <c r="Q39" s="18">
        <f t="shared" si="3"/>
        <v>-57.295578582069787</v>
      </c>
      <c r="R39" s="393">
        <f t="shared" si="8"/>
        <v>7444.0622219511661</v>
      </c>
      <c r="S39" s="388">
        <f>INDEX(LIBOR!$M$3:$M$122,MATCH(L39,LIBOR!$N$3:$N$122))</f>
        <v>4.4078199999999998E-2</v>
      </c>
      <c r="T39" s="394">
        <f t="shared" si="9"/>
        <v>9.30782E-2</v>
      </c>
    </row>
    <row r="40" spans="2:20">
      <c r="B40" s="392">
        <f t="shared" si="10"/>
        <v>45351</v>
      </c>
      <c r="C40" s="347">
        <f t="shared" si="11"/>
        <v>92</v>
      </c>
      <c r="D40" s="18">
        <f ca="1">INDEX('Monthly Cash Flow'!$L$137:$GT$137, MATCH(C40, 'Monthly Cash Flow'!$L$13:$GT$13, 0))</f>
        <v>0</v>
      </c>
      <c r="E40" s="18">
        <f t="shared" ca="1" si="0"/>
        <v>0</v>
      </c>
      <c r="F40" s="18">
        <f t="shared" ca="1" si="4"/>
        <v>0</v>
      </c>
      <c r="G40" s="18">
        <f t="shared" ca="1" si="1"/>
        <v>0</v>
      </c>
      <c r="H40" s="393">
        <f t="shared" ca="1" si="5"/>
        <v>0</v>
      </c>
      <c r="I40" s="388">
        <f>MAX($J$5, INDEX(LIBOR!$M$3:$M$122,MATCH(B40,LIBOR!$N$3:$N$122)))</f>
        <v>4.2911199999999997E-2</v>
      </c>
      <c r="J40" s="394">
        <f t="shared" si="6"/>
        <v>9.5411200000000002E-2</v>
      </c>
      <c r="L40" s="392">
        <f t="shared" si="12"/>
        <v>45351</v>
      </c>
      <c r="M40" s="347">
        <f t="shared" si="13"/>
        <v>92</v>
      </c>
      <c r="N40" s="18">
        <v>7376.8194098953736</v>
      </c>
      <c r="O40" s="18">
        <f t="shared" si="2"/>
        <v>0</v>
      </c>
      <c r="P40" s="18">
        <f t="shared" si="7"/>
        <v>56.501027012231305</v>
      </c>
      <c r="Q40" s="18">
        <f t="shared" si="3"/>
        <v>-56.501027012231305</v>
      </c>
      <c r="R40" s="393">
        <f t="shared" si="8"/>
        <v>7433.3204369076047</v>
      </c>
      <c r="S40" s="388">
        <f>INDEX(LIBOR!$M$3:$M$122,MATCH(L40,LIBOR!$N$3:$N$122))</f>
        <v>4.2911199999999997E-2</v>
      </c>
      <c r="T40" s="394">
        <f t="shared" si="9"/>
        <v>9.1911199999999998E-2</v>
      </c>
    </row>
    <row r="41" spans="2:20">
      <c r="B41" s="392">
        <f t="shared" si="10"/>
        <v>45382</v>
      </c>
      <c r="C41" s="347">
        <f t="shared" si="11"/>
        <v>93</v>
      </c>
      <c r="D41" s="18">
        <f ca="1">INDEX('Monthly Cash Flow'!$L$137:$GT$137, MATCH(C41, 'Monthly Cash Flow'!$L$13:$GT$13, 0))</f>
        <v>0</v>
      </c>
      <c r="E41" s="18">
        <f t="shared" ca="1" si="0"/>
        <v>0</v>
      </c>
      <c r="F41" s="18">
        <f t="shared" ca="1" si="4"/>
        <v>0</v>
      </c>
      <c r="G41" s="18">
        <f t="shared" ca="1" si="1"/>
        <v>0</v>
      </c>
      <c r="H41" s="393">
        <f t="shared" ca="1" si="5"/>
        <v>0</v>
      </c>
      <c r="I41" s="388">
        <f>MAX($J$5, INDEX(LIBOR!$M$3:$M$122,MATCH(B41,LIBOR!$N$3:$N$122)))</f>
        <v>4.1686899999999999E-2</v>
      </c>
      <c r="J41" s="394">
        <f t="shared" si="6"/>
        <v>9.418689999999999E-2</v>
      </c>
      <c r="L41" s="392">
        <f t="shared" si="12"/>
        <v>45382</v>
      </c>
      <c r="M41" s="347">
        <f t="shared" si="13"/>
        <v>93</v>
      </c>
      <c r="N41" s="18">
        <v>7366.8401175293211</v>
      </c>
      <c r="O41" s="18">
        <f t="shared" si="2"/>
        <v>0</v>
      </c>
      <c r="P41" s="18">
        <f t="shared" si="7"/>
        <v>55.672991087864148</v>
      </c>
      <c r="Q41" s="18">
        <f t="shared" si="3"/>
        <v>-55.672991087864148</v>
      </c>
      <c r="R41" s="393">
        <f t="shared" si="8"/>
        <v>7422.513108617185</v>
      </c>
      <c r="S41" s="388">
        <f>INDEX(LIBOR!$M$3:$M$122,MATCH(L41,LIBOR!$N$3:$N$122))</f>
        <v>4.1686899999999999E-2</v>
      </c>
      <c r="T41" s="394">
        <f t="shared" si="9"/>
        <v>9.0686900000000001E-2</v>
      </c>
    </row>
    <row r="42" spans="2:20">
      <c r="B42" s="392">
        <f t="shared" si="10"/>
        <v>45412</v>
      </c>
      <c r="C42" s="347">
        <f t="shared" si="11"/>
        <v>94</v>
      </c>
      <c r="D42" s="18">
        <f ca="1">INDEX('Monthly Cash Flow'!$L$137:$GT$137, MATCH(C42, 'Monthly Cash Flow'!$L$13:$GT$13, 0))</f>
        <v>0</v>
      </c>
      <c r="E42" s="18">
        <f t="shared" ca="1" si="0"/>
        <v>0</v>
      </c>
      <c r="F42" s="18">
        <f t="shared" ca="1" si="4"/>
        <v>0</v>
      </c>
      <c r="G42" s="18">
        <f t="shared" ca="1" si="1"/>
        <v>0</v>
      </c>
      <c r="H42" s="393">
        <f t="shared" ca="1" si="5"/>
        <v>0</v>
      </c>
      <c r="I42" s="388">
        <f>MAX($J$5, INDEX(LIBOR!$M$3:$M$122,MATCH(B42,LIBOR!$N$3:$N$122)))</f>
        <v>4.05943E-2</v>
      </c>
      <c r="J42" s="394">
        <f t="shared" si="6"/>
        <v>9.3094299999999991E-2</v>
      </c>
      <c r="L42" s="392">
        <f t="shared" si="12"/>
        <v>45412</v>
      </c>
      <c r="M42" s="347">
        <f t="shared" si="13"/>
        <v>94</v>
      </c>
      <c r="N42" s="18">
        <v>7356.8310454459861</v>
      </c>
      <c r="O42" s="18">
        <f t="shared" si="2"/>
        <v>0</v>
      </c>
      <c r="P42" s="18">
        <f t="shared" si="7"/>
        <v>54.927510644583442</v>
      </c>
      <c r="Q42" s="18">
        <f t="shared" si="3"/>
        <v>-54.927510644583442</v>
      </c>
      <c r="R42" s="393">
        <f t="shared" si="8"/>
        <v>7411.75855609057</v>
      </c>
      <c r="S42" s="388">
        <f>INDEX(LIBOR!$M$3:$M$122,MATCH(L42,LIBOR!$N$3:$N$122))</f>
        <v>4.05943E-2</v>
      </c>
      <c r="T42" s="394">
        <f t="shared" si="9"/>
        <v>8.9594300000000002E-2</v>
      </c>
    </row>
    <row r="43" spans="2:20">
      <c r="B43" s="392">
        <f t="shared" si="10"/>
        <v>45443</v>
      </c>
      <c r="C43" s="347">
        <f t="shared" si="11"/>
        <v>95</v>
      </c>
      <c r="D43" s="18">
        <f ca="1">INDEX('Monthly Cash Flow'!$L$137:$GT$137, MATCH(C43, 'Monthly Cash Flow'!$L$13:$GT$13, 0))</f>
        <v>0</v>
      </c>
      <c r="E43" s="18">
        <f t="shared" ca="1" si="0"/>
        <v>0</v>
      </c>
      <c r="F43" s="18">
        <f t="shared" ca="1" si="4"/>
        <v>0</v>
      </c>
      <c r="G43" s="18">
        <f t="shared" ca="1" si="1"/>
        <v>0</v>
      </c>
      <c r="H43" s="393">
        <f t="shared" ca="1" si="5"/>
        <v>0</v>
      </c>
      <c r="I43" s="388">
        <f>MAX($J$5, INDEX(LIBOR!$M$3:$M$122,MATCH(B43,LIBOR!$N$3:$N$122)))</f>
        <v>3.9406200000000002E-2</v>
      </c>
      <c r="J43" s="394">
        <f t="shared" si="6"/>
        <v>9.1906199999999993E-2</v>
      </c>
      <c r="L43" s="392">
        <f t="shared" si="12"/>
        <v>45443</v>
      </c>
      <c r="M43" s="347">
        <f t="shared" si="13"/>
        <v>95</v>
      </c>
      <c r="N43" s="18">
        <v>7346.7898359047776</v>
      </c>
      <c r="O43" s="18">
        <f t="shared" si="2"/>
        <v>0</v>
      </c>
      <c r="P43" s="18">
        <f t="shared" si="7"/>
        <v>54.125147632580415</v>
      </c>
      <c r="Q43" s="18">
        <f t="shared" si="3"/>
        <v>-54.125147632580415</v>
      </c>
      <c r="R43" s="393">
        <f t="shared" si="8"/>
        <v>7400.9149835373582</v>
      </c>
      <c r="S43" s="388">
        <f>INDEX(LIBOR!$M$3:$M$122,MATCH(L43,LIBOR!$N$3:$N$122))</f>
        <v>3.9406200000000002E-2</v>
      </c>
      <c r="T43" s="394">
        <f t="shared" si="9"/>
        <v>8.8406200000000004E-2</v>
      </c>
    </row>
    <row r="44" spans="2:20">
      <c r="B44" s="392">
        <f t="shared" si="10"/>
        <v>45473</v>
      </c>
      <c r="C44" s="347">
        <f t="shared" si="11"/>
        <v>96</v>
      </c>
      <c r="D44" s="18">
        <f ca="1">INDEX('Monthly Cash Flow'!$L$137:$GT$137, MATCH(C44, 'Monthly Cash Flow'!$L$13:$GT$13, 0))</f>
        <v>0</v>
      </c>
      <c r="E44" s="18">
        <f t="shared" ca="1" si="0"/>
        <v>0</v>
      </c>
      <c r="F44" s="18">
        <f t="shared" ca="1" si="4"/>
        <v>0</v>
      </c>
      <c r="G44" s="18">
        <f t="shared" ca="1" si="1"/>
        <v>0</v>
      </c>
      <c r="H44" s="393">
        <f t="shared" ca="1" si="5"/>
        <v>0</v>
      </c>
      <c r="I44" s="388">
        <f>MAX($J$5, INDEX(LIBOR!$M$3:$M$122,MATCH(B44,LIBOR!$N$3:$N$122)))</f>
        <v>3.83253E-2</v>
      </c>
      <c r="J44" s="394">
        <f t="shared" si="6"/>
        <v>9.0825299999999998E-2</v>
      </c>
      <c r="L44" s="392">
        <f t="shared" si="12"/>
        <v>45473</v>
      </c>
      <c r="M44" s="347">
        <f t="shared" si="13"/>
        <v>96</v>
      </c>
      <c r="N44" s="18">
        <v>7336.7178153115146</v>
      </c>
      <c r="O44" s="18">
        <f t="shared" si="2"/>
        <v>0</v>
      </c>
      <c r="P44" s="18">
        <f t="shared" si="7"/>
        <v>53.390090353118552</v>
      </c>
      <c r="Q44" s="18">
        <f t="shared" si="3"/>
        <v>-53.390090353118552</v>
      </c>
      <c r="R44" s="393">
        <f t="shared" si="8"/>
        <v>7390.1079056646331</v>
      </c>
      <c r="S44" s="388">
        <f>INDEX(LIBOR!$M$3:$M$122,MATCH(L44,LIBOR!$N$3:$N$122))</f>
        <v>3.83253E-2</v>
      </c>
      <c r="T44" s="394">
        <f t="shared" si="9"/>
        <v>8.7325299999999995E-2</v>
      </c>
    </row>
    <row r="45" spans="2:20">
      <c r="B45" s="392">
        <f t="shared" si="10"/>
        <v>45504</v>
      </c>
      <c r="C45" s="347">
        <f t="shared" si="11"/>
        <v>97</v>
      </c>
      <c r="D45" s="18">
        <f ca="1">INDEX('Monthly Cash Flow'!$L$137:$GT$137, MATCH(C45, 'Monthly Cash Flow'!$L$13:$GT$13, 0))</f>
        <v>0</v>
      </c>
      <c r="E45" s="18">
        <f t="shared" ca="1" si="0"/>
        <v>0</v>
      </c>
      <c r="F45" s="18">
        <f t="shared" ca="1" si="4"/>
        <v>0</v>
      </c>
      <c r="G45" s="18">
        <f t="shared" ca="1" si="1"/>
        <v>0</v>
      </c>
      <c r="H45" s="393">
        <f t="shared" ca="1" si="5"/>
        <v>0</v>
      </c>
      <c r="I45" s="388">
        <f>MAX($J$5, INDEX(LIBOR!$M$3:$M$122,MATCH(B45,LIBOR!$N$3:$N$122)))</f>
        <v>3.7435400000000001E-2</v>
      </c>
      <c r="J45" s="394">
        <f t="shared" si="6"/>
        <v>8.9935399999999999E-2</v>
      </c>
      <c r="L45" s="392">
        <f t="shared" si="12"/>
        <v>45504</v>
      </c>
      <c r="M45" s="347">
        <f t="shared" si="13"/>
        <v>97</v>
      </c>
      <c r="N45" s="18">
        <v>7326.6165021056959</v>
      </c>
      <c r="O45" s="18">
        <f t="shared" si="2"/>
        <v>0</v>
      </c>
      <c r="P45" s="18">
        <f t="shared" si="7"/>
        <v>52.773252333842215</v>
      </c>
      <c r="Q45" s="18">
        <f t="shared" si="3"/>
        <v>-52.773252333842215</v>
      </c>
      <c r="R45" s="393">
        <f t="shared" si="8"/>
        <v>7379.3897544395377</v>
      </c>
      <c r="S45" s="388">
        <f>INDEX(LIBOR!$M$3:$M$122,MATCH(L45,LIBOR!$N$3:$N$122))</f>
        <v>3.7435400000000001E-2</v>
      </c>
      <c r="T45" s="394">
        <f t="shared" si="9"/>
        <v>8.6435399999999996E-2</v>
      </c>
    </row>
    <row r="46" spans="2:20">
      <c r="B46" s="392">
        <f t="shared" si="10"/>
        <v>45535</v>
      </c>
      <c r="C46" s="347">
        <f t="shared" si="11"/>
        <v>98</v>
      </c>
      <c r="D46" s="18">
        <f ca="1">INDEX('Monthly Cash Flow'!$L$137:$GT$137, MATCH(C46, 'Monthly Cash Flow'!$L$13:$GT$13, 0))</f>
        <v>0</v>
      </c>
      <c r="E46" s="18">
        <f t="shared" ca="1" si="0"/>
        <v>0</v>
      </c>
      <c r="F46" s="18">
        <f t="shared" ca="1" si="4"/>
        <v>0</v>
      </c>
      <c r="G46" s="18">
        <f t="shared" ca="1" si="1"/>
        <v>0</v>
      </c>
      <c r="H46" s="393">
        <f t="shared" ca="1" si="5"/>
        <v>0</v>
      </c>
      <c r="I46" s="388">
        <f>MAX($J$5, INDEX(LIBOR!$M$3:$M$122,MATCH(B46,LIBOR!$N$3:$N$122)))</f>
        <v>3.6636299999999997E-2</v>
      </c>
      <c r="J46" s="394">
        <f t="shared" si="6"/>
        <v>8.9136300000000002E-2</v>
      </c>
      <c r="L46" s="392">
        <f t="shared" si="12"/>
        <v>45535</v>
      </c>
      <c r="M46" s="347">
        <f t="shared" si="13"/>
        <v>98</v>
      </c>
      <c r="N46" s="18">
        <v>7316.4812991441468</v>
      </c>
      <c r="O46" s="18">
        <f t="shared" si="2"/>
        <v>0</v>
      </c>
      <c r="P46" s="18">
        <f t="shared" si="7"/>
        <v>52.213032289824817</v>
      </c>
      <c r="Q46" s="18">
        <f t="shared" si="3"/>
        <v>-52.213032289824817</v>
      </c>
      <c r="R46" s="393">
        <f t="shared" si="8"/>
        <v>7368.6943314339715</v>
      </c>
      <c r="S46" s="388">
        <f>INDEX(LIBOR!$M$3:$M$122,MATCH(L46,LIBOR!$N$3:$N$122))</f>
        <v>3.6636299999999997E-2</v>
      </c>
      <c r="T46" s="394">
        <f t="shared" si="9"/>
        <v>8.5636299999999999E-2</v>
      </c>
    </row>
    <row r="47" spans="2:20">
      <c r="B47" s="392">
        <f t="shared" si="10"/>
        <v>45565</v>
      </c>
      <c r="C47" s="347">
        <f t="shared" si="11"/>
        <v>99</v>
      </c>
      <c r="D47" s="18">
        <f ca="1">INDEX('Monthly Cash Flow'!$L$137:$GT$137, MATCH(C47, 'Monthly Cash Flow'!$L$13:$GT$13, 0))</f>
        <v>0</v>
      </c>
      <c r="E47" s="18">
        <f t="shared" ca="1" si="0"/>
        <v>0</v>
      </c>
      <c r="F47" s="18">
        <f t="shared" ca="1" si="4"/>
        <v>0</v>
      </c>
      <c r="G47" s="18">
        <f t="shared" ca="1" si="1"/>
        <v>0</v>
      </c>
      <c r="H47" s="393">
        <f t="shared" ca="1" si="5"/>
        <v>0</v>
      </c>
      <c r="I47" s="388">
        <f>MAX($J$5, INDEX(LIBOR!$M$3:$M$122,MATCH(B47,LIBOR!$N$3:$N$122)))</f>
        <v>3.6059899999999999E-2</v>
      </c>
      <c r="J47" s="394">
        <f t="shared" si="6"/>
        <v>8.8559899999999997E-2</v>
      </c>
      <c r="L47" s="392">
        <f t="shared" si="12"/>
        <v>45565</v>
      </c>
      <c r="M47" s="347">
        <f t="shared" si="13"/>
        <v>99</v>
      </c>
      <c r="N47" s="18">
        <v>7306.3124843091427</v>
      </c>
      <c r="O47" s="18">
        <f t="shared" si="2"/>
        <v>0</v>
      </c>
      <c r="P47" s="18">
        <f t="shared" si="7"/>
        <v>51.789517440340603</v>
      </c>
      <c r="Q47" s="18">
        <f t="shared" si="3"/>
        <v>-51.789517440340603</v>
      </c>
      <c r="R47" s="393">
        <f t="shared" si="8"/>
        <v>7358.102001749483</v>
      </c>
      <c r="S47" s="388">
        <f>INDEX(LIBOR!$M$3:$M$122,MATCH(L47,LIBOR!$N$3:$N$122))</f>
        <v>3.6059899999999999E-2</v>
      </c>
      <c r="T47" s="394">
        <f t="shared" si="9"/>
        <v>8.5059899999999994E-2</v>
      </c>
    </row>
    <row r="48" spans="2:20">
      <c r="B48" s="392">
        <f t="shared" si="10"/>
        <v>45596</v>
      </c>
      <c r="C48" s="347">
        <f t="shared" si="11"/>
        <v>100</v>
      </c>
      <c r="D48" s="18">
        <f ca="1">INDEX('Monthly Cash Flow'!$L$137:$GT$137, MATCH(C48, 'Monthly Cash Flow'!$L$13:$GT$13, 0))</f>
        <v>0</v>
      </c>
      <c r="E48" s="18">
        <f t="shared" ca="1" si="0"/>
        <v>0</v>
      </c>
      <c r="F48" s="18">
        <f t="shared" ca="1" si="4"/>
        <v>0</v>
      </c>
      <c r="G48" s="18">
        <f t="shared" ca="1" si="1"/>
        <v>0</v>
      </c>
      <c r="H48" s="393">
        <f t="shared" ca="1" si="5"/>
        <v>0</v>
      </c>
      <c r="I48" s="388">
        <f>MAX($J$5, INDEX(LIBOR!$M$3:$M$122,MATCH(B48,LIBOR!$N$3:$N$122)))</f>
        <v>3.5537199999999998E-2</v>
      </c>
      <c r="J48" s="394">
        <f t="shared" si="6"/>
        <v>8.8037199999999996E-2</v>
      </c>
      <c r="L48" s="392">
        <f t="shared" si="12"/>
        <v>45596</v>
      </c>
      <c r="M48" s="347">
        <f t="shared" si="13"/>
        <v>100</v>
      </c>
      <c r="N48" s="18">
        <v>7296.1103216055826</v>
      </c>
      <c r="O48" s="18">
        <f t="shared" si="2"/>
        <v>0</v>
      </c>
      <c r="P48" s="18">
        <f t="shared" si="7"/>
        <v>51.399394789969627</v>
      </c>
      <c r="Q48" s="18">
        <f t="shared" si="3"/>
        <v>-51.399394789969627</v>
      </c>
      <c r="R48" s="393">
        <f t="shared" si="8"/>
        <v>7347.5097163955525</v>
      </c>
      <c r="S48" s="388">
        <f>INDEX(LIBOR!$M$3:$M$122,MATCH(L48,LIBOR!$N$3:$N$122))</f>
        <v>3.5537199999999998E-2</v>
      </c>
      <c r="T48" s="394">
        <f t="shared" si="9"/>
        <v>8.4537200000000007E-2</v>
      </c>
    </row>
    <row r="49" spans="2:20">
      <c r="B49" s="392">
        <f t="shared" si="10"/>
        <v>45626</v>
      </c>
      <c r="C49" s="347">
        <f t="shared" si="11"/>
        <v>101</v>
      </c>
      <c r="D49" s="18">
        <f ca="1">INDEX('Monthly Cash Flow'!$L$137:$GT$137, MATCH(C49, 'Monthly Cash Flow'!$L$13:$GT$13, 0))</f>
        <v>0</v>
      </c>
      <c r="E49" s="18">
        <f t="shared" ca="1" si="0"/>
        <v>0</v>
      </c>
      <c r="F49" s="18">
        <f t="shared" ca="1" si="4"/>
        <v>0</v>
      </c>
      <c r="G49" s="18">
        <f t="shared" ca="1" si="1"/>
        <v>0</v>
      </c>
      <c r="H49" s="393">
        <f t="shared" ca="1" si="5"/>
        <v>0</v>
      </c>
      <c r="I49" s="388">
        <f>MAX($J$5, INDEX(LIBOR!$M$3:$M$122,MATCH(B49,LIBOR!$N$3:$N$122)))</f>
        <v>3.5163899999999998E-2</v>
      </c>
      <c r="J49" s="394">
        <f t="shared" si="6"/>
        <v>8.7663899999999989E-2</v>
      </c>
      <c r="L49" s="392">
        <f t="shared" si="12"/>
        <v>45626</v>
      </c>
      <c r="M49" s="347">
        <f t="shared" si="13"/>
        <v>101</v>
      </c>
      <c r="N49" s="18">
        <v>7285.8710428044697</v>
      </c>
      <c r="O49" s="18">
        <f t="shared" si="2"/>
        <v>0</v>
      </c>
      <c r="P49" s="18">
        <f t="shared" si="7"/>
        <v>51.100610154957593</v>
      </c>
      <c r="Q49" s="18">
        <f t="shared" si="3"/>
        <v>-51.100610154957593</v>
      </c>
      <c r="R49" s="393">
        <f t="shared" si="8"/>
        <v>7336.971652959427</v>
      </c>
      <c r="S49" s="388">
        <f>INDEX(LIBOR!$M$3:$M$122,MATCH(L49,LIBOR!$N$3:$N$122))</f>
        <v>3.5163899999999998E-2</v>
      </c>
      <c r="T49" s="394">
        <f t="shared" si="9"/>
        <v>8.41639E-2</v>
      </c>
    </row>
    <row r="50" spans="2:20">
      <c r="B50" s="392">
        <f t="shared" si="10"/>
        <v>45657</v>
      </c>
      <c r="C50" s="347">
        <f t="shared" si="11"/>
        <v>102</v>
      </c>
      <c r="D50" s="18">
        <f ca="1">INDEX('Monthly Cash Flow'!$L$137:$GT$137, MATCH(C50, 'Monthly Cash Flow'!$L$13:$GT$13, 0))</f>
        <v>0</v>
      </c>
      <c r="E50" s="18">
        <f t="shared" ca="1" si="0"/>
        <v>0</v>
      </c>
      <c r="F50" s="18">
        <f t="shared" ca="1" si="4"/>
        <v>0</v>
      </c>
      <c r="G50" s="18">
        <f t="shared" ca="1" si="1"/>
        <v>0</v>
      </c>
      <c r="H50" s="393">
        <f t="shared" ca="1" si="5"/>
        <v>0</v>
      </c>
      <c r="I50" s="388">
        <f>MAX($J$5, INDEX(LIBOR!$M$3:$M$122,MATCH(B50,LIBOR!$N$3:$N$122)))</f>
        <v>3.4929399999999999E-2</v>
      </c>
      <c r="J50" s="394">
        <f t="shared" si="6"/>
        <v>8.742939999999999E-2</v>
      </c>
      <c r="L50" s="392">
        <f t="shared" si="12"/>
        <v>45657</v>
      </c>
      <c r="M50" s="347">
        <f t="shared" si="13"/>
        <v>102</v>
      </c>
      <c r="N50" s="18">
        <v>7275.5942777865375</v>
      </c>
      <c r="O50" s="18">
        <f t="shared" si="2"/>
        <v>0</v>
      </c>
      <c r="P50" s="18">
        <f t="shared" si="7"/>
        <v>50.886355198171451</v>
      </c>
      <c r="Q50" s="18">
        <f t="shared" si="3"/>
        <v>-50.886355198171451</v>
      </c>
      <c r="R50" s="393">
        <f t="shared" si="8"/>
        <v>7326.4806329847088</v>
      </c>
      <c r="S50" s="388">
        <f>INDEX(LIBOR!$M$3:$M$122,MATCH(L50,LIBOR!$N$3:$N$122))</f>
        <v>3.4929399999999999E-2</v>
      </c>
      <c r="T50" s="394">
        <f t="shared" si="9"/>
        <v>8.3929400000000001E-2</v>
      </c>
    </row>
    <row r="51" spans="2:20">
      <c r="B51" s="392">
        <f t="shared" si="10"/>
        <v>45688</v>
      </c>
      <c r="C51" s="347">
        <f t="shared" si="11"/>
        <v>103</v>
      </c>
      <c r="D51" s="18">
        <f ca="1">INDEX('Monthly Cash Flow'!$L$137:$GT$137, MATCH(C51, 'Monthly Cash Flow'!$L$13:$GT$13, 0))</f>
        <v>0</v>
      </c>
      <c r="E51" s="18">
        <f t="shared" ca="1" si="0"/>
        <v>0</v>
      </c>
      <c r="F51" s="18">
        <f t="shared" ca="1" si="4"/>
        <v>0</v>
      </c>
      <c r="G51" s="18">
        <f t="shared" ca="1" si="1"/>
        <v>0</v>
      </c>
      <c r="H51" s="393">
        <f t="shared" ca="1" si="5"/>
        <v>0</v>
      </c>
      <c r="I51" s="388">
        <f>MAX($J$5, INDEX(LIBOR!$M$3:$M$122,MATCH(B51,LIBOR!$N$3:$N$122)))</f>
        <v>3.4659599999999999E-2</v>
      </c>
      <c r="J51" s="394">
        <f t="shared" si="6"/>
        <v>8.7159600000000004E-2</v>
      </c>
      <c r="L51" s="392">
        <f t="shared" si="12"/>
        <v>45688</v>
      </c>
      <c r="M51" s="347">
        <f t="shared" si="13"/>
        <v>103</v>
      </c>
      <c r="N51" s="18">
        <v>7265.2798213390679</v>
      </c>
      <c r="O51" s="18">
        <f t="shared" si="2"/>
        <v>0</v>
      </c>
      <c r="P51" s="18">
        <f t="shared" si="7"/>
        <v>50.650866978441492</v>
      </c>
      <c r="Q51" s="18">
        <f t="shared" si="3"/>
        <v>-50.650866978441492</v>
      </c>
      <c r="R51" s="393">
        <f t="shared" si="8"/>
        <v>7315.9306883175095</v>
      </c>
      <c r="S51" s="388">
        <f>INDEX(LIBOR!$M$3:$M$122,MATCH(L51,LIBOR!$N$3:$N$122))</f>
        <v>3.4659599999999999E-2</v>
      </c>
      <c r="T51" s="394">
        <f t="shared" si="9"/>
        <v>8.3659600000000001E-2</v>
      </c>
    </row>
    <row r="52" spans="2:20">
      <c r="B52" s="392">
        <f t="shared" si="10"/>
        <v>45716</v>
      </c>
      <c r="C52" s="347">
        <f t="shared" si="11"/>
        <v>104</v>
      </c>
      <c r="D52" s="18">
        <f ca="1">INDEX('Monthly Cash Flow'!$L$137:$GT$137, MATCH(C52, 'Monthly Cash Flow'!$L$13:$GT$13, 0))</f>
        <v>0</v>
      </c>
      <c r="E52" s="18">
        <f t="shared" ca="1" si="0"/>
        <v>0</v>
      </c>
      <c r="F52" s="18">
        <f t="shared" ca="1" si="4"/>
        <v>0</v>
      </c>
      <c r="G52" s="18">
        <f t="shared" ca="1" si="1"/>
        <v>0</v>
      </c>
      <c r="H52" s="393">
        <f t="shared" ca="1" si="5"/>
        <v>0</v>
      </c>
      <c r="I52" s="388">
        <f>MAX($J$5, INDEX(LIBOR!$M$3:$M$122,MATCH(B52,LIBOR!$N$3:$N$122)))</f>
        <v>3.4436300000000003E-2</v>
      </c>
      <c r="J52" s="394">
        <f t="shared" si="6"/>
        <v>8.6936299999999994E-2</v>
      </c>
      <c r="L52" s="392">
        <f t="shared" si="12"/>
        <v>45716</v>
      </c>
      <c r="M52" s="347">
        <f t="shared" si="13"/>
        <v>104</v>
      </c>
      <c r="N52" s="18">
        <v>7254.9239308427377</v>
      </c>
      <c r="O52" s="18">
        <f t="shared" si="2"/>
        <v>0</v>
      </c>
      <c r="P52" s="18">
        <f t="shared" si="7"/>
        <v>50.443667464247831</v>
      </c>
      <c r="Q52" s="18">
        <f t="shared" si="3"/>
        <v>-50.443667464247831</v>
      </c>
      <c r="R52" s="393">
        <f t="shared" si="8"/>
        <v>7305.3675983069852</v>
      </c>
      <c r="S52" s="388">
        <f>INDEX(LIBOR!$M$3:$M$122,MATCH(L52,LIBOR!$N$3:$N$122))</f>
        <v>3.4436300000000003E-2</v>
      </c>
      <c r="T52" s="394">
        <f t="shared" si="9"/>
        <v>8.3436300000000005E-2</v>
      </c>
    </row>
    <row r="53" spans="2:20">
      <c r="B53" s="392">
        <f t="shared" si="10"/>
        <v>45747</v>
      </c>
      <c r="C53" s="347">
        <f t="shared" si="11"/>
        <v>105</v>
      </c>
      <c r="D53" s="18">
        <f ca="1">INDEX('Monthly Cash Flow'!$L$137:$GT$137, MATCH(C53, 'Monthly Cash Flow'!$L$13:$GT$13, 0))</f>
        <v>0</v>
      </c>
      <c r="E53" s="18">
        <f t="shared" ca="1" si="0"/>
        <v>0</v>
      </c>
      <c r="F53" s="18">
        <f t="shared" ca="1" si="4"/>
        <v>0</v>
      </c>
      <c r="G53" s="18">
        <f t="shared" ca="1" si="1"/>
        <v>0</v>
      </c>
      <c r="H53" s="393">
        <f t="shared" ca="1" si="5"/>
        <v>0</v>
      </c>
      <c r="I53" s="388">
        <f>MAX($J$5, INDEX(LIBOR!$M$3:$M$122,MATCH(B53,LIBOR!$N$3:$N$122)))</f>
        <v>3.4244200000000002E-2</v>
      </c>
      <c r="J53" s="394">
        <f t="shared" si="6"/>
        <v>8.6744199999999994E-2</v>
      </c>
      <c r="L53" s="392">
        <f t="shared" si="12"/>
        <v>45747</v>
      </c>
      <c r="M53" s="347">
        <f t="shared" si="13"/>
        <v>105</v>
      </c>
      <c r="N53" s="18">
        <v>7244.5266840998793</v>
      </c>
      <c r="O53" s="18">
        <f t="shared" si="2"/>
        <v>0</v>
      </c>
      <c r="P53" s="18">
        <f t="shared" si="7"/>
        <v>50.255402349712263</v>
      </c>
      <c r="Q53" s="18">
        <f t="shared" si="3"/>
        <v>-50.255402349712263</v>
      </c>
      <c r="R53" s="393">
        <f t="shared" si="8"/>
        <v>7294.7820864495916</v>
      </c>
      <c r="S53" s="388">
        <f>INDEX(LIBOR!$M$3:$M$122,MATCH(L53,LIBOR!$N$3:$N$122))</f>
        <v>3.4244200000000002E-2</v>
      </c>
      <c r="T53" s="394">
        <f t="shared" si="9"/>
        <v>8.3244200000000004E-2</v>
      </c>
    </row>
    <row r="54" spans="2:20">
      <c r="B54" s="392">
        <f t="shared" si="10"/>
        <v>45777</v>
      </c>
      <c r="C54" s="347">
        <f t="shared" si="11"/>
        <v>106</v>
      </c>
      <c r="D54" s="18">
        <f ca="1">INDEX('Monthly Cash Flow'!$L$137:$GT$137, MATCH(C54, 'Monthly Cash Flow'!$L$13:$GT$13, 0))</f>
        <v>0</v>
      </c>
      <c r="E54" s="18">
        <f t="shared" ca="1" si="0"/>
        <v>0</v>
      </c>
      <c r="F54" s="18">
        <f t="shared" ca="1" si="4"/>
        <v>0</v>
      </c>
      <c r="G54" s="18">
        <f t="shared" ca="1" si="1"/>
        <v>0</v>
      </c>
      <c r="H54" s="393">
        <f t="shared" ca="1" si="5"/>
        <v>0</v>
      </c>
      <c r="I54" s="388">
        <f>MAX($J$5, INDEX(LIBOR!$M$3:$M$122,MATCH(B54,LIBOR!$N$3:$N$122)))</f>
        <v>3.40349E-2</v>
      </c>
      <c r="J54" s="394">
        <f t="shared" si="6"/>
        <v>8.6534899999999998E-2</v>
      </c>
      <c r="L54" s="392">
        <f t="shared" si="12"/>
        <v>45777</v>
      </c>
      <c r="M54" s="347">
        <f t="shared" si="13"/>
        <v>106</v>
      </c>
      <c r="N54" s="18">
        <v>7234.0879521068082</v>
      </c>
      <c r="O54" s="18">
        <f t="shared" si="2"/>
        <v>0</v>
      </c>
      <c r="P54" s="18">
        <f t="shared" si="7"/>
        <v>50.05681414119946</v>
      </c>
      <c r="Q54" s="18">
        <f t="shared" si="3"/>
        <v>-50.05681414119946</v>
      </c>
      <c r="R54" s="393">
        <f t="shared" si="8"/>
        <v>7284.1447662480077</v>
      </c>
      <c r="S54" s="388">
        <f>INDEX(LIBOR!$M$3:$M$122,MATCH(L54,LIBOR!$N$3:$N$122))</f>
        <v>3.40349E-2</v>
      </c>
      <c r="T54" s="394">
        <f t="shared" si="9"/>
        <v>8.3034899999999995E-2</v>
      </c>
    </row>
    <row r="55" spans="2:20">
      <c r="B55" s="392">
        <f t="shared" si="10"/>
        <v>45808</v>
      </c>
      <c r="C55" s="347">
        <f t="shared" si="11"/>
        <v>107</v>
      </c>
      <c r="D55" s="18">
        <f ca="1">INDEX('Monthly Cash Flow'!$L$137:$GT$137, MATCH(C55, 'Monthly Cash Flow'!$L$13:$GT$13, 0))</f>
        <v>0</v>
      </c>
      <c r="E55" s="18">
        <f t="shared" ca="1" si="0"/>
        <v>0</v>
      </c>
      <c r="F55" s="18">
        <f t="shared" ca="1" si="4"/>
        <v>0</v>
      </c>
      <c r="G55" s="18">
        <f t="shared" ca="1" si="1"/>
        <v>0</v>
      </c>
      <c r="H55" s="393">
        <f t="shared" ca="1" si="5"/>
        <v>0</v>
      </c>
      <c r="I55" s="388">
        <f>MAX($J$5, INDEX(LIBOR!$M$3:$M$122,MATCH(B55,LIBOR!$N$3:$N$122)))</f>
        <v>3.3835299999999999E-2</v>
      </c>
      <c r="J55" s="394">
        <f t="shared" si="6"/>
        <v>8.6335300000000004E-2</v>
      </c>
      <c r="L55" s="392">
        <f t="shared" si="12"/>
        <v>45808</v>
      </c>
      <c r="M55" s="347">
        <f t="shared" si="13"/>
        <v>107</v>
      </c>
      <c r="N55" s="18">
        <v>7223.6047894062367</v>
      </c>
      <c r="O55" s="18">
        <f t="shared" si="2"/>
        <v>0</v>
      </c>
      <c r="P55" s="18">
        <f t="shared" si="7"/>
        <v>49.864122484325208</v>
      </c>
      <c r="Q55" s="18">
        <f t="shared" si="3"/>
        <v>-49.864122484325208</v>
      </c>
      <c r="R55" s="393">
        <f t="shared" si="8"/>
        <v>7273.4689118905617</v>
      </c>
      <c r="S55" s="388">
        <f>INDEX(LIBOR!$M$3:$M$122,MATCH(L55,LIBOR!$N$3:$N$122))</f>
        <v>3.3835299999999999E-2</v>
      </c>
      <c r="T55" s="394">
        <f t="shared" si="9"/>
        <v>8.2835300000000001E-2</v>
      </c>
    </row>
    <row r="56" spans="2:20">
      <c r="B56" s="392">
        <f t="shared" si="10"/>
        <v>45838</v>
      </c>
      <c r="C56" s="347">
        <f t="shared" si="11"/>
        <v>108</v>
      </c>
      <c r="D56" s="18">
        <f ca="1">INDEX('Monthly Cash Flow'!$L$137:$GT$137, MATCH(C56, 'Monthly Cash Flow'!$L$13:$GT$13, 0))</f>
        <v>0</v>
      </c>
      <c r="E56" s="18">
        <f t="shared" ca="1" si="0"/>
        <v>0</v>
      </c>
      <c r="F56" s="18">
        <f t="shared" ca="1" si="4"/>
        <v>0</v>
      </c>
      <c r="G56" s="18">
        <f t="shared" ca="1" si="1"/>
        <v>0</v>
      </c>
      <c r="H56" s="393">
        <f t="shared" ca="1" si="5"/>
        <v>0</v>
      </c>
      <c r="I56" s="388">
        <f>MAX($J$5, INDEX(LIBOR!$M$3:$M$122,MATCH(B56,LIBOR!$N$3:$N$122)))</f>
        <v>3.3660700000000002E-2</v>
      </c>
      <c r="J56" s="394">
        <f t="shared" si="6"/>
        <v>8.6160700000000007E-2</v>
      </c>
      <c r="L56" s="392">
        <f t="shared" si="12"/>
        <v>45838</v>
      </c>
      <c r="M56" s="347">
        <f t="shared" si="13"/>
        <v>108</v>
      </c>
      <c r="N56" s="18">
        <v>7213.0776648725996</v>
      </c>
      <c r="O56" s="18">
        <f t="shared" si="2"/>
        <v>0</v>
      </c>
      <c r="P56" s="18">
        <f t="shared" si="7"/>
        <v>49.686504077727875</v>
      </c>
      <c r="Q56" s="18">
        <f t="shared" si="3"/>
        <v>-49.686504077727875</v>
      </c>
      <c r="R56" s="393">
        <f t="shared" si="8"/>
        <v>7262.7641689503271</v>
      </c>
      <c r="S56" s="388">
        <f>INDEX(LIBOR!$M$3:$M$122,MATCH(L56,LIBOR!$N$3:$N$122))</f>
        <v>3.3660700000000002E-2</v>
      </c>
      <c r="T56" s="394">
        <f t="shared" si="9"/>
        <v>8.2660700000000004E-2</v>
      </c>
    </row>
    <row r="57" spans="2:20">
      <c r="B57" s="392">
        <f t="shared" si="10"/>
        <v>45869</v>
      </c>
      <c r="C57" s="347">
        <f t="shared" si="11"/>
        <v>109</v>
      </c>
      <c r="D57" s="18">
        <f ca="1">INDEX('Monthly Cash Flow'!$L$137:$GT$137, MATCH(C57, 'Monthly Cash Flow'!$L$13:$GT$13, 0))</f>
        <v>0</v>
      </c>
      <c r="E57" s="18">
        <f t="shared" ca="1" si="0"/>
        <v>0</v>
      </c>
      <c r="F57" s="18">
        <f t="shared" ca="1" si="4"/>
        <v>0</v>
      </c>
      <c r="G57" s="18">
        <f t="shared" ca="1" si="1"/>
        <v>0</v>
      </c>
      <c r="H57" s="393">
        <f t="shared" ca="1" si="5"/>
        <v>0</v>
      </c>
      <c r="I57" s="388">
        <f>MAX($J$5, INDEX(LIBOR!$M$3:$M$122,MATCH(B57,LIBOR!$N$3:$N$122)))</f>
        <v>3.3436599999999997E-2</v>
      </c>
      <c r="J57" s="394">
        <f t="shared" si="6"/>
        <v>8.5936600000000002E-2</v>
      </c>
      <c r="L57" s="392">
        <f t="shared" si="12"/>
        <v>45869</v>
      </c>
      <c r="M57" s="347">
        <f t="shared" si="13"/>
        <v>109</v>
      </c>
      <c r="N57" s="18">
        <v>7202.5067169649501</v>
      </c>
      <c r="O57" s="18">
        <f t="shared" si="2"/>
        <v>0</v>
      </c>
      <c r="P57" s="18">
        <f t="shared" si="7"/>
        <v>49.479180435312735</v>
      </c>
      <c r="Q57" s="18">
        <f t="shared" si="3"/>
        <v>-49.479180435312735</v>
      </c>
      <c r="R57" s="393">
        <f t="shared" si="8"/>
        <v>7251.9858974002627</v>
      </c>
      <c r="S57" s="388">
        <f>INDEX(LIBOR!$M$3:$M$122,MATCH(L57,LIBOR!$N$3:$N$122))</f>
        <v>3.3436599999999997E-2</v>
      </c>
      <c r="T57" s="394">
        <f t="shared" si="9"/>
        <v>8.2436599999999999E-2</v>
      </c>
    </row>
    <row r="58" spans="2:20">
      <c r="B58" s="392">
        <f t="shared" si="10"/>
        <v>45900</v>
      </c>
      <c r="C58" s="347">
        <f t="shared" si="11"/>
        <v>110</v>
      </c>
      <c r="D58" s="18">
        <f ca="1">INDEX('Monthly Cash Flow'!$L$137:$GT$137, MATCH(C58, 'Monthly Cash Flow'!$L$13:$GT$13, 0))</f>
        <v>0</v>
      </c>
      <c r="E58" s="18">
        <f t="shared" ca="1" si="0"/>
        <v>0</v>
      </c>
      <c r="F58" s="18">
        <f t="shared" ca="1" si="4"/>
        <v>0</v>
      </c>
      <c r="G58" s="18">
        <f t="shared" ca="1" si="1"/>
        <v>0</v>
      </c>
      <c r="H58" s="393">
        <f t="shared" ca="1" si="5"/>
        <v>0</v>
      </c>
      <c r="I58" s="388">
        <f>MAX($J$5, INDEX(LIBOR!$M$3:$M$122,MATCH(B58,LIBOR!$N$3:$N$122)))</f>
        <v>3.3233100000000002E-2</v>
      </c>
      <c r="J58" s="394">
        <f t="shared" si="6"/>
        <v>8.5733100000000007E-2</v>
      </c>
      <c r="L58" s="392">
        <f t="shared" si="12"/>
        <v>45900</v>
      </c>
      <c r="M58" s="347">
        <f t="shared" si="13"/>
        <v>110</v>
      </c>
      <c r="N58" s="18">
        <v>7191.8902312163063</v>
      </c>
      <c r="O58" s="18">
        <f t="shared" si="2"/>
        <v>0</v>
      </c>
      <c r="P58" s="18">
        <f t="shared" si="7"/>
        <v>49.284285714386137</v>
      </c>
      <c r="Q58" s="18">
        <f t="shared" si="3"/>
        <v>-49.284285714386137</v>
      </c>
      <c r="R58" s="393">
        <f t="shared" si="8"/>
        <v>7241.1745169306923</v>
      </c>
      <c r="S58" s="388">
        <f>INDEX(LIBOR!$M$3:$M$122,MATCH(L58,LIBOR!$N$3:$N$122))</f>
        <v>3.3233100000000002E-2</v>
      </c>
      <c r="T58" s="394">
        <f t="shared" si="9"/>
        <v>8.2233100000000003E-2</v>
      </c>
    </row>
    <row r="59" spans="2:20">
      <c r="B59" s="392">
        <f t="shared" si="10"/>
        <v>45930</v>
      </c>
      <c r="C59" s="347">
        <f t="shared" si="11"/>
        <v>111</v>
      </c>
      <c r="D59" s="18">
        <f ca="1">INDEX('Monthly Cash Flow'!$L$137:$GT$137, MATCH(C59, 'Monthly Cash Flow'!$L$13:$GT$13, 0))</f>
        <v>0</v>
      </c>
      <c r="E59" s="18">
        <f t="shared" ca="1" si="0"/>
        <v>0</v>
      </c>
      <c r="F59" s="18">
        <f t="shared" ca="1" si="4"/>
        <v>0</v>
      </c>
      <c r="G59" s="18">
        <f t="shared" ca="1" si="1"/>
        <v>0</v>
      </c>
      <c r="H59" s="393">
        <f t="shared" ca="1" si="5"/>
        <v>0</v>
      </c>
      <c r="I59" s="388">
        <f>MAX($J$5, INDEX(LIBOR!$M$3:$M$122,MATCH(B59,LIBOR!$N$3:$N$122)))</f>
        <v>3.3073999999999999E-2</v>
      </c>
      <c r="J59" s="394">
        <f t="shared" si="6"/>
        <v>8.5573999999999997E-2</v>
      </c>
      <c r="L59" s="392">
        <f t="shared" si="12"/>
        <v>45930</v>
      </c>
      <c r="M59" s="347">
        <f t="shared" si="13"/>
        <v>111</v>
      </c>
      <c r="N59" s="18">
        <v>7181.2285165629955</v>
      </c>
      <c r="O59" s="18">
        <f t="shared" si="2"/>
        <v>0</v>
      </c>
      <c r="P59" s="18">
        <f t="shared" si="7"/>
        <v>49.116012439032609</v>
      </c>
      <c r="Q59" s="18">
        <f t="shared" si="3"/>
        <v>-49.116012439032609</v>
      </c>
      <c r="R59" s="393">
        <f t="shared" si="8"/>
        <v>7230.3445290020281</v>
      </c>
      <c r="S59" s="388">
        <f>INDEX(LIBOR!$M$3:$M$122,MATCH(L59,LIBOR!$N$3:$N$122))</f>
        <v>3.3073999999999999E-2</v>
      </c>
      <c r="T59" s="394">
        <f t="shared" si="9"/>
        <v>8.2074000000000008E-2</v>
      </c>
    </row>
    <row r="60" spans="2:20">
      <c r="B60" s="392">
        <f t="shared" si="10"/>
        <v>45961</v>
      </c>
      <c r="C60" s="347">
        <f t="shared" si="11"/>
        <v>112</v>
      </c>
      <c r="D60" s="18">
        <f ca="1">INDEX('Monthly Cash Flow'!$L$137:$GT$137, MATCH(C60, 'Monthly Cash Flow'!$L$13:$GT$13, 0))</f>
        <v>0</v>
      </c>
      <c r="E60" s="18">
        <f t="shared" ca="1" si="0"/>
        <v>0</v>
      </c>
      <c r="F60" s="18">
        <f t="shared" ca="1" si="4"/>
        <v>0</v>
      </c>
      <c r="G60" s="18">
        <f t="shared" ca="1" si="1"/>
        <v>0</v>
      </c>
      <c r="H60" s="393">
        <f t="shared" ca="1" si="5"/>
        <v>0</v>
      </c>
      <c r="I60" s="388">
        <f>MAX($J$5, INDEX(LIBOR!$M$3:$M$122,MATCH(B60,LIBOR!$N$3:$N$122)))</f>
        <v>3.2877499999999997E-2</v>
      </c>
      <c r="J60" s="394">
        <f t="shared" si="6"/>
        <v>8.5377499999999995E-2</v>
      </c>
      <c r="L60" s="392">
        <f t="shared" si="12"/>
        <v>45961</v>
      </c>
      <c r="M60" s="347">
        <f t="shared" si="13"/>
        <v>112</v>
      </c>
      <c r="N60" s="18">
        <v>7170.522320879063</v>
      </c>
      <c r="O60" s="18">
        <f t="shared" si="2"/>
        <v>0</v>
      </c>
      <c r="P60" s="18">
        <f t="shared" si="7"/>
        <v>48.925370110647954</v>
      </c>
      <c r="Q60" s="18">
        <f t="shared" si="3"/>
        <v>-48.925370110647954</v>
      </c>
      <c r="R60" s="393">
        <f t="shared" si="8"/>
        <v>7219.4476909897112</v>
      </c>
      <c r="S60" s="388">
        <f>INDEX(LIBOR!$M$3:$M$122,MATCH(L60,LIBOR!$N$3:$N$122))</f>
        <v>3.2877499999999997E-2</v>
      </c>
      <c r="T60" s="394">
        <f t="shared" si="9"/>
        <v>8.1877499999999992E-2</v>
      </c>
    </row>
    <row r="61" spans="2:20">
      <c r="B61" s="392">
        <f t="shared" si="10"/>
        <v>45991</v>
      </c>
      <c r="C61" s="347">
        <f t="shared" si="11"/>
        <v>113</v>
      </c>
      <c r="D61" s="18">
        <f ca="1">INDEX('Monthly Cash Flow'!$L$137:$GT$137, MATCH(C61, 'Monthly Cash Flow'!$L$13:$GT$13, 0))</f>
        <v>0</v>
      </c>
      <c r="E61" s="18">
        <f t="shared" ca="1" si="0"/>
        <v>0</v>
      </c>
      <c r="F61" s="18">
        <f t="shared" ca="1" si="4"/>
        <v>0</v>
      </c>
      <c r="G61" s="18">
        <f t="shared" ca="1" si="1"/>
        <v>0</v>
      </c>
      <c r="H61" s="393">
        <f t="shared" ca="1" si="5"/>
        <v>0</v>
      </c>
      <c r="I61" s="388">
        <f>MAX($J$5, INDEX(LIBOR!$M$3:$M$122,MATCH(B61,LIBOR!$N$3:$N$122)))</f>
        <v>3.2710000000000003E-2</v>
      </c>
      <c r="J61" s="394">
        <f t="shared" si="6"/>
        <v>8.5210000000000008E-2</v>
      </c>
      <c r="L61" s="392">
        <f t="shared" si="12"/>
        <v>45991</v>
      </c>
      <c r="M61" s="347">
        <f t="shared" si="13"/>
        <v>113</v>
      </c>
      <c r="N61" s="18">
        <v>7159.7702762687304</v>
      </c>
      <c r="O61" s="18">
        <f t="shared" si="2"/>
        <v>0</v>
      </c>
      <c r="P61" s="18">
        <f t="shared" si="7"/>
        <v>48.752069106159837</v>
      </c>
      <c r="Q61" s="18">
        <f t="shared" si="3"/>
        <v>-48.752069106159837</v>
      </c>
      <c r="R61" s="393">
        <f t="shared" si="8"/>
        <v>7208.5223453748904</v>
      </c>
      <c r="S61" s="388">
        <f>INDEX(LIBOR!$M$3:$M$122,MATCH(L61,LIBOR!$N$3:$N$122))</f>
        <v>3.2710000000000003E-2</v>
      </c>
      <c r="T61" s="394">
        <f t="shared" si="9"/>
        <v>8.1710000000000005E-2</v>
      </c>
    </row>
    <row r="62" spans="2:20">
      <c r="B62" s="392">
        <f t="shared" si="10"/>
        <v>46022</v>
      </c>
      <c r="C62" s="347">
        <f t="shared" si="11"/>
        <v>114</v>
      </c>
      <c r="D62" s="18">
        <f ca="1">INDEX('Monthly Cash Flow'!$L$137:$GT$137, MATCH(C62, 'Monthly Cash Flow'!$L$13:$GT$13, 0))</f>
        <v>0</v>
      </c>
      <c r="E62" s="18">
        <f t="shared" ca="1" si="0"/>
        <v>0</v>
      </c>
      <c r="F62" s="18">
        <f t="shared" ca="1" si="4"/>
        <v>0</v>
      </c>
      <c r="G62" s="18">
        <f t="shared" ca="1" si="1"/>
        <v>0</v>
      </c>
      <c r="H62" s="393">
        <f t="shared" ca="1" si="5"/>
        <v>0</v>
      </c>
      <c r="I62" s="388">
        <f>MAX($J$5, INDEX(LIBOR!$M$3:$M$122,MATCH(B62,LIBOR!$N$3:$N$122)))</f>
        <v>3.25854E-2</v>
      </c>
      <c r="J62" s="394">
        <f t="shared" si="6"/>
        <v>8.5085400000000005E-2</v>
      </c>
      <c r="L62" s="392">
        <f t="shared" si="12"/>
        <v>46022</v>
      </c>
      <c r="M62" s="347">
        <f t="shared" si="13"/>
        <v>114</v>
      </c>
      <c r="N62" s="18">
        <v>7148.9730312947004</v>
      </c>
      <c r="O62" s="18">
        <f t="shared" si="2"/>
        <v>0</v>
      </c>
      <c r="P62" s="18">
        <f t="shared" si="7"/>
        <v>48.604318695615888</v>
      </c>
      <c r="Q62" s="18">
        <f t="shared" si="3"/>
        <v>-48.604318695615888</v>
      </c>
      <c r="R62" s="393">
        <f t="shared" si="8"/>
        <v>7197.5773499903162</v>
      </c>
      <c r="S62" s="388">
        <f>INDEX(LIBOR!$M$3:$M$122,MATCH(L62,LIBOR!$N$3:$N$122))</f>
        <v>3.25854E-2</v>
      </c>
      <c r="T62" s="394">
        <f t="shared" si="9"/>
        <v>8.1585400000000002E-2</v>
      </c>
    </row>
    <row r="63" spans="2:20">
      <c r="B63" s="392">
        <f t="shared" si="10"/>
        <v>46053</v>
      </c>
      <c r="C63" s="347">
        <f t="shared" si="11"/>
        <v>115</v>
      </c>
      <c r="D63" s="18">
        <f ca="1">INDEX('Monthly Cash Flow'!$L$137:$GT$137, MATCH(C63, 'Monthly Cash Flow'!$L$13:$GT$13, 0))</f>
        <v>0</v>
      </c>
      <c r="E63" s="18">
        <f t="shared" ca="1" si="0"/>
        <v>0</v>
      </c>
      <c r="F63" s="18">
        <f t="shared" ca="1" si="4"/>
        <v>0</v>
      </c>
      <c r="G63" s="18">
        <f t="shared" ca="1" si="1"/>
        <v>0</v>
      </c>
      <c r="H63" s="393">
        <f t="shared" ca="1" si="5"/>
        <v>0</v>
      </c>
      <c r="I63" s="388">
        <f>MAX($J$5, INDEX(LIBOR!$M$3:$M$122,MATCH(B63,LIBOR!$N$3:$N$122)))</f>
        <v>3.24447E-2</v>
      </c>
      <c r="J63" s="394">
        <f t="shared" si="6"/>
        <v>8.4944699999999998E-2</v>
      </c>
      <c r="L63" s="392">
        <f t="shared" si="12"/>
        <v>46053</v>
      </c>
      <c r="M63" s="347">
        <f t="shared" si="13"/>
        <v>115</v>
      </c>
      <c r="N63" s="18">
        <v>7138.1313766932362</v>
      </c>
      <c r="O63" s="18">
        <f t="shared" si="2"/>
        <v>0</v>
      </c>
      <c r="P63" s="18">
        <f t="shared" si="7"/>
        <v>48.446914044613976</v>
      </c>
      <c r="Q63" s="18">
        <f t="shared" si="3"/>
        <v>-48.446914044613976</v>
      </c>
      <c r="R63" s="393">
        <f t="shared" si="8"/>
        <v>7186.5782907378498</v>
      </c>
      <c r="S63" s="388">
        <f>INDEX(LIBOR!$M$3:$M$122,MATCH(L63,LIBOR!$N$3:$N$122))</f>
        <v>3.24447E-2</v>
      </c>
      <c r="T63" s="394">
        <f t="shared" si="9"/>
        <v>8.1444700000000009E-2</v>
      </c>
    </row>
    <row r="64" spans="2:20">
      <c r="B64" s="392">
        <f t="shared" si="10"/>
        <v>46081</v>
      </c>
      <c r="C64" s="347">
        <f t="shared" si="11"/>
        <v>116</v>
      </c>
      <c r="D64" s="18">
        <f ca="1">INDEX('Monthly Cash Flow'!$L$137:$GT$137, MATCH(C64, 'Monthly Cash Flow'!$L$13:$GT$13, 0))</f>
        <v>0</v>
      </c>
      <c r="E64" s="18">
        <f t="shared" ca="1" si="0"/>
        <v>0</v>
      </c>
      <c r="F64" s="18">
        <f t="shared" ca="1" si="4"/>
        <v>0</v>
      </c>
      <c r="G64" s="18">
        <f t="shared" ca="1" si="1"/>
        <v>0</v>
      </c>
      <c r="H64" s="393">
        <f t="shared" ca="1" si="5"/>
        <v>0</v>
      </c>
      <c r="I64" s="388">
        <f>MAX($J$5, INDEX(LIBOR!$M$3:$M$122,MATCH(B64,LIBOR!$N$3:$N$122)))</f>
        <v>3.2349000000000003E-2</v>
      </c>
      <c r="J64" s="394">
        <f t="shared" si="6"/>
        <v>8.4849000000000008E-2</v>
      </c>
      <c r="L64" s="392">
        <f t="shared" si="12"/>
        <v>46081</v>
      </c>
      <c r="M64" s="347">
        <f t="shared" si="13"/>
        <v>116</v>
      </c>
      <c r="N64" s="18">
        <v>7127.243658528063</v>
      </c>
      <c r="O64" s="18">
        <f t="shared" si="2"/>
        <v>0</v>
      </c>
      <c r="P64" s="18">
        <f t="shared" si="7"/>
        <v>48.316178698133285</v>
      </c>
      <c r="Q64" s="18">
        <f t="shared" si="3"/>
        <v>-48.316178698133285</v>
      </c>
      <c r="R64" s="393">
        <f t="shared" si="8"/>
        <v>7175.5598372261966</v>
      </c>
      <c r="S64" s="388">
        <f>INDEX(LIBOR!$M$3:$M$122,MATCH(L64,LIBOR!$N$3:$N$122))</f>
        <v>3.2349000000000003E-2</v>
      </c>
      <c r="T64" s="394">
        <f t="shared" si="9"/>
        <v>8.1349000000000005E-2</v>
      </c>
    </row>
    <row r="65" spans="2:20">
      <c r="B65" s="392">
        <f t="shared" si="10"/>
        <v>46112</v>
      </c>
      <c r="C65" s="347">
        <f t="shared" si="11"/>
        <v>117</v>
      </c>
      <c r="D65" s="18">
        <f ca="1">INDEX('Monthly Cash Flow'!$L$137:$GT$137, MATCH(C65, 'Monthly Cash Flow'!$L$13:$GT$13, 0))</f>
        <v>0</v>
      </c>
      <c r="E65" s="18">
        <f t="shared" ca="1" si="0"/>
        <v>0</v>
      </c>
      <c r="F65" s="18">
        <f t="shared" ca="1" si="4"/>
        <v>0</v>
      </c>
      <c r="G65" s="18">
        <f t="shared" ca="1" si="1"/>
        <v>0</v>
      </c>
      <c r="H65" s="393">
        <f t="shared" ca="1" si="5"/>
        <v>0</v>
      </c>
      <c r="I65" s="388">
        <f>MAX($J$5, INDEX(LIBOR!$M$3:$M$122,MATCH(B65,LIBOR!$N$3:$N$122)))</f>
        <v>3.2280299999999998E-2</v>
      </c>
      <c r="J65" s="394">
        <f t="shared" si="6"/>
        <v>8.4780300000000003E-2</v>
      </c>
      <c r="L65" s="392">
        <f t="shared" si="12"/>
        <v>46112</v>
      </c>
      <c r="M65" s="347">
        <f t="shared" si="13"/>
        <v>117</v>
      </c>
      <c r="N65" s="18">
        <v>7116.3110373837926</v>
      </c>
      <c r="O65" s="18">
        <f t="shared" si="2"/>
        <v>0</v>
      </c>
      <c r="P65" s="18">
        <f t="shared" si="7"/>
        <v>48.201324667655491</v>
      </c>
      <c r="Q65" s="18">
        <f t="shared" si="3"/>
        <v>-48.201324667655491</v>
      </c>
      <c r="R65" s="393">
        <f t="shared" si="8"/>
        <v>7164.5123620514478</v>
      </c>
      <c r="S65" s="388">
        <f>INDEX(LIBOR!$M$3:$M$122,MATCH(L65,LIBOR!$N$3:$N$122))</f>
        <v>3.2280299999999998E-2</v>
      </c>
      <c r="T65" s="394">
        <f t="shared" si="9"/>
        <v>8.12803E-2</v>
      </c>
    </row>
    <row r="66" spans="2:20">
      <c r="B66" s="392">
        <f t="shared" si="10"/>
        <v>46142</v>
      </c>
      <c r="C66" s="347">
        <f t="shared" si="11"/>
        <v>118</v>
      </c>
      <c r="D66" s="18">
        <f ca="1">INDEX('Monthly Cash Flow'!$L$137:$GT$137, MATCH(C66, 'Monthly Cash Flow'!$L$13:$GT$13, 0))</f>
        <v>0</v>
      </c>
      <c r="E66" s="18">
        <f t="shared" ca="1" si="0"/>
        <v>0</v>
      </c>
      <c r="F66" s="18">
        <f t="shared" ca="1" si="4"/>
        <v>0</v>
      </c>
      <c r="G66" s="18">
        <f t="shared" ca="1" si="1"/>
        <v>0</v>
      </c>
      <c r="H66" s="393">
        <f t="shared" ca="1" si="5"/>
        <v>0</v>
      </c>
      <c r="I66" s="388">
        <f>MAX($J$5, INDEX(LIBOR!$M$3:$M$122,MATCH(B66,LIBOR!$N$3:$N$122)))</f>
        <v>3.2198200000000003E-2</v>
      </c>
      <c r="J66" s="394">
        <f t="shared" si="6"/>
        <v>8.4698200000000001E-2</v>
      </c>
      <c r="L66" s="392">
        <f t="shared" si="12"/>
        <v>46142</v>
      </c>
      <c r="M66" s="347">
        <f t="shared" si="13"/>
        <v>118</v>
      </c>
      <c r="N66" s="18">
        <v>7105.3340661484071</v>
      </c>
      <c r="O66" s="18">
        <f t="shared" si="2"/>
        <v>0</v>
      </c>
      <c r="P66" s="18">
        <f t="shared" si="7"/>
        <v>48.07836138082763</v>
      </c>
      <c r="Q66" s="18">
        <f t="shared" si="3"/>
        <v>-48.07836138082763</v>
      </c>
      <c r="R66" s="393">
        <f t="shared" si="8"/>
        <v>7153.4124275292352</v>
      </c>
      <c r="S66" s="388">
        <f>INDEX(LIBOR!$M$3:$M$122,MATCH(L66,LIBOR!$N$3:$N$122))</f>
        <v>3.2198200000000003E-2</v>
      </c>
      <c r="T66" s="394">
        <f t="shared" si="9"/>
        <v>8.1198199999999998E-2</v>
      </c>
    </row>
    <row r="67" spans="2:20">
      <c r="B67" s="392">
        <f t="shared" si="10"/>
        <v>46173</v>
      </c>
      <c r="C67" s="347">
        <f t="shared" si="11"/>
        <v>119</v>
      </c>
      <c r="D67" s="18">
        <f ca="1">INDEX('Monthly Cash Flow'!$L$137:$GT$137, MATCH(C67, 'Monthly Cash Flow'!$L$13:$GT$13, 0))</f>
        <v>0</v>
      </c>
      <c r="E67" s="18">
        <f t="shared" ca="1" si="0"/>
        <v>0</v>
      </c>
      <c r="F67" s="18">
        <f t="shared" ca="1" si="4"/>
        <v>0</v>
      </c>
      <c r="G67" s="18">
        <f t="shared" ca="1" si="1"/>
        <v>0</v>
      </c>
      <c r="H67" s="393">
        <f t="shared" ca="1" si="5"/>
        <v>0</v>
      </c>
      <c r="I67" s="388">
        <f>MAX($J$5, INDEX(LIBOR!$M$3:$M$122,MATCH(B67,LIBOR!$N$3:$N$122)))</f>
        <v>3.2153300000000003E-2</v>
      </c>
      <c r="J67" s="394">
        <f t="shared" si="6"/>
        <v>8.4653300000000001E-2</v>
      </c>
      <c r="L67" s="392">
        <f t="shared" si="12"/>
        <v>46173</v>
      </c>
      <c r="M67" s="347">
        <f t="shared" si="13"/>
        <v>119</v>
      </c>
      <c r="N67" s="18">
        <v>7094.3113335646121</v>
      </c>
      <c r="O67" s="18">
        <f t="shared" si="2"/>
        <v>0</v>
      </c>
      <c r="P67" s="18">
        <f t="shared" si="7"/>
        <v>47.977231328847431</v>
      </c>
      <c r="Q67" s="18">
        <f t="shared" si="3"/>
        <v>-47.977231328847431</v>
      </c>
      <c r="R67" s="393">
        <f t="shared" si="8"/>
        <v>7142.2885648934598</v>
      </c>
      <c r="S67" s="388">
        <f>INDEX(LIBOR!$M$3:$M$122,MATCH(L67,LIBOR!$N$3:$N$122))</f>
        <v>3.2153300000000003E-2</v>
      </c>
      <c r="T67" s="394">
        <f t="shared" si="9"/>
        <v>8.1153300000000012E-2</v>
      </c>
    </row>
    <row r="68" spans="2:20">
      <c r="B68" s="392">
        <f t="shared" si="10"/>
        <v>46203</v>
      </c>
      <c r="C68" s="347">
        <f t="shared" si="11"/>
        <v>120</v>
      </c>
      <c r="D68" s="18">
        <f ca="1">INDEX('Monthly Cash Flow'!$L$137:$GT$137, MATCH(C68, 'Monthly Cash Flow'!$L$13:$GT$13, 0))</f>
        <v>0</v>
      </c>
      <c r="E68" s="18">
        <f t="shared" ca="1" si="0"/>
        <v>0</v>
      </c>
      <c r="F68" s="18">
        <f t="shared" ca="1" si="4"/>
        <v>0</v>
      </c>
      <c r="G68" s="18">
        <f t="shared" ca="1" si="1"/>
        <v>0</v>
      </c>
      <c r="H68" s="393">
        <f t="shared" ca="1" si="5"/>
        <v>0</v>
      </c>
      <c r="I68" s="388">
        <f>MAX($J$5, INDEX(LIBOR!$M$3:$M$122,MATCH(B68,LIBOR!$N$3:$N$122)))</f>
        <v>3.2140799999999997E-2</v>
      </c>
      <c r="J68" s="394">
        <f t="shared" si="6"/>
        <v>8.4640799999999988E-2</v>
      </c>
      <c r="L68" s="392">
        <f t="shared" si="12"/>
        <v>46203</v>
      </c>
      <c r="M68" s="347">
        <f t="shared" si="13"/>
        <v>120</v>
      </c>
      <c r="N68" s="18">
        <v>7083.238394914013</v>
      </c>
      <c r="O68" s="18">
        <f t="shared" si="2"/>
        <v>0</v>
      </c>
      <c r="P68" s="18">
        <f t="shared" si="7"/>
        <v>47.894969162836581</v>
      </c>
      <c r="Q68" s="18">
        <f t="shared" si="3"/>
        <v>-47.894969162836581</v>
      </c>
      <c r="R68" s="393">
        <f t="shared" si="8"/>
        <v>7131.1333640768498</v>
      </c>
      <c r="S68" s="388">
        <f>INDEX(LIBOR!$M$3:$M$122,MATCH(L68,LIBOR!$N$3:$N$122))</f>
        <v>3.2140799999999997E-2</v>
      </c>
      <c r="T68" s="394">
        <f t="shared" si="9"/>
        <v>8.1140799999999999E-2</v>
      </c>
    </row>
    <row r="69" spans="2:20">
      <c r="B69" s="392">
        <f t="shared" si="10"/>
        <v>46234</v>
      </c>
      <c r="C69" s="347">
        <f t="shared" si="11"/>
        <v>121</v>
      </c>
      <c r="D69" s="18">
        <f ca="1">INDEX('Monthly Cash Flow'!$L$137:$GT$137, MATCH(C69, 'Monthly Cash Flow'!$L$13:$GT$13, 0))</f>
        <v>0</v>
      </c>
      <c r="E69" s="18">
        <f t="shared" ca="1" si="0"/>
        <v>0</v>
      </c>
      <c r="F69" s="18">
        <f t="shared" ref="F69:F132" ca="1" si="14">D69*J69/12</f>
        <v>0</v>
      </c>
      <c r="G69" s="18">
        <f t="shared" ref="G69:G132" ca="1" si="15">+E69-F69</f>
        <v>0</v>
      </c>
      <c r="H69" s="393">
        <f t="shared" ref="H69:H132" ca="1" si="16">+D69-G69</f>
        <v>0</v>
      </c>
      <c r="I69" s="388">
        <f>MAX($J$5, INDEX(LIBOR!$M$3:$M$122,MATCH(B69,LIBOR!$N$3:$N$122)))</f>
        <v>3.2116800000000001E-2</v>
      </c>
      <c r="J69" s="394">
        <f t="shared" ref="J69:J132" si="17">IF($I$2=1,I69+$J$4/10000,$J$3)</f>
        <v>8.4616799999999992E-2</v>
      </c>
      <c r="L69" s="392">
        <f t="shared" si="12"/>
        <v>46234</v>
      </c>
      <c r="M69" s="347">
        <f t="shared" si="13"/>
        <v>121</v>
      </c>
      <c r="N69" s="18">
        <v>7072.115021519272</v>
      </c>
      <c r="O69" s="18">
        <f t="shared" si="2"/>
        <v>0</v>
      </c>
      <c r="P69" s="18">
        <f t="shared" si="7"/>
        <v>47.805611648131212</v>
      </c>
      <c r="Q69" s="18">
        <f t="shared" si="3"/>
        <v>-47.805611648131212</v>
      </c>
      <c r="R69" s="393">
        <f t="shared" si="8"/>
        <v>7119.9206331674031</v>
      </c>
      <c r="S69" s="388">
        <f>INDEX(LIBOR!$M$3:$M$122,MATCH(L69,LIBOR!$N$3:$N$122))</f>
        <v>3.2116800000000001E-2</v>
      </c>
      <c r="T69" s="394">
        <f t="shared" si="9"/>
        <v>8.1116800000000003E-2</v>
      </c>
    </row>
    <row r="70" spans="2:20">
      <c r="B70" s="392">
        <f t="shared" si="10"/>
        <v>46265</v>
      </c>
      <c r="C70" s="347">
        <f t="shared" si="11"/>
        <v>122</v>
      </c>
      <c r="D70" s="18">
        <f ca="1">INDEX('Monthly Cash Flow'!$L$137:$GT$137, MATCH(C70, 'Monthly Cash Flow'!$L$13:$GT$13, 0))</f>
        <v>0</v>
      </c>
      <c r="E70" s="18">
        <f t="shared" ca="1" si="0"/>
        <v>0</v>
      </c>
      <c r="F70" s="18">
        <f t="shared" ca="1" si="14"/>
        <v>0</v>
      </c>
      <c r="G70" s="18">
        <f t="shared" ca="1" si="15"/>
        <v>0</v>
      </c>
      <c r="H70" s="393">
        <f t="shared" ca="1" si="16"/>
        <v>0</v>
      </c>
      <c r="I70" s="388">
        <f>MAX($J$5, INDEX(LIBOR!$M$3:$M$122,MATCH(B70,LIBOR!$N$3:$N$122)))</f>
        <v>3.2124899999999998E-2</v>
      </c>
      <c r="J70" s="394">
        <f t="shared" si="17"/>
        <v>8.4624900000000003E-2</v>
      </c>
      <c r="L70" s="392">
        <f t="shared" si="12"/>
        <v>46265</v>
      </c>
      <c r="M70" s="347">
        <f t="shared" si="13"/>
        <v>122</v>
      </c>
      <c r="N70" s="18">
        <v>7060.9409836614768</v>
      </c>
      <c r="O70" s="18">
        <f t="shared" si="2"/>
        <v>0</v>
      </c>
      <c r="P70" s="18">
        <f t="shared" si="7"/>
        <v>47.734844267119911</v>
      </c>
      <c r="Q70" s="18">
        <f t="shared" si="3"/>
        <v>-47.734844267119911</v>
      </c>
      <c r="R70" s="393">
        <f t="shared" si="8"/>
        <v>7108.6758279285968</v>
      </c>
      <c r="S70" s="388">
        <f>INDEX(LIBOR!$M$3:$M$122,MATCH(L70,LIBOR!$N$3:$N$122))</f>
        <v>3.2124899999999998E-2</v>
      </c>
      <c r="T70" s="394">
        <f t="shared" si="9"/>
        <v>8.11249E-2</v>
      </c>
    </row>
    <row r="71" spans="2:20">
      <c r="B71" s="392">
        <f t="shared" si="10"/>
        <v>46295</v>
      </c>
      <c r="C71" s="347">
        <f t="shared" si="11"/>
        <v>123</v>
      </c>
      <c r="D71" s="18">
        <f ca="1">INDEX('Monthly Cash Flow'!$L$137:$GT$137, MATCH(C71, 'Monthly Cash Flow'!$L$13:$GT$13, 0))</f>
        <v>0</v>
      </c>
      <c r="E71" s="18">
        <f t="shared" ca="1" si="0"/>
        <v>0</v>
      </c>
      <c r="F71" s="18">
        <f t="shared" ca="1" si="14"/>
        <v>0</v>
      </c>
      <c r="G71" s="18">
        <f t="shared" ca="1" si="15"/>
        <v>0</v>
      </c>
      <c r="H71" s="393">
        <f t="shared" ca="1" si="16"/>
        <v>0</v>
      </c>
      <c r="I71" s="388">
        <f>MAX($J$5, INDEX(LIBOR!$M$3:$M$122,MATCH(B71,LIBOR!$N$3:$N$122)))</f>
        <v>3.2156799999999999E-2</v>
      </c>
      <c r="J71" s="394">
        <f t="shared" si="17"/>
        <v>8.4656800000000004E-2</v>
      </c>
      <c r="L71" s="392">
        <f t="shared" si="12"/>
        <v>46295</v>
      </c>
      <c r="M71" s="347">
        <f t="shared" si="13"/>
        <v>123</v>
      </c>
      <c r="N71" s="18">
        <v>7049.7160505753973</v>
      </c>
      <c r="O71" s="18">
        <f t="shared" si="2"/>
        <v>0</v>
      </c>
      <c r="P71" s="18">
        <f t="shared" si="7"/>
        <v>47.677699631111444</v>
      </c>
      <c r="Q71" s="18">
        <f t="shared" si="3"/>
        <v>-47.677699631111444</v>
      </c>
      <c r="R71" s="393">
        <f t="shared" si="8"/>
        <v>7097.3937502065091</v>
      </c>
      <c r="S71" s="388">
        <f>INDEX(LIBOR!$M$3:$M$122,MATCH(L71,LIBOR!$N$3:$N$122))</f>
        <v>3.2156799999999999E-2</v>
      </c>
      <c r="T71" s="394">
        <f t="shared" si="9"/>
        <v>8.1156800000000001E-2</v>
      </c>
    </row>
    <row r="72" spans="2:20">
      <c r="B72" s="392">
        <f t="shared" si="10"/>
        <v>46326</v>
      </c>
      <c r="C72" s="347">
        <f t="shared" si="11"/>
        <v>124</v>
      </c>
      <c r="D72" s="18">
        <f ca="1">INDEX('Monthly Cash Flow'!$L$137:$GT$137, MATCH(C72, 'Monthly Cash Flow'!$L$13:$GT$13, 0))</f>
        <v>0</v>
      </c>
      <c r="E72" s="18">
        <f t="shared" ca="1" si="0"/>
        <v>0</v>
      </c>
      <c r="F72" s="18">
        <f t="shared" ca="1" si="14"/>
        <v>0</v>
      </c>
      <c r="G72" s="18">
        <f t="shared" ca="1" si="15"/>
        <v>0</v>
      </c>
      <c r="H72" s="393">
        <f t="shared" ca="1" si="16"/>
        <v>0</v>
      </c>
      <c r="I72" s="388">
        <f>MAX($J$5, INDEX(LIBOR!$M$3:$M$122,MATCH(B72,LIBOR!$N$3:$N$122)))</f>
        <v>3.2176099999999999E-2</v>
      </c>
      <c r="J72" s="394">
        <f t="shared" si="17"/>
        <v>8.4676100000000004E-2</v>
      </c>
      <c r="L72" s="392">
        <f t="shared" si="12"/>
        <v>46326</v>
      </c>
      <c r="M72" s="347">
        <f t="shared" si="13"/>
        <v>124</v>
      </c>
      <c r="N72" s="18">
        <v>7038.4399904447209</v>
      </c>
      <c r="O72" s="18">
        <f t="shared" si="2"/>
        <v>0</v>
      </c>
      <c r="P72" s="18">
        <f t="shared" si="7"/>
        <v>47.612759042361638</v>
      </c>
      <c r="Q72" s="18">
        <f t="shared" si="3"/>
        <v>-47.612759042361638</v>
      </c>
      <c r="R72" s="393">
        <f t="shared" si="8"/>
        <v>7086.052749487083</v>
      </c>
      <c r="S72" s="388">
        <f>INDEX(LIBOR!$M$3:$M$122,MATCH(L72,LIBOR!$N$3:$N$122))</f>
        <v>3.2176099999999999E-2</v>
      </c>
      <c r="T72" s="394">
        <f t="shared" si="9"/>
        <v>8.1176100000000001E-2</v>
      </c>
    </row>
    <row r="73" spans="2:20">
      <c r="B73" s="392">
        <f t="shared" si="10"/>
        <v>46356</v>
      </c>
      <c r="C73" s="347">
        <f t="shared" si="11"/>
        <v>125</v>
      </c>
      <c r="D73" s="18">
        <f ca="1">INDEX('Monthly Cash Flow'!$L$137:$GT$137, MATCH(C73, 'Monthly Cash Flow'!$L$13:$GT$13, 0))</f>
        <v>0</v>
      </c>
      <c r="E73" s="18">
        <f t="shared" ref="E73:E136" ca="1" si="18">-PMT(J73/12,$E$2*12,$D$9,)</f>
        <v>0</v>
      </c>
      <c r="F73" s="18">
        <f t="shared" ca="1" si="14"/>
        <v>0</v>
      </c>
      <c r="G73" s="18">
        <f t="shared" ca="1" si="15"/>
        <v>0</v>
      </c>
      <c r="H73" s="393">
        <f t="shared" ca="1" si="16"/>
        <v>0</v>
      </c>
      <c r="I73" s="388">
        <f>MAX($J$5, INDEX(LIBOR!$M$3:$M$122,MATCH(B73,LIBOR!$N$3:$N$122)))</f>
        <v>3.22162E-2</v>
      </c>
      <c r="J73" s="394">
        <f t="shared" si="17"/>
        <v>8.4716199999999992E-2</v>
      </c>
      <c r="L73" s="392">
        <f t="shared" si="12"/>
        <v>46356</v>
      </c>
      <c r="M73" s="347">
        <f t="shared" si="13"/>
        <v>125</v>
      </c>
      <c r="N73" s="18">
        <v>7027.112570397263</v>
      </c>
      <c r="O73" s="18">
        <f t="shared" ref="O73:O136" si="19">-PMT(T73/12,$O$2*12,$N$9,)</f>
        <v>0</v>
      </c>
      <c r="P73" s="18">
        <f t="shared" si="7"/>
        <v>47.559614994991513</v>
      </c>
      <c r="Q73" s="18">
        <f t="shared" ref="Q73:Q136" si="20">+O73-P73</f>
        <v>-47.559614994991513</v>
      </c>
      <c r="R73" s="393">
        <f t="shared" si="8"/>
        <v>7074.6721853922545</v>
      </c>
      <c r="S73" s="388">
        <f>INDEX(LIBOR!$M$3:$M$122,MATCH(L73,LIBOR!$N$3:$N$122))</f>
        <v>3.22162E-2</v>
      </c>
      <c r="T73" s="394">
        <f t="shared" si="9"/>
        <v>8.1216200000000002E-2</v>
      </c>
    </row>
    <row r="74" spans="2:20">
      <c r="B74" s="392">
        <f t="shared" si="10"/>
        <v>46387</v>
      </c>
      <c r="C74" s="347">
        <f t="shared" si="11"/>
        <v>126</v>
      </c>
      <c r="D74" s="18">
        <f ca="1">INDEX('Monthly Cash Flow'!$L$137:$GT$137, MATCH(C74, 'Monthly Cash Flow'!$L$13:$GT$13, 0))</f>
        <v>0</v>
      </c>
      <c r="E74" s="18">
        <f t="shared" ca="1" si="18"/>
        <v>0</v>
      </c>
      <c r="F74" s="18">
        <f t="shared" ca="1" si="14"/>
        <v>0</v>
      </c>
      <c r="G74" s="18">
        <f t="shared" ca="1" si="15"/>
        <v>0</v>
      </c>
      <c r="H74" s="393">
        <f t="shared" ca="1" si="16"/>
        <v>0</v>
      </c>
      <c r="I74" s="388">
        <f>MAX($J$5, INDEX(LIBOR!$M$3:$M$122,MATCH(B74,LIBOR!$N$3:$N$122)))</f>
        <v>3.2280999999999997E-2</v>
      </c>
      <c r="J74" s="394">
        <f t="shared" si="17"/>
        <v>8.4780999999999995E-2</v>
      </c>
      <c r="L74" s="392">
        <f t="shared" si="12"/>
        <v>46387</v>
      </c>
      <c r="M74" s="347">
        <f t="shared" si="13"/>
        <v>126</v>
      </c>
      <c r="N74" s="18">
        <v>7015.7335565001586</v>
      </c>
      <c r="O74" s="18">
        <f t="shared" si="19"/>
        <v>0</v>
      </c>
      <c r="P74" s="18">
        <f t="shared" ref="P74:P137" si="21">N74*T74/12</f>
        <v>47.520486600490777</v>
      </c>
      <c r="Q74" s="18">
        <f t="shared" si="20"/>
        <v>-47.520486600490777</v>
      </c>
      <c r="R74" s="393">
        <f t="shared" ref="R74:R137" si="22">+N74-Q74</f>
        <v>7063.2540431006491</v>
      </c>
      <c r="S74" s="388">
        <f>INDEX(LIBOR!$M$3:$M$122,MATCH(L74,LIBOR!$N$3:$N$122))</f>
        <v>3.2280999999999997E-2</v>
      </c>
      <c r="T74" s="394">
        <f t="shared" ref="T74:T137" si="23">IF($S$2=1,S74+$T$4/10000,$T$3)</f>
        <v>8.1280999999999992E-2</v>
      </c>
    </row>
    <row r="75" spans="2:20">
      <c r="B75" s="392">
        <f t="shared" ref="B75:B138" si="24">EOMONTH(B74,1)</f>
        <v>46418</v>
      </c>
      <c r="C75" s="347">
        <f t="shared" ref="C75:C138" si="25">+C74+1</f>
        <v>127</v>
      </c>
      <c r="D75" s="18">
        <f ca="1">INDEX('Monthly Cash Flow'!$L$137:$GT$137, MATCH(C75, 'Monthly Cash Flow'!$L$13:$GT$13, 0))</f>
        <v>0</v>
      </c>
      <c r="E75" s="18">
        <f t="shared" ca="1" si="18"/>
        <v>0</v>
      </c>
      <c r="F75" s="18">
        <f t="shared" ca="1" si="14"/>
        <v>0</v>
      </c>
      <c r="G75" s="18">
        <f t="shared" ca="1" si="15"/>
        <v>0</v>
      </c>
      <c r="H75" s="393">
        <f t="shared" ca="1" si="16"/>
        <v>0</v>
      </c>
      <c r="I75" s="388">
        <f>MAX($J$5, INDEX(LIBOR!$M$3:$M$122,MATCH(B75,LIBOR!$N$3:$N$122)))</f>
        <v>3.2321700000000002E-2</v>
      </c>
      <c r="J75" s="394">
        <f t="shared" si="17"/>
        <v>8.48217E-2</v>
      </c>
      <c r="L75" s="392">
        <f t="shared" ref="L75:L138" si="26">EOMONTH(L74,1)</f>
        <v>46418</v>
      </c>
      <c r="M75" s="347">
        <f t="shared" ref="M75:M138" si="27">+M74+1</f>
        <v>127</v>
      </c>
      <c r="N75" s="18">
        <v>7004.3027137550307</v>
      </c>
      <c r="O75" s="18">
        <f t="shared" si="19"/>
        <v>0</v>
      </c>
      <c r="P75" s="18">
        <f t="shared" si="21"/>
        <v>47.466816999764376</v>
      </c>
      <c r="Q75" s="18">
        <f t="shared" si="20"/>
        <v>-47.466816999764376</v>
      </c>
      <c r="R75" s="393">
        <f t="shared" si="22"/>
        <v>7051.7695307547947</v>
      </c>
      <c r="S75" s="388">
        <f>INDEX(LIBOR!$M$3:$M$122,MATCH(L75,LIBOR!$N$3:$N$122))</f>
        <v>3.2321700000000002E-2</v>
      </c>
      <c r="T75" s="394">
        <f t="shared" si="23"/>
        <v>8.1321699999999997E-2</v>
      </c>
    </row>
    <row r="76" spans="2:20">
      <c r="B76" s="392">
        <f t="shared" si="24"/>
        <v>46446</v>
      </c>
      <c r="C76" s="347">
        <f t="shared" si="25"/>
        <v>128</v>
      </c>
      <c r="D76" s="18">
        <f ca="1">INDEX('Monthly Cash Flow'!$L$137:$GT$137, MATCH(C76, 'Monthly Cash Flow'!$L$13:$GT$13, 0))</f>
        <v>0</v>
      </c>
      <c r="E76" s="18">
        <f t="shared" ca="1" si="18"/>
        <v>0</v>
      </c>
      <c r="F76" s="18">
        <f t="shared" ca="1" si="14"/>
        <v>0</v>
      </c>
      <c r="G76" s="18">
        <f t="shared" ca="1" si="15"/>
        <v>0</v>
      </c>
      <c r="H76" s="393">
        <f t="shared" ca="1" si="16"/>
        <v>0</v>
      </c>
      <c r="I76" s="388">
        <f>MAX($J$5, INDEX(LIBOR!$M$3:$M$122,MATCH(B76,LIBOR!$N$3:$N$122)))</f>
        <v>3.2369599999999998E-2</v>
      </c>
      <c r="J76" s="394">
        <f t="shared" si="17"/>
        <v>8.4869599999999989E-2</v>
      </c>
      <c r="L76" s="392">
        <f t="shared" si="26"/>
        <v>46446</v>
      </c>
      <c r="M76" s="347">
        <f t="shared" si="27"/>
        <v>128</v>
      </c>
      <c r="N76" s="18">
        <v>6992.8198060931381</v>
      </c>
      <c r="O76" s="18">
        <f t="shared" si="19"/>
        <v>0</v>
      </c>
      <c r="P76" s="18">
        <f t="shared" si="21"/>
        <v>47.416912541156357</v>
      </c>
      <c r="Q76" s="18">
        <f t="shared" si="20"/>
        <v>-47.416912541156357</v>
      </c>
      <c r="R76" s="393">
        <f t="shared" si="22"/>
        <v>7040.2367186342944</v>
      </c>
      <c r="S76" s="388">
        <f>INDEX(LIBOR!$M$3:$M$122,MATCH(L76,LIBOR!$N$3:$N$122))</f>
        <v>3.2369599999999998E-2</v>
      </c>
      <c r="T76" s="394">
        <f t="shared" si="23"/>
        <v>8.13696E-2</v>
      </c>
    </row>
    <row r="77" spans="2:20">
      <c r="B77" s="392">
        <f t="shared" si="24"/>
        <v>46477</v>
      </c>
      <c r="C77" s="347">
        <f t="shared" si="25"/>
        <v>129</v>
      </c>
      <c r="D77" s="18">
        <f ca="1">INDEX('Monthly Cash Flow'!$L$137:$GT$137, MATCH(C77, 'Monthly Cash Flow'!$L$13:$GT$13, 0))</f>
        <v>0</v>
      </c>
      <c r="E77" s="18">
        <f t="shared" ca="1" si="18"/>
        <v>0</v>
      </c>
      <c r="F77" s="18">
        <f t="shared" ca="1" si="14"/>
        <v>0</v>
      </c>
      <c r="G77" s="18">
        <f t="shared" ca="1" si="15"/>
        <v>0</v>
      </c>
      <c r="H77" s="393">
        <f t="shared" ca="1" si="16"/>
        <v>0</v>
      </c>
      <c r="I77" s="388">
        <f>MAX($J$5, INDEX(LIBOR!$M$3:$M$122,MATCH(B77,LIBOR!$N$3:$N$122)))</f>
        <v>3.2431799999999997E-2</v>
      </c>
      <c r="J77" s="394">
        <f t="shared" si="17"/>
        <v>8.4931800000000002E-2</v>
      </c>
      <c r="L77" s="392">
        <f t="shared" si="26"/>
        <v>46477</v>
      </c>
      <c r="M77" s="347">
        <f t="shared" si="27"/>
        <v>129</v>
      </c>
      <c r="N77" s="18">
        <v>6981.2845963705004</v>
      </c>
      <c r="O77" s="18">
        <f t="shared" si="19"/>
        <v>0</v>
      </c>
      <c r="P77" s="18">
        <f t="shared" si="21"/>
        <v>47.374880916226942</v>
      </c>
      <c r="Q77" s="18">
        <f t="shared" si="20"/>
        <v>-47.374880916226942</v>
      </c>
      <c r="R77" s="393">
        <f t="shared" si="22"/>
        <v>7028.6594772867275</v>
      </c>
      <c r="S77" s="388">
        <f>INDEX(LIBOR!$M$3:$M$122,MATCH(L77,LIBOR!$N$3:$N$122))</f>
        <v>3.2431799999999997E-2</v>
      </c>
      <c r="T77" s="394">
        <f t="shared" si="23"/>
        <v>8.1431799999999999E-2</v>
      </c>
    </row>
    <row r="78" spans="2:20">
      <c r="B78" s="392">
        <f t="shared" si="24"/>
        <v>46507</v>
      </c>
      <c r="C78" s="347">
        <f t="shared" si="25"/>
        <v>130</v>
      </c>
      <c r="D78" s="18">
        <f ca="1">INDEX('Monthly Cash Flow'!$L$137:$GT$137, MATCH(C78, 'Monthly Cash Flow'!$L$13:$GT$13, 0))</f>
        <v>0</v>
      </c>
      <c r="E78" s="18">
        <f t="shared" ca="1" si="18"/>
        <v>0</v>
      </c>
      <c r="F78" s="18">
        <f t="shared" ca="1" si="14"/>
        <v>0</v>
      </c>
      <c r="G78" s="18">
        <f t="shared" ca="1" si="15"/>
        <v>0</v>
      </c>
      <c r="H78" s="393">
        <f t="shared" ca="1" si="16"/>
        <v>0</v>
      </c>
      <c r="I78" s="388">
        <f>MAX($J$5, INDEX(LIBOR!$M$3:$M$122,MATCH(B78,LIBOR!$N$3:$N$122)))</f>
        <v>3.2464E-2</v>
      </c>
      <c r="J78" s="394">
        <f t="shared" si="17"/>
        <v>8.4963999999999998E-2</v>
      </c>
      <c r="L78" s="392">
        <f t="shared" si="26"/>
        <v>46507</v>
      </c>
      <c r="M78" s="347">
        <f t="shared" si="27"/>
        <v>130</v>
      </c>
      <c r="N78" s="18">
        <v>6969.6968463629983</v>
      </c>
      <c r="O78" s="18">
        <f t="shared" si="19"/>
        <v>0</v>
      </c>
      <c r="P78" s="18">
        <f t="shared" si="21"/>
        <v>47.314948657676275</v>
      </c>
      <c r="Q78" s="18">
        <f t="shared" si="20"/>
        <v>-47.314948657676275</v>
      </c>
      <c r="R78" s="393">
        <f t="shared" si="22"/>
        <v>7017.011795020675</v>
      </c>
      <c r="S78" s="388">
        <f>INDEX(LIBOR!$M$3:$M$122,MATCH(L78,LIBOR!$N$3:$N$122))</f>
        <v>3.2464E-2</v>
      </c>
      <c r="T78" s="394">
        <f t="shared" si="23"/>
        <v>8.1464000000000009E-2</v>
      </c>
    </row>
    <row r="79" spans="2:20">
      <c r="B79" s="392">
        <f t="shared" si="24"/>
        <v>46538</v>
      </c>
      <c r="C79" s="347">
        <f t="shared" si="25"/>
        <v>131</v>
      </c>
      <c r="D79" s="18">
        <f ca="1">INDEX('Monthly Cash Flow'!$L$137:$GT$137, MATCH(C79, 'Monthly Cash Flow'!$L$13:$GT$13, 0))</f>
        <v>0</v>
      </c>
      <c r="E79" s="18">
        <f t="shared" ca="1" si="18"/>
        <v>0</v>
      </c>
      <c r="F79" s="18">
        <f t="shared" ca="1" si="14"/>
        <v>0</v>
      </c>
      <c r="G79" s="18">
        <f t="shared" ca="1" si="15"/>
        <v>0</v>
      </c>
      <c r="H79" s="393">
        <f t="shared" ca="1" si="16"/>
        <v>0</v>
      </c>
      <c r="I79" s="388">
        <f>MAX($J$5, INDEX(LIBOR!$M$3:$M$122,MATCH(B79,LIBOR!$N$3:$N$122)))</f>
        <v>3.2507300000000003E-2</v>
      </c>
      <c r="J79" s="394">
        <f t="shared" si="17"/>
        <v>8.5007300000000008E-2</v>
      </c>
      <c r="L79" s="392">
        <f t="shared" si="26"/>
        <v>46538</v>
      </c>
      <c r="M79" s="347">
        <f t="shared" si="27"/>
        <v>131</v>
      </c>
      <c r="N79" s="18">
        <v>6958.0563167614555</v>
      </c>
      <c r="O79" s="18">
        <f t="shared" si="19"/>
        <v>0</v>
      </c>
      <c r="P79" s="18">
        <f t="shared" si="21"/>
        <v>47.261031968930922</v>
      </c>
      <c r="Q79" s="18">
        <f t="shared" si="20"/>
        <v>-47.261031968930922</v>
      </c>
      <c r="R79" s="393">
        <f t="shared" si="22"/>
        <v>7005.3173487303866</v>
      </c>
      <c r="S79" s="388">
        <f>INDEX(LIBOR!$M$3:$M$122,MATCH(L79,LIBOR!$N$3:$N$122))</f>
        <v>3.2507300000000003E-2</v>
      </c>
      <c r="T79" s="394">
        <f t="shared" si="23"/>
        <v>8.1507300000000005E-2</v>
      </c>
    </row>
    <row r="80" spans="2:20">
      <c r="B80" s="392">
        <f t="shared" si="24"/>
        <v>46568</v>
      </c>
      <c r="C80" s="347">
        <f t="shared" si="25"/>
        <v>132</v>
      </c>
      <c r="D80" s="18">
        <f ca="1">INDEX('Monthly Cash Flow'!$L$137:$GT$137, MATCH(C80, 'Monthly Cash Flow'!$L$13:$GT$13, 0))</f>
        <v>0</v>
      </c>
      <c r="E80" s="18">
        <f t="shared" ca="1" si="18"/>
        <v>0</v>
      </c>
      <c r="F80" s="18">
        <f t="shared" ca="1" si="14"/>
        <v>0</v>
      </c>
      <c r="G80" s="18">
        <f t="shared" ca="1" si="15"/>
        <v>0</v>
      </c>
      <c r="H80" s="393">
        <f t="shared" ca="1" si="16"/>
        <v>0</v>
      </c>
      <c r="I80" s="388">
        <f>MAX($J$5, INDEX(LIBOR!$M$3:$M$122,MATCH(B80,LIBOR!$N$3:$N$122)))</f>
        <v>3.2555800000000003E-2</v>
      </c>
      <c r="J80" s="394">
        <f t="shared" si="17"/>
        <v>8.5055800000000001E-2</v>
      </c>
      <c r="L80" s="392">
        <f t="shared" si="26"/>
        <v>46568</v>
      </c>
      <c r="M80" s="347">
        <f t="shared" si="27"/>
        <v>132</v>
      </c>
      <c r="N80" s="18">
        <v>6946.3627671666973</v>
      </c>
      <c r="O80" s="18">
        <f t="shared" si="19"/>
        <v>0</v>
      </c>
      <c r="P80" s="18">
        <f t="shared" si="21"/>
        <v>47.209681047207816</v>
      </c>
      <c r="Q80" s="18">
        <f t="shared" si="20"/>
        <v>-47.209681047207816</v>
      </c>
      <c r="R80" s="393">
        <f t="shared" si="22"/>
        <v>6993.5724482139049</v>
      </c>
      <c r="S80" s="388">
        <f>INDEX(LIBOR!$M$3:$M$122,MATCH(L80,LIBOR!$N$3:$N$122))</f>
        <v>3.2555800000000003E-2</v>
      </c>
      <c r="T80" s="394">
        <f t="shared" si="23"/>
        <v>8.1555800000000012E-2</v>
      </c>
    </row>
    <row r="81" spans="2:20">
      <c r="B81" s="396">
        <f t="shared" si="24"/>
        <v>46599</v>
      </c>
      <c r="C81" s="357">
        <f t="shared" si="25"/>
        <v>133</v>
      </c>
      <c r="D81" s="397">
        <f ca="1">INDEX('Monthly Cash Flow'!$L$137:$GT$137, MATCH(C81, 'Monthly Cash Flow'!$L$13:$GT$13, 0))</f>
        <v>0</v>
      </c>
      <c r="E81" s="397">
        <f t="shared" ca="1" si="18"/>
        <v>0</v>
      </c>
      <c r="F81" s="397">
        <f t="shared" ca="1" si="14"/>
        <v>0</v>
      </c>
      <c r="G81" s="397">
        <f t="shared" ca="1" si="15"/>
        <v>0</v>
      </c>
      <c r="H81" s="398">
        <f t="shared" ca="1" si="16"/>
        <v>0</v>
      </c>
      <c r="I81" s="399">
        <f>MAX($J$5, INDEX(LIBOR!$M$3:$M$122,MATCH(B81,LIBOR!$N$3:$N$122)))</f>
        <v>3.2577000000000002E-2</v>
      </c>
      <c r="J81" s="400">
        <f t="shared" si="17"/>
        <v>8.5077E-2</v>
      </c>
      <c r="L81" s="392">
        <f t="shared" si="26"/>
        <v>46599</v>
      </c>
      <c r="M81" s="357">
        <f t="shared" si="27"/>
        <v>133</v>
      </c>
      <c r="N81" s="397">
        <v>6934.6159560845836</v>
      </c>
      <c r="O81" s="397">
        <f t="shared" si="19"/>
        <v>0</v>
      </c>
      <c r="P81" s="397">
        <f t="shared" si="21"/>
        <v>47.142097154126013</v>
      </c>
      <c r="Q81" s="397">
        <f t="shared" si="20"/>
        <v>-47.142097154126013</v>
      </c>
      <c r="R81" s="398">
        <f t="shared" si="22"/>
        <v>6981.7580532387092</v>
      </c>
      <c r="S81" s="399">
        <f>INDEX(LIBOR!$M$3:$M$122,MATCH(L81,LIBOR!$N$3:$N$122))</f>
        <v>3.2577000000000002E-2</v>
      </c>
      <c r="T81" s="400">
        <f t="shared" si="23"/>
        <v>8.1577000000000011E-2</v>
      </c>
    </row>
    <row r="82" spans="2:20">
      <c r="B82" s="396">
        <f t="shared" si="24"/>
        <v>46630</v>
      </c>
      <c r="C82" s="357">
        <f t="shared" si="25"/>
        <v>134</v>
      </c>
      <c r="D82" s="397">
        <f ca="1">INDEX('Monthly Cash Flow'!$L$137:$GT$137, MATCH(C82, 'Monthly Cash Flow'!$L$13:$GT$13, 0))</f>
        <v>0</v>
      </c>
      <c r="E82" s="397">
        <f t="shared" ca="1" si="18"/>
        <v>0</v>
      </c>
      <c r="F82" s="397">
        <f t="shared" ca="1" si="14"/>
        <v>0</v>
      </c>
      <c r="G82" s="397">
        <f t="shared" ca="1" si="15"/>
        <v>0</v>
      </c>
      <c r="H82" s="398">
        <f t="shared" ca="1" si="16"/>
        <v>0</v>
      </c>
      <c r="I82" s="399">
        <f>MAX($J$5, INDEX(LIBOR!$M$3:$M$122,MATCH(B82,LIBOR!$N$3:$N$122)))</f>
        <v>3.2608400000000003E-2</v>
      </c>
      <c r="J82" s="400">
        <f t="shared" si="17"/>
        <v>8.5108400000000001E-2</v>
      </c>
      <c r="L82" s="392">
        <f t="shared" si="26"/>
        <v>46630</v>
      </c>
      <c r="M82" s="357">
        <f t="shared" si="27"/>
        <v>134</v>
      </c>
      <c r="N82" s="397">
        <v>6922.8156409210233</v>
      </c>
      <c r="O82" s="397">
        <f t="shared" si="19"/>
        <v>0</v>
      </c>
      <c r="P82" s="397">
        <f t="shared" si="21"/>
        <v>47.079992329211599</v>
      </c>
      <c r="Q82" s="397">
        <f t="shared" si="20"/>
        <v>-47.079992329211599</v>
      </c>
      <c r="R82" s="398">
        <f t="shared" si="22"/>
        <v>6969.8956332502348</v>
      </c>
      <c r="S82" s="399">
        <f>INDEX(LIBOR!$M$3:$M$122,MATCH(L82,LIBOR!$N$3:$N$122))</f>
        <v>3.2608400000000003E-2</v>
      </c>
      <c r="T82" s="400">
        <f t="shared" si="23"/>
        <v>8.1608399999999998E-2</v>
      </c>
    </row>
    <row r="83" spans="2:20">
      <c r="B83" s="396">
        <f t="shared" si="24"/>
        <v>46660</v>
      </c>
      <c r="C83" s="357">
        <f t="shared" si="25"/>
        <v>135</v>
      </c>
      <c r="D83" s="397">
        <f ca="1">INDEX('Monthly Cash Flow'!$L$137:$GT$137, MATCH(C83, 'Monthly Cash Flow'!$L$13:$GT$13, 0))</f>
        <v>0</v>
      </c>
      <c r="E83" s="397">
        <f t="shared" ca="1" si="18"/>
        <v>0</v>
      </c>
      <c r="F83" s="397">
        <f t="shared" ca="1" si="14"/>
        <v>0</v>
      </c>
      <c r="G83" s="397">
        <f t="shared" ca="1" si="15"/>
        <v>0</v>
      </c>
      <c r="H83" s="398">
        <f t="shared" ca="1" si="16"/>
        <v>0</v>
      </c>
      <c r="I83" s="399">
        <f>MAX($J$5, INDEX(LIBOR!$M$3:$M$122,MATCH(B83,LIBOR!$N$3:$N$122)))</f>
        <v>3.2653399999999999E-2</v>
      </c>
      <c r="J83" s="400">
        <f t="shared" si="17"/>
        <v>8.515339999999999E-2</v>
      </c>
      <c r="L83" s="392">
        <f t="shared" si="26"/>
        <v>46660</v>
      </c>
      <c r="M83" s="357">
        <f t="shared" si="27"/>
        <v>135</v>
      </c>
      <c r="N83" s="397">
        <v>6910.9615779769638</v>
      </c>
      <c r="O83" s="397">
        <f t="shared" si="19"/>
        <v>0</v>
      </c>
      <c r="P83" s="397">
        <f t="shared" si="21"/>
        <v>47.025292509265348</v>
      </c>
      <c r="Q83" s="397">
        <f t="shared" si="20"/>
        <v>-47.025292509265348</v>
      </c>
      <c r="R83" s="398">
        <f t="shared" si="22"/>
        <v>6957.9868704862292</v>
      </c>
      <c r="S83" s="399">
        <f>INDEX(LIBOR!$M$3:$M$122,MATCH(L83,LIBOR!$N$3:$N$122))</f>
        <v>3.2653399999999999E-2</v>
      </c>
      <c r="T83" s="400">
        <f t="shared" si="23"/>
        <v>8.1653400000000001E-2</v>
      </c>
    </row>
    <row r="84" spans="2:20">
      <c r="B84" s="396">
        <f t="shared" si="24"/>
        <v>46691</v>
      </c>
      <c r="C84" s="357">
        <f t="shared" si="25"/>
        <v>136</v>
      </c>
      <c r="D84" s="397">
        <f ca="1">INDEX('Monthly Cash Flow'!$L$137:$GT$137, MATCH(C84, 'Monthly Cash Flow'!$L$13:$GT$13, 0))</f>
        <v>0</v>
      </c>
      <c r="E84" s="397">
        <f t="shared" ca="1" si="18"/>
        <v>0</v>
      </c>
      <c r="F84" s="397">
        <f t="shared" ca="1" si="14"/>
        <v>0</v>
      </c>
      <c r="G84" s="397">
        <f t="shared" ca="1" si="15"/>
        <v>0</v>
      </c>
      <c r="H84" s="398">
        <f t="shared" ca="1" si="16"/>
        <v>0</v>
      </c>
      <c r="I84" s="399">
        <f>MAX($J$5, INDEX(LIBOR!$M$3:$M$122,MATCH(B84,LIBOR!$N$3:$N$122)))</f>
        <v>3.2668099999999999E-2</v>
      </c>
      <c r="J84" s="400">
        <f t="shared" si="17"/>
        <v>8.5168099999999997E-2</v>
      </c>
      <c r="L84" s="392">
        <f t="shared" si="26"/>
        <v>46691</v>
      </c>
      <c r="M84" s="357">
        <f t="shared" si="27"/>
        <v>136</v>
      </c>
      <c r="N84" s="397">
        <v>6899.0535224433579</v>
      </c>
      <c r="O84" s="397">
        <f t="shared" si="19"/>
        <v>0</v>
      </c>
      <c r="P84" s="397">
        <f t="shared" si="21"/>
        <v>46.952716081354701</v>
      </c>
      <c r="Q84" s="397">
        <f t="shared" si="20"/>
        <v>-46.952716081354701</v>
      </c>
      <c r="R84" s="398">
        <f t="shared" si="22"/>
        <v>6946.0062385247129</v>
      </c>
      <c r="S84" s="399">
        <f>INDEX(LIBOR!$M$3:$M$122,MATCH(L84,LIBOR!$N$3:$N$122))</f>
        <v>3.2668099999999999E-2</v>
      </c>
      <c r="T84" s="400">
        <f t="shared" si="23"/>
        <v>8.1668099999999993E-2</v>
      </c>
    </row>
    <row r="85" spans="2:20">
      <c r="B85" s="396">
        <f t="shared" si="24"/>
        <v>46721</v>
      </c>
      <c r="C85" s="357">
        <f t="shared" si="25"/>
        <v>137</v>
      </c>
      <c r="D85" s="397">
        <f ca="1">INDEX('Monthly Cash Flow'!$L$137:$GT$137, MATCH(C85, 'Monthly Cash Flow'!$L$13:$GT$13, 0))</f>
        <v>0</v>
      </c>
      <c r="E85" s="397">
        <f t="shared" ca="1" si="18"/>
        <v>0</v>
      </c>
      <c r="F85" s="397">
        <f t="shared" ca="1" si="14"/>
        <v>0</v>
      </c>
      <c r="G85" s="397">
        <f t="shared" ca="1" si="15"/>
        <v>0</v>
      </c>
      <c r="H85" s="398">
        <f t="shared" ca="1" si="16"/>
        <v>0</v>
      </c>
      <c r="I85" s="399">
        <f>MAX($J$5, INDEX(LIBOR!$M$3:$M$122,MATCH(B85,LIBOR!$N$3:$N$122)))</f>
        <v>3.26918E-2</v>
      </c>
      <c r="J85" s="400">
        <f t="shared" si="17"/>
        <v>8.5191799999999998E-2</v>
      </c>
      <c r="L85" s="392">
        <f t="shared" si="26"/>
        <v>46721</v>
      </c>
      <c r="M85" s="357">
        <f t="shared" si="27"/>
        <v>137</v>
      </c>
      <c r="N85" s="397">
        <v>6887.0912283961088</v>
      </c>
      <c r="O85" s="397">
        <f t="shared" si="19"/>
        <v>0</v>
      </c>
      <c r="P85" s="397">
        <f t="shared" si="21"/>
        <v>46.884906600990774</v>
      </c>
      <c r="Q85" s="397">
        <f t="shared" si="20"/>
        <v>-46.884906600990774</v>
      </c>
      <c r="R85" s="398">
        <f t="shared" si="22"/>
        <v>6933.9761349970995</v>
      </c>
      <c r="S85" s="399">
        <f>INDEX(LIBOR!$M$3:$M$122,MATCH(L85,LIBOR!$N$3:$N$122))</f>
        <v>3.26918E-2</v>
      </c>
      <c r="T85" s="400">
        <f t="shared" si="23"/>
        <v>8.1691800000000009E-2</v>
      </c>
    </row>
    <row r="86" spans="2:20">
      <c r="B86" s="396">
        <f t="shared" si="24"/>
        <v>46752</v>
      </c>
      <c r="C86" s="357">
        <f t="shared" si="25"/>
        <v>138</v>
      </c>
      <c r="D86" s="397">
        <f ca="1">INDEX('Monthly Cash Flow'!$L$137:$GT$137, MATCH(C86, 'Monthly Cash Flow'!$L$13:$GT$13, 0))</f>
        <v>0</v>
      </c>
      <c r="E86" s="397">
        <f t="shared" ca="1" si="18"/>
        <v>0</v>
      </c>
      <c r="F86" s="397">
        <f t="shared" ca="1" si="14"/>
        <v>0</v>
      </c>
      <c r="G86" s="397">
        <f t="shared" ca="1" si="15"/>
        <v>0</v>
      </c>
      <c r="H86" s="398">
        <f t="shared" ca="1" si="16"/>
        <v>0</v>
      </c>
      <c r="I86" s="399">
        <f>MAX($J$5, INDEX(LIBOR!$M$3:$M$122,MATCH(B86,LIBOR!$N$3:$N$122)))</f>
        <v>3.2729800000000003E-2</v>
      </c>
      <c r="J86" s="400">
        <f t="shared" si="17"/>
        <v>8.5229799999999994E-2</v>
      </c>
      <c r="L86" s="392">
        <f t="shared" si="26"/>
        <v>46752</v>
      </c>
      <c r="M86" s="357">
        <f t="shared" si="27"/>
        <v>138</v>
      </c>
      <c r="N86" s="397">
        <v>6875.0744487909906</v>
      </c>
      <c r="O86" s="397">
        <f t="shared" si="19"/>
        <v>0</v>
      </c>
      <c r="P86" s="397">
        <f t="shared" si="21"/>
        <v>46.824871640399827</v>
      </c>
      <c r="Q86" s="397">
        <f t="shared" si="20"/>
        <v>-46.824871640399827</v>
      </c>
      <c r="R86" s="398">
        <f t="shared" si="22"/>
        <v>6921.8993204313902</v>
      </c>
      <c r="S86" s="399">
        <f>INDEX(LIBOR!$M$3:$M$122,MATCH(L86,LIBOR!$N$3:$N$122))</f>
        <v>3.2729800000000003E-2</v>
      </c>
      <c r="T86" s="400">
        <f t="shared" si="23"/>
        <v>8.1729800000000005E-2</v>
      </c>
    </row>
    <row r="87" spans="2:20">
      <c r="B87" s="396">
        <f t="shared" si="24"/>
        <v>46783</v>
      </c>
      <c r="C87" s="357">
        <f t="shared" si="25"/>
        <v>139</v>
      </c>
      <c r="D87" s="397">
        <f ca="1">INDEX('Monthly Cash Flow'!$L$137:$GT$137, MATCH(C87, 'Monthly Cash Flow'!$L$13:$GT$13, 0))</f>
        <v>0</v>
      </c>
      <c r="E87" s="397">
        <f t="shared" ca="1" si="18"/>
        <v>0</v>
      </c>
      <c r="F87" s="397">
        <f t="shared" ca="1" si="14"/>
        <v>0</v>
      </c>
      <c r="G87" s="397">
        <f t="shared" ca="1" si="15"/>
        <v>0</v>
      </c>
      <c r="H87" s="398">
        <f t="shared" ca="1" si="16"/>
        <v>0</v>
      </c>
      <c r="I87" s="399">
        <f>MAX($J$5, INDEX(LIBOR!$M$3:$M$122,MATCH(B87,LIBOR!$N$3:$N$122)))</f>
        <v>3.2742300000000002E-2</v>
      </c>
      <c r="J87" s="400">
        <f t="shared" si="17"/>
        <v>8.5242299999999993E-2</v>
      </c>
      <c r="L87" s="392">
        <f t="shared" si="26"/>
        <v>46783</v>
      </c>
      <c r="M87" s="357">
        <f t="shared" si="27"/>
        <v>139</v>
      </c>
      <c r="N87" s="397">
        <v>6863.0029354585467</v>
      </c>
      <c r="O87" s="397">
        <f t="shared" si="19"/>
        <v>0</v>
      </c>
      <c r="P87" s="397">
        <f t="shared" si="21"/>
        <v>46.749803737594426</v>
      </c>
      <c r="Q87" s="397">
        <f t="shared" si="20"/>
        <v>-46.749803737594426</v>
      </c>
      <c r="R87" s="398">
        <f t="shared" si="22"/>
        <v>6909.7527391961412</v>
      </c>
      <c r="S87" s="399">
        <f>INDEX(LIBOR!$M$3:$M$122,MATCH(L87,LIBOR!$N$3:$N$122))</f>
        <v>3.2742300000000002E-2</v>
      </c>
      <c r="T87" s="400">
        <f t="shared" si="23"/>
        <v>8.1742300000000004E-2</v>
      </c>
    </row>
    <row r="88" spans="2:20">
      <c r="B88" s="396">
        <f t="shared" si="24"/>
        <v>46812</v>
      </c>
      <c r="C88" s="357">
        <f t="shared" si="25"/>
        <v>140</v>
      </c>
      <c r="D88" s="397">
        <f ca="1">INDEX('Monthly Cash Flow'!$L$137:$GT$137, MATCH(C88, 'Monthly Cash Flow'!$L$13:$GT$13, 0))</f>
        <v>0</v>
      </c>
      <c r="E88" s="397">
        <f t="shared" ca="1" si="18"/>
        <v>0</v>
      </c>
      <c r="F88" s="397">
        <f t="shared" ca="1" si="14"/>
        <v>0</v>
      </c>
      <c r="G88" s="397">
        <f t="shared" ca="1" si="15"/>
        <v>0</v>
      </c>
      <c r="H88" s="398">
        <f t="shared" ca="1" si="16"/>
        <v>0</v>
      </c>
      <c r="I88" s="399">
        <f>MAX($J$5, INDEX(LIBOR!$M$3:$M$122,MATCH(B88,LIBOR!$N$3:$N$122)))</f>
        <v>3.2769300000000001E-2</v>
      </c>
      <c r="J88" s="400">
        <f t="shared" si="17"/>
        <v>8.5269299999999992E-2</v>
      </c>
      <c r="L88" s="392">
        <f t="shared" si="26"/>
        <v>46812</v>
      </c>
      <c r="M88" s="357">
        <f t="shared" si="27"/>
        <v>140</v>
      </c>
      <c r="N88" s="397">
        <v>6850.8764390989645</v>
      </c>
      <c r="O88" s="397">
        <f t="shared" si="19"/>
        <v>0</v>
      </c>
      <c r="P88" s="397">
        <f t="shared" si="21"/>
        <v>46.682614234301248</v>
      </c>
      <c r="Q88" s="397">
        <f t="shared" si="20"/>
        <v>-46.682614234301248</v>
      </c>
      <c r="R88" s="398">
        <f t="shared" si="22"/>
        <v>6897.5590533332661</v>
      </c>
      <c r="S88" s="399">
        <f>INDEX(LIBOR!$M$3:$M$122,MATCH(L88,LIBOR!$N$3:$N$122))</f>
        <v>3.2769300000000001E-2</v>
      </c>
      <c r="T88" s="400">
        <f t="shared" si="23"/>
        <v>8.1769300000000003E-2</v>
      </c>
    </row>
    <row r="89" spans="2:20">
      <c r="B89" s="396">
        <f t="shared" si="24"/>
        <v>46843</v>
      </c>
      <c r="C89" s="357">
        <f t="shared" si="25"/>
        <v>141</v>
      </c>
      <c r="D89" s="397">
        <f ca="1">INDEX('Monthly Cash Flow'!$L$137:$GT$137, MATCH(C89, 'Monthly Cash Flow'!$L$13:$GT$13, 0))</f>
        <v>0</v>
      </c>
      <c r="E89" s="397">
        <f t="shared" ca="1" si="18"/>
        <v>0</v>
      </c>
      <c r="F89" s="397">
        <f t="shared" ca="1" si="14"/>
        <v>0</v>
      </c>
      <c r="G89" s="397">
        <f t="shared" ca="1" si="15"/>
        <v>0</v>
      </c>
      <c r="H89" s="398">
        <f t="shared" ca="1" si="16"/>
        <v>0</v>
      </c>
      <c r="I89" s="399">
        <f>MAX($J$5, INDEX(LIBOR!$M$3:$M$122,MATCH(B89,LIBOR!$N$3:$N$122)))</f>
        <v>3.2809699999999997E-2</v>
      </c>
      <c r="J89" s="400">
        <f t="shared" si="17"/>
        <v>8.5309699999999988E-2</v>
      </c>
      <c r="L89" s="392">
        <f t="shared" si="26"/>
        <v>46843</v>
      </c>
      <c r="M89" s="357">
        <f t="shared" si="27"/>
        <v>141</v>
      </c>
      <c r="N89" s="397">
        <v>6838.694709276926</v>
      </c>
      <c r="O89" s="397">
        <f t="shared" si="19"/>
        <v>0</v>
      </c>
      <c r="P89" s="397">
        <f t="shared" si="21"/>
        <v>46.622630213127707</v>
      </c>
      <c r="Q89" s="397">
        <f t="shared" si="20"/>
        <v>-46.622630213127707</v>
      </c>
      <c r="R89" s="398">
        <f t="shared" si="22"/>
        <v>6885.3173394900541</v>
      </c>
      <c r="S89" s="399">
        <f>INDEX(LIBOR!$M$3:$M$122,MATCH(L89,LIBOR!$N$3:$N$122))</f>
        <v>3.2809699999999997E-2</v>
      </c>
      <c r="T89" s="400">
        <f t="shared" si="23"/>
        <v>8.1809699999999999E-2</v>
      </c>
    </row>
    <row r="90" spans="2:20">
      <c r="B90" s="396">
        <f t="shared" si="24"/>
        <v>46873</v>
      </c>
      <c r="C90" s="357">
        <f t="shared" si="25"/>
        <v>142</v>
      </c>
      <c r="D90" s="397">
        <f ca="1">INDEX('Monthly Cash Flow'!$L$137:$GT$137, MATCH(C90, 'Monthly Cash Flow'!$L$13:$GT$13, 0))</f>
        <v>0</v>
      </c>
      <c r="E90" s="397">
        <f t="shared" ca="1" si="18"/>
        <v>0</v>
      </c>
      <c r="F90" s="397">
        <f t="shared" ca="1" si="14"/>
        <v>0</v>
      </c>
      <c r="G90" s="397">
        <f t="shared" ca="1" si="15"/>
        <v>0</v>
      </c>
      <c r="H90" s="398">
        <f t="shared" ca="1" si="16"/>
        <v>0</v>
      </c>
      <c r="I90" s="399">
        <f>MAX($J$5, INDEX(LIBOR!$M$3:$M$122,MATCH(B90,LIBOR!$N$3:$N$122)))</f>
        <v>3.2809699999999997E-2</v>
      </c>
      <c r="J90" s="400">
        <f t="shared" si="17"/>
        <v>8.5309699999999988E-2</v>
      </c>
      <c r="L90" s="392">
        <f t="shared" si="26"/>
        <v>46873</v>
      </c>
      <c r="M90" s="357">
        <f t="shared" si="27"/>
        <v>142</v>
      </c>
      <c r="N90" s="397">
        <v>6826.4574944164369</v>
      </c>
      <c r="O90" s="397">
        <f t="shared" si="19"/>
        <v>0</v>
      </c>
      <c r="P90" s="397">
        <f t="shared" si="21"/>
        <v>46.539203306746693</v>
      </c>
      <c r="Q90" s="397">
        <f t="shared" si="20"/>
        <v>-46.539203306746693</v>
      </c>
      <c r="R90" s="398">
        <f t="shared" si="22"/>
        <v>6872.9966977231834</v>
      </c>
      <c r="S90" s="399">
        <f>INDEX(LIBOR!$M$3:$M$122,MATCH(L90,LIBOR!$N$3:$N$122))</f>
        <v>3.2809699999999997E-2</v>
      </c>
      <c r="T90" s="400">
        <f t="shared" si="23"/>
        <v>8.1809699999999999E-2</v>
      </c>
    </row>
    <row r="91" spans="2:20">
      <c r="B91" s="396">
        <f t="shared" si="24"/>
        <v>46904</v>
      </c>
      <c r="C91" s="357">
        <f t="shared" si="25"/>
        <v>143</v>
      </c>
      <c r="D91" s="397">
        <f ca="1">INDEX('Monthly Cash Flow'!$L$137:$GT$137, MATCH(C91, 'Monthly Cash Flow'!$L$13:$GT$13, 0))</f>
        <v>0</v>
      </c>
      <c r="E91" s="397">
        <f t="shared" ca="1" si="18"/>
        <v>0</v>
      </c>
      <c r="F91" s="397">
        <f t="shared" ca="1" si="14"/>
        <v>0</v>
      </c>
      <c r="G91" s="397">
        <f t="shared" ca="1" si="15"/>
        <v>0</v>
      </c>
      <c r="H91" s="398">
        <f t="shared" ca="1" si="16"/>
        <v>0</v>
      </c>
      <c r="I91" s="399">
        <f>MAX($J$5, INDEX(LIBOR!$M$3:$M$122,MATCH(B91,LIBOR!$N$3:$N$122)))</f>
        <v>3.2809699999999997E-2</v>
      </c>
      <c r="J91" s="400">
        <f t="shared" si="17"/>
        <v>8.5309699999999988E-2</v>
      </c>
      <c r="L91" s="392">
        <f t="shared" si="26"/>
        <v>46904</v>
      </c>
      <c r="M91" s="357">
        <f t="shared" si="27"/>
        <v>143</v>
      </c>
      <c r="N91" s="397">
        <v>6814.1645417956315</v>
      </c>
      <c r="O91" s="397">
        <f t="shared" si="19"/>
        <v>0</v>
      </c>
      <c r="P91" s="397">
        <f t="shared" si="21"/>
        <v>46.455396409578178</v>
      </c>
      <c r="Q91" s="397">
        <f t="shared" si="20"/>
        <v>-46.455396409578178</v>
      </c>
      <c r="R91" s="398">
        <f t="shared" si="22"/>
        <v>6860.61993820521</v>
      </c>
      <c r="S91" s="399">
        <f>INDEX(LIBOR!$M$3:$M$122,MATCH(L91,LIBOR!$N$3:$N$122))</f>
        <v>3.2809699999999997E-2</v>
      </c>
      <c r="T91" s="400">
        <f t="shared" si="23"/>
        <v>8.1809699999999999E-2</v>
      </c>
    </row>
    <row r="92" spans="2:20">
      <c r="B92" s="396">
        <f t="shared" si="24"/>
        <v>46934</v>
      </c>
      <c r="C92" s="357">
        <f t="shared" si="25"/>
        <v>144</v>
      </c>
      <c r="D92" s="397">
        <f ca="1">INDEX('Monthly Cash Flow'!$L$137:$GT$137, MATCH(C92, 'Monthly Cash Flow'!$L$13:$GT$13, 0))</f>
        <v>0</v>
      </c>
      <c r="E92" s="397">
        <f t="shared" ca="1" si="18"/>
        <v>0</v>
      </c>
      <c r="F92" s="397">
        <f t="shared" ca="1" si="14"/>
        <v>0</v>
      </c>
      <c r="G92" s="397">
        <f t="shared" ca="1" si="15"/>
        <v>0</v>
      </c>
      <c r="H92" s="398">
        <f t="shared" ca="1" si="16"/>
        <v>0</v>
      </c>
      <c r="I92" s="399">
        <f>MAX($J$5, INDEX(LIBOR!$M$3:$M$122,MATCH(B92,LIBOR!$N$3:$N$122)))</f>
        <v>3.2809699999999997E-2</v>
      </c>
      <c r="J92" s="400">
        <f t="shared" si="17"/>
        <v>8.5309699999999988E-2</v>
      </c>
      <c r="L92" s="392">
        <f t="shared" si="26"/>
        <v>46934</v>
      </c>
      <c r="M92" s="357">
        <f t="shared" si="27"/>
        <v>144</v>
      </c>
      <c r="N92" s="397">
        <v>6801.815597541553</v>
      </c>
      <c r="O92" s="397">
        <f t="shared" si="19"/>
        <v>0</v>
      </c>
      <c r="P92" s="397">
        <f t="shared" si="21"/>
        <v>46.371207790849603</v>
      </c>
      <c r="Q92" s="397">
        <f t="shared" si="20"/>
        <v>-46.371207790849603</v>
      </c>
      <c r="R92" s="398">
        <f t="shared" si="22"/>
        <v>6848.1868053324024</v>
      </c>
      <c r="S92" s="399">
        <f>INDEX(LIBOR!$M$3:$M$122,MATCH(L92,LIBOR!$N$3:$N$122))</f>
        <v>3.2809699999999997E-2</v>
      </c>
      <c r="T92" s="400">
        <f t="shared" si="23"/>
        <v>8.1809699999999999E-2</v>
      </c>
    </row>
    <row r="93" spans="2:20">
      <c r="B93" s="396">
        <f t="shared" si="24"/>
        <v>46965</v>
      </c>
      <c r="C93" s="357">
        <f t="shared" si="25"/>
        <v>145</v>
      </c>
      <c r="D93" s="397">
        <f ca="1">INDEX('Monthly Cash Flow'!$L$137:$GT$137, MATCH(C93, 'Monthly Cash Flow'!$L$13:$GT$13, 0))</f>
        <v>0</v>
      </c>
      <c r="E93" s="397">
        <f t="shared" ca="1" si="18"/>
        <v>0</v>
      </c>
      <c r="F93" s="397">
        <f t="shared" ca="1" si="14"/>
        <v>0</v>
      </c>
      <c r="G93" s="397">
        <f t="shared" ca="1" si="15"/>
        <v>0</v>
      </c>
      <c r="H93" s="398">
        <f t="shared" ca="1" si="16"/>
        <v>0</v>
      </c>
      <c r="I93" s="399">
        <f>MAX($J$5, INDEX(LIBOR!$M$3:$M$122,MATCH(B93,LIBOR!$N$3:$N$122)))</f>
        <v>3.2809699999999997E-2</v>
      </c>
      <c r="J93" s="400">
        <f t="shared" si="17"/>
        <v>8.5309699999999988E-2</v>
      </c>
      <c r="L93" s="392">
        <f t="shared" si="26"/>
        <v>46965</v>
      </c>
      <c r="M93" s="357">
        <f t="shared" si="27"/>
        <v>145</v>
      </c>
      <c r="N93" s="397">
        <v>6789.4104066249092</v>
      </c>
      <c r="O93" s="397">
        <f t="shared" si="19"/>
        <v>0</v>
      </c>
      <c r="P93" s="397">
        <f t="shared" si="21"/>
        <v>46.286635711905149</v>
      </c>
      <c r="Q93" s="397">
        <f t="shared" si="20"/>
        <v>-46.286635711905149</v>
      </c>
      <c r="R93" s="398">
        <f t="shared" si="22"/>
        <v>6835.6970423368148</v>
      </c>
      <c r="S93" s="399">
        <f>INDEX(LIBOR!$M$3:$M$122,MATCH(L93,LIBOR!$N$3:$N$122))</f>
        <v>3.2809699999999997E-2</v>
      </c>
      <c r="T93" s="400">
        <f t="shared" si="23"/>
        <v>8.1809699999999999E-2</v>
      </c>
    </row>
    <row r="94" spans="2:20">
      <c r="B94" s="396">
        <f t="shared" si="24"/>
        <v>46996</v>
      </c>
      <c r="C94" s="357">
        <f t="shared" si="25"/>
        <v>146</v>
      </c>
      <c r="D94" s="397">
        <f ca="1">INDEX('Monthly Cash Flow'!$L$137:$GT$137, MATCH(C94, 'Monthly Cash Flow'!$L$13:$GT$13, 0))</f>
        <v>0</v>
      </c>
      <c r="E94" s="397">
        <f t="shared" ca="1" si="18"/>
        <v>0</v>
      </c>
      <c r="F94" s="397">
        <f t="shared" ca="1" si="14"/>
        <v>0</v>
      </c>
      <c r="G94" s="397">
        <f t="shared" ca="1" si="15"/>
        <v>0</v>
      </c>
      <c r="H94" s="398">
        <f t="shared" ca="1" si="16"/>
        <v>0</v>
      </c>
      <c r="I94" s="399">
        <f>MAX($J$5, INDEX(LIBOR!$M$3:$M$122,MATCH(B94,LIBOR!$N$3:$N$122)))</f>
        <v>3.2809699999999997E-2</v>
      </c>
      <c r="J94" s="400">
        <f t="shared" si="17"/>
        <v>8.5309699999999988E-2</v>
      </c>
      <c r="L94" s="392">
        <f t="shared" si="26"/>
        <v>46996</v>
      </c>
      <c r="M94" s="357">
        <f t="shared" si="27"/>
        <v>146</v>
      </c>
      <c r="N94" s="397">
        <v>6776.948712854808</v>
      </c>
      <c r="O94" s="397">
        <f t="shared" si="19"/>
        <v>0</v>
      </c>
      <c r="P94" s="397">
        <f t="shared" si="21"/>
        <v>46.201678426169828</v>
      </c>
      <c r="Q94" s="397">
        <f t="shared" si="20"/>
        <v>-46.201678426169828</v>
      </c>
      <c r="R94" s="398">
        <f t="shared" si="22"/>
        <v>6823.1503912809776</v>
      </c>
      <c r="S94" s="399">
        <f>INDEX(LIBOR!$M$3:$M$122,MATCH(L94,LIBOR!$N$3:$N$122))</f>
        <v>3.2809699999999997E-2</v>
      </c>
      <c r="T94" s="400">
        <f t="shared" si="23"/>
        <v>8.1809699999999999E-2</v>
      </c>
    </row>
    <row r="95" spans="2:20">
      <c r="B95" s="396">
        <f t="shared" si="24"/>
        <v>47026</v>
      </c>
      <c r="C95" s="357">
        <f t="shared" si="25"/>
        <v>147</v>
      </c>
      <c r="D95" s="397">
        <f ca="1">INDEX('Monthly Cash Flow'!$L$137:$GT$137, MATCH(C95, 'Monthly Cash Flow'!$L$13:$GT$13, 0))</f>
        <v>0</v>
      </c>
      <c r="E95" s="397">
        <f t="shared" ca="1" si="18"/>
        <v>0</v>
      </c>
      <c r="F95" s="397">
        <f t="shared" ca="1" si="14"/>
        <v>0</v>
      </c>
      <c r="G95" s="397">
        <f t="shared" ca="1" si="15"/>
        <v>0</v>
      </c>
      <c r="H95" s="398">
        <f t="shared" ca="1" si="16"/>
        <v>0</v>
      </c>
      <c r="I95" s="399">
        <f>MAX($J$5, INDEX(LIBOR!$M$3:$M$122,MATCH(B95,LIBOR!$N$3:$N$122)))</f>
        <v>3.2809699999999997E-2</v>
      </c>
      <c r="J95" s="400">
        <f t="shared" si="17"/>
        <v>8.5309699999999988E-2</v>
      </c>
      <c r="L95" s="392">
        <f t="shared" si="26"/>
        <v>47026</v>
      </c>
      <c r="M95" s="357">
        <f t="shared" si="27"/>
        <v>147</v>
      </c>
      <c r="N95" s="397">
        <v>6764.4302588734654</v>
      </c>
      <c r="O95" s="397">
        <f t="shared" si="19"/>
        <v>0</v>
      </c>
      <c r="P95" s="397">
        <f t="shared" si="21"/>
        <v>46.11633417911338</v>
      </c>
      <c r="Q95" s="397">
        <f t="shared" si="20"/>
        <v>-46.11633417911338</v>
      </c>
      <c r="R95" s="398">
        <f t="shared" si="22"/>
        <v>6810.5465930525788</v>
      </c>
      <c r="S95" s="399">
        <f>INDEX(LIBOR!$M$3:$M$122,MATCH(L95,LIBOR!$N$3:$N$122))</f>
        <v>3.2809699999999997E-2</v>
      </c>
      <c r="T95" s="400">
        <f t="shared" si="23"/>
        <v>8.1809699999999999E-2</v>
      </c>
    </row>
    <row r="96" spans="2:20">
      <c r="B96" s="396">
        <f t="shared" si="24"/>
        <v>47057</v>
      </c>
      <c r="C96" s="357">
        <f t="shared" si="25"/>
        <v>148</v>
      </c>
      <c r="D96" s="397">
        <f ca="1">INDEX('Monthly Cash Flow'!$L$137:$GT$137, MATCH(C96, 'Monthly Cash Flow'!$L$13:$GT$13, 0))</f>
        <v>0</v>
      </c>
      <c r="E96" s="397">
        <f t="shared" ca="1" si="18"/>
        <v>0</v>
      </c>
      <c r="F96" s="397">
        <f t="shared" ca="1" si="14"/>
        <v>0</v>
      </c>
      <c r="G96" s="397">
        <f t="shared" ca="1" si="15"/>
        <v>0</v>
      </c>
      <c r="H96" s="398">
        <f t="shared" ca="1" si="16"/>
        <v>0</v>
      </c>
      <c r="I96" s="399">
        <f>MAX($J$5, INDEX(LIBOR!$M$3:$M$122,MATCH(B96,LIBOR!$N$3:$N$122)))</f>
        <v>3.2809699999999997E-2</v>
      </c>
      <c r="J96" s="400">
        <f t="shared" si="17"/>
        <v>8.5309699999999988E-2</v>
      </c>
      <c r="L96" s="392">
        <f t="shared" si="26"/>
        <v>47057</v>
      </c>
      <c r="M96" s="357">
        <f t="shared" si="27"/>
        <v>148</v>
      </c>
      <c r="N96" s="397">
        <v>6751.8547861508896</v>
      </c>
      <c r="O96" s="397">
        <f t="shared" si="19"/>
        <v>0</v>
      </c>
      <c r="P96" s="397">
        <f t="shared" si="21"/>
        <v>46.03060120821403</v>
      </c>
      <c r="Q96" s="397">
        <f t="shared" si="20"/>
        <v>-46.03060120821403</v>
      </c>
      <c r="R96" s="398">
        <f t="shared" si="22"/>
        <v>6797.8853873591033</v>
      </c>
      <c r="S96" s="399">
        <f>INDEX(LIBOR!$M$3:$M$122,MATCH(L96,LIBOR!$N$3:$N$122))</f>
        <v>3.2809699999999997E-2</v>
      </c>
      <c r="T96" s="400">
        <f t="shared" si="23"/>
        <v>8.1809699999999999E-2</v>
      </c>
    </row>
    <row r="97" spans="2:20">
      <c r="B97" s="396">
        <f t="shared" si="24"/>
        <v>47087</v>
      </c>
      <c r="C97" s="357">
        <f t="shared" si="25"/>
        <v>149</v>
      </c>
      <c r="D97" s="397">
        <f ca="1">INDEX('Monthly Cash Flow'!$L$137:$GT$137, MATCH(C97, 'Monthly Cash Flow'!$L$13:$GT$13, 0))</f>
        <v>0</v>
      </c>
      <c r="E97" s="397">
        <f t="shared" ca="1" si="18"/>
        <v>0</v>
      </c>
      <c r="F97" s="397">
        <f t="shared" ca="1" si="14"/>
        <v>0</v>
      </c>
      <c r="G97" s="397">
        <f t="shared" ca="1" si="15"/>
        <v>0</v>
      </c>
      <c r="H97" s="398">
        <f t="shared" ca="1" si="16"/>
        <v>0</v>
      </c>
      <c r="I97" s="399">
        <f>MAX($J$5, INDEX(LIBOR!$M$3:$M$122,MATCH(B97,LIBOR!$N$3:$N$122)))</f>
        <v>3.2809699999999997E-2</v>
      </c>
      <c r="J97" s="400">
        <f t="shared" si="17"/>
        <v>8.5309699999999988E-2</v>
      </c>
      <c r="L97" s="392">
        <f t="shared" si="26"/>
        <v>47087</v>
      </c>
      <c r="M97" s="357">
        <f t="shared" si="27"/>
        <v>149</v>
      </c>
      <c r="N97" s="397">
        <v>6739.2220349795443</v>
      </c>
      <c r="O97" s="397">
        <f t="shared" si="19"/>
        <v>0</v>
      </c>
      <c r="P97" s="397">
        <f t="shared" si="21"/>
        <v>45.944477742922167</v>
      </c>
      <c r="Q97" s="397">
        <f t="shared" si="20"/>
        <v>-45.944477742922167</v>
      </c>
      <c r="R97" s="398">
        <f t="shared" si="22"/>
        <v>6785.1665127224669</v>
      </c>
      <c r="S97" s="399">
        <f>INDEX(LIBOR!$M$3:$M$122,MATCH(L97,LIBOR!$N$3:$N$122))</f>
        <v>3.2809699999999997E-2</v>
      </c>
      <c r="T97" s="400">
        <f t="shared" si="23"/>
        <v>8.1809699999999999E-2</v>
      </c>
    </row>
    <row r="98" spans="2:20">
      <c r="B98" s="396">
        <f t="shared" si="24"/>
        <v>47118</v>
      </c>
      <c r="C98" s="357">
        <f t="shared" si="25"/>
        <v>150</v>
      </c>
      <c r="D98" s="397">
        <f ca="1">INDEX('Monthly Cash Flow'!$L$137:$GT$137, MATCH(C98, 'Monthly Cash Flow'!$L$13:$GT$13, 0))</f>
        <v>0</v>
      </c>
      <c r="E98" s="397">
        <f t="shared" ca="1" si="18"/>
        <v>0</v>
      </c>
      <c r="F98" s="397">
        <f t="shared" ca="1" si="14"/>
        <v>0</v>
      </c>
      <c r="G98" s="397">
        <f t="shared" ca="1" si="15"/>
        <v>0</v>
      </c>
      <c r="H98" s="398">
        <f t="shared" ca="1" si="16"/>
        <v>0</v>
      </c>
      <c r="I98" s="399">
        <f>MAX($J$5, INDEX(LIBOR!$M$3:$M$122,MATCH(B98,LIBOR!$N$3:$N$122)))</f>
        <v>3.2809699999999997E-2</v>
      </c>
      <c r="J98" s="400">
        <f t="shared" si="17"/>
        <v>8.5309699999999988E-2</v>
      </c>
      <c r="L98" s="392">
        <f t="shared" si="26"/>
        <v>47118</v>
      </c>
      <c r="M98" s="357">
        <f t="shared" si="27"/>
        <v>150</v>
      </c>
      <c r="N98" s="397">
        <v>6726.5317444689827</v>
      </c>
      <c r="O98" s="397">
        <f t="shared" si="19"/>
        <v>0</v>
      </c>
      <c r="P98" s="397">
        <f t="shared" si="21"/>
        <v>45.85796200462368</v>
      </c>
      <c r="Q98" s="397">
        <f t="shared" si="20"/>
        <v>-45.85796200462368</v>
      </c>
      <c r="R98" s="398">
        <f t="shared" si="22"/>
        <v>6772.3897064736066</v>
      </c>
      <c r="S98" s="399">
        <f>INDEX(LIBOR!$M$3:$M$122,MATCH(L98,LIBOR!$N$3:$N$122))</f>
        <v>3.2809699999999997E-2</v>
      </c>
      <c r="T98" s="400">
        <f t="shared" si="23"/>
        <v>8.1809699999999999E-2</v>
      </c>
    </row>
    <row r="99" spans="2:20">
      <c r="B99" s="396">
        <f t="shared" si="24"/>
        <v>47149</v>
      </c>
      <c r="C99" s="357">
        <f t="shared" si="25"/>
        <v>151</v>
      </c>
      <c r="D99" s="397">
        <f ca="1">INDEX('Monthly Cash Flow'!$L$137:$GT$137, MATCH(C99, 'Monthly Cash Flow'!$L$13:$GT$13, 0))</f>
        <v>0</v>
      </c>
      <c r="E99" s="397">
        <f t="shared" ca="1" si="18"/>
        <v>0</v>
      </c>
      <c r="F99" s="397">
        <f t="shared" ca="1" si="14"/>
        <v>0</v>
      </c>
      <c r="G99" s="397">
        <f t="shared" ca="1" si="15"/>
        <v>0</v>
      </c>
      <c r="H99" s="398">
        <f t="shared" ca="1" si="16"/>
        <v>0</v>
      </c>
      <c r="I99" s="399">
        <f>MAX($J$5, INDEX(LIBOR!$M$3:$M$122,MATCH(B99,LIBOR!$N$3:$N$122)))</f>
        <v>3.2809699999999997E-2</v>
      </c>
      <c r="J99" s="400">
        <f t="shared" si="17"/>
        <v>8.5309699999999988E-2</v>
      </c>
      <c r="L99" s="392">
        <f t="shared" si="26"/>
        <v>47149</v>
      </c>
      <c r="M99" s="357">
        <f t="shared" si="27"/>
        <v>151</v>
      </c>
      <c r="N99" s="397">
        <v>6713.7836525404609</v>
      </c>
      <c r="O99" s="397">
        <f t="shared" si="19"/>
        <v>0</v>
      </c>
      <c r="P99" s="397">
        <f t="shared" si="21"/>
        <v>45.771052206603279</v>
      </c>
      <c r="Q99" s="397">
        <f t="shared" si="20"/>
        <v>-45.771052206603279</v>
      </c>
      <c r="R99" s="398">
        <f t="shared" si="22"/>
        <v>6759.5547047470645</v>
      </c>
      <c r="S99" s="399">
        <f>INDEX(LIBOR!$M$3:$M$122,MATCH(L99,LIBOR!$N$3:$N$122))</f>
        <v>3.2809699999999997E-2</v>
      </c>
      <c r="T99" s="400">
        <f t="shared" si="23"/>
        <v>8.1809699999999999E-2</v>
      </c>
    </row>
    <row r="100" spans="2:20">
      <c r="B100" s="396">
        <f t="shared" si="24"/>
        <v>47177</v>
      </c>
      <c r="C100" s="357">
        <f t="shared" si="25"/>
        <v>152</v>
      </c>
      <c r="D100" s="397">
        <f ca="1">INDEX('Monthly Cash Flow'!$L$137:$GT$137, MATCH(C100, 'Monthly Cash Flow'!$L$13:$GT$13, 0))</f>
        <v>0</v>
      </c>
      <c r="E100" s="397">
        <f t="shared" ca="1" si="18"/>
        <v>0</v>
      </c>
      <c r="F100" s="397">
        <f t="shared" ca="1" si="14"/>
        <v>0</v>
      </c>
      <c r="G100" s="397">
        <f t="shared" ca="1" si="15"/>
        <v>0</v>
      </c>
      <c r="H100" s="398">
        <f t="shared" ca="1" si="16"/>
        <v>0</v>
      </c>
      <c r="I100" s="399">
        <f>MAX($J$5, INDEX(LIBOR!$M$3:$M$122,MATCH(B100,LIBOR!$N$3:$N$122)))</f>
        <v>3.2809699999999997E-2</v>
      </c>
      <c r="J100" s="400">
        <f t="shared" si="17"/>
        <v>8.5309699999999988E-2</v>
      </c>
      <c r="L100" s="392">
        <f t="shared" si="26"/>
        <v>47177</v>
      </c>
      <c r="M100" s="357">
        <f t="shared" si="27"/>
        <v>152</v>
      </c>
      <c r="N100" s="397">
        <v>6700.9774959215247</v>
      </c>
      <c r="O100" s="397">
        <f t="shared" si="19"/>
        <v>0</v>
      </c>
      <c r="P100" s="397">
        <f t="shared" si="21"/>
        <v>45.683746554007598</v>
      </c>
      <c r="Q100" s="397">
        <f t="shared" si="20"/>
        <v>-45.683746554007598</v>
      </c>
      <c r="R100" s="398">
        <f t="shared" si="22"/>
        <v>6746.6612424755322</v>
      </c>
      <c r="S100" s="399">
        <f>INDEX(LIBOR!$M$3:$M$122,MATCH(L100,LIBOR!$N$3:$N$122))</f>
        <v>3.2809699999999997E-2</v>
      </c>
      <c r="T100" s="400">
        <f t="shared" si="23"/>
        <v>8.1809699999999999E-2</v>
      </c>
    </row>
    <row r="101" spans="2:20">
      <c r="B101" s="396">
        <f t="shared" si="24"/>
        <v>47208</v>
      </c>
      <c r="C101" s="357">
        <f t="shared" si="25"/>
        <v>153</v>
      </c>
      <c r="D101" s="397">
        <f ca="1">INDEX('Monthly Cash Flow'!$L$137:$GT$137, MATCH(C101, 'Monthly Cash Flow'!$L$13:$GT$13, 0))</f>
        <v>0</v>
      </c>
      <c r="E101" s="397">
        <f t="shared" ca="1" si="18"/>
        <v>0</v>
      </c>
      <c r="F101" s="397">
        <f t="shared" ca="1" si="14"/>
        <v>0</v>
      </c>
      <c r="G101" s="397">
        <f t="shared" ca="1" si="15"/>
        <v>0</v>
      </c>
      <c r="H101" s="398">
        <f t="shared" ca="1" si="16"/>
        <v>0</v>
      </c>
      <c r="I101" s="399">
        <f>MAX($J$5, INDEX(LIBOR!$M$3:$M$122,MATCH(B101,LIBOR!$N$3:$N$122)))</f>
        <v>3.2809699999999997E-2</v>
      </c>
      <c r="J101" s="400">
        <f t="shared" si="17"/>
        <v>8.5309699999999988E-2</v>
      </c>
      <c r="L101" s="392">
        <f t="shared" si="26"/>
        <v>47208</v>
      </c>
      <c r="M101" s="357">
        <f t="shared" si="27"/>
        <v>153</v>
      </c>
      <c r="N101" s="397">
        <v>6688.1130101405752</v>
      </c>
      <c r="O101" s="397">
        <f t="shared" si="19"/>
        <v>0</v>
      </c>
      <c r="P101" s="397">
        <f t="shared" si="21"/>
        <v>45.596043243808118</v>
      </c>
      <c r="Q101" s="397">
        <f t="shared" si="20"/>
        <v>-45.596043243808118</v>
      </c>
      <c r="R101" s="398">
        <f t="shared" si="22"/>
        <v>6733.709053384383</v>
      </c>
      <c r="S101" s="399">
        <f>INDEX(LIBOR!$M$3:$M$122,MATCH(L101,LIBOR!$N$3:$N$122))</f>
        <v>3.2809699999999997E-2</v>
      </c>
      <c r="T101" s="400">
        <f t="shared" si="23"/>
        <v>8.1809699999999999E-2</v>
      </c>
    </row>
    <row r="102" spans="2:20">
      <c r="B102" s="396">
        <f t="shared" si="24"/>
        <v>47238</v>
      </c>
      <c r="C102" s="357">
        <f t="shared" si="25"/>
        <v>154</v>
      </c>
      <c r="D102" s="397">
        <f ca="1">INDEX('Monthly Cash Flow'!$L$137:$GT$137, MATCH(C102, 'Monthly Cash Flow'!$L$13:$GT$13, 0))</f>
        <v>0</v>
      </c>
      <c r="E102" s="397">
        <f t="shared" ca="1" si="18"/>
        <v>0</v>
      </c>
      <c r="F102" s="397">
        <f t="shared" ca="1" si="14"/>
        <v>0</v>
      </c>
      <c r="G102" s="397">
        <f t="shared" ca="1" si="15"/>
        <v>0</v>
      </c>
      <c r="H102" s="398">
        <f t="shared" ca="1" si="16"/>
        <v>0</v>
      </c>
      <c r="I102" s="399">
        <f>MAX($J$5, INDEX(LIBOR!$M$3:$M$122,MATCH(B102,LIBOR!$N$3:$N$122)))</f>
        <v>3.2809699999999997E-2</v>
      </c>
      <c r="J102" s="400">
        <f t="shared" si="17"/>
        <v>8.5309699999999988E-2</v>
      </c>
      <c r="L102" s="392">
        <f t="shared" si="26"/>
        <v>47238</v>
      </c>
      <c r="M102" s="357">
        <f t="shared" si="27"/>
        <v>154</v>
      </c>
      <c r="N102" s="397">
        <v>6675.1899295214025</v>
      </c>
      <c r="O102" s="397">
        <f t="shared" si="19"/>
        <v>0</v>
      </c>
      <c r="P102" s="397">
        <f t="shared" si="21"/>
        <v>45.507940464763919</v>
      </c>
      <c r="Q102" s="397">
        <f t="shared" si="20"/>
        <v>-45.507940464763919</v>
      </c>
      <c r="R102" s="398">
        <f t="shared" si="22"/>
        <v>6720.6978699861666</v>
      </c>
      <c r="S102" s="399">
        <f>INDEX(LIBOR!$M$3:$M$122,MATCH(L102,LIBOR!$N$3:$N$122))</f>
        <v>3.2809699999999997E-2</v>
      </c>
      <c r="T102" s="400">
        <f t="shared" si="23"/>
        <v>8.1809699999999999E-2</v>
      </c>
    </row>
    <row r="103" spans="2:20">
      <c r="B103" s="396">
        <f t="shared" si="24"/>
        <v>47269</v>
      </c>
      <c r="C103" s="357">
        <f t="shared" si="25"/>
        <v>155</v>
      </c>
      <c r="D103" s="397">
        <f ca="1">INDEX('Monthly Cash Flow'!$L$137:$GT$137, MATCH(C103, 'Monthly Cash Flow'!$L$13:$GT$13, 0))</f>
        <v>0</v>
      </c>
      <c r="E103" s="397">
        <f t="shared" ca="1" si="18"/>
        <v>0</v>
      </c>
      <c r="F103" s="397">
        <f t="shared" ca="1" si="14"/>
        <v>0</v>
      </c>
      <c r="G103" s="397">
        <f t="shared" ca="1" si="15"/>
        <v>0</v>
      </c>
      <c r="H103" s="398">
        <f t="shared" ca="1" si="16"/>
        <v>0</v>
      </c>
      <c r="I103" s="399">
        <f>MAX($J$5, INDEX(LIBOR!$M$3:$M$122,MATCH(B103,LIBOR!$N$3:$N$122)))</f>
        <v>3.2809699999999997E-2</v>
      </c>
      <c r="J103" s="400">
        <f t="shared" si="17"/>
        <v>8.5309699999999988E-2</v>
      </c>
      <c r="L103" s="392">
        <f t="shared" si="26"/>
        <v>47269</v>
      </c>
      <c r="M103" s="357">
        <f t="shared" si="27"/>
        <v>155</v>
      </c>
      <c r="N103" s="397">
        <v>6662.2079871777023</v>
      </c>
      <c r="O103" s="397">
        <f t="shared" si="19"/>
        <v>0</v>
      </c>
      <c r="P103" s="397">
        <f t="shared" si="21"/>
        <v>45.41943639738431</v>
      </c>
      <c r="Q103" s="397">
        <f t="shared" si="20"/>
        <v>-45.41943639738431</v>
      </c>
      <c r="R103" s="398">
        <f t="shared" si="22"/>
        <v>6707.6274235750871</v>
      </c>
      <c r="S103" s="399">
        <f>INDEX(LIBOR!$M$3:$M$122,MATCH(L103,LIBOR!$N$3:$N$122))</f>
        <v>3.2809699999999997E-2</v>
      </c>
      <c r="T103" s="400">
        <f t="shared" si="23"/>
        <v>8.1809699999999999E-2</v>
      </c>
    </row>
    <row r="104" spans="2:20">
      <c r="B104" s="396">
        <f t="shared" si="24"/>
        <v>47299</v>
      </c>
      <c r="C104" s="357">
        <f t="shared" si="25"/>
        <v>156</v>
      </c>
      <c r="D104" s="397">
        <f ca="1">INDEX('Monthly Cash Flow'!$L$137:$GT$137, MATCH(C104, 'Monthly Cash Flow'!$L$13:$GT$13, 0))</f>
        <v>0</v>
      </c>
      <c r="E104" s="397">
        <f t="shared" ca="1" si="18"/>
        <v>0</v>
      </c>
      <c r="F104" s="397">
        <f t="shared" ca="1" si="14"/>
        <v>0</v>
      </c>
      <c r="G104" s="397">
        <f t="shared" ca="1" si="15"/>
        <v>0</v>
      </c>
      <c r="H104" s="398">
        <f t="shared" ca="1" si="16"/>
        <v>0</v>
      </c>
      <c r="I104" s="399">
        <f>MAX($J$5, INDEX(LIBOR!$M$3:$M$122,MATCH(B104,LIBOR!$N$3:$N$122)))</f>
        <v>3.2809699999999997E-2</v>
      </c>
      <c r="J104" s="400">
        <f t="shared" si="17"/>
        <v>8.5309699999999988E-2</v>
      </c>
      <c r="L104" s="392">
        <f t="shared" si="26"/>
        <v>47299</v>
      </c>
      <c r="M104" s="357">
        <f t="shared" si="27"/>
        <v>156</v>
      </c>
      <c r="N104" s="397">
        <v>6649.1669150075641</v>
      </c>
      <c r="O104" s="397">
        <f t="shared" si="19"/>
        <v>0</v>
      </c>
      <c r="P104" s="397">
        <f t="shared" si="21"/>
        <v>45.330529213891197</v>
      </c>
      <c r="Q104" s="397">
        <f t="shared" si="20"/>
        <v>-45.330529213891197</v>
      </c>
      <c r="R104" s="398">
        <f t="shared" si="22"/>
        <v>6694.4974442214552</v>
      </c>
      <c r="S104" s="399">
        <f>INDEX(LIBOR!$M$3:$M$122,MATCH(L104,LIBOR!$N$3:$N$122))</f>
        <v>3.2809699999999997E-2</v>
      </c>
      <c r="T104" s="400">
        <f t="shared" si="23"/>
        <v>8.1809699999999999E-2</v>
      </c>
    </row>
    <row r="105" spans="2:20">
      <c r="B105" s="396">
        <f t="shared" si="24"/>
        <v>47330</v>
      </c>
      <c r="C105" s="357">
        <f t="shared" si="25"/>
        <v>157</v>
      </c>
      <c r="D105" s="397">
        <f ca="1">INDEX('Monthly Cash Flow'!$L$137:$GT$137, MATCH(C105, 'Monthly Cash Flow'!$L$13:$GT$13, 0))</f>
        <v>0</v>
      </c>
      <c r="E105" s="397">
        <f t="shared" ca="1" si="18"/>
        <v>0</v>
      </c>
      <c r="F105" s="397">
        <f t="shared" ca="1" si="14"/>
        <v>0</v>
      </c>
      <c r="G105" s="397">
        <f t="shared" ca="1" si="15"/>
        <v>0</v>
      </c>
      <c r="H105" s="398">
        <f t="shared" ca="1" si="16"/>
        <v>0</v>
      </c>
      <c r="I105" s="399">
        <f>MAX($J$5, INDEX(LIBOR!$M$3:$M$122,MATCH(B105,LIBOR!$N$3:$N$122)))</f>
        <v>3.2809699999999997E-2</v>
      </c>
      <c r="J105" s="400">
        <f t="shared" si="17"/>
        <v>8.5309699999999988E-2</v>
      </c>
      <c r="L105" s="392">
        <f t="shared" si="26"/>
        <v>47330</v>
      </c>
      <c r="M105" s="357">
        <f t="shared" si="27"/>
        <v>157</v>
      </c>
      <c r="N105" s="397">
        <v>6636.0664436879315</v>
      </c>
      <c r="O105" s="397">
        <f t="shared" si="19"/>
        <v>0</v>
      </c>
      <c r="P105" s="397">
        <f t="shared" si="21"/>
        <v>45.241217078181386</v>
      </c>
      <c r="Q105" s="397">
        <f t="shared" si="20"/>
        <v>-45.241217078181386</v>
      </c>
      <c r="R105" s="398">
        <f t="shared" si="22"/>
        <v>6681.3076607661133</v>
      </c>
      <c r="S105" s="399">
        <f>INDEX(LIBOR!$M$3:$M$122,MATCH(L105,LIBOR!$N$3:$N$122))</f>
        <v>3.2809699999999997E-2</v>
      </c>
      <c r="T105" s="400">
        <f t="shared" si="23"/>
        <v>8.1809699999999999E-2</v>
      </c>
    </row>
    <row r="106" spans="2:20">
      <c r="B106" s="396">
        <f t="shared" si="24"/>
        <v>47361</v>
      </c>
      <c r="C106" s="357">
        <f t="shared" si="25"/>
        <v>158</v>
      </c>
      <c r="D106" s="397">
        <f ca="1">INDEX('Monthly Cash Flow'!$L$137:$GT$137, MATCH(C106, 'Monthly Cash Flow'!$L$13:$GT$13, 0))</f>
        <v>0</v>
      </c>
      <c r="E106" s="397">
        <f t="shared" ca="1" si="18"/>
        <v>0</v>
      </c>
      <c r="F106" s="397">
        <f t="shared" ca="1" si="14"/>
        <v>0</v>
      </c>
      <c r="G106" s="397">
        <f t="shared" ca="1" si="15"/>
        <v>0</v>
      </c>
      <c r="H106" s="398">
        <f t="shared" ca="1" si="16"/>
        <v>0</v>
      </c>
      <c r="I106" s="399">
        <f>MAX($J$5, INDEX(LIBOR!$M$3:$M$122,MATCH(B106,LIBOR!$N$3:$N$122)))</f>
        <v>3.2809699999999997E-2</v>
      </c>
      <c r="J106" s="400">
        <f t="shared" si="17"/>
        <v>8.5309699999999988E-2</v>
      </c>
      <c r="L106" s="392">
        <f t="shared" si="26"/>
        <v>47361</v>
      </c>
      <c r="M106" s="357">
        <f t="shared" si="27"/>
        <v>158</v>
      </c>
      <c r="N106" s="397">
        <v>6622.9063026690446</v>
      </c>
      <c r="O106" s="397">
        <f t="shared" si="19"/>
        <v>0</v>
      </c>
      <c r="P106" s="397">
        <f t="shared" si="21"/>
        <v>45.151498145788644</v>
      </c>
      <c r="Q106" s="397">
        <f t="shared" si="20"/>
        <v>-45.151498145788644</v>
      </c>
      <c r="R106" s="398">
        <f t="shared" si="22"/>
        <v>6668.0578008148332</v>
      </c>
      <c r="S106" s="399">
        <f>INDEX(LIBOR!$M$3:$M$122,MATCH(L106,LIBOR!$N$3:$N$122))</f>
        <v>3.2809699999999997E-2</v>
      </c>
      <c r="T106" s="400">
        <f t="shared" si="23"/>
        <v>8.1809699999999999E-2</v>
      </c>
    </row>
    <row r="107" spans="2:20">
      <c r="B107" s="396">
        <f t="shared" si="24"/>
        <v>47391</v>
      </c>
      <c r="C107" s="357">
        <f t="shared" si="25"/>
        <v>159</v>
      </c>
      <c r="D107" s="397">
        <f ca="1">INDEX('Monthly Cash Flow'!$L$137:$GT$137, MATCH(C107, 'Monthly Cash Flow'!$L$13:$GT$13, 0))</f>
        <v>0</v>
      </c>
      <c r="E107" s="397">
        <f t="shared" ca="1" si="18"/>
        <v>0</v>
      </c>
      <c r="F107" s="397">
        <f t="shared" ca="1" si="14"/>
        <v>0</v>
      </c>
      <c r="G107" s="397">
        <f t="shared" ca="1" si="15"/>
        <v>0</v>
      </c>
      <c r="H107" s="398">
        <f t="shared" ca="1" si="16"/>
        <v>0</v>
      </c>
      <c r="I107" s="399">
        <f>MAX($J$5, INDEX(LIBOR!$M$3:$M$122,MATCH(B107,LIBOR!$N$3:$N$122)))</f>
        <v>3.2809699999999997E-2</v>
      </c>
      <c r="J107" s="400">
        <f t="shared" si="17"/>
        <v>8.5309699999999988E-2</v>
      </c>
      <c r="L107" s="392">
        <f t="shared" si="26"/>
        <v>47391</v>
      </c>
      <c r="M107" s="357">
        <f t="shared" si="27"/>
        <v>159</v>
      </c>
      <c r="N107" s="397">
        <v>6609.6862201688482</v>
      </c>
      <c r="O107" s="397">
        <f t="shared" si="19"/>
        <v>0</v>
      </c>
      <c r="P107" s="397">
        <f t="shared" si="21"/>
        <v>45.061370563845621</v>
      </c>
      <c r="Q107" s="397">
        <f t="shared" si="20"/>
        <v>-45.061370563845621</v>
      </c>
      <c r="R107" s="398">
        <f t="shared" si="22"/>
        <v>6654.7475907326934</v>
      </c>
      <c r="S107" s="399">
        <f>INDEX(LIBOR!$M$3:$M$122,MATCH(L107,LIBOR!$N$3:$N$122))</f>
        <v>3.2809699999999997E-2</v>
      </c>
      <c r="T107" s="400">
        <f t="shared" si="23"/>
        <v>8.1809699999999999E-2</v>
      </c>
    </row>
    <row r="108" spans="2:20">
      <c r="B108" s="396">
        <f t="shared" si="24"/>
        <v>47422</v>
      </c>
      <c r="C108" s="357">
        <f t="shared" si="25"/>
        <v>160</v>
      </c>
      <c r="D108" s="397">
        <f ca="1">INDEX('Monthly Cash Flow'!$L$137:$GT$137, MATCH(C108, 'Monthly Cash Flow'!$L$13:$GT$13, 0))</f>
        <v>0</v>
      </c>
      <c r="E108" s="397">
        <f t="shared" ca="1" si="18"/>
        <v>0</v>
      </c>
      <c r="F108" s="397">
        <f t="shared" ca="1" si="14"/>
        <v>0</v>
      </c>
      <c r="G108" s="397">
        <f t="shared" ca="1" si="15"/>
        <v>0</v>
      </c>
      <c r="H108" s="398">
        <f t="shared" ca="1" si="16"/>
        <v>0</v>
      </c>
      <c r="I108" s="399">
        <f>MAX($J$5, INDEX(LIBOR!$M$3:$M$122,MATCH(B108,LIBOR!$N$3:$N$122)))</f>
        <v>3.2809699999999997E-2</v>
      </c>
      <c r="J108" s="400">
        <f t="shared" si="17"/>
        <v>8.5309699999999988E-2</v>
      </c>
      <c r="L108" s="392">
        <f t="shared" si="26"/>
        <v>47422</v>
      </c>
      <c r="M108" s="357">
        <f t="shared" si="27"/>
        <v>160</v>
      </c>
      <c r="N108" s="397">
        <v>6596.4059231673818</v>
      </c>
      <c r="O108" s="397">
        <f t="shared" si="19"/>
        <v>0</v>
      </c>
      <c r="P108" s="397">
        <f t="shared" si="21"/>
        <v>44.970832471045547</v>
      </c>
      <c r="Q108" s="397">
        <f t="shared" si="20"/>
        <v>-44.970832471045547</v>
      </c>
      <c r="R108" s="398">
        <f t="shared" si="22"/>
        <v>6641.3767556384273</v>
      </c>
      <c r="S108" s="399">
        <f>INDEX(LIBOR!$M$3:$M$122,MATCH(L108,LIBOR!$N$3:$N$122))</f>
        <v>3.2809699999999997E-2</v>
      </c>
      <c r="T108" s="400">
        <f t="shared" si="23"/>
        <v>8.1809699999999999E-2</v>
      </c>
    </row>
    <row r="109" spans="2:20">
      <c r="B109" s="396">
        <f t="shared" si="24"/>
        <v>47452</v>
      </c>
      <c r="C109" s="357">
        <f t="shared" si="25"/>
        <v>161</v>
      </c>
      <c r="D109" s="397">
        <f ca="1">INDEX('Monthly Cash Flow'!$L$137:$GT$137, MATCH(C109, 'Monthly Cash Flow'!$L$13:$GT$13, 0))</f>
        <v>0</v>
      </c>
      <c r="E109" s="397">
        <f t="shared" ca="1" si="18"/>
        <v>0</v>
      </c>
      <c r="F109" s="397">
        <f t="shared" ca="1" si="14"/>
        <v>0</v>
      </c>
      <c r="G109" s="397">
        <f t="shared" ca="1" si="15"/>
        <v>0</v>
      </c>
      <c r="H109" s="398">
        <f t="shared" ca="1" si="16"/>
        <v>0</v>
      </c>
      <c r="I109" s="399">
        <f>MAX($J$5, INDEX(LIBOR!$M$3:$M$122,MATCH(B109,LIBOR!$N$3:$N$122)))</f>
        <v>3.2809699999999997E-2</v>
      </c>
      <c r="J109" s="400">
        <f t="shared" si="17"/>
        <v>8.5309699999999988E-2</v>
      </c>
      <c r="L109" s="392">
        <f t="shared" si="26"/>
        <v>47452</v>
      </c>
      <c r="M109" s="357">
        <f t="shared" si="27"/>
        <v>161</v>
      </c>
      <c r="N109" s="397">
        <v>6583.0651374011404</v>
      </c>
      <c r="O109" s="397">
        <f t="shared" si="19"/>
        <v>0</v>
      </c>
      <c r="P109" s="397">
        <f t="shared" si="21"/>
        <v>44.879881997603839</v>
      </c>
      <c r="Q109" s="397">
        <f t="shared" si="20"/>
        <v>-44.879881997603839</v>
      </c>
      <c r="R109" s="398">
        <f t="shared" si="22"/>
        <v>6627.9450193987441</v>
      </c>
      <c r="S109" s="399">
        <f>INDEX(LIBOR!$M$3:$M$122,MATCH(L109,LIBOR!$N$3:$N$122))</f>
        <v>3.2809699999999997E-2</v>
      </c>
      <c r="T109" s="400">
        <f t="shared" si="23"/>
        <v>8.1809699999999999E-2</v>
      </c>
    </row>
    <row r="110" spans="2:20">
      <c r="B110" s="396">
        <f t="shared" si="24"/>
        <v>47483</v>
      </c>
      <c r="C110" s="357">
        <f t="shared" si="25"/>
        <v>162</v>
      </c>
      <c r="D110" s="397">
        <f ca="1">INDEX('Monthly Cash Flow'!$L$137:$GT$137, MATCH(C110, 'Monthly Cash Flow'!$L$13:$GT$13, 0))</f>
        <v>0</v>
      </c>
      <c r="E110" s="397">
        <f t="shared" ca="1" si="18"/>
        <v>0</v>
      </c>
      <c r="F110" s="397">
        <f t="shared" ca="1" si="14"/>
        <v>0</v>
      </c>
      <c r="G110" s="397">
        <f t="shared" ca="1" si="15"/>
        <v>0</v>
      </c>
      <c r="H110" s="398">
        <f t="shared" ca="1" si="16"/>
        <v>0</v>
      </c>
      <c r="I110" s="399">
        <f>MAX($J$5, INDEX(LIBOR!$M$3:$M$122,MATCH(B110,LIBOR!$N$3:$N$122)))</f>
        <v>3.2809699999999997E-2</v>
      </c>
      <c r="J110" s="400">
        <f t="shared" si="17"/>
        <v>8.5309699999999988E-2</v>
      </c>
      <c r="L110" s="392">
        <f t="shared" si="26"/>
        <v>47483</v>
      </c>
      <c r="M110" s="357">
        <f t="shared" si="27"/>
        <v>162</v>
      </c>
      <c r="N110" s="397">
        <v>6569.6635873574105</v>
      </c>
      <c r="O110" s="397">
        <f t="shared" si="19"/>
        <v>0</v>
      </c>
      <c r="P110" s="397">
        <f t="shared" si="21"/>
        <v>44.788517265219461</v>
      </c>
      <c r="Q110" s="397">
        <f t="shared" si="20"/>
        <v>-44.788517265219461</v>
      </c>
      <c r="R110" s="398">
        <f t="shared" si="22"/>
        <v>6614.45210462263</v>
      </c>
      <c r="S110" s="399">
        <f>INDEX(LIBOR!$M$3:$M$122,MATCH(L110,LIBOR!$N$3:$N$122))</f>
        <v>3.2809699999999997E-2</v>
      </c>
      <c r="T110" s="400">
        <f t="shared" si="23"/>
        <v>8.1809699999999999E-2</v>
      </c>
    </row>
    <row r="111" spans="2:20">
      <c r="B111" s="396">
        <f t="shared" si="24"/>
        <v>47514</v>
      </c>
      <c r="C111" s="357">
        <f t="shared" si="25"/>
        <v>163</v>
      </c>
      <c r="D111" s="397">
        <f ca="1">INDEX('Monthly Cash Flow'!$L$137:$GT$137, MATCH(C111, 'Monthly Cash Flow'!$L$13:$GT$13, 0))</f>
        <v>0</v>
      </c>
      <c r="E111" s="397">
        <f t="shared" ca="1" si="18"/>
        <v>0</v>
      </c>
      <c r="F111" s="397">
        <f t="shared" ca="1" si="14"/>
        <v>0</v>
      </c>
      <c r="G111" s="397">
        <f t="shared" ca="1" si="15"/>
        <v>0</v>
      </c>
      <c r="H111" s="398">
        <f t="shared" ca="1" si="16"/>
        <v>0</v>
      </c>
      <c r="I111" s="399">
        <f>MAX($J$5, INDEX(LIBOR!$M$3:$M$122,MATCH(B111,LIBOR!$N$3:$N$122)))</f>
        <v>3.2809699999999997E-2</v>
      </c>
      <c r="J111" s="400">
        <f t="shared" si="17"/>
        <v>8.5309699999999988E-2</v>
      </c>
      <c r="L111" s="392">
        <f t="shared" si="26"/>
        <v>47514</v>
      </c>
      <c r="M111" s="357">
        <f t="shared" si="27"/>
        <v>163</v>
      </c>
      <c r="N111" s="397">
        <v>6556.2009962685806</v>
      </c>
      <c r="O111" s="397">
        <f t="shared" si="19"/>
        <v>0</v>
      </c>
      <c r="P111" s="397">
        <f t="shared" si="21"/>
        <v>44.69673638703614</v>
      </c>
      <c r="Q111" s="397">
        <f t="shared" si="20"/>
        <v>-44.69673638703614</v>
      </c>
      <c r="R111" s="398">
        <f t="shared" si="22"/>
        <v>6600.8977326556169</v>
      </c>
      <c r="S111" s="399">
        <f>INDEX(LIBOR!$M$3:$M$122,MATCH(L111,LIBOR!$N$3:$N$122))</f>
        <v>3.2809699999999997E-2</v>
      </c>
      <c r="T111" s="400">
        <f t="shared" si="23"/>
        <v>8.1809699999999999E-2</v>
      </c>
    </row>
    <row r="112" spans="2:20">
      <c r="B112" s="396">
        <f t="shared" si="24"/>
        <v>47542</v>
      </c>
      <c r="C112" s="357">
        <f t="shared" si="25"/>
        <v>164</v>
      </c>
      <c r="D112" s="397">
        <f ca="1">INDEX('Monthly Cash Flow'!$L$137:$GT$137, MATCH(C112, 'Monthly Cash Flow'!$L$13:$GT$13, 0))</f>
        <v>0</v>
      </c>
      <c r="E112" s="397">
        <f t="shared" ca="1" si="18"/>
        <v>0</v>
      </c>
      <c r="F112" s="397">
        <f t="shared" ca="1" si="14"/>
        <v>0</v>
      </c>
      <c r="G112" s="397">
        <f t="shared" ca="1" si="15"/>
        <v>0</v>
      </c>
      <c r="H112" s="398">
        <f t="shared" ca="1" si="16"/>
        <v>0</v>
      </c>
      <c r="I112" s="399">
        <f>MAX($J$5, INDEX(LIBOR!$M$3:$M$122,MATCH(B112,LIBOR!$N$3:$N$122)))</f>
        <v>3.2809699999999997E-2</v>
      </c>
      <c r="J112" s="400">
        <f t="shared" si="17"/>
        <v>8.5309699999999988E-2</v>
      </c>
      <c r="L112" s="392">
        <f t="shared" si="26"/>
        <v>47542</v>
      </c>
      <c r="M112" s="357">
        <f t="shared" si="27"/>
        <v>164</v>
      </c>
      <c r="N112" s="397">
        <v>6542.6770861064242</v>
      </c>
      <c r="O112" s="397">
        <f t="shared" si="19"/>
        <v>0</v>
      </c>
      <c r="P112" s="397">
        <f t="shared" si="21"/>
        <v>44.604537467603393</v>
      </c>
      <c r="Q112" s="397">
        <f t="shared" si="20"/>
        <v>-44.604537467603393</v>
      </c>
      <c r="R112" s="398">
        <f t="shared" si="22"/>
        <v>6587.2816235740274</v>
      </c>
      <c r="S112" s="399">
        <f>INDEX(LIBOR!$M$3:$M$122,MATCH(L112,LIBOR!$N$3:$N$122))</f>
        <v>3.2809699999999997E-2</v>
      </c>
      <c r="T112" s="400">
        <f t="shared" si="23"/>
        <v>8.1809699999999999E-2</v>
      </c>
    </row>
    <row r="113" spans="2:20">
      <c r="B113" s="396">
        <f t="shared" si="24"/>
        <v>47573</v>
      </c>
      <c r="C113" s="357">
        <f t="shared" si="25"/>
        <v>165</v>
      </c>
      <c r="D113" s="397">
        <f ca="1">INDEX('Monthly Cash Flow'!$L$137:$GT$137, MATCH(C113, 'Monthly Cash Flow'!$L$13:$GT$13, 0))</f>
        <v>0</v>
      </c>
      <c r="E113" s="397">
        <f t="shared" ca="1" si="18"/>
        <v>0</v>
      </c>
      <c r="F113" s="397">
        <f t="shared" ca="1" si="14"/>
        <v>0</v>
      </c>
      <c r="G113" s="397">
        <f t="shared" ca="1" si="15"/>
        <v>0</v>
      </c>
      <c r="H113" s="398">
        <f t="shared" ca="1" si="16"/>
        <v>0</v>
      </c>
      <c r="I113" s="399">
        <f>MAX($J$5, INDEX(LIBOR!$M$3:$M$122,MATCH(B113,LIBOR!$N$3:$N$122)))</f>
        <v>3.2809699999999997E-2</v>
      </c>
      <c r="J113" s="400">
        <f t="shared" si="17"/>
        <v>8.5309699999999988E-2</v>
      </c>
      <c r="L113" s="392">
        <f t="shared" si="26"/>
        <v>47573</v>
      </c>
      <c r="M113" s="357">
        <f t="shared" si="27"/>
        <v>165</v>
      </c>
      <c r="N113" s="397">
        <v>6529.0915775763588</v>
      </c>
      <c r="O113" s="397">
        <f t="shared" si="19"/>
        <v>0</v>
      </c>
      <c r="P113" s="397">
        <f t="shared" si="21"/>
        <v>44.51191860283739</v>
      </c>
      <c r="Q113" s="397">
        <f t="shared" si="20"/>
        <v>-44.51191860283739</v>
      </c>
      <c r="R113" s="398">
        <f t="shared" si="22"/>
        <v>6573.6034961791966</v>
      </c>
      <c r="S113" s="399">
        <f>INDEX(LIBOR!$M$3:$M$122,MATCH(L113,LIBOR!$N$3:$N$122))</f>
        <v>3.2809699999999997E-2</v>
      </c>
      <c r="T113" s="400">
        <f t="shared" si="23"/>
        <v>8.1809699999999999E-2</v>
      </c>
    </row>
    <row r="114" spans="2:20">
      <c r="B114" s="396">
        <f t="shared" si="24"/>
        <v>47603</v>
      </c>
      <c r="C114" s="357">
        <f t="shared" si="25"/>
        <v>166</v>
      </c>
      <c r="D114" s="397">
        <f ca="1">INDEX('Monthly Cash Flow'!$L$137:$GT$137, MATCH(C114, 'Monthly Cash Flow'!$L$13:$GT$13, 0))</f>
        <v>0</v>
      </c>
      <c r="E114" s="397">
        <f t="shared" ca="1" si="18"/>
        <v>0</v>
      </c>
      <c r="F114" s="397">
        <f t="shared" ca="1" si="14"/>
        <v>0</v>
      </c>
      <c r="G114" s="397">
        <f t="shared" ca="1" si="15"/>
        <v>0</v>
      </c>
      <c r="H114" s="398">
        <f t="shared" ca="1" si="16"/>
        <v>0</v>
      </c>
      <c r="I114" s="399">
        <f>MAX($J$5, INDEX(LIBOR!$M$3:$M$122,MATCH(B114,LIBOR!$N$3:$N$122)))</f>
        <v>3.2809699999999997E-2</v>
      </c>
      <c r="J114" s="400">
        <f t="shared" si="17"/>
        <v>8.5309699999999988E-2</v>
      </c>
      <c r="L114" s="392">
        <f t="shared" si="26"/>
        <v>47603</v>
      </c>
      <c r="M114" s="357">
        <f t="shared" si="27"/>
        <v>166</v>
      </c>
      <c r="N114" s="397">
        <v>6515.4441901116779</v>
      </c>
      <c r="O114" s="397">
        <f t="shared" si="19"/>
        <v>0</v>
      </c>
      <c r="P114" s="397">
        <f t="shared" si="21"/>
        <v>44.418877879981608</v>
      </c>
      <c r="Q114" s="397">
        <f t="shared" si="20"/>
        <v>-44.418877879981608</v>
      </c>
      <c r="R114" s="398">
        <f t="shared" si="22"/>
        <v>6559.8630679916596</v>
      </c>
      <c r="S114" s="399">
        <f>INDEX(LIBOR!$M$3:$M$122,MATCH(L114,LIBOR!$N$3:$N$122))</f>
        <v>3.2809699999999997E-2</v>
      </c>
      <c r="T114" s="400">
        <f t="shared" si="23"/>
        <v>8.1809699999999999E-2</v>
      </c>
    </row>
    <row r="115" spans="2:20">
      <c r="B115" s="396">
        <f t="shared" si="24"/>
        <v>47634</v>
      </c>
      <c r="C115" s="357">
        <f t="shared" si="25"/>
        <v>167</v>
      </c>
      <c r="D115" s="397">
        <f ca="1">INDEX('Monthly Cash Flow'!$L$137:$GT$137, MATCH(C115, 'Monthly Cash Flow'!$L$13:$GT$13, 0))</f>
        <v>0</v>
      </c>
      <c r="E115" s="397">
        <f t="shared" ca="1" si="18"/>
        <v>0</v>
      </c>
      <c r="F115" s="397">
        <f t="shared" ca="1" si="14"/>
        <v>0</v>
      </c>
      <c r="G115" s="397">
        <f t="shared" ca="1" si="15"/>
        <v>0</v>
      </c>
      <c r="H115" s="398">
        <f t="shared" ca="1" si="16"/>
        <v>0</v>
      </c>
      <c r="I115" s="399">
        <f>MAX($J$5, INDEX(LIBOR!$M$3:$M$122,MATCH(B115,LIBOR!$N$3:$N$122)))</f>
        <v>3.2809699999999997E-2</v>
      </c>
      <c r="J115" s="400">
        <f t="shared" si="17"/>
        <v>8.5309699999999988E-2</v>
      </c>
      <c r="L115" s="392">
        <f t="shared" si="26"/>
        <v>47634</v>
      </c>
      <c r="M115" s="357">
        <f t="shared" si="27"/>
        <v>167</v>
      </c>
      <c r="N115" s="397">
        <v>6501.734641867758</v>
      </c>
      <c r="O115" s="397">
        <f t="shared" si="19"/>
        <v>0</v>
      </c>
      <c r="P115" s="397">
        <f t="shared" si="21"/>
        <v>44.325413377567394</v>
      </c>
      <c r="Q115" s="397">
        <f t="shared" si="20"/>
        <v>-44.325413377567394</v>
      </c>
      <c r="R115" s="398">
        <f t="shared" si="22"/>
        <v>6546.0600552453252</v>
      </c>
      <c r="S115" s="399">
        <f>INDEX(LIBOR!$M$3:$M$122,MATCH(L115,LIBOR!$N$3:$N$122))</f>
        <v>3.2809699999999997E-2</v>
      </c>
      <c r="T115" s="400">
        <f t="shared" si="23"/>
        <v>8.1809699999999999E-2</v>
      </c>
    </row>
    <row r="116" spans="2:20">
      <c r="B116" s="396">
        <f t="shared" si="24"/>
        <v>47664</v>
      </c>
      <c r="C116" s="357">
        <f t="shared" si="25"/>
        <v>168</v>
      </c>
      <c r="D116" s="397">
        <f ca="1">INDEX('Monthly Cash Flow'!$L$137:$GT$137, MATCH(C116, 'Monthly Cash Flow'!$L$13:$GT$13, 0))</f>
        <v>0</v>
      </c>
      <c r="E116" s="397">
        <f t="shared" ca="1" si="18"/>
        <v>0</v>
      </c>
      <c r="F116" s="397">
        <f t="shared" ca="1" si="14"/>
        <v>0</v>
      </c>
      <c r="G116" s="397">
        <f t="shared" ca="1" si="15"/>
        <v>0</v>
      </c>
      <c r="H116" s="398">
        <f t="shared" ca="1" si="16"/>
        <v>0</v>
      </c>
      <c r="I116" s="399">
        <f>MAX($J$5, INDEX(LIBOR!$M$3:$M$122,MATCH(B116,LIBOR!$N$3:$N$122)))</f>
        <v>3.2809699999999997E-2</v>
      </c>
      <c r="J116" s="400">
        <f t="shared" si="17"/>
        <v>8.5309699999999988E-2</v>
      </c>
      <c r="L116" s="392">
        <f t="shared" si="26"/>
        <v>47664</v>
      </c>
      <c r="M116" s="357">
        <f t="shared" si="27"/>
        <v>168</v>
      </c>
      <c r="N116" s="397">
        <v>6487.9626497162353</v>
      </c>
      <c r="O116" s="397">
        <f t="shared" si="19"/>
        <v>0</v>
      </c>
      <c r="P116" s="397">
        <f t="shared" si="21"/>
        <v>44.231523165374192</v>
      </c>
      <c r="Q116" s="397">
        <f t="shared" si="20"/>
        <v>-44.231523165374192</v>
      </c>
      <c r="R116" s="398">
        <f t="shared" si="22"/>
        <v>6532.1941728816091</v>
      </c>
      <c r="S116" s="399">
        <f>INDEX(LIBOR!$M$3:$M$122,MATCH(L116,LIBOR!$N$3:$N$122))</f>
        <v>3.2809699999999997E-2</v>
      </c>
      <c r="T116" s="400">
        <f t="shared" si="23"/>
        <v>8.1809699999999999E-2</v>
      </c>
    </row>
    <row r="117" spans="2:20">
      <c r="B117" s="396">
        <f t="shared" si="24"/>
        <v>47695</v>
      </c>
      <c r="C117" s="357">
        <f t="shared" si="25"/>
        <v>169</v>
      </c>
      <c r="D117" s="397">
        <f ca="1">INDEX('Monthly Cash Flow'!$L$137:$GT$137, MATCH(C117, 'Monthly Cash Flow'!$L$13:$GT$13, 0))</f>
        <v>0</v>
      </c>
      <c r="E117" s="397">
        <f t="shared" ca="1" si="18"/>
        <v>0</v>
      </c>
      <c r="F117" s="397">
        <f t="shared" ca="1" si="14"/>
        <v>0</v>
      </c>
      <c r="G117" s="397">
        <f t="shared" ca="1" si="15"/>
        <v>0</v>
      </c>
      <c r="H117" s="398">
        <f t="shared" ca="1" si="16"/>
        <v>0</v>
      </c>
      <c r="I117" s="399">
        <f>MAX($J$5, INDEX(LIBOR!$M$3:$M$122,MATCH(B117,LIBOR!$N$3:$N$122)))</f>
        <v>3.2809699999999997E-2</v>
      </c>
      <c r="J117" s="400">
        <f t="shared" si="17"/>
        <v>8.5309699999999988E-2</v>
      </c>
      <c r="L117" s="392">
        <f t="shared" si="26"/>
        <v>47695</v>
      </c>
      <c r="M117" s="357">
        <f t="shared" si="27"/>
        <v>169</v>
      </c>
      <c r="N117" s="397">
        <v>6474.1279292391609</v>
      </c>
      <c r="O117" s="397">
        <f t="shared" si="19"/>
        <v>0</v>
      </c>
      <c r="P117" s="397">
        <f t="shared" si="21"/>
        <v>44.137205304389745</v>
      </c>
      <c r="Q117" s="397">
        <f t="shared" si="20"/>
        <v>-44.137205304389745</v>
      </c>
      <c r="R117" s="398">
        <f t="shared" si="22"/>
        <v>6518.2651345435506</v>
      </c>
      <c r="S117" s="399">
        <f>INDEX(LIBOR!$M$3:$M$122,MATCH(L117,LIBOR!$N$3:$N$122))</f>
        <v>3.2809699999999997E-2</v>
      </c>
      <c r="T117" s="400">
        <f t="shared" si="23"/>
        <v>8.1809699999999999E-2</v>
      </c>
    </row>
    <row r="118" spans="2:20">
      <c r="B118" s="396">
        <f t="shared" si="24"/>
        <v>47726</v>
      </c>
      <c r="C118" s="357">
        <f t="shared" si="25"/>
        <v>170</v>
      </c>
      <c r="D118" s="397">
        <f ca="1">INDEX('Monthly Cash Flow'!$L$137:$GT$137, MATCH(C118, 'Monthly Cash Flow'!$L$13:$GT$13, 0))</f>
        <v>0</v>
      </c>
      <c r="E118" s="397">
        <f t="shared" ca="1" si="18"/>
        <v>0</v>
      </c>
      <c r="F118" s="397">
        <f t="shared" ca="1" si="14"/>
        <v>0</v>
      </c>
      <c r="G118" s="397">
        <f t="shared" ca="1" si="15"/>
        <v>0</v>
      </c>
      <c r="H118" s="398">
        <f t="shared" ca="1" si="16"/>
        <v>0</v>
      </c>
      <c r="I118" s="399">
        <f>MAX($J$5, INDEX(LIBOR!$M$3:$M$122,MATCH(B118,LIBOR!$N$3:$N$122)))</f>
        <v>3.2809699999999997E-2</v>
      </c>
      <c r="J118" s="400">
        <f t="shared" si="17"/>
        <v>8.5309699999999988E-2</v>
      </c>
      <c r="L118" s="392">
        <f t="shared" si="26"/>
        <v>47726</v>
      </c>
      <c r="M118" s="357">
        <f t="shared" si="27"/>
        <v>170</v>
      </c>
      <c r="N118" s="397">
        <v>6460.2301947231254</v>
      </c>
      <c r="O118" s="397">
        <f t="shared" si="19"/>
        <v>0</v>
      </c>
      <c r="P118" s="397">
        <f t="shared" si="21"/>
        <v>44.042457846770041</v>
      </c>
      <c r="Q118" s="397">
        <f t="shared" si="20"/>
        <v>-44.042457846770041</v>
      </c>
      <c r="R118" s="398">
        <f t="shared" si="22"/>
        <v>6504.2726525698954</v>
      </c>
      <c r="S118" s="399">
        <f>INDEX(LIBOR!$M$3:$M$122,MATCH(L118,LIBOR!$N$3:$N$122))</f>
        <v>3.2809699999999997E-2</v>
      </c>
      <c r="T118" s="400">
        <f t="shared" si="23"/>
        <v>8.1809699999999999E-2</v>
      </c>
    </row>
    <row r="119" spans="2:20">
      <c r="B119" s="396">
        <f t="shared" si="24"/>
        <v>47756</v>
      </c>
      <c r="C119" s="357">
        <f t="shared" si="25"/>
        <v>171</v>
      </c>
      <c r="D119" s="397">
        <f ca="1">INDEX('Monthly Cash Flow'!$L$137:$GT$137, MATCH(C119, 'Monthly Cash Flow'!$L$13:$GT$13, 0))</f>
        <v>0</v>
      </c>
      <c r="E119" s="397">
        <f t="shared" ca="1" si="18"/>
        <v>0</v>
      </c>
      <c r="F119" s="397">
        <f t="shared" ca="1" si="14"/>
        <v>0</v>
      </c>
      <c r="G119" s="397">
        <f t="shared" ca="1" si="15"/>
        <v>0</v>
      </c>
      <c r="H119" s="398">
        <f t="shared" ca="1" si="16"/>
        <v>0</v>
      </c>
      <c r="I119" s="399">
        <f>MAX($J$5, INDEX(LIBOR!$M$3:$M$122,MATCH(B119,LIBOR!$N$3:$N$122)))</f>
        <v>3.2809699999999997E-2</v>
      </c>
      <c r="J119" s="400">
        <f t="shared" si="17"/>
        <v>8.5309699999999988E-2</v>
      </c>
      <c r="L119" s="392">
        <f t="shared" si="26"/>
        <v>47756</v>
      </c>
      <c r="M119" s="357">
        <f t="shared" si="27"/>
        <v>171</v>
      </c>
      <c r="N119" s="397">
        <v>6446.2691591533594</v>
      </c>
      <c r="O119" s="397">
        <f t="shared" si="19"/>
        <v>0</v>
      </c>
      <c r="P119" s="397">
        <f t="shared" si="21"/>
        <v>43.947278835799047</v>
      </c>
      <c r="Q119" s="397">
        <f t="shared" si="20"/>
        <v>-43.947278835799047</v>
      </c>
      <c r="R119" s="398">
        <f t="shared" si="22"/>
        <v>6490.2164379891583</v>
      </c>
      <c r="S119" s="399">
        <f>INDEX(LIBOR!$M$3:$M$122,MATCH(L119,LIBOR!$N$3:$N$122))</f>
        <v>3.2809699999999997E-2</v>
      </c>
      <c r="T119" s="400">
        <f t="shared" si="23"/>
        <v>8.1809699999999999E-2</v>
      </c>
    </row>
    <row r="120" spans="2:20">
      <c r="B120" s="396">
        <f t="shared" si="24"/>
        <v>47787</v>
      </c>
      <c r="C120" s="357">
        <f t="shared" si="25"/>
        <v>172</v>
      </c>
      <c r="D120" s="397">
        <f ca="1">INDEX('Monthly Cash Flow'!$L$137:$GT$137, MATCH(C120, 'Monthly Cash Flow'!$L$13:$GT$13, 0))</f>
        <v>0</v>
      </c>
      <c r="E120" s="397">
        <f t="shared" ca="1" si="18"/>
        <v>0</v>
      </c>
      <c r="F120" s="397">
        <f t="shared" ca="1" si="14"/>
        <v>0</v>
      </c>
      <c r="G120" s="397">
        <f t="shared" ca="1" si="15"/>
        <v>0</v>
      </c>
      <c r="H120" s="398">
        <f t="shared" ca="1" si="16"/>
        <v>0</v>
      </c>
      <c r="I120" s="399">
        <f>MAX($J$5, INDEX(LIBOR!$M$3:$M$122,MATCH(B120,LIBOR!$N$3:$N$122)))</f>
        <v>3.2809699999999997E-2</v>
      </c>
      <c r="J120" s="400">
        <f t="shared" si="17"/>
        <v>8.5309699999999988E-2</v>
      </c>
      <c r="L120" s="392">
        <f t="shared" si="26"/>
        <v>47787</v>
      </c>
      <c r="M120" s="357">
        <f t="shared" si="27"/>
        <v>172</v>
      </c>
      <c r="N120" s="397">
        <v>6432.2445342078063</v>
      </c>
      <c r="O120" s="397">
        <f t="shared" si="19"/>
        <v>0</v>
      </c>
      <c r="P120" s="397">
        <f t="shared" si="21"/>
        <v>43.851666305848362</v>
      </c>
      <c r="Q120" s="397">
        <f t="shared" si="20"/>
        <v>-43.851666305848362</v>
      </c>
      <c r="R120" s="398">
        <f t="shared" si="22"/>
        <v>6476.0962005136544</v>
      </c>
      <c r="S120" s="399">
        <f>INDEX(LIBOR!$M$3:$M$122,MATCH(L120,LIBOR!$N$3:$N$122))</f>
        <v>3.2809699999999997E-2</v>
      </c>
      <c r="T120" s="400">
        <f t="shared" si="23"/>
        <v>8.1809699999999999E-2</v>
      </c>
    </row>
    <row r="121" spans="2:20">
      <c r="B121" s="396">
        <f t="shared" si="24"/>
        <v>47817</v>
      </c>
      <c r="C121" s="357">
        <f t="shared" si="25"/>
        <v>173</v>
      </c>
      <c r="D121" s="397">
        <f ca="1">INDEX('Monthly Cash Flow'!$L$137:$GT$137, MATCH(C121, 'Monthly Cash Flow'!$L$13:$GT$13, 0))</f>
        <v>0</v>
      </c>
      <c r="E121" s="397">
        <f t="shared" ca="1" si="18"/>
        <v>0</v>
      </c>
      <c r="F121" s="397">
        <f t="shared" ca="1" si="14"/>
        <v>0</v>
      </c>
      <c r="G121" s="397">
        <f t="shared" ca="1" si="15"/>
        <v>0</v>
      </c>
      <c r="H121" s="398">
        <f t="shared" ca="1" si="16"/>
        <v>0</v>
      </c>
      <c r="I121" s="399">
        <f>MAX($J$5, INDEX(LIBOR!$M$3:$M$122,MATCH(B121,LIBOR!$N$3:$N$122)))</f>
        <v>3.2809699999999997E-2</v>
      </c>
      <c r="J121" s="400">
        <f t="shared" si="17"/>
        <v>8.5309699999999988E-2</v>
      </c>
      <c r="L121" s="392">
        <f t="shared" si="26"/>
        <v>47817</v>
      </c>
      <c r="M121" s="357">
        <f t="shared" si="27"/>
        <v>173</v>
      </c>
      <c r="N121" s="397">
        <v>6418.1560302511671</v>
      </c>
      <c r="O121" s="397">
        <f t="shared" si="19"/>
        <v>0</v>
      </c>
      <c r="P121" s="397">
        <f t="shared" si="21"/>
        <v>43.75561828233657</v>
      </c>
      <c r="Q121" s="397">
        <f t="shared" si="20"/>
        <v>-43.75561828233657</v>
      </c>
      <c r="R121" s="398">
        <f t="shared" si="22"/>
        <v>6461.9116485335035</v>
      </c>
      <c r="S121" s="399">
        <f>INDEX(LIBOR!$M$3:$M$122,MATCH(L121,LIBOR!$N$3:$N$122))</f>
        <v>3.2809699999999997E-2</v>
      </c>
      <c r="T121" s="400">
        <f t="shared" si="23"/>
        <v>8.1809699999999999E-2</v>
      </c>
    </row>
    <row r="122" spans="2:20">
      <c r="B122" s="396">
        <f t="shared" si="24"/>
        <v>47848</v>
      </c>
      <c r="C122" s="357">
        <f t="shared" si="25"/>
        <v>174</v>
      </c>
      <c r="D122" s="397">
        <f ca="1">INDEX('Monthly Cash Flow'!$L$137:$GT$137, MATCH(C122, 'Monthly Cash Flow'!$L$13:$GT$13, 0))</f>
        <v>0</v>
      </c>
      <c r="E122" s="397">
        <f t="shared" ca="1" si="18"/>
        <v>0</v>
      </c>
      <c r="F122" s="397">
        <f t="shared" ca="1" si="14"/>
        <v>0</v>
      </c>
      <c r="G122" s="397">
        <f t="shared" ca="1" si="15"/>
        <v>0</v>
      </c>
      <c r="H122" s="398">
        <f t="shared" ca="1" si="16"/>
        <v>0</v>
      </c>
      <c r="I122" s="399">
        <f>MAX($J$5, INDEX(LIBOR!$M$3:$M$122,MATCH(B122,LIBOR!$N$3:$N$122)))</f>
        <v>3.2809699999999997E-2</v>
      </c>
      <c r="J122" s="400">
        <f t="shared" si="17"/>
        <v>8.5309699999999988E-2</v>
      </c>
      <c r="L122" s="392">
        <f t="shared" si="26"/>
        <v>47848</v>
      </c>
      <c r="M122" s="357">
        <f t="shared" si="27"/>
        <v>174</v>
      </c>
      <c r="N122" s="397">
        <v>6404.0033563289189</v>
      </c>
      <c r="O122" s="397">
        <f t="shared" si="19"/>
        <v>0</v>
      </c>
      <c r="P122" s="397">
        <f t="shared" si="21"/>
        <v>43.659132781688498</v>
      </c>
      <c r="Q122" s="397">
        <f t="shared" si="20"/>
        <v>-43.659132781688498</v>
      </c>
      <c r="R122" s="398">
        <f t="shared" si="22"/>
        <v>6447.6624891106076</v>
      </c>
      <c r="S122" s="399">
        <f>INDEX(LIBOR!$M$3:$M$122,MATCH(L122,LIBOR!$N$3:$N$122))</f>
        <v>3.2809699999999997E-2</v>
      </c>
      <c r="T122" s="400">
        <f t="shared" si="23"/>
        <v>8.1809699999999999E-2</v>
      </c>
    </row>
    <row r="123" spans="2:20">
      <c r="B123" s="396">
        <f t="shared" si="24"/>
        <v>47879</v>
      </c>
      <c r="C123" s="357">
        <f t="shared" si="25"/>
        <v>175</v>
      </c>
      <c r="D123" s="397">
        <f>INDEX('Monthly Cash Flow'!$L$137:$GT$137, MATCH(C123, 'Monthly Cash Flow'!$L$13:$GT$13, 0))</f>
        <v>0</v>
      </c>
      <c r="E123" s="397">
        <f t="shared" ca="1" si="18"/>
        <v>0</v>
      </c>
      <c r="F123" s="397">
        <f t="shared" si="14"/>
        <v>0</v>
      </c>
      <c r="G123" s="397">
        <f t="shared" ca="1" si="15"/>
        <v>0</v>
      </c>
      <c r="H123" s="398">
        <f t="shared" ca="1" si="16"/>
        <v>0</v>
      </c>
      <c r="I123" s="399">
        <f>MAX($J$5, INDEX(LIBOR!$M$3:$M$122,MATCH(B123,LIBOR!$N$3:$N$122)))</f>
        <v>3.2809699999999997E-2</v>
      </c>
      <c r="J123" s="400">
        <f t="shared" si="17"/>
        <v>8.5309699999999988E-2</v>
      </c>
      <c r="L123" s="392">
        <f t="shared" si="26"/>
        <v>47879</v>
      </c>
      <c r="M123" s="357">
        <f t="shared" si="27"/>
        <v>175</v>
      </c>
      <c r="N123" s="397">
        <v>6389.7862201613061</v>
      </c>
      <c r="O123" s="397">
        <f t="shared" si="19"/>
        <v>0</v>
      </c>
      <c r="P123" s="397">
        <f t="shared" si="21"/>
        <v>43.562207811294201</v>
      </c>
      <c r="Q123" s="397">
        <f t="shared" si="20"/>
        <v>-43.562207811294201</v>
      </c>
      <c r="R123" s="398">
        <f t="shared" si="22"/>
        <v>6433.3484279725999</v>
      </c>
      <c r="S123" s="399">
        <f>INDEX(LIBOR!$M$3:$M$122,MATCH(L123,LIBOR!$N$3:$N$122))</f>
        <v>3.2809699999999997E-2</v>
      </c>
      <c r="T123" s="400">
        <f t="shared" si="23"/>
        <v>8.1809699999999999E-2</v>
      </c>
    </row>
    <row r="124" spans="2:20">
      <c r="B124" s="396">
        <f t="shared" si="24"/>
        <v>47907</v>
      </c>
      <c r="C124" s="357">
        <f t="shared" si="25"/>
        <v>176</v>
      </c>
      <c r="D124" s="397">
        <f>INDEX('Monthly Cash Flow'!$L$137:$GT$137, MATCH(C124, 'Monthly Cash Flow'!$L$13:$GT$13, 0))</f>
        <v>0</v>
      </c>
      <c r="E124" s="397">
        <f t="shared" ca="1" si="18"/>
        <v>0</v>
      </c>
      <c r="F124" s="397">
        <f t="shared" si="14"/>
        <v>0</v>
      </c>
      <c r="G124" s="397">
        <f t="shared" ca="1" si="15"/>
        <v>0</v>
      </c>
      <c r="H124" s="398">
        <f t="shared" ca="1" si="16"/>
        <v>0</v>
      </c>
      <c r="I124" s="399">
        <f>MAX($J$5, INDEX(LIBOR!$M$3:$M$122,MATCH(B124,LIBOR!$N$3:$N$122)))</f>
        <v>3.2809699999999997E-2</v>
      </c>
      <c r="J124" s="400">
        <f t="shared" si="17"/>
        <v>8.5309699999999988E-2</v>
      </c>
      <c r="L124" s="392">
        <f t="shared" si="26"/>
        <v>47907</v>
      </c>
      <c r="M124" s="357">
        <f t="shared" si="27"/>
        <v>176</v>
      </c>
      <c r="N124" s="397">
        <v>6375.5043281373055</v>
      </c>
      <c r="O124" s="397">
        <f t="shared" si="19"/>
        <v>0</v>
      </c>
      <c r="P124" s="397">
        <f t="shared" si="21"/>
        <v>43.464841369467877</v>
      </c>
      <c r="Q124" s="397">
        <f t="shared" si="20"/>
        <v>-43.464841369467877</v>
      </c>
      <c r="R124" s="398">
        <f t="shared" si="22"/>
        <v>6418.9691695067731</v>
      </c>
      <c r="S124" s="399">
        <f>INDEX(LIBOR!$M$3:$M$122,MATCH(L124,LIBOR!$N$3:$N$122))</f>
        <v>3.2809699999999997E-2</v>
      </c>
      <c r="T124" s="400">
        <f t="shared" si="23"/>
        <v>8.1809699999999999E-2</v>
      </c>
    </row>
    <row r="125" spans="2:20">
      <c r="B125" s="396">
        <f t="shared" si="24"/>
        <v>47938</v>
      </c>
      <c r="C125" s="357">
        <f t="shared" si="25"/>
        <v>177</v>
      </c>
      <c r="D125" s="397">
        <f>INDEX('Monthly Cash Flow'!$L$137:$GT$137, MATCH(C125, 'Monthly Cash Flow'!$L$13:$GT$13, 0))</f>
        <v>0</v>
      </c>
      <c r="E125" s="397">
        <f t="shared" ca="1" si="18"/>
        <v>0</v>
      </c>
      <c r="F125" s="397">
        <f t="shared" si="14"/>
        <v>0</v>
      </c>
      <c r="G125" s="397">
        <f t="shared" ca="1" si="15"/>
        <v>0</v>
      </c>
      <c r="H125" s="398">
        <f t="shared" ca="1" si="16"/>
        <v>0</v>
      </c>
      <c r="I125" s="399">
        <f>MAX($J$5, INDEX(LIBOR!$M$3:$M$122,MATCH(B125,LIBOR!$N$3:$N$122)))</f>
        <v>3.2809699999999997E-2</v>
      </c>
      <c r="J125" s="400">
        <f t="shared" si="17"/>
        <v>8.5309699999999988E-2</v>
      </c>
      <c r="L125" s="392">
        <f t="shared" si="26"/>
        <v>47938</v>
      </c>
      <c r="M125" s="357">
        <f t="shared" si="27"/>
        <v>177</v>
      </c>
      <c r="N125" s="397">
        <v>6361.1573853085611</v>
      </c>
      <c r="O125" s="397">
        <f t="shared" si="19"/>
        <v>0</v>
      </c>
      <c r="P125" s="397">
        <f t="shared" si="21"/>
        <v>43.367031445406475</v>
      </c>
      <c r="Q125" s="397">
        <f t="shared" si="20"/>
        <v>-43.367031445406475</v>
      </c>
      <c r="R125" s="398">
        <f t="shared" si="22"/>
        <v>6404.5244167539677</v>
      </c>
      <c r="S125" s="399">
        <f>INDEX(LIBOR!$M$3:$M$122,MATCH(L125,LIBOR!$N$3:$N$122))</f>
        <v>3.2809699999999997E-2</v>
      </c>
      <c r="T125" s="400">
        <f t="shared" si="23"/>
        <v>8.1809699999999999E-2</v>
      </c>
    </row>
    <row r="126" spans="2:20">
      <c r="B126" s="396">
        <f t="shared" si="24"/>
        <v>47968</v>
      </c>
      <c r="C126" s="357">
        <f t="shared" si="25"/>
        <v>178</v>
      </c>
      <c r="D126" s="397">
        <f>INDEX('Monthly Cash Flow'!$L$137:$GT$137, MATCH(C126, 'Monthly Cash Flow'!$L$13:$GT$13, 0))</f>
        <v>0</v>
      </c>
      <c r="E126" s="397">
        <f t="shared" ca="1" si="18"/>
        <v>0</v>
      </c>
      <c r="F126" s="397">
        <f t="shared" si="14"/>
        <v>0</v>
      </c>
      <c r="G126" s="397">
        <f t="shared" ca="1" si="15"/>
        <v>0</v>
      </c>
      <c r="H126" s="398">
        <f t="shared" ca="1" si="16"/>
        <v>0</v>
      </c>
      <c r="I126" s="399">
        <f>MAX($J$5, INDEX(LIBOR!$M$3:$M$122,MATCH(B126,LIBOR!$N$3:$N$122)))</f>
        <v>3.2809699999999997E-2</v>
      </c>
      <c r="J126" s="400">
        <f t="shared" si="17"/>
        <v>8.5309699999999988E-2</v>
      </c>
      <c r="L126" s="392">
        <f t="shared" si="26"/>
        <v>47968</v>
      </c>
      <c r="M126" s="357">
        <f t="shared" si="27"/>
        <v>178</v>
      </c>
      <c r="N126" s="397">
        <v>6346.745095383294</v>
      </c>
      <c r="O126" s="397">
        <f t="shared" si="19"/>
        <v>0</v>
      </c>
      <c r="P126" s="397">
        <f t="shared" si="21"/>
        <v>43.26877601914822</v>
      </c>
      <c r="Q126" s="397">
        <f t="shared" si="20"/>
        <v>-43.26877601914822</v>
      </c>
      <c r="R126" s="398">
        <f t="shared" si="22"/>
        <v>6390.0138714024424</v>
      </c>
      <c r="S126" s="399">
        <f>INDEX(LIBOR!$M$3:$M$122,MATCH(L126,LIBOR!$N$3:$N$122))</f>
        <v>3.2809699999999997E-2</v>
      </c>
      <c r="T126" s="400">
        <f t="shared" si="23"/>
        <v>8.1809699999999999E-2</v>
      </c>
    </row>
    <row r="127" spans="2:20">
      <c r="B127" s="396">
        <f t="shared" si="24"/>
        <v>47999</v>
      </c>
      <c r="C127" s="357">
        <f t="shared" si="25"/>
        <v>179</v>
      </c>
      <c r="D127" s="397">
        <f>INDEX('Monthly Cash Flow'!$L$137:$GT$137, MATCH(C127, 'Monthly Cash Flow'!$L$13:$GT$13, 0))</f>
        <v>0</v>
      </c>
      <c r="E127" s="397">
        <f t="shared" ca="1" si="18"/>
        <v>0</v>
      </c>
      <c r="F127" s="397">
        <f t="shared" si="14"/>
        <v>0</v>
      </c>
      <c r="G127" s="397">
        <f t="shared" ca="1" si="15"/>
        <v>0</v>
      </c>
      <c r="H127" s="398">
        <f t="shared" ca="1" si="16"/>
        <v>0</v>
      </c>
      <c r="I127" s="399">
        <f>MAX($J$5, INDEX(LIBOR!$M$3:$M$122,MATCH(B127,LIBOR!$N$3:$N$122)))</f>
        <v>3.2809699999999997E-2</v>
      </c>
      <c r="J127" s="400">
        <f t="shared" si="17"/>
        <v>8.5309699999999988E-2</v>
      </c>
      <c r="L127" s="392">
        <f t="shared" si="26"/>
        <v>47999</v>
      </c>
      <c r="M127" s="357">
        <f t="shared" si="27"/>
        <v>179</v>
      </c>
      <c r="N127" s="397">
        <v>6332.2671607201828</v>
      </c>
      <c r="O127" s="397">
        <f t="shared" si="19"/>
        <v>0</v>
      </c>
      <c r="P127" s="397">
        <f t="shared" si="21"/>
        <v>43.170073061530822</v>
      </c>
      <c r="Q127" s="397">
        <f t="shared" si="20"/>
        <v>-43.170073061530822</v>
      </c>
      <c r="R127" s="398">
        <f t="shared" si="22"/>
        <v>6375.437233781714</v>
      </c>
      <c r="S127" s="399">
        <f>INDEX(LIBOR!$M$3:$M$122,MATCH(L127,LIBOR!$N$3:$N$122))</f>
        <v>3.2809699999999997E-2</v>
      </c>
      <c r="T127" s="400">
        <f t="shared" si="23"/>
        <v>8.1809699999999999E-2</v>
      </c>
    </row>
    <row r="128" spans="2:20">
      <c r="B128" s="396">
        <f t="shared" si="24"/>
        <v>48029</v>
      </c>
      <c r="C128" s="357">
        <f t="shared" si="25"/>
        <v>180</v>
      </c>
      <c r="D128" s="397">
        <f>INDEX('Monthly Cash Flow'!$L$137:$GT$137, MATCH(C128, 'Monthly Cash Flow'!$L$13:$GT$13, 0))</f>
        <v>0</v>
      </c>
      <c r="E128" s="397">
        <f t="shared" ca="1" si="18"/>
        <v>0</v>
      </c>
      <c r="F128" s="397">
        <f t="shared" si="14"/>
        <v>0</v>
      </c>
      <c r="G128" s="397">
        <f t="shared" ca="1" si="15"/>
        <v>0</v>
      </c>
      <c r="H128" s="398">
        <f t="shared" ca="1" si="16"/>
        <v>0</v>
      </c>
      <c r="I128" s="399">
        <f>MAX($J$5, INDEX(LIBOR!$M$3:$M$122,MATCH(B128,LIBOR!$N$3:$N$122)))</f>
        <v>3.2809699999999997E-2</v>
      </c>
      <c r="J128" s="400">
        <f t="shared" si="17"/>
        <v>8.5309699999999988E-2</v>
      </c>
      <c r="L128" s="392">
        <f t="shared" si="26"/>
        <v>48029</v>
      </c>
      <c r="M128" s="357">
        <f t="shared" si="27"/>
        <v>180</v>
      </c>
      <c r="N128" s="397">
        <v>6317.7232823222166</v>
      </c>
      <c r="O128" s="397">
        <f t="shared" si="19"/>
        <v>0</v>
      </c>
      <c r="P128" s="397">
        <f t="shared" si="21"/>
        <v>43.07092053414965</v>
      </c>
      <c r="Q128" s="397">
        <f t="shared" si="20"/>
        <v>-43.07092053414965</v>
      </c>
      <c r="R128" s="398">
        <f t="shared" si="22"/>
        <v>6360.7942028563666</v>
      </c>
      <c r="S128" s="399">
        <f>INDEX(LIBOR!$M$3:$M$122,MATCH(L128,LIBOR!$N$3:$N$122))</f>
        <v>3.2809699999999997E-2</v>
      </c>
      <c r="T128" s="400">
        <f t="shared" si="23"/>
        <v>8.1809699999999999E-2</v>
      </c>
    </row>
    <row r="129" spans="2:20">
      <c r="B129" s="396">
        <f t="shared" si="24"/>
        <v>48060</v>
      </c>
      <c r="C129" s="357">
        <f t="shared" si="25"/>
        <v>181</v>
      </c>
      <c r="D129" s="397">
        <f>INDEX('Monthly Cash Flow'!$L$137:$GT$137, MATCH(C129, 'Monthly Cash Flow'!$L$13:$GT$13, 0))</f>
        <v>0</v>
      </c>
      <c r="E129" s="397">
        <f t="shared" ca="1" si="18"/>
        <v>0</v>
      </c>
      <c r="F129" s="397">
        <f t="shared" si="14"/>
        <v>0</v>
      </c>
      <c r="G129" s="397">
        <f t="shared" ca="1" si="15"/>
        <v>0</v>
      </c>
      <c r="H129" s="398">
        <f t="shared" ca="1" si="16"/>
        <v>0</v>
      </c>
      <c r="I129" s="399">
        <f>MAX($J$5, INDEX(LIBOR!$M$3:$M$122,MATCH(B129,LIBOR!$N$3:$N$122)))</f>
        <v>3.2809699999999997E-2</v>
      </c>
      <c r="J129" s="400">
        <f t="shared" si="17"/>
        <v>8.5309699999999988E-2</v>
      </c>
      <c r="L129" s="392">
        <f t="shared" si="26"/>
        <v>48060</v>
      </c>
      <c r="M129" s="357">
        <f t="shared" si="27"/>
        <v>181</v>
      </c>
      <c r="N129" s="397">
        <v>6303.1131598305201</v>
      </c>
      <c r="O129" s="397">
        <f t="shared" si="19"/>
        <v>0</v>
      </c>
      <c r="P129" s="397">
        <f t="shared" si="21"/>
        <v>42.971316389315575</v>
      </c>
      <c r="Q129" s="397">
        <f t="shared" si="20"/>
        <v>-42.971316389315575</v>
      </c>
      <c r="R129" s="398">
        <f t="shared" si="22"/>
        <v>6346.0844762198358</v>
      </c>
      <c r="S129" s="399">
        <f>INDEX(LIBOR!$M$3:$M$122,MATCH(L129,LIBOR!$N$3:$N$122))</f>
        <v>3.2809699999999997E-2</v>
      </c>
      <c r="T129" s="400">
        <f t="shared" si="23"/>
        <v>8.1809699999999999E-2</v>
      </c>
    </row>
    <row r="130" spans="2:20">
      <c r="B130" s="396">
        <f t="shared" si="24"/>
        <v>48091</v>
      </c>
      <c r="C130" s="357">
        <f t="shared" si="25"/>
        <v>182</v>
      </c>
      <c r="D130" s="397">
        <f>INDEX('Monthly Cash Flow'!$L$137:$GT$137, MATCH(C130, 'Monthly Cash Flow'!$L$13:$GT$13, 0))</f>
        <v>0</v>
      </c>
      <c r="E130" s="397">
        <f t="shared" ca="1" si="18"/>
        <v>0</v>
      </c>
      <c r="F130" s="397">
        <f t="shared" si="14"/>
        <v>0</v>
      </c>
      <c r="G130" s="397">
        <f t="shared" ca="1" si="15"/>
        <v>0</v>
      </c>
      <c r="H130" s="398">
        <f t="shared" ca="1" si="16"/>
        <v>0</v>
      </c>
      <c r="I130" s="399">
        <f>MAX($J$5, INDEX(LIBOR!$M$3:$M$122,MATCH(B130,LIBOR!$N$3:$N$122)))</f>
        <v>3.2809699999999997E-2</v>
      </c>
      <c r="J130" s="400">
        <f t="shared" si="17"/>
        <v>8.5309699999999988E-2</v>
      </c>
      <c r="L130" s="392">
        <f t="shared" si="26"/>
        <v>48091</v>
      </c>
      <c r="M130" s="357">
        <f t="shared" si="27"/>
        <v>182</v>
      </c>
      <c r="N130" s="397">
        <v>6288.4364915181513</v>
      </c>
      <c r="O130" s="397">
        <f t="shared" si="19"/>
        <v>0</v>
      </c>
      <c r="P130" s="397">
        <f t="shared" si="21"/>
        <v>42.871258570012706</v>
      </c>
      <c r="Q130" s="397">
        <f t="shared" si="20"/>
        <v>-42.871258570012706</v>
      </c>
      <c r="R130" s="398">
        <f t="shared" si="22"/>
        <v>6331.3077500881636</v>
      </c>
      <c r="S130" s="399">
        <f>INDEX(LIBOR!$M$3:$M$122,MATCH(L130,LIBOR!$N$3:$N$122))</f>
        <v>3.2809699999999997E-2</v>
      </c>
      <c r="T130" s="400">
        <f t="shared" si="23"/>
        <v>8.1809699999999999E-2</v>
      </c>
    </row>
    <row r="131" spans="2:20">
      <c r="B131" s="396">
        <f t="shared" si="24"/>
        <v>48121</v>
      </c>
      <c r="C131" s="357">
        <f t="shared" si="25"/>
        <v>183</v>
      </c>
      <c r="D131" s="397">
        <f>INDEX('Monthly Cash Flow'!$L$137:$GT$137, MATCH(C131, 'Monthly Cash Flow'!$L$13:$GT$13, 0))</f>
        <v>0</v>
      </c>
      <c r="E131" s="397">
        <f t="shared" ca="1" si="18"/>
        <v>0</v>
      </c>
      <c r="F131" s="397">
        <f t="shared" si="14"/>
        <v>0</v>
      </c>
      <c r="G131" s="397">
        <f t="shared" ca="1" si="15"/>
        <v>0</v>
      </c>
      <c r="H131" s="398">
        <f t="shared" ca="1" si="16"/>
        <v>0</v>
      </c>
      <c r="I131" s="399">
        <f>MAX($J$5, INDEX(LIBOR!$M$3:$M$122,MATCH(B131,LIBOR!$N$3:$N$122)))</f>
        <v>3.2809699999999997E-2</v>
      </c>
      <c r="J131" s="400">
        <f t="shared" si="17"/>
        <v>8.5309699999999988E-2</v>
      </c>
      <c r="L131" s="392">
        <f t="shared" si="26"/>
        <v>48121</v>
      </c>
      <c r="M131" s="357">
        <f t="shared" si="27"/>
        <v>183</v>
      </c>
      <c r="N131" s="397">
        <v>6273.6929742838702</v>
      </c>
      <c r="O131" s="397">
        <f t="shared" si="19"/>
        <v>0</v>
      </c>
      <c r="P131" s="397">
        <f t="shared" si="21"/>
        <v>42.770745009855922</v>
      </c>
      <c r="Q131" s="397">
        <f t="shared" si="20"/>
        <v>-42.770745009855922</v>
      </c>
      <c r="R131" s="398">
        <f t="shared" si="22"/>
        <v>6316.4637192937262</v>
      </c>
      <c r="S131" s="399">
        <f>INDEX(LIBOR!$M$3:$M$122,MATCH(L131,LIBOR!$N$3:$N$122))</f>
        <v>3.2809699999999997E-2</v>
      </c>
      <c r="T131" s="400">
        <f t="shared" si="23"/>
        <v>8.1809699999999999E-2</v>
      </c>
    </row>
    <row r="132" spans="2:20">
      <c r="B132" s="396">
        <f t="shared" si="24"/>
        <v>48152</v>
      </c>
      <c r="C132" s="357">
        <f t="shared" si="25"/>
        <v>184</v>
      </c>
      <c r="D132" s="397">
        <f>INDEX('Monthly Cash Flow'!$L$137:$GT$137, MATCH(C132, 'Monthly Cash Flow'!$L$13:$GT$13, 0))</f>
        <v>0</v>
      </c>
      <c r="E132" s="397">
        <f t="shared" ca="1" si="18"/>
        <v>0</v>
      </c>
      <c r="F132" s="397">
        <f t="shared" si="14"/>
        <v>0</v>
      </c>
      <c r="G132" s="397">
        <f t="shared" ca="1" si="15"/>
        <v>0</v>
      </c>
      <c r="H132" s="398">
        <f t="shared" ca="1" si="16"/>
        <v>0</v>
      </c>
      <c r="I132" s="399">
        <f>MAX($J$5, INDEX(LIBOR!$M$3:$M$122,MATCH(B132,LIBOR!$N$3:$N$122)))</f>
        <v>3.2809699999999997E-2</v>
      </c>
      <c r="J132" s="400">
        <f t="shared" si="17"/>
        <v>8.5309699999999988E-2</v>
      </c>
      <c r="L132" s="392">
        <f t="shared" si="26"/>
        <v>48152</v>
      </c>
      <c r="M132" s="357">
        <f t="shared" si="27"/>
        <v>184</v>
      </c>
      <c r="N132" s="397">
        <v>6258.882303645878</v>
      </c>
      <c r="O132" s="397">
        <f t="shared" si="19"/>
        <v>0</v>
      </c>
      <c r="P132" s="397">
        <f t="shared" si="21"/>
        <v>42.66977363304818</v>
      </c>
      <c r="Q132" s="397">
        <f t="shared" si="20"/>
        <v>-42.66977363304818</v>
      </c>
      <c r="R132" s="398">
        <f t="shared" si="22"/>
        <v>6301.5520772789259</v>
      </c>
      <c r="S132" s="399">
        <f>INDEX(LIBOR!$M$3:$M$122,MATCH(L132,LIBOR!$N$3:$N$122))</f>
        <v>3.2809699999999997E-2</v>
      </c>
      <c r="T132" s="400">
        <f t="shared" si="23"/>
        <v>8.1809699999999999E-2</v>
      </c>
    </row>
    <row r="133" spans="2:20">
      <c r="B133" s="396">
        <f t="shared" si="24"/>
        <v>48182</v>
      </c>
      <c r="C133" s="357">
        <f t="shared" si="25"/>
        <v>185</v>
      </c>
      <c r="D133" s="397">
        <f>INDEX('Monthly Cash Flow'!$L$137:$GT$137, MATCH(C133, 'Monthly Cash Flow'!$L$13:$GT$13, 0))</f>
        <v>0</v>
      </c>
      <c r="E133" s="397">
        <f t="shared" ca="1" si="18"/>
        <v>0</v>
      </c>
      <c r="F133" s="397">
        <f t="shared" ref="F133:F196" si="28">D133*J133/12</f>
        <v>0</v>
      </c>
      <c r="G133" s="397">
        <f t="shared" ref="G133:G196" ca="1" si="29">+E133-F133</f>
        <v>0</v>
      </c>
      <c r="H133" s="398">
        <f t="shared" ref="H133:H196" ca="1" si="30">+D133-G133</f>
        <v>0</v>
      </c>
      <c r="I133" s="399">
        <f>MAX($J$5, INDEX(LIBOR!$M$3:$M$122,MATCH(B133,LIBOR!$N$3:$N$122)))</f>
        <v>3.2809699999999997E-2</v>
      </c>
      <c r="J133" s="400">
        <f t="shared" ref="J133:J196" si="31">IF($I$2=1,I133+$J$4/10000,$J$3)</f>
        <v>8.5309699999999988E-2</v>
      </c>
      <c r="L133" s="392">
        <f t="shared" si="26"/>
        <v>48182</v>
      </c>
      <c r="M133" s="357">
        <f t="shared" si="27"/>
        <v>185</v>
      </c>
      <c r="N133" s="397">
        <v>6244.0041737355305</v>
      </c>
      <c r="O133" s="397">
        <f t="shared" si="19"/>
        <v>0</v>
      </c>
      <c r="P133" s="397">
        <f t="shared" si="21"/>
        <v>42.568342354337638</v>
      </c>
      <c r="Q133" s="397">
        <f t="shared" si="20"/>
        <v>-42.568342354337638</v>
      </c>
      <c r="R133" s="398">
        <f t="shared" si="22"/>
        <v>6286.5725160898683</v>
      </c>
      <c r="S133" s="399">
        <f>INDEX(LIBOR!$M$3:$M$122,MATCH(L133,LIBOR!$N$3:$N$122))</f>
        <v>3.2809699999999997E-2</v>
      </c>
      <c r="T133" s="400">
        <f t="shared" si="23"/>
        <v>8.1809699999999999E-2</v>
      </c>
    </row>
    <row r="134" spans="2:20">
      <c r="B134" s="396">
        <f t="shared" si="24"/>
        <v>48213</v>
      </c>
      <c r="C134" s="357">
        <f t="shared" si="25"/>
        <v>186</v>
      </c>
      <c r="D134" s="397">
        <f>INDEX('Monthly Cash Flow'!$L$137:$GT$137, MATCH(C134, 'Monthly Cash Flow'!$L$13:$GT$13, 0))</f>
        <v>0</v>
      </c>
      <c r="E134" s="397">
        <f t="shared" ca="1" si="18"/>
        <v>0</v>
      </c>
      <c r="F134" s="397">
        <f t="shared" si="28"/>
        <v>0</v>
      </c>
      <c r="G134" s="397">
        <f t="shared" ca="1" si="29"/>
        <v>0</v>
      </c>
      <c r="H134" s="398">
        <f t="shared" ca="1" si="30"/>
        <v>0</v>
      </c>
      <c r="I134" s="399">
        <f>MAX($J$5, INDEX(LIBOR!$M$3:$M$122,MATCH(B134,LIBOR!$N$3:$N$122)))</f>
        <v>3.2809699999999997E-2</v>
      </c>
      <c r="J134" s="400">
        <f t="shared" si="31"/>
        <v>8.5309699999999988E-2</v>
      </c>
      <c r="L134" s="392">
        <f t="shared" si="26"/>
        <v>48213</v>
      </c>
      <c r="M134" s="357">
        <f t="shared" si="27"/>
        <v>186</v>
      </c>
      <c r="N134" s="397">
        <v>6229.0582772910211</v>
      </c>
      <c r="O134" s="397">
        <f t="shared" si="19"/>
        <v>0</v>
      </c>
      <c r="P134" s="397">
        <f t="shared" si="21"/>
        <v>42.466449078974605</v>
      </c>
      <c r="Q134" s="397">
        <f t="shared" si="20"/>
        <v>-42.466449078974605</v>
      </c>
      <c r="R134" s="398">
        <f t="shared" si="22"/>
        <v>6271.5247263699957</v>
      </c>
      <c r="S134" s="399">
        <f>INDEX(LIBOR!$M$3:$M$122,MATCH(L134,LIBOR!$N$3:$N$122))</f>
        <v>3.2809699999999997E-2</v>
      </c>
      <c r="T134" s="400">
        <f t="shared" si="23"/>
        <v>8.1809699999999999E-2</v>
      </c>
    </row>
    <row r="135" spans="2:20">
      <c r="B135" s="396">
        <f t="shared" si="24"/>
        <v>48244</v>
      </c>
      <c r="C135" s="357">
        <f t="shared" si="25"/>
        <v>187</v>
      </c>
      <c r="D135" s="397">
        <f ca="1">INDEX('Monthly Cash Flow'!$L$137:$GT$137, MATCH(C135, 'Monthly Cash Flow'!$L$13:$GT$13, 0))</f>
        <v>0</v>
      </c>
      <c r="E135" s="397">
        <f t="shared" ca="1" si="18"/>
        <v>0</v>
      </c>
      <c r="F135" s="397">
        <f t="shared" ca="1" si="28"/>
        <v>0</v>
      </c>
      <c r="G135" s="397">
        <f t="shared" ca="1" si="29"/>
        <v>0</v>
      </c>
      <c r="H135" s="398">
        <f t="shared" ca="1" si="30"/>
        <v>0</v>
      </c>
      <c r="I135" s="399">
        <f>MAX($J$5, INDEX(LIBOR!$M$3:$M$122,MATCH(B135,LIBOR!$N$3:$N$122)))</f>
        <v>3.2809699999999997E-2</v>
      </c>
      <c r="J135" s="400">
        <f t="shared" si="31"/>
        <v>8.5309699999999988E-2</v>
      </c>
      <c r="L135" s="392">
        <f t="shared" si="26"/>
        <v>48244</v>
      </c>
      <c r="M135" s="357">
        <f t="shared" si="27"/>
        <v>187</v>
      </c>
      <c r="N135" s="397">
        <v>6214.0443056510339</v>
      </c>
      <c r="O135" s="397">
        <f t="shared" si="19"/>
        <v>0</v>
      </c>
      <c r="P135" s="397">
        <f t="shared" si="21"/>
        <v>42.364091702668283</v>
      </c>
      <c r="Q135" s="397">
        <f t="shared" si="20"/>
        <v>-42.364091702668283</v>
      </c>
      <c r="R135" s="398">
        <f t="shared" si="22"/>
        <v>6256.4083973537026</v>
      </c>
      <c r="S135" s="399">
        <f>INDEX(LIBOR!$M$3:$M$122,MATCH(L135,LIBOR!$N$3:$N$122))</f>
        <v>3.2809699999999997E-2</v>
      </c>
      <c r="T135" s="400">
        <f t="shared" si="23"/>
        <v>8.1809699999999999E-2</v>
      </c>
    </row>
    <row r="136" spans="2:20">
      <c r="B136" s="396">
        <f t="shared" si="24"/>
        <v>48273</v>
      </c>
      <c r="C136" s="357">
        <f t="shared" si="25"/>
        <v>188</v>
      </c>
      <c r="D136" s="397">
        <f ca="1">INDEX('Monthly Cash Flow'!$L$137:$GT$137, MATCH(C136, 'Monthly Cash Flow'!$L$13:$GT$13, 0))</f>
        <v>0</v>
      </c>
      <c r="E136" s="397">
        <f t="shared" ca="1" si="18"/>
        <v>0</v>
      </c>
      <c r="F136" s="397">
        <f t="shared" ca="1" si="28"/>
        <v>0</v>
      </c>
      <c r="G136" s="397">
        <f t="shared" ca="1" si="29"/>
        <v>0</v>
      </c>
      <c r="H136" s="398">
        <f t="shared" ca="1" si="30"/>
        <v>0</v>
      </c>
      <c r="I136" s="399">
        <f>MAX($J$5, INDEX(LIBOR!$M$3:$M$122,MATCH(B136,LIBOR!$N$3:$N$122)))</f>
        <v>3.2809699999999997E-2</v>
      </c>
      <c r="J136" s="400">
        <f t="shared" si="31"/>
        <v>8.5309699999999988E-2</v>
      </c>
      <c r="L136" s="392">
        <f t="shared" si="26"/>
        <v>48273</v>
      </c>
      <c r="M136" s="357">
        <f t="shared" si="27"/>
        <v>188</v>
      </c>
      <c r="N136" s="397">
        <v>6198.9619487483697</v>
      </c>
      <c r="O136" s="397">
        <f t="shared" si="19"/>
        <v>0</v>
      </c>
      <c r="P136" s="397">
        <f t="shared" si="21"/>
        <v>42.261268111543295</v>
      </c>
      <c r="Q136" s="397">
        <f t="shared" si="20"/>
        <v>-42.261268111543295</v>
      </c>
      <c r="R136" s="398">
        <f t="shared" si="22"/>
        <v>6241.223216859913</v>
      </c>
      <c r="S136" s="399">
        <f>INDEX(LIBOR!$M$3:$M$122,MATCH(L136,LIBOR!$N$3:$N$122))</f>
        <v>3.2809699999999997E-2</v>
      </c>
      <c r="T136" s="400">
        <f t="shared" si="23"/>
        <v>8.1809699999999999E-2</v>
      </c>
    </row>
    <row r="137" spans="2:20">
      <c r="B137" s="396">
        <f t="shared" si="24"/>
        <v>48304</v>
      </c>
      <c r="C137" s="357">
        <f t="shared" si="25"/>
        <v>189</v>
      </c>
      <c r="D137" s="397">
        <f ca="1">INDEX('Monthly Cash Flow'!$L$137:$GT$137, MATCH(C137, 'Monthly Cash Flow'!$L$13:$GT$13, 0))</f>
        <v>0</v>
      </c>
      <c r="E137" s="397">
        <f t="shared" ref="E137:E200" ca="1" si="32">-PMT(J137/12,$E$2*12,$D$9,)</f>
        <v>0</v>
      </c>
      <c r="F137" s="397">
        <f t="shared" ca="1" si="28"/>
        <v>0</v>
      </c>
      <c r="G137" s="397">
        <f t="shared" ca="1" si="29"/>
        <v>0</v>
      </c>
      <c r="H137" s="398">
        <f t="shared" ca="1" si="30"/>
        <v>0</v>
      </c>
      <c r="I137" s="399">
        <f>MAX($J$5, INDEX(LIBOR!$M$3:$M$122,MATCH(B137,LIBOR!$N$3:$N$122)))</f>
        <v>3.2809699999999997E-2</v>
      </c>
      <c r="J137" s="400">
        <f t="shared" si="31"/>
        <v>8.5309699999999988E-2</v>
      </c>
      <c r="L137" s="392">
        <f t="shared" si="26"/>
        <v>48304</v>
      </c>
      <c r="M137" s="357">
        <f t="shared" si="27"/>
        <v>189</v>
      </c>
      <c r="N137" s="397">
        <v>6183.8108951035438</v>
      </c>
      <c r="O137" s="397">
        <f t="shared" ref="O137:O200" si="33">-PMT(T137/12,$O$2*12,$N$9,)</f>
        <v>0</v>
      </c>
      <c r="P137" s="397">
        <f t="shared" si="21"/>
        <v>42.157976182096029</v>
      </c>
      <c r="Q137" s="397">
        <f t="shared" ref="Q137:Q200" si="34">+O137-P137</f>
        <v>-42.157976182096029</v>
      </c>
      <c r="R137" s="398">
        <f t="shared" si="22"/>
        <v>6225.9688712856396</v>
      </c>
      <c r="S137" s="399">
        <f>INDEX(LIBOR!$M$3:$M$122,MATCH(L137,LIBOR!$N$3:$N$122))</f>
        <v>3.2809699999999997E-2</v>
      </c>
      <c r="T137" s="400">
        <f t="shared" si="23"/>
        <v>8.1809699999999999E-2</v>
      </c>
    </row>
    <row r="138" spans="2:20">
      <c r="B138" s="396">
        <f t="shared" si="24"/>
        <v>48334</v>
      </c>
      <c r="C138" s="357">
        <f t="shared" si="25"/>
        <v>190</v>
      </c>
      <c r="D138" s="397">
        <f ca="1">INDEX('Monthly Cash Flow'!$L$137:$GT$137, MATCH(C138, 'Monthly Cash Flow'!$L$13:$GT$13, 0))</f>
        <v>0</v>
      </c>
      <c r="E138" s="397">
        <f t="shared" ca="1" si="32"/>
        <v>0</v>
      </c>
      <c r="F138" s="397">
        <f t="shared" ca="1" si="28"/>
        <v>0</v>
      </c>
      <c r="G138" s="397">
        <f t="shared" ca="1" si="29"/>
        <v>0</v>
      </c>
      <c r="H138" s="398">
        <f t="shared" ca="1" si="30"/>
        <v>0</v>
      </c>
      <c r="I138" s="399">
        <f>MAX($J$5, INDEX(LIBOR!$M$3:$M$122,MATCH(B138,LIBOR!$N$3:$N$122)))</f>
        <v>3.2809699999999997E-2</v>
      </c>
      <c r="J138" s="400">
        <f t="shared" si="31"/>
        <v>8.5309699999999988E-2</v>
      </c>
      <c r="L138" s="392">
        <f t="shared" si="26"/>
        <v>48334</v>
      </c>
      <c r="M138" s="357">
        <f t="shared" si="27"/>
        <v>190</v>
      </c>
      <c r="N138" s="397">
        <v>6168.5908318183529</v>
      </c>
      <c r="O138" s="397">
        <f t="shared" si="33"/>
        <v>0</v>
      </c>
      <c r="P138" s="397">
        <f t="shared" ref="P138:P201" si="35">N138*T138/12</f>
        <v>42.054213781150828</v>
      </c>
      <c r="Q138" s="397">
        <f t="shared" si="34"/>
        <v>-42.054213781150828</v>
      </c>
      <c r="R138" s="398">
        <f t="shared" ref="R138:R201" si="36">+N138-Q138</f>
        <v>6210.6450455995036</v>
      </c>
      <c r="S138" s="399">
        <f>INDEX(LIBOR!$M$3:$M$122,MATCH(L138,LIBOR!$N$3:$N$122))</f>
        <v>3.2809699999999997E-2</v>
      </c>
      <c r="T138" s="400">
        <f t="shared" ref="T138:T201" si="37">IF($S$2=1,S138+$T$4/10000,$T$3)</f>
        <v>8.1809699999999999E-2</v>
      </c>
    </row>
    <row r="139" spans="2:20">
      <c r="B139" s="396">
        <f t="shared" ref="B139:B202" si="38">EOMONTH(B138,1)</f>
        <v>48365</v>
      </c>
      <c r="C139" s="357">
        <f t="shared" ref="C139:C202" si="39">+C138+1</f>
        <v>191</v>
      </c>
      <c r="D139" s="397">
        <f ca="1">INDEX('Monthly Cash Flow'!$L$137:$GT$137, MATCH(C139, 'Monthly Cash Flow'!$L$13:$GT$13, 0))</f>
        <v>0</v>
      </c>
      <c r="E139" s="397">
        <f t="shared" ca="1" si="32"/>
        <v>0</v>
      </c>
      <c r="F139" s="397">
        <f t="shared" ca="1" si="28"/>
        <v>0</v>
      </c>
      <c r="G139" s="397">
        <f t="shared" ca="1" si="29"/>
        <v>0</v>
      </c>
      <c r="H139" s="398">
        <f t="shared" ca="1" si="30"/>
        <v>0</v>
      </c>
      <c r="I139" s="399">
        <f>MAX($J$5, INDEX(LIBOR!$M$3:$M$122,MATCH(B139,LIBOR!$N$3:$N$122)))</f>
        <v>3.2809699999999997E-2</v>
      </c>
      <c r="J139" s="400">
        <f t="shared" si="31"/>
        <v>8.5309699999999988E-2</v>
      </c>
      <c r="L139" s="392">
        <f t="shared" ref="L139:L202" si="40">EOMONTH(L138,1)</f>
        <v>48365</v>
      </c>
      <c r="M139" s="357">
        <f t="shared" ref="M139:M202" si="41">+M138+1</f>
        <v>191</v>
      </c>
      <c r="N139" s="397">
        <v>6153.3014445694125</v>
      </c>
      <c r="O139" s="397">
        <f t="shared" si="33"/>
        <v>0</v>
      </c>
      <c r="P139" s="397">
        <f t="shared" si="35"/>
        <v>41.949978765815857</v>
      </c>
      <c r="Q139" s="397">
        <f t="shared" si="34"/>
        <v>-41.949978765815857</v>
      </c>
      <c r="R139" s="398">
        <f t="shared" si="36"/>
        <v>6195.2514233352285</v>
      </c>
      <c r="S139" s="399">
        <f>INDEX(LIBOR!$M$3:$M$122,MATCH(L139,LIBOR!$N$3:$N$122))</f>
        <v>3.2809699999999997E-2</v>
      </c>
      <c r="T139" s="400">
        <f t="shared" si="37"/>
        <v>8.1809699999999999E-2</v>
      </c>
    </row>
    <row r="140" spans="2:20">
      <c r="B140" s="396">
        <f t="shared" si="38"/>
        <v>48395</v>
      </c>
      <c r="C140" s="357">
        <f t="shared" si="39"/>
        <v>192</v>
      </c>
      <c r="D140" s="397" t="e">
        <f>INDEX('Monthly Cash Flow'!$L$137:$GT$137, MATCH(C140, 'Monthly Cash Flow'!$L$13:$GT$13, 0))</f>
        <v>#N/A</v>
      </c>
      <c r="E140" s="397">
        <f t="shared" ca="1" si="32"/>
        <v>0</v>
      </c>
      <c r="F140" s="397" t="e">
        <f t="shared" si="28"/>
        <v>#N/A</v>
      </c>
      <c r="G140" s="397" t="e">
        <f t="shared" ca="1" si="29"/>
        <v>#N/A</v>
      </c>
      <c r="H140" s="398" t="e">
        <f t="shared" ca="1" si="30"/>
        <v>#N/A</v>
      </c>
      <c r="I140" s="399">
        <f>MAX($J$5, INDEX(LIBOR!$M$3:$M$122,MATCH(B140,LIBOR!$N$3:$N$122)))</f>
        <v>3.2809699999999997E-2</v>
      </c>
      <c r="J140" s="400">
        <f t="shared" si="31"/>
        <v>8.5309699999999988E-2</v>
      </c>
      <c r="L140" s="392">
        <f t="shared" si="40"/>
        <v>48395</v>
      </c>
      <c r="M140" s="357">
        <f t="shared" si="41"/>
        <v>192</v>
      </c>
      <c r="N140" s="397">
        <v>6137.9424176016655</v>
      </c>
      <c r="O140" s="397">
        <f t="shared" si="33"/>
        <v>0</v>
      </c>
      <c r="P140" s="397">
        <f t="shared" si="35"/>
        <v>41.845268983438913</v>
      </c>
      <c r="Q140" s="397">
        <f t="shared" si="34"/>
        <v>-41.845268983438913</v>
      </c>
      <c r="R140" s="398">
        <f t="shared" si="36"/>
        <v>6179.787686585104</v>
      </c>
      <c r="S140" s="399">
        <f>INDEX(LIBOR!$M$3:$M$122,MATCH(L140,LIBOR!$N$3:$N$122))</f>
        <v>3.2809699999999997E-2</v>
      </c>
      <c r="T140" s="400">
        <f t="shared" si="37"/>
        <v>8.1809699999999999E-2</v>
      </c>
    </row>
    <row r="141" spans="2:20">
      <c r="B141" s="396">
        <f t="shared" si="38"/>
        <v>48426</v>
      </c>
      <c r="C141" s="357">
        <f t="shared" si="39"/>
        <v>193</v>
      </c>
      <c r="D141" s="397" t="e">
        <f>INDEX('Monthly Cash Flow'!$L$137:$GT$137, MATCH(C141, 'Monthly Cash Flow'!$L$13:$GT$13, 0))</f>
        <v>#N/A</v>
      </c>
      <c r="E141" s="397">
        <f t="shared" ca="1" si="32"/>
        <v>0</v>
      </c>
      <c r="F141" s="397" t="e">
        <f t="shared" si="28"/>
        <v>#N/A</v>
      </c>
      <c r="G141" s="397" t="e">
        <f t="shared" ca="1" si="29"/>
        <v>#N/A</v>
      </c>
      <c r="H141" s="398" t="e">
        <f t="shared" ca="1" si="30"/>
        <v>#N/A</v>
      </c>
      <c r="I141" s="399">
        <f>MAX($J$5, INDEX(LIBOR!$M$3:$M$122,MATCH(B141,LIBOR!$N$3:$N$122)))</f>
        <v>3.2809699999999997E-2</v>
      </c>
      <c r="J141" s="400">
        <f t="shared" si="31"/>
        <v>8.5309699999999988E-2</v>
      </c>
      <c r="L141" s="392">
        <f t="shared" si="40"/>
        <v>48426</v>
      </c>
      <c r="M141" s="357">
        <f t="shared" si="41"/>
        <v>193</v>
      </c>
      <c r="N141" s="397">
        <v>6122.5134337218615</v>
      </c>
      <c r="O141" s="397">
        <f t="shared" si="33"/>
        <v>0</v>
      </c>
      <c r="P141" s="397">
        <f t="shared" si="35"/>
        <v>41.740082271562947</v>
      </c>
      <c r="Q141" s="397">
        <f t="shared" si="34"/>
        <v>-41.740082271562947</v>
      </c>
      <c r="R141" s="398">
        <f t="shared" si="36"/>
        <v>6164.2535159934241</v>
      </c>
      <c r="S141" s="399">
        <f>INDEX(LIBOR!$M$3:$M$122,MATCH(L141,LIBOR!$N$3:$N$122))</f>
        <v>3.2809699999999997E-2</v>
      </c>
      <c r="T141" s="400">
        <f t="shared" si="37"/>
        <v>8.1809699999999999E-2</v>
      </c>
    </row>
    <row r="142" spans="2:20">
      <c r="B142" s="396">
        <f t="shared" si="38"/>
        <v>48457</v>
      </c>
      <c r="C142" s="357">
        <f t="shared" si="39"/>
        <v>194</v>
      </c>
      <c r="D142" s="397" t="e">
        <f>INDEX('Monthly Cash Flow'!$L$137:$GT$137, MATCH(C142, 'Monthly Cash Flow'!$L$13:$GT$13, 0))</f>
        <v>#N/A</v>
      </c>
      <c r="E142" s="397">
        <f t="shared" ca="1" si="32"/>
        <v>0</v>
      </c>
      <c r="F142" s="397" t="e">
        <f t="shared" si="28"/>
        <v>#N/A</v>
      </c>
      <c r="G142" s="397" t="e">
        <f t="shared" ca="1" si="29"/>
        <v>#N/A</v>
      </c>
      <c r="H142" s="398" t="e">
        <f t="shared" ca="1" si="30"/>
        <v>#N/A</v>
      </c>
      <c r="I142" s="399">
        <f>MAX($J$5, INDEX(LIBOR!$M$3:$M$122,MATCH(B142,LIBOR!$N$3:$N$122)))</f>
        <v>3.2809699999999997E-2</v>
      </c>
      <c r="J142" s="400">
        <f t="shared" si="31"/>
        <v>8.5309699999999988E-2</v>
      </c>
      <c r="L142" s="392">
        <f t="shared" si="40"/>
        <v>48457</v>
      </c>
      <c r="M142" s="357">
        <f t="shared" si="41"/>
        <v>194</v>
      </c>
      <c r="N142" s="397">
        <v>6107.0141742920059</v>
      </c>
      <c r="O142" s="397">
        <f t="shared" si="33"/>
        <v>0</v>
      </c>
      <c r="P142" s="397">
        <f t="shared" si="35"/>
        <v>41.634416457881393</v>
      </c>
      <c r="Q142" s="397">
        <f t="shared" si="34"/>
        <v>-41.634416457881393</v>
      </c>
      <c r="R142" s="398">
        <f t="shared" si="36"/>
        <v>6148.6485907498873</v>
      </c>
      <c r="S142" s="399">
        <f>INDEX(LIBOR!$M$3:$M$122,MATCH(L142,LIBOR!$N$3:$N$122))</f>
        <v>3.2809699999999997E-2</v>
      </c>
      <c r="T142" s="400">
        <f t="shared" si="37"/>
        <v>8.1809699999999999E-2</v>
      </c>
    </row>
    <row r="143" spans="2:20">
      <c r="B143" s="396">
        <f t="shared" si="38"/>
        <v>48487</v>
      </c>
      <c r="C143" s="357">
        <f t="shared" si="39"/>
        <v>195</v>
      </c>
      <c r="D143" s="397" t="e">
        <f>INDEX('Monthly Cash Flow'!$L$137:$GT$137, MATCH(C143, 'Monthly Cash Flow'!$L$13:$GT$13, 0))</f>
        <v>#N/A</v>
      </c>
      <c r="E143" s="397">
        <f t="shared" ca="1" si="32"/>
        <v>0</v>
      </c>
      <c r="F143" s="397" t="e">
        <f t="shared" si="28"/>
        <v>#N/A</v>
      </c>
      <c r="G143" s="397" t="e">
        <f t="shared" ca="1" si="29"/>
        <v>#N/A</v>
      </c>
      <c r="H143" s="398" t="e">
        <f t="shared" ca="1" si="30"/>
        <v>#N/A</v>
      </c>
      <c r="I143" s="399">
        <f>MAX($J$5, INDEX(LIBOR!$M$3:$M$122,MATCH(B143,LIBOR!$N$3:$N$122)))</f>
        <v>3.2809699999999997E-2</v>
      </c>
      <c r="J143" s="400">
        <f t="shared" si="31"/>
        <v>8.5309699999999988E-2</v>
      </c>
      <c r="L143" s="392">
        <f t="shared" si="40"/>
        <v>48487</v>
      </c>
      <c r="M143" s="357">
        <f t="shared" si="41"/>
        <v>195</v>
      </c>
      <c r="N143" s="397">
        <v>6091.4443192227809</v>
      </c>
      <c r="O143" s="397">
        <f t="shared" si="33"/>
        <v>0</v>
      </c>
      <c r="P143" s="397">
        <f t="shared" si="35"/>
        <v>41.528269360193327</v>
      </c>
      <c r="Q143" s="397">
        <f t="shared" si="34"/>
        <v>-41.528269360193327</v>
      </c>
      <c r="R143" s="398">
        <f t="shared" si="36"/>
        <v>6132.9725885829739</v>
      </c>
      <c r="S143" s="399">
        <f>INDEX(LIBOR!$M$3:$M$122,MATCH(L143,LIBOR!$N$3:$N$122))</f>
        <v>3.2809699999999997E-2</v>
      </c>
      <c r="T143" s="400">
        <f t="shared" si="37"/>
        <v>8.1809699999999999E-2</v>
      </c>
    </row>
    <row r="144" spans="2:20">
      <c r="B144" s="396">
        <f t="shared" si="38"/>
        <v>48518</v>
      </c>
      <c r="C144" s="357">
        <f t="shared" si="39"/>
        <v>196</v>
      </c>
      <c r="D144" s="397" t="e">
        <f>INDEX('Monthly Cash Flow'!$L$137:$GT$137, MATCH(C144, 'Monthly Cash Flow'!$L$13:$GT$13, 0))</f>
        <v>#N/A</v>
      </c>
      <c r="E144" s="397">
        <f t="shared" ca="1" si="32"/>
        <v>0</v>
      </c>
      <c r="F144" s="397" t="e">
        <f t="shared" si="28"/>
        <v>#N/A</v>
      </c>
      <c r="G144" s="397" t="e">
        <f t="shared" ca="1" si="29"/>
        <v>#N/A</v>
      </c>
      <c r="H144" s="398" t="e">
        <f t="shared" ca="1" si="30"/>
        <v>#N/A</v>
      </c>
      <c r="I144" s="399">
        <f>MAX($J$5, INDEX(LIBOR!$M$3:$M$122,MATCH(B144,LIBOR!$N$3:$N$122)))</f>
        <v>3.2809699999999997E-2</v>
      </c>
      <c r="J144" s="400">
        <f t="shared" si="31"/>
        <v>8.5309699999999988E-2</v>
      </c>
      <c r="L144" s="392">
        <f t="shared" si="40"/>
        <v>48518</v>
      </c>
      <c r="M144" s="357">
        <f t="shared" si="41"/>
        <v>196</v>
      </c>
      <c r="N144" s="397">
        <v>6075.803546966933</v>
      </c>
      <c r="O144" s="397">
        <f t="shared" si="33"/>
        <v>0</v>
      </c>
      <c r="P144" s="397">
        <f t="shared" si="35"/>
        <v>41.421638786358393</v>
      </c>
      <c r="Q144" s="397">
        <f t="shared" si="34"/>
        <v>-41.421638786358393</v>
      </c>
      <c r="R144" s="398">
        <f t="shared" si="36"/>
        <v>6117.225185753291</v>
      </c>
      <c r="S144" s="399">
        <f>INDEX(LIBOR!$M$3:$M$122,MATCH(L144,LIBOR!$N$3:$N$122))</f>
        <v>3.2809699999999997E-2</v>
      </c>
      <c r="T144" s="400">
        <f t="shared" si="37"/>
        <v>8.1809699999999999E-2</v>
      </c>
    </row>
    <row r="145" spans="2:20">
      <c r="B145" s="396">
        <f t="shared" si="38"/>
        <v>48548</v>
      </c>
      <c r="C145" s="357">
        <f t="shared" si="39"/>
        <v>197</v>
      </c>
      <c r="D145" s="397" t="e">
        <f>INDEX('Monthly Cash Flow'!$L$137:$GT$137, MATCH(C145, 'Monthly Cash Flow'!$L$13:$GT$13, 0))</f>
        <v>#N/A</v>
      </c>
      <c r="E145" s="397">
        <f t="shared" ca="1" si="32"/>
        <v>0</v>
      </c>
      <c r="F145" s="397" t="e">
        <f t="shared" si="28"/>
        <v>#N/A</v>
      </c>
      <c r="G145" s="397" t="e">
        <f t="shared" ca="1" si="29"/>
        <v>#N/A</v>
      </c>
      <c r="H145" s="398" t="e">
        <f t="shared" ca="1" si="30"/>
        <v>#N/A</v>
      </c>
      <c r="I145" s="399">
        <f>MAX($J$5, INDEX(LIBOR!$M$3:$M$122,MATCH(B145,LIBOR!$N$3:$N$122)))</f>
        <v>3.2809699999999997E-2</v>
      </c>
      <c r="J145" s="400">
        <f t="shared" si="31"/>
        <v>8.5309699999999988E-2</v>
      </c>
      <c r="L145" s="392">
        <f t="shared" si="40"/>
        <v>48548</v>
      </c>
      <c r="M145" s="357">
        <f t="shared" si="41"/>
        <v>197</v>
      </c>
      <c r="N145" s="397">
        <v>6060.0915345126332</v>
      </c>
      <c r="O145" s="397">
        <f t="shared" si="33"/>
        <v>0</v>
      </c>
      <c r="P145" s="397">
        <f t="shared" si="35"/>
        <v>41.314522534251516</v>
      </c>
      <c r="Q145" s="397">
        <f t="shared" si="34"/>
        <v>-41.314522534251516</v>
      </c>
      <c r="R145" s="398">
        <f t="shared" si="36"/>
        <v>6101.4060570468846</v>
      </c>
      <c r="S145" s="399">
        <f>INDEX(LIBOR!$M$3:$M$122,MATCH(L145,LIBOR!$N$3:$N$122))</f>
        <v>3.2809699999999997E-2</v>
      </c>
      <c r="T145" s="400">
        <f t="shared" si="37"/>
        <v>8.1809699999999999E-2</v>
      </c>
    </row>
    <row r="146" spans="2:20">
      <c r="B146" s="396">
        <f t="shared" si="38"/>
        <v>48579</v>
      </c>
      <c r="C146" s="357">
        <f t="shared" si="39"/>
        <v>198</v>
      </c>
      <c r="D146" s="397" t="e">
        <f>INDEX('Monthly Cash Flow'!$L$137:$GT$137, MATCH(C146, 'Monthly Cash Flow'!$L$13:$GT$13, 0))</f>
        <v>#N/A</v>
      </c>
      <c r="E146" s="397">
        <f t="shared" ca="1" si="32"/>
        <v>0</v>
      </c>
      <c r="F146" s="397" t="e">
        <f t="shared" si="28"/>
        <v>#N/A</v>
      </c>
      <c r="G146" s="397" t="e">
        <f t="shared" ca="1" si="29"/>
        <v>#N/A</v>
      </c>
      <c r="H146" s="398" t="e">
        <f t="shared" ca="1" si="30"/>
        <v>#N/A</v>
      </c>
      <c r="I146" s="399">
        <f>MAX($J$5, INDEX(LIBOR!$M$3:$M$122,MATCH(B146,LIBOR!$N$3:$N$122)))</f>
        <v>3.2809699999999997E-2</v>
      </c>
      <c r="J146" s="400">
        <f t="shared" si="31"/>
        <v>8.5309699999999988E-2</v>
      </c>
      <c r="L146" s="392">
        <f t="shared" si="40"/>
        <v>48579</v>
      </c>
      <c r="M146" s="357">
        <f t="shared" si="41"/>
        <v>198</v>
      </c>
      <c r="N146" s="397">
        <v>6044.3079573768073</v>
      </c>
      <c r="O146" s="397">
        <f t="shared" si="33"/>
        <v>0</v>
      </c>
      <c r="P146" s="397">
        <f t="shared" si="35"/>
        <v>41.206918391717444</v>
      </c>
      <c r="Q146" s="397">
        <f t="shared" si="34"/>
        <v>-41.206918391717444</v>
      </c>
      <c r="R146" s="398">
        <f t="shared" si="36"/>
        <v>6085.5148757685247</v>
      </c>
      <c r="S146" s="399">
        <f>INDEX(LIBOR!$M$3:$M$122,MATCH(L146,LIBOR!$N$3:$N$122))</f>
        <v>3.2809699999999997E-2</v>
      </c>
      <c r="T146" s="400">
        <f t="shared" si="37"/>
        <v>8.1809699999999999E-2</v>
      </c>
    </row>
    <row r="147" spans="2:20">
      <c r="B147" s="396">
        <f t="shared" si="38"/>
        <v>48610</v>
      </c>
      <c r="C147" s="357">
        <f t="shared" si="39"/>
        <v>199</v>
      </c>
      <c r="D147" s="397" t="e">
        <f>INDEX('Monthly Cash Flow'!$L$137:$GT$137, MATCH(C147, 'Monthly Cash Flow'!$L$13:$GT$13, 0))</f>
        <v>#N/A</v>
      </c>
      <c r="E147" s="397">
        <f t="shared" ca="1" si="32"/>
        <v>0</v>
      </c>
      <c r="F147" s="397" t="e">
        <f t="shared" si="28"/>
        <v>#N/A</v>
      </c>
      <c r="G147" s="397" t="e">
        <f t="shared" ca="1" si="29"/>
        <v>#N/A</v>
      </c>
      <c r="H147" s="398" t="e">
        <f t="shared" ca="1" si="30"/>
        <v>#N/A</v>
      </c>
      <c r="I147" s="399">
        <f>MAX($J$5, INDEX(LIBOR!$M$3:$M$122,MATCH(B147,LIBOR!$N$3:$N$122)))</f>
        <v>3.2809699999999997E-2</v>
      </c>
      <c r="J147" s="400">
        <f t="shared" si="31"/>
        <v>8.5309699999999988E-2</v>
      </c>
      <c r="L147" s="392">
        <f t="shared" si="40"/>
        <v>48610</v>
      </c>
      <c r="M147" s="357">
        <f t="shared" si="41"/>
        <v>199</v>
      </c>
      <c r="N147" s="397">
        <v>6028.4524895984323</v>
      </c>
      <c r="O147" s="397">
        <f t="shared" si="33"/>
        <v>0</v>
      </c>
      <c r="P147" s="397">
        <f t="shared" si="35"/>
        <v>41.098824136525074</v>
      </c>
      <c r="Q147" s="397">
        <f t="shared" si="34"/>
        <v>-41.098824136525074</v>
      </c>
      <c r="R147" s="398">
        <f t="shared" si="36"/>
        <v>6069.5513137349571</v>
      </c>
      <c r="S147" s="399">
        <f>INDEX(LIBOR!$M$3:$M$122,MATCH(L147,LIBOR!$N$3:$N$122))</f>
        <v>3.2809699999999997E-2</v>
      </c>
      <c r="T147" s="400">
        <f t="shared" si="37"/>
        <v>8.1809699999999999E-2</v>
      </c>
    </row>
    <row r="148" spans="2:20">
      <c r="B148" s="396">
        <f t="shared" si="38"/>
        <v>48638</v>
      </c>
      <c r="C148" s="357">
        <f t="shared" si="39"/>
        <v>200</v>
      </c>
      <c r="D148" s="397" t="e">
        <f>INDEX('Monthly Cash Flow'!$L$137:$GT$137, MATCH(C148, 'Monthly Cash Flow'!$L$13:$GT$13, 0))</f>
        <v>#N/A</v>
      </c>
      <c r="E148" s="397">
        <f t="shared" ca="1" si="32"/>
        <v>0</v>
      </c>
      <c r="F148" s="397" t="e">
        <f t="shared" si="28"/>
        <v>#N/A</v>
      </c>
      <c r="G148" s="397" t="e">
        <f t="shared" ca="1" si="29"/>
        <v>#N/A</v>
      </c>
      <c r="H148" s="398" t="e">
        <f t="shared" ca="1" si="30"/>
        <v>#N/A</v>
      </c>
      <c r="I148" s="399">
        <f>MAX($J$5, INDEX(LIBOR!$M$3:$M$122,MATCH(B148,LIBOR!$N$3:$N$122)))</f>
        <v>3.2809699999999997E-2</v>
      </c>
      <c r="J148" s="400">
        <f t="shared" si="31"/>
        <v>8.5309699999999988E-2</v>
      </c>
      <c r="L148" s="392">
        <f t="shared" si="40"/>
        <v>48638</v>
      </c>
      <c r="M148" s="357">
        <f t="shared" si="41"/>
        <v>200</v>
      </c>
      <c r="N148" s="397">
        <v>6012.524803731807</v>
      </c>
      <c r="O148" s="397">
        <f t="shared" si="33"/>
        <v>0</v>
      </c>
      <c r="P148" s="397">
        <f t="shared" si="35"/>
        <v>40.990237536321501</v>
      </c>
      <c r="Q148" s="397">
        <f t="shared" si="34"/>
        <v>-40.990237536321501</v>
      </c>
      <c r="R148" s="398">
        <f t="shared" si="36"/>
        <v>6053.5150412681287</v>
      </c>
      <c r="S148" s="399">
        <f>INDEX(LIBOR!$M$3:$M$122,MATCH(L148,LIBOR!$N$3:$N$122))</f>
        <v>3.2809699999999997E-2</v>
      </c>
      <c r="T148" s="400">
        <f t="shared" si="37"/>
        <v>8.1809699999999999E-2</v>
      </c>
    </row>
    <row r="149" spans="2:20">
      <c r="B149" s="396">
        <f t="shared" si="38"/>
        <v>48669</v>
      </c>
      <c r="C149" s="357">
        <f t="shared" si="39"/>
        <v>201</v>
      </c>
      <c r="D149" s="397" t="e">
        <f>INDEX('Monthly Cash Flow'!$L$137:$GT$137, MATCH(C149, 'Monthly Cash Flow'!$L$13:$GT$13, 0))</f>
        <v>#N/A</v>
      </c>
      <c r="E149" s="397">
        <f t="shared" ca="1" si="32"/>
        <v>0</v>
      </c>
      <c r="F149" s="397" t="e">
        <f t="shared" si="28"/>
        <v>#N/A</v>
      </c>
      <c r="G149" s="397" t="e">
        <f t="shared" ca="1" si="29"/>
        <v>#N/A</v>
      </c>
      <c r="H149" s="398" t="e">
        <f t="shared" ca="1" si="30"/>
        <v>#N/A</v>
      </c>
      <c r="I149" s="399">
        <f>MAX($J$5, INDEX(LIBOR!$M$3:$M$122,MATCH(B149,LIBOR!$N$3:$N$122)))</f>
        <v>3.2809699999999997E-2</v>
      </c>
      <c r="J149" s="400">
        <f t="shared" si="31"/>
        <v>8.5309699999999988E-2</v>
      </c>
      <c r="L149" s="392">
        <f t="shared" si="40"/>
        <v>48669</v>
      </c>
      <c r="M149" s="357">
        <f t="shared" si="41"/>
        <v>201</v>
      </c>
      <c r="N149" s="397">
        <v>5996.5245708397888</v>
      </c>
      <c r="O149" s="397">
        <f t="shared" si="33"/>
        <v>0</v>
      </c>
      <c r="P149" s="397">
        <f t="shared" si="35"/>
        <v>40.881156348585989</v>
      </c>
      <c r="Q149" s="397">
        <f t="shared" si="34"/>
        <v>-40.881156348585989</v>
      </c>
      <c r="R149" s="398">
        <f t="shared" si="36"/>
        <v>6037.4057271883748</v>
      </c>
      <c r="S149" s="399">
        <f>INDEX(LIBOR!$M$3:$M$122,MATCH(L149,LIBOR!$N$3:$N$122))</f>
        <v>3.2809699999999997E-2</v>
      </c>
      <c r="T149" s="400">
        <f t="shared" si="37"/>
        <v>8.1809699999999999E-2</v>
      </c>
    </row>
    <row r="150" spans="2:20">
      <c r="B150" s="396">
        <f t="shared" si="38"/>
        <v>48699</v>
      </c>
      <c r="C150" s="357">
        <f t="shared" si="39"/>
        <v>202</v>
      </c>
      <c r="D150" s="397" t="e">
        <f>INDEX('Monthly Cash Flow'!$L$137:$GT$137, MATCH(C150, 'Monthly Cash Flow'!$L$13:$GT$13, 0))</f>
        <v>#N/A</v>
      </c>
      <c r="E150" s="397">
        <f t="shared" ca="1" si="32"/>
        <v>0</v>
      </c>
      <c r="F150" s="397" t="e">
        <f t="shared" si="28"/>
        <v>#N/A</v>
      </c>
      <c r="G150" s="397" t="e">
        <f t="shared" ca="1" si="29"/>
        <v>#N/A</v>
      </c>
      <c r="H150" s="398" t="e">
        <f t="shared" ca="1" si="30"/>
        <v>#N/A</v>
      </c>
      <c r="I150" s="399">
        <f>MAX($J$5, INDEX(LIBOR!$M$3:$M$122,MATCH(B150,LIBOR!$N$3:$N$122)))</f>
        <v>3.2809699999999997E-2</v>
      </c>
      <c r="J150" s="400">
        <f t="shared" si="31"/>
        <v>8.5309699999999988E-2</v>
      </c>
      <c r="L150" s="392">
        <f t="shared" si="40"/>
        <v>48699</v>
      </c>
      <c r="M150" s="357">
        <f t="shared" si="41"/>
        <v>202</v>
      </c>
      <c r="N150" s="397">
        <v>5980.4514604870001</v>
      </c>
      <c r="O150" s="397">
        <f t="shared" si="33"/>
        <v>0</v>
      </c>
      <c r="P150" s="397">
        <f t="shared" si="35"/>
        <v>40.771578320583608</v>
      </c>
      <c r="Q150" s="397">
        <f t="shared" si="34"/>
        <v>-40.771578320583608</v>
      </c>
      <c r="R150" s="398">
        <f t="shared" si="36"/>
        <v>6021.2230388075841</v>
      </c>
      <c r="S150" s="399">
        <f>INDEX(LIBOR!$M$3:$M$122,MATCH(L150,LIBOR!$N$3:$N$122))</f>
        <v>3.2809699999999997E-2</v>
      </c>
      <c r="T150" s="400">
        <f t="shared" si="37"/>
        <v>8.1809699999999999E-2</v>
      </c>
    </row>
    <row r="151" spans="2:20">
      <c r="B151" s="396">
        <f t="shared" si="38"/>
        <v>48730</v>
      </c>
      <c r="C151" s="357">
        <f t="shared" si="39"/>
        <v>203</v>
      </c>
      <c r="D151" s="397" t="e">
        <f>INDEX('Monthly Cash Flow'!$L$137:$GT$137, MATCH(C151, 'Monthly Cash Flow'!$L$13:$GT$13, 0))</f>
        <v>#N/A</v>
      </c>
      <c r="E151" s="397">
        <f t="shared" ca="1" si="32"/>
        <v>0</v>
      </c>
      <c r="F151" s="397" t="e">
        <f t="shared" si="28"/>
        <v>#N/A</v>
      </c>
      <c r="G151" s="397" t="e">
        <f t="shared" ca="1" si="29"/>
        <v>#N/A</v>
      </c>
      <c r="H151" s="398" t="e">
        <f t="shared" ca="1" si="30"/>
        <v>#N/A</v>
      </c>
      <c r="I151" s="399">
        <f>MAX($J$5, INDEX(LIBOR!$M$3:$M$122,MATCH(B151,LIBOR!$N$3:$N$122)))</f>
        <v>3.2809699999999997E-2</v>
      </c>
      <c r="J151" s="400">
        <f t="shared" si="31"/>
        <v>8.5309699999999988E-2</v>
      </c>
      <c r="L151" s="392">
        <f t="shared" si="40"/>
        <v>48730</v>
      </c>
      <c r="M151" s="357">
        <f t="shared" si="41"/>
        <v>203</v>
      </c>
      <c r="N151" s="397">
        <v>5964.305140733004</v>
      </c>
      <c r="O151" s="397">
        <f t="shared" si="33"/>
        <v>0</v>
      </c>
      <c r="P151" s="397">
        <f t="shared" si="35"/>
        <v>40.661501189318734</v>
      </c>
      <c r="Q151" s="397">
        <f t="shared" si="34"/>
        <v>-40.661501189318734</v>
      </c>
      <c r="R151" s="398">
        <f t="shared" si="36"/>
        <v>6004.9666419223231</v>
      </c>
      <c r="S151" s="399">
        <f>INDEX(LIBOR!$M$3:$M$122,MATCH(L151,LIBOR!$N$3:$N$122))</f>
        <v>3.2809699999999997E-2</v>
      </c>
      <c r="T151" s="400">
        <f t="shared" si="37"/>
        <v>8.1809699999999999E-2</v>
      </c>
    </row>
    <row r="152" spans="2:20">
      <c r="B152" s="396">
        <f t="shared" si="38"/>
        <v>48760</v>
      </c>
      <c r="C152" s="357">
        <f t="shared" si="39"/>
        <v>204</v>
      </c>
      <c r="D152" s="397" t="e">
        <f>INDEX('Monthly Cash Flow'!$L$137:$GT$137, MATCH(C152, 'Monthly Cash Flow'!$L$13:$GT$13, 0))</f>
        <v>#N/A</v>
      </c>
      <c r="E152" s="397">
        <f t="shared" ca="1" si="32"/>
        <v>0</v>
      </c>
      <c r="F152" s="397" t="e">
        <f t="shared" si="28"/>
        <v>#N/A</v>
      </c>
      <c r="G152" s="397" t="e">
        <f t="shared" ca="1" si="29"/>
        <v>#N/A</v>
      </c>
      <c r="H152" s="398" t="e">
        <f t="shared" ca="1" si="30"/>
        <v>#N/A</v>
      </c>
      <c r="I152" s="399">
        <f>MAX($J$5, INDEX(LIBOR!$M$3:$M$122,MATCH(B152,LIBOR!$N$3:$N$122)))</f>
        <v>3.2809699999999997E-2</v>
      </c>
      <c r="J152" s="400">
        <f t="shared" si="31"/>
        <v>8.5309699999999988E-2</v>
      </c>
      <c r="L152" s="392">
        <f t="shared" si="40"/>
        <v>48760</v>
      </c>
      <c r="M152" s="357">
        <f t="shared" si="41"/>
        <v>204</v>
      </c>
      <c r="N152" s="397">
        <v>5948.0852781254507</v>
      </c>
      <c r="O152" s="397">
        <f t="shared" si="33"/>
        <v>0</v>
      </c>
      <c r="P152" s="397">
        <f t="shared" si="35"/>
        <v>40.550922681488309</v>
      </c>
      <c r="Q152" s="397">
        <f t="shared" si="34"/>
        <v>-40.550922681488309</v>
      </c>
      <c r="R152" s="398">
        <f t="shared" si="36"/>
        <v>5988.6362008069391</v>
      </c>
      <c r="S152" s="399">
        <f>INDEX(LIBOR!$M$3:$M$122,MATCH(L152,LIBOR!$N$3:$N$122))</f>
        <v>3.2809699999999997E-2</v>
      </c>
      <c r="T152" s="400">
        <f t="shared" si="37"/>
        <v>8.1809699999999999E-2</v>
      </c>
    </row>
    <row r="153" spans="2:20">
      <c r="B153" s="396">
        <f t="shared" si="38"/>
        <v>48791</v>
      </c>
      <c r="C153" s="357">
        <f t="shared" si="39"/>
        <v>205</v>
      </c>
      <c r="D153" s="397" t="e">
        <f>INDEX('Monthly Cash Flow'!$L$137:$GT$137, MATCH(C153, 'Monthly Cash Flow'!$L$13:$GT$13, 0))</f>
        <v>#N/A</v>
      </c>
      <c r="E153" s="397">
        <f t="shared" ca="1" si="32"/>
        <v>0</v>
      </c>
      <c r="F153" s="397" t="e">
        <f t="shared" si="28"/>
        <v>#N/A</v>
      </c>
      <c r="G153" s="397" t="e">
        <f t="shared" ca="1" si="29"/>
        <v>#N/A</v>
      </c>
      <c r="H153" s="398" t="e">
        <f t="shared" ca="1" si="30"/>
        <v>#N/A</v>
      </c>
      <c r="I153" s="399">
        <f>MAX($J$5, INDEX(LIBOR!$M$3:$M$122,MATCH(B153,LIBOR!$N$3:$N$122)))</f>
        <v>3.2809699999999997E-2</v>
      </c>
      <c r="J153" s="400">
        <f t="shared" si="31"/>
        <v>8.5309699999999988E-2</v>
      </c>
      <c r="L153" s="392">
        <f t="shared" si="40"/>
        <v>48791</v>
      </c>
      <c r="M153" s="357">
        <f t="shared" si="41"/>
        <v>205</v>
      </c>
      <c r="N153" s="397">
        <v>5931.7915376931887</v>
      </c>
      <c r="O153" s="397">
        <f t="shared" si="33"/>
        <v>0</v>
      </c>
      <c r="P153" s="397">
        <f t="shared" si="35"/>
        <v>40.439840513434874</v>
      </c>
      <c r="Q153" s="397">
        <f t="shared" si="34"/>
        <v>-40.439840513434874</v>
      </c>
      <c r="R153" s="398">
        <f t="shared" si="36"/>
        <v>5972.231378206624</v>
      </c>
      <c r="S153" s="399">
        <f>INDEX(LIBOR!$M$3:$M$122,MATCH(L153,LIBOR!$N$3:$N$122))</f>
        <v>3.2809699999999997E-2</v>
      </c>
      <c r="T153" s="400">
        <f t="shared" si="37"/>
        <v>8.1809699999999999E-2</v>
      </c>
    </row>
    <row r="154" spans="2:20">
      <c r="B154" s="396">
        <f t="shared" si="38"/>
        <v>48822</v>
      </c>
      <c r="C154" s="357">
        <f t="shared" si="39"/>
        <v>206</v>
      </c>
      <c r="D154" s="397" t="e">
        <f>INDEX('Monthly Cash Flow'!$L$137:$GT$137, MATCH(C154, 'Monthly Cash Flow'!$L$13:$GT$13, 0))</f>
        <v>#N/A</v>
      </c>
      <c r="E154" s="397">
        <f t="shared" ca="1" si="32"/>
        <v>0</v>
      </c>
      <c r="F154" s="397" t="e">
        <f t="shared" si="28"/>
        <v>#N/A</v>
      </c>
      <c r="G154" s="397" t="e">
        <f t="shared" ca="1" si="29"/>
        <v>#N/A</v>
      </c>
      <c r="H154" s="398" t="e">
        <f t="shared" ca="1" si="30"/>
        <v>#N/A</v>
      </c>
      <c r="I154" s="399">
        <f>MAX($J$5, INDEX(LIBOR!$M$3:$M$122,MATCH(B154,LIBOR!$N$3:$N$122)))</f>
        <v>3.2809699999999997E-2</v>
      </c>
      <c r="J154" s="400">
        <f t="shared" si="31"/>
        <v>8.5309699999999988E-2</v>
      </c>
      <c r="L154" s="392">
        <f t="shared" si="40"/>
        <v>48822</v>
      </c>
      <c r="M154" s="357">
        <f t="shared" si="41"/>
        <v>206</v>
      </c>
      <c r="N154" s="397">
        <v>5915.4235829393492</v>
      </c>
      <c r="O154" s="397">
        <f t="shared" si="33"/>
        <v>0</v>
      </c>
      <c r="P154" s="397">
        <f t="shared" si="35"/>
        <v>40.32825239109944</v>
      </c>
      <c r="Q154" s="397">
        <f t="shared" si="34"/>
        <v>-40.32825239109944</v>
      </c>
      <c r="R154" s="398">
        <f t="shared" si="36"/>
        <v>5955.7518353304486</v>
      </c>
      <c r="S154" s="399">
        <f>INDEX(LIBOR!$M$3:$M$122,MATCH(L154,LIBOR!$N$3:$N$122))</f>
        <v>3.2809699999999997E-2</v>
      </c>
      <c r="T154" s="400">
        <f t="shared" si="37"/>
        <v>8.1809699999999999E-2</v>
      </c>
    </row>
    <row r="155" spans="2:20">
      <c r="B155" s="396">
        <f t="shared" si="38"/>
        <v>48852</v>
      </c>
      <c r="C155" s="357">
        <f t="shared" si="39"/>
        <v>207</v>
      </c>
      <c r="D155" s="397" t="e">
        <f>INDEX('Monthly Cash Flow'!$L$137:$GT$137, MATCH(C155, 'Monthly Cash Flow'!$L$13:$GT$13, 0))</f>
        <v>#N/A</v>
      </c>
      <c r="E155" s="397">
        <f t="shared" ca="1" si="32"/>
        <v>0</v>
      </c>
      <c r="F155" s="397" t="e">
        <f t="shared" si="28"/>
        <v>#N/A</v>
      </c>
      <c r="G155" s="397" t="e">
        <f t="shared" ca="1" si="29"/>
        <v>#N/A</v>
      </c>
      <c r="H155" s="398" t="e">
        <f t="shared" ca="1" si="30"/>
        <v>#N/A</v>
      </c>
      <c r="I155" s="399">
        <f>MAX($J$5, INDEX(LIBOR!$M$3:$M$122,MATCH(B155,LIBOR!$N$3:$N$122)))</f>
        <v>3.2809699999999997E-2</v>
      </c>
      <c r="J155" s="400">
        <f t="shared" si="31"/>
        <v>8.5309699999999988E-2</v>
      </c>
      <c r="L155" s="392">
        <f t="shared" si="40"/>
        <v>48852</v>
      </c>
      <c r="M155" s="357">
        <f t="shared" si="41"/>
        <v>207</v>
      </c>
      <c r="N155" s="397">
        <v>5898.9810758343956</v>
      </c>
      <c r="O155" s="397">
        <f t="shared" si="33"/>
        <v>0</v>
      </c>
      <c r="P155" s="397">
        <f t="shared" si="35"/>
        <v>40.216156009974092</v>
      </c>
      <c r="Q155" s="397">
        <f t="shared" si="34"/>
        <v>-40.216156009974092</v>
      </c>
      <c r="R155" s="398">
        <f t="shared" si="36"/>
        <v>5939.1972318443695</v>
      </c>
      <c r="S155" s="399">
        <f>INDEX(LIBOR!$M$3:$M$122,MATCH(L155,LIBOR!$N$3:$N$122))</f>
        <v>3.2809699999999997E-2</v>
      </c>
      <c r="T155" s="400">
        <f t="shared" si="37"/>
        <v>8.1809699999999999E-2</v>
      </c>
    </row>
    <row r="156" spans="2:20">
      <c r="B156" s="396">
        <f t="shared" si="38"/>
        <v>48883</v>
      </c>
      <c r="C156" s="357">
        <f t="shared" si="39"/>
        <v>208</v>
      </c>
      <c r="D156" s="397" t="e">
        <f>INDEX('Monthly Cash Flow'!$L$137:$GT$137, MATCH(C156, 'Monthly Cash Flow'!$L$13:$GT$13, 0))</f>
        <v>#N/A</v>
      </c>
      <c r="E156" s="397">
        <f t="shared" ca="1" si="32"/>
        <v>0</v>
      </c>
      <c r="F156" s="397" t="e">
        <f t="shared" si="28"/>
        <v>#N/A</v>
      </c>
      <c r="G156" s="397" t="e">
        <f t="shared" ca="1" si="29"/>
        <v>#N/A</v>
      </c>
      <c r="H156" s="398" t="e">
        <f t="shared" ca="1" si="30"/>
        <v>#N/A</v>
      </c>
      <c r="I156" s="399">
        <f>MAX($J$5, INDEX(LIBOR!$M$3:$M$122,MATCH(B156,LIBOR!$N$3:$N$122)))</f>
        <v>3.2809699999999997E-2</v>
      </c>
      <c r="J156" s="400">
        <f t="shared" si="31"/>
        <v>8.5309699999999988E-2</v>
      </c>
      <c r="L156" s="392">
        <f t="shared" si="40"/>
        <v>48883</v>
      </c>
      <c r="M156" s="357">
        <f t="shared" si="41"/>
        <v>208</v>
      </c>
      <c r="N156" s="397">
        <v>5882.4636768091432</v>
      </c>
      <c r="O156" s="397">
        <f t="shared" si="33"/>
        <v>0</v>
      </c>
      <c r="P156" s="397">
        <f t="shared" si="35"/>
        <v>40.103549055054408</v>
      </c>
      <c r="Q156" s="397">
        <f t="shared" si="34"/>
        <v>-40.103549055054408</v>
      </c>
      <c r="R156" s="398">
        <f t="shared" si="36"/>
        <v>5922.567225864198</v>
      </c>
      <c r="S156" s="399">
        <f>INDEX(LIBOR!$M$3:$M$122,MATCH(L156,LIBOR!$N$3:$N$122))</f>
        <v>3.2809699999999997E-2</v>
      </c>
      <c r="T156" s="400">
        <f t="shared" si="37"/>
        <v>8.1809699999999999E-2</v>
      </c>
    </row>
    <row r="157" spans="2:20">
      <c r="B157" s="396">
        <f t="shared" si="38"/>
        <v>48913</v>
      </c>
      <c r="C157" s="357">
        <f t="shared" si="39"/>
        <v>209</v>
      </c>
      <c r="D157" s="397" t="e">
        <f>INDEX('Monthly Cash Flow'!$L$137:$GT$137, MATCH(C157, 'Monthly Cash Flow'!$L$13:$GT$13, 0))</f>
        <v>#N/A</v>
      </c>
      <c r="E157" s="397">
        <f t="shared" ca="1" si="32"/>
        <v>0</v>
      </c>
      <c r="F157" s="397" t="e">
        <f t="shared" si="28"/>
        <v>#N/A</v>
      </c>
      <c r="G157" s="397" t="e">
        <f t="shared" ca="1" si="29"/>
        <v>#N/A</v>
      </c>
      <c r="H157" s="398" t="e">
        <f t="shared" ca="1" si="30"/>
        <v>#N/A</v>
      </c>
      <c r="I157" s="399">
        <f>MAX($J$5, INDEX(LIBOR!$M$3:$M$122,MATCH(B157,LIBOR!$N$3:$N$122)))</f>
        <v>3.2809699999999997E-2</v>
      </c>
      <c r="J157" s="400">
        <f t="shared" si="31"/>
        <v>8.5309699999999988E-2</v>
      </c>
      <c r="L157" s="392">
        <f t="shared" si="40"/>
        <v>48913</v>
      </c>
      <c r="M157" s="357">
        <f t="shared" si="41"/>
        <v>209</v>
      </c>
      <c r="N157" s="397">
        <v>5865.8710447477461</v>
      </c>
      <c r="O157" s="397">
        <f t="shared" si="33"/>
        <v>0</v>
      </c>
      <c r="P157" s="397">
        <f t="shared" si="35"/>
        <v>39.990429200791638</v>
      </c>
      <c r="Q157" s="397">
        <f t="shared" si="34"/>
        <v>-39.990429200791638</v>
      </c>
      <c r="R157" s="398">
        <f t="shared" si="36"/>
        <v>5905.8614739485374</v>
      </c>
      <c r="S157" s="399">
        <f>INDEX(LIBOR!$M$3:$M$122,MATCH(L157,LIBOR!$N$3:$N$122))</f>
        <v>3.2809699999999997E-2</v>
      </c>
      <c r="T157" s="400">
        <f t="shared" si="37"/>
        <v>8.1809699999999999E-2</v>
      </c>
    </row>
    <row r="158" spans="2:20">
      <c r="B158" s="396">
        <f t="shared" si="38"/>
        <v>48944</v>
      </c>
      <c r="C158" s="357">
        <f t="shared" si="39"/>
        <v>210</v>
      </c>
      <c r="D158" s="397" t="e">
        <f>INDEX('Monthly Cash Flow'!$L$137:$GT$137, MATCH(C158, 'Monthly Cash Flow'!$L$13:$GT$13, 0))</f>
        <v>#N/A</v>
      </c>
      <c r="E158" s="397">
        <f t="shared" ca="1" si="32"/>
        <v>0</v>
      </c>
      <c r="F158" s="397" t="e">
        <f t="shared" si="28"/>
        <v>#N/A</v>
      </c>
      <c r="G158" s="397" t="e">
        <f t="shared" ca="1" si="29"/>
        <v>#N/A</v>
      </c>
      <c r="H158" s="398" t="e">
        <f t="shared" ca="1" si="30"/>
        <v>#N/A</v>
      </c>
      <c r="I158" s="399">
        <f>MAX($J$5, INDEX(LIBOR!$M$3:$M$122,MATCH(B158,LIBOR!$N$3:$N$122)))</f>
        <v>3.2809699999999997E-2</v>
      </c>
      <c r="J158" s="400">
        <f t="shared" si="31"/>
        <v>8.5309699999999988E-2</v>
      </c>
      <c r="L158" s="392">
        <f t="shared" si="40"/>
        <v>48944</v>
      </c>
      <c r="M158" s="357">
        <f t="shared" si="41"/>
        <v>210</v>
      </c>
      <c r="N158" s="397">
        <v>5849.2028369806512</v>
      </c>
      <c r="O158" s="397">
        <f t="shared" si="33"/>
        <v>0</v>
      </c>
      <c r="P158" s="397">
        <f t="shared" si="35"/>
        <v>39.876794111044667</v>
      </c>
      <c r="Q158" s="397">
        <f t="shared" si="34"/>
        <v>-39.876794111044667</v>
      </c>
      <c r="R158" s="398">
        <f t="shared" si="36"/>
        <v>5889.0796310916958</v>
      </c>
      <c r="S158" s="399">
        <f>INDEX(LIBOR!$M$3:$M$122,MATCH(L158,LIBOR!$N$3:$N$122))</f>
        <v>3.2809699999999997E-2</v>
      </c>
      <c r="T158" s="400">
        <f t="shared" si="37"/>
        <v>8.1809699999999999E-2</v>
      </c>
    </row>
    <row r="159" spans="2:20">
      <c r="B159" s="396">
        <f t="shared" si="38"/>
        <v>48975</v>
      </c>
      <c r="C159" s="357">
        <f t="shared" si="39"/>
        <v>211</v>
      </c>
      <c r="D159" s="397" t="e">
        <f>INDEX('Monthly Cash Flow'!$L$137:$GT$137, MATCH(C159, 'Monthly Cash Flow'!$L$13:$GT$13, 0))</f>
        <v>#N/A</v>
      </c>
      <c r="E159" s="397">
        <f t="shared" ca="1" si="32"/>
        <v>0</v>
      </c>
      <c r="F159" s="397" t="e">
        <f t="shared" si="28"/>
        <v>#N/A</v>
      </c>
      <c r="G159" s="397" t="e">
        <f t="shared" ca="1" si="29"/>
        <v>#N/A</v>
      </c>
      <c r="H159" s="398" t="e">
        <f t="shared" ca="1" si="30"/>
        <v>#N/A</v>
      </c>
      <c r="I159" s="399">
        <f>MAX($J$5, INDEX(LIBOR!$M$3:$M$122,MATCH(B159,LIBOR!$N$3:$N$122)))</f>
        <v>3.2809699999999997E-2</v>
      </c>
      <c r="J159" s="400">
        <f t="shared" si="31"/>
        <v>8.5309699999999988E-2</v>
      </c>
      <c r="L159" s="392">
        <f t="shared" si="40"/>
        <v>48975</v>
      </c>
      <c r="M159" s="357">
        <f t="shared" si="41"/>
        <v>211</v>
      </c>
      <c r="N159" s="397">
        <v>5832.4587092775237</v>
      </c>
      <c r="O159" s="397">
        <f t="shared" si="33"/>
        <v>0</v>
      </c>
      <c r="P159" s="397">
        <f t="shared" si="35"/>
        <v>39.762641439031789</v>
      </c>
      <c r="Q159" s="397">
        <f t="shared" si="34"/>
        <v>-39.762641439031789</v>
      </c>
      <c r="R159" s="398">
        <f t="shared" si="36"/>
        <v>5872.2213507165552</v>
      </c>
      <c r="S159" s="399">
        <f>INDEX(LIBOR!$M$3:$M$122,MATCH(L159,LIBOR!$N$3:$N$122))</f>
        <v>3.2809699999999997E-2</v>
      </c>
      <c r="T159" s="400">
        <f t="shared" si="37"/>
        <v>8.1809699999999999E-2</v>
      </c>
    </row>
    <row r="160" spans="2:20">
      <c r="B160" s="396">
        <f t="shared" si="38"/>
        <v>49003</v>
      </c>
      <c r="C160" s="357">
        <f t="shared" si="39"/>
        <v>212</v>
      </c>
      <c r="D160" s="397" t="e">
        <f>INDEX('Monthly Cash Flow'!$L$137:$GT$137, MATCH(C160, 'Monthly Cash Flow'!$L$13:$GT$13, 0))</f>
        <v>#N/A</v>
      </c>
      <c r="E160" s="397">
        <f t="shared" ca="1" si="32"/>
        <v>0</v>
      </c>
      <c r="F160" s="397" t="e">
        <f t="shared" si="28"/>
        <v>#N/A</v>
      </c>
      <c r="G160" s="397" t="e">
        <f t="shared" ca="1" si="29"/>
        <v>#N/A</v>
      </c>
      <c r="H160" s="398" t="e">
        <f t="shared" ca="1" si="30"/>
        <v>#N/A</v>
      </c>
      <c r="I160" s="399">
        <f>MAX($J$5, INDEX(LIBOR!$M$3:$M$122,MATCH(B160,LIBOR!$N$3:$N$122)))</f>
        <v>3.2809699999999997E-2</v>
      </c>
      <c r="J160" s="400">
        <f t="shared" si="31"/>
        <v>8.5309699999999988E-2</v>
      </c>
      <c r="L160" s="392">
        <f t="shared" si="40"/>
        <v>49003</v>
      </c>
      <c r="M160" s="357">
        <f t="shared" si="41"/>
        <v>212</v>
      </c>
      <c r="N160" s="397">
        <v>5815.6383158401377</v>
      </c>
      <c r="O160" s="397">
        <f t="shared" si="33"/>
        <v>0</v>
      </c>
      <c r="P160" s="397">
        <f t="shared" si="35"/>
        <v>39.647968827282241</v>
      </c>
      <c r="Q160" s="397">
        <f t="shared" si="34"/>
        <v>-39.647968827282241</v>
      </c>
      <c r="R160" s="398">
        <f t="shared" si="36"/>
        <v>5855.2862846674197</v>
      </c>
      <c r="S160" s="399">
        <f>INDEX(LIBOR!$M$3:$M$122,MATCH(L160,LIBOR!$N$3:$N$122))</f>
        <v>3.2809699999999997E-2</v>
      </c>
      <c r="T160" s="400">
        <f t="shared" si="37"/>
        <v>8.1809699999999999E-2</v>
      </c>
    </row>
    <row r="161" spans="2:20">
      <c r="B161" s="396">
        <f t="shared" si="38"/>
        <v>49034</v>
      </c>
      <c r="C161" s="357">
        <f t="shared" si="39"/>
        <v>213</v>
      </c>
      <c r="D161" s="397" t="e">
        <f>INDEX('Monthly Cash Flow'!$L$137:$GT$137, MATCH(C161, 'Monthly Cash Flow'!$L$13:$GT$13, 0))</f>
        <v>#N/A</v>
      </c>
      <c r="E161" s="397">
        <f t="shared" ca="1" si="32"/>
        <v>0</v>
      </c>
      <c r="F161" s="397" t="e">
        <f t="shared" si="28"/>
        <v>#N/A</v>
      </c>
      <c r="G161" s="397" t="e">
        <f t="shared" ca="1" si="29"/>
        <v>#N/A</v>
      </c>
      <c r="H161" s="398" t="e">
        <f t="shared" ca="1" si="30"/>
        <v>#N/A</v>
      </c>
      <c r="I161" s="399">
        <f>MAX($J$5, INDEX(LIBOR!$M$3:$M$122,MATCH(B161,LIBOR!$N$3:$N$122)))</f>
        <v>3.2809699999999997E-2</v>
      </c>
      <c r="J161" s="400">
        <f t="shared" si="31"/>
        <v>8.5309699999999988E-2</v>
      </c>
      <c r="L161" s="392">
        <f t="shared" si="40"/>
        <v>49034</v>
      </c>
      <c r="M161" s="357">
        <f t="shared" si="41"/>
        <v>213</v>
      </c>
      <c r="N161" s="397">
        <v>5798.7413092952329</v>
      </c>
      <c r="O161" s="397">
        <f t="shared" si="33"/>
        <v>0</v>
      </c>
      <c r="P161" s="397">
        <f t="shared" si="35"/>
        <v>39.532773907587519</v>
      </c>
      <c r="Q161" s="397">
        <f t="shared" si="34"/>
        <v>-39.532773907587519</v>
      </c>
      <c r="R161" s="398">
        <f t="shared" si="36"/>
        <v>5838.2740832028203</v>
      </c>
      <c r="S161" s="399">
        <f>INDEX(LIBOR!$M$3:$M$122,MATCH(L161,LIBOR!$N$3:$N$122))</f>
        <v>3.2809699999999997E-2</v>
      </c>
      <c r="T161" s="400">
        <f t="shared" si="37"/>
        <v>8.1809699999999999E-2</v>
      </c>
    </row>
    <row r="162" spans="2:20">
      <c r="B162" s="396">
        <f t="shared" si="38"/>
        <v>49064</v>
      </c>
      <c r="C162" s="357">
        <f t="shared" si="39"/>
        <v>214</v>
      </c>
      <c r="D162" s="397" t="e">
        <f>INDEX('Monthly Cash Flow'!$L$137:$GT$137, MATCH(C162, 'Monthly Cash Flow'!$L$13:$GT$13, 0))</f>
        <v>#N/A</v>
      </c>
      <c r="E162" s="397">
        <f t="shared" ca="1" si="32"/>
        <v>0</v>
      </c>
      <c r="F162" s="397" t="e">
        <f t="shared" si="28"/>
        <v>#N/A</v>
      </c>
      <c r="G162" s="397" t="e">
        <f t="shared" ca="1" si="29"/>
        <v>#N/A</v>
      </c>
      <c r="H162" s="398" t="e">
        <f t="shared" ca="1" si="30"/>
        <v>#N/A</v>
      </c>
      <c r="I162" s="399">
        <f>MAX($J$5, INDEX(LIBOR!$M$3:$M$122,MATCH(B162,LIBOR!$N$3:$N$122)))</f>
        <v>3.2809699999999997E-2</v>
      </c>
      <c r="J162" s="400">
        <f t="shared" si="31"/>
        <v>8.5309699999999988E-2</v>
      </c>
      <c r="L162" s="392">
        <f t="shared" si="40"/>
        <v>49064</v>
      </c>
      <c r="M162" s="357">
        <f t="shared" si="41"/>
        <v>214</v>
      </c>
      <c r="N162" s="397">
        <v>5781.7673406873419</v>
      </c>
      <c r="O162" s="397">
        <f t="shared" si="33"/>
        <v>0</v>
      </c>
      <c r="P162" s="397">
        <f t="shared" si="35"/>
        <v>39.417054300952437</v>
      </c>
      <c r="Q162" s="397">
        <f t="shared" si="34"/>
        <v>-39.417054300952437</v>
      </c>
      <c r="R162" s="398">
        <f t="shared" si="36"/>
        <v>5821.1843949882941</v>
      </c>
      <c r="S162" s="399">
        <f>INDEX(LIBOR!$M$3:$M$122,MATCH(L162,LIBOR!$N$3:$N$122))</f>
        <v>3.2809699999999997E-2</v>
      </c>
      <c r="T162" s="400">
        <f t="shared" si="37"/>
        <v>8.1809699999999999E-2</v>
      </c>
    </row>
    <row r="163" spans="2:20">
      <c r="B163" s="396">
        <f t="shared" si="38"/>
        <v>49095</v>
      </c>
      <c r="C163" s="357">
        <f t="shared" si="39"/>
        <v>215</v>
      </c>
      <c r="D163" s="397" t="e">
        <f>INDEX('Monthly Cash Flow'!$L$137:$GT$137, MATCH(C163, 'Monthly Cash Flow'!$L$13:$GT$13, 0))</f>
        <v>#N/A</v>
      </c>
      <c r="E163" s="397">
        <f t="shared" ca="1" si="32"/>
        <v>0</v>
      </c>
      <c r="F163" s="397" t="e">
        <f t="shared" si="28"/>
        <v>#N/A</v>
      </c>
      <c r="G163" s="397" t="e">
        <f t="shared" ca="1" si="29"/>
        <v>#N/A</v>
      </c>
      <c r="H163" s="398" t="e">
        <f t="shared" ca="1" si="30"/>
        <v>#N/A</v>
      </c>
      <c r="I163" s="399">
        <f>MAX($J$5, INDEX(LIBOR!$M$3:$M$122,MATCH(B163,LIBOR!$N$3:$N$122)))</f>
        <v>3.2809699999999997E-2</v>
      </c>
      <c r="J163" s="400">
        <f t="shared" si="31"/>
        <v>8.5309699999999988E-2</v>
      </c>
      <c r="L163" s="392">
        <f t="shared" si="40"/>
        <v>49095</v>
      </c>
      <c r="M163" s="357">
        <f t="shared" si="41"/>
        <v>215</v>
      </c>
      <c r="N163" s="397">
        <v>5764.7160594715851</v>
      </c>
      <c r="O163" s="397">
        <f t="shared" si="33"/>
        <v>0</v>
      </c>
      <c r="P163" s="397">
        <f t="shared" si="35"/>
        <v>39.300807617546049</v>
      </c>
      <c r="Q163" s="397">
        <f t="shared" si="34"/>
        <v>-39.300807617546049</v>
      </c>
      <c r="R163" s="398">
        <f t="shared" si="36"/>
        <v>5804.0168670891308</v>
      </c>
      <c r="S163" s="399">
        <f>INDEX(LIBOR!$M$3:$M$122,MATCH(L163,LIBOR!$N$3:$N$122))</f>
        <v>3.2809699999999997E-2</v>
      </c>
      <c r="T163" s="400">
        <f t="shared" si="37"/>
        <v>8.1809699999999999E-2</v>
      </c>
    </row>
    <row r="164" spans="2:20">
      <c r="B164" s="396">
        <f t="shared" si="38"/>
        <v>49125</v>
      </c>
      <c r="C164" s="357">
        <f t="shared" si="39"/>
        <v>216</v>
      </c>
      <c r="D164" s="397" t="e">
        <f>INDEX('Monthly Cash Flow'!$L$137:$GT$137, MATCH(C164, 'Monthly Cash Flow'!$L$13:$GT$13, 0))</f>
        <v>#N/A</v>
      </c>
      <c r="E164" s="397">
        <f t="shared" ca="1" si="32"/>
        <v>0</v>
      </c>
      <c r="F164" s="397" t="e">
        <f t="shared" si="28"/>
        <v>#N/A</v>
      </c>
      <c r="G164" s="397" t="e">
        <f t="shared" ca="1" si="29"/>
        <v>#N/A</v>
      </c>
      <c r="H164" s="398" t="e">
        <f t="shared" ca="1" si="30"/>
        <v>#N/A</v>
      </c>
      <c r="I164" s="399">
        <f>MAX($J$5, INDEX(LIBOR!$M$3:$M$122,MATCH(B164,LIBOR!$N$3:$N$122)))</f>
        <v>3.2809699999999997E-2</v>
      </c>
      <c r="J164" s="400">
        <f t="shared" si="31"/>
        <v>8.5309699999999988E-2</v>
      </c>
      <c r="L164" s="392">
        <f t="shared" si="40"/>
        <v>49125</v>
      </c>
      <c r="M164" s="357">
        <f t="shared" si="41"/>
        <v>216</v>
      </c>
      <c r="N164" s="397">
        <v>5747.587113506429</v>
      </c>
      <c r="O164" s="397">
        <f t="shared" si="33"/>
        <v>0</v>
      </c>
      <c r="P164" s="397">
        <f t="shared" si="35"/>
        <v>39.184031456652242</v>
      </c>
      <c r="Q164" s="397">
        <f t="shared" si="34"/>
        <v>-39.184031456652242</v>
      </c>
      <c r="R164" s="398">
        <f t="shared" si="36"/>
        <v>5786.7711449630815</v>
      </c>
      <c r="S164" s="399">
        <f>INDEX(LIBOR!$M$3:$M$122,MATCH(L164,LIBOR!$N$3:$N$122))</f>
        <v>3.2809699999999997E-2</v>
      </c>
      <c r="T164" s="400">
        <f t="shared" si="37"/>
        <v>8.1809699999999999E-2</v>
      </c>
    </row>
    <row r="165" spans="2:20">
      <c r="B165" s="396">
        <f t="shared" si="38"/>
        <v>49156</v>
      </c>
      <c r="C165" s="357">
        <f t="shared" si="39"/>
        <v>217</v>
      </c>
      <c r="D165" s="397" t="e">
        <f>INDEX('Monthly Cash Flow'!$L$137:$GT$137, MATCH(C165, 'Monthly Cash Flow'!$L$13:$GT$13, 0))</f>
        <v>#N/A</v>
      </c>
      <c r="E165" s="397">
        <f t="shared" ca="1" si="32"/>
        <v>0</v>
      </c>
      <c r="F165" s="397" t="e">
        <f t="shared" si="28"/>
        <v>#N/A</v>
      </c>
      <c r="G165" s="397" t="e">
        <f t="shared" ca="1" si="29"/>
        <v>#N/A</v>
      </c>
      <c r="H165" s="398" t="e">
        <f t="shared" ca="1" si="30"/>
        <v>#N/A</v>
      </c>
      <c r="I165" s="399">
        <f>MAX($J$5, INDEX(LIBOR!$M$3:$M$122,MATCH(B165,LIBOR!$N$3:$N$122)))</f>
        <v>3.2809699999999997E-2</v>
      </c>
      <c r="J165" s="400">
        <f t="shared" si="31"/>
        <v>8.5309699999999988E-2</v>
      </c>
      <c r="L165" s="392">
        <f t="shared" si="40"/>
        <v>49156</v>
      </c>
      <c r="M165" s="357">
        <f t="shared" si="41"/>
        <v>217</v>
      </c>
      <c r="N165" s="397">
        <v>5730.3801490464148</v>
      </c>
      <c r="O165" s="397">
        <f t="shared" si="33"/>
        <v>0</v>
      </c>
      <c r="P165" s="397">
        <f t="shared" si="35"/>
        <v>39.066723406620206</v>
      </c>
      <c r="Q165" s="397">
        <f t="shared" si="34"/>
        <v>-39.066723406620206</v>
      </c>
      <c r="R165" s="398">
        <f t="shared" si="36"/>
        <v>5769.4468724530352</v>
      </c>
      <c r="S165" s="399">
        <f>INDEX(LIBOR!$M$3:$M$122,MATCH(L165,LIBOR!$N$3:$N$122))</f>
        <v>3.2809699999999997E-2</v>
      </c>
      <c r="T165" s="400">
        <f t="shared" si="37"/>
        <v>8.1809699999999999E-2</v>
      </c>
    </row>
    <row r="166" spans="2:20">
      <c r="B166" s="396">
        <f t="shared" si="38"/>
        <v>49187</v>
      </c>
      <c r="C166" s="357">
        <f t="shared" si="39"/>
        <v>218</v>
      </c>
      <c r="D166" s="397" t="e">
        <f>INDEX('Monthly Cash Flow'!$L$137:$GT$137, MATCH(C166, 'Monthly Cash Flow'!$L$13:$GT$13, 0))</f>
        <v>#N/A</v>
      </c>
      <c r="E166" s="397">
        <f t="shared" ca="1" si="32"/>
        <v>0</v>
      </c>
      <c r="F166" s="397" t="e">
        <f t="shared" si="28"/>
        <v>#N/A</v>
      </c>
      <c r="G166" s="397" t="e">
        <f t="shared" ca="1" si="29"/>
        <v>#N/A</v>
      </c>
      <c r="H166" s="398" t="e">
        <f t="shared" ca="1" si="30"/>
        <v>#N/A</v>
      </c>
      <c r="I166" s="399">
        <f>MAX($J$5, INDEX(LIBOR!$M$3:$M$122,MATCH(B166,LIBOR!$N$3:$N$122)))</f>
        <v>3.2809699999999997E-2</v>
      </c>
      <c r="J166" s="400">
        <f t="shared" si="31"/>
        <v>8.5309699999999988E-2</v>
      </c>
      <c r="L166" s="392">
        <f t="shared" si="40"/>
        <v>49187</v>
      </c>
      <c r="M166" s="357">
        <f t="shared" si="41"/>
        <v>218</v>
      </c>
      <c r="N166" s="397">
        <v>5713.0948107348522</v>
      </c>
      <c r="O166" s="397">
        <f t="shared" si="33"/>
        <v>0</v>
      </c>
      <c r="P166" s="397">
        <f t="shared" si="35"/>
        <v>38.948881044814584</v>
      </c>
      <c r="Q166" s="397">
        <f t="shared" si="34"/>
        <v>-38.948881044814584</v>
      </c>
      <c r="R166" s="398">
        <f t="shared" si="36"/>
        <v>5752.0436917796669</v>
      </c>
      <c r="S166" s="399">
        <f>INDEX(LIBOR!$M$3:$M$122,MATCH(L166,LIBOR!$N$3:$N$122))</f>
        <v>3.2809699999999997E-2</v>
      </c>
      <c r="T166" s="400">
        <f t="shared" si="37"/>
        <v>8.1809699999999999E-2</v>
      </c>
    </row>
    <row r="167" spans="2:20">
      <c r="B167" s="396">
        <f t="shared" si="38"/>
        <v>49217</v>
      </c>
      <c r="C167" s="357">
        <f t="shared" si="39"/>
        <v>219</v>
      </c>
      <c r="D167" s="397" t="e">
        <f>INDEX('Monthly Cash Flow'!$L$137:$GT$137, MATCH(C167, 'Monthly Cash Flow'!$L$13:$GT$13, 0))</f>
        <v>#N/A</v>
      </c>
      <c r="E167" s="397">
        <f t="shared" ca="1" si="32"/>
        <v>0</v>
      </c>
      <c r="F167" s="397" t="e">
        <f t="shared" si="28"/>
        <v>#N/A</v>
      </c>
      <c r="G167" s="397" t="e">
        <f t="shared" ca="1" si="29"/>
        <v>#N/A</v>
      </c>
      <c r="H167" s="398" t="e">
        <f t="shared" ca="1" si="30"/>
        <v>#N/A</v>
      </c>
      <c r="I167" s="399">
        <f>MAX($J$5, INDEX(LIBOR!$M$3:$M$122,MATCH(B167,LIBOR!$N$3:$N$122)))</f>
        <v>3.2809699999999997E-2</v>
      </c>
      <c r="J167" s="400">
        <f t="shared" si="31"/>
        <v>8.5309699999999988E-2</v>
      </c>
      <c r="L167" s="392">
        <f t="shared" si="40"/>
        <v>49217</v>
      </c>
      <c r="M167" s="357">
        <f t="shared" si="41"/>
        <v>219</v>
      </c>
      <c r="N167" s="397">
        <v>5695.7307415964815</v>
      </c>
      <c r="O167" s="397">
        <f t="shared" si="33"/>
        <v>0</v>
      </c>
      <c r="P167" s="397">
        <f t="shared" si="35"/>
        <v>38.830501937565472</v>
      </c>
      <c r="Q167" s="397">
        <f t="shared" si="34"/>
        <v>-38.830501937565472</v>
      </c>
      <c r="R167" s="398">
        <f t="shared" si="36"/>
        <v>5734.5612435340472</v>
      </c>
      <c r="S167" s="399">
        <f>INDEX(LIBOR!$M$3:$M$122,MATCH(L167,LIBOR!$N$3:$N$122))</f>
        <v>3.2809699999999997E-2</v>
      </c>
      <c r="T167" s="400">
        <f t="shared" si="37"/>
        <v>8.1809699999999999E-2</v>
      </c>
    </row>
    <row r="168" spans="2:20">
      <c r="B168" s="396">
        <f t="shared" si="38"/>
        <v>49248</v>
      </c>
      <c r="C168" s="357">
        <f t="shared" si="39"/>
        <v>220</v>
      </c>
      <c r="D168" s="397" t="e">
        <f>INDEX('Monthly Cash Flow'!$L$137:$GT$137, MATCH(C168, 'Monthly Cash Flow'!$L$13:$GT$13, 0))</f>
        <v>#N/A</v>
      </c>
      <c r="E168" s="397">
        <f t="shared" ca="1" si="32"/>
        <v>0</v>
      </c>
      <c r="F168" s="397" t="e">
        <f t="shared" si="28"/>
        <v>#N/A</v>
      </c>
      <c r="G168" s="397" t="e">
        <f t="shared" ca="1" si="29"/>
        <v>#N/A</v>
      </c>
      <c r="H168" s="398" t="e">
        <f t="shared" ca="1" si="30"/>
        <v>#N/A</v>
      </c>
      <c r="I168" s="399">
        <f>MAX($J$5, INDEX(LIBOR!$M$3:$M$122,MATCH(B168,LIBOR!$N$3:$N$122)))</f>
        <v>3.2809699999999997E-2</v>
      </c>
      <c r="J168" s="400">
        <f t="shared" si="31"/>
        <v>8.5309699999999988E-2</v>
      </c>
      <c r="L168" s="392">
        <f t="shared" si="40"/>
        <v>49248</v>
      </c>
      <c r="M168" s="357">
        <f t="shared" si="41"/>
        <v>220</v>
      </c>
      <c r="N168" s="397">
        <v>5678.2875830301009</v>
      </c>
      <c r="O168" s="397">
        <f t="shared" si="33"/>
        <v>0</v>
      </c>
      <c r="P168" s="397">
        <f t="shared" si="35"/>
        <v>38.711583640118135</v>
      </c>
      <c r="Q168" s="397">
        <f t="shared" si="34"/>
        <v>-38.711583640118135</v>
      </c>
      <c r="R168" s="398">
        <f t="shared" si="36"/>
        <v>5716.999166670219</v>
      </c>
      <c r="S168" s="399">
        <f>INDEX(LIBOR!$M$3:$M$122,MATCH(L168,LIBOR!$N$3:$N$122))</f>
        <v>3.2809699999999997E-2</v>
      </c>
      <c r="T168" s="400">
        <f t="shared" si="37"/>
        <v>8.1809699999999999E-2</v>
      </c>
    </row>
    <row r="169" spans="2:20">
      <c r="B169" s="396">
        <f t="shared" si="38"/>
        <v>49278</v>
      </c>
      <c r="C169" s="357">
        <f t="shared" si="39"/>
        <v>221</v>
      </c>
      <c r="D169" s="397" t="e">
        <f>INDEX('Monthly Cash Flow'!$L$137:$GT$137, MATCH(C169, 'Monthly Cash Flow'!$L$13:$GT$13, 0))</f>
        <v>#N/A</v>
      </c>
      <c r="E169" s="397">
        <f t="shared" ca="1" si="32"/>
        <v>0</v>
      </c>
      <c r="F169" s="397" t="e">
        <f t="shared" si="28"/>
        <v>#N/A</v>
      </c>
      <c r="G169" s="397" t="e">
        <f t="shared" ca="1" si="29"/>
        <v>#N/A</v>
      </c>
      <c r="H169" s="398" t="e">
        <f t="shared" ca="1" si="30"/>
        <v>#N/A</v>
      </c>
      <c r="I169" s="399">
        <f>MAX($J$5, INDEX(LIBOR!$M$3:$M$122,MATCH(B169,LIBOR!$N$3:$N$122)))</f>
        <v>3.2809699999999997E-2</v>
      </c>
      <c r="J169" s="400">
        <f t="shared" si="31"/>
        <v>8.5309699999999988E-2</v>
      </c>
      <c r="L169" s="392">
        <f t="shared" si="40"/>
        <v>49278</v>
      </c>
      <c r="M169" s="357">
        <f t="shared" si="41"/>
        <v>221</v>
      </c>
      <c r="N169" s="397">
        <v>5660.7649748011609</v>
      </c>
      <c r="O169" s="397">
        <f t="shared" si="33"/>
        <v>0</v>
      </c>
      <c r="P169" s="397">
        <f t="shared" si="35"/>
        <v>38.59212369658254</v>
      </c>
      <c r="Q169" s="397">
        <f t="shared" si="34"/>
        <v>-38.59212369658254</v>
      </c>
      <c r="R169" s="398">
        <f t="shared" si="36"/>
        <v>5699.3570984977432</v>
      </c>
      <c r="S169" s="399">
        <f>INDEX(LIBOR!$M$3:$M$122,MATCH(L169,LIBOR!$N$3:$N$122))</f>
        <v>3.2809699999999997E-2</v>
      </c>
      <c r="T169" s="400">
        <f t="shared" si="37"/>
        <v>8.1809699999999999E-2</v>
      </c>
    </row>
    <row r="170" spans="2:20">
      <c r="B170" s="396">
        <f t="shared" si="38"/>
        <v>49309</v>
      </c>
      <c r="C170" s="357">
        <f t="shared" si="39"/>
        <v>222</v>
      </c>
      <c r="D170" s="397" t="e">
        <f>INDEX('Monthly Cash Flow'!$L$137:$GT$137, MATCH(C170, 'Monthly Cash Flow'!$L$13:$GT$13, 0))</f>
        <v>#N/A</v>
      </c>
      <c r="E170" s="397">
        <f t="shared" ca="1" si="32"/>
        <v>0</v>
      </c>
      <c r="F170" s="397" t="e">
        <f t="shared" si="28"/>
        <v>#N/A</v>
      </c>
      <c r="G170" s="397" t="e">
        <f t="shared" ca="1" si="29"/>
        <v>#N/A</v>
      </c>
      <c r="H170" s="398" t="e">
        <f t="shared" ca="1" si="30"/>
        <v>#N/A</v>
      </c>
      <c r="I170" s="399">
        <f>MAX($J$5, INDEX(LIBOR!$M$3:$M$122,MATCH(B170,LIBOR!$N$3:$N$122)))</f>
        <v>3.2809699999999997E-2</v>
      </c>
      <c r="J170" s="400">
        <f t="shared" si="31"/>
        <v>8.5309699999999988E-2</v>
      </c>
      <c r="L170" s="392">
        <f t="shared" si="40"/>
        <v>49309</v>
      </c>
      <c r="M170" s="357">
        <f t="shared" si="41"/>
        <v>222</v>
      </c>
      <c r="N170" s="397">
        <v>5643.1625550343251</v>
      </c>
      <c r="O170" s="397">
        <f t="shared" si="33"/>
        <v>0</v>
      </c>
      <c r="P170" s="397">
        <f t="shared" si="35"/>
        <v>38.472119639882635</v>
      </c>
      <c r="Q170" s="397">
        <f t="shared" si="34"/>
        <v>-38.472119639882635</v>
      </c>
      <c r="R170" s="398">
        <f t="shared" si="36"/>
        <v>5681.6346746742074</v>
      </c>
      <c r="S170" s="399">
        <f>INDEX(LIBOR!$M$3:$M$122,MATCH(L170,LIBOR!$N$3:$N$122))</f>
        <v>3.2809699999999997E-2</v>
      </c>
      <c r="T170" s="400">
        <f t="shared" si="37"/>
        <v>8.1809699999999999E-2</v>
      </c>
    </row>
    <row r="171" spans="2:20">
      <c r="B171" s="396">
        <f t="shared" si="38"/>
        <v>49340</v>
      </c>
      <c r="C171" s="357">
        <f t="shared" si="39"/>
        <v>223</v>
      </c>
      <c r="D171" s="397" t="e">
        <f>INDEX('Monthly Cash Flow'!$L$137:$GT$137, MATCH(C171, 'Monthly Cash Flow'!$L$13:$GT$13, 0))</f>
        <v>#N/A</v>
      </c>
      <c r="E171" s="397">
        <f t="shared" ca="1" si="32"/>
        <v>0</v>
      </c>
      <c r="F171" s="397" t="e">
        <f t="shared" si="28"/>
        <v>#N/A</v>
      </c>
      <c r="G171" s="397" t="e">
        <f t="shared" ca="1" si="29"/>
        <v>#N/A</v>
      </c>
      <c r="H171" s="398" t="e">
        <f t="shared" ca="1" si="30"/>
        <v>#N/A</v>
      </c>
      <c r="I171" s="399">
        <f>MAX($J$5, INDEX(LIBOR!$M$3:$M$122,MATCH(B171,LIBOR!$N$3:$N$122)))</f>
        <v>3.2809699999999997E-2</v>
      </c>
      <c r="J171" s="400">
        <f t="shared" si="31"/>
        <v>8.5309699999999988E-2</v>
      </c>
      <c r="L171" s="392">
        <f t="shared" si="40"/>
        <v>49340</v>
      </c>
      <c r="M171" s="357">
        <f t="shared" si="41"/>
        <v>223</v>
      </c>
      <c r="N171" s="397">
        <v>5625.4799602059957</v>
      </c>
      <c r="O171" s="397">
        <f t="shared" si="33"/>
        <v>0</v>
      </c>
      <c r="P171" s="397">
        <f t="shared" si="35"/>
        <v>38.351568991705371</v>
      </c>
      <c r="Q171" s="397">
        <f t="shared" si="34"/>
        <v>-38.351568991705371</v>
      </c>
      <c r="R171" s="398">
        <f t="shared" si="36"/>
        <v>5663.8315291977015</v>
      </c>
      <c r="S171" s="399">
        <f>INDEX(LIBOR!$M$3:$M$122,MATCH(L171,LIBOR!$N$3:$N$122))</f>
        <v>3.2809699999999997E-2</v>
      </c>
      <c r="T171" s="400">
        <f t="shared" si="37"/>
        <v>8.1809699999999999E-2</v>
      </c>
    </row>
    <row r="172" spans="2:20">
      <c r="B172" s="396">
        <f t="shared" si="38"/>
        <v>49368</v>
      </c>
      <c r="C172" s="357">
        <f t="shared" si="39"/>
        <v>224</v>
      </c>
      <c r="D172" s="397" t="e">
        <f>INDEX('Monthly Cash Flow'!$L$137:$GT$137, MATCH(C172, 'Monthly Cash Flow'!$L$13:$GT$13, 0))</f>
        <v>#N/A</v>
      </c>
      <c r="E172" s="397">
        <f t="shared" ca="1" si="32"/>
        <v>0</v>
      </c>
      <c r="F172" s="397" t="e">
        <f t="shared" si="28"/>
        <v>#N/A</v>
      </c>
      <c r="G172" s="397" t="e">
        <f t="shared" ca="1" si="29"/>
        <v>#N/A</v>
      </c>
      <c r="H172" s="398" t="e">
        <f t="shared" ca="1" si="30"/>
        <v>#N/A</v>
      </c>
      <c r="I172" s="399">
        <f>MAX($J$5, INDEX(LIBOR!$M$3:$M$122,MATCH(B172,LIBOR!$N$3:$N$122)))</f>
        <v>3.2809699999999997E-2</v>
      </c>
      <c r="J172" s="400">
        <f t="shared" si="31"/>
        <v>8.5309699999999988E-2</v>
      </c>
      <c r="L172" s="392">
        <f t="shared" si="40"/>
        <v>49368</v>
      </c>
      <c r="M172" s="357">
        <f t="shared" si="41"/>
        <v>224</v>
      </c>
      <c r="N172" s="397">
        <v>5607.7168251368075</v>
      </c>
      <c r="O172" s="397">
        <f t="shared" si="33"/>
        <v>0</v>
      </c>
      <c r="P172" s="397">
        <f t="shared" si="35"/>
        <v>38.230469262449553</v>
      </c>
      <c r="Q172" s="397">
        <f t="shared" si="34"/>
        <v>-38.230469262449553</v>
      </c>
      <c r="R172" s="398">
        <f t="shared" si="36"/>
        <v>5645.9472943992569</v>
      </c>
      <c r="S172" s="399">
        <f>INDEX(LIBOR!$M$3:$M$122,MATCH(L172,LIBOR!$N$3:$N$122))</f>
        <v>3.2809699999999997E-2</v>
      </c>
      <c r="T172" s="400">
        <f t="shared" si="37"/>
        <v>8.1809699999999999E-2</v>
      </c>
    </row>
    <row r="173" spans="2:20">
      <c r="B173" s="396">
        <f t="shared" si="38"/>
        <v>49399</v>
      </c>
      <c r="C173" s="357">
        <f t="shared" si="39"/>
        <v>225</v>
      </c>
      <c r="D173" s="397" t="e">
        <f>INDEX('Monthly Cash Flow'!$L$137:$GT$137, MATCH(C173, 'Monthly Cash Flow'!$L$13:$GT$13, 0))</f>
        <v>#N/A</v>
      </c>
      <c r="E173" s="397">
        <f t="shared" ca="1" si="32"/>
        <v>0</v>
      </c>
      <c r="F173" s="397" t="e">
        <f t="shared" si="28"/>
        <v>#N/A</v>
      </c>
      <c r="G173" s="397" t="e">
        <f t="shared" ca="1" si="29"/>
        <v>#N/A</v>
      </c>
      <c r="H173" s="398" t="e">
        <f t="shared" ca="1" si="30"/>
        <v>#N/A</v>
      </c>
      <c r="I173" s="399">
        <f>MAX($J$5, INDEX(LIBOR!$M$3:$M$122,MATCH(B173,LIBOR!$N$3:$N$122)))</f>
        <v>3.2809699999999997E-2</v>
      </c>
      <c r="J173" s="400">
        <f t="shared" si="31"/>
        <v>8.5309699999999988E-2</v>
      </c>
      <c r="L173" s="392">
        <f t="shared" si="40"/>
        <v>49399</v>
      </c>
      <c r="M173" s="357">
        <f t="shared" si="41"/>
        <v>225</v>
      </c>
      <c r="N173" s="397">
        <v>5589.8727829840846</v>
      </c>
      <c r="O173" s="397">
        <f t="shared" si="33"/>
        <v>0</v>
      </c>
      <c r="P173" s="397">
        <f t="shared" si="35"/>
        <v>38.108817951174423</v>
      </c>
      <c r="Q173" s="397">
        <f t="shared" si="34"/>
        <v>-38.108817951174423</v>
      </c>
      <c r="R173" s="398">
        <f t="shared" si="36"/>
        <v>5627.9816009352589</v>
      </c>
      <c r="S173" s="399">
        <f>INDEX(LIBOR!$M$3:$M$122,MATCH(L173,LIBOR!$N$3:$N$122))</f>
        <v>3.2809699999999997E-2</v>
      </c>
      <c r="T173" s="400">
        <f t="shared" si="37"/>
        <v>8.1809699999999999E-2</v>
      </c>
    </row>
    <row r="174" spans="2:20">
      <c r="B174" s="396">
        <f t="shared" si="38"/>
        <v>49429</v>
      </c>
      <c r="C174" s="357">
        <f t="shared" si="39"/>
        <v>226</v>
      </c>
      <c r="D174" s="397" t="e">
        <f>INDEX('Monthly Cash Flow'!$L$137:$GT$137, MATCH(C174, 'Monthly Cash Flow'!$L$13:$GT$13, 0))</f>
        <v>#N/A</v>
      </c>
      <c r="E174" s="397">
        <f t="shared" ca="1" si="32"/>
        <v>0</v>
      </c>
      <c r="F174" s="397" t="e">
        <f t="shared" si="28"/>
        <v>#N/A</v>
      </c>
      <c r="G174" s="397" t="e">
        <f t="shared" ca="1" si="29"/>
        <v>#N/A</v>
      </c>
      <c r="H174" s="398" t="e">
        <f t="shared" ca="1" si="30"/>
        <v>#N/A</v>
      </c>
      <c r="I174" s="399">
        <f>MAX($J$5, INDEX(LIBOR!$M$3:$M$122,MATCH(B174,LIBOR!$N$3:$N$122)))</f>
        <v>3.2809699999999997E-2</v>
      </c>
      <c r="J174" s="400">
        <f t="shared" si="31"/>
        <v>8.5309699999999988E-2</v>
      </c>
      <c r="L174" s="392">
        <f t="shared" si="40"/>
        <v>49429</v>
      </c>
      <c r="M174" s="357">
        <f t="shared" si="41"/>
        <v>226</v>
      </c>
      <c r="N174" s="397">
        <v>5571.9474652342651</v>
      </c>
      <c r="O174" s="397">
        <f t="shared" si="33"/>
        <v>0</v>
      </c>
      <c r="P174" s="397">
        <f t="shared" si="35"/>
        <v>37.98661254554797</v>
      </c>
      <c r="Q174" s="397">
        <f t="shared" si="34"/>
        <v>-37.98661254554797</v>
      </c>
      <c r="R174" s="398">
        <f t="shared" si="36"/>
        <v>5609.9340777798134</v>
      </c>
      <c r="S174" s="399">
        <f>INDEX(LIBOR!$M$3:$M$122,MATCH(L174,LIBOR!$N$3:$N$122))</f>
        <v>3.2809699999999997E-2</v>
      </c>
      <c r="T174" s="400">
        <f t="shared" si="37"/>
        <v>8.1809699999999999E-2</v>
      </c>
    </row>
    <row r="175" spans="2:20">
      <c r="B175" s="396">
        <f t="shared" si="38"/>
        <v>49460</v>
      </c>
      <c r="C175" s="357">
        <f t="shared" si="39"/>
        <v>227</v>
      </c>
      <c r="D175" s="397" t="e">
        <f>INDEX('Monthly Cash Flow'!$L$137:$GT$137, MATCH(C175, 'Monthly Cash Flow'!$L$13:$GT$13, 0))</f>
        <v>#N/A</v>
      </c>
      <c r="E175" s="397">
        <f t="shared" ca="1" si="32"/>
        <v>0</v>
      </c>
      <c r="F175" s="397" t="e">
        <f t="shared" si="28"/>
        <v>#N/A</v>
      </c>
      <c r="G175" s="397" t="e">
        <f t="shared" ca="1" si="29"/>
        <v>#N/A</v>
      </c>
      <c r="H175" s="398" t="e">
        <f t="shared" ca="1" si="30"/>
        <v>#N/A</v>
      </c>
      <c r="I175" s="399">
        <f>MAX($J$5, INDEX(LIBOR!$M$3:$M$122,MATCH(B175,LIBOR!$N$3:$N$122)))</f>
        <v>3.2809699999999997E-2</v>
      </c>
      <c r="J175" s="400">
        <f t="shared" si="31"/>
        <v>8.5309699999999988E-2</v>
      </c>
      <c r="L175" s="392">
        <f t="shared" si="40"/>
        <v>49460</v>
      </c>
      <c r="M175" s="357">
        <f t="shared" si="41"/>
        <v>227</v>
      </c>
      <c r="N175" s="397">
        <v>5553.9405016952915</v>
      </c>
      <c r="O175" s="397">
        <f t="shared" si="33"/>
        <v>0</v>
      </c>
      <c r="P175" s="397">
        <f t="shared" si="35"/>
        <v>37.863850521795108</v>
      </c>
      <c r="Q175" s="397">
        <f t="shared" si="34"/>
        <v>-37.863850521795108</v>
      </c>
      <c r="R175" s="398">
        <f t="shared" si="36"/>
        <v>5591.8043522170865</v>
      </c>
      <c r="S175" s="399">
        <f>INDEX(LIBOR!$M$3:$M$122,MATCH(L175,LIBOR!$N$3:$N$122))</f>
        <v>3.2809699999999997E-2</v>
      </c>
      <c r="T175" s="400">
        <f t="shared" si="37"/>
        <v>8.1809699999999999E-2</v>
      </c>
    </row>
    <row r="176" spans="2:20">
      <c r="B176" s="396">
        <f t="shared" si="38"/>
        <v>49490</v>
      </c>
      <c r="C176" s="357">
        <f t="shared" si="39"/>
        <v>228</v>
      </c>
      <c r="D176" s="397" t="e">
        <f>INDEX('Monthly Cash Flow'!$L$137:$GT$137, MATCH(C176, 'Monthly Cash Flow'!$L$13:$GT$13, 0))</f>
        <v>#N/A</v>
      </c>
      <c r="E176" s="397">
        <f t="shared" ca="1" si="32"/>
        <v>0</v>
      </c>
      <c r="F176" s="397" t="e">
        <f t="shared" si="28"/>
        <v>#N/A</v>
      </c>
      <c r="G176" s="397" t="e">
        <f t="shared" ca="1" si="29"/>
        <v>#N/A</v>
      </c>
      <c r="H176" s="398" t="e">
        <f t="shared" ca="1" si="30"/>
        <v>#N/A</v>
      </c>
      <c r="I176" s="399">
        <f>MAX($J$5, INDEX(LIBOR!$M$3:$M$122,MATCH(B176,LIBOR!$N$3:$N$122)))</f>
        <v>3.2809699999999997E-2</v>
      </c>
      <c r="J176" s="400">
        <f t="shared" si="31"/>
        <v>8.5309699999999988E-2</v>
      </c>
      <c r="L176" s="392">
        <f t="shared" si="40"/>
        <v>49490</v>
      </c>
      <c r="M176" s="357">
        <f t="shared" si="41"/>
        <v>228</v>
      </c>
      <c r="N176" s="397">
        <v>5535.8515204889645</v>
      </c>
      <c r="O176" s="397">
        <f t="shared" si="33"/>
        <v>0</v>
      </c>
      <c r="P176" s="397">
        <f t="shared" si="35"/>
        <v>37.740529344645502</v>
      </c>
      <c r="Q176" s="397">
        <f t="shared" si="34"/>
        <v>-37.740529344645502</v>
      </c>
      <c r="R176" s="398">
        <f t="shared" si="36"/>
        <v>5573.59204983361</v>
      </c>
      <c r="S176" s="399">
        <f>INDEX(LIBOR!$M$3:$M$122,MATCH(L176,LIBOR!$N$3:$N$122))</f>
        <v>3.2809699999999997E-2</v>
      </c>
      <c r="T176" s="400">
        <f t="shared" si="37"/>
        <v>8.1809699999999999E-2</v>
      </c>
    </row>
    <row r="177" spans="2:20">
      <c r="B177" s="396">
        <f t="shared" si="38"/>
        <v>49521</v>
      </c>
      <c r="C177" s="357">
        <f t="shared" si="39"/>
        <v>229</v>
      </c>
      <c r="D177" s="397" t="e">
        <f>INDEX('Monthly Cash Flow'!$L$137:$GT$137, MATCH(C177, 'Monthly Cash Flow'!$L$13:$GT$13, 0))</f>
        <v>#N/A</v>
      </c>
      <c r="E177" s="397">
        <f t="shared" ca="1" si="32"/>
        <v>0</v>
      </c>
      <c r="F177" s="397" t="e">
        <f t="shared" si="28"/>
        <v>#N/A</v>
      </c>
      <c r="G177" s="397" t="e">
        <f t="shared" ca="1" si="29"/>
        <v>#N/A</v>
      </c>
      <c r="H177" s="398" t="e">
        <f t="shared" ca="1" si="30"/>
        <v>#N/A</v>
      </c>
      <c r="I177" s="399">
        <f>MAX($J$5, INDEX(LIBOR!$M$3:$M$122,MATCH(B177,LIBOR!$N$3:$N$122)))</f>
        <v>3.2809699999999997E-2</v>
      </c>
      <c r="J177" s="400">
        <f t="shared" si="31"/>
        <v>8.5309699999999988E-2</v>
      </c>
      <c r="L177" s="392">
        <f t="shared" si="40"/>
        <v>49521</v>
      </c>
      <c r="M177" s="357">
        <f t="shared" si="41"/>
        <v>229</v>
      </c>
      <c r="N177" s="397">
        <v>5517.6801480432641</v>
      </c>
      <c r="O177" s="397">
        <f t="shared" si="33"/>
        <v>0</v>
      </c>
      <c r="P177" s="397">
        <f t="shared" si="35"/>
        <v>37.616646467281249</v>
      </c>
      <c r="Q177" s="397">
        <f t="shared" si="34"/>
        <v>-37.616646467281249</v>
      </c>
      <c r="R177" s="398">
        <f t="shared" si="36"/>
        <v>5555.2967945105456</v>
      </c>
      <c r="S177" s="399">
        <f>INDEX(LIBOR!$M$3:$M$122,MATCH(L177,LIBOR!$N$3:$N$122))</f>
        <v>3.2809699999999997E-2</v>
      </c>
      <c r="T177" s="400">
        <f t="shared" si="37"/>
        <v>8.1809699999999999E-2</v>
      </c>
    </row>
    <row r="178" spans="2:20">
      <c r="B178" s="396">
        <f t="shared" si="38"/>
        <v>49552</v>
      </c>
      <c r="C178" s="357">
        <f t="shared" si="39"/>
        <v>230</v>
      </c>
      <c r="D178" s="397" t="e">
        <f>INDEX('Monthly Cash Flow'!$L$137:$GT$137, MATCH(C178, 'Monthly Cash Flow'!$L$13:$GT$13, 0))</f>
        <v>#N/A</v>
      </c>
      <c r="E178" s="397">
        <f t="shared" ca="1" si="32"/>
        <v>0</v>
      </c>
      <c r="F178" s="397" t="e">
        <f t="shared" si="28"/>
        <v>#N/A</v>
      </c>
      <c r="G178" s="397" t="e">
        <f t="shared" ca="1" si="29"/>
        <v>#N/A</v>
      </c>
      <c r="H178" s="398" t="e">
        <f t="shared" ca="1" si="30"/>
        <v>#N/A</v>
      </c>
      <c r="I178" s="399">
        <f>MAX($J$5, INDEX(LIBOR!$M$3:$M$122,MATCH(B178,LIBOR!$N$3:$N$122)))</f>
        <v>3.2809699999999997E-2</v>
      </c>
      <c r="J178" s="400">
        <f t="shared" si="31"/>
        <v>8.5309699999999988E-2</v>
      </c>
      <c r="L178" s="392">
        <f t="shared" si="40"/>
        <v>49552</v>
      </c>
      <c r="M178" s="357">
        <f t="shared" si="41"/>
        <v>230</v>
      </c>
      <c r="N178" s="397">
        <v>5499.4260090846319</v>
      </c>
      <c r="O178" s="397">
        <f t="shared" si="33"/>
        <v>0</v>
      </c>
      <c r="P178" s="397">
        <f t="shared" si="35"/>
        <v>37.492199331284247</v>
      </c>
      <c r="Q178" s="397">
        <f t="shared" si="34"/>
        <v>-37.492199331284247</v>
      </c>
      <c r="R178" s="398">
        <f t="shared" si="36"/>
        <v>5536.9182084159165</v>
      </c>
      <c r="S178" s="399">
        <f>INDEX(LIBOR!$M$3:$M$122,MATCH(L178,LIBOR!$N$3:$N$122))</f>
        <v>3.2809699999999997E-2</v>
      </c>
      <c r="T178" s="400">
        <f t="shared" si="37"/>
        <v>8.1809699999999999E-2</v>
      </c>
    </row>
    <row r="179" spans="2:20">
      <c r="B179" s="396">
        <f t="shared" si="38"/>
        <v>49582</v>
      </c>
      <c r="C179" s="357">
        <f t="shared" si="39"/>
        <v>231</v>
      </c>
      <c r="D179" s="397" t="e">
        <f>INDEX('Monthly Cash Flow'!$L$137:$GT$137, MATCH(C179, 'Monthly Cash Flow'!$L$13:$GT$13, 0))</f>
        <v>#N/A</v>
      </c>
      <c r="E179" s="397">
        <f t="shared" ca="1" si="32"/>
        <v>0</v>
      </c>
      <c r="F179" s="397" t="e">
        <f t="shared" si="28"/>
        <v>#N/A</v>
      </c>
      <c r="G179" s="397" t="e">
        <f t="shared" ca="1" si="29"/>
        <v>#N/A</v>
      </c>
      <c r="H179" s="398" t="e">
        <f t="shared" ca="1" si="30"/>
        <v>#N/A</v>
      </c>
      <c r="I179" s="399">
        <f>MAX($J$5, INDEX(LIBOR!$M$3:$M$122,MATCH(B179,LIBOR!$N$3:$N$122)))</f>
        <v>3.2809699999999997E-2</v>
      </c>
      <c r="J179" s="400">
        <f t="shared" si="31"/>
        <v>8.5309699999999988E-2</v>
      </c>
      <c r="L179" s="392">
        <f t="shared" si="40"/>
        <v>49582</v>
      </c>
      <c r="M179" s="357">
        <f t="shared" si="41"/>
        <v>231</v>
      </c>
      <c r="N179" s="397">
        <v>5481.0887266302243</v>
      </c>
      <c r="O179" s="397">
        <f t="shared" si="33"/>
        <v>0</v>
      </c>
      <c r="P179" s="397">
        <f t="shared" si="35"/>
        <v>37.367185366583392</v>
      </c>
      <c r="Q179" s="397">
        <f t="shared" si="34"/>
        <v>-37.367185366583392</v>
      </c>
      <c r="R179" s="398">
        <f t="shared" si="36"/>
        <v>5518.455911996808</v>
      </c>
      <c r="S179" s="399">
        <f>INDEX(LIBOR!$M$3:$M$122,MATCH(L179,LIBOR!$N$3:$N$122))</f>
        <v>3.2809699999999997E-2</v>
      </c>
      <c r="T179" s="400">
        <f t="shared" si="37"/>
        <v>8.1809699999999999E-2</v>
      </c>
    </row>
    <row r="180" spans="2:20">
      <c r="B180" s="396">
        <f t="shared" si="38"/>
        <v>49613</v>
      </c>
      <c r="C180" s="357">
        <f t="shared" si="39"/>
        <v>232</v>
      </c>
      <c r="D180" s="397" t="e">
        <f>INDEX('Monthly Cash Flow'!$L$137:$GT$137, MATCH(C180, 'Monthly Cash Flow'!$L$13:$GT$13, 0))</f>
        <v>#N/A</v>
      </c>
      <c r="E180" s="397">
        <f t="shared" ca="1" si="32"/>
        <v>0</v>
      </c>
      <c r="F180" s="397" t="e">
        <f t="shared" si="28"/>
        <v>#N/A</v>
      </c>
      <c r="G180" s="397" t="e">
        <f t="shared" ca="1" si="29"/>
        <v>#N/A</v>
      </c>
      <c r="H180" s="398" t="e">
        <f t="shared" ca="1" si="30"/>
        <v>#N/A</v>
      </c>
      <c r="I180" s="399">
        <f>MAX($J$5, INDEX(LIBOR!$M$3:$M$122,MATCH(B180,LIBOR!$N$3:$N$122)))</f>
        <v>3.2809699999999997E-2</v>
      </c>
      <c r="J180" s="400">
        <f t="shared" si="31"/>
        <v>8.5309699999999988E-2</v>
      </c>
      <c r="L180" s="392">
        <f t="shared" si="40"/>
        <v>49613</v>
      </c>
      <c r="M180" s="357">
        <f t="shared" si="41"/>
        <v>232</v>
      </c>
      <c r="N180" s="397">
        <v>5462.6679219801254</v>
      </c>
      <c r="O180" s="397">
        <f t="shared" si="33"/>
        <v>0</v>
      </c>
      <c r="P180" s="397">
        <f t="shared" si="35"/>
        <v>37.241601991401453</v>
      </c>
      <c r="Q180" s="397">
        <f t="shared" si="34"/>
        <v>-37.241601991401453</v>
      </c>
      <c r="R180" s="398">
        <f t="shared" si="36"/>
        <v>5499.9095239715271</v>
      </c>
      <c r="S180" s="399">
        <f>INDEX(LIBOR!$M$3:$M$122,MATCH(L180,LIBOR!$N$3:$N$122))</f>
        <v>3.2809699999999997E-2</v>
      </c>
      <c r="T180" s="400">
        <f t="shared" si="37"/>
        <v>8.1809699999999999E-2</v>
      </c>
    </row>
    <row r="181" spans="2:20">
      <c r="B181" s="396">
        <f t="shared" si="38"/>
        <v>49643</v>
      </c>
      <c r="C181" s="357">
        <f t="shared" si="39"/>
        <v>233</v>
      </c>
      <c r="D181" s="397" t="e">
        <f>INDEX('Monthly Cash Flow'!$L$137:$GT$137, MATCH(C181, 'Monthly Cash Flow'!$L$13:$GT$13, 0))</f>
        <v>#N/A</v>
      </c>
      <c r="E181" s="397">
        <f t="shared" ca="1" si="32"/>
        <v>0</v>
      </c>
      <c r="F181" s="397" t="e">
        <f t="shared" si="28"/>
        <v>#N/A</v>
      </c>
      <c r="G181" s="397" t="e">
        <f t="shared" ca="1" si="29"/>
        <v>#N/A</v>
      </c>
      <c r="H181" s="398" t="e">
        <f t="shared" ca="1" si="30"/>
        <v>#N/A</v>
      </c>
      <c r="I181" s="399">
        <f>MAX($J$5, INDEX(LIBOR!$M$3:$M$122,MATCH(B181,LIBOR!$N$3:$N$122)))</f>
        <v>3.2809699999999997E-2</v>
      </c>
      <c r="J181" s="400">
        <f t="shared" si="31"/>
        <v>8.5309699999999988E-2</v>
      </c>
      <c r="L181" s="392">
        <f t="shared" si="40"/>
        <v>49643</v>
      </c>
      <c r="M181" s="357">
        <f t="shared" si="41"/>
        <v>233</v>
      </c>
      <c r="N181" s="397">
        <v>5444.163214709527</v>
      </c>
      <c r="O181" s="397">
        <f t="shared" si="33"/>
        <v>0</v>
      </c>
      <c r="P181" s="397">
        <f t="shared" si="35"/>
        <v>37.115446612201829</v>
      </c>
      <c r="Q181" s="397">
        <f t="shared" si="34"/>
        <v>-37.115446612201829</v>
      </c>
      <c r="R181" s="398">
        <f t="shared" si="36"/>
        <v>5481.2786613217286</v>
      </c>
      <c r="S181" s="399">
        <f>INDEX(LIBOR!$M$3:$M$122,MATCH(L181,LIBOR!$N$3:$N$122))</f>
        <v>3.2809699999999997E-2</v>
      </c>
      <c r="T181" s="400">
        <f t="shared" si="37"/>
        <v>8.1809699999999999E-2</v>
      </c>
    </row>
    <row r="182" spans="2:20">
      <c r="B182" s="396">
        <f t="shared" si="38"/>
        <v>49674</v>
      </c>
      <c r="C182" s="357">
        <f t="shared" si="39"/>
        <v>234</v>
      </c>
      <c r="D182" s="397" t="e">
        <f>INDEX('Monthly Cash Flow'!$L$137:$GT$137, MATCH(C182, 'Monthly Cash Flow'!$L$13:$GT$13, 0))</f>
        <v>#N/A</v>
      </c>
      <c r="E182" s="397">
        <f t="shared" ca="1" si="32"/>
        <v>0</v>
      </c>
      <c r="F182" s="397" t="e">
        <f t="shared" si="28"/>
        <v>#N/A</v>
      </c>
      <c r="G182" s="397" t="e">
        <f t="shared" ca="1" si="29"/>
        <v>#N/A</v>
      </c>
      <c r="H182" s="398" t="e">
        <f t="shared" ca="1" si="30"/>
        <v>#N/A</v>
      </c>
      <c r="I182" s="399">
        <f>MAX($J$5, INDEX(LIBOR!$M$3:$M$122,MATCH(B182,LIBOR!$N$3:$N$122)))</f>
        <v>3.2809699999999997E-2</v>
      </c>
      <c r="J182" s="400">
        <f t="shared" si="31"/>
        <v>8.5309699999999988E-2</v>
      </c>
      <c r="L182" s="392">
        <f t="shared" si="40"/>
        <v>49674</v>
      </c>
      <c r="M182" s="357">
        <f t="shared" si="41"/>
        <v>234</v>
      </c>
      <c r="N182" s="397">
        <v>5425.57422266087</v>
      </c>
      <c r="O182" s="397">
        <f t="shared" si="33"/>
        <v>0</v>
      </c>
      <c r="P182" s="397">
        <f t="shared" si="35"/>
        <v>36.988716623634915</v>
      </c>
      <c r="Q182" s="397">
        <f t="shared" si="34"/>
        <v>-36.988716623634915</v>
      </c>
      <c r="R182" s="398">
        <f t="shared" si="36"/>
        <v>5462.5629392845049</v>
      </c>
      <c r="S182" s="399">
        <f>INDEX(LIBOR!$M$3:$M$122,MATCH(L182,LIBOR!$N$3:$N$122))</f>
        <v>3.2809699999999997E-2</v>
      </c>
      <c r="T182" s="400">
        <f t="shared" si="37"/>
        <v>8.1809699999999999E-2</v>
      </c>
    </row>
    <row r="183" spans="2:20">
      <c r="B183" s="396">
        <f t="shared" si="38"/>
        <v>49705</v>
      </c>
      <c r="C183" s="357">
        <f t="shared" si="39"/>
        <v>235</v>
      </c>
      <c r="D183" s="397" t="e">
        <f>INDEX('Monthly Cash Flow'!$L$137:$GT$137, MATCH(C183, 'Monthly Cash Flow'!$L$13:$GT$13, 0))</f>
        <v>#N/A</v>
      </c>
      <c r="E183" s="397">
        <f t="shared" ca="1" si="32"/>
        <v>0</v>
      </c>
      <c r="F183" s="397" t="e">
        <f t="shared" si="28"/>
        <v>#N/A</v>
      </c>
      <c r="G183" s="397" t="e">
        <f t="shared" ca="1" si="29"/>
        <v>#N/A</v>
      </c>
      <c r="H183" s="398" t="e">
        <f t="shared" ca="1" si="30"/>
        <v>#N/A</v>
      </c>
      <c r="I183" s="399">
        <f>MAX($J$5, INDEX(LIBOR!$M$3:$M$122,MATCH(B183,LIBOR!$N$3:$N$122)))</f>
        <v>3.2809699999999997E-2</v>
      </c>
      <c r="J183" s="400">
        <f t="shared" si="31"/>
        <v>8.5309699999999988E-2</v>
      </c>
      <c r="L183" s="392">
        <f t="shared" si="40"/>
        <v>49705</v>
      </c>
      <c r="M183" s="357">
        <f t="shared" si="41"/>
        <v>235</v>
      </c>
      <c r="N183" s="397">
        <v>5406.9005619359541</v>
      </c>
      <c r="O183" s="397">
        <f t="shared" si="33"/>
        <v>0</v>
      </c>
      <c r="P183" s="397">
        <f t="shared" si="35"/>
        <v>36.86140940848432</v>
      </c>
      <c r="Q183" s="397">
        <f t="shared" si="34"/>
        <v>-36.86140940848432</v>
      </c>
      <c r="R183" s="398">
        <f t="shared" si="36"/>
        <v>5443.7619713444383</v>
      </c>
      <c r="S183" s="399">
        <f>INDEX(LIBOR!$M$3:$M$122,MATCH(L183,LIBOR!$N$3:$N$122))</f>
        <v>3.2809699999999997E-2</v>
      </c>
      <c r="T183" s="400">
        <f t="shared" si="37"/>
        <v>8.1809699999999999E-2</v>
      </c>
    </row>
    <row r="184" spans="2:20">
      <c r="B184" s="396">
        <f t="shared" si="38"/>
        <v>49734</v>
      </c>
      <c r="C184" s="357">
        <f t="shared" si="39"/>
        <v>236</v>
      </c>
      <c r="D184" s="397" t="e">
        <f>INDEX('Monthly Cash Flow'!$L$137:$GT$137, MATCH(C184, 'Monthly Cash Flow'!$L$13:$GT$13, 0))</f>
        <v>#N/A</v>
      </c>
      <c r="E184" s="397">
        <f t="shared" ca="1" si="32"/>
        <v>0</v>
      </c>
      <c r="F184" s="397" t="e">
        <f t="shared" si="28"/>
        <v>#N/A</v>
      </c>
      <c r="G184" s="397" t="e">
        <f t="shared" ca="1" si="29"/>
        <v>#N/A</v>
      </c>
      <c r="H184" s="398" t="e">
        <f t="shared" ca="1" si="30"/>
        <v>#N/A</v>
      </c>
      <c r="I184" s="399">
        <f>MAX($J$5, INDEX(LIBOR!$M$3:$M$122,MATCH(B184,LIBOR!$N$3:$N$122)))</f>
        <v>3.2809699999999997E-2</v>
      </c>
      <c r="J184" s="400">
        <f t="shared" si="31"/>
        <v>8.5309699999999988E-2</v>
      </c>
      <c r="L184" s="392">
        <f t="shared" si="40"/>
        <v>49734</v>
      </c>
      <c r="M184" s="357">
        <f t="shared" si="41"/>
        <v>236</v>
      </c>
      <c r="N184" s="397">
        <v>5388.1418468880101</v>
      </c>
      <c r="O184" s="397">
        <f t="shared" si="33"/>
        <v>0</v>
      </c>
      <c r="P184" s="397">
        <f t="shared" si="35"/>
        <v>36.733522337612833</v>
      </c>
      <c r="Q184" s="397">
        <f t="shared" si="34"/>
        <v>-36.733522337612833</v>
      </c>
      <c r="R184" s="398">
        <f t="shared" si="36"/>
        <v>5424.8753692256232</v>
      </c>
      <c r="S184" s="399">
        <f>INDEX(LIBOR!$M$3:$M$122,MATCH(L184,LIBOR!$N$3:$N$122))</f>
        <v>3.2809699999999997E-2</v>
      </c>
      <c r="T184" s="400">
        <f t="shared" si="37"/>
        <v>8.1809699999999999E-2</v>
      </c>
    </row>
    <row r="185" spans="2:20">
      <c r="B185" s="396">
        <f t="shared" si="38"/>
        <v>49765</v>
      </c>
      <c r="C185" s="357">
        <f t="shared" si="39"/>
        <v>237</v>
      </c>
      <c r="D185" s="397" t="e">
        <f>INDEX('Monthly Cash Flow'!$L$137:$GT$137, MATCH(C185, 'Monthly Cash Flow'!$L$13:$GT$13, 0))</f>
        <v>#N/A</v>
      </c>
      <c r="E185" s="397">
        <f t="shared" ca="1" si="32"/>
        <v>0</v>
      </c>
      <c r="F185" s="397" t="e">
        <f t="shared" si="28"/>
        <v>#N/A</v>
      </c>
      <c r="G185" s="397" t="e">
        <f t="shared" ca="1" si="29"/>
        <v>#N/A</v>
      </c>
      <c r="H185" s="398" t="e">
        <f t="shared" ca="1" si="30"/>
        <v>#N/A</v>
      </c>
      <c r="I185" s="399">
        <f>MAX($J$5, INDEX(LIBOR!$M$3:$M$122,MATCH(B185,LIBOR!$N$3:$N$122)))</f>
        <v>3.2809699999999997E-2</v>
      </c>
      <c r="J185" s="400">
        <f t="shared" si="31"/>
        <v>8.5309699999999988E-2</v>
      </c>
      <c r="L185" s="392">
        <f t="shared" si="40"/>
        <v>49765</v>
      </c>
      <c r="M185" s="357">
        <f t="shared" si="41"/>
        <v>237</v>
      </c>
      <c r="N185" s="397">
        <v>5369.2976901137336</v>
      </c>
      <c r="O185" s="397">
        <f t="shared" si="33"/>
        <v>0</v>
      </c>
      <c r="P185" s="397">
        <f t="shared" si="35"/>
        <v>36.605052769908127</v>
      </c>
      <c r="Q185" s="397">
        <f t="shared" si="34"/>
        <v>-36.605052769908127</v>
      </c>
      <c r="R185" s="398">
        <f t="shared" si="36"/>
        <v>5405.9027428836416</v>
      </c>
      <c r="S185" s="399">
        <f>INDEX(LIBOR!$M$3:$M$122,MATCH(L185,LIBOR!$N$3:$N$122))</f>
        <v>3.2809699999999997E-2</v>
      </c>
      <c r="T185" s="400">
        <f t="shared" si="37"/>
        <v>8.1809699999999999E-2</v>
      </c>
    </row>
    <row r="186" spans="2:20">
      <c r="B186" s="396">
        <f t="shared" si="38"/>
        <v>49795</v>
      </c>
      <c r="C186" s="357">
        <f t="shared" si="39"/>
        <v>238</v>
      </c>
      <c r="D186" s="397" t="e">
        <f>INDEX('Monthly Cash Flow'!$L$137:$GT$137, MATCH(C186, 'Monthly Cash Flow'!$L$13:$GT$13, 0))</f>
        <v>#N/A</v>
      </c>
      <c r="E186" s="397">
        <f t="shared" ca="1" si="32"/>
        <v>0</v>
      </c>
      <c r="F186" s="397" t="e">
        <f t="shared" si="28"/>
        <v>#N/A</v>
      </c>
      <c r="G186" s="397" t="e">
        <f t="shared" ca="1" si="29"/>
        <v>#N/A</v>
      </c>
      <c r="H186" s="398" t="e">
        <f t="shared" ca="1" si="30"/>
        <v>#N/A</v>
      </c>
      <c r="I186" s="399">
        <f>MAX($J$5, INDEX(LIBOR!$M$3:$M$122,MATCH(B186,LIBOR!$N$3:$N$122)))</f>
        <v>3.2809699999999997E-2</v>
      </c>
      <c r="J186" s="400">
        <f t="shared" si="31"/>
        <v>8.5309699999999988E-2</v>
      </c>
      <c r="L186" s="392">
        <f t="shared" si="40"/>
        <v>49795</v>
      </c>
      <c r="M186" s="357">
        <f t="shared" si="41"/>
        <v>238</v>
      </c>
      <c r="N186" s="397">
        <v>5350.3677024452854</v>
      </c>
      <c r="O186" s="397">
        <f t="shared" si="33"/>
        <v>0</v>
      </c>
      <c r="P186" s="397">
        <f t="shared" si="35"/>
        <v>36.475998052228171</v>
      </c>
      <c r="Q186" s="397">
        <f t="shared" si="34"/>
        <v>-36.475998052228171</v>
      </c>
      <c r="R186" s="398">
        <f t="shared" si="36"/>
        <v>5386.843700497514</v>
      </c>
      <c r="S186" s="399">
        <f>INDEX(LIBOR!$M$3:$M$122,MATCH(L186,LIBOR!$N$3:$N$122))</f>
        <v>3.2809699999999997E-2</v>
      </c>
      <c r="T186" s="400">
        <f t="shared" si="37"/>
        <v>8.1809699999999999E-2</v>
      </c>
    </row>
    <row r="187" spans="2:20">
      <c r="B187" s="396">
        <f t="shared" si="38"/>
        <v>49826</v>
      </c>
      <c r="C187" s="357">
        <f t="shared" si="39"/>
        <v>239</v>
      </c>
      <c r="D187" s="397" t="e">
        <f>INDEX('Monthly Cash Flow'!$L$137:$GT$137, MATCH(C187, 'Monthly Cash Flow'!$L$13:$GT$13, 0))</f>
        <v>#N/A</v>
      </c>
      <c r="E187" s="397">
        <f t="shared" ca="1" si="32"/>
        <v>0</v>
      </c>
      <c r="F187" s="397" t="e">
        <f t="shared" si="28"/>
        <v>#N/A</v>
      </c>
      <c r="G187" s="397" t="e">
        <f t="shared" ca="1" si="29"/>
        <v>#N/A</v>
      </c>
      <c r="H187" s="398" t="e">
        <f t="shared" ca="1" si="30"/>
        <v>#N/A</v>
      </c>
      <c r="I187" s="399">
        <f>MAX($J$5, INDEX(LIBOR!$M$3:$M$122,MATCH(B187,LIBOR!$N$3:$N$122)))</f>
        <v>3.2809699999999997E-2</v>
      </c>
      <c r="J187" s="400">
        <f t="shared" si="31"/>
        <v>8.5309699999999988E-2</v>
      </c>
      <c r="L187" s="392">
        <f t="shared" si="40"/>
        <v>49826</v>
      </c>
      <c r="M187" s="357">
        <f t="shared" si="41"/>
        <v>239</v>
      </c>
      <c r="N187" s="397">
        <v>5331.3514929422545</v>
      </c>
      <c r="O187" s="397">
        <f t="shared" si="33"/>
        <v>0</v>
      </c>
      <c r="P187" s="397">
        <f t="shared" si="35"/>
        <v>36.346355519346496</v>
      </c>
      <c r="Q187" s="397">
        <f t="shared" si="34"/>
        <v>-36.346355519346496</v>
      </c>
      <c r="R187" s="398">
        <f t="shared" si="36"/>
        <v>5367.6978484616011</v>
      </c>
      <c r="S187" s="399">
        <f>INDEX(LIBOR!$M$3:$M$122,MATCH(L187,LIBOR!$N$3:$N$122))</f>
        <v>3.2809699999999997E-2</v>
      </c>
      <c r="T187" s="400">
        <f t="shared" si="37"/>
        <v>8.1809699999999999E-2</v>
      </c>
    </row>
    <row r="188" spans="2:20">
      <c r="B188" s="396">
        <f t="shared" si="38"/>
        <v>49856</v>
      </c>
      <c r="C188" s="357">
        <f t="shared" si="39"/>
        <v>240</v>
      </c>
      <c r="D188" s="397" t="e">
        <f>INDEX('Monthly Cash Flow'!$L$137:$GT$137, MATCH(C188, 'Monthly Cash Flow'!$L$13:$GT$13, 0))</f>
        <v>#N/A</v>
      </c>
      <c r="E188" s="397">
        <f t="shared" ca="1" si="32"/>
        <v>0</v>
      </c>
      <c r="F188" s="397" t="e">
        <f t="shared" si="28"/>
        <v>#N/A</v>
      </c>
      <c r="G188" s="397" t="e">
        <f t="shared" ca="1" si="29"/>
        <v>#N/A</v>
      </c>
      <c r="H188" s="398" t="e">
        <f t="shared" ca="1" si="30"/>
        <v>#N/A</v>
      </c>
      <c r="I188" s="399">
        <f>MAX($J$5, INDEX(LIBOR!$M$3:$M$122,MATCH(B188,LIBOR!$N$3:$N$122)))</f>
        <v>3.2809699999999997E-2</v>
      </c>
      <c r="J188" s="400">
        <f t="shared" si="31"/>
        <v>8.5309699999999988E-2</v>
      </c>
      <c r="L188" s="392">
        <f t="shared" si="40"/>
        <v>49856</v>
      </c>
      <c r="M188" s="357">
        <f t="shared" si="41"/>
        <v>240</v>
      </c>
      <c r="N188" s="397">
        <v>5312.2486688835843</v>
      </c>
      <c r="O188" s="397">
        <f t="shared" si="33"/>
        <v>0</v>
      </c>
      <c r="P188" s="397">
        <f t="shared" si="35"/>
        <v>36.21612249389711</v>
      </c>
      <c r="Q188" s="397">
        <f t="shared" si="34"/>
        <v>-36.21612249389711</v>
      </c>
      <c r="R188" s="398">
        <f t="shared" si="36"/>
        <v>5348.4647913774816</v>
      </c>
      <c r="S188" s="399">
        <f>INDEX(LIBOR!$M$3:$M$122,MATCH(L188,LIBOR!$N$3:$N$122))</f>
        <v>3.2809699999999997E-2</v>
      </c>
      <c r="T188" s="400">
        <f t="shared" si="37"/>
        <v>8.1809699999999999E-2</v>
      </c>
    </row>
    <row r="189" spans="2:20">
      <c r="B189" s="396">
        <f t="shared" si="38"/>
        <v>49887</v>
      </c>
      <c r="C189" s="357">
        <f t="shared" si="39"/>
        <v>241</v>
      </c>
      <c r="D189" s="397" t="e">
        <f>INDEX('Monthly Cash Flow'!$L$137:$GT$137, MATCH(C189, 'Monthly Cash Flow'!$L$13:$GT$13, 0))</f>
        <v>#N/A</v>
      </c>
      <c r="E189" s="397">
        <f t="shared" ca="1" si="32"/>
        <v>0</v>
      </c>
      <c r="F189" s="397" t="e">
        <f t="shared" si="28"/>
        <v>#N/A</v>
      </c>
      <c r="G189" s="397" t="e">
        <f t="shared" ca="1" si="29"/>
        <v>#N/A</v>
      </c>
      <c r="H189" s="398" t="e">
        <f t="shared" ca="1" si="30"/>
        <v>#N/A</v>
      </c>
      <c r="I189" s="399">
        <f>MAX($J$5, INDEX(LIBOR!$M$3:$M$122,MATCH(B189,LIBOR!$N$3:$N$122)))</f>
        <v>3.2809699999999997E-2</v>
      </c>
      <c r="J189" s="400">
        <f t="shared" si="31"/>
        <v>8.5309699999999988E-2</v>
      </c>
      <c r="L189" s="392">
        <f t="shared" si="40"/>
        <v>49887</v>
      </c>
      <c r="M189" s="357">
        <f t="shared" si="41"/>
        <v>241</v>
      </c>
      <c r="N189" s="397">
        <v>5293.0588357594625</v>
      </c>
      <c r="O189" s="397">
        <f t="shared" si="33"/>
        <v>0</v>
      </c>
      <c r="P189" s="397">
        <f t="shared" si="35"/>
        <v>36.085296286319242</v>
      </c>
      <c r="Q189" s="397">
        <f t="shared" si="34"/>
        <v>-36.085296286319242</v>
      </c>
      <c r="R189" s="398">
        <f t="shared" si="36"/>
        <v>5329.1441320457816</v>
      </c>
      <c r="S189" s="399">
        <f>INDEX(LIBOR!$M$3:$M$122,MATCH(L189,LIBOR!$N$3:$N$122))</f>
        <v>3.2809699999999997E-2</v>
      </c>
      <c r="T189" s="400">
        <f t="shared" si="37"/>
        <v>8.1809699999999999E-2</v>
      </c>
    </row>
    <row r="190" spans="2:20">
      <c r="B190" s="396">
        <f t="shared" si="38"/>
        <v>49918</v>
      </c>
      <c r="C190" s="357">
        <f t="shared" si="39"/>
        <v>242</v>
      </c>
      <c r="D190" s="397" t="e">
        <f>INDEX('Monthly Cash Flow'!$L$137:$GT$137, MATCH(C190, 'Monthly Cash Flow'!$L$13:$GT$13, 0))</f>
        <v>#N/A</v>
      </c>
      <c r="E190" s="397">
        <f t="shared" ca="1" si="32"/>
        <v>0</v>
      </c>
      <c r="F190" s="397" t="e">
        <f t="shared" si="28"/>
        <v>#N/A</v>
      </c>
      <c r="G190" s="397" t="e">
        <f t="shared" ca="1" si="29"/>
        <v>#N/A</v>
      </c>
      <c r="H190" s="398" t="e">
        <f t="shared" ca="1" si="30"/>
        <v>#N/A</v>
      </c>
      <c r="I190" s="399">
        <f>MAX($J$5, INDEX(LIBOR!$M$3:$M$122,MATCH(B190,LIBOR!$N$3:$N$122)))</f>
        <v>3.2809699999999997E-2</v>
      </c>
      <c r="J190" s="400">
        <f t="shared" si="31"/>
        <v>8.5309699999999988E-2</v>
      </c>
      <c r="L190" s="392">
        <f t="shared" si="40"/>
        <v>49918</v>
      </c>
      <c r="M190" s="357">
        <f t="shared" si="41"/>
        <v>242</v>
      </c>
      <c r="N190" s="397">
        <v>5273.7815972631734</v>
      </c>
      <c r="O190" s="397">
        <f t="shared" si="33"/>
        <v>0</v>
      </c>
      <c r="P190" s="397">
        <f t="shared" si="35"/>
        <v>35.953874194801749</v>
      </c>
      <c r="Q190" s="397">
        <f t="shared" si="34"/>
        <v>-35.953874194801749</v>
      </c>
      <c r="R190" s="398">
        <f t="shared" si="36"/>
        <v>5309.7354714579751</v>
      </c>
      <c r="S190" s="399">
        <f>INDEX(LIBOR!$M$3:$M$122,MATCH(L190,LIBOR!$N$3:$N$122))</f>
        <v>3.2809699999999997E-2</v>
      </c>
      <c r="T190" s="400">
        <f t="shared" si="37"/>
        <v>8.1809699999999999E-2</v>
      </c>
    </row>
    <row r="191" spans="2:20">
      <c r="B191" s="396">
        <f t="shared" si="38"/>
        <v>49948</v>
      </c>
      <c r="C191" s="357">
        <f t="shared" si="39"/>
        <v>243</v>
      </c>
      <c r="D191" s="397" t="e">
        <f>INDEX('Monthly Cash Flow'!$L$137:$GT$137, MATCH(C191, 'Monthly Cash Flow'!$L$13:$GT$13, 0))</f>
        <v>#N/A</v>
      </c>
      <c r="E191" s="397">
        <f t="shared" ca="1" si="32"/>
        <v>0</v>
      </c>
      <c r="F191" s="397" t="e">
        <f t="shared" si="28"/>
        <v>#N/A</v>
      </c>
      <c r="G191" s="397" t="e">
        <f t="shared" ca="1" si="29"/>
        <v>#N/A</v>
      </c>
      <c r="H191" s="398" t="e">
        <f t="shared" ca="1" si="30"/>
        <v>#N/A</v>
      </c>
      <c r="I191" s="399">
        <f>MAX($J$5, INDEX(LIBOR!$M$3:$M$122,MATCH(B191,LIBOR!$N$3:$N$122)))</f>
        <v>3.2809699999999997E-2</v>
      </c>
      <c r="J191" s="400">
        <f t="shared" si="31"/>
        <v>8.5309699999999988E-2</v>
      </c>
      <c r="L191" s="392">
        <f t="shared" si="40"/>
        <v>49948</v>
      </c>
      <c r="M191" s="357">
        <f t="shared" si="41"/>
        <v>243</v>
      </c>
      <c r="N191" s="397">
        <v>5254.4165552829118</v>
      </c>
      <c r="O191" s="397">
        <f t="shared" si="33"/>
        <v>0</v>
      </c>
      <c r="P191" s="397">
        <f t="shared" si="35"/>
        <v>35.821853505227367</v>
      </c>
      <c r="Q191" s="397">
        <f t="shared" si="34"/>
        <v>-35.821853505227367</v>
      </c>
      <c r="R191" s="398">
        <f t="shared" si="36"/>
        <v>5290.2384087881392</v>
      </c>
      <c r="S191" s="399">
        <f>INDEX(LIBOR!$M$3:$M$122,MATCH(L191,LIBOR!$N$3:$N$122))</f>
        <v>3.2809699999999997E-2</v>
      </c>
      <c r="T191" s="400">
        <f t="shared" si="37"/>
        <v>8.1809699999999999E-2</v>
      </c>
    </row>
    <row r="192" spans="2:20">
      <c r="B192" s="396">
        <f t="shared" si="38"/>
        <v>49979</v>
      </c>
      <c r="C192" s="357">
        <f t="shared" si="39"/>
        <v>244</v>
      </c>
      <c r="D192" s="397" t="e">
        <f>INDEX('Monthly Cash Flow'!$L$137:$GT$137, MATCH(C192, 'Monthly Cash Flow'!$L$13:$GT$13, 0))</f>
        <v>#N/A</v>
      </c>
      <c r="E192" s="397">
        <f t="shared" ca="1" si="32"/>
        <v>0</v>
      </c>
      <c r="F192" s="397" t="e">
        <f t="shared" si="28"/>
        <v>#N/A</v>
      </c>
      <c r="G192" s="397" t="e">
        <f t="shared" ca="1" si="29"/>
        <v>#N/A</v>
      </c>
      <c r="H192" s="398" t="e">
        <f t="shared" ca="1" si="30"/>
        <v>#N/A</v>
      </c>
      <c r="I192" s="399">
        <f>MAX($J$5, INDEX(LIBOR!$M$3:$M$122,MATCH(B192,LIBOR!$N$3:$N$122)))</f>
        <v>3.2809699999999997E-2</v>
      </c>
      <c r="J192" s="400">
        <f t="shared" si="31"/>
        <v>8.5309699999999988E-2</v>
      </c>
      <c r="L192" s="392">
        <f t="shared" si="40"/>
        <v>49979</v>
      </c>
      <c r="M192" s="357">
        <f t="shared" si="41"/>
        <v>244</v>
      </c>
      <c r="N192" s="397">
        <v>5234.9633098935647</v>
      </c>
      <c r="O192" s="397">
        <f t="shared" si="33"/>
        <v>0</v>
      </c>
      <c r="P192" s="397">
        <f t="shared" si="35"/>
        <v>35.68923149111663</v>
      </c>
      <c r="Q192" s="397">
        <f t="shared" si="34"/>
        <v>-35.68923149111663</v>
      </c>
      <c r="R192" s="398">
        <f t="shared" si="36"/>
        <v>5270.6525413846812</v>
      </c>
      <c r="S192" s="399">
        <f>INDEX(LIBOR!$M$3:$M$122,MATCH(L192,LIBOR!$N$3:$N$122))</f>
        <v>3.2809699999999997E-2</v>
      </c>
      <c r="T192" s="400">
        <f t="shared" si="37"/>
        <v>8.1809699999999999E-2</v>
      </c>
    </row>
    <row r="193" spans="2:20">
      <c r="B193" s="396">
        <f t="shared" si="38"/>
        <v>50009</v>
      </c>
      <c r="C193" s="357">
        <f t="shared" si="39"/>
        <v>245</v>
      </c>
      <c r="D193" s="397" t="e">
        <f>INDEX('Monthly Cash Flow'!$L$137:$GT$137, MATCH(C193, 'Monthly Cash Flow'!$L$13:$GT$13, 0))</f>
        <v>#N/A</v>
      </c>
      <c r="E193" s="397">
        <f t="shared" ca="1" si="32"/>
        <v>0</v>
      </c>
      <c r="F193" s="397" t="e">
        <f t="shared" si="28"/>
        <v>#N/A</v>
      </c>
      <c r="G193" s="397" t="e">
        <f t="shared" ca="1" si="29"/>
        <v>#N/A</v>
      </c>
      <c r="H193" s="398" t="e">
        <f t="shared" ca="1" si="30"/>
        <v>#N/A</v>
      </c>
      <c r="I193" s="399">
        <f>MAX($J$5, INDEX(LIBOR!$M$3:$M$122,MATCH(B193,LIBOR!$N$3:$N$122)))</f>
        <v>3.2809699999999997E-2</v>
      </c>
      <c r="J193" s="400">
        <f t="shared" si="31"/>
        <v>8.5309699999999988E-2</v>
      </c>
      <c r="L193" s="392">
        <f t="shared" si="40"/>
        <v>50009</v>
      </c>
      <c r="M193" s="357">
        <f t="shared" si="41"/>
        <v>245</v>
      </c>
      <c r="N193" s="397">
        <v>5215.4214593484494</v>
      </c>
      <c r="O193" s="397">
        <f t="shared" si="33"/>
        <v>0</v>
      </c>
      <c r="P193" s="397">
        <f t="shared" si="35"/>
        <v>35.556005413571569</v>
      </c>
      <c r="Q193" s="397">
        <f t="shared" si="34"/>
        <v>-35.556005413571569</v>
      </c>
      <c r="R193" s="398">
        <f t="shared" si="36"/>
        <v>5250.9774647620206</v>
      </c>
      <c r="S193" s="399">
        <f>INDEX(LIBOR!$M$3:$M$122,MATCH(L193,LIBOR!$N$3:$N$122))</f>
        <v>3.2809699999999997E-2</v>
      </c>
      <c r="T193" s="400">
        <f t="shared" si="37"/>
        <v>8.1809699999999999E-2</v>
      </c>
    </row>
    <row r="194" spans="2:20">
      <c r="B194" s="396">
        <f t="shared" si="38"/>
        <v>50040</v>
      </c>
      <c r="C194" s="357">
        <f t="shared" si="39"/>
        <v>246</v>
      </c>
      <c r="D194" s="397" t="e">
        <f>INDEX('Monthly Cash Flow'!$L$137:$GT$137, MATCH(C194, 'Monthly Cash Flow'!$L$13:$GT$13, 0))</f>
        <v>#N/A</v>
      </c>
      <c r="E194" s="397">
        <f t="shared" ca="1" si="32"/>
        <v>0</v>
      </c>
      <c r="F194" s="397" t="e">
        <f t="shared" si="28"/>
        <v>#N/A</v>
      </c>
      <c r="G194" s="397" t="e">
        <f t="shared" ca="1" si="29"/>
        <v>#N/A</v>
      </c>
      <c r="H194" s="398" t="e">
        <f t="shared" ca="1" si="30"/>
        <v>#N/A</v>
      </c>
      <c r="I194" s="399">
        <f>MAX($J$5, INDEX(LIBOR!$M$3:$M$122,MATCH(B194,LIBOR!$N$3:$N$122)))</f>
        <v>3.2809699999999997E-2</v>
      </c>
      <c r="J194" s="400">
        <f t="shared" si="31"/>
        <v>8.5309699999999988E-2</v>
      </c>
      <c r="L194" s="392">
        <f t="shared" si="40"/>
        <v>50040</v>
      </c>
      <c r="M194" s="357">
        <f t="shared" si="41"/>
        <v>246</v>
      </c>
      <c r="N194" s="397">
        <v>5195.7906000710173</v>
      </c>
      <c r="O194" s="397">
        <f t="shared" si="33"/>
        <v>0</v>
      </c>
      <c r="P194" s="397">
        <f t="shared" si="35"/>
        <v>35.42217252121916</v>
      </c>
      <c r="Q194" s="397">
        <f t="shared" si="34"/>
        <v>-35.42217252121916</v>
      </c>
      <c r="R194" s="398">
        <f t="shared" si="36"/>
        <v>5231.2127725922364</v>
      </c>
      <c r="S194" s="399">
        <f>INDEX(LIBOR!$M$3:$M$122,MATCH(L194,LIBOR!$N$3:$N$122))</f>
        <v>3.2809699999999997E-2</v>
      </c>
      <c r="T194" s="400">
        <f t="shared" si="37"/>
        <v>8.1809699999999999E-2</v>
      </c>
    </row>
    <row r="195" spans="2:20">
      <c r="B195" s="396">
        <f t="shared" si="38"/>
        <v>50071</v>
      </c>
      <c r="C195" s="357">
        <f t="shared" si="39"/>
        <v>247</v>
      </c>
      <c r="D195" s="397" t="e">
        <f>INDEX('Monthly Cash Flow'!$L$137:$GT$137, MATCH(C195, 'Monthly Cash Flow'!$L$13:$GT$13, 0))</f>
        <v>#N/A</v>
      </c>
      <c r="E195" s="397">
        <f t="shared" ca="1" si="32"/>
        <v>0</v>
      </c>
      <c r="F195" s="397" t="e">
        <f t="shared" si="28"/>
        <v>#N/A</v>
      </c>
      <c r="G195" s="397" t="e">
        <f t="shared" ca="1" si="29"/>
        <v>#N/A</v>
      </c>
      <c r="H195" s="398" t="e">
        <f t="shared" ca="1" si="30"/>
        <v>#N/A</v>
      </c>
      <c r="I195" s="399">
        <f>MAX($J$5, INDEX(LIBOR!$M$3:$M$122,MATCH(B195,LIBOR!$N$3:$N$122)))</f>
        <v>3.2809699999999997E-2</v>
      </c>
      <c r="J195" s="400">
        <f t="shared" si="31"/>
        <v>8.5309699999999988E-2</v>
      </c>
      <c r="L195" s="392">
        <f t="shared" si="40"/>
        <v>50071</v>
      </c>
      <c r="M195" s="357">
        <f t="shared" si="41"/>
        <v>247</v>
      </c>
      <c r="N195" s="397">
        <v>5176.0703266465198</v>
      </c>
      <c r="O195" s="397">
        <f t="shared" si="33"/>
        <v>0</v>
      </c>
      <c r="P195" s="397">
        <f t="shared" si="35"/>
        <v>35.287730050154487</v>
      </c>
      <c r="Q195" s="397">
        <f t="shared" si="34"/>
        <v>-35.287730050154487</v>
      </c>
      <c r="R195" s="398">
        <f t="shared" si="36"/>
        <v>5211.3580566966739</v>
      </c>
      <c r="S195" s="399">
        <f>INDEX(LIBOR!$M$3:$M$122,MATCH(L195,LIBOR!$N$3:$N$122))</f>
        <v>3.2809699999999997E-2</v>
      </c>
      <c r="T195" s="400">
        <f t="shared" si="37"/>
        <v>8.1809699999999999E-2</v>
      </c>
    </row>
    <row r="196" spans="2:20">
      <c r="B196" s="396">
        <f t="shared" si="38"/>
        <v>50099</v>
      </c>
      <c r="C196" s="357">
        <f t="shared" si="39"/>
        <v>248</v>
      </c>
      <c r="D196" s="397" t="e">
        <f>INDEX('Monthly Cash Flow'!$L$137:$GT$137, MATCH(C196, 'Monthly Cash Flow'!$L$13:$GT$13, 0))</f>
        <v>#N/A</v>
      </c>
      <c r="E196" s="397">
        <f t="shared" ca="1" si="32"/>
        <v>0</v>
      </c>
      <c r="F196" s="397" t="e">
        <f t="shared" si="28"/>
        <v>#N/A</v>
      </c>
      <c r="G196" s="397" t="e">
        <f t="shared" ca="1" si="29"/>
        <v>#N/A</v>
      </c>
      <c r="H196" s="398" t="e">
        <f t="shared" ca="1" si="30"/>
        <v>#N/A</v>
      </c>
      <c r="I196" s="399">
        <f>MAX($J$5, INDEX(LIBOR!$M$3:$M$122,MATCH(B196,LIBOR!$N$3:$N$122)))</f>
        <v>3.2809699999999997E-2</v>
      </c>
      <c r="J196" s="400">
        <f t="shared" si="31"/>
        <v>8.5309699999999988E-2</v>
      </c>
      <c r="L196" s="392">
        <f t="shared" si="40"/>
        <v>50099</v>
      </c>
      <c r="M196" s="357">
        <f t="shared" si="41"/>
        <v>248</v>
      </c>
      <c r="N196" s="397">
        <v>5156.2602318136351</v>
      </c>
      <c r="O196" s="397">
        <f t="shared" si="33"/>
        <v>0</v>
      </c>
      <c r="P196" s="397">
        <f t="shared" si="35"/>
        <v>35.152675223883662</v>
      </c>
      <c r="Q196" s="397">
        <f t="shared" si="34"/>
        <v>-35.152675223883662</v>
      </c>
      <c r="R196" s="398">
        <f t="shared" si="36"/>
        <v>5191.4129070375184</v>
      </c>
      <c r="S196" s="399">
        <f>INDEX(LIBOR!$M$3:$M$122,MATCH(L196,LIBOR!$N$3:$N$122))</f>
        <v>3.2809699999999997E-2</v>
      </c>
      <c r="T196" s="400">
        <f t="shared" si="37"/>
        <v>8.1809699999999999E-2</v>
      </c>
    </row>
    <row r="197" spans="2:20">
      <c r="B197" s="396">
        <f t="shared" si="38"/>
        <v>50130</v>
      </c>
      <c r="C197" s="357">
        <f t="shared" si="39"/>
        <v>249</v>
      </c>
      <c r="D197" s="397" t="e">
        <f>INDEX('Monthly Cash Flow'!$L$137:$GT$137, MATCH(C197, 'Monthly Cash Flow'!$L$13:$GT$13, 0))</f>
        <v>#N/A</v>
      </c>
      <c r="E197" s="397">
        <f t="shared" ca="1" si="32"/>
        <v>0</v>
      </c>
      <c r="F197" s="397" t="e">
        <f t="shared" ref="F197:F260" si="42">D197*J197/12</f>
        <v>#N/A</v>
      </c>
      <c r="G197" s="397" t="e">
        <f t="shared" ref="G197:G260" ca="1" si="43">+E197-F197</f>
        <v>#N/A</v>
      </c>
      <c r="H197" s="398" t="e">
        <f t="shared" ref="H197:H260" ca="1" si="44">+D197-G197</f>
        <v>#N/A</v>
      </c>
      <c r="I197" s="399">
        <f>MAX($J$5, INDEX(LIBOR!$M$3:$M$122,MATCH(B197,LIBOR!$N$3:$N$122)))</f>
        <v>3.2809699999999997E-2</v>
      </c>
      <c r="J197" s="400">
        <f t="shared" ref="J197:J260" si="45">IF($I$2=1,I197+$J$4/10000,$J$3)</f>
        <v>8.5309699999999988E-2</v>
      </c>
      <c r="L197" s="392">
        <f t="shared" si="40"/>
        <v>50130</v>
      </c>
      <c r="M197" s="357">
        <f t="shared" si="41"/>
        <v>249</v>
      </c>
      <c r="N197" s="397">
        <v>5136.3599064560585</v>
      </c>
      <c r="O197" s="397">
        <f t="shared" si="33"/>
        <v>0</v>
      </c>
      <c r="P197" s="397">
        <f t="shared" si="35"/>
        <v>35.017005253266518</v>
      </c>
      <c r="Q197" s="397">
        <f t="shared" si="34"/>
        <v>-35.017005253266518</v>
      </c>
      <c r="R197" s="398">
        <f t="shared" si="36"/>
        <v>5171.3769117093252</v>
      </c>
      <c r="S197" s="399">
        <f>INDEX(LIBOR!$M$3:$M$122,MATCH(L197,LIBOR!$N$3:$N$122))</f>
        <v>3.2809699999999997E-2</v>
      </c>
      <c r="T197" s="400">
        <f t="shared" si="37"/>
        <v>8.1809699999999999E-2</v>
      </c>
    </row>
    <row r="198" spans="2:20">
      <c r="B198" s="396">
        <f t="shared" si="38"/>
        <v>50160</v>
      </c>
      <c r="C198" s="357">
        <f t="shared" si="39"/>
        <v>250</v>
      </c>
      <c r="D198" s="397" t="e">
        <f>INDEX('Monthly Cash Flow'!$L$137:$GT$137, MATCH(C198, 'Monthly Cash Flow'!$L$13:$GT$13, 0))</f>
        <v>#N/A</v>
      </c>
      <c r="E198" s="397">
        <f t="shared" ca="1" si="32"/>
        <v>0</v>
      </c>
      <c r="F198" s="397" t="e">
        <f t="shared" si="42"/>
        <v>#N/A</v>
      </c>
      <c r="G198" s="397" t="e">
        <f t="shared" ca="1" si="43"/>
        <v>#N/A</v>
      </c>
      <c r="H198" s="398" t="e">
        <f t="shared" ca="1" si="44"/>
        <v>#N/A</v>
      </c>
      <c r="I198" s="399">
        <f>MAX($J$5, INDEX(LIBOR!$M$3:$M$122,MATCH(B198,LIBOR!$N$3:$N$122)))</f>
        <v>3.2809699999999997E-2</v>
      </c>
      <c r="J198" s="400">
        <f t="shared" si="45"/>
        <v>8.5309699999999988E-2</v>
      </c>
      <c r="L198" s="392">
        <f t="shared" si="40"/>
        <v>50160</v>
      </c>
      <c r="M198" s="357">
        <f t="shared" si="41"/>
        <v>250</v>
      </c>
      <c r="N198" s="397">
        <v>5116.368939594051</v>
      </c>
      <c r="O198" s="397">
        <f t="shared" si="33"/>
        <v>0</v>
      </c>
      <c r="P198" s="397">
        <f t="shared" si="35"/>
        <v>34.88071733645895</v>
      </c>
      <c r="Q198" s="397">
        <f t="shared" si="34"/>
        <v>-34.88071733645895</v>
      </c>
      <c r="R198" s="398">
        <f t="shared" si="36"/>
        <v>5151.2496569305104</v>
      </c>
      <c r="S198" s="399">
        <f>INDEX(LIBOR!$M$3:$M$122,MATCH(L198,LIBOR!$N$3:$N$122))</f>
        <v>3.2809699999999997E-2</v>
      </c>
      <c r="T198" s="400">
        <f t="shared" si="37"/>
        <v>8.1809699999999999E-2</v>
      </c>
    </row>
    <row r="199" spans="2:20">
      <c r="B199" s="396">
        <f t="shared" si="38"/>
        <v>50191</v>
      </c>
      <c r="C199" s="357">
        <f t="shared" si="39"/>
        <v>251</v>
      </c>
      <c r="D199" s="397" t="e">
        <f>INDEX('Monthly Cash Flow'!$L$137:$GT$137, MATCH(C199, 'Monthly Cash Flow'!$L$13:$GT$13, 0))</f>
        <v>#N/A</v>
      </c>
      <c r="E199" s="397">
        <f t="shared" ca="1" si="32"/>
        <v>0</v>
      </c>
      <c r="F199" s="397" t="e">
        <f t="shared" si="42"/>
        <v>#N/A</v>
      </c>
      <c r="G199" s="397" t="e">
        <f t="shared" ca="1" si="43"/>
        <v>#N/A</v>
      </c>
      <c r="H199" s="398" t="e">
        <f t="shared" ca="1" si="44"/>
        <v>#N/A</v>
      </c>
      <c r="I199" s="399">
        <f>MAX($J$5, INDEX(LIBOR!$M$3:$M$122,MATCH(B199,LIBOR!$N$3:$N$122)))</f>
        <v>3.2809699999999997E-2</v>
      </c>
      <c r="J199" s="400">
        <f t="shared" si="45"/>
        <v>8.5309699999999988E-2</v>
      </c>
      <c r="L199" s="392">
        <f t="shared" si="40"/>
        <v>50191</v>
      </c>
      <c r="M199" s="357">
        <f t="shared" si="41"/>
        <v>251</v>
      </c>
      <c r="N199" s="397">
        <v>5096.2869183759549</v>
      </c>
      <c r="O199" s="397">
        <f t="shared" si="33"/>
        <v>0</v>
      </c>
      <c r="P199" s="397">
        <f t="shared" si="35"/>
        <v>34.743808658855109</v>
      </c>
      <c r="Q199" s="397">
        <f t="shared" si="34"/>
        <v>-34.743808658855109</v>
      </c>
      <c r="R199" s="398">
        <f t="shared" si="36"/>
        <v>5131.0307270348103</v>
      </c>
      <c r="S199" s="399">
        <f>INDEX(LIBOR!$M$3:$M$122,MATCH(L199,LIBOR!$N$3:$N$122))</f>
        <v>3.2809699999999997E-2</v>
      </c>
      <c r="T199" s="400">
        <f t="shared" si="37"/>
        <v>8.1809699999999999E-2</v>
      </c>
    </row>
    <row r="200" spans="2:20">
      <c r="B200" s="396">
        <f t="shared" si="38"/>
        <v>50221</v>
      </c>
      <c r="C200" s="357">
        <f t="shared" si="39"/>
        <v>252</v>
      </c>
      <c r="D200" s="397" t="e">
        <f>INDEX('Monthly Cash Flow'!$L$137:$GT$137, MATCH(C200, 'Monthly Cash Flow'!$L$13:$GT$13, 0))</f>
        <v>#N/A</v>
      </c>
      <c r="E200" s="397">
        <f t="shared" ca="1" si="32"/>
        <v>0</v>
      </c>
      <c r="F200" s="397" t="e">
        <f t="shared" si="42"/>
        <v>#N/A</v>
      </c>
      <c r="G200" s="397" t="e">
        <f t="shared" ca="1" si="43"/>
        <v>#N/A</v>
      </c>
      <c r="H200" s="398" t="e">
        <f t="shared" ca="1" si="44"/>
        <v>#N/A</v>
      </c>
      <c r="I200" s="399">
        <f>MAX($J$5, INDEX(LIBOR!$M$3:$M$122,MATCH(B200,LIBOR!$N$3:$N$122)))</f>
        <v>3.2809699999999997E-2</v>
      </c>
      <c r="J200" s="400">
        <f t="shared" si="45"/>
        <v>8.5309699999999988E-2</v>
      </c>
      <c r="L200" s="392">
        <f t="shared" si="40"/>
        <v>50221</v>
      </c>
      <c r="M200" s="357">
        <f t="shared" si="41"/>
        <v>252</v>
      </c>
      <c r="N200" s="397">
        <v>5076.1134280696651</v>
      </c>
      <c r="O200" s="397">
        <f t="shared" si="33"/>
        <v>0</v>
      </c>
      <c r="P200" s="397">
        <f t="shared" si="35"/>
        <v>34.606276393029241</v>
      </c>
      <c r="Q200" s="397">
        <f t="shared" si="34"/>
        <v>-34.606276393029241</v>
      </c>
      <c r="R200" s="398">
        <f t="shared" si="36"/>
        <v>5110.7197044626946</v>
      </c>
      <c r="S200" s="399">
        <f>INDEX(LIBOR!$M$3:$M$122,MATCH(L200,LIBOR!$N$3:$N$122))</f>
        <v>3.2809699999999997E-2</v>
      </c>
      <c r="T200" s="400">
        <f t="shared" si="37"/>
        <v>8.1809699999999999E-2</v>
      </c>
    </row>
    <row r="201" spans="2:20">
      <c r="B201" s="396">
        <f t="shared" si="38"/>
        <v>50252</v>
      </c>
      <c r="C201" s="357">
        <f t="shared" si="39"/>
        <v>253</v>
      </c>
      <c r="D201" s="397" t="e">
        <f>INDEX('Monthly Cash Flow'!$L$137:$GT$137, MATCH(C201, 'Monthly Cash Flow'!$L$13:$GT$13, 0))</f>
        <v>#N/A</v>
      </c>
      <c r="E201" s="397">
        <f t="shared" ref="E201:E264" ca="1" si="46">-PMT(J201/12,$E$2*12,$D$9,)</f>
        <v>0</v>
      </c>
      <c r="F201" s="397" t="e">
        <f t="shared" si="42"/>
        <v>#N/A</v>
      </c>
      <c r="G201" s="397" t="e">
        <f t="shared" ca="1" si="43"/>
        <v>#N/A</v>
      </c>
      <c r="H201" s="398" t="e">
        <f t="shared" ca="1" si="44"/>
        <v>#N/A</v>
      </c>
      <c r="I201" s="399">
        <f>MAX($J$5, INDEX(LIBOR!$M$3:$M$122,MATCH(B201,LIBOR!$N$3:$N$122)))</f>
        <v>3.2809699999999997E-2</v>
      </c>
      <c r="J201" s="400">
        <f t="shared" si="45"/>
        <v>8.5309699999999988E-2</v>
      </c>
      <c r="L201" s="392">
        <f t="shared" si="40"/>
        <v>50252</v>
      </c>
      <c r="M201" s="357">
        <f t="shared" si="41"/>
        <v>253</v>
      </c>
      <c r="N201" s="397">
        <v>5055.8480520540652</v>
      </c>
      <c r="O201" s="397">
        <f t="shared" ref="O201:O264" si="47">-PMT(T201/12,$O$2*12,$N$9,)</f>
        <v>0</v>
      </c>
      <c r="P201" s="397">
        <f t="shared" si="35"/>
        <v>34.46811769867729</v>
      </c>
      <c r="Q201" s="397">
        <f t="shared" ref="Q201:Q264" si="48">+O201-P201</f>
        <v>-34.46811769867729</v>
      </c>
      <c r="R201" s="398">
        <f t="shared" si="36"/>
        <v>5090.3161697527421</v>
      </c>
      <c r="S201" s="399">
        <f>INDEX(LIBOR!$M$3:$M$122,MATCH(L201,LIBOR!$N$3:$N$122))</f>
        <v>3.2809699999999997E-2</v>
      </c>
      <c r="T201" s="400">
        <f t="shared" si="37"/>
        <v>8.1809699999999999E-2</v>
      </c>
    </row>
    <row r="202" spans="2:20">
      <c r="B202" s="396">
        <f t="shared" si="38"/>
        <v>50283</v>
      </c>
      <c r="C202" s="357">
        <f t="shared" si="39"/>
        <v>254</v>
      </c>
      <c r="D202" s="397" t="e">
        <f>INDEX('Monthly Cash Flow'!$L$137:$GT$137, MATCH(C202, 'Monthly Cash Flow'!$L$13:$GT$13, 0))</f>
        <v>#N/A</v>
      </c>
      <c r="E202" s="397">
        <f t="shared" ca="1" si="46"/>
        <v>0</v>
      </c>
      <c r="F202" s="397" t="e">
        <f t="shared" si="42"/>
        <v>#N/A</v>
      </c>
      <c r="G202" s="397" t="e">
        <f t="shared" ca="1" si="43"/>
        <v>#N/A</v>
      </c>
      <c r="H202" s="398" t="e">
        <f t="shared" ca="1" si="44"/>
        <v>#N/A</v>
      </c>
      <c r="I202" s="399">
        <f>MAX($J$5, INDEX(LIBOR!$M$3:$M$122,MATCH(B202,LIBOR!$N$3:$N$122)))</f>
        <v>3.2809699999999997E-2</v>
      </c>
      <c r="J202" s="400">
        <f t="shared" si="45"/>
        <v>8.5309699999999988E-2</v>
      </c>
      <c r="L202" s="392">
        <f t="shared" si="40"/>
        <v>50283</v>
      </c>
      <c r="M202" s="357">
        <f t="shared" si="41"/>
        <v>254</v>
      </c>
      <c r="N202" s="397">
        <v>5035.4903718104242</v>
      </c>
      <c r="O202" s="397">
        <f t="shared" si="47"/>
        <v>0</v>
      </c>
      <c r="P202" s="397">
        <f t="shared" ref="P202:P265" si="49">N202*T202/12</f>
        <v>34.329329722558271</v>
      </c>
      <c r="Q202" s="397">
        <f t="shared" si="48"/>
        <v>-34.329329722558271</v>
      </c>
      <c r="R202" s="398">
        <f t="shared" ref="R202:R265" si="50">+N202-Q202</f>
        <v>5069.8197015329824</v>
      </c>
      <c r="S202" s="399">
        <f>INDEX(LIBOR!$M$3:$M$122,MATCH(L202,LIBOR!$N$3:$N$122))</f>
        <v>3.2809699999999997E-2</v>
      </c>
      <c r="T202" s="400">
        <f t="shared" ref="T202:T265" si="51">IF($S$2=1,S202+$T$4/10000,$T$3)</f>
        <v>8.1809699999999999E-2</v>
      </c>
    </row>
    <row r="203" spans="2:20">
      <c r="B203" s="396">
        <f t="shared" ref="B203:B266" si="52">EOMONTH(B202,1)</f>
        <v>50313</v>
      </c>
      <c r="C203" s="357">
        <f t="shared" ref="C203:C266" si="53">+C202+1</f>
        <v>255</v>
      </c>
      <c r="D203" s="397" t="e">
        <f>INDEX('Monthly Cash Flow'!$L$137:$GT$137, MATCH(C203, 'Monthly Cash Flow'!$L$13:$GT$13, 0))</f>
        <v>#N/A</v>
      </c>
      <c r="E203" s="397">
        <f t="shared" ca="1" si="46"/>
        <v>0</v>
      </c>
      <c r="F203" s="397" t="e">
        <f t="shared" si="42"/>
        <v>#N/A</v>
      </c>
      <c r="G203" s="397" t="e">
        <f t="shared" ca="1" si="43"/>
        <v>#N/A</v>
      </c>
      <c r="H203" s="398" t="e">
        <f t="shared" ca="1" si="44"/>
        <v>#N/A</v>
      </c>
      <c r="I203" s="399">
        <f>MAX($J$5, INDEX(LIBOR!$M$3:$M$122,MATCH(B203,LIBOR!$N$3:$N$122)))</f>
        <v>3.2809699999999997E-2</v>
      </c>
      <c r="J203" s="400">
        <f t="shared" si="45"/>
        <v>8.5309699999999988E-2</v>
      </c>
      <c r="L203" s="392">
        <f t="shared" ref="L203:L266" si="54">EOMONTH(L202,1)</f>
        <v>50313</v>
      </c>
      <c r="M203" s="357">
        <f t="shared" ref="M203:M266" si="55">+M202+1</f>
        <v>255</v>
      </c>
      <c r="N203" s="397">
        <v>5015.0399669137514</v>
      </c>
      <c r="O203" s="397">
        <f t="shared" si="47"/>
        <v>0</v>
      </c>
      <c r="P203" s="397">
        <f t="shared" si="49"/>
        <v>34.189909598435328</v>
      </c>
      <c r="Q203" s="397">
        <f t="shared" si="48"/>
        <v>-34.189909598435328</v>
      </c>
      <c r="R203" s="398">
        <f t="shared" si="50"/>
        <v>5049.2298765121868</v>
      </c>
      <c r="S203" s="399">
        <f>INDEX(LIBOR!$M$3:$M$122,MATCH(L203,LIBOR!$N$3:$N$122))</f>
        <v>3.2809699999999997E-2</v>
      </c>
      <c r="T203" s="400">
        <f t="shared" si="51"/>
        <v>8.1809699999999999E-2</v>
      </c>
    </row>
    <row r="204" spans="2:20">
      <c r="B204" s="396">
        <f t="shared" si="52"/>
        <v>50344</v>
      </c>
      <c r="C204" s="357">
        <f t="shared" si="53"/>
        <v>256</v>
      </c>
      <c r="D204" s="397" t="e">
        <f>INDEX('Monthly Cash Flow'!$L$137:$GT$137, MATCH(C204, 'Monthly Cash Flow'!$L$13:$GT$13, 0))</f>
        <v>#N/A</v>
      </c>
      <c r="E204" s="397">
        <f t="shared" ca="1" si="46"/>
        <v>0</v>
      </c>
      <c r="F204" s="397" t="e">
        <f t="shared" si="42"/>
        <v>#N/A</v>
      </c>
      <c r="G204" s="397" t="e">
        <f t="shared" ca="1" si="43"/>
        <v>#N/A</v>
      </c>
      <c r="H204" s="398" t="e">
        <f t="shared" ca="1" si="44"/>
        <v>#N/A</v>
      </c>
      <c r="I204" s="399">
        <f>MAX($J$5, INDEX(LIBOR!$M$3:$M$122,MATCH(B204,LIBOR!$N$3:$N$122)))</f>
        <v>3.2809699999999997E-2</v>
      </c>
      <c r="J204" s="400">
        <f t="shared" si="45"/>
        <v>8.5309699999999988E-2</v>
      </c>
      <c r="L204" s="392">
        <f t="shared" si="54"/>
        <v>50344</v>
      </c>
      <c r="M204" s="357">
        <f t="shared" si="55"/>
        <v>256</v>
      </c>
      <c r="N204" s="397">
        <v>4994.4964150241149</v>
      </c>
      <c r="O204" s="397">
        <f t="shared" si="47"/>
        <v>0</v>
      </c>
      <c r="P204" s="397">
        <f t="shared" si="49"/>
        <v>34.049854447016529</v>
      </c>
      <c r="Q204" s="397">
        <f t="shared" si="48"/>
        <v>-34.049854447016529</v>
      </c>
      <c r="R204" s="398">
        <f t="shared" si="50"/>
        <v>5028.5462694711314</v>
      </c>
      <c r="S204" s="399">
        <f>INDEX(LIBOR!$M$3:$M$122,MATCH(L204,LIBOR!$N$3:$N$122))</f>
        <v>3.2809699999999997E-2</v>
      </c>
      <c r="T204" s="400">
        <f t="shared" si="51"/>
        <v>8.1809699999999999E-2</v>
      </c>
    </row>
    <row r="205" spans="2:20">
      <c r="B205" s="396">
        <f t="shared" si="52"/>
        <v>50374</v>
      </c>
      <c r="C205" s="357">
        <f t="shared" si="53"/>
        <v>257</v>
      </c>
      <c r="D205" s="397" t="e">
        <f>INDEX('Monthly Cash Flow'!$L$137:$GT$137, MATCH(C205, 'Monthly Cash Flow'!$L$13:$GT$13, 0))</f>
        <v>#N/A</v>
      </c>
      <c r="E205" s="397">
        <f t="shared" ca="1" si="46"/>
        <v>0</v>
      </c>
      <c r="F205" s="397" t="e">
        <f t="shared" si="42"/>
        <v>#N/A</v>
      </c>
      <c r="G205" s="397" t="e">
        <f t="shared" ca="1" si="43"/>
        <v>#N/A</v>
      </c>
      <c r="H205" s="398" t="e">
        <f t="shared" ca="1" si="44"/>
        <v>#N/A</v>
      </c>
      <c r="I205" s="399">
        <f>MAX($J$5, INDEX(LIBOR!$M$3:$M$122,MATCH(B205,LIBOR!$N$3:$N$122)))</f>
        <v>3.2809699999999997E-2</v>
      </c>
      <c r="J205" s="400">
        <f t="shared" si="45"/>
        <v>8.5309699999999988E-2</v>
      </c>
      <c r="L205" s="392">
        <f t="shared" si="54"/>
        <v>50374</v>
      </c>
      <c r="M205" s="357">
        <f t="shared" si="55"/>
        <v>257</v>
      </c>
      <c r="N205" s="397">
        <v>4973.8592918779204</v>
      </c>
      <c r="O205" s="397">
        <f t="shared" si="47"/>
        <v>0</v>
      </c>
      <c r="P205" s="397">
        <f t="shared" si="49"/>
        <v>33.90916137589543</v>
      </c>
      <c r="Q205" s="397">
        <f t="shared" si="48"/>
        <v>-33.90916137589543</v>
      </c>
      <c r="R205" s="398">
        <f t="shared" si="50"/>
        <v>5007.768453253816</v>
      </c>
      <c r="S205" s="399">
        <f>INDEX(LIBOR!$M$3:$M$122,MATCH(L205,LIBOR!$N$3:$N$122))</f>
        <v>3.2809699999999997E-2</v>
      </c>
      <c r="T205" s="400">
        <f t="shared" si="51"/>
        <v>8.1809699999999999E-2</v>
      </c>
    </row>
    <row r="206" spans="2:20">
      <c r="B206" s="396">
        <f t="shared" si="52"/>
        <v>50405</v>
      </c>
      <c r="C206" s="357">
        <f t="shared" si="53"/>
        <v>258</v>
      </c>
      <c r="D206" s="397" t="e">
        <f>INDEX('Monthly Cash Flow'!$L$137:$GT$137, MATCH(C206, 'Monthly Cash Flow'!$L$13:$GT$13, 0))</f>
        <v>#N/A</v>
      </c>
      <c r="E206" s="397">
        <f t="shared" ca="1" si="46"/>
        <v>0</v>
      </c>
      <c r="F206" s="397" t="e">
        <f t="shared" si="42"/>
        <v>#N/A</v>
      </c>
      <c r="G206" s="397" t="e">
        <f t="shared" ca="1" si="43"/>
        <v>#N/A</v>
      </c>
      <c r="H206" s="398" t="e">
        <f t="shared" ca="1" si="44"/>
        <v>#N/A</v>
      </c>
      <c r="I206" s="399">
        <f>MAX($J$5, INDEX(LIBOR!$M$3:$M$122,MATCH(B206,LIBOR!$N$3:$N$122)))</f>
        <v>3.2809699999999997E-2</v>
      </c>
      <c r="J206" s="400">
        <f t="shared" si="45"/>
        <v>8.5309699999999988E-2</v>
      </c>
      <c r="L206" s="392">
        <f t="shared" si="54"/>
        <v>50405</v>
      </c>
      <c r="M206" s="357">
        <f t="shared" si="55"/>
        <v>258</v>
      </c>
      <c r="N206" s="397">
        <v>4953.1281712791479</v>
      </c>
      <c r="O206" s="397">
        <f t="shared" si="47"/>
        <v>0</v>
      </c>
      <c r="P206" s="397">
        <f t="shared" si="49"/>
        <v>33.767827479491309</v>
      </c>
      <c r="Q206" s="397">
        <f t="shared" si="48"/>
        <v>-33.767827479491309</v>
      </c>
      <c r="R206" s="398">
        <f t="shared" si="50"/>
        <v>4986.8959987586395</v>
      </c>
      <c r="S206" s="399">
        <f>INDEX(LIBOR!$M$3:$M$122,MATCH(L206,LIBOR!$N$3:$N$122))</f>
        <v>3.2809699999999997E-2</v>
      </c>
      <c r="T206" s="400">
        <f t="shared" si="51"/>
        <v>8.1809699999999999E-2</v>
      </c>
    </row>
    <row r="207" spans="2:20">
      <c r="B207" s="396">
        <f t="shared" si="52"/>
        <v>50436</v>
      </c>
      <c r="C207" s="357">
        <f t="shared" si="53"/>
        <v>259</v>
      </c>
      <c r="D207" s="397" t="e">
        <f>INDEX('Monthly Cash Flow'!$L$137:$GT$137, MATCH(C207, 'Monthly Cash Flow'!$L$13:$GT$13, 0))</f>
        <v>#N/A</v>
      </c>
      <c r="E207" s="397">
        <f t="shared" ca="1" si="46"/>
        <v>0</v>
      </c>
      <c r="F207" s="397" t="e">
        <f t="shared" si="42"/>
        <v>#N/A</v>
      </c>
      <c r="G207" s="397" t="e">
        <f t="shared" ca="1" si="43"/>
        <v>#N/A</v>
      </c>
      <c r="H207" s="398" t="e">
        <f t="shared" ca="1" si="44"/>
        <v>#N/A</v>
      </c>
      <c r="I207" s="399">
        <f>MAX($J$5, INDEX(LIBOR!$M$3:$M$122,MATCH(B207,LIBOR!$N$3:$N$122)))</f>
        <v>3.2809699999999997E-2</v>
      </c>
      <c r="J207" s="400">
        <f t="shared" si="45"/>
        <v>8.5309699999999988E-2</v>
      </c>
      <c r="L207" s="392">
        <f t="shared" si="54"/>
        <v>50436</v>
      </c>
      <c r="M207" s="357">
        <f t="shared" si="55"/>
        <v>259</v>
      </c>
      <c r="N207" s="397">
        <v>4932.3026250905505</v>
      </c>
      <c r="O207" s="397">
        <f t="shared" si="47"/>
        <v>0</v>
      </c>
      <c r="P207" s="397">
        <f t="shared" si="49"/>
        <v>33.625849838989204</v>
      </c>
      <c r="Q207" s="397">
        <f t="shared" si="48"/>
        <v>-33.625849838989204</v>
      </c>
      <c r="R207" s="398">
        <f t="shared" si="50"/>
        <v>4965.9284749295393</v>
      </c>
      <c r="S207" s="399">
        <f>INDEX(LIBOR!$M$3:$M$122,MATCH(L207,LIBOR!$N$3:$N$122))</f>
        <v>3.2809699999999997E-2</v>
      </c>
      <c r="T207" s="400">
        <f t="shared" si="51"/>
        <v>8.1809699999999999E-2</v>
      </c>
    </row>
    <row r="208" spans="2:20">
      <c r="B208" s="396">
        <f t="shared" si="52"/>
        <v>50464</v>
      </c>
      <c r="C208" s="357">
        <f t="shared" si="53"/>
        <v>260</v>
      </c>
      <c r="D208" s="397" t="e">
        <f>INDEX('Monthly Cash Flow'!$L$137:$GT$137, MATCH(C208, 'Monthly Cash Flow'!$L$13:$GT$13, 0))</f>
        <v>#N/A</v>
      </c>
      <c r="E208" s="397">
        <f t="shared" ca="1" si="46"/>
        <v>0</v>
      </c>
      <c r="F208" s="397" t="e">
        <f t="shared" si="42"/>
        <v>#N/A</v>
      </c>
      <c r="G208" s="397" t="e">
        <f t="shared" ca="1" si="43"/>
        <v>#N/A</v>
      </c>
      <c r="H208" s="398" t="e">
        <f t="shared" ca="1" si="44"/>
        <v>#N/A</v>
      </c>
      <c r="I208" s="399">
        <f>MAX($J$5, INDEX(LIBOR!$M$3:$M$122,MATCH(B208,LIBOR!$N$3:$N$122)))</f>
        <v>3.2809699999999997E-2</v>
      </c>
      <c r="J208" s="400">
        <f t="shared" si="45"/>
        <v>8.5309699999999988E-2</v>
      </c>
      <c r="L208" s="392">
        <f t="shared" si="54"/>
        <v>50464</v>
      </c>
      <c r="M208" s="357">
        <f t="shared" si="55"/>
        <v>260</v>
      </c>
      <c r="N208" s="397">
        <v>4911.3822232248112</v>
      </c>
      <c r="O208" s="397">
        <f t="shared" si="47"/>
        <v>0</v>
      </c>
      <c r="P208" s="397">
        <f t="shared" si="49"/>
        <v>33.483225522279568</v>
      </c>
      <c r="Q208" s="397">
        <f t="shared" si="48"/>
        <v>-33.483225522279568</v>
      </c>
      <c r="R208" s="398">
        <f t="shared" si="50"/>
        <v>4944.8654487470912</v>
      </c>
      <c r="S208" s="399">
        <f>INDEX(LIBOR!$M$3:$M$122,MATCH(L208,LIBOR!$N$3:$N$122))</f>
        <v>3.2809699999999997E-2</v>
      </c>
      <c r="T208" s="400">
        <f t="shared" si="51"/>
        <v>8.1809699999999999E-2</v>
      </c>
    </row>
    <row r="209" spans="2:20">
      <c r="B209" s="396">
        <f t="shared" si="52"/>
        <v>50495</v>
      </c>
      <c r="C209" s="357">
        <f t="shared" si="53"/>
        <v>261</v>
      </c>
      <c r="D209" s="397" t="e">
        <f>INDEX('Monthly Cash Flow'!$L$137:$GT$137, MATCH(C209, 'Monthly Cash Flow'!$L$13:$GT$13, 0))</f>
        <v>#N/A</v>
      </c>
      <c r="E209" s="397">
        <f t="shared" ca="1" si="46"/>
        <v>0</v>
      </c>
      <c r="F209" s="397" t="e">
        <f t="shared" si="42"/>
        <v>#N/A</v>
      </c>
      <c r="G209" s="397" t="e">
        <f t="shared" ca="1" si="43"/>
        <v>#N/A</v>
      </c>
      <c r="H209" s="398" t="e">
        <f t="shared" ca="1" si="44"/>
        <v>#N/A</v>
      </c>
      <c r="I209" s="399">
        <f>MAX($J$5, INDEX(LIBOR!$M$3:$M$122,MATCH(B209,LIBOR!$N$3:$N$122)))</f>
        <v>3.2809699999999997E-2</v>
      </c>
      <c r="J209" s="400">
        <f t="shared" si="45"/>
        <v>8.5309699999999988E-2</v>
      </c>
      <c r="L209" s="392">
        <f t="shared" si="54"/>
        <v>50495</v>
      </c>
      <c r="M209" s="357">
        <f t="shared" si="55"/>
        <v>261</v>
      </c>
      <c r="N209" s="397">
        <v>4890.3665336356644</v>
      </c>
      <c r="O209" s="397">
        <f t="shared" si="47"/>
        <v>0</v>
      </c>
      <c r="P209" s="397">
        <f t="shared" si="49"/>
        <v>33.3399515838978</v>
      </c>
      <c r="Q209" s="397">
        <f t="shared" si="48"/>
        <v>-33.3399515838978</v>
      </c>
      <c r="R209" s="398">
        <f t="shared" si="50"/>
        <v>4923.7064852195617</v>
      </c>
      <c r="S209" s="399">
        <f>INDEX(LIBOR!$M$3:$M$122,MATCH(L209,LIBOR!$N$3:$N$122))</f>
        <v>3.2809699999999997E-2</v>
      </c>
      <c r="T209" s="400">
        <f t="shared" si="51"/>
        <v>8.1809699999999999E-2</v>
      </c>
    </row>
    <row r="210" spans="2:20">
      <c r="B210" s="396">
        <f t="shared" si="52"/>
        <v>50525</v>
      </c>
      <c r="C210" s="357">
        <f t="shared" si="53"/>
        <v>262</v>
      </c>
      <c r="D210" s="397" t="e">
        <f>INDEX('Monthly Cash Flow'!$L$137:$GT$137, MATCH(C210, 'Monthly Cash Flow'!$L$13:$GT$13, 0))</f>
        <v>#N/A</v>
      </c>
      <c r="E210" s="397">
        <f t="shared" ca="1" si="46"/>
        <v>0</v>
      </c>
      <c r="F210" s="397" t="e">
        <f t="shared" si="42"/>
        <v>#N/A</v>
      </c>
      <c r="G210" s="397" t="e">
        <f t="shared" ca="1" si="43"/>
        <v>#N/A</v>
      </c>
      <c r="H210" s="398" t="e">
        <f t="shared" ca="1" si="44"/>
        <v>#N/A</v>
      </c>
      <c r="I210" s="399">
        <f>MAX($J$5, INDEX(LIBOR!$M$3:$M$122,MATCH(B210,LIBOR!$N$3:$N$122)))</f>
        <v>3.2809699999999997E-2</v>
      </c>
      <c r="J210" s="400">
        <f t="shared" si="45"/>
        <v>8.5309699999999988E-2</v>
      </c>
      <c r="L210" s="392">
        <f t="shared" si="54"/>
        <v>50525</v>
      </c>
      <c r="M210" s="357">
        <f t="shared" si="55"/>
        <v>262</v>
      </c>
      <c r="N210" s="397">
        <v>4869.2551223089686</v>
      </c>
      <c r="O210" s="397">
        <f t="shared" si="47"/>
        <v>0</v>
      </c>
      <c r="P210" s="397">
        <f t="shared" si="49"/>
        <v>33.196025064963337</v>
      </c>
      <c r="Q210" s="397">
        <f t="shared" si="48"/>
        <v>-33.196025064963337</v>
      </c>
      <c r="R210" s="398">
        <f t="shared" si="50"/>
        <v>4902.4511473739321</v>
      </c>
      <c r="S210" s="399">
        <f>INDEX(LIBOR!$M$3:$M$122,MATCH(L210,LIBOR!$N$3:$N$122))</f>
        <v>3.2809699999999997E-2</v>
      </c>
      <c r="T210" s="400">
        <f t="shared" si="51"/>
        <v>8.1809699999999999E-2</v>
      </c>
    </row>
    <row r="211" spans="2:20">
      <c r="B211" s="396">
        <f t="shared" si="52"/>
        <v>50556</v>
      </c>
      <c r="C211" s="357">
        <f t="shared" si="53"/>
        <v>263</v>
      </c>
      <c r="D211" s="397" t="e">
        <f>INDEX('Monthly Cash Flow'!$L$137:$GT$137, MATCH(C211, 'Monthly Cash Flow'!$L$13:$GT$13, 0))</f>
        <v>#N/A</v>
      </c>
      <c r="E211" s="397">
        <f t="shared" ca="1" si="46"/>
        <v>0</v>
      </c>
      <c r="F211" s="397" t="e">
        <f t="shared" si="42"/>
        <v>#N/A</v>
      </c>
      <c r="G211" s="397" t="e">
        <f t="shared" ca="1" si="43"/>
        <v>#N/A</v>
      </c>
      <c r="H211" s="398" t="e">
        <f t="shared" ca="1" si="44"/>
        <v>#N/A</v>
      </c>
      <c r="I211" s="399">
        <f>MAX($J$5, INDEX(LIBOR!$M$3:$M$122,MATCH(B211,LIBOR!$N$3:$N$122)))</f>
        <v>3.2809699999999997E-2</v>
      </c>
      <c r="J211" s="400">
        <f t="shared" si="45"/>
        <v>8.5309699999999988E-2</v>
      </c>
      <c r="L211" s="392">
        <f t="shared" si="54"/>
        <v>50556</v>
      </c>
      <c r="M211" s="357">
        <f t="shared" si="55"/>
        <v>263</v>
      </c>
      <c r="N211" s="397">
        <v>4848.0475532537475</v>
      </c>
      <c r="O211" s="397">
        <f t="shared" si="47"/>
        <v>0</v>
      </c>
      <c r="P211" s="397">
        <f t="shared" si="49"/>
        <v>33.051442993118592</v>
      </c>
      <c r="Q211" s="397">
        <f t="shared" si="48"/>
        <v>-33.051442993118592</v>
      </c>
      <c r="R211" s="398">
        <f t="shared" si="50"/>
        <v>4881.0989962468657</v>
      </c>
      <c r="S211" s="399">
        <f>INDEX(LIBOR!$M$3:$M$122,MATCH(L211,LIBOR!$N$3:$N$122))</f>
        <v>3.2809699999999997E-2</v>
      </c>
      <c r="T211" s="400">
        <f t="shared" si="51"/>
        <v>8.1809699999999999E-2</v>
      </c>
    </row>
    <row r="212" spans="2:20">
      <c r="B212" s="396">
        <f t="shared" si="52"/>
        <v>50586</v>
      </c>
      <c r="C212" s="357">
        <f t="shared" si="53"/>
        <v>264</v>
      </c>
      <c r="D212" s="397" t="e">
        <f>INDEX('Monthly Cash Flow'!$L$137:$GT$137, MATCH(C212, 'Monthly Cash Flow'!$L$13:$GT$13, 0))</f>
        <v>#N/A</v>
      </c>
      <c r="E212" s="397">
        <f t="shared" ca="1" si="46"/>
        <v>0</v>
      </c>
      <c r="F212" s="397" t="e">
        <f t="shared" si="42"/>
        <v>#N/A</v>
      </c>
      <c r="G212" s="397" t="e">
        <f t="shared" ca="1" si="43"/>
        <v>#N/A</v>
      </c>
      <c r="H212" s="398" t="e">
        <f t="shared" ca="1" si="44"/>
        <v>#N/A</v>
      </c>
      <c r="I212" s="399">
        <f>MAX($J$5, INDEX(LIBOR!$M$3:$M$122,MATCH(B212,LIBOR!$N$3:$N$122)))</f>
        <v>3.2809699999999997E-2</v>
      </c>
      <c r="J212" s="400">
        <f t="shared" si="45"/>
        <v>8.5309699999999988E-2</v>
      </c>
      <c r="L212" s="392">
        <f t="shared" si="54"/>
        <v>50586</v>
      </c>
      <c r="M212" s="357">
        <f t="shared" si="55"/>
        <v>264</v>
      </c>
      <c r="N212" s="397">
        <v>4826.7433884931834</v>
      </c>
      <c r="O212" s="397">
        <f t="shared" si="47"/>
        <v>0</v>
      </c>
      <c r="P212" s="397">
        <f t="shared" si="49"/>
        <v>32.906202382467562</v>
      </c>
      <c r="Q212" s="397">
        <f t="shared" si="48"/>
        <v>-32.906202382467562</v>
      </c>
      <c r="R212" s="398">
        <f t="shared" si="50"/>
        <v>4859.6495908756506</v>
      </c>
      <c r="S212" s="399">
        <f>INDEX(LIBOR!$M$3:$M$122,MATCH(L212,LIBOR!$N$3:$N$122))</f>
        <v>3.2809699999999997E-2</v>
      </c>
      <c r="T212" s="400">
        <f t="shared" si="51"/>
        <v>8.1809699999999999E-2</v>
      </c>
    </row>
    <row r="213" spans="2:20">
      <c r="B213" s="396">
        <f t="shared" si="52"/>
        <v>50617</v>
      </c>
      <c r="C213" s="357">
        <f t="shared" si="53"/>
        <v>265</v>
      </c>
      <c r="D213" s="397" t="e">
        <f>INDEX('Monthly Cash Flow'!$L$137:$GT$137, MATCH(C213, 'Monthly Cash Flow'!$L$13:$GT$13, 0))</f>
        <v>#N/A</v>
      </c>
      <c r="E213" s="397">
        <f t="shared" ca="1" si="46"/>
        <v>0</v>
      </c>
      <c r="F213" s="397" t="e">
        <f t="shared" si="42"/>
        <v>#N/A</v>
      </c>
      <c r="G213" s="397" t="e">
        <f t="shared" ca="1" si="43"/>
        <v>#N/A</v>
      </c>
      <c r="H213" s="398" t="e">
        <f t="shared" ca="1" si="44"/>
        <v>#N/A</v>
      </c>
      <c r="I213" s="399">
        <f>MAX($J$5, INDEX(LIBOR!$M$3:$M$122,MATCH(B213,LIBOR!$N$3:$N$122)))</f>
        <v>3.2809699999999997E-2</v>
      </c>
      <c r="J213" s="400">
        <f t="shared" si="45"/>
        <v>8.5309699999999988E-2</v>
      </c>
      <c r="L213" s="392">
        <f t="shared" si="54"/>
        <v>50617</v>
      </c>
      <c r="M213" s="357">
        <f t="shared" si="55"/>
        <v>265</v>
      </c>
      <c r="N213" s="397">
        <v>4805.3421880555716</v>
      </c>
      <c r="O213" s="397">
        <f t="shared" si="47"/>
        <v>0</v>
      </c>
      <c r="P213" s="397">
        <f t="shared" si="49"/>
        <v>32.760300233514158</v>
      </c>
      <c r="Q213" s="397">
        <f t="shared" si="48"/>
        <v>-32.760300233514158</v>
      </c>
      <c r="R213" s="398">
        <f t="shared" si="50"/>
        <v>4838.1024882890861</v>
      </c>
      <c r="S213" s="399">
        <f>INDEX(LIBOR!$M$3:$M$122,MATCH(L213,LIBOR!$N$3:$N$122))</f>
        <v>3.2809699999999997E-2</v>
      </c>
      <c r="T213" s="400">
        <f t="shared" si="51"/>
        <v>8.1809699999999999E-2</v>
      </c>
    </row>
    <row r="214" spans="2:20">
      <c r="B214" s="396">
        <f t="shared" si="52"/>
        <v>50648</v>
      </c>
      <c r="C214" s="357">
        <f t="shared" si="53"/>
        <v>266</v>
      </c>
      <c r="D214" s="397" t="e">
        <f>INDEX('Monthly Cash Flow'!$L$137:$GT$137, MATCH(C214, 'Monthly Cash Flow'!$L$13:$GT$13, 0))</f>
        <v>#N/A</v>
      </c>
      <c r="E214" s="397">
        <f t="shared" ca="1" si="46"/>
        <v>0</v>
      </c>
      <c r="F214" s="397" t="e">
        <f t="shared" si="42"/>
        <v>#N/A</v>
      </c>
      <c r="G214" s="397" t="e">
        <f t="shared" ca="1" si="43"/>
        <v>#N/A</v>
      </c>
      <c r="H214" s="398" t="e">
        <f t="shared" ca="1" si="44"/>
        <v>#N/A</v>
      </c>
      <c r="I214" s="399">
        <f>MAX($J$5, INDEX(LIBOR!$M$3:$M$122,MATCH(B214,LIBOR!$N$3:$N$122)))</f>
        <v>3.2809699999999997E-2</v>
      </c>
      <c r="J214" s="400">
        <f t="shared" si="45"/>
        <v>8.5309699999999988E-2</v>
      </c>
      <c r="L214" s="392">
        <f t="shared" si="54"/>
        <v>50648</v>
      </c>
      <c r="M214" s="357">
        <f t="shared" si="55"/>
        <v>266</v>
      </c>
      <c r="N214" s="397">
        <v>4783.843509965237</v>
      </c>
      <c r="O214" s="397">
        <f t="shared" si="47"/>
        <v>0</v>
      </c>
      <c r="P214" s="397">
        <f t="shared" si="49"/>
        <v>32.613733533100252</v>
      </c>
      <c r="Q214" s="397">
        <f t="shared" si="48"/>
        <v>-32.613733533100252</v>
      </c>
      <c r="R214" s="398">
        <f t="shared" si="50"/>
        <v>4816.4572434983374</v>
      </c>
      <c r="S214" s="399">
        <f>INDEX(LIBOR!$M$3:$M$122,MATCH(L214,LIBOR!$N$3:$N$122))</f>
        <v>3.2809699999999997E-2</v>
      </c>
      <c r="T214" s="400">
        <f t="shared" si="51"/>
        <v>8.1809699999999999E-2</v>
      </c>
    </row>
    <row r="215" spans="2:20">
      <c r="B215" s="396">
        <f t="shared" si="52"/>
        <v>50678</v>
      </c>
      <c r="C215" s="357">
        <f t="shared" si="53"/>
        <v>267</v>
      </c>
      <c r="D215" s="397" t="e">
        <f>INDEX('Monthly Cash Flow'!$L$137:$GT$137, MATCH(C215, 'Monthly Cash Flow'!$L$13:$GT$13, 0))</f>
        <v>#N/A</v>
      </c>
      <c r="E215" s="397">
        <f t="shared" ca="1" si="46"/>
        <v>0</v>
      </c>
      <c r="F215" s="397" t="e">
        <f t="shared" si="42"/>
        <v>#N/A</v>
      </c>
      <c r="G215" s="397" t="e">
        <f t="shared" ca="1" si="43"/>
        <v>#N/A</v>
      </c>
      <c r="H215" s="398" t="e">
        <f t="shared" ca="1" si="44"/>
        <v>#N/A</v>
      </c>
      <c r="I215" s="399">
        <f>MAX($J$5, INDEX(LIBOR!$M$3:$M$122,MATCH(B215,LIBOR!$N$3:$N$122)))</f>
        <v>3.2809699999999997E-2</v>
      </c>
      <c r="J215" s="400">
        <f t="shared" si="45"/>
        <v>8.5309699999999988E-2</v>
      </c>
      <c r="L215" s="392">
        <f t="shared" si="54"/>
        <v>50678</v>
      </c>
      <c r="M215" s="357">
        <f t="shared" si="55"/>
        <v>267</v>
      </c>
      <c r="N215" s="397">
        <v>4762.2469102334035</v>
      </c>
      <c r="O215" s="397">
        <f t="shared" si="47"/>
        <v>0</v>
      </c>
      <c r="P215" s="397">
        <f t="shared" si="49"/>
        <v>32.466499254343468</v>
      </c>
      <c r="Q215" s="397">
        <f t="shared" si="48"/>
        <v>-32.466499254343468</v>
      </c>
      <c r="R215" s="398">
        <f t="shared" si="50"/>
        <v>4794.7134094877465</v>
      </c>
      <c r="S215" s="399">
        <f>INDEX(LIBOR!$M$3:$M$122,MATCH(L215,LIBOR!$N$3:$N$122))</f>
        <v>3.2809699999999997E-2</v>
      </c>
      <c r="T215" s="400">
        <f t="shared" si="51"/>
        <v>8.1809699999999999E-2</v>
      </c>
    </row>
    <row r="216" spans="2:20">
      <c r="B216" s="396">
        <f t="shared" si="52"/>
        <v>50709</v>
      </c>
      <c r="C216" s="357">
        <f t="shared" si="53"/>
        <v>268</v>
      </c>
      <c r="D216" s="397" t="e">
        <f>INDEX('Monthly Cash Flow'!$L$137:$GT$137, MATCH(C216, 'Monthly Cash Flow'!$L$13:$GT$13, 0))</f>
        <v>#N/A</v>
      </c>
      <c r="E216" s="397">
        <f t="shared" ca="1" si="46"/>
        <v>0</v>
      </c>
      <c r="F216" s="397" t="e">
        <f t="shared" si="42"/>
        <v>#N/A</v>
      </c>
      <c r="G216" s="397" t="e">
        <f t="shared" ca="1" si="43"/>
        <v>#N/A</v>
      </c>
      <c r="H216" s="398" t="e">
        <f t="shared" ca="1" si="44"/>
        <v>#N/A</v>
      </c>
      <c r="I216" s="399">
        <f>MAX($J$5, INDEX(LIBOR!$M$3:$M$122,MATCH(B216,LIBOR!$N$3:$N$122)))</f>
        <v>3.2809699999999997E-2</v>
      </c>
      <c r="J216" s="400">
        <f t="shared" si="45"/>
        <v>8.5309699999999988E-2</v>
      </c>
      <c r="L216" s="392">
        <f t="shared" si="54"/>
        <v>50709</v>
      </c>
      <c r="M216" s="357">
        <f t="shared" si="55"/>
        <v>268</v>
      </c>
      <c r="N216" s="397">
        <v>4740.5519428490261</v>
      </c>
      <c r="O216" s="397">
        <f t="shared" si="47"/>
        <v>0</v>
      </c>
      <c r="P216" s="397">
        <f t="shared" si="49"/>
        <v>32.318594356574664</v>
      </c>
      <c r="Q216" s="397">
        <f t="shared" si="48"/>
        <v>-32.318594356574664</v>
      </c>
      <c r="R216" s="398">
        <f t="shared" si="50"/>
        <v>4772.8705372056011</v>
      </c>
      <c r="S216" s="399">
        <f>INDEX(LIBOR!$M$3:$M$122,MATCH(L216,LIBOR!$N$3:$N$122))</f>
        <v>3.2809699999999997E-2</v>
      </c>
      <c r="T216" s="400">
        <f t="shared" si="51"/>
        <v>8.1809699999999999E-2</v>
      </c>
    </row>
    <row r="217" spans="2:20">
      <c r="B217" s="396">
        <f t="shared" si="52"/>
        <v>50739</v>
      </c>
      <c r="C217" s="357">
        <f t="shared" si="53"/>
        <v>269</v>
      </c>
      <c r="D217" s="397" t="e">
        <f>INDEX('Monthly Cash Flow'!$L$137:$GT$137, MATCH(C217, 'Monthly Cash Flow'!$L$13:$GT$13, 0))</f>
        <v>#N/A</v>
      </c>
      <c r="E217" s="397">
        <f t="shared" ca="1" si="46"/>
        <v>0</v>
      </c>
      <c r="F217" s="397" t="e">
        <f t="shared" si="42"/>
        <v>#N/A</v>
      </c>
      <c r="G217" s="397" t="e">
        <f t="shared" ca="1" si="43"/>
        <v>#N/A</v>
      </c>
      <c r="H217" s="398" t="e">
        <f t="shared" ca="1" si="44"/>
        <v>#N/A</v>
      </c>
      <c r="I217" s="399">
        <f>MAX($J$5, INDEX(LIBOR!$M$3:$M$122,MATCH(B217,LIBOR!$N$3:$N$122)))</f>
        <v>3.2809699999999997E-2</v>
      </c>
      <c r="J217" s="400">
        <f t="shared" si="45"/>
        <v>8.5309699999999988E-2</v>
      </c>
      <c r="L217" s="392">
        <f t="shared" si="54"/>
        <v>50739</v>
      </c>
      <c r="M217" s="357">
        <f t="shared" si="55"/>
        <v>269</v>
      </c>
      <c r="N217" s="397">
        <v>4718.7581597695807</v>
      </c>
      <c r="O217" s="397">
        <f t="shared" si="47"/>
        <v>0</v>
      </c>
      <c r="P217" s="397">
        <f t="shared" si="49"/>
        <v>32.170015785275119</v>
      </c>
      <c r="Q217" s="397">
        <f t="shared" si="48"/>
        <v>-32.170015785275119</v>
      </c>
      <c r="R217" s="398">
        <f t="shared" si="50"/>
        <v>4750.9281755548554</v>
      </c>
      <c r="S217" s="399">
        <f>INDEX(LIBOR!$M$3:$M$122,MATCH(L217,LIBOR!$N$3:$N$122))</f>
        <v>3.2809699999999997E-2</v>
      </c>
      <c r="T217" s="400">
        <f t="shared" si="51"/>
        <v>8.1809699999999999E-2</v>
      </c>
    </row>
    <row r="218" spans="2:20">
      <c r="B218" s="396">
        <f t="shared" si="52"/>
        <v>50770</v>
      </c>
      <c r="C218" s="357">
        <f t="shared" si="53"/>
        <v>270</v>
      </c>
      <c r="D218" s="397" t="e">
        <f>INDEX('Monthly Cash Flow'!$L$137:$GT$137, MATCH(C218, 'Monthly Cash Flow'!$L$13:$GT$13, 0))</f>
        <v>#N/A</v>
      </c>
      <c r="E218" s="397">
        <f t="shared" ca="1" si="46"/>
        <v>0</v>
      </c>
      <c r="F218" s="397" t="e">
        <f t="shared" si="42"/>
        <v>#N/A</v>
      </c>
      <c r="G218" s="397" t="e">
        <f t="shared" ca="1" si="43"/>
        <v>#N/A</v>
      </c>
      <c r="H218" s="398" t="e">
        <f t="shared" ca="1" si="44"/>
        <v>#N/A</v>
      </c>
      <c r="I218" s="399">
        <f>MAX($J$5, INDEX(LIBOR!$M$3:$M$122,MATCH(B218,LIBOR!$N$3:$N$122)))</f>
        <v>3.2809699999999997E-2</v>
      </c>
      <c r="J218" s="400">
        <f t="shared" si="45"/>
        <v>8.5309699999999988E-2</v>
      </c>
      <c r="L218" s="392">
        <f t="shared" si="54"/>
        <v>50770</v>
      </c>
      <c r="M218" s="357">
        <f t="shared" si="55"/>
        <v>270</v>
      </c>
      <c r="N218" s="397">
        <v>4696.8651109118091</v>
      </c>
      <c r="O218" s="397">
        <f t="shared" si="47"/>
        <v>0</v>
      </c>
      <c r="P218" s="397">
        <f t="shared" si="49"/>
        <v>32.020760472013485</v>
      </c>
      <c r="Q218" s="397">
        <f t="shared" si="48"/>
        <v>-32.020760472013485</v>
      </c>
      <c r="R218" s="398">
        <f t="shared" si="50"/>
        <v>4728.8858713838226</v>
      </c>
      <c r="S218" s="399">
        <f>INDEX(LIBOR!$M$3:$M$122,MATCH(L218,LIBOR!$N$3:$N$122))</f>
        <v>3.2809699999999997E-2</v>
      </c>
      <c r="T218" s="400">
        <f t="shared" si="51"/>
        <v>8.1809699999999999E-2</v>
      </c>
    </row>
    <row r="219" spans="2:20">
      <c r="B219" s="396">
        <f t="shared" si="52"/>
        <v>50801</v>
      </c>
      <c r="C219" s="357">
        <f t="shared" si="53"/>
        <v>271</v>
      </c>
      <c r="D219" s="397" t="e">
        <f>INDEX('Monthly Cash Flow'!$L$137:$GT$137, MATCH(C219, 'Monthly Cash Flow'!$L$13:$GT$13, 0))</f>
        <v>#N/A</v>
      </c>
      <c r="E219" s="397">
        <f t="shared" ca="1" si="46"/>
        <v>0</v>
      </c>
      <c r="F219" s="397" t="e">
        <f t="shared" si="42"/>
        <v>#N/A</v>
      </c>
      <c r="G219" s="397" t="e">
        <f t="shared" ca="1" si="43"/>
        <v>#N/A</v>
      </c>
      <c r="H219" s="398" t="e">
        <f t="shared" ca="1" si="44"/>
        <v>#N/A</v>
      </c>
      <c r="I219" s="399">
        <f>MAX($J$5, INDEX(LIBOR!$M$3:$M$122,MATCH(B219,LIBOR!$N$3:$N$122)))</f>
        <v>3.2809699999999997E-2</v>
      </c>
      <c r="J219" s="400">
        <f t="shared" si="45"/>
        <v>8.5309699999999988E-2</v>
      </c>
      <c r="L219" s="392">
        <f t="shared" si="54"/>
        <v>50801</v>
      </c>
      <c r="M219" s="357">
        <f t="shared" si="55"/>
        <v>271</v>
      </c>
      <c r="N219" s="397">
        <v>4674.8723441424263</v>
      </c>
      <c r="O219" s="397">
        <f t="shared" si="47"/>
        <v>0</v>
      </c>
      <c r="P219" s="397">
        <f t="shared" si="49"/>
        <v>31.870825334382388</v>
      </c>
      <c r="Q219" s="397">
        <f t="shared" si="48"/>
        <v>-31.870825334382388</v>
      </c>
      <c r="R219" s="398">
        <f t="shared" si="50"/>
        <v>4706.7431694768084</v>
      </c>
      <c r="S219" s="399">
        <f>INDEX(LIBOR!$M$3:$M$122,MATCH(L219,LIBOR!$N$3:$N$122))</f>
        <v>3.2809699999999997E-2</v>
      </c>
      <c r="T219" s="400">
        <f t="shared" si="51"/>
        <v>8.1809699999999999E-2</v>
      </c>
    </row>
    <row r="220" spans="2:20">
      <c r="B220" s="396">
        <f t="shared" si="52"/>
        <v>50829</v>
      </c>
      <c r="C220" s="357">
        <f t="shared" si="53"/>
        <v>272</v>
      </c>
      <c r="D220" s="397" t="e">
        <f>INDEX('Monthly Cash Flow'!$L$137:$GT$137, MATCH(C220, 'Monthly Cash Flow'!$L$13:$GT$13, 0))</f>
        <v>#N/A</v>
      </c>
      <c r="E220" s="397">
        <f t="shared" ca="1" si="46"/>
        <v>0</v>
      </c>
      <c r="F220" s="397" t="e">
        <f t="shared" si="42"/>
        <v>#N/A</v>
      </c>
      <c r="G220" s="397" t="e">
        <f t="shared" ca="1" si="43"/>
        <v>#N/A</v>
      </c>
      <c r="H220" s="398" t="e">
        <f t="shared" ca="1" si="44"/>
        <v>#N/A</v>
      </c>
      <c r="I220" s="399">
        <f>MAX($J$5, INDEX(LIBOR!$M$3:$M$122,MATCH(B220,LIBOR!$N$3:$N$122)))</f>
        <v>3.2809699999999997E-2</v>
      </c>
      <c r="J220" s="400">
        <f t="shared" si="45"/>
        <v>8.5309699999999988E-2</v>
      </c>
      <c r="L220" s="392">
        <f t="shared" si="54"/>
        <v>50829</v>
      </c>
      <c r="M220" s="357">
        <f t="shared" si="55"/>
        <v>272</v>
      </c>
      <c r="N220" s="397">
        <v>4652.7794052687814</v>
      </c>
      <c r="O220" s="397">
        <f t="shared" si="47"/>
        <v>0</v>
      </c>
      <c r="P220" s="397">
        <f t="shared" si="49"/>
        <v>31.720207275934783</v>
      </c>
      <c r="Q220" s="397">
        <f t="shared" si="48"/>
        <v>-31.720207275934783</v>
      </c>
      <c r="R220" s="398">
        <f t="shared" si="50"/>
        <v>4684.499612544716</v>
      </c>
      <c r="S220" s="399">
        <f>INDEX(LIBOR!$M$3:$M$122,MATCH(L220,LIBOR!$N$3:$N$122))</f>
        <v>3.2809699999999997E-2</v>
      </c>
      <c r="T220" s="400">
        <f t="shared" si="51"/>
        <v>8.1809699999999999E-2</v>
      </c>
    </row>
    <row r="221" spans="2:20">
      <c r="B221" s="396">
        <f t="shared" si="52"/>
        <v>50860</v>
      </c>
      <c r="C221" s="357">
        <f t="shared" si="53"/>
        <v>273</v>
      </c>
      <c r="D221" s="397" t="e">
        <f>INDEX('Monthly Cash Flow'!$L$137:$GT$137, MATCH(C221, 'Monthly Cash Flow'!$L$13:$GT$13, 0))</f>
        <v>#N/A</v>
      </c>
      <c r="E221" s="397">
        <f t="shared" ca="1" si="46"/>
        <v>0</v>
      </c>
      <c r="F221" s="397" t="e">
        <f t="shared" si="42"/>
        <v>#N/A</v>
      </c>
      <c r="G221" s="397" t="e">
        <f t="shared" ca="1" si="43"/>
        <v>#N/A</v>
      </c>
      <c r="H221" s="398" t="e">
        <f t="shared" ca="1" si="44"/>
        <v>#N/A</v>
      </c>
      <c r="I221" s="399">
        <f>MAX($J$5, INDEX(LIBOR!$M$3:$M$122,MATCH(B221,LIBOR!$N$3:$N$122)))</f>
        <v>3.2809699999999997E-2</v>
      </c>
      <c r="J221" s="400">
        <f t="shared" si="45"/>
        <v>8.5309699999999988E-2</v>
      </c>
      <c r="L221" s="392">
        <f t="shared" si="54"/>
        <v>50860</v>
      </c>
      <c r="M221" s="357">
        <f t="shared" si="55"/>
        <v>273</v>
      </c>
      <c r="N221" s="397">
        <v>4630.5858380294785</v>
      </c>
      <c r="O221" s="397">
        <f t="shared" si="47"/>
        <v>0</v>
      </c>
      <c r="P221" s="397">
        <f t="shared" si="49"/>
        <v>31.568903186120021</v>
      </c>
      <c r="Q221" s="397">
        <f t="shared" si="48"/>
        <v>-31.568903186120021</v>
      </c>
      <c r="R221" s="398">
        <f t="shared" si="50"/>
        <v>4662.1547412155987</v>
      </c>
      <c r="S221" s="399">
        <f>INDEX(LIBOR!$M$3:$M$122,MATCH(L221,LIBOR!$N$3:$N$122))</f>
        <v>3.2809699999999997E-2</v>
      </c>
      <c r="T221" s="400">
        <f t="shared" si="51"/>
        <v>8.1809699999999999E-2</v>
      </c>
    </row>
    <row r="222" spans="2:20">
      <c r="B222" s="396">
        <f t="shared" si="52"/>
        <v>50890</v>
      </c>
      <c r="C222" s="357">
        <f t="shared" si="53"/>
        <v>274</v>
      </c>
      <c r="D222" s="397" t="e">
        <f>INDEX('Monthly Cash Flow'!$L$137:$GT$137, MATCH(C222, 'Monthly Cash Flow'!$L$13:$GT$13, 0))</f>
        <v>#N/A</v>
      </c>
      <c r="E222" s="397">
        <f t="shared" ca="1" si="46"/>
        <v>0</v>
      </c>
      <c r="F222" s="397" t="e">
        <f t="shared" si="42"/>
        <v>#N/A</v>
      </c>
      <c r="G222" s="397" t="e">
        <f t="shared" ca="1" si="43"/>
        <v>#N/A</v>
      </c>
      <c r="H222" s="398" t="e">
        <f t="shared" ca="1" si="44"/>
        <v>#N/A</v>
      </c>
      <c r="I222" s="399">
        <f>MAX($J$5, INDEX(LIBOR!$M$3:$M$122,MATCH(B222,LIBOR!$N$3:$N$122)))</f>
        <v>3.2809699999999997E-2</v>
      </c>
      <c r="J222" s="400">
        <f t="shared" si="45"/>
        <v>8.5309699999999988E-2</v>
      </c>
      <c r="L222" s="392">
        <f t="shared" si="54"/>
        <v>50890</v>
      </c>
      <c r="M222" s="357">
        <f t="shared" si="55"/>
        <v>274</v>
      </c>
      <c r="N222" s="397">
        <v>4608.2911840849538</v>
      </c>
      <c r="O222" s="397">
        <f t="shared" si="47"/>
        <v>0</v>
      </c>
      <c r="P222" s="397">
        <f t="shared" si="49"/>
        <v>31.416909940219568</v>
      </c>
      <c r="Q222" s="397">
        <f t="shared" si="48"/>
        <v>-31.416909940219568</v>
      </c>
      <c r="R222" s="398">
        <f t="shared" si="50"/>
        <v>4639.7080940251735</v>
      </c>
      <c r="S222" s="399">
        <f>INDEX(LIBOR!$M$3:$M$122,MATCH(L222,LIBOR!$N$3:$N$122))</f>
        <v>3.2809699999999997E-2</v>
      </c>
      <c r="T222" s="400">
        <f t="shared" si="51"/>
        <v>8.1809699999999999E-2</v>
      </c>
    </row>
    <row r="223" spans="2:20">
      <c r="B223" s="396">
        <f t="shared" si="52"/>
        <v>50921</v>
      </c>
      <c r="C223" s="357">
        <f t="shared" si="53"/>
        <v>275</v>
      </c>
      <c r="D223" s="397" t="e">
        <f>INDEX('Monthly Cash Flow'!$L$137:$GT$137, MATCH(C223, 'Monthly Cash Flow'!$L$13:$GT$13, 0))</f>
        <v>#N/A</v>
      </c>
      <c r="E223" s="397">
        <f t="shared" ca="1" si="46"/>
        <v>0</v>
      </c>
      <c r="F223" s="397" t="e">
        <f t="shared" si="42"/>
        <v>#N/A</v>
      </c>
      <c r="G223" s="397" t="e">
        <f t="shared" ca="1" si="43"/>
        <v>#N/A</v>
      </c>
      <c r="H223" s="398" t="e">
        <f t="shared" ca="1" si="44"/>
        <v>#N/A</v>
      </c>
      <c r="I223" s="399">
        <f>MAX($J$5, INDEX(LIBOR!$M$3:$M$122,MATCH(B223,LIBOR!$N$3:$N$122)))</f>
        <v>3.2809699999999997E-2</v>
      </c>
      <c r="J223" s="400">
        <f t="shared" si="45"/>
        <v>8.5309699999999988E-2</v>
      </c>
      <c r="L223" s="392">
        <f t="shared" si="54"/>
        <v>50921</v>
      </c>
      <c r="M223" s="357">
        <f t="shared" si="55"/>
        <v>275</v>
      </c>
      <c r="N223" s="397">
        <v>4585.8949830080082</v>
      </c>
      <c r="O223" s="397">
        <f t="shared" si="47"/>
        <v>0</v>
      </c>
      <c r="P223" s="397">
        <f t="shared" si="49"/>
        <v>31.264224399282522</v>
      </c>
      <c r="Q223" s="397">
        <f t="shared" si="48"/>
        <v>-31.264224399282522</v>
      </c>
      <c r="R223" s="398">
        <f t="shared" si="50"/>
        <v>4617.1592074072905</v>
      </c>
      <c r="S223" s="399">
        <f>INDEX(LIBOR!$M$3:$M$122,MATCH(L223,LIBOR!$N$3:$N$122))</f>
        <v>3.2809699999999997E-2</v>
      </c>
      <c r="T223" s="400">
        <f t="shared" si="51"/>
        <v>8.1809699999999999E-2</v>
      </c>
    </row>
    <row r="224" spans="2:20">
      <c r="B224" s="396">
        <f t="shared" si="52"/>
        <v>50951</v>
      </c>
      <c r="C224" s="357">
        <f t="shared" si="53"/>
        <v>276</v>
      </c>
      <c r="D224" s="397" t="e">
        <f>INDEX('Monthly Cash Flow'!$L$137:$GT$137, MATCH(C224, 'Monthly Cash Flow'!$L$13:$GT$13, 0))</f>
        <v>#N/A</v>
      </c>
      <c r="E224" s="397">
        <f t="shared" ca="1" si="46"/>
        <v>0</v>
      </c>
      <c r="F224" s="397" t="e">
        <f t="shared" si="42"/>
        <v>#N/A</v>
      </c>
      <c r="G224" s="397" t="e">
        <f t="shared" ca="1" si="43"/>
        <v>#N/A</v>
      </c>
      <c r="H224" s="398" t="e">
        <f t="shared" ca="1" si="44"/>
        <v>#N/A</v>
      </c>
      <c r="I224" s="399">
        <f>MAX($J$5, INDEX(LIBOR!$M$3:$M$122,MATCH(B224,LIBOR!$N$3:$N$122)))</f>
        <v>3.2809699999999997E-2</v>
      </c>
      <c r="J224" s="400">
        <f t="shared" si="45"/>
        <v>8.5309699999999988E-2</v>
      </c>
      <c r="L224" s="392">
        <f t="shared" si="54"/>
        <v>50951</v>
      </c>
      <c r="M224" s="357">
        <f t="shared" si="55"/>
        <v>276</v>
      </c>
      <c r="N224" s="397">
        <v>4563.3967722743027</v>
      </c>
      <c r="O224" s="397">
        <f t="shared" si="47"/>
        <v>0</v>
      </c>
      <c r="P224" s="397">
        <f t="shared" si="49"/>
        <v>31.110843410060752</v>
      </c>
      <c r="Q224" s="397">
        <f t="shared" si="48"/>
        <v>-31.110843410060752</v>
      </c>
      <c r="R224" s="398">
        <f t="shared" si="50"/>
        <v>4594.5076156843634</v>
      </c>
      <c r="S224" s="399">
        <f>INDEX(LIBOR!$M$3:$M$122,MATCH(L224,LIBOR!$N$3:$N$122))</f>
        <v>3.2809699999999997E-2</v>
      </c>
      <c r="T224" s="400">
        <f t="shared" si="51"/>
        <v>8.1809699999999999E-2</v>
      </c>
    </row>
    <row r="225" spans="2:20">
      <c r="B225" s="396">
        <f t="shared" si="52"/>
        <v>50982</v>
      </c>
      <c r="C225" s="357">
        <f t="shared" si="53"/>
        <v>277</v>
      </c>
      <c r="D225" s="397" t="e">
        <f>INDEX('Monthly Cash Flow'!$L$137:$GT$137, MATCH(C225, 'Monthly Cash Flow'!$L$13:$GT$13, 0))</f>
        <v>#N/A</v>
      </c>
      <c r="E225" s="397">
        <f t="shared" ca="1" si="46"/>
        <v>0</v>
      </c>
      <c r="F225" s="397" t="e">
        <f t="shared" si="42"/>
        <v>#N/A</v>
      </c>
      <c r="G225" s="397" t="e">
        <f t="shared" ca="1" si="43"/>
        <v>#N/A</v>
      </c>
      <c r="H225" s="398" t="e">
        <f t="shared" ca="1" si="44"/>
        <v>#N/A</v>
      </c>
      <c r="I225" s="399">
        <f>MAX($J$5, INDEX(LIBOR!$M$3:$M$122,MATCH(B225,LIBOR!$N$3:$N$122)))</f>
        <v>3.2809699999999997E-2</v>
      </c>
      <c r="J225" s="400">
        <f t="shared" si="45"/>
        <v>8.5309699999999988E-2</v>
      </c>
      <c r="L225" s="392">
        <f t="shared" si="54"/>
        <v>50982</v>
      </c>
      <c r="M225" s="357">
        <f t="shared" si="55"/>
        <v>277</v>
      </c>
      <c r="N225" s="397">
        <v>4540.7960872528029</v>
      </c>
      <c r="O225" s="397">
        <f t="shared" si="47"/>
        <v>0</v>
      </c>
      <c r="P225" s="397">
        <f t="shared" si="49"/>
        <v>30.956763804943801</v>
      </c>
      <c r="Q225" s="397">
        <f t="shared" si="48"/>
        <v>-30.956763804943801</v>
      </c>
      <c r="R225" s="398">
        <f t="shared" si="50"/>
        <v>4571.7528510577467</v>
      </c>
      <c r="S225" s="399">
        <f>INDEX(LIBOR!$M$3:$M$122,MATCH(L225,LIBOR!$N$3:$N$122))</f>
        <v>3.2809699999999997E-2</v>
      </c>
      <c r="T225" s="400">
        <f t="shared" si="51"/>
        <v>8.1809699999999999E-2</v>
      </c>
    </row>
    <row r="226" spans="2:20">
      <c r="B226" s="396">
        <f t="shared" si="52"/>
        <v>51013</v>
      </c>
      <c r="C226" s="357">
        <f t="shared" si="53"/>
        <v>278</v>
      </c>
      <c r="D226" s="397" t="e">
        <f>INDEX('Monthly Cash Flow'!$L$137:$GT$137, MATCH(C226, 'Monthly Cash Flow'!$L$13:$GT$13, 0))</f>
        <v>#N/A</v>
      </c>
      <c r="E226" s="397">
        <f t="shared" ca="1" si="46"/>
        <v>0</v>
      </c>
      <c r="F226" s="397" t="e">
        <f t="shared" si="42"/>
        <v>#N/A</v>
      </c>
      <c r="G226" s="397" t="e">
        <f t="shared" ca="1" si="43"/>
        <v>#N/A</v>
      </c>
      <c r="H226" s="398" t="e">
        <f t="shared" ca="1" si="44"/>
        <v>#N/A</v>
      </c>
      <c r="I226" s="399">
        <f>MAX($J$5, INDEX(LIBOR!$M$3:$M$122,MATCH(B226,LIBOR!$N$3:$N$122)))</f>
        <v>3.2809699999999997E-2</v>
      </c>
      <c r="J226" s="400">
        <f t="shared" si="45"/>
        <v>8.5309699999999988E-2</v>
      </c>
      <c r="L226" s="392">
        <f t="shared" si="54"/>
        <v>51013</v>
      </c>
      <c r="M226" s="357">
        <f t="shared" si="55"/>
        <v>278</v>
      </c>
      <c r="N226" s="397">
        <v>4518.0924611961836</v>
      </c>
      <c r="O226" s="397">
        <f t="shared" si="47"/>
        <v>0</v>
      </c>
      <c r="P226" s="397">
        <f t="shared" si="49"/>
        <v>30.801982401893451</v>
      </c>
      <c r="Q226" s="397">
        <f t="shared" si="48"/>
        <v>-30.801982401893451</v>
      </c>
      <c r="R226" s="398">
        <f t="shared" si="50"/>
        <v>4548.8944435980775</v>
      </c>
      <c r="S226" s="399">
        <f>INDEX(LIBOR!$M$3:$M$122,MATCH(L226,LIBOR!$N$3:$N$122))</f>
        <v>3.2809699999999997E-2</v>
      </c>
      <c r="T226" s="400">
        <f t="shared" si="51"/>
        <v>8.1809699999999999E-2</v>
      </c>
    </row>
    <row r="227" spans="2:20">
      <c r="B227" s="396">
        <f t="shared" si="52"/>
        <v>51043</v>
      </c>
      <c r="C227" s="357">
        <f t="shared" si="53"/>
        <v>279</v>
      </c>
      <c r="D227" s="397" t="e">
        <f>INDEX('Monthly Cash Flow'!$L$137:$GT$137, MATCH(C227, 'Monthly Cash Flow'!$L$13:$GT$13, 0))</f>
        <v>#N/A</v>
      </c>
      <c r="E227" s="397">
        <f t="shared" ca="1" si="46"/>
        <v>0</v>
      </c>
      <c r="F227" s="397" t="e">
        <f t="shared" si="42"/>
        <v>#N/A</v>
      </c>
      <c r="G227" s="397" t="e">
        <f t="shared" ca="1" si="43"/>
        <v>#N/A</v>
      </c>
      <c r="H227" s="398" t="e">
        <f t="shared" ca="1" si="44"/>
        <v>#N/A</v>
      </c>
      <c r="I227" s="399">
        <f>MAX($J$5, INDEX(LIBOR!$M$3:$M$122,MATCH(B227,LIBOR!$N$3:$N$122)))</f>
        <v>3.2809699999999997E-2</v>
      </c>
      <c r="J227" s="400">
        <f t="shared" si="45"/>
        <v>8.5309699999999988E-2</v>
      </c>
      <c r="L227" s="392">
        <f t="shared" si="54"/>
        <v>51043</v>
      </c>
      <c r="M227" s="357">
        <f t="shared" si="55"/>
        <v>279</v>
      </c>
      <c r="N227" s="397">
        <v>4495.2854252311927</v>
      </c>
      <c r="O227" s="397">
        <f t="shared" si="47"/>
        <v>0</v>
      </c>
      <c r="P227" s="397">
        <f t="shared" si="49"/>
        <v>30.646496004378026</v>
      </c>
      <c r="Q227" s="397">
        <f t="shared" si="48"/>
        <v>-30.646496004378026</v>
      </c>
      <c r="R227" s="398">
        <f t="shared" si="50"/>
        <v>4525.9319212355704</v>
      </c>
      <c r="S227" s="399">
        <f>INDEX(LIBOR!$M$3:$M$122,MATCH(L227,LIBOR!$N$3:$N$122))</f>
        <v>3.2809699999999997E-2</v>
      </c>
      <c r="T227" s="400">
        <f t="shared" si="51"/>
        <v>8.1809699999999999E-2</v>
      </c>
    </row>
    <row r="228" spans="2:20">
      <c r="B228" s="396">
        <f t="shared" si="52"/>
        <v>51074</v>
      </c>
      <c r="C228" s="357">
        <f t="shared" si="53"/>
        <v>280</v>
      </c>
      <c r="D228" s="397" t="e">
        <f>INDEX('Monthly Cash Flow'!$L$137:$GT$137, MATCH(C228, 'Monthly Cash Flow'!$L$13:$GT$13, 0))</f>
        <v>#N/A</v>
      </c>
      <c r="E228" s="397">
        <f t="shared" ca="1" si="46"/>
        <v>0</v>
      </c>
      <c r="F228" s="397" t="e">
        <f t="shared" si="42"/>
        <v>#N/A</v>
      </c>
      <c r="G228" s="397" t="e">
        <f t="shared" ca="1" si="43"/>
        <v>#N/A</v>
      </c>
      <c r="H228" s="398" t="e">
        <f t="shared" ca="1" si="44"/>
        <v>#N/A</v>
      </c>
      <c r="I228" s="399">
        <f>MAX($J$5, INDEX(LIBOR!$M$3:$M$122,MATCH(B228,LIBOR!$N$3:$N$122)))</f>
        <v>3.2809699999999997E-2</v>
      </c>
      <c r="J228" s="400">
        <f t="shared" si="45"/>
        <v>8.5309699999999988E-2</v>
      </c>
      <c r="L228" s="392">
        <f t="shared" si="54"/>
        <v>51074</v>
      </c>
      <c r="M228" s="357">
        <f t="shared" si="55"/>
        <v>280</v>
      </c>
      <c r="N228" s="397">
        <v>4472.3745083489639</v>
      </c>
      <c r="O228" s="397">
        <f t="shared" si="47"/>
        <v>0</v>
      </c>
      <c r="P228" s="397">
        <f t="shared" si="49"/>
        <v>30.490301401306354</v>
      </c>
      <c r="Q228" s="397">
        <f t="shared" si="48"/>
        <v>-30.490301401306354</v>
      </c>
      <c r="R228" s="398">
        <f t="shared" si="50"/>
        <v>4502.8648097502701</v>
      </c>
      <c r="S228" s="399">
        <f>INDEX(LIBOR!$M$3:$M$122,MATCH(L228,LIBOR!$N$3:$N$122))</f>
        <v>3.2809699999999997E-2</v>
      </c>
      <c r="T228" s="400">
        <f t="shared" si="51"/>
        <v>8.1809699999999999E-2</v>
      </c>
    </row>
    <row r="229" spans="2:20">
      <c r="B229" s="396">
        <f t="shared" si="52"/>
        <v>51104</v>
      </c>
      <c r="C229" s="357">
        <f t="shared" si="53"/>
        <v>281</v>
      </c>
      <c r="D229" s="397" t="e">
        <f>INDEX('Monthly Cash Flow'!$L$137:$GT$137, MATCH(C229, 'Monthly Cash Flow'!$L$13:$GT$13, 0))</f>
        <v>#N/A</v>
      </c>
      <c r="E229" s="397">
        <f t="shared" ca="1" si="46"/>
        <v>0</v>
      </c>
      <c r="F229" s="397" t="e">
        <f t="shared" si="42"/>
        <v>#N/A</v>
      </c>
      <c r="G229" s="397" t="e">
        <f t="shared" ca="1" si="43"/>
        <v>#N/A</v>
      </c>
      <c r="H229" s="398" t="e">
        <f t="shared" ca="1" si="44"/>
        <v>#N/A</v>
      </c>
      <c r="I229" s="399">
        <f>MAX($J$5, INDEX(LIBOR!$M$3:$M$122,MATCH(B229,LIBOR!$N$3:$N$122)))</f>
        <v>3.2809699999999997E-2</v>
      </c>
      <c r="J229" s="400">
        <f t="shared" si="45"/>
        <v>8.5309699999999988E-2</v>
      </c>
      <c r="L229" s="392">
        <f t="shared" si="54"/>
        <v>51104</v>
      </c>
      <c r="M229" s="357">
        <f t="shared" si="55"/>
        <v>281</v>
      </c>
      <c r="N229" s="397">
        <v>4449.3592373952933</v>
      </c>
      <c r="O229" s="397">
        <f t="shared" si="47"/>
        <v>0</v>
      </c>
      <c r="P229" s="397">
        <f t="shared" si="49"/>
        <v>30.333395366961479</v>
      </c>
      <c r="Q229" s="397">
        <f t="shared" si="48"/>
        <v>-30.333395366961479</v>
      </c>
      <c r="R229" s="398">
        <f t="shared" si="50"/>
        <v>4479.692632762255</v>
      </c>
      <c r="S229" s="399">
        <f>INDEX(LIBOR!$M$3:$M$122,MATCH(L229,LIBOR!$N$3:$N$122))</f>
        <v>3.2809699999999997E-2</v>
      </c>
      <c r="T229" s="400">
        <f t="shared" si="51"/>
        <v>8.1809699999999999E-2</v>
      </c>
    </row>
    <row r="230" spans="2:20">
      <c r="B230" s="396">
        <f t="shared" si="52"/>
        <v>51135</v>
      </c>
      <c r="C230" s="357">
        <f t="shared" si="53"/>
        <v>282</v>
      </c>
      <c r="D230" s="397" t="e">
        <f>INDEX('Monthly Cash Flow'!$L$137:$GT$137, MATCH(C230, 'Monthly Cash Flow'!$L$13:$GT$13, 0))</f>
        <v>#N/A</v>
      </c>
      <c r="E230" s="397">
        <f t="shared" ca="1" si="46"/>
        <v>0</v>
      </c>
      <c r="F230" s="397" t="e">
        <f t="shared" si="42"/>
        <v>#N/A</v>
      </c>
      <c r="G230" s="397" t="e">
        <f t="shared" ca="1" si="43"/>
        <v>#N/A</v>
      </c>
      <c r="H230" s="398" t="e">
        <f t="shared" ca="1" si="44"/>
        <v>#N/A</v>
      </c>
      <c r="I230" s="399">
        <f>MAX($J$5, INDEX(LIBOR!$M$3:$M$122,MATCH(B230,LIBOR!$N$3:$N$122)))</f>
        <v>3.2809699999999997E-2</v>
      </c>
      <c r="J230" s="400">
        <f t="shared" si="45"/>
        <v>8.5309699999999988E-2</v>
      </c>
      <c r="L230" s="392">
        <f t="shared" si="54"/>
        <v>51135</v>
      </c>
      <c r="M230" s="357">
        <f t="shared" si="55"/>
        <v>282</v>
      </c>
      <c r="N230" s="397">
        <v>4426.2391370608648</v>
      </c>
      <c r="O230" s="397">
        <f t="shared" si="47"/>
        <v>0</v>
      </c>
      <c r="P230" s="397">
        <f t="shared" si="49"/>
        <v>30.175774660934021</v>
      </c>
      <c r="Q230" s="397">
        <f t="shared" si="48"/>
        <v>-30.175774660934021</v>
      </c>
      <c r="R230" s="398">
        <f t="shared" si="50"/>
        <v>4456.4149117217985</v>
      </c>
      <c r="S230" s="399">
        <f>INDEX(LIBOR!$M$3:$M$122,MATCH(L230,LIBOR!$N$3:$N$122))</f>
        <v>3.2809699999999997E-2</v>
      </c>
      <c r="T230" s="400">
        <f t="shared" si="51"/>
        <v>8.1809699999999999E-2</v>
      </c>
    </row>
    <row r="231" spans="2:20">
      <c r="B231" s="396">
        <f t="shared" si="52"/>
        <v>51166</v>
      </c>
      <c r="C231" s="357">
        <f t="shared" si="53"/>
        <v>283</v>
      </c>
      <c r="D231" s="397" t="e">
        <f>INDEX('Monthly Cash Flow'!$L$137:$GT$137, MATCH(C231, 'Monthly Cash Flow'!$L$13:$GT$13, 0))</f>
        <v>#N/A</v>
      </c>
      <c r="E231" s="397">
        <f t="shared" ca="1" si="46"/>
        <v>0</v>
      </c>
      <c r="F231" s="397" t="e">
        <f t="shared" si="42"/>
        <v>#N/A</v>
      </c>
      <c r="G231" s="397" t="e">
        <f t="shared" ca="1" si="43"/>
        <v>#N/A</v>
      </c>
      <c r="H231" s="398" t="e">
        <f t="shared" ca="1" si="44"/>
        <v>#N/A</v>
      </c>
      <c r="I231" s="399">
        <f>MAX($J$5, INDEX(LIBOR!$M$3:$M$122,MATCH(B231,LIBOR!$N$3:$N$122)))</f>
        <v>3.2809699999999997E-2</v>
      </c>
      <c r="J231" s="400">
        <f t="shared" si="45"/>
        <v>8.5309699999999988E-2</v>
      </c>
      <c r="L231" s="392">
        <f t="shared" si="54"/>
        <v>51166</v>
      </c>
      <c r="M231" s="357">
        <f t="shared" si="55"/>
        <v>283</v>
      </c>
      <c r="N231" s="397">
        <v>4403.0137298714353</v>
      </c>
      <c r="O231" s="397">
        <f t="shared" si="47"/>
        <v>0</v>
      </c>
      <c r="P231" s="397">
        <f t="shared" si="49"/>
        <v>30.017436028055261</v>
      </c>
      <c r="Q231" s="397">
        <f t="shared" si="48"/>
        <v>-30.017436028055261</v>
      </c>
      <c r="R231" s="398">
        <f t="shared" si="50"/>
        <v>4433.0311658994906</v>
      </c>
      <c r="S231" s="399">
        <f>INDEX(LIBOR!$M$3:$M$122,MATCH(L231,LIBOR!$N$3:$N$122))</f>
        <v>3.2809699999999997E-2</v>
      </c>
      <c r="T231" s="400">
        <f t="shared" si="51"/>
        <v>8.1809699999999999E-2</v>
      </c>
    </row>
    <row r="232" spans="2:20">
      <c r="B232" s="396">
        <f t="shared" si="52"/>
        <v>51195</v>
      </c>
      <c r="C232" s="357">
        <f t="shared" si="53"/>
        <v>284</v>
      </c>
      <c r="D232" s="397" t="e">
        <f>INDEX('Monthly Cash Flow'!$L$137:$GT$137, MATCH(C232, 'Monthly Cash Flow'!$L$13:$GT$13, 0))</f>
        <v>#N/A</v>
      </c>
      <c r="E232" s="397">
        <f t="shared" ca="1" si="46"/>
        <v>0</v>
      </c>
      <c r="F232" s="397" t="e">
        <f t="shared" si="42"/>
        <v>#N/A</v>
      </c>
      <c r="G232" s="397" t="e">
        <f t="shared" ca="1" si="43"/>
        <v>#N/A</v>
      </c>
      <c r="H232" s="398" t="e">
        <f t="shared" ca="1" si="44"/>
        <v>#N/A</v>
      </c>
      <c r="I232" s="399">
        <f>MAX($J$5, INDEX(LIBOR!$M$3:$M$122,MATCH(B232,LIBOR!$N$3:$N$122)))</f>
        <v>3.2809699999999997E-2</v>
      </c>
      <c r="J232" s="400">
        <f t="shared" si="45"/>
        <v>8.5309699999999988E-2</v>
      </c>
      <c r="L232" s="392">
        <f t="shared" si="54"/>
        <v>51195</v>
      </c>
      <c r="M232" s="357">
        <f t="shared" si="55"/>
        <v>284</v>
      </c>
      <c r="N232" s="397">
        <v>4379.6825361779747</v>
      </c>
      <c r="O232" s="397">
        <f t="shared" si="47"/>
        <v>0</v>
      </c>
      <c r="P232" s="397">
        <f t="shared" si="49"/>
        <v>29.858376198329939</v>
      </c>
      <c r="Q232" s="397">
        <f t="shared" si="48"/>
        <v>-29.858376198329939</v>
      </c>
      <c r="R232" s="398">
        <f t="shared" si="50"/>
        <v>4409.5409123763047</v>
      </c>
      <c r="S232" s="399">
        <f>INDEX(LIBOR!$M$3:$M$122,MATCH(L232,LIBOR!$N$3:$N$122))</f>
        <v>3.2809699999999997E-2</v>
      </c>
      <c r="T232" s="400">
        <f t="shared" si="51"/>
        <v>8.1809699999999999E-2</v>
      </c>
    </row>
    <row r="233" spans="2:20">
      <c r="B233" s="396">
        <f t="shared" si="52"/>
        <v>51226</v>
      </c>
      <c r="C233" s="357">
        <f t="shared" si="53"/>
        <v>285</v>
      </c>
      <c r="D233" s="397" t="e">
        <f>INDEX('Monthly Cash Flow'!$L$137:$GT$137, MATCH(C233, 'Monthly Cash Flow'!$L$13:$GT$13, 0))</f>
        <v>#N/A</v>
      </c>
      <c r="E233" s="397">
        <f t="shared" ca="1" si="46"/>
        <v>0</v>
      </c>
      <c r="F233" s="397" t="e">
        <f t="shared" si="42"/>
        <v>#N/A</v>
      </c>
      <c r="G233" s="397" t="e">
        <f t="shared" ca="1" si="43"/>
        <v>#N/A</v>
      </c>
      <c r="H233" s="398" t="e">
        <f t="shared" ca="1" si="44"/>
        <v>#N/A</v>
      </c>
      <c r="I233" s="399">
        <f>MAX($J$5, INDEX(LIBOR!$M$3:$M$122,MATCH(B233,LIBOR!$N$3:$N$122)))</f>
        <v>3.2809699999999997E-2</v>
      </c>
      <c r="J233" s="400">
        <f t="shared" si="45"/>
        <v>8.5309699999999988E-2</v>
      </c>
      <c r="L233" s="392">
        <f t="shared" si="54"/>
        <v>51226</v>
      </c>
      <c r="M233" s="357">
        <f t="shared" si="55"/>
        <v>285</v>
      </c>
      <c r="N233" s="397">
        <v>4356.2450741467592</v>
      </c>
      <c r="O233" s="397">
        <f t="shared" si="47"/>
        <v>0</v>
      </c>
      <c r="P233" s="397">
        <f t="shared" si="49"/>
        <v>29.69859188686868</v>
      </c>
      <c r="Q233" s="397">
        <f t="shared" si="48"/>
        <v>-29.69859188686868</v>
      </c>
      <c r="R233" s="398">
        <f t="shared" si="50"/>
        <v>4385.9436660336278</v>
      </c>
      <c r="S233" s="399">
        <f>INDEX(LIBOR!$M$3:$M$122,MATCH(L233,LIBOR!$N$3:$N$122))</f>
        <v>3.2809699999999997E-2</v>
      </c>
      <c r="T233" s="400">
        <f t="shared" si="51"/>
        <v>8.1809699999999999E-2</v>
      </c>
    </row>
    <row r="234" spans="2:20">
      <c r="B234" s="396">
        <f t="shared" si="52"/>
        <v>51256</v>
      </c>
      <c r="C234" s="357">
        <f t="shared" si="53"/>
        <v>286</v>
      </c>
      <c r="D234" s="397" t="e">
        <f>INDEX('Monthly Cash Flow'!$L$137:$GT$137, MATCH(C234, 'Monthly Cash Flow'!$L$13:$GT$13, 0))</f>
        <v>#N/A</v>
      </c>
      <c r="E234" s="397">
        <f t="shared" ca="1" si="46"/>
        <v>0</v>
      </c>
      <c r="F234" s="397" t="e">
        <f t="shared" si="42"/>
        <v>#N/A</v>
      </c>
      <c r="G234" s="397" t="e">
        <f t="shared" ca="1" si="43"/>
        <v>#N/A</v>
      </c>
      <c r="H234" s="398" t="e">
        <f t="shared" ca="1" si="44"/>
        <v>#N/A</v>
      </c>
      <c r="I234" s="399">
        <f>MAX($J$5, INDEX(LIBOR!$M$3:$M$122,MATCH(B234,LIBOR!$N$3:$N$122)))</f>
        <v>3.2809699999999997E-2</v>
      </c>
      <c r="J234" s="400">
        <f t="shared" si="45"/>
        <v>8.5309699999999988E-2</v>
      </c>
      <c r="L234" s="392">
        <f t="shared" si="54"/>
        <v>51256</v>
      </c>
      <c r="M234" s="357">
        <f t="shared" si="55"/>
        <v>286</v>
      </c>
      <c r="N234" s="397">
        <v>4332.7008597494205</v>
      </c>
      <c r="O234" s="397">
        <f t="shared" si="47"/>
        <v>0</v>
      </c>
      <c r="P234" s="397">
        <f t="shared" si="49"/>
        <v>29.538079793820177</v>
      </c>
      <c r="Q234" s="397">
        <f t="shared" si="48"/>
        <v>-29.538079793820177</v>
      </c>
      <c r="R234" s="398">
        <f t="shared" si="50"/>
        <v>4362.238939543241</v>
      </c>
      <c r="S234" s="399">
        <f>INDEX(LIBOR!$M$3:$M$122,MATCH(L234,LIBOR!$N$3:$N$122))</f>
        <v>3.2809699999999997E-2</v>
      </c>
      <c r="T234" s="400">
        <f t="shared" si="51"/>
        <v>8.1809699999999999E-2</v>
      </c>
    </row>
    <row r="235" spans="2:20">
      <c r="B235" s="396">
        <f t="shared" si="52"/>
        <v>51287</v>
      </c>
      <c r="C235" s="357">
        <f t="shared" si="53"/>
        <v>287</v>
      </c>
      <c r="D235" s="397" t="e">
        <f>INDEX('Monthly Cash Flow'!$L$137:$GT$137, MATCH(C235, 'Monthly Cash Flow'!$L$13:$GT$13, 0))</f>
        <v>#N/A</v>
      </c>
      <c r="E235" s="397">
        <f t="shared" ca="1" si="46"/>
        <v>0</v>
      </c>
      <c r="F235" s="397" t="e">
        <f t="shared" si="42"/>
        <v>#N/A</v>
      </c>
      <c r="G235" s="397" t="e">
        <f t="shared" ca="1" si="43"/>
        <v>#N/A</v>
      </c>
      <c r="H235" s="398" t="e">
        <f t="shared" ca="1" si="44"/>
        <v>#N/A</v>
      </c>
      <c r="I235" s="399">
        <f>MAX($J$5, INDEX(LIBOR!$M$3:$M$122,MATCH(B235,LIBOR!$N$3:$N$122)))</f>
        <v>3.2809699999999997E-2</v>
      </c>
      <c r="J235" s="400">
        <f t="shared" si="45"/>
        <v>8.5309699999999988E-2</v>
      </c>
      <c r="L235" s="392">
        <f t="shared" si="54"/>
        <v>51287</v>
      </c>
      <c r="M235" s="357">
        <f t="shared" si="55"/>
        <v>287</v>
      </c>
      <c r="N235" s="397">
        <v>4309.0494067529498</v>
      </c>
      <c r="O235" s="397">
        <f t="shared" si="47"/>
        <v>0</v>
      </c>
      <c r="P235" s="397">
        <f t="shared" si="49"/>
        <v>29.376836604303065</v>
      </c>
      <c r="Q235" s="397">
        <f t="shared" si="48"/>
        <v>-29.376836604303065</v>
      </c>
      <c r="R235" s="398">
        <f t="shared" si="50"/>
        <v>4338.426243357253</v>
      </c>
      <c r="S235" s="399">
        <f>INDEX(LIBOR!$M$3:$M$122,MATCH(L235,LIBOR!$N$3:$N$122))</f>
        <v>3.2809699999999997E-2</v>
      </c>
      <c r="T235" s="400">
        <f t="shared" si="51"/>
        <v>8.1809699999999999E-2</v>
      </c>
    </row>
    <row r="236" spans="2:20">
      <c r="B236" s="396">
        <f t="shared" si="52"/>
        <v>51317</v>
      </c>
      <c r="C236" s="357">
        <f t="shared" si="53"/>
        <v>288</v>
      </c>
      <c r="D236" s="397" t="e">
        <f>INDEX('Monthly Cash Flow'!$L$137:$GT$137, MATCH(C236, 'Monthly Cash Flow'!$L$13:$GT$13, 0))</f>
        <v>#N/A</v>
      </c>
      <c r="E236" s="397">
        <f t="shared" ca="1" si="46"/>
        <v>0</v>
      </c>
      <c r="F236" s="397" t="e">
        <f t="shared" si="42"/>
        <v>#N/A</v>
      </c>
      <c r="G236" s="397" t="e">
        <f t="shared" ca="1" si="43"/>
        <v>#N/A</v>
      </c>
      <c r="H236" s="398" t="e">
        <f t="shared" ca="1" si="44"/>
        <v>#N/A</v>
      </c>
      <c r="I236" s="399">
        <f>MAX($J$5, INDEX(LIBOR!$M$3:$M$122,MATCH(B236,LIBOR!$N$3:$N$122)))</f>
        <v>3.2809699999999997E-2</v>
      </c>
      <c r="J236" s="400">
        <f t="shared" si="45"/>
        <v>8.5309699999999988E-2</v>
      </c>
      <c r="L236" s="392">
        <f t="shared" si="54"/>
        <v>51317</v>
      </c>
      <c r="M236" s="357">
        <f t="shared" si="55"/>
        <v>288</v>
      </c>
      <c r="N236" s="397">
        <v>4285.290226709657</v>
      </c>
      <c r="O236" s="397">
        <f t="shared" si="47"/>
        <v>0</v>
      </c>
      <c r="P236" s="397">
        <f t="shared" si="49"/>
        <v>29.214858988337415</v>
      </c>
      <c r="Q236" s="397">
        <f t="shared" si="48"/>
        <v>-29.214858988337415</v>
      </c>
      <c r="R236" s="398">
        <f t="shared" si="50"/>
        <v>4314.5050856979942</v>
      </c>
      <c r="S236" s="399">
        <f>INDEX(LIBOR!$M$3:$M$122,MATCH(L236,LIBOR!$N$3:$N$122))</f>
        <v>3.2809699999999997E-2</v>
      </c>
      <c r="T236" s="400">
        <f t="shared" si="51"/>
        <v>8.1809699999999999E-2</v>
      </c>
    </row>
    <row r="237" spans="2:20">
      <c r="B237" s="396">
        <f t="shared" si="52"/>
        <v>51348</v>
      </c>
      <c r="C237" s="357">
        <f t="shared" si="53"/>
        <v>289</v>
      </c>
      <c r="D237" s="397" t="e">
        <f>INDEX('Monthly Cash Flow'!$L$137:$GT$137, MATCH(C237, 'Monthly Cash Flow'!$L$13:$GT$13, 0))</f>
        <v>#N/A</v>
      </c>
      <c r="E237" s="397">
        <f t="shared" ca="1" si="46"/>
        <v>0</v>
      </c>
      <c r="F237" s="397" t="e">
        <f t="shared" si="42"/>
        <v>#N/A</v>
      </c>
      <c r="G237" s="397" t="e">
        <f t="shared" ca="1" si="43"/>
        <v>#N/A</v>
      </c>
      <c r="H237" s="398" t="e">
        <f t="shared" ca="1" si="44"/>
        <v>#N/A</v>
      </c>
      <c r="I237" s="399">
        <f>MAX($J$5, INDEX(LIBOR!$M$3:$M$122,MATCH(B237,LIBOR!$N$3:$N$122)))</f>
        <v>3.2809699999999997E-2</v>
      </c>
      <c r="J237" s="400">
        <f t="shared" si="45"/>
        <v>8.5309699999999988E-2</v>
      </c>
      <c r="L237" s="392">
        <f t="shared" si="54"/>
        <v>51348</v>
      </c>
      <c r="M237" s="357">
        <f t="shared" si="55"/>
        <v>289</v>
      </c>
      <c r="N237" s="397">
        <v>4261.422828947083</v>
      </c>
      <c r="O237" s="397">
        <f t="shared" si="47"/>
        <v>0</v>
      </c>
      <c r="P237" s="397">
        <f t="shared" si="49"/>
        <v>29.052143600776017</v>
      </c>
      <c r="Q237" s="397">
        <f t="shared" si="48"/>
        <v>-29.052143600776017</v>
      </c>
      <c r="R237" s="398">
        <f t="shared" si="50"/>
        <v>4290.4749725478587</v>
      </c>
      <c r="S237" s="399">
        <f>INDEX(LIBOR!$M$3:$M$122,MATCH(L237,LIBOR!$N$3:$N$122))</f>
        <v>3.2809699999999997E-2</v>
      </c>
      <c r="T237" s="400">
        <f t="shared" si="51"/>
        <v>8.1809699999999999E-2</v>
      </c>
    </row>
    <row r="238" spans="2:20">
      <c r="B238" s="396">
        <f t="shared" si="52"/>
        <v>51379</v>
      </c>
      <c r="C238" s="357">
        <f t="shared" si="53"/>
        <v>290</v>
      </c>
      <c r="D238" s="397" t="e">
        <f>INDEX('Monthly Cash Flow'!$L$137:$GT$137, MATCH(C238, 'Monthly Cash Flow'!$L$13:$GT$13, 0))</f>
        <v>#N/A</v>
      </c>
      <c r="E238" s="397">
        <f t="shared" ca="1" si="46"/>
        <v>0</v>
      </c>
      <c r="F238" s="397" t="e">
        <f t="shared" si="42"/>
        <v>#N/A</v>
      </c>
      <c r="G238" s="397" t="e">
        <f t="shared" ca="1" si="43"/>
        <v>#N/A</v>
      </c>
      <c r="H238" s="398" t="e">
        <f t="shared" ca="1" si="44"/>
        <v>#N/A</v>
      </c>
      <c r="I238" s="399">
        <f>MAX($J$5, INDEX(LIBOR!$M$3:$M$122,MATCH(B238,LIBOR!$N$3:$N$122)))</f>
        <v>3.2809699999999997E-2</v>
      </c>
      <c r="J238" s="400">
        <f t="shared" si="45"/>
        <v>8.5309699999999988E-2</v>
      </c>
      <c r="L238" s="392">
        <f t="shared" si="54"/>
        <v>51379</v>
      </c>
      <c r="M238" s="357">
        <f t="shared" si="55"/>
        <v>290</v>
      </c>
      <c r="N238" s="397">
        <v>4237.4467205578649</v>
      </c>
      <c r="O238" s="397">
        <f t="shared" si="47"/>
        <v>0</v>
      </c>
      <c r="P238" s="397">
        <f t="shared" si="49"/>
        <v>28.888687081235229</v>
      </c>
      <c r="Q238" s="397">
        <f t="shared" si="48"/>
        <v>-28.888687081235229</v>
      </c>
      <c r="R238" s="398">
        <f t="shared" si="50"/>
        <v>4266.3354076390997</v>
      </c>
      <c r="S238" s="399">
        <f>INDEX(LIBOR!$M$3:$M$122,MATCH(L238,LIBOR!$N$3:$N$122))</f>
        <v>3.2809699999999997E-2</v>
      </c>
      <c r="T238" s="400">
        <f t="shared" si="51"/>
        <v>8.1809699999999999E-2</v>
      </c>
    </row>
    <row r="239" spans="2:20">
      <c r="B239" s="396">
        <f t="shared" si="52"/>
        <v>51409</v>
      </c>
      <c r="C239" s="357">
        <f t="shared" si="53"/>
        <v>291</v>
      </c>
      <c r="D239" s="397" t="e">
        <f>INDEX('Monthly Cash Flow'!$L$137:$GT$137, MATCH(C239, 'Monthly Cash Flow'!$L$13:$GT$13, 0))</f>
        <v>#N/A</v>
      </c>
      <c r="E239" s="397">
        <f t="shared" ca="1" si="46"/>
        <v>0</v>
      </c>
      <c r="F239" s="397" t="e">
        <f t="shared" si="42"/>
        <v>#N/A</v>
      </c>
      <c r="G239" s="397" t="e">
        <f t="shared" ca="1" si="43"/>
        <v>#N/A</v>
      </c>
      <c r="H239" s="398" t="e">
        <f t="shared" ca="1" si="44"/>
        <v>#N/A</v>
      </c>
      <c r="I239" s="399">
        <f>MAX($J$5, INDEX(LIBOR!$M$3:$M$122,MATCH(B239,LIBOR!$N$3:$N$122)))</f>
        <v>3.2809699999999997E-2</v>
      </c>
      <c r="J239" s="400">
        <f t="shared" si="45"/>
        <v>8.5309699999999988E-2</v>
      </c>
      <c r="L239" s="392">
        <f t="shared" si="54"/>
        <v>51409</v>
      </c>
      <c r="M239" s="357">
        <f t="shared" si="55"/>
        <v>291</v>
      </c>
      <c r="N239" s="397">
        <v>4213.3614063895584</v>
      </c>
      <c r="O239" s="397">
        <f t="shared" si="47"/>
        <v>0</v>
      </c>
      <c r="P239" s="397">
        <f t="shared" si="49"/>
        <v>28.724486054025657</v>
      </c>
      <c r="Q239" s="397">
        <f t="shared" si="48"/>
        <v>-28.724486054025657</v>
      </c>
      <c r="R239" s="398">
        <f t="shared" si="50"/>
        <v>4242.0858924435843</v>
      </c>
      <c r="S239" s="399">
        <f>INDEX(LIBOR!$M$3:$M$122,MATCH(L239,LIBOR!$N$3:$N$122))</f>
        <v>3.2809699999999997E-2</v>
      </c>
      <c r="T239" s="400">
        <f t="shared" si="51"/>
        <v>8.1809699999999999E-2</v>
      </c>
    </row>
    <row r="240" spans="2:20">
      <c r="B240" s="396">
        <f t="shared" si="52"/>
        <v>51440</v>
      </c>
      <c r="C240" s="357">
        <f t="shared" si="53"/>
        <v>292</v>
      </c>
      <c r="D240" s="397" t="e">
        <f>INDEX('Monthly Cash Flow'!$L$137:$GT$137, MATCH(C240, 'Monthly Cash Flow'!$L$13:$GT$13, 0))</f>
        <v>#N/A</v>
      </c>
      <c r="E240" s="397">
        <f t="shared" ca="1" si="46"/>
        <v>0</v>
      </c>
      <c r="F240" s="397" t="e">
        <f t="shared" si="42"/>
        <v>#N/A</v>
      </c>
      <c r="G240" s="397" t="e">
        <f t="shared" ca="1" si="43"/>
        <v>#N/A</v>
      </c>
      <c r="H240" s="398" t="e">
        <f t="shared" ca="1" si="44"/>
        <v>#N/A</v>
      </c>
      <c r="I240" s="399">
        <f>MAX($J$5, INDEX(LIBOR!$M$3:$M$122,MATCH(B240,LIBOR!$N$3:$N$122)))</f>
        <v>3.2809699999999997E-2</v>
      </c>
      <c r="J240" s="400">
        <f t="shared" si="45"/>
        <v>8.5309699999999988E-2</v>
      </c>
      <c r="L240" s="392">
        <f t="shared" si="54"/>
        <v>51440</v>
      </c>
      <c r="M240" s="357">
        <f t="shared" si="55"/>
        <v>292</v>
      </c>
      <c r="N240" s="397">
        <v>4189.1663890344107</v>
      </c>
      <c r="O240" s="397">
        <f t="shared" si="47"/>
        <v>0</v>
      </c>
      <c r="P240" s="397">
        <f t="shared" si="49"/>
        <v>28.559537128082368</v>
      </c>
      <c r="Q240" s="397">
        <f t="shared" si="48"/>
        <v>-28.559537128082368</v>
      </c>
      <c r="R240" s="398">
        <f t="shared" si="50"/>
        <v>4217.7259261624931</v>
      </c>
      <c r="S240" s="399">
        <f>INDEX(LIBOR!$M$3:$M$122,MATCH(L240,LIBOR!$N$3:$N$122))</f>
        <v>3.2809699999999997E-2</v>
      </c>
      <c r="T240" s="400">
        <f t="shared" si="51"/>
        <v>8.1809699999999999E-2</v>
      </c>
    </row>
    <row r="241" spans="2:20">
      <c r="B241" s="396">
        <f t="shared" si="52"/>
        <v>51470</v>
      </c>
      <c r="C241" s="357">
        <f t="shared" si="53"/>
        <v>293</v>
      </c>
      <c r="D241" s="397" t="e">
        <f>INDEX('Monthly Cash Flow'!$L$137:$GT$137, MATCH(C241, 'Monthly Cash Flow'!$L$13:$GT$13, 0))</f>
        <v>#N/A</v>
      </c>
      <c r="E241" s="397">
        <f t="shared" ca="1" si="46"/>
        <v>0</v>
      </c>
      <c r="F241" s="397" t="e">
        <f t="shared" si="42"/>
        <v>#N/A</v>
      </c>
      <c r="G241" s="397" t="e">
        <f t="shared" ca="1" si="43"/>
        <v>#N/A</v>
      </c>
      <c r="H241" s="398" t="e">
        <f t="shared" ca="1" si="44"/>
        <v>#N/A</v>
      </c>
      <c r="I241" s="399">
        <f>MAX($J$5, INDEX(LIBOR!$M$3:$M$122,MATCH(B241,LIBOR!$N$3:$N$122)))</f>
        <v>3.2809699999999997E-2</v>
      </c>
      <c r="J241" s="400">
        <f t="shared" si="45"/>
        <v>8.5309699999999988E-2</v>
      </c>
      <c r="L241" s="392">
        <f t="shared" si="54"/>
        <v>51470</v>
      </c>
      <c r="M241" s="357">
        <f t="shared" si="55"/>
        <v>293</v>
      </c>
      <c r="N241" s="397">
        <v>4164.8611688190895</v>
      </c>
      <c r="O241" s="397">
        <f t="shared" si="47"/>
        <v>0</v>
      </c>
      <c r="P241" s="397">
        <f t="shared" si="49"/>
        <v>28.393836896894921</v>
      </c>
      <c r="Q241" s="397">
        <f t="shared" si="48"/>
        <v>-28.393836896894921</v>
      </c>
      <c r="R241" s="398">
        <f t="shared" si="50"/>
        <v>4193.2550057159842</v>
      </c>
      <c r="S241" s="399">
        <f>INDEX(LIBOR!$M$3:$M$122,MATCH(L241,LIBOR!$N$3:$N$122))</f>
        <v>3.2809699999999997E-2</v>
      </c>
      <c r="T241" s="400">
        <f t="shared" si="51"/>
        <v>8.1809699999999999E-2</v>
      </c>
    </row>
    <row r="242" spans="2:20">
      <c r="B242" s="396">
        <f t="shared" si="52"/>
        <v>51501</v>
      </c>
      <c r="C242" s="357">
        <f t="shared" si="53"/>
        <v>294</v>
      </c>
      <c r="D242" s="397" t="e">
        <f>INDEX('Monthly Cash Flow'!$L$137:$GT$137, MATCH(C242, 'Monthly Cash Flow'!$L$13:$GT$13, 0))</f>
        <v>#N/A</v>
      </c>
      <c r="E242" s="397">
        <f t="shared" ca="1" si="46"/>
        <v>0</v>
      </c>
      <c r="F242" s="397" t="e">
        <f t="shared" si="42"/>
        <v>#N/A</v>
      </c>
      <c r="G242" s="397" t="e">
        <f t="shared" ca="1" si="43"/>
        <v>#N/A</v>
      </c>
      <c r="H242" s="398" t="e">
        <f t="shared" ca="1" si="44"/>
        <v>#N/A</v>
      </c>
      <c r="I242" s="399">
        <f>MAX($J$5, INDEX(LIBOR!$M$3:$M$122,MATCH(B242,LIBOR!$N$3:$N$122)))</f>
        <v>3.2809699999999997E-2</v>
      </c>
      <c r="J242" s="400">
        <f t="shared" si="45"/>
        <v>8.5309699999999988E-2</v>
      </c>
      <c r="L242" s="392">
        <f t="shared" si="54"/>
        <v>51501</v>
      </c>
      <c r="M242" s="357">
        <f t="shared" si="55"/>
        <v>294</v>
      </c>
      <c r="N242" s="397">
        <v>4140.4452437943619</v>
      </c>
      <c r="O242" s="397">
        <f t="shared" si="47"/>
        <v>0</v>
      </c>
      <c r="P242" s="397">
        <f t="shared" si="49"/>
        <v>28.227381938436967</v>
      </c>
      <c r="Q242" s="397">
        <f t="shared" si="48"/>
        <v>-28.227381938436967</v>
      </c>
      <c r="R242" s="398">
        <f t="shared" si="50"/>
        <v>4168.6726257327991</v>
      </c>
      <c r="S242" s="399">
        <f>INDEX(LIBOR!$M$3:$M$122,MATCH(L242,LIBOR!$N$3:$N$122))</f>
        <v>3.2809699999999997E-2</v>
      </c>
      <c r="T242" s="400">
        <f t="shared" si="51"/>
        <v>8.1809699999999999E-2</v>
      </c>
    </row>
    <row r="243" spans="2:20">
      <c r="B243" s="396">
        <f t="shared" si="52"/>
        <v>51532</v>
      </c>
      <c r="C243" s="357">
        <f t="shared" si="53"/>
        <v>295</v>
      </c>
      <c r="D243" s="397" t="e">
        <f>INDEX('Monthly Cash Flow'!$L$137:$GT$137, MATCH(C243, 'Monthly Cash Flow'!$L$13:$GT$13, 0))</f>
        <v>#N/A</v>
      </c>
      <c r="E243" s="397">
        <f t="shared" ca="1" si="46"/>
        <v>0</v>
      </c>
      <c r="F243" s="397" t="e">
        <f t="shared" si="42"/>
        <v>#N/A</v>
      </c>
      <c r="G243" s="397" t="e">
        <f t="shared" ca="1" si="43"/>
        <v>#N/A</v>
      </c>
      <c r="H243" s="398" t="e">
        <f t="shared" ca="1" si="44"/>
        <v>#N/A</v>
      </c>
      <c r="I243" s="399">
        <f>MAX($J$5, INDEX(LIBOR!$M$3:$M$122,MATCH(B243,LIBOR!$N$3:$N$122)))</f>
        <v>3.2809699999999997E-2</v>
      </c>
      <c r="J243" s="400">
        <f t="shared" si="45"/>
        <v>8.5309699999999988E-2</v>
      </c>
      <c r="L243" s="392">
        <f t="shared" si="54"/>
        <v>51532</v>
      </c>
      <c r="M243" s="357">
        <f t="shared" si="55"/>
        <v>295</v>
      </c>
      <c r="N243" s="397">
        <v>4115.9181097247292</v>
      </c>
      <c r="O243" s="397">
        <f t="shared" si="47"/>
        <v>0</v>
      </c>
      <c r="P243" s="397">
        <f t="shared" si="49"/>
        <v>28.060168815095597</v>
      </c>
      <c r="Q243" s="397">
        <f t="shared" si="48"/>
        <v>-28.060168815095597</v>
      </c>
      <c r="R243" s="398">
        <f t="shared" si="50"/>
        <v>4143.9782785398247</v>
      </c>
      <c r="S243" s="399">
        <f>INDEX(LIBOR!$M$3:$M$122,MATCH(L243,LIBOR!$N$3:$N$122))</f>
        <v>3.2809699999999997E-2</v>
      </c>
      <c r="T243" s="400">
        <f t="shared" si="51"/>
        <v>8.1809699999999999E-2</v>
      </c>
    </row>
    <row r="244" spans="2:20">
      <c r="B244" s="396">
        <f t="shared" si="52"/>
        <v>51560</v>
      </c>
      <c r="C244" s="357">
        <f t="shared" si="53"/>
        <v>296</v>
      </c>
      <c r="D244" s="397" t="e">
        <f>INDEX('Monthly Cash Flow'!$L$137:$GT$137, MATCH(C244, 'Monthly Cash Flow'!$L$13:$GT$13, 0))</f>
        <v>#N/A</v>
      </c>
      <c r="E244" s="397">
        <f t="shared" ca="1" si="46"/>
        <v>0</v>
      </c>
      <c r="F244" s="397" t="e">
        <f t="shared" si="42"/>
        <v>#N/A</v>
      </c>
      <c r="G244" s="397" t="e">
        <f t="shared" ca="1" si="43"/>
        <v>#N/A</v>
      </c>
      <c r="H244" s="398" t="e">
        <f t="shared" ca="1" si="44"/>
        <v>#N/A</v>
      </c>
      <c r="I244" s="399">
        <f>MAX($J$5, INDEX(LIBOR!$M$3:$M$122,MATCH(B244,LIBOR!$N$3:$N$122)))</f>
        <v>3.2809699999999997E-2</v>
      </c>
      <c r="J244" s="400">
        <f t="shared" si="45"/>
        <v>8.5309699999999988E-2</v>
      </c>
      <c r="L244" s="392">
        <f t="shared" si="54"/>
        <v>51560</v>
      </c>
      <c r="M244" s="357">
        <f t="shared" si="55"/>
        <v>296</v>
      </c>
      <c r="N244" s="397">
        <v>4091.2792600780149</v>
      </c>
      <c r="O244" s="397">
        <f t="shared" si="47"/>
        <v>0</v>
      </c>
      <c r="P244" s="397">
        <f t="shared" si="49"/>
        <v>27.892194073600365</v>
      </c>
      <c r="Q244" s="397">
        <f t="shared" si="48"/>
        <v>-27.892194073600365</v>
      </c>
      <c r="R244" s="398">
        <f t="shared" si="50"/>
        <v>4119.1714541516149</v>
      </c>
      <c r="S244" s="399">
        <f>INDEX(LIBOR!$M$3:$M$122,MATCH(L244,LIBOR!$N$3:$N$122))</f>
        <v>3.2809699999999997E-2</v>
      </c>
      <c r="T244" s="400">
        <f t="shared" si="51"/>
        <v>8.1809699999999999E-2</v>
      </c>
    </row>
    <row r="245" spans="2:20">
      <c r="B245" s="396">
        <f t="shared" si="52"/>
        <v>51591</v>
      </c>
      <c r="C245" s="357">
        <f t="shared" si="53"/>
        <v>297</v>
      </c>
      <c r="D245" s="397" t="e">
        <f>INDEX('Monthly Cash Flow'!$L$137:$GT$137, MATCH(C245, 'Monthly Cash Flow'!$L$13:$GT$13, 0))</f>
        <v>#N/A</v>
      </c>
      <c r="E245" s="397">
        <f t="shared" ca="1" si="46"/>
        <v>0</v>
      </c>
      <c r="F245" s="397" t="e">
        <f t="shared" si="42"/>
        <v>#N/A</v>
      </c>
      <c r="G245" s="397" t="e">
        <f t="shared" ca="1" si="43"/>
        <v>#N/A</v>
      </c>
      <c r="H245" s="398" t="e">
        <f t="shared" ca="1" si="44"/>
        <v>#N/A</v>
      </c>
      <c r="I245" s="399">
        <f>MAX($J$5, INDEX(LIBOR!$M$3:$M$122,MATCH(B245,LIBOR!$N$3:$N$122)))</f>
        <v>3.2809699999999997E-2</v>
      </c>
      <c r="J245" s="400">
        <f t="shared" si="45"/>
        <v>8.5309699999999988E-2</v>
      </c>
      <c r="L245" s="392">
        <f t="shared" si="54"/>
        <v>51591</v>
      </c>
      <c r="M245" s="357">
        <f t="shared" si="55"/>
        <v>297</v>
      </c>
      <c r="N245" s="397">
        <v>4066.5281860149007</v>
      </c>
      <c r="O245" s="397">
        <f t="shared" si="47"/>
        <v>0</v>
      </c>
      <c r="P245" s="397">
        <f t="shared" si="49"/>
        <v>27.723454244951935</v>
      </c>
      <c r="Q245" s="397">
        <f t="shared" si="48"/>
        <v>-27.723454244951935</v>
      </c>
      <c r="R245" s="398">
        <f t="shared" si="50"/>
        <v>4094.2516402598526</v>
      </c>
      <c r="S245" s="399">
        <f>INDEX(LIBOR!$M$3:$M$122,MATCH(L245,LIBOR!$N$3:$N$122))</f>
        <v>3.2809699999999997E-2</v>
      </c>
      <c r="T245" s="400">
        <f t="shared" si="51"/>
        <v>8.1809699999999999E-2</v>
      </c>
    </row>
    <row r="246" spans="2:20">
      <c r="B246" s="396">
        <f t="shared" si="52"/>
        <v>51621</v>
      </c>
      <c r="C246" s="357">
        <f t="shared" si="53"/>
        <v>298</v>
      </c>
      <c r="D246" s="397" t="e">
        <f>INDEX('Monthly Cash Flow'!$L$137:$GT$137, MATCH(C246, 'Monthly Cash Flow'!$L$13:$GT$13, 0))</f>
        <v>#N/A</v>
      </c>
      <c r="E246" s="397">
        <f t="shared" ca="1" si="46"/>
        <v>0</v>
      </c>
      <c r="F246" s="397" t="e">
        <f t="shared" si="42"/>
        <v>#N/A</v>
      </c>
      <c r="G246" s="397" t="e">
        <f t="shared" ca="1" si="43"/>
        <v>#N/A</v>
      </c>
      <c r="H246" s="398" t="e">
        <f t="shared" ca="1" si="44"/>
        <v>#N/A</v>
      </c>
      <c r="I246" s="399">
        <f>MAX($J$5, INDEX(LIBOR!$M$3:$M$122,MATCH(B246,LIBOR!$N$3:$N$122)))</f>
        <v>3.2809699999999997E-2</v>
      </c>
      <c r="J246" s="400">
        <f t="shared" si="45"/>
        <v>8.5309699999999988E-2</v>
      </c>
      <c r="L246" s="392">
        <f t="shared" si="54"/>
        <v>51621</v>
      </c>
      <c r="M246" s="357">
        <f t="shared" si="55"/>
        <v>298</v>
      </c>
      <c r="N246" s="397">
        <v>4041.6643763784209</v>
      </c>
      <c r="O246" s="397">
        <f t="shared" si="47"/>
        <v>0</v>
      </c>
      <c r="P246" s="397">
        <f t="shared" si="49"/>
        <v>27.553945844350476</v>
      </c>
      <c r="Q246" s="397">
        <f t="shared" si="48"/>
        <v>-27.553945844350476</v>
      </c>
      <c r="R246" s="398">
        <f t="shared" si="50"/>
        <v>4069.2183222227713</v>
      </c>
      <c r="S246" s="399">
        <f>INDEX(LIBOR!$M$3:$M$122,MATCH(L246,LIBOR!$N$3:$N$122))</f>
        <v>3.2809699999999997E-2</v>
      </c>
      <c r="T246" s="400">
        <f t="shared" si="51"/>
        <v>8.1809699999999999E-2</v>
      </c>
    </row>
    <row r="247" spans="2:20">
      <c r="B247" s="396">
        <f t="shared" si="52"/>
        <v>51652</v>
      </c>
      <c r="C247" s="357">
        <f t="shared" si="53"/>
        <v>299</v>
      </c>
      <c r="D247" s="397" t="e">
        <f>INDEX('Monthly Cash Flow'!$L$137:$GT$137, MATCH(C247, 'Monthly Cash Flow'!$L$13:$GT$13, 0))</f>
        <v>#N/A</v>
      </c>
      <c r="E247" s="397">
        <f t="shared" ca="1" si="46"/>
        <v>0</v>
      </c>
      <c r="F247" s="397" t="e">
        <f t="shared" si="42"/>
        <v>#N/A</v>
      </c>
      <c r="G247" s="397" t="e">
        <f t="shared" ca="1" si="43"/>
        <v>#N/A</v>
      </c>
      <c r="H247" s="398" t="e">
        <f t="shared" ca="1" si="44"/>
        <v>#N/A</v>
      </c>
      <c r="I247" s="399">
        <f>MAX($J$5, INDEX(LIBOR!$M$3:$M$122,MATCH(B247,LIBOR!$N$3:$N$122)))</f>
        <v>3.2809699999999997E-2</v>
      </c>
      <c r="J247" s="400">
        <f t="shared" si="45"/>
        <v>8.5309699999999988E-2</v>
      </c>
      <c r="L247" s="392">
        <f t="shared" si="54"/>
        <v>51652</v>
      </c>
      <c r="M247" s="357">
        <f t="shared" si="55"/>
        <v>299</v>
      </c>
      <c r="N247" s="397">
        <v>4016.6873176834042</v>
      </c>
      <c r="O247" s="397">
        <f t="shared" si="47"/>
        <v>0</v>
      </c>
      <c r="P247" s="397">
        <f t="shared" si="49"/>
        <v>27.383665371123666</v>
      </c>
      <c r="Q247" s="397">
        <f t="shared" si="48"/>
        <v>-27.383665371123666</v>
      </c>
      <c r="R247" s="398">
        <f t="shared" si="50"/>
        <v>4044.0709830545279</v>
      </c>
      <c r="S247" s="399">
        <f>INDEX(LIBOR!$M$3:$M$122,MATCH(L247,LIBOR!$N$3:$N$122))</f>
        <v>3.2809699999999997E-2</v>
      </c>
      <c r="T247" s="400">
        <f t="shared" si="51"/>
        <v>8.1809699999999999E-2</v>
      </c>
    </row>
    <row r="248" spans="2:20">
      <c r="B248" s="396">
        <f t="shared" si="52"/>
        <v>51682</v>
      </c>
      <c r="C248" s="357">
        <f t="shared" si="53"/>
        <v>300</v>
      </c>
      <c r="D248" s="397" t="e">
        <f>INDEX('Monthly Cash Flow'!$L$137:$GT$137, MATCH(C248, 'Monthly Cash Flow'!$L$13:$GT$13, 0))</f>
        <v>#N/A</v>
      </c>
      <c r="E248" s="397">
        <f t="shared" ca="1" si="46"/>
        <v>0</v>
      </c>
      <c r="F248" s="397" t="e">
        <f t="shared" si="42"/>
        <v>#N/A</v>
      </c>
      <c r="G248" s="397" t="e">
        <f t="shared" ca="1" si="43"/>
        <v>#N/A</v>
      </c>
      <c r="H248" s="398" t="e">
        <f t="shared" ca="1" si="44"/>
        <v>#N/A</v>
      </c>
      <c r="I248" s="399">
        <f>MAX($J$5, INDEX(LIBOR!$M$3:$M$122,MATCH(B248,LIBOR!$N$3:$N$122)))</f>
        <v>3.2809699999999997E-2</v>
      </c>
      <c r="J248" s="400">
        <f t="shared" si="45"/>
        <v>8.5309699999999988E-2</v>
      </c>
      <c r="L248" s="392">
        <f t="shared" si="54"/>
        <v>51682</v>
      </c>
      <c r="M248" s="357">
        <f t="shared" si="55"/>
        <v>300</v>
      </c>
      <c r="N248" s="397">
        <v>3991.5964941058696</v>
      </c>
      <c r="O248" s="397">
        <f t="shared" si="47"/>
        <v>0</v>
      </c>
      <c r="P248" s="397">
        <f t="shared" si="49"/>
        <v>27.212609308654411</v>
      </c>
      <c r="Q248" s="397">
        <f t="shared" si="48"/>
        <v>-27.212609308654411</v>
      </c>
      <c r="R248" s="398">
        <f t="shared" si="50"/>
        <v>4018.8091034145241</v>
      </c>
      <c r="S248" s="399">
        <f>INDEX(LIBOR!$M$3:$M$122,MATCH(L248,LIBOR!$N$3:$N$122))</f>
        <v>3.2809699999999997E-2</v>
      </c>
      <c r="T248" s="400">
        <f t="shared" si="51"/>
        <v>8.1809699999999999E-2</v>
      </c>
    </row>
    <row r="249" spans="2:20">
      <c r="B249" s="396">
        <f t="shared" si="52"/>
        <v>51713</v>
      </c>
      <c r="C249" s="357">
        <f t="shared" si="53"/>
        <v>301</v>
      </c>
      <c r="D249" s="397" t="e">
        <f>INDEX('Monthly Cash Flow'!$L$137:$GT$137, MATCH(C249, 'Monthly Cash Flow'!$L$13:$GT$13, 0))</f>
        <v>#N/A</v>
      </c>
      <c r="E249" s="397">
        <f t="shared" ca="1" si="46"/>
        <v>0</v>
      </c>
      <c r="F249" s="397" t="e">
        <f t="shared" si="42"/>
        <v>#N/A</v>
      </c>
      <c r="G249" s="397" t="e">
        <f t="shared" ca="1" si="43"/>
        <v>#N/A</v>
      </c>
      <c r="H249" s="398" t="e">
        <f t="shared" ca="1" si="44"/>
        <v>#N/A</v>
      </c>
      <c r="I249" s="399">
        <f>MAX($J$5, INDEX(LIBOR!$M$3:$M$122,MATCH(B249,LIBOR!$N$3:$N$122)))</f>
        <v>3.2809699999999997E-2</v>
      </c>
      <c r="J249" s="400">
        <f t="shared" si="45"/>
        <v>8.5309699999999988E-2</v>
      </c>
      <c r="L249" s="392">
        <f t="shared" si="54"/>
        <v>51713</v>
      </c>
      <c r="M249" s="357">
        <f t="shared" si="55"/>
        <v>301</v>
      </c>
      <c r="N249" s="397">
        <v>3966.3913874723748</v>
      </c>
      <c r="O249" s="397">
        <f t="shared" si="47"/>
        <v>0</v>
      </c>
      <c r="P249" s="397">
        <f t="shared" si="49"/>
        <v>27.040774124308228</v>
      </c>
      <c r="Q249" s="397">
        <f t="shared" si="48"/>
        <v>-27.040774124308228</v>
      </c>
      <c r="R249" s="398">
        <f t="shared" si="50"/>
        <v>3993.4321615966833</v>
      </c>
      <c r="S249" s="399">
        <f>INDEX(LIBOR!$M$3:$M$122,MATCH(L249,LIBOR!$N$3:$N$122))</f>
        <v>3.2809699999999997E-2</v>
      </c>
      <c r="T249" s="400">
        <f t="shared" si="51"/>
        <v>8.1809699999999999E-2</v>
      </c>
    </row>
    <row r="250" spans="2:20">
      <c r="B250" s="396">
        <f t="shared" si="52"/>
        <v>51744</v>
      </c>
      <c r="C250" s="357">
        <f t="shared" si="53"/>
        <v>302</v>
      </c>
      <c r="D250" s="397" t="e">
        <f>INDEX('Monthly Cash Flow'!$L$137:$GT$137, MATCH(C250, 'Monthly Cash Flow'!$L$13:$GT$13, 0))</f>
        <v>#N/A</v>
      </c>
      <c r="E250" s="397">
        <f t="shared" ca="1" si="46"/>
        <v>0</v>
      </c>
      <c r="F250" s="397" t="e">
        <f t="shared" si="42"/>
        <v>#N/A</v>
      </c>
      <c r="G250" s="397" t="e">
        <f t="shared" ca="1" si="43"/>
        <v>#N/A</v>
      </c>
      <c r="H250" s="398" t="e">
        <f t="shared" ca="1" si="44"/>
        <v>#N/A</v>
      </c>
      <c r="I250" s="399">
        <f>MAX($J$5, INDEX(LIBOR!$M$3:$M$122,MATCH(B250,LIBOR!$N$3:$N$122)))</f>
        <v>3.2809699999999997E-2</v>
      </c>
      <c r="J250" s="400">
        <f t="shared" si="45"/>
        <v>8.5309699999999988E-2</v>
      </c>
      <c r="L250" s="392">
        <f t="shared" si="54"/>
        <v>51744</v>
      </c>
      <c r="M250" s="357">
        <f t="shared" si="55"/>
        <v>302</v>
      </c>
      <c r="N250" s="397">
        <v>3941.0714772493134</v>
      </c>
      <c r="O250" s="397">
        <f t="shared" si="47"/>
        <v>0</v>
      </c>
      <c r="P250" s="397">
        <f t="shared" si="49"/>
        <v>26.868156269360259</v>
      </c>
      <c r="Q250" s="397">
        <f t="shared" si="48"/>
        <v>-26.868156269360259</v>
      </c>
      <c r="R250" s="398">
        <f t="shared" si="50"/>
        <v>3967.9396335186734</v>
      </c>
      <c r="S250" s="399">
        <f>INDEX(LIBOR!$M$3:$M$122,MATCH(L250,LIBOR!$N$3:$N$122))</f>
        <v>3.2809699999999997E-2</v>
      </c>
      <c r="T250" s="400">
        <f t="shared" si="51"/>
        <v>8.1809699999999999E-2</v>
      </c>
    </row>
    <row r="251" spans="2:20">
      <c r="B251" s="396">
        <f t="shared" si="52"/>
        <v>51774</v>
      </c>
      <c r="C251" s="357">
        <f t="shared" si="53"/>
        <v>303</v>
      </c>
      <c r="D251" s="397" t="e">
        <f>INDEX('Monthly Cash Flow'!$L$137:$GT$137, MATCH(C251, 'Monthly Cash Flow'!$L$13:$GT$13, 0))</f>
        <v>#N/A</v>
      </c>
      <c r="E251" s="397">
        <f t="shared" ca="1" si="46"/>
        <v>0</v>
      </c>
      <c r="F251" s="397" t="e">
        <f t="shared" si="42"/>
        <v>#N/A</v>
      </c>
      <c r="G251" s="397" t="e">
        <f t="shared" ca="1" si="43"/>
        <v>#N/A</v>
      </c>
      <c r="H251" s="398" t="e">
        <f t="shared" ca="1" si="44"/>
        <v>#N/A</v>
      </c>
      <c r="I251" s="399">
        <f>MAX($J$5, INDEX(LIBOR!$M$3:$M$122,MATCH(B251,LIBOR!$N$3:$N$122)))</f>
        <v>3.2809699999999997E-2</v>
      </c>
      <c r="J251" s="400">
        <f t="shared" si="45"/>
        <v>8.5309699999999988E-2</v>
      </c>
      <c r="L251" s="392">
        <f t="shared" si="54"/>
        <v>51774</v>
      </c>
      <c r="M251" s="357">
        <f t="shared" si="55"/>
        <v>303</v>
      </c>
      <c r="N251" s="397">
        <v>3915.6362405321656</v>
      </c>
      <c r="O251" s="397">
        <f t="shared" si="47"/>
        <v>0</v>
      </c>
      <c r="P251" s="397">
        <f t="shared" si="49"/>
        <v>26.694752178922027</v>
      </c>
      <c r="Q251" s="397">
        <f t="shared" si="48"/>
        <v>-26.694752178922027</v>
      </c>
      <c r="R251" s="398">
        <f t="shared" si="50"/>
        <v>3942.3309927110877</v>
      </c>
      <c r="S251" s="399">
        <f>INDEX(LIBOR!$M$3:$M$122,MATCH(L251,LIBOR!$N$3:$N$122))</f>
        <v>3.2809699999999997E-2</v>
      </c>
      <c r="T251" s="400">
        <f t="shared" si="51"/>
        <v>8.1809699999999999E-2</v>
      </c>
    </row>
    <row r="252" spans="2:20">
      <c r="B252" s="396">
        <f t="shared" si="52"/>
        <v>51805</v>
      </c>
      <c r="C252" s="357">
        <f t="shared" si="53"/>
        <v>304</v>
      </c>
      <c r="D252" s="397" t="e">
        <f>INDEX('Monthly Cash Flow'!$L$137:$GT$137, MATCH(C252, 'Monthly Cash Flow'!$L$13:$GT$13, 0))</f>
        <v>#N/A</v>
      </c>
      <c r="E252" s="397">
        <f t="shared" ca="1" si="46"/>
        <v>0</v>
      </c>
      <c r="F252" s="397" t="e">
        <f t="shared" si="42"/>
        <v>#N/A</v>
      </c>
      <c r="G252" s="397" t="e">
        <f t="shared" ca="1" si="43"/>
        <v>#N/A</v>
      </c>
      <c r="H252" s="398" t="e">
        <f t="shared" ca="1" si="44"/>
        <v>#N/A</v>
      </c>
      <c r="I252" s="399">
        <f>MAX($J$5, INDEX(LIBOR!$M$3:$M$122,MATCH(B252,LIBOR!$N$3:$N$122)))</f>
        <v>3.2809699999999997E-2</v>
      </c>
      <c r="J252" s="400">
        <f t="shared" si="45"/>
        <v>8.5309699999999988E-2</v>
      </c>
      <c r="L252" s="392">
        <f t="shared" si="54"/>
        <v>51805</v>
      </c>
      <c r="M252" s="357">
        <f t="shared" si="55"/>
        <v>304</v>
      </c>
      <c r="N252" s="397">
        <v>3890.0851520346996</v>
      </c>
      <c r="O252" s="397">
        <f t="shared" si="47"/>
        <v>0</v>
      </c>
      <c r="P252" s="397">
        <f t="shared" si="49"/>
        <v>26.520558271867767</v>
      </c>
      <c r="Q252" s="397">
        <f t="shared" si="48"/>
        <v>-26.520558271867767</v>
      </c>
      <c r="R252" s="398">
        <f t="shared" si="50"/>
        <v>3916.6057103065673</v>
      </c>
      <c r="S252" s="399">
        <f>INDEX(LIBOR!$M$3:$M$122,MATCH(L252,LIBOR!$N$3:$N$122))</f>
        <v>3.2809699999999997E-2</v>
      </c>
      <c r="T252" s="400">
        <f t="shared" si="51"/>
        <v>8.1809699999999999E-2</v>
      </c>
    </row>
    <row r="253" spans="2:20">
      <c r="B253" s="396">
        <f t="shared" si="52"/>
        <v>51835</v>
      </c>
      <c r="C253" s="357">
        <f t="shared" si="53"/>
        <v>305</v>
      </c>
      <c r="D253" s="397" t="e">
        <f>INDEX('Monthly Cash Flow'!$L$137:$GT$137, MATCH(C253, 'Monthly Cash Flow'!$L$13:$GT$13, 0))</f>
        <v>#N/A</v>
      </c>
      <c r="E253" s="397">
        <f t="shared" ca="1" si="46"/>
        <v>0</v>
      </c>
      <c r="F253" s="397" t="e">
        <f t="shared" si="42"/>
        <v>#N/A</v>
      </c>
      <c r="G253" s="397" t="e">
        <f t="shared" ca="1" si="43"/>
        <v>#N/A</v>
      </c>
      <c r="H253" s="398" t="e">
        <f t="shared" ca="1" si="44"/>
        <v>#N/A</v>
      </c>
      <c r="I253" s="399">
        <f>MAX($J$5, INDEX(LIBOR!$M$3:$M$122,MATCH(B253,LIBOR!$N$3:$N$122)))</f>
        <v>3.2809699999999997E-2</v>
      </c>
      <c r="J253" s="400">
        <f t="shared" si="45"/>
        <v>8.5309699999999988E-2</v>
      </c>
      <c r="L253" s="392">
        <f t="shared" si="54"/>
        <v>51835</v>
      </c>
      <c r="M253" s="357">
        <f t="shared" si="55"/>
        <v>305</v>
      </c>
      <c r="N253" s="397">
        <v>3864.4176840781224</v>
      </c>
      <c r="O253" s="397">
        <f t="shared" si="47"/>
        <v>0</v>
      </c>
      <c r="P253" s="397">
        <f t="shared" si="49"/>
        <v>26.3455709507605</v>
      </c>
      <c r="Q253" s="397">
        <f t="shared" si="48"/>
        <v>-26.3455709507605</v>
      </c>
      <c r="R253" s="398">
        <f t="shared" si="50"/>
        <v>3890.7632550288831</v>
      </c>
      <c r="S253" s="399">
        <f>INDEX(LIBOR!$M$3:$M$122,MATCH(L253,LIBOR!$N$3:$N$122))</f>
        <v>3.2809699999999997E-2</v>
      </c>
      <c r="T253" s="400">
        <f t="shared" si="51"/>
        <v>8.1809699999999999E-2</v>
      </c>
    </row>
    <row r="254" spans="2:20">
      <c r="B254" s="396">
        <f t="shared" si="52"/>
        <v>51866</v>
      </c>
      <c r="C254" s="357">
        <f t="shared" si="53"/>
        <v>306</v>
      </c>
      <c r="D254" s="397" t="e">
        <f>INDEX('Monthly Cash Flow'!$L$137:$GT$137, MATCH(C254, 'Monthly Cash Flow'!$L$13:$GT$13, 0))</f>
        <v>#N/A</v>
      </c>
      <c r="E254" s="397">
        <f t="shared" ca="1" si="46"/>
        <v>0</v>
      </c>
      <c r="F254" s="397" t="e">
        <f t="shared" si="42"/>
        <v>#N/A</v>
      </c>
      <c r="G254" s="397" t="e">
        <f t="shared" ca="1" si="43"/>
        <v>#N/A</v>
      </c>
      <c r="H254" s="398" t="e">
        <f t="shared" ca="1" si="44"/>
        <v>#N/A</v>
      </c>
      <c r="I254" s="399">
        <f>MAX($J$5, INDEX(LIBOR!$M$3:$M$122,MATCH(B254,LIBOR!$N$3:$N$122)))</f>
        <v>3.2809699999999997E-2</v>
      </c>
      <c r="J254" s="400">
        <f t="shared" si="45"/>
        <v>8.5309699999999988E-2</v>
      </c>
      <c r="L254" s="392">
        <f t="shared" si="54"/>
        <v>51866</v>
      </c>
      <c r="M254" s="357">
        <f t="shared" si="55"/>
        <v>306</v>
      </c>
      <c r="N254" s="397">
        <v>3838.6333065801837</v>
      </c>
      <c r="O254" s="397">
        <f t="shared" si="47"/>
        <v>0</v>
      </c>
      <c r="P254" s="397">
        <f t="shared" si="49"/>
        <v>26.169786601777741</v>
      </c>
      <c r="Q254" s="397">
        <f t="shared" si="48"/>
        <v>-26.169786601777741</v>
      </c>
      <c r="R254" s="398">
        <f t="shared" si="50"/>
        <v>3864.8030931819612</v>
      </c>
      <c r="S254" s="399">
        <f>INDEX(LIBOR!$M$3:$M$122,MATCH(L254,LIBOR!$N$3:$N$122))</f>
        <v>3.2809699999999997E-2</v>
      </c>
      <c r="T254" s="400">
        <f t="shared" si="51"/>
        <v>8.1809699999999999E-2</v>
      </c>
    </row>
    <row r="255" spans="2:20">
      <c r="B255" s="396">
        <f t="shared" si="52"/>
        <v>51897</v>
      </c>
      <c r="C255" s="357">
        <f t="shared" si="53"/>
        <v>307</v>
      </c>
      <c r="D255" s="397" t="e">
        <f>INDEX('Monthly Cash Flow'!$L$137:$GT$137, MATCH(C255, 'Monthly Cash Flow'!$L$13:$GT$13, 0))</f>
        <v>#N/A</v>
      </c>
      <c r="E255" s="397">
        <f t="shared" ca="1" si="46"/>
        <v>0</v>
      </c>
      <c r="F255" s="397" t="e">
        <f t="shared" si="42"/>
        <v>#N/A</v>
      </c>
      <c r="G255" s="397" t="e">
        <f t="shared" ca="1" si="43"/>
        <v>#N/A</v>
      </c>
      <c r="H255" s="398" t="e">
        <f t="shared" ca="1" si="44"/>
        <v>#N/A</v>
      </c>
      <c r="I255" s="399">
        <f>MAX($J$5, INDEX(LIBOR!$M$3:$M$122,MATCH(B255,LIBOR!$N$3:$N$122)))</f>
        <v>3.2809699999999997E-2</v>
      </c>
      <c r="J255" s="400">
        <f t="shared" si="45"/>
        <v>8.5309699999999988E-2</v>
      </c>
      <c r="L255" s="392">
        <f t="shared" si="54"/>
        <v>51897</v>
      </c>
      <c r="M255" s="357">
        <f t="shared" si="55"/>
        <v>307</v>
      </c>
      <c r="N255" s="397">
        <v>3812.7314870442265</v>
      </c>
      <c r="O255" s="397">
        <f t="shared" si="47"/>
        <v>0</v>
      </c>
      <c r="P255" s="397">
        <f t="shared" si="49"/>
        <v>25.99320159463684</v>
      </c>
      <c r="Q255" s="397">
        <f t="shared" si="48"/>
        <v>-25.99320159463684</v>
      </c>
      <c r="R255" s="398">
        <f t="shared" si="50"/>
        <v>3838.7246886388634</v>
      </c>
      <c r="S255" s="399">
        <f>INDEX(LIBOR!$M$3:$M$122,MATCH(L255,LIBOR!$N$3:$N$122))</f>
        <v>3.2809699999999997E-2</v>
      </c>
      <c r="T255" s="400">
        <f t="shared" si="51"/>
        <v>8.1809699999999999E-2</v>
      </c>
    </row>
    <row r="256" spans="2:20">
      <c r="B256" s="396">
        <f t="shared" si="52"/>
        <v>51925</v>
      </c>
      <c r="C256" s="357">
        <f t="shared" si="53"/>
        <v>308</v>
      </c>
      <c r="D256" s="397" t="e">
        <f>INDEX('Monthly Cash Flow'!$L$137:$GT$137, MATCH(C256, 'Monthly Cash Flow'!$L$13:$GT$13, 0))</f>
        <v>#N/A</v>
      </c>
      <c r="E256" s="397">
        <f t="shared" ca="1" si="46"/>
        <v>0</v>
      </c>
      <c r="F256" s="397" t="e">
        <f t="shared" si="42"/>
        <v>#N/A</v>
      </c>
      <c r="G256" s="397" t="e">
        <f t="shared" ca="1" si="43"/>
        <v>#N/A</v>
      </c>
      <c r="H256" s="398" t="e">
        <f t="shared" ca="1" si="44"/>
        <v>#N/A</v>
      </c>
      <c r="I256" s="399">
        <f>MAX($J$5, INDEX(LIBOR!$M$3:$M$122,MATCH(B256,LIBOR!$N$3:$N$122)))</f>
        <v>3.2809699999999997E-2</v>
      </c>
      <c r="J256" s="400">
        <f t="shared" si="45"/>
        <v>8.5309699999999988E-2</v>
      </c>
      <c r="L256" s="392">
        <f t="shared" si="54"/>
        <v>51925</v>
      </c>
      <c r="M256" s="357">
        <f t="shared" si="55"/>
        <v>308</v>
      </c>
      <c r="N256" s="397">
        <v>3786.7116905481926</v>
      </c>
      <c r="O256" s="397">
        <f t="shared" si="47"/>
        <v>0</v>
      </c>
      <c r="P256" s="397">
        <f t="shared" si="49"/>
        <v>25.815812282520039</v>
      </c>
      <c r="Q256" s="397">
        <f t="shared" si="48"/>
        <v>-25.815812282520039</v>
      </c>
      <c r="R256" s="398">
        <f t="shared" si="50"/>
        <v>3812.5275028307128</v>
      </c>
      <c r="S256" s="399">
        <f>INDEX(LIBOR!$M$3:$M$122,MATCH(L256,LIBOR!$N$3:$N$122))</f>
        <v>3.2809699999999997E-2</v>
      </c>
      <c r="T256" s="400">
        <f t="shared" si="51"/>
        <v>8.1809699999999999E-2</v>
      </c>
    </row>
    <row r="257" spans="2:20">
      <c r="B257" s="396">
        <f t="shared" si="52"/>
        <v>51956</v>
      </c>
      <c r="C257" s="357">
        <f t="shared" si="53"/>
        <v>309</v>
      </c>
      <c r="D257" s="397" t="e">
        <f>INDEX('Monthly Cash Flow'!$L$137:$GT$137, MATCH(C257, 'Monthly Cash Flow'!$L$13:$GT$13, 0))</f>
        <v>#N/A</v>
      </c>
      <c r="E257" s="397">
        <f t="shared" ca="1" si="46"/>
        <v>0</v>
      </c>
      <c r="F257" s="397" t="e">
        <f t="shared" si="42"/>
        <v>#N/A</v>
      </c>
      <c r="G257" s="397" t="e">
        <f t="shared" ca="1" si="43"/>
        <v>#N/A</v>
      </c>
      <c r="H257" s="398" t="e">
        <f t="shared" ca="1" si="44"/>
        <v>#N/A</v>
      </c>
      <c r="I257" s="399">
        <f>MAX($J$5, INDEX(LIBOR!$M$3:$M$122,MATCH(B257,LIBOR!$N$3:$N$122)))</f>
        <v>3.2809699999999997E-2</v>
      </c>
      <c r="J257" s="400">
        <f t="shared" si="45"/>
        <v>8.5309699999999988E-2</v>
      </c>
      <c r="L257" s="392">
        <f t="shared" si="54"/>
        <v>51956</v>
      </c>
      <c r="M257" s="357">
        <f t="shared" si="55"/>
        <v>309</v>
      </c>
      <c r="N257" s="397">
        <v>3760.5733797335733</v>
      </c>
      <c r="O257" s="397">
        <f t="shared" si="47"/>
        <v>0</v>
      </c>
      <c r="P257" s="397">
        <f t="shared" si="49"/>
        <v>25.637615001999141</v>
      </c>
      <c r="Q257" s="397">
        <f t="shared" si="48"/>
        <v>-25.637615001999141</v>
      </c>
      <c r="R257" s="398">
        <f t="shared" si="50"/>
        <v>3786.2109947355725</v>
      </c>
      <c r="S257" s="399">
        <f>INDEX(LIBOR!$M$3:$M$122,MATCH(L257,LIBOR!$N$3:$N$122))</f>
        <v>3.2809699999999997E-2</v>
      </c>
      <c r="T257" s="400">
        <f t="shared" si="51"/>
        <v>8.1809699999999999E-2</v>
      </c>
    </row>
    <row r="258" spans="2:20">
      <c r="B258" s="396">
        <f t="shared" si="52"/>
        <v>51986</v>
      </c>
      <c r="C258" s="357">
        <f t="shared" si="53"/>
        <v>310</v>
      </c>
      <c r="D258" s="397" t="e">
        <f>INDEX('Monthly Cash Flow'!$L$137:$GT$137, MATCH(C258, 'Monthly Cash Flow'!$L$13:$GT$13, 0))</f>
        <v>#N/A</v>
      </c>
      <c r="E258" s="397">
        <f t="shared" ca="1" si="46"/>
        <v>0</v>
      </c>
      <c r="F258" s="397" t="e">
        <f t="shared" si="42"/>
        <v>#N/A</v>
      </c>
      <c r="G258" s="397" t="e">
        <f t="shared" ca="1" si="43"/>
        <v>#N/A</v>
      </c>
      <c r="H258" s="398" t="e">
        <f t="shared" ca="1" si="44"/>
        <v>#N/A</v>
      </c>
      <c r="I258" s="399">
        <f>MAX($J$5, INDEX(LIBOR!$M$3:$M$122,MATCH(B258,LIBOR!$N$3:$N$122)))</f>
        <v>3.2809699999999997E-2</v>
      </c>
      <c r="J258" s="400">
        <f t="shared" si="45"/>
        <v>8.5309699999999988E-2</v>
      </c>
      <c r="L258" s="392">
        <f t="shared" si="54"/>
        <v>51986</v>
      </c>
      <c r="M258" s="357">
        <f t="shared" si="55"/>
        <v>310</v>
      </c>
      <c r="N258" s="397">
        <v>3734.3160147943136</v>
      </c>
      <c r="O258" s="397">
        <f t="shared" si="47"/>
        <v>0</v>
      </c>
      <c r="P258" s="397">
        <f t="shared" si="49"/>
        <v>25.458606072959864</v>
      </c>
      <c r="Q258" s="397">
        <f t="shared" si="48"/>
        <v>-25.458606072959864</v>
      </c>
      <c r="R258" s="398">
        <f t="shared" si="50"/>
        <v>3759.7746208672734</v>
      </c>
      <c r="S258" s="399">
        <f>INDEX(LIBOR!$M$3:$M$122,MATCH(L258,LIBOR!$N$3:$N$122))</f>
        <v>3.2809699999999997E-2</v>
      </c>
      <c r="T258" s="400">
        <f t="shared" si="51"/>
        <v>8.1809699999999999E-2</v>
      </c>
    </row>
    <row r="259" spans="2:20">
      <c r="B259" s="396">
        <f t="shared" si="52"/>
        <v>52017</v>
      </c>
      <c r="C259" s="357">
        <f t="shared" si="53"/>
        <v>311</v>
      </c>
      <c r="D259" s="397" t="e">
        <f>INDEX('Monthly Cash Flow'!$L$137:$GT$137, MATCH(C259, 'Monthly Cash Flow'!$L$13:$GT$13, 0))</f>
        <v>#N/A</v>
      </c>
      <c r="E259" s="397">
        <f t="shared" ca="1" si="46"/>
        <v>0</v>
      </c>
      <c r="F259" s="397" t="e">
        <f t="shared" si="42"/>
        <v>#N/A</v>
      </c>
      <c r="G259" s="397" t="e">
        <f t="shared" ca="1" si="43"/>
        <v>#N/A</v>
      </c>
      <c r="H259" s="398" t="e">
        <f t="shared" ca="1" si="44"/>
        <v>#N/A</v>
      </c>
      <c r="I259" s="399">
        <f>MAX($J$5, INDEX(LIBOR!$M$3:$M$122,MATCH(B259,LIBOR!$N$3:$N$122)))</f>
        <v>3.2809699999999997E-2</v>
      </c>
      <c r="J259" s="400">
        <f t="shared" si="45"/>
        <v>8.5309699999999988E-2</v>
      </c>
      <c r="L259" s="392">
        <f t="shared" si="54"/>
        <v>52017</v>
      </c>
      <c r="M259" s="357">
        <f t="shared" si="55"/>
        <v>311</v>
      </c>
      <c r="N259" s="397">
        <v>3707.9390534656627</v>
      </c>
      <c r="O259" s="397">
        <f t="shared" si="47"/>
        <v>0</v>
      </c>
      <c r="P259" s="397">
        <f t="shared" si="49"/>
        <v>25.278781798525817</v>
      </c>
      <c r="Q259" s="397">
        <f t="shared" si="48"/>
        <v>-25.278781798525817</v>
      </c>
      <c r="R259" s="398">
        <f t="shared" si="50"/>
        <v>3733.2178352641886</v>
      </c>
      <c r="S259" s="399">
        <f>INDEX(LIBOR!$M$3:$M$122,MATCH(L259,LIBOR!$N$3:$N$122))</f>
        <v>3.2809699999999997E-2</v>
      </c>
      <c r="T259" s="400">
        <f t="shared" si="51"/>
        <v>8.1809699999999999E-2</v>
      </c>
    </row>
    <row r="260" spans="2:20">
      <c r="B260" s="396">
        <f t="shared" si="52"/>
        <v>52047</v>
      </c>
      <c r="C260" s="357">
        <f t="shared" si="53"/>
        <v>312</v>
      </c>
      <c r="D260" s="397" t="e">
        <f>INDEX('Monthly Cash Flow'!$L$137:$GT$137, MATCH(C260, 'Monthly Cash Flow'!$L$13:$GT$13, 0))</f>
        <v>#N/A</v>
      </c>
      <c r="E260" s="397">
        <f t="shared" ca="1" si="46"/>
        <v>0</v>
      </c>
      <c r="F260" s="397" t="e">
        <f t="shared" si="42"/>
        <v>#N/A</v>
      </c>
      <c r="G260" s="397" t="e">
        <f t="shared" ca="1" si="43"/>
        <v>#N/A</v>
      </c>
      <c r="H260" s="398" t="e">
        <f t="shared" ca="1" si="44"/>
        <v>#N/A</v>
      </c>
      <c r="I260" s="399">
        <f>MAX($J$5, INDEX(LIBOR!$M$3:$M$122,MATCH(B260,LIBOR!$N$3:$N$122)))</f>
        <v>3.2809699999999997E-2</v>
      </c>
      <c r="J260" s="400">
        <f t="shared" si="45"/>
        <v>8.5309699999999988E-2</v>
      </c>
      <c r="L260" s="392">
        <f t="shared" si="54"/>
        <v>52047</v>
      </c>
      <c r="M260" s="357">
        <f t="shared" si="55"/>
        <v>312</v>
      </c>
      <c r="N260" s="397">
        <v>3681.441951012976</v>
      </c>
      <c r="O260" s="397">
        <f t="shared" si="47"/>
        <v>0</v>
      </c>
      <c r="P260" s="397">
        <f t="shared" si="49"/>
        <v>25.098138464982188</v>
      </c>
      <c r="Q260" s="397">
        <f t="shared" si="48"/>
        <v>-25.098138464982188</v>
      </c>
      <c r="R260" s="398">
        <f t="shared" si="50"/>
        <v>3706.5400894779582</v>
      </c>
      <c r="S260" s="399">
        <f>INDEX(LIBOR!$M$3:$M$122,MATCH(L260,LIBOR!$N$3:$N$122))</f>
        <v>3.2809699999999997E-2</v>
      </c>
      <c r="T260" s="400">
        <f t="shared" si="51"/>
        <v>8.1809699999999999E-2</v>
      </c>
    </row>
    <row r="261" spans="2:20">
      <c r="B261" s="396">
        <f t="shared" si="52"/>
        <v>52078</v>
      </c>
      <c r="C261" s="357">
        <f t="shared" si="53"/>
        <v>313</v>
      </c>
      <c r="D261" s="397" t="e">
        <f>INDEX('Monthly Cash Flow'!$L$137:$GT$137, MATCH(C261, 'Monthly Cash Flow'!$L$13:$GT$13, 0))</f>
        <v>#N/A</v>
      </c>
      <c r="E261" s="397">
        <f t="shared" ca="1" si="46"/>
        <v>0</v>
      </c>
      <c r="F261" s="397" t="e">
        <f t="shared" ref="F261:F324" si="56">D261*J261/12</f>
        <v>#N/A</v>
      </c>
      <c r="G261" s="397" t="e">
        <f t="shared" ref="G261:G324" ca="1" si="57">+E261-F261</f>
        <v>#N/A</v>
      </c>
      <c r="H261" s="398" t="e">
        <f t="shared" ref="H261:H324" ca="1" si="58">+D261-G261</f>
        <v>#N/A</v>
      </c>
      <c r="I261" s="399">
        <f>MAX($J$5, INDEX(LIBOR!$M$3:$M$122,MATCH(B261,LIBOR!$N$3:$N$122)))</f>
        <v>3.2809699999999997E-2</v>
      </c>
      <c r="J261" s="400">
        <f t="shared" ref="J261:J324" si="59">IF($I$2=1,I261+$J$4/10000,$J$3)</f>
        <v>8.5309699999999988E-2</v>
      </c>
      <c r="L261" s="392">
        <f t="shared" si="54"/>
        <v>52078</v>
      </c>
      <c r="M261" s="357">
        <f t="shared" si="55"/>
        <v>313</v>
      </c>
      <c r="N261" s="397">
        <v>3654.8241602204653</v>
      </c>
      <c r="O261" s="397">
        <f t="shared" si="47"/>
        <v>0</v>
      </c>
      <c r="P261" s="397">
        <f t="shared" si="49"/>
        <v>24.916672341699016</v>
      </c>
      <c r="Q261" s="397">
        <f t="shared" si="48"/>
        <v>-24.916672341699016</v>
      </c>
      <c r="R261" s="398">
        <f t="shared" si="50"/>
        <v>3679.7408325621641</v>
      </c>
      <c r="S261" s="399">
        <f>INDEX(LIBOR!$M$3:$M$122,MATCH(L261,LIBOR!$N$3:$N$122))</f>
        <v>3.2809699999999997E-2</v>
      </c>
      <c r="T261" s="400">
        <f t="shared" si="51"/>
        <v>8.1809699999999999E-2</v>
      </c>
    </row>
    <row r="262" spans="2:20">
      <c r="B262" s="396">
        <f t="shared" si="52"/>
        <v>52109</v>
      </c>
      <c r="C262" s="357">
        <f t="shared" si="53"/>
        <v>314</v>
      </c>
      <c r="D262" s="397" t="e">
        <f>INDEX('Monthly Cash Flow'!$L$137:$GT$137, MATCH(C262, 'Monthly Cash Flow'!$L$13:$GT$13, 0))</f>
        <v>#N/A</v>
      </c>
      <c r="E262" s="397">
        <f t="shared" ca="1" si="46"/>
        <v>0</v>
      </c>
      <c r="F262" s="397" t="e">
        <f t="shared" si="56"/>
        <v>#N/A</v>
      </c>
      <c r="G262" s="397" t="e">
        <f t="shared" ca="1" si="57"/>
        <v>#N/A</v>
      </c>
      <c r="H262" s="398" t="e">
        <f t="shared" ca="1" si="58"/>
        <v>#N/A</v>
      </c>
      <c r="I262" s="399">
        <f>MAX($J$5, INDEX(LIBOR!$M$3:$M$122,MATCH(B262,LIBOR!$N$3:$N$122)))</f>
        <v>3.2809699999999997E-2</v>
      </c>
      <c r="J262" s="400">
        <f t="shared" si="59"/>
        <v>8.5309699999999988E-2</v>
      </c>
      <c r="L262" s="392">
        <f t="shared" si="54"/>
        <v>52109</v>
      </c>
      <c r="M262" s="357">
        <f t="shared" si="55"/>
        <v>314</v>
      </c>
      <c r="N262" s="397">
        <v>3628.0851313798976</v>
      </c>
      <c r="O262" s="397">
        <f t="shared" si="47"/>
        <v>0</v>
      </c>
      <c r="P262" s="397">
        <f t="shared" si="49"/>
        <v>24.734379681054165</v>
      </c>
      <c r="Q262" s="397">
        <f t="shared" si="48"/>
        <v>-24.734379681054165</v>
      </c>
      <c r="R262" s="398">
        <f t="shared" si="50"/>
        <v>3652.8195110609518</v>
      </c>
      <c r="S262" s="399">
        <f>INDEX(LIBOR!$M$3:$M$122,MATCH(L262,LIBOR!$N$3:$N$122))</f>
        <v>3.2809699999999997E-2</v>
      </c>
      <c r="T262" s="400">
        <f t="shared" si="51"/>
        <v>8.1809699999999999E-2</v>
      </c>
    </row>
    <row r="263" spans="2:20">
      <c r="B263" s="396">
        <f t="shared" si="52"/>
        <v>52139</v>
      </c>
      <c r="C263" s="357">
        <f t="shared" si="53"/>
        <v>315</v>
      </c>
      <c r="D263" s="397" t="e">
        <f>INDEX('Monthly Cash Flow'!$L$137:$GT$137, MATCH(C263, 'Monthly Cash Flow'!$L$13:$GT$13, 0))</f>
        <v>#N/A</v>
      </c>
      <c r="E263" s="397">
        <f t="shared" ca="1" si="46"/>
        <v>0</v>
      </c>
      <c r="F263" s="397" t="e">
        <f t="shared" si="56"/>
        <v>#N/A</v>
      </c>
      <c r="G263" s="397" t="e">
        <f t="shared" ca="1" si="57"/>
        <v>#N/A</v>
      </c>
      <c r="H263" s="398" t="e">
        <f t="shared" ca="1" si="58"/>
        <v>#N/A</v>
      </c>
      <c r="I263" s="399">
        <f>MAX($J$5, INDEX(LIBOR!$M$3:$M$122,MATCH(B263,LIBOR!$N$3:$N$122)))</f>
        <v>3.2809699999999997E-2</v>
      </c>
      <c r="J263" s="400">
        <f t="shared" si="59"/>
        <v>8.5309699999999988E-2</v>
      </c>
      <c r="L263" s="392">
        <f t="shared" si="54"/>
        <v>52139</v>
      </c>
      <c r="M263" s="357">
        <f t="shared" si="55"/>
        <v>315</v>
      </c>
      <c r="N263" s="397">
        <v>3601.2243122792424</v>
      </c>
      <c r="O263" s="397">
        <f t="shared" si="47"/>
        <v>0</v>
      </c>
      <c r="P263" s="397">
        <f t="shared" si="49"/>
        <v>24.55125671835593</v>
      </c>
      <c r="Q263" s="397">
        <f t="shared" si="48"/>
        <v>-24.55125671835593</v>
      </c>
      <c r="R263" s="398">
        <f t="shared" si="50"/>
        <v>3625.7755689975984</v>
      </c>
      <c r="S263" s="399">
        <f>INDEX(LIBOR!$M$3:$M$122,MATCH(L263,LIBOR!$N$3:$N$122))</f>
        <v>3.2809699999999997E-2</v>
      </c>
      <c r="T263" s="400">
        <f t="shared" si="51"/>
        <v>8.1809699999999999E-2</v>
      </c>
    </row>
    <row r="264" spans="2:20">
      <c r="B264" s="396">
        <f t="shared" si="52"/>
        <v>52170</v>
      </c>
      <c r="C264" s="357">
        <f t="shared" si="53"/>
        <v>316</v>
      </c>
      <c r="D264" s="397" t="e">
        <f>INDEX('Monthly Cash Flow'!$L$137:$GT$137, MATCH(C264, 'Monthly Cash Flow'!$L$13:$GT$13, 0))</f>
        <v>#N/A</v>
      </c>
      <c r="E264" s="397">
        <f t="shared" ca="1" si="46"/>
        <v>0</v>
      </c>
      <c r="F264" s="397" t="e">
        <f t="shared" si="56"/>
        <v>#N/A</v>
      </c>
      <c r="G264" s="397" t="e">
        <f t="shared" ca="1" si="57"/>
        <v>#N/A</v>
      </c>
      <c r="H264" s="398" t="e">
        <f t="shared" ca="1" si="58"/>
        <v>#N/A</v>
      </c>
      <c r="I264" s="399">
        <f>MAX($J$5, INDEX(LIBOR!$M$3:$M$122,MATCH(B264,LIBOR!$N$3:$N$122)))</f>
        <v>3.2809699999999997E-2</v>
      </c>
      <c r="J264" s="400">
        <f t="shared" si="59"/>
        <v>8.5309699999999988E-2</v>
      </c>
      <c r="L264" s="392">
        <f t="shared" si="54"/>
        <v>52170</v>
      </c>
      <c r="M264" s="357">
        <f t="shared" si="55"/>
        <v>316</v>
      </c>
      <c r="N264" s="397">
        <v>3574.2411481912682</v>
      </c>
      <c r="O264" s="397">
        <f t="shared" si="47"/>
        <v>0</v>
      </c>
      <c r="P264" s="397">
        <f t="shared" si="49"/>
        <v>24.367299671765267</v>
      </c>
      <c r="Q264" s="397">
        <f t="shared" si="48"/>
        <v>-24.367299671765267</v>
      </c>
      <c r="R264" s="398">
        <f t="shared" si="50"/>
        <v>3598.6084478630332</v>
      </c>
      <c r="S264" s="399">
        <f>INDEX(LIBOR!$M$3:$M$122,MATCH(L264,LIBOR!$N$3:$N$122))</f>
        <v>3.2809699999999997E-2</v>
      </c>
      <c r="T264" s="400">
        <f t="shared" si="51"/>
        <v>8.1809699999999999E-2</v>
      </c>
    </row>
    <row r="265" spans="2:20">
      <c r="B265" s="396">
        <f t="shared" si="52"/>
        <v>52200</v>
      </c>
      <c r="C265" s="357">
        <f t="shared" si="53"/>
        <v>317</v>
      </c>
      <c r="D265" s="397" t="e">
        <f>INDEX('Monthly Cash Flow'!$L$137:$GT$137, MATCH(C265, 'Monthly Cash Flow'!$L$13:$GT$13, 0))</f>
        <v>#N/A</v>
      </c>
      <c r="E265" s="397">
        <f t="shared" ref="E265:E328" ca="1" si="60">-PMT(J265/12,$E$2*12,$D$9,)</f>
        <v>0</v>
      </c>
      <c r="F265" s="397" t="e">
        <f t="shared" si="56"/>
        <v>#N/A</v>
      </c>
      <c r="G265" s="397" t="e">
        <f t="shared" ca="1" si="57"/>
        <v>#N/A</v>
      </c>
      <c r="H265" s="398" t="e">
        <f t="shared" ca="1" si="58"/>
        <v>#N/A</v>
      </c>
      <c r="I265" s="399">
        <f>MAX($J$5, INDEX(LIBOR!$M$3:$M$122,MATCH(B265,LIBOR!$N$3:$N$122)))</f>
        <v>3.2809699999999997E-2</v>
      </c>
      <c r="J265" s="400">
        <f t="shared" si="59"/>
        <v>8.5309699999999988E-2</v>
      </c>
      <c r="L265" s="392">
        <f t="shared" si="54"/>
        <v>52200</v>
      </c>
      <c r="M265" s="357">
        <f t="shared" si="55"/>
        <v>317</v>
      </c>
      <c r="N265" s="397">
        <v>3547.1350818620854</v>
      </c>
      <c r="O265" s="397">
        <f t="shared" ref="O265:O328" si="61">-PMT(T265/12,$O$2*12,$N$9,)</f>
        <v>0</v>
      </c>
      <c r="P265" s="397">
        <f t="shared" si="49"/>
        <v>24.18250474221772</v>
      </c>
      <c r="Q265" s="397">
        <f t="shared" ref="Q265:Q328" si="62">+O265-P265</f>
        <v>-24.18250474221772</v>
      </c>
      <c r="R265" s="398">
        <f t="shared" si="50"/>
        <v>3571.317586604303</v>
      </c>
      <c r="S265" s="399">
        <f>INDEX(LIBOR!$M$3:$M$122,MATCH(L265,LIBOR!$N$3:$N$122))</f>
        <v>3.2809699999999997E-2</v>
      </c>
      <c r="T265" s="400">
        <f t="shared" si="51"/>
        <v>8.1809699999999999E-2</v>
      </c>
    </row>
    <row r="266" spans="2:20">
      <c r="B266" s="396">
        <f t="shared" si="52"/>
        <v>52231</v>
      </c>
      <c r="C266" s="357">
        <f t="shared" si="53"/>
        <v>318</v>
      </c>
      <c r="D266" s="397" t="e">
        <f>INDEX('Monthly Cash Flow'!$L$137:$GT$137, MATCH(C266, 'Monthly Cash Flow'!$L$13:$GT$13, 0))</f>
        <v>#N/A</v>
      </c>
      <c r="E266" s="397">
        <f t="shared" ca="1" si="60"/>
        <v>0</v>
      </c>
      <c r="F266" s="397" t="e">
        <f t="shared" si="56"/>
        <v>#N/A</v>
      </c>
      <c r="G266" s="397" t="e">
        <f t="shared" ca="1" si="57"/>
        <v>#N/A</v>
      </c>
      <c r="H266" s="398" t="e">
        <f t="shared" ca="1" si="58"/>
        <v>#N/A</v>
      </c>
      <c r="I266" s="399">
        <f>MAX($J$5, INDEX(LIBOR!$M$3:$M$122,MATCH(B266,LIBOR!$N$3:$N$122)))</f>
        <v>3.2809699999999997E-2</v>
      </c>
      <c r="J266" s="400">
        <f t="shared" si="59"/>
        <v>8.5309699999999988E-2</v>
      </c>
      <c r="L266" s="392">
        <f t="shared" si="54"/>
        <v>52231</v>
      </c>
      <c r="M266" s="357">
        <f t="shared" si="55"/>
        <v>318</v>
      </c>
      <c r="N266" s="397">
        <v>3519.9055534996378</v>
      </c>
      <c r="O266" s="397">
        <f t="shared" si="61"/>
        <v>0</v>
      </c>
      <c r="P266" s="397">
        <f t="shared" ref="P266:P329" si="63">N266*T266/12</f>
        <v>23.996868113344945</v>
      </c>
      <c r="Q266" s="397">
        <f t="shared" si="62"/>
        <v>-23.996868113344945</v>
      </c>
      <c r="R266" s="398">
        <f t="shared" ref="R266:R329" si="64">+N266-Q266</f>
        <v>3543.9024216129828</v>
      </c>
      <c r="S266" s="399">
        <f>INDEX(LIBOR!$M$3:$M$122,MATCH(L266,LIBOR!$N$3:$N$122))</f>
        <v>3.2809699999999997E-2</v>
      </c>
      <c r="T266" s="400">
        <f t="shared" ref="T266:T329" si="65">IF($S$2=1,S266+$T$4/10000,$T$3)</f>
        <v>8.1809699999999999E-2</v>
      </c>
    </row>
    <row r="267" spans="2:20">
      <c r="B267" s="396">
        <f t="shared" ref="B267:B330" si="66">EOMONTH(B266,1)</f>
        <v>52262</v>
      </c>
      <c r="C267" s="357">
        <f t="shared" ref="C267:C330" si="67">+C266+1</f>
        <v>319</v>
      </c>
      <c r="D267" s="397" t="e">
        <f>INDEX('Monthly Cash Flow'!$L$137:$GT$137, MATCH(C267, 'Monthly Cash Flow'!$L$13:$GT$13, 0))</f>
        <v>#N/A</v>
      </c>
      <c r="E267" s="397">
        <f t="shared" ca="1" si="60"/>
        <v>0</v>
      </c>
      <c r="F267" s="397" t="e">
        <f t="shared" si="56"/>
        <v>#N/A</v>
      </c>
      <c r="G267" s="397" t="e">
        <f t="shared" ca="1" si="57"/>
        <v>#N/A</v>
      </c>
      <c r="H267" s="398" t="e">
        <f t="shared" ca="1" si="58"/>
        <v>#N/A</v>
      </c>
      <c r="I267" s="399">
        <f>MAX($J$5, INDEX(LIBOR!$M$3:$M$122,MATCH(B267,LIBOR!$N$3:$N$122)))</f>
        <v>3.2809699999999997E-2</v>
      </c>
      <c r="J267" s="400">
        <f t="shared" si="59"/>
        <v>8.5309699999999988E-2</v>
      </c>
      <c r="L267" s="392">
        <f t="shared" ref="L267:L330" si="68">EOMONTH(L266,1)</f>
        <v>52262</v>
      </c>
      <c r="M267" s="357">
        <f t="shared" ref="M267:M330" si="69">+M266+1</f>
        <v>319</v>
      </c>
      <c r="N267" s="397">
        <v>3492.5520007621431</v>
      </c>
      <c r="O267" s="397">
        <f t="shared" si="61"/>
        <v>0</v>
      </c>
      <c r="P267" s="397">
        <f t="shared" si="63"/>
        <v>23.81038595139589</v>
      </c>
      <c r="Q267" s="397">
        <f t="shared" si="62"/>
        <v>-23.81038595139589</v>
      </c>
      <c r="R267" s="398">
        <f t="shared" si="64"/>
        <v>3516.3623867135389</v>
      </c>
      <c r="S267" s="399">
        <f>INDEX(LIBOR!$M$3:$M$122,MATCH(L267,LIBOR!$N$3:$N$122))</f>
        <v>3.2809699999999997E-2</v>
      </c>
      <c r="T267" s="400">
        <f t="shared" si="65"/>
        <v>8.1809699999999999E-2</v>
      </c>
    </row>
    <row r="268" spans="2:20">
      <c r="B268" s="396">
        <f t="shared" si="66"/>
        <v>52290</v>
      </c>
      <c r="C268" s="357">
        <f t="shared" si="67"/>
        <v>320</v>
      </c>
      <c r="D268" s="397" t="e">
        <f>INDEX('Monthly Cash Flow'!$L$137:$GT$137, MATCH(C268, 'Monthly Cash Flow'!$L$13:$GT$13, 0))</f>
        <v>#N/A</v>
      </c>
      <c r="E268" s="397">
        <f t="shared" ca="1" si="60"/>
        <v>0</v>
      </c>
      <c r="F268" s="397" t="e">
        <f t="shared" si="56"/>
        <v>#N/A</v>
      </c>
      <c r="G268" s="397" t="e">
        <f t="shared" ca="1" si="57"/>
        <v>#N/A</v>
      </c>
      <c r="H268" s="398" t="e">
        <f t="shared" ca="1" si="58"/>
        <v>#N/A</v>
      </c>
      <c r="I268" s="399">
        <f>MAX($J$5, INDEX(LIBOR!$M$3:$M$122,MATCH(B268,LIBOR!$N$3:$N$122)))</f>
        <v>3.2809699999999997E-2</v>
      </c>
      <c r="J268" s="400">
        <f t="shared" si="59"/>
        <v>8.5309699999999988E-2</v>
      </c>
      <c r="L268" s="392">
        <f t="shared" si="68"/>
        <v>52290</v>
      </c>
      <c r="M268" s="357">
        <f t="shared" si="69"/>
        <v>320</v>
      </c>
      <c r="N268" s="397">
        <v>3465.0738587464784</v>
      </c>
      <c r="O268" s="397">
        <f t="shared" si="61"/>
        <v>0</v>
      </c>
      <c r="P268" s="397">
        <f t="shared" si="63"/>
        <v>23.623054405157646</v>
      </c>
      <c r="Q268" s="397">
        <f t="shared" si="62"/>
        <v>-23.623054405157646</v>
      </c>
      <c r="R268" s="398">
        <f t="shared" si="64"/>
        <v>3488.6969131516362</v>
      </c>
      <c r="S268" s="399">
        <f>INDEX(LIBOR!$M$3:$M$122,MATCH(L268,LIBOR!$N$3:$N$122))</f>
        <v>3.2809699999999997E-2</v>
      </c>
      <c r="T268" s="400">
        <f t="shared" si="65"/>
        <v>8.1809699999999999E-2</v>
      </c>
    </row>
    <row r="269" spans="2:20">
      <c r="B269" s="396">
        <f t="shared" si="66"/>
        <v>52321</v>
      </c>
      <c r="C269" s="357">
        <f t="shared" si="67"/>
        <v>321</v>
      </c>
      <c r="D269" s="397" t="e">
        <f>INDEX('Monthly Cash Flow'!$L$137:$GT$137, MATCH(C269, 'Monthly Cash Flow'!$L$13:$GT$13, 0))</f>
        <v>#N/A</v>
      </c>
      <c r="E269" s="397">
        <f t="shared" ca="1" si="60"/>
        <v>0</v>
      </c>
      <c r="F269" s="397" t="e">
        <f t="shared" si="56"/>
        <v>#N/A</v>
      </c>
      <c r="G269" s="397" t="e">
        <f t="shared" ca="1" si="57"/>
        <v>#N/A</v>
      </c>
      <c r="H269" s="398" t="e">
        <f t="shared" ca="1" si="58"/>
        <v>#N/A</v>
      </c>
      <c r="I269" s="399">
        <f>MAX($J$5, INDEX(LIBOR!$M$3:$M$122,MATCH(B269,LIBOR!$N$3:$N$122)))</f>
        <v>3.2809699999999997E-2</v>
      </c>
      <c r="J269" s="400">
        <f t="shared" si="59"/>
        <v>8.5309699999999988E-2</v>
      </c>
      <c r="L269" s="392">
        <f t="shared" si="68"/>
        <v>52321</v>
      </c>
      <c r="M269" s="357">
        <f t="shared" si="69"/>
        <v>321</v>
      </c>
      <c r="N269" s="397">
        <v>3437.4705599765148</v>
      </c>
      <c r="O269" s="397">
        <f t="shared" si="61"/>
        <v>0</v>
      </c>
      <c r="P269" s="397">
        <f t="shared" si="63"/>
        <v>23.434869605875889</v>
      </c>
      <c r="Q269" s="397">
        <f t="shared" si="62"/>
        <v>-23.434869605875889</v>
      </c>
      <c r="R269" s="398">
        <f t="shared" si="64"/>
        <v>3460.9054295823908</v>
      </c>
      <c r="S269" s="399">
        <f>INDEX(LIBOR!$M$3:$M$122,MATCH(L269,LIBOR!$N$3:$N$122))</f>
        <v>3.2809699999999997E-2</v>
      </c>
      <c r="T269" s="400">
        <f t="shared" si="65"/>
        <v>8.1809699999999999E-2</v>
      </c>
    </row>
    <row r="270" spans="2:20">
      <c r="B270" s="396">
        <f t="shared" si="66"/>
        <v>52351</v>
      </c>
      <c r="C270" s="357">
        <f t="shared" si="67"/>
        <v>322</v>
      </c>
      <c r="D270" s="397" t="e">
        <f>INDEX('Monthly Cash Flow'!$L$137:$GT$137, MATCH(C270, 'Monthly Cash Flow'!$L$13:$GT$13, 0))</f>
        <v>#N/A</v>
      </c>
      <c r="E270" s="397">
        <f t="shared" ca="1" si="60"/>
        <v>0</v>
      </c>
      <c r="F270" s="397" t="e">
        <f t="shared" si="56"/>
        <v>#N/A</v>
      </c>
      <c r="G270" s="397" t="e">
        <f t="shared" ca="1" si="57"/>
        <v>#N/A</v>
      </c>
      <c r="H270" s="398" t="e">
        <f t="shared" ca="1" si="58"/>
        <v>#N/A</v>
      </c>
      <c r="I270" s="399">
        <f>MAX($J$5, INDEX(LIBOR!$M$3:$M$122,MATCH(B270,LIBOR!$N$3:$N$122)))</f>
        <v>3.2809699999999997E-2</v>
      </c>
      <c r="J270" s="400">
        <f t="shared" si="59"/>
        <v>8.5309699999999988E-2</v>
      </c>
      <c r="L270" s="392">
        <f t="shared" si="68"/>
        <v>52351</v>
      </c>
      <c r="M270" s="357">
        <f t="shared" si="69"/>
        <v>322</v>
      </c>
      <c r="N270" s="397">
        <v>3409.7415343913958</v>
      </c>
      <c r="O270" s="397">
        <f t="shared" si="61"/>
        <v>0</v>
      </c>
      <c r="P270" s="397">
        <f t="shared" si="63"/>
        <v>23.245827667174979</v>
      </c>
      <c r="Q270" s="397">
        <f t="shared" si="62"/>
        <v>-23.245827667174979</v>
      </c>
      <c r="R270" s="398">
        <f t="shared" si="64"/>
        <v>3432.9873620585709</v>
      </c>
      <c r="S270" s="399">
        <f>INDEX(LIBOR!$M$3:$M$122,MATCH(L270,LIBOR!$N$3:$N$122))</f>
        <v>3.2809699999999997E-2</v>
      </c>
      <c r="T270" s="400">
        <f t="shared" si="65"/>
        <v>8.1809699999999999E-2</v>
      </c>
    </row>
    <row r="271" spans="2:20">
      <c r="B271" s="396">
        <f t="shared" si="66"/>
        <v>52382</v>
      </c>
      <c r="C271" s="357">
        <f t="shared" si="67"/>
        <v>323</v>
      </c>
      <c r="D271" s="397" t="e">
        <f>INDEX('Monthly Cash Flow'!$L$137:$GT$137, MATCH(C271, 'Monthly Cash Flow'!$L$13:$GT$13, 0))</f>
        <v>#N/A</v>
      </c>
      <c r="E271" s="397">
        <f t="shared" ca="1" si="60"/>
        <v>0</v>
      </c>
      <c r="F271" s="397" t="e">
        <f t="shared" si="56"/>
        <v>#N/A</v>
      </c>
      <c r="G271" s="397" t="e">
        <f t="shared" ca="1" si="57"/>
        <v>#N/A</v>
      </c>
      <c r="H271" s="398" t="e">
        <f t="shared" ca="1" si="58"/>
        <v>#N/A</v>
      </c>
      <c r="I271" s="399">
        <f>MAX($J$5, INDEX(LIBOR!$M$3:$M$122,MATCH(B271,LIBOR!$N$3:$N$122)))</f>
        <v>3.2809699999999997E-2</v>
      </c>
      <c r="J271" s="400">
        <f t="shared" si="59"/>
        <v>8.5309699999999988E-2</v>
      </c>
      <c r="L271" s="392">
        <f t="shared" si="68"/>
        <v>52382</v>
      </c>
      <c r="M271" s="357">
        <f t="shared" si="69"/>
        <v>323</v>
      </c>
      <c r="N271" s="397">
        <v>3381.8862093337675</v>
      </c>
      <c r="O271" s="397">
        <f t="shared" si="61"/>
        <v>0</v>
      </c>
      <c r="P271" s="397">
        <f t="shared" si="63"/>
        <v>23.055924684977725</v>
      </c>
      <c r="Q271" s="397">
        <f t="shared" si="62"/>
        <v>-23.055924684977725</v>
      </c>
      <c r="R271" s="398">
        <f t="shared" si="64"/>
        <v>3404.942134018745</v>
      </c>
      <c r="S271" s="399">
        <f>INDEX(LIBOR!$M$3:$M$122,MATCH(L271,LIBOR!$N$3:$N$122))</f>
        <v>3.2809699999999997E-2</v>
      </c>
      <c r="T271" s="400">
        <f t="shared" si="65"/>
        <v>8.1809699999999999E-2</v>
      </c>
    </row>
    <row r="272" spans="2:20">
      <c r="B272" s="396">
        <f t="shared" si="66"/>
        <v>52412</v>
      </c>
      <c r="C272" s="357">
        <f t="shared" si="67"/>
        <v>324</v>
      </c>
      <c r="D272" s="397" t="e">
        <f>INDEX('Monthly Cash Flow'!$L$137:$GT$137, MATCH(C272, 'Monthly Cash Flow'!$L$13:$GT$13, 0))</f>
        <v>#N/A</v>
      </c>
      <c r="E272" s="397">
        <f t="shared" ca="1" si="60"/>
        <v>0</v>
      </c>
      <c r="F272" s="397" t="e">
        <f t="shared" si="56"/>
        <v>#N/A</v>
      </c>
      <c r="G272" s="397" t="e">
        <f t="shared" ca="1" si="57"/>
        <v>#N/A</v>
      </c>
      <c r="H272" s="398" t="e">
        <f t="shared" ca="1" si="58"/>
        <v>#N/A</v>
      </c>
      <c r="I272" s="399">
        <f>MAX($J$5, INDEX(LIBOR!$M$3:$M$122,MATCH(B272,LIBOR!$N$3:$N$122)))</f>
        <v>3.2809699999999997E-2</v>
      </c>
      <c r="J272" s="400">
        <f t="shared" si="59"/>
        <v>8.5309699999999988E-2</v>
      </c>
      <c r="L272" s="392">
        <f t="shared" si="68"/>
        <v>52412</v>
      </c>
      <c r="M272" s="357">
        <f t="shared" si="69"/>
        <v>324</v>
      </c>
      <c r="N272" s="397">
        <v>3353.9040095379501</v>
      </c>
      <c r="O272" s="397">
        <f t="shared" si="61"/>
        <v>0</v>
      </c>
      <c r="P272" s="397">
        <f t="shared" si="63"/>
        <v>22.865156737424737</v>
      </c>
      <c r="Q272" s="397">
        <f t="shared" si="62"/>
        <v>-22.865156737424737</v>
      </c>
      <c r="R272" s="398">
        <f t="shared" si="64"/>
        <v>3376.7691662753746</v>
      </c>
      <c r="S272" s="399">
        <f>INDEX(LIBOR!$M$3:$M$122,MATCH(L272,LIBOR!$N$3:$N$122))</f>
        <v>3.2809699999999997E-2</v>
      </c>
      <c r="T272" s="400">
        <f t="shared" si="65"/>
        <v>8.1809699999999999E-2</v>
      </c>
    </row>
    <row r="273" spans="2:20">
      <c r="B273" s="396">
        <f t="shared" si="66"/>
        <v>52443</v>
      </c>
      <c r="C273" s="357">
        <f t="shared" si="67"/>
        <v>325</v>
      </c>
      <c r="D273" s="397" t="e">
        <f>INDEX('Monthly Cash Flow'!$L$137:$GT$137, MATCH(C273, 'Monthly Cash Flow'!$L$13:$GT$13, 0))</f>
        <v>#N/A</v>
      </c>
      <c r="E273" s="397">
        <f t="shared" ca="1" si="60"/>
        <v>0</v>
      </c>
      <c r="F273" s="397" t="e">
        <f t="shared" si="56"/>
        <v>#N/A</v>
      </c>
      <c r="G273" s="397" t="e">
        <f t="shared" ca="1" si="57"/>
        <v>#N/A</v>
      </c>
      <c r="H273" s="398" t="e">
        <f t="shared" ca="1" si="58"/>
        <v>#N/A</v>
      </c>
      <c r="I273" s="399">
        <f>MAX($J$5, INDEX(LIBOR!$M$3:$M$122,MATCH(B273,LIBOR!$N$3:$N$122)))</f>
        <v>3.2809699999999997E-2</v>
      </c>
      <c r="J273" s="400">
        <f t="shared" si="59"/>
        <v>8.5309699999999988E-2</v>
      </c>
      <c r="L273" s="392">
        <f t="shared" si="68"/>
        <v>52443</v>
      </c>
      <c r="M273" s="357">
        <f t="shared" si="69"/>
        <v>325</v>
      </c>
      <c r="N273" s="397">
        <v>3325.7943571180576</v>
      </c>
      <c r="O273" s="397">
        <f t="shared" si="61"/>
        <v>0</v>
      </c>
      <c r="P273" s="397">
        <f t="shared" si="63"/>
        <v>22.673519884793432</v>
      </c>
      <c r="Q273" s="397">
        <f t="shared" si="62"/>
        <v>-22.673519884793432</v>
      </c>
      <c r="R273" s="398">
        <f t="shared" si="64"/>
        <v>3348.4678770028509</v>
      </c>
      <c r="S273" s="399">
        <f>INDEX(LIBOR!$M$3:$M$122,MATCH(L273,LIBOR!$N$3:$N$122))</f>
        <v>3.2809699999999997E-2</v>
      </c>
      <c r="T273" s="400">
        <f t="shared" si="65"/>
        <v>8.1809699999999999E-2</v>
      </c>
    </row>
    <row r="274" spans="2:20">
      <c r="B274" s="396">
        <f t="shared" si="66"/>
        <v>52474</v>
      </c>
      <c r="C274" s="357">
        <f t="shared" si="67"/>
        <v>326</v>
      </c>
      <c r="D274" s="397" t="e">
        <f>INDEX('Monthly Cash Flow'!$L$137:$GT$137, MATCH(C274, 'Monthly Cash Flow'!$L$13:$GT$13, 0))</f>
        <v>#N/A</v>
      </c>
      <c r="E274" s="397">
        <f t="shared" ca="1" si="60"/>
        <v>0</v>
      </c>
      <c r="F274" s="397" t="e">
        <f t="shared" si="56"/>
        <v>#N/A</v>
      </c>
      <c r="G274" s="397" t="e">
        <f t="shared" ca="1" si="57"/>
        <v>#N/A</v>
      </c>
      <c r="H274" s="398" t="e">
        <f t="shared" ca="1" si="58"/>
        <v>#N/A</v>
      </c>
      <c r="I274" s="399">
        <f>MAX($J$5, INDEX(LIBOR!$M$3:$M$122,MATCH(B274,LIBOR!$N$3:$N$122)))</f>
        <v>3.2809699999999997E-2</v>
      </c>
      <c r="J274" s="400">
        <f t="shared" si="59"/>
        <v>8.5309699999999988E-2</v>
      </c>
      <c r="L274" s="392">
        <f t="shared" si="68"/>
        <v>52474</v>
      </c>
      <c r="M274" s="357">
        <f t="shared" si="69"/>
        <v>326</v>
      </c>
      <c r="N274" s="397">
        <v>3297.5566715560644</v>
      </c>
      <c r="O274" s="397">
        <f t="shared" si="61"/>
        <v>0</v>
      </c>
      <c r="P274" s="397">
        <f t="shared" si="63"/>
        <v>22.481010169416681</v>
      </c>
      <c r="Q274" s="397">
        <f t="shared" si="62"/>
        <v>-22.481010169416681</v>
      </c>
      <c r="R274" s="398">
        <f t="shared" si="64"/>
        <v>3320.037681725481</v>
      </c>
      <c r="S274" s="399">
        <f>INDEX(LIBOR!$M$3:$M$122,MATCH(L274,LIBOR!$N$3:$N$122))</f>
        <v>3.2809699999999997E-2</v>
      </c>
      <c r="T274" s="400">
        <f t="shared" si="65"/>
        <v>8.1809699999999999E-2</v>
      </c>
    </row>
    <row r="275" spans="2:20">
      <c r="B275" s="396">
        <f t="shared" si="66"/>
        <v>52504</v>
      </c>
      <c r="C275" s="357">
        <f t="shared" si="67"/>
        <v>327</v>
      </c>
      <c r="D275" s="397" t="e">
        <f>INDEX('Monthly Cash Flow'!$L$137:$GT$137, MATCH(C275, 'Monthly Cash Flow'!$L$13:$GT$13, 0))</f>
        <v>#N/A</v>
      </c>
      <c r="E275" s="397">
        <f t="shared" ca="1" si="60"/>
        <v>0</v>
      </c>
      <c r="F275" s="397" t="e">
        <f t="shared" si="56"/>
        <v>#N/A</v>
      </c>
      <c r="G275" s="397" t="e">
        <f t="shared" ca="1" si="57"/>
        <v>#N/A</v>
      </c>
      <c r="H275" s="398" t="e">
        <f t="shared" ca="1" si="58"/>
        <v>#N/A</v>
      </c>
      <c r="I275" s="399">
        <f>MAX($J$5, INDEX(LIBOR!$M$3:$M$122,MATCH(B275,LIBOR!$N$3:$N$122)))</f>
        <v>3.2809699999999997E-2</v>
      </c>
      <c r="J275" s="400">
        <f t="shared" si="59"/>
        <v>8.5309699999999988E-2</v>
      </c>
      <c r="L275" s="392">
        <f t="shared" si="68"/>
        <v>52504</v>
      </c>
      <c r="M275" s="357">
        <f t="shared" si="69"/>
        <v>327</v>
      </c>
      <c r="N275" s="397">
        <v>3269.1903696898153</v>
      </c>
      <c r="O275" s="397">
        <f t="shared" si="61"/>
        <v>0</v>
      </c>
      <c r="P275" s="397">
        <f t="shared" si="63"/>
        <v>22.287623615601074</v>
      </c>
      <c r="Q275" s="397">
        <f t="shared" si="62"/>
        <v>-22.287623615601074</v>
      </c>
      <c r="R275" s="398">
        <f t="shared" si="64"/>
        <v>3291.4779933054165</v>
      </c>
      <c r="S275" s="399">
        <f>INDEX(LIBOR!$M$3:$M$122,MATCH(L275,LIBOR!$N$3:$N$122))</f>
        <v>3.2809699999999997E-2</v>
      </c>
      <c r="T275" s="400">
        <f t="shared" si="65"/>
        <v>8.1809699999999999E-2</v>
      </c>
    </row>
    <row r="276" spans="2:20">
      <c r="B276" s="396">
        <f t="shared" si="66"/>
        <v>52535</v>
      </c>
      <c r="C276" s="357">
        <f t="shared" si="67"/>
        <v>328</v>
      </c>
      <c r="D276" s="397" t="e">
        <f>INDEX('Monthly Cash Flow'!$L$137:$GT$137, MATCH(C276, 'Monthly Cash Flow'!$L$13:$GT$13, 0))</f>
        <v>#N/A</v>
      </c>
      <c r="E276" s="397">
        <f t="shared" ca="1" si="60"/>
        <v>0</v>
      </c>
      <c r="F276" s="397" t="e">
        <f t="shared" si="56"/>
        <v>#N/A</v>
      </c>
      <c r="G276" s="397" t="e">
        <f t="shared" ca="1" si="57"/>
        <v>#N/A</v>
      </c>
      <c r="H276" s="398" t="e">
        <f t="shared" ca="1" si="58"/>
        <v>#N/A</v>
      </c>
      <c r="I276" s="399">
        <f>MAX($J$5, INDEX(LIBOR!$M$3:$M$122,MATCH(B276,LIBOR!$N$3:$N$122)))</f>
        <v>3.2809699999999997E-2</v>
      </c>
      <c r="J276" s="400">
        <f t="shared" si="59"/>
        <v>8.5309699999999988E-2</v>
      </c>
      <c r="L276" s="392">
        <f t="shared" si="68"/>
        <v>52535</v>
      </c>
      <c r="M276" s="357">
        <f t="shared" si="69"/>
        <v>328</v>
      </c>
      <c r="N276" s="397">
        <v>3240.6948657009834</v>
      </c>
      <c r="O276" s="397">
        <f t="shared" si="61"/>
        <v>0</v>
      </c>
      <c r="P276" s="397">
        <f t="shared" si="63"/>
        <v>22.09335622954481</v>
      </c>
      <c r="Q276" s="397">
        <f t="shared" si="62"/>
        <v>-22.09335622954481</v>
      </c>
      <c r="R276" s="398">
        <f t="shared" si="64"/>
        <v>3262.7882219305284</v>
      </c>
      <c r="S276" s="399">
        <f>INDEX(LIBOR!$M$3:$M$122,MATCH(L276,LIBOR!$N$3:$N$122))</f>
        <v>3.2809699999999997E-2</v>
      </c>
      <c r="T276" s="400">
        <f t="shared" si="65"/>
        <v>8.1809699999999999E-2</v>
      </c>
    </row>
    <row r="277" spans="2:20">
      <c r="B277" s="396">
        <f t="shared" si="66"/>
        <v>52565</v>
      </c>
      <c r="C277" s="357">
        <f t="shared" si="67"/>
        <v>329</v>
      </c>
      <c r="D277" s="397" t="e">
        <f>INDEX('Monthly Cash Flow'!$L$137:$GT$137, MATCH(C277, 'Monthly Cash Flow'!$L$13:$GT$13, 0))</f>
        <v>#N/A</v>
      </c>
      <c r="E277" s="397">
        <f t="shared" ca="1" si="60"/>
        <v>0</v>
      </c>
      <c r="F277" s="397" t="e">
        <f t="shared" si="56"/>
        <v>#N/A</v>
      </c>
      <c r="G277" s="397" t="e">
        <f t="shared" ca="1" si="57"/>
        <v>#N/A</v>
      </c>
      <c r="H277" s="398" t="e">
        <f t="shared" ca="1" si="58"/>
        <v>#N/A</v>
      </c>
      <c r="I277" s="399">
        <f>MAX($J$5, INDEX(LIBOR!$M$3:$M$122,MATCH(B277,LIBOR!$N$3:$N$122)))</f>
        <v>3.2809699999999997E-2</v>
      </c>
      <c r="J277" s="400">
        <f t="shared" si="59"/>
        <v>8.5309699999999988E-2</v>
      </c>
      <c r="L277" s="392">
        <f t="shared" si="68"/>
        <v>52565</v>
      </c>
      <c r="M277" s="357">
        <f t="shared" si="69"/>
        <v>329</v>
      </c>
      <c r="N277" s="397">
        <v>3212.0695711029707</v>
      </c>
      <c r="O277" s="397">
        <f t="shared" si="61"/>
        <v>0</v>
      </c>
      <c r="P277" s="397">
        <f t="shared" si="63"/>
        <v>21.898203999255227</v>
      </c>
      <c r="Q277" s="397">
        <f t="shared" si="62"/>
        <v>-21.898203999255227</v>
      </c>
      <c r="R277" s="398">
        <f t="shared" si="64"/>
        <v>3233.9677751022259</v>
      </c>
      <c r="S277" s="399">
        <f>INDEX(LIBOR!$M$3:$M$122,MATCH(L277,LIBOR!$N$3:$N$122))</f>
        <v>3.2809699999999997E-2</v>
      </c>
      <c r="T277" s="400">
        <f t="shared" si="65"/>
        <v>8.1809699999999999E-2</v>
      </c>
    </row>
    <row r="278" spans="2:20">
      <c r="B278" s="396">
        <f t="shared" si="66"/>
        <v>52596</v>
      </c>
      <c r="C278" s="357">
        <f t="shared" si="67"/>
        <v>330</v>
      </c>
      <c r="D278" s="397" t="e">
        <f>INDEX('Monthly Cash Flow'!$L$137:$GT$137, MATCH(C278, 'Monthly Cash Flow'!$L$13:$GT$13, 0))</f>
        <v>#N/A</v>
      </c>
      <c r="E278" s="397">
        <f t="shared" ca="1" si="60"/>
        <v>0</v>
      </c>
      <c r="F278" s="397" t="e">
        <f t="shared" si="56"/>
        <v>#N/A</v>
      </c>
      <c r="G278" s="397" t="e">
        <f t="shared" ca="1" si="57"/>
        <v>#N/A</v>
      </c>
      <c r="H278" s="398" t="e">
        <f t="shared" ca="1" si="58"/>
        <v>#N/A</v>
      </c>
      <c r="I278" s="399">
        <f>MAX($J$5, INDEX(LIBOR!$M$3:$M$122,MATCH(B278,LIBOR!$N$3:$N$122)))</f>
        <v>3.2809699999999997E-2</v>
      </c>
      <c r="J278" s="400">
        <f t="shared" si="59"/>
        <v>8.5309699999999988E-2</v>
      </c>
      <c r="L278" s="392">
        <f t="shared" si="68"/>
        <v>52596</v>
      </c>
      <c r="M278" s="357">
        <f t="shared" si="69"/>
        <v>330</v>
      </c>
      <c r="N278" s="397">
        <v>3183.3138947287553</v>
      </c>
      <c r="O278" s="397">
        <f t="shared" si="61"/>
        <v>0</v>
      </c>
      <c r="P278" s="397">
        <f t="shared" si="63"/>
        <v>21.702162894465918</v>
      </c>
      <c r="Q278" s="397">
        <f t="shared" si="62"/>
        <v>-21.702162894465918</v>
      </c>
      <c r="R278" s="398">
        <f t="shared" si="64"/>
        <v>3205.0160576232211</v>
      </c>
      <c r="S278" s="399">
        <f>INDEX(LIBOR!$M$3:$M$122,MATCH(L278,LIBOR!$N$3:$N$122))</f>
        <v>3.2809699999999997E-2</v>
      </c>
      <c r="T278" s="400">
        <f t="shared" si="65"/>
        <v>8.1809699999999999E-2</v>
      </c>
    </row>
    <row r="279" spans="2:20">
      <c r="B279" s="396">
        <f t="shared" si="66"/>
        <v>52627</v>
      </c>
      <c r="C279" s="357">
        <f t="shared" si="67"/>
        <v>331</v>
      </c>
      <c r="D279" s="397" t="e">
        <f>INDEX('Monthly Cash Flow'!$L$137:$GT$137, MATCH(C279, 'Monthly Cash Flow'!$L$13:$GT$13, 0))</f>
        <v>#N/A</v>
      </c>
      <c r="E279" s="397">
        <f t="shared" ca="1" si="60"/>
        <v>0</v>
      </c>
      <c r="F279" s="397" t="e">
        <f t="shared" si="56"/>
        <v>#N/A</v>
      </c>
      <c r="G279" s="397" t="e">
        <f t="shared" ca="1" si="57"/>
        <v>#N/A</v>
      </c>
      <c r="H279" s="398" t="e">
        <f t="shared" ca="1" si="58"/>
        <v>#N/A</v>
      </c>
      <c r="I279" s="399">
        <f>MAX($J$5, INDEX(LIBOR!$M$3:$M$122,MATCH(B279,LIBOR!$N$3:$N$122)))</f>
        <v>3.2809699999999997E-2</v>
      </c>
      <c r="J279" s="400">
        <f t="shared" si="59"/>
        <v>8.5309699999999988E-2</v>
      </c>
      <c r="L279" s="392">
        <f t="shared" si="68"/>
        <v>52627</v>
      </c>
      <c r="M279" s="357">
        <f t="shared" si="69"/>
        <v>331</v>
      </c>
      <c r="N279" s="397">
        <v>3154.4272427186825</v>
      </c>
      <c r="O279" s="397">
        <f t="shared" si="61"/>
        <v>0</v>
      </c>
      <c r="P279" s="397">
        <f t="shared" si="63"/>
        <v>21.505228866553551</v>
      </c>
      <c r="Q279" s="397">
        <f t="shared" si="62"/>
        <v>-21.505228866553551</v>
      </c>
      <c r="R279" s="398">
        <f t="shared" si="64"/>
        <v>3175.9324715852358</v>
      </c>
      <c r="S279" s="399">
        <f>INDEX(LIBOR!$M$3:$M$122,MATCH(L279,LIBOR!$N$3:$N$122))</f>
        <v>3.2809699999999997E-2</v>
      </c>
      <c r="T279" s="400">
        <f t="shared" si="65"/>
        <v>8.1809699999999999E-2</v>
      </c>
    </row>
    <row r="280" spans="2:20">
      <c r="B280" s="396">
        <f t="shared" si="66"/>
        <v>52656</v>
      </c>
      <c r="C280" s="357">
        <f t="shared" si="67"/>
        <v>332</v>
      </c>
      <c r="D280" s="397" t="e">
        <f>INDEX('Monthly Cash Flow'!$L$137:$GT$137, MATCH(C280, 'Monthly Cash Flow'!$L$13:$GT$13, 0))</f>
        <v>#N/A</v>
      </c>
      <c r="E280" s="397">
        <f t="shared" ca="1" si="60"/>
        <v>0</v>
      </c>
      <c r="F280" s="397" t="e">
        <f t="shared" si="56"/>
        <v>#N/A</v>
      </c>
      <c r="G280" s="397" t="e">
        <f t="shared" ca="1" si="57"/>
        <v>#N/A</v>
      </c>
      <c r="H280" s="398" t="e">
        <f t="shared" ca="1" si="58"/>
        <v>#N/A</v>
      </c>
      <c r="I280" s="399">
        <f>MAX($J$5, INDEX(LIBOR!$M$3:$M$122,MATCH(B280,LIBOR!$N$3:$N$122)))</f>
        <v>3.2809699999999997E-2</v>
      </c>
      <c r="J280" s="400">
        <f t="shared" si="59"/>
        <v>8.5309699999999988E-2</v>
      </c>
      <c r="L280" s="392">
        <f t="shared" si="68"/>
        <v>52656</v>
      </c>
      <c r="M280" s="357">
        <f t="shared" si="69"/>
        <v>332</v>
      </c>
      <c r="N280" s="397">
        <v>3125.4090185082005</v>
      </c>
      <c r="O280" s="397">
        <f t="shared" si="61"/>
        <v>0</v>
      </c>
      <c r="P280" s="397">
        <f t="shared" si="63"/>
        <v>21.307397848454194</v>
      </c>
      <c r="Q280" s="397">
        <f t="shared" si="62"/>
        <v>-21.307397848454194</v>
      </c>
      <c r="R280" s="398">
        <f t="shared" si="64"/>
        <v>3146.7164163566545</v>
      </c>
      <c r="S280" s="399">
        <f>INDEX(LIBOR!$M$3:$M$122,MATCH(L280,LIBOR!$N$3:$N$122))</f>
        <v>3.2809699999999997E-2</v>
      </c>
      <c r="T280" s="400">
        <f t="shared" si="65"/>
        <v>8.1809699999999999E-2</v>
      </c>
    </row>
    <row r="281" spans="2:20">
      <c r="B281" s="396">
        <f t="shared" si="66"/>
        <v>52687</v>
      </c>
      <c r="C281" s="357">
        <f t="shared" si="67"/>
        <v>333</v>
      </c>
      <c r="D281" s="397" t="e">
        <f>INDEX('Monthly Cash Flow'!$L$137:$GT$137, MATCH(C281, 'Monthly Cash Flow'!$L$13:$GT$13, 0))</f>
        <v>#N/A</v>
      </c>
      <c r="E281" s="397">
        <f t="shared" ca="1" si="60"/>
        <v>0</v>
      </c>
      <c r="F281" s="397" t="e">
        <f t="shared" si="56"/>
        <v>#N/A</v>
      </c>
      <c r="G281" s="397" t="e">
        <f t="shared" ca="1" si="57"/>
        <v>#N/A</v>
      </c>
      <c r="H281" s="398" t="e">
        <f t="shared" ca="1" si="58"/>
        <v>#N/A</v>
      </c>
      <c r="I281" s="399">
        <f>MAX($J$5, INDEX(LIBOR!$M$3:$M$122,MATCH(B281,LIBOR!$N$3:$N$122)))</f>
        <v>3.2809699999999997E-2</v>
      </c>
      <c r="J281" s="400">
        <f t="shared" si="59"/>
        <v>8.5309699999999988E-2</v>
      </c>
      <c r="L281" s="392">
        <f t="shared" si="68"/>
        <v>52687</v>
      </c>
      <c r="M281" s="357">
        <f t="shared" si="69"/>
        <v>333</v>
      </c>
      <c r="N281" s="397">
        <v>3096.2586228155401</v>
      </c>
      <c r="O281" s="397">
        <f t="shared" si="61"/>
        <v>0</v>
      </c>
      <c r="P281" s="397">
        <f t="shared" si="63"/>
        <v>21.108665754579373</v>
      </c>
      <c r="Q281" s="397">
        <f t="shared" si="62"/>
        <v>-21.108665754579373</v>
      </c>
      <c r="R281" s="398">
        <f t="shared" si="64"/>
        <v>3117.3672885701194</v>
      </c>
      <c r="S281" s="399">
        <f>INDEX(LIBOR!$M$3:$M$122,MATCH(L281,LIBOR!$N$3:$N$122))</f>
        <v>3.2809699999999997E-2</v>
      </c>
      <c r="T281" s="400">
        <f t="shared" si="65"/>
        <v>8.1809699999999999E-2</v>
      </c>
    </row>
    <row r="282" spans="2:20">
      <c r="B282" s="396">
        <f t="shared" si="66"/>
        <v>52717</v>
      </c>
      <c r="C282" s="357">
        <f t="shared" si="67"/>
        <v>334</v>
      </c>
      <c r="D282" s="397" t="e">
        <f>INDEX('Monthly Cash Flow'!$L$137:$GT$137, MATCH(C282, 'Monthly Cash Flow'!$L$13:$GT$13, 0))</f>
        <v>#N/A</v>
      </c>
      <c r="E282" s="397">
        <f t="shared" ca="1" si="60"/>
        <v>0</v>
      </c>
      <c r="F282" s="397" t="e">
        <f t="shared" si="56"/>
        <v>#N/A</v>
      </c>
      <c r="G282" s="397" t="e">
        <f t="shared" ca="1" si="57"/>
        <v>#N/A</v>
      </c>
      <c r="H282" s="398" t="e">
        <f t="shared" ca="1" si="58"/>
        <v>#N/A</v>
      </c>
      <c r="I282" s="399">
        <f>MAX($J$5, INDEX(LIBOR!$M$3:$M$122,MATCH(B282,LIBOR!$N$3:$N$122)))</f>
        <v>3.2809699999999997E-2</v>
      </c>
      <c r="J282" s="400">
        <f t="shared" si="59"/>
        <v>8.5309699999999988E-2</v>
      </c>
      <c r="L282" s="392">
        <f t="shared" si="68"/>
        <v>52717</v>
      </c>
      <c r="M282" s="357">
        <f t="shared" si="69"/>
        <v>334</v>
      </c>
      <c r="N282" s="397">
        <v>3066.975453629339</v>
      </c>
      <c r="O282" s="397">
        <f t="shared" si="61"/>
        <v>0</v>
      </c>
      <c r="P282" s="397">
        <f t="shared" si="63"/>
        <v>20.909028480731678</v>
      </c>
      <c r="Q282" s="397">
        <f t="shared" si="62"/>
        <v>-20.909028480731678</v>
      </c>
      <c r="R282" s="398">
        <f t="shared" si="64"/>
        <v>3087.8844821100706</v>
      </c>
      <c r="S282" s="399">
        <f>INDEX(LIBOR!$M$3:$M$122,MATCH(L282,LIBOR!$N$3:$N$122))</f>
        <v>3.2809699999999997E-2</v>
      </c>
      <c r="T282" s="400">
        <f t="shared" si="65"/>
        <v>8.1809699999999999E-2</v>
      </c>
    </row>
    <row r="283" spans="2:20">
      <c r="B283" s="396">
        <f t="shared" si="66"/>
        <v>52748</v>
      </c>
      <c r="C283" s="357">
        <f t="shared" si="67"/>
        <v>335</v>
      </c>
      <c r="D283" s="397" t="e">
        <f>INDEX('Monthly Cash Flow'!$L$137:$GT$137, MATCH(C283, 'Monthly Cash Flow'!$L$13:$GT$13, 0))</f>
        <v>#N/A</v>
      </c>
      <c r="E283" s="397">
        <f t="shared" ca="1" si="60"/>
        <v>0</v>
      </c>
      <c r="F283" s="397" t="e">
        <f t="shared" si="56"/>
        <v>#N/A</v>
      </c>
      <c r="G283" s="397" t="e">
        <f t="shared" ca="1" si="57"/>
        <v>#N/A</v>
      </c>
      <c r="H283" s="398" t="e">
        <f t="shared" ca="1" si="58"/>
        <v>#N/A</v>
      </c>
      <c r="I283" s="399">
        <f>MAX($J$5, INDEX(LIBOR!$M$3:$M$122,MATCH(B283,LIBOR!$N$3:$N$122)))</f>
        <v>3.2809699999999997E-2</v>
      </c>
      <c r="J283" s="400">
        <f t="shared" si="59"/>
        <v>8.5309699999999988E-2</v>
      </c>
      <c r="L283" s="392">
        <f t="shared" si="68"/>
        <v>52748</v>
      </c>
      <c r="M283" s="357">
        <f t="shared" si="69"/>
        <v>335</v>
      </c>
      <c r="N283" s="397">
        <v>3037.5589061962078</v>
      </c>
      <c r="O283" s="397">
        <f t="shared" si="61"/>
        <v>0</v>
      </c>
      <c r="P283" s="397">
        <f t="shared" si="63"/>
        <v>20.70848190401999</v>
      </c>
      <c r="Q283" s="397">
        <f t="shared" si="62"/>
        <v>-20.70848190401999</v>
      </c>
      <c r="R283" s="398">
        <f t="shared" si="64"/>
        <v>3058.2673881002279</v>
      </c>
      <c r="S283" s="399">
        <f>INDEX(LIBOR!$M$3:$M$122,MATCH(L283,LIBOR!$N$3:$N$122))</f>
        <v>3.2809699999999997E-2</v>
      </c>
      <c r="T283" s="400">
        <f t="shared" si="65"/>
        <v>8.1809699999999999E-2</v>
      </c>
    </row>
    <row r="284" spans="2:20">
      <c r="B284" s="396">
        <f t="shared" si="66"/>
        <v>52778</v>
      </c>
      <c r="C284" s="357">
        <f t="shared" si="67"/>
        <v>336</v>
      </c>
      <c r="D284" s="397" t="e">
        <f>INDEX('Monthly Cash Flow'!$L$137:$GT$137, MATCH(C284, 'Monthly Cash Flow'!$L$13:$GT$13, 0))</f>
        <v>#N/A</v>
      </c>
      <c r="E284" s="397">
        <f t="shared" ca="1" si="60"/>
        <v>0</v>
      </c>
      <c r="F284" s="397" t="e">
        <f t="shared" si="56"/>
        <v>#N/A</v>
      </c>
      <c r="G284" s="397" t="e">
        <f t="shared" ca="1" si="57"/>
        <v>#N/A</v>
      </c>
      <c r="H284" s="398" t="e">
        <f t="shared" ca="1" si="58"/>
        <v>#N/A</v>
      </c>
      <c r="I284" s="399">
        <f>MAX($J$5, INDEX(LIBOR!$M$3:$M$122,MATCH(B284,LIBOR!$N$3:$N$122)))</f>
        <v>3.2809699999999997E-2</v>
      </c>
      <c r="J284" s="400">
        <f t="shared" si="59"/>
        <v>8.5309699999999988E-2</v>
      </c>
      <c r="L284" s="392">
        <f t="shared" si="68"/>
        <v>52778</v>
      </c>
      <c r="M284" s="357">
        <f t="shared" si="69"/>
        <v>336</v>
      </c>
      <c r="N284" s="397">
        <v>3008.008373008242</v>
      </c>
      <c r="O284" s="397">
        <f t="shared" si="61"/>
        <v>0</v>
      </c>
      <c r="P284" s="397">
        <f t="shared" si="63"/>
        <v>20.507021882774364</v>
      </c>
      <c r="Q284" s="397">
        <f t="shared" si="62"/>
        <v>-20.507021882774364</v>
      </c>
      <c r="R284" s="398">
        <f t="shared" si="64"/>
        <v>3028.5153948910165</v>
      </c>
      <c r="S284" s="399">
        <f>INDEX(LIBOR!$M$3:$M$122,MATCH(L284,LIBOR!$N$3:$N$122))</f>
        <v>3.2809699999999997E-2</v>
      </c>
      <c r="T284" s="400">
        <f t="shared" si="65"/>
        <v>8.1809699999999999E-2</v>
      </c>
    </row>
    <row r="285" spans="2:20">
      <c r="B285" s="396">
        <f t="shared" si="66"/>
        <v>52809</v>
      </c>
      <c r="C285" s="357">
        <f t="shared" si="67"/>
        <v>337</v>
      </c>
      <c r="D285" s="397" t="e">
        <f>INDEX('Monthly Cash Flow'!$L$137:$GT$137, MATCH(C285, 'Monthly Cash Flow'!$L$13:$GT$13, 0))</f>
        <v>#N/A</v>
      </c>
      <c r="E285" s="397">
        <f t="shared" ca="1" si="60"/>
        <v>0</v>
      </c>
      <c r="F285" s="397" t="e">
        <f t="shared" si="56"/>
        <v>#N/A</v>
      </c>
      <c r="G285" s="397" t="e">
        <f t="shared" ca="1" si="57"/>
        <v>#N/A</v>
      </c>
      <c r="H285" s="398" t="e">
        <f t="shared" ca="1" si="58"/>
        <v>#N/A</v>
      </c>
      <c r="I285" s="399">
        <f>MAX($J$5, INDEX(LIBOR!$M$3:$M$122,MATCH(B285,LIBOR!$N$3:$N$122)))</f>
        <v>3.2809699999999997E-2</v>
      </c>
      <c r="J285" s="400">
        <f t="shared" si="59"/>
        <v>8.5309699999999988E-2</v>
      </c>
      <c r="L285" s="392">
        <f t="shared" si="68"/>
        <v>52809</v>
      </c>
      <c r="M285" s="357">
        <f t="shared" si="69"/>
        <v>337</v>
      </c>
      <c r="N285" s="397">
        <v>2978.3232437904749</v>
      </c>
      <c r="O285" s="397">
        <f t="shared" si="61"/>
        <v>0</v>
      </c>
      <c r="P285" s="397">
        <f t="shared" si="63"/>
        <v>20.304644256460467</v>
      </c>
      <c r="Q285" s="397">
        <f t="shared" si="62"/>
        <v>-20.304644256460467</v>
      </c>
      <c r="R285" s="398">
        <f t="shared" si="64"/>
        <v>2998.6278880469354</v>
      </c>
      <c r="S285" s="399">
        <f>INDEX(LIBOR!$M$3:$M$122,MATCH(L285,LIBOR!$N$3:$N$122))</f>
        <v>3.2809699999999997E-2</v>
      </c>
      <c r="T285" s="400">
        <f t="shared" si="65"/>
        <v>8.1809699999999999E-2</v>
      </c>
    </row>
    <row r="286" spans="2:20">
      <c r="B286" s="396">
        <f t="shared" si="66"/>
        <v>52840</v>
      </c>
      <c r="C286" s="357">
        <f t="shared" si="67"/>
        <v>338</v>
      </c>
      <c r="D286" s="397" t="e">
        <f>INDEX('Monthly Cash Flow'!$L$137:$GT$137, MATCH(C286, 'Monthly Cash Flow'!$L$13:$GT$13, 0))</f>
        <v>#N/A</v>
      </c>
      <c r="E286" s="397">
        <f t="shared" ca="1" si="60"/>
        <v>0</v>
      </c>
      <c r="F286" s="397" t="e">
        <f t="shared" si="56"/>
        <v>#N/A</v>
      </c>
      <c r="G286" s="397" t="e">
        <f t="shared" ca="1" si="57"/>
        <v>#N/A</v>
      </c>
      <c r="H286" s="398" t="e">
        <f t="shared" ca="1" si="58"/>
        <v>#N/A</v>
      </c>
      <c r="I286" s="399">
        <f>MAX($J$5, INDEX(LIBOR!$M$3:$M$122,MATCH(B286,LIBOR!$N$3:$N$122)))</f>
        <v>3.2809699999999997E-2</v>
      </c>
      <c r="J286" s="400">
        <f t="shared" si="59"/>
        <v>8.5309699999999988E-2</v>
      </c>
      <c r="L286" s="392">
        <f t="shared" si="68"/>
        <v>52840</v>
      </c>
      <c r="M286" s="357">
        <f t="shared" si="69"/>
        <v>338</v>
      </c>
      <c r="N286" s="397">
        <v>2948.5029054882748</v>
      </c>
      <c r="O286" s="397">
        <f t="shared" si="61"/>
        <v>0</v>
      </c>
      <c r="P286" s="397">
        <f t="shared" si="63"/>
        <v>20.101344845593676</v>
      </c>
      <c r="Q286" s="397">
        <f t="shared" si="62"/>
        <v>-20.101344845593676</v>
      </c>
      <c r="R286" s="398">
        <f t="shared" si="64"/>
        <v>2968.6042503338685</v>
      </c>
      <c r="S286" s="399">
        <f>INDEX(LIBOR!$M$3:$M$122,MATCH(L286,LIBOR!$N$3:$N$122))</f>
        <v>3.2809699999999997E-2</v>
      </c>
      <c r="T286" s="400">
        <f t="shared" si="65"/>
        <v>8.1809699999999999E-2</v>
      </c>
    </row>
    <row r="287" spans="2:20">
      <c r="B287" s="396">
        <f t="shared" si="66"/>
        <v>52870</v>
      </c>
      <c r="C287" s="357">
        <f t="shared" si="67"/>
        <v>339</v>
      </c>
      <c r="D287" s="397" t="e">
        <f>INDEX('Monthly Cash Flow'!$L$137:$GT$137, MATCH(C287, 'Monthly Cash Flow'!$L$13:$GT$13, 0))</f>
        <v>#N/A</v>
      </c>
      <c r="E287" s="397">
        <f t="shared" ca="1" si="60"/>
        <v>0</v>
      </c>
      <c r="F287" s="397" t="e">
        <f t="shared" si="56"/>
        <v>#N/A</v>
      </c>
      <c r="G287" s="397" t="e">
        <f t="shared" ca="1" si="57"/>
        <v>#N/A</v>
      </c>
      <c r="H287" s="398" t="e">
        <f t="shared" ca="1" si="58"/>
        <v>#N/A</v>
      </c>
      <c r="I287" s="399">
        <f>MAX($J$5, INDEX(LIBOR!$M$3:$M$122,MATCH(B287,LIBOR!$N$3:$N$122)))</f>
        <v>3.2809699999999997E-2</v>
      </c>
      <c r="J287" s="400">
        <f t="shared" si="59"/>
        <v>8.5309699999999988E-2</v>
      </c>
      <c r="L287" s="392">
        <f t="shared" si="68"/>
        <v>52870</v>
      </c>
      <c r="M287" s="357">
        <f t="shared" si="69"/>
        <v>339</v>
      </c>
      <c r="N287" s="397">
        <v>2918.5467422546844</v>
      </c>
      <c r="O287" s="397">
        <f t="shared" si="61"/>
        <v>0</v>
      </c>
      <c r="P287" s="397">
        <f t="shared" si="63"/>
        <v>19.897119451652753</v>
      </c>
      <c r="Q287" s="397">
        <f t="shared" si="62"/>
        <v>-19.897119451652753</v>
      </c>
      <c r="R287" s="398">
        <f t="shared" si="64"/>
        <v>2938.443861706337</v>
      </c>
      <c r="S287" s="399">
        <f>INDEX(LIBOR!$M$3:$M$122,MATCH(L287,LIBOR!$N$3:$N$122))</f>
        <v>3.2809699999999997E-2</v>
      </c>
      <c r="T287" s="400">
        <f t="shared" si="65"/>
        <v>8.1809699999999999E-2</v>
      </c>
    </row>
    <row r="288" spans="2:20">
      <c r="B288" s="396">
        <f t="shared" si="66"/>
        <v>52901</v>
      </c>
      <c r="C288" s="357">
        <f t="shared" si="67"/>
        <v>340</v>
      </c>
      <c r="D288" s="397" t="e">
        <f>INDEX('Monthly Cash Flow'!$L$137:$GT$137, MATCH(C288, 'Monthly Cash Flow'!$L$13:$GT$13, 0))</f>
        <v>#N/A</v>
      </c>
      <c r="E288" s="397">
        <f t="shared" ca="1" si="60"/>
        <v>0</v>
      </c>
      <c r="F288" s="397" t="e">
        <f t="shared" si="56"/>
        <v>#N/A</v>
      </c>
      <c r="G288" s="397" t="e">
        <f t="shared" ca="1" si="57"/>
        <v>#N/A</v>
      </c>
      <c r="H288" s="398" t="e">
        <f t="shared" ca="1" si="58"/>
        <v>#N/A</v>
      </c>
      <c r="I288" s="399">
        <f>MAX($J$5, INDEX(LIBOR!$M$3:$M$122,MATCH(B288,LIBOR!$N$3:$N$122)))</f>
        <v>3.2809699999999997E-2</v>
      </c>
      <c r="J288" s="400">
        <f t="shared" si="59"/>
        <v>8.5309699999999988E-2</v>
      </c>
      <c r="L288" s="392">
        <f t="shared" si="68"/>
        <v>52901</v>
      </c>
      <c r="M288" s="357">
        <f t="shared" si="69"/>
        <v>340</v>
      </c>
      <c r="N288" s="397">
        <v>2888.4541354377016</v>
      </c>
      <c r="O288" s="397">
        <f t="shared" si="61"/>
        <v>0</v>
      </c>
      <c r="P288" s="397">
        <f t="shared" si="63"/>
        <v>19.691963856993144</v>
      </c>
      <c r="Q288" s="397">
        <f t="shared" si="62"/>
        <v>-19.691963856993144</v>
      </c>
      <c r="R288" s="398">
        <f t="shared" si="64"/>
        <v>2908.1460992946945</v>
      </c>
      <c r="S288" s="399">
        <f>INDEX(LIBOR!$M$3:$M$122,MATCH(L288,LIBOR!$N$3:$N$122))</f>
        <v>3.2809699999999997E-2</v>
      </c>
      <c r="T288" s="400">
        <f t="shared" si="65"/>
        <v>8.1809699999999999E-2</v>
      </c>
    </row>
    <row r="289" spans="2:20">
      <c r="B289" s="396">
        <f t="shared" si="66"/>
        <v>52931</v>
      </c>
      <c r="C289" s="357">
        <f t="shared" si="67"/>
        <v>341</v>
      </c>
      <c r="D289" s="397" t="e">
        <f>INDEX('Monthly Cash Flow'!$L$137:$GT$137, MATCH(C289, 'Monthly Cash Flow'!$L$13:$GT$13, 0))</f>
        <v>#N/A</v>
      </c>
      <c r="E289" s="397">
        <f t="shared" ca="1" si="60"/>
        <v>0</v>
      </c>
      <c r="F289" s="397" t="e">
        <f t="shared" si="56"/>
        <v>#N/A</v>
      </c>
      <c r="G289" s="397" t="e">
        <f t="shared" ca="1" si="57"/>
        <v>#N/A</v>
      </c>
      <c r="H289" s="398" t="e">
        <f t="shared" ca="1" si="58"/>
        <v>#N/A</v>
      </c>
      <c r="I289" s="399">
        <f>MAX($J$5, INDEX(LIBOR!$M$3:$M$122,MATCH(B289,LIBOR!$N$3:$N$122)))</f>
        <v>3.2809699999999997E-2</v>
      </c>
      <c r="J289" s="400">
        <f t="shared" si="59"/>
        <v>8.5309699999999988E-2</v>
      </c>
      <c r="L289" s="392">
        <f t="shared" si="68"/>
        <v>52931</v>
      </c>
      <c r="M289" s="357">
        <f t="shared" si="69"/>
        <v>341</v>
      </c>
      <c r="N289" s="397">
        <v>2858.2244635675038</v>
      </c>
      <c r="O289" s="397">
        <f t="shared" si="61"/>
        <v>0</v>
      </c>
      <c r="P289" s="397">
        <f t="shared" si="63"/>
        <v>19.485873824759867</v>
      </c>
      <c r="Q289" s="397">
        <f t="shared" si="62"/>
        <v>-19.485873824759867</v>
      </c>
      <c r="R289" s="398">
        <f t="shared" si="64"/>
        <v>2877.7103373922637</v>
      </c>
      <c r="S289" s="399">
        <f>INDEX(LIBOR!$M$3:$M$122,MATCH(L289,LIBOR!$N$3:$N$122))</f>
        <v>3.2809699999999997E-2</v>
      </c>
      <c r="T289" s="400">
        <f t="shared" si="65"/>
        <v>8.1809699999999999E-2</v>
      </c>
    </row>
    <row r="290" spans="2:20">
      <c r="B290" s="396">
        <f t="shared" si="66"/>
        <v>52962</v>
      </c>
      <c r="C290" s="357">
        <f t="shared" si="67"/>
        <v>342</v>
      </c>
      <c r="D290" s="397" t="e">
        <f>INDEX('Monthly Cash Flow'!$L$137:$GT$137, MATCH(C290, 'Monthly Cash Flow'!$L$13:$GT$13, 0))</f>
        <v>#N/A</v>
      </c>
      <c r="E290" s="397">
        <f t="shared" ca="1" si="60"/>
        <v>0</v>
      </c>
      <c r="F290" s="397" t="e">
        <f t="shared" si="56"/>
        <v>#N/A</v>
      </c>
      <c r="G290" s="397" t="e">
        <f t="shared" ca="1" si="57"/>
        <v>#N/A</v>
      </c>
      <c r="H290" s="398" t="e">
        <f t="shared" ca="1" si="58"/>
        <v>#N/A</v>
      </c>
      <c r="I290" s="399">
        <f>MAX($J$5, INDEX(LIBOR!$M$3:$M$122,MATCH(B290,LIBOR!$N$3:$N$122)))</f>
        <v>3.2809699999999997E-2</v>
      </c>
      <c r="J290" s="400">
        <f t="shared" si="59"/>
        <v>8.5309699999999988E-2</v>
      </c>
      <c r="L290" s="392">
        <f t="shared" si="68"/>
        <v>52962</v>
      </c>
      <c r="M290" s="357">
        <f t="shared" si="69"/>
        <v>342</v>
      </c>
      <c r="N290" s="397">
        <v>2827.8571023436134</v>
      </c>
      <c r="O290" s="397">
        <f t="shared" si="61"/>
        <v>0</v>
      </c>
      <c r="P290" s="397">
        <f t="shared" si="63"/>
        <v>19.278845098800026</v>
      </c>
      <c r="Q290" s="397">
        <f t="shared" si="62"/>
        <v>-19.278845098800026</v>
      </c>
      <c r="R290" s="398">
        <f t="shared" si="64"/>
        <v>2847.1359474424135</v>
      </c>
      <c r="S290" s="399">
        <f>INDEX(LIBOR!$M$3:$M$122,MATCH(L290,LIBOR!$N$3:$N$122))</f>
        <v>3.2809699999999997E-2</v>
      </c>
      <c r="T290" s="400">
        <f t="shared" si="65"/>
        <v>8.1809699999999999E-2</v>
      </c>
    </row>
    <row r="291" spans="2:20">
      <c r="B291" s="396">
        <f t="shared" si="66"/>
        <v>52993</v>
      </c>
      <c r="C291" s="357">
        <f t="shared" si="67"/>
        <v>343</v>
      </c>
      <c r="D291" s="397" t="e">
        <f>INDEX('Monthly Cash Flow'!$L$137:$GT$137, MATCH(C291, 'Monthly Cash Flow'!$L$13:$GT$13, 0))</f>
        <v>#N/A</v>
      </c>
      <c r="E291" s="397">
        <f t="shared" ca="1" si="60"/>
        <v>0</v>
      </c>
      <c r="F291" s="397" t="e">
        <f t="shared" si="56"/>
        <v>#N/A</v>
      </c>
      <c r="G291" s="397" t="e">
        <f t="shared" ca="1" si="57"/>
        <v>#N/A</v>
      </c>
      <c r="H291" s="398" t="e">
        <f t="shared" ca="1" si="58"/>
        <v>#N/A</v>
      </c>
      <c r="I291" s="399">
        <f>MAX($J$5, INDEX(LIBOR!$M$3:$M$122,MATCH(B291,LIBOR!$N$3:$N$122)))</f>
        <v>3.2809699999999997E-2</v>
      </c>
      <c r="J291" s="400">
        <f t="shared" si="59"/>
        <v>8.5309699999999988E-2</v>
      </c>
      <c r="L291" s="392">
        <f t="shared" si="68"/>
        <v>52993</v>
      </c>
      <c r="M291" s="357">
        <f t="shared" si="69"/>
        <v>343</v>
      </c>
      <c r="N291" s="397">
        <v>2797.3514246220047</v>
      </c>
      <c r="O291" s="397">
        <f t="shared" si="61"/>
        <v>0</v>
      </c>
      <c r="P291" s="397">
        <f t="shared" si="63"/>
        <v>19.070873403574904</v>
      </c>
      <c r="Q291" s="397">
        <f t="shared" si="62"/>
        <v>-19.070873403574904</v>
      </c>
      <c r="R291" s="398">
        <f t="shared" si="64"/>
        <v>2816.4222980255795</v>
      </c>
      <c r="S291" s="399">
        <f>INDEX(LIBOR!$M$3:$M$122,MATCH(L291,LIBOR!$N$3:$N$122))</f>
        <v>3.2809699999999997E-2</v>
      </c>
      <c r="T291" s="400">
        <f t="shared" si="65"/>
        <v>8.1809699999999999E-2</v>
      </c>
    </row>
    <row r="292" spans="2:20">
      <c r="B292" s="396">
        <f t="shared" si="66"/>
        <v>53021</v>
      </c>
      <c r="C292" s="357">
        <f t="shared" si="67"/>
        <v>344</v>
      </c>
      <c r="D292" s="397" t="e">
        <f>INDEX('Monthly Cash Flow'!$L$137:$GT$137, MATCH(C292, 'Monthly Cash Flow'!$L$13:$GT$13, 0))</f>
        <v>#N/A</v>
      </c>
      <c r="E292" s="397">
        <f t="shared" ca="1" si="60"/>
        <v>0</v>
      </c>
      <c r="F292" s="397" t="e">
        <f t="shared" si="56"/>
        <v>#N/A</v>
      </c>
      <c r="G292" s="397" t="e">
        <f t="shared" ca="1" si="57"/>
        <v>#N/A</v>
      </c>
      <c r="H292" s="398" t="e">
        <f t="shared" ca="1" si="58"/>
        <v>#N/A</v>
      </c>
      <c r="I292" s="399">
        <f>MAX($J$5, INDEX(LIBOR!$M$3:$M$122,MATCH(B292,LIBOR!$N$3:$N$122)))</f>
        <v>3.2809699999999997E-2</v>
      </c>
      <c r="J292" s="400">
        <f t="shared" si="59"/>
        <v>8.5309699999999988E-2</v>
      </c>
      <c r="L292" s="392">
        <f t="shared" si="68"/>
        <v>53021</v>
      </c>
      <c r="M292" s="357">
        <f t="shared" si="69"/>
        <v>344</v>
      </c>
      <c r="N292" s="397">
        <v>2766.7068004021517</v>
      </c>
      <c r="O292" s="397">
        <f t="shared" si="61"/>
        <v>0</v>
      </c>
      <c r="P292" s="397">
        <f t="shared" si="63"/>
        <v>18.86195444407166</v>
      </c>
      <c r="Q292" s="397">
        <f t="shared" si="62"/>
        <v>-18.86195444407166</v>
      </c>
      <c r="R292" s="398">
        <f t="shared" si="64"/>
        <v>2785.5687548462233</v>
      </c>
      <c r="S292" s="399">
        <f>INDEX(LIBOR!$M$3:$M$122,MATCH(L292,LIBOR!$N$3:$N$122))</f>
        <v>3.2809699999999997E-2</v>
      </c>
      <c r="T292" s="400">
        <f t="shared" si="65"/>
        <v>8.1809699999999999E-2</v>
      </c>
    </row>
    <row r="293" spans="2:20">
      <c r="B293" s="396">
        <f t="shared" si="66"/>
        <v>53052</v>
      </c>
      <c r="C293" s="357">
        <f t="shared" si="67"/>
        <v>345</v>
      </c>
      <c r="D293" s="397" t="e">
        <f>INDEX('Monthly Cash Flow'!$L$137:$GT$137, MATCH(C293, 'Monthly Cash Flow'!$L$13:$GT$13, 0))</f>
        <v>#N/A</v>
      </c>
      <c r="E293" s="397">
        <f t="shared" ca="1" si="60"/>
        <v>0</v>
      </c>
      <c r="F293" s="397" t="e">
        <f t="shared" si="56"/>
        <v>#N/A</v>
      </c>
      <c r="G293" s="397" t="e">
        <f t="shared" ca="1" si="57"/>
        <v>#N/A</v>
      </c>
      <c r="H293" s="398" t="e">
        <f t="shared" ca="1" si="58"/>
        <v>#N/A</v>
      </c>
      <c r="I293" s="399">
        <f>MAX($J$5, INDEX(LIBOR!$M$3:$M$122,MATCH(B293,LIBOR!$N$3:$N$122)))</f>
        <v>3.2809699999999997E-2</v>
      </c>
      <c r="J293" s="400">
        <f t="shared" si="59"/>
        <v>8.5309699999999988E-2</v>
      </c>
      <c r="L293" s="392">
        <f t="shared" si="68"/>
        <v>53052</v>
      </c>
      <c r="M293" s="357">
        <f t="shared" si="69"/>
        <v>345</v>
      </c>
      <c r="N293" s="397">
        <v>2735.9225968140177</v>
      </c>
      <c r="O293" s="397">
        <f t="shared" si="61"/>
        <v>0</v>
      </c>
      <c r="P293" s="397">
        <f t="shared" si="63"/>
        <v>18.652083905714644</v>
      </c>
      <c r="Q293" s="397">
        <f t="shared" si="62"/>
        <v>-18.652083905714644</v>
      </c>
      <c r="R293" s="398">
        <f t="shared" si="64"/>
        <v>2754.5746807197324</v>
      </c>
      <c r="S293" s="399">
        <f>INDEX(LIBOR!$M$3:$M$122,MATCH(L293,LIBOR!$N$3:$N$122))</f>
        <v>3.2809699999999997E-2</v>
      </c>
      <c r="T293" s="400">
        <f t="shared" si="65"/>
        <v>8.1809699999999999E-2</v>
      </c>
    </row>
    <row r="294" spans="2:20">
      <c r="B294" s="396">
        <f t="shared" si="66"/>
        <v>53082</v>
      </c>
      <c r="C294" s="357">
        <f t="shared" si="67"/>
        <v>346</v>
      </c>
      <c r="D294" s="397" t="e">
        <f>INDEX('Monthly Cash Flow'!$L$137:$GT$137, MATCH(C294, 'Monthly Cash Flow'!$L$13:$GT$13, 0))</f>
        <v>#N/A</v>
      </c>
      <c r="E294" s="397">
        <f t="shared" ca="1" si="60"/>
        <v>0</v>
      </c>
      <c r="F294" s="397" t="e">
        <f t="shared" si="56"/>
        <v>#N/A</v>
      </c>
      <c r="G294" s="397" t="e">
        <f t="shared" ca="1" si="57"/>
        <v>#N/A</v>
      </c>
      <c r="H294" s="398" t="e">
        <f t="shared" ca="1" si="58"/>
        <v>#N/A</v>
      </c>
      <c r="I294" s="399">
        <f>MAX($J$5, INDEX(LIBOR!$M$3:$M$122,MATCH(B294,LIBOR!$N$3:$N$122)))</f>
        <v>3.2809699999999997E-2</v>
      </c>
      <c r="J294" s="400">
        <f t="shared" si="59"/>
        <v>8.5309699999999988E-2</v>
      </c>
      <c r="L294" s="392">
        <f t="shared" si="68"/>
        <v>53082</v>
      </c>
      <c r="M294" s="357">
        <f t="shared" si="69"/>
        <v>346</v>
      </c>
      <c r="N294" s="397">
        <v>2704.9981781049855</v>
      </c>
      <c r="O294" s="397">
        <f t="shared" si="61"/>
        <v>0</v>
      </c>
      <c r="P294" s="397">
        <f t="shared" si="63"/>
        <v>18.441257454276286</v>
      </c>
      <c r="Q294" s="397">
        <f t="shared" si="62"/>
        <v>-18.441257454276286</v>
      </c>
      <c r="R294" s="398">
        <f t="shared" si="64"/>
        <v>2723.4394355592617</v>
      </c>
      <c r="S294" s="399">
        <f>INDEX(LIBOR!$M$3:$M$122,MATCH(L294,LIBOR!$N$3:$N$122))</f>
        <v>3.2809699999999997E-2</v>
      </c>
      <c r="T294" s="400">
        <f t="shared" si="65"/>
        <v>8.1809699999999999E-2</v>
      </c>
    </row>
    <row r="295" spans="2:20">
      <c r="B295" s="396">
        <f t="shared" si="66"/>
        <v>53113</v>
      </c>
      <c r="C295" s="357">
        <f t="shared" si="67"/>
        <v>347</v>
      </c>
      <c r="D295" s="397" t="e">
        <f>INDEX('Monthly Cash Flow'!$L$137:$GT$137, MATCH(C295, 'Monthly Cash Flow'!$L$13:$GT$13, 0))</f>
        <v>#N/A</v>
      </c>
      <c r="E295" s="397">
        <f t="shared" ca="1" si="60"/>
        <v>0</v>
      </c>
      <c r="F295" s="397" t="e">
        <f t="shared" si="56"/>
        <v>#N/A</v>
      </c>
      <c r="G295" s="397" t="e">
        <f t="shared" ca="1" si="57"/>
        <v>#N/A</v>
      </c>
      <c r="H295" s="398" t="e">
        <f t="shared" ca="1" si="58"/>
        <v>#N/A</v>
      </c>
      <c r="I295" s="399">
        <f>MAX($J$5, INDEX(LIBOR!$M$3:$M$122,MATCH(B295,LIBOR!$N$3:$N$122)))</f>
        <v>3.2809699999999997E-2</v>
      </c>
      <c r="J295" s="400">
        <f t="shared" si="59"/>
        <v>8.5309699999999988E-2</v>
      </c>
      <c r="L295" s="392">
        <f t="shared" si="68"/>
        <v>53113</v>
      </c>
      <c r="M295" s="357">
        <f t="shared" si="69"/>
        <v>347</v>
      </c>
      <c r="N295" s="397">
        <v>2673.9329056267279</v>
      </c>
      <c r="O295" s="397">
        <f t="shared" si="61"/>
        <v>0</v>
      </c>
      <c r="P295" s="397">
        <f t="shared" si="63"/>
        <v>18.229470735787576</v>
      </c>
      <c r="Q295" s="397">
        <f t="shared" si="62"/>
        <v>-18.229470735787576</v>
      </c>
      <c r="R295" s="398">
        <f t="shared" si="64"/>
        <v>2692.1623763625157</v>
      </c>
      <c r="S295" s="399">
        <f>INDEX(LIBOR!$M$3:$M$122,MATCH(L295,LIBOR!$N$3:$N$122))</f>
        <v>3.2809699999999997E-2</v>
      </c>
      <c r="T295" s="400">
        <f t="shared" si="65"/>
        <v>8.1809699999999999E-2</v>
      </c>
    </row>
    <row r="296" spans="2:20">
      <c r="B296" s="396">
        <f t="shared" si="66"/>
        <v>53143</v>
      </c>
      <c r="C296" s="357">
        <f t="shared" si="67"/>
        <v>348</v>
      </c>
      <c r="D296" s="397" t="e">
        <f>INDEX('Monthly Cash Flow'!$L$137:$GT$137, MATCH(C296, 'Monthly Cash Flow'!$L$13:$GT$13, 0))</f>
        <v>#N/A</v>
      </c>
      <c r="E296" s="397">
        <f t="shared" ca="1" si="60"/>
        <v>0</v>
      </c>
      <c r="F296" s="397" t="e">
        <f t="shared" si="56"/>
        <v>#N/A</v>
      </c>
      <c r="G296" s="397" t="e">
        <f t="shared" ca="1" si="57"/>
        <v>#N/A</v>
      </c>
      <c r="H296" s="398" t="e">
        <f t="shared" ca="1" si="58"/>
        <v>#N/A</v>
      </c>
      <c r="I296" s="399">
        <f>MAX($J$5, INDEX(LIBOR!$M$3:$M$122,MATCH(B296,LIBOR!$N$3:$N$122)))</f>
        <v>3.2809699999999997E-2</v>
      </c>
      <c r="J296" s="400">
        <f t="shared" si="59"/>
        <v>8.5309699999999988E-2</v>
      </c>
      <c r="L296" s="392">
        <f t="shared" si="68"/>
        <v>53143</v>
      </c>
      <c r="M296" s="357">
        <f t="shared" si="69"/>
        <v>348</v>
      </c>
      <c r="N296" s="397">
        <v>2642.7261378220182</v>
      </c>
      <c r="O296" s="397">
        <f t="shared" si="61"/>
        <v>0</v>
      </c>
      <c r="P296" s="397">
        <f t="shared" si="63"/>
        <v>18.016719376448162</v>
      </c>
      <c r="Q296" s="397">
        <f t="shared" si="62"/>
        <v>-18.016719376448162</v>
      </c>
      <c r="R296" s="398">
        <f t="shared" si="64"/>
        <v>2660.7428571984665</v>
      </c>
      <c r="S296" s="399">
        <f>INDEX(LIBOR!$M$3:$M$122,MATCH(L296,LIBOR!$N$3:$N$122))</f>
        <v>3.2809699999999997E-2</v>
      </c>
      <c r="T296" s="400">
        <f t="shared" si="65"/>
        <v>8.1809699999999999E-2</v>
      </c>
    </row>
    <row r="297" spans="2:20">
      <c r="B297" s="396">
        <f t="shared" si="66"/>
        <v>53174</v>
      </c>
      <c r="C297" s="357">
        <f t="shared" si="67"/>
        <v>349</v>
      </c>
      <c r="D297" s="397" t="e">
        <f>INDEX('Monthly Cash Flow'!$L$137:$GT$137, MATCH(C297, 'Monthly Cash Flow'!$L$13:$GT$13, 0))</f>
        <v>#N/A</v>
      </c>
      <c r="E297" s="397">
        <f t="shared" ca="1" si="60"/>
        <v>0</v>
      </c>
      <c r="F297" s="397" t="e">
        <f t="shared" si="56"/>
        <v>#N/A</v>
      </c>
      <c r="G297" s="397" t="e">
        <f t="shared" ca="1" si="57"/>
        <v>#N/A</v>
      </c>
      <c r="H297" s="398" t="e">
        <f t="shared" ca="1" si="58"/>
        <v>#N/A</v>
      </c>
      <c r="I297" s="399">
        <f>MAX($J$5, INDEX(LIBOR!$M$3:$M$122,MATCH(B297,LIBOR!$N$3:$N$122)))</f>
        <v>3.2809699999999997E-2</v>
      </c>
      <c r="J297" s="400">
        <f t="shared" si="59"/>
        <v>8.5309699999999988E-2</v>
      </c>
      <c r="L297" s="392">
        <f t="shared" si="68"/>
        <v>53174</v>
      </c>
      <c r="M297" s="357">
        <f t="shared" si="69"/>
        <v>349</v>
      </c>
      <c r="N297" s="397">
        <v>2611.3772302114808</v>
      </c>
      <c r="O297" s="397">
        <f t="shared" si="61"/>
        <v>0</v>
      </c>
      <c r="P297" s="397">
        <f t="shared" si="63"/>
        <v>17.802998982536014</v>
      </c>
      <c r="Q297" s="397">
        <f t="shared" si="62"/>
        <v>-17.802998982536014</v>
      </c>
      <c r="R297" s="398">
        <f t="shared" si="64"/>
        <v>2629.1802291940166</v>
      </c>
      <c r="S297" s="399">
        <f>INDEX(LIBOR!$M$3:$M$122,MATCH(L297,LIBOR!$N$3:$N$122))</f>
        <v>3.2809699999999997E-2</v>
      </c>
      <c r="T297" s="400">
        <f t="shared" si="65"/>
        <v>8.1809699999999999E-2</v>
      </c>
    </row>
    <row r="298" spans="2:20">
      <c r="B298" s="396">
        <f t="shared" si="66"/>
        <v>53205</v>
      </c>
      <c r="C298" s="357">
        <f t="shared" si="67"/>
        <v>350</v>
      </c>
      <c r="D298" s="397" t="e">
        <f>INDEX('Monthly Cash Flow'!$L$137:$GT$137, MATCH(C298, 'Monthly Cash Flow'!$L$13:$GT$13, 0))</f>
        <v>#N/A</v>
      </c>
      <c r="E298" s="397">
        <f t="shared" ca="1" si="60"/>
        <v>0</v>
      </c>
      <c r="F298" s="397" t="e">
        <f t="shared" si="56"/>
        <v>#N/A</v>
      </c>
      <c r="G298" s="397" t="e">
        <f t="shared" ca="1" si="57"/>
        <v>#N/A</v>
      </c>
      <c r="H298" s="398" t="e">
        <f t="shared" ca="1" si="58"/>
        <v>#N/A</v>
      </c>
      <c r="I298" s="399">
        <f>MAX($J$5, INDEX(LIBOR!$M$3:$M$122,MATCH(B298,LIBOR!$N$3:$N$122)))</f>
        <v>3.2809699999999997E-2</v>
      </c>
      <c r="J298" s="400">
        <f t="shared" si="59"/>
        <v>8.5309699999999988E-2</v>
      </c>
      <c r="L298" s="392">
        <f t="shared" si="68"/>
        <v>53205</v>
      </c>
      <c r="M298" s="357">
        <f t="shared" si="69"/>
        <v>350</v>
      </c>
      <c r="N298" s="397">
        <v>2579.8855353802815</v>
      </c>
      <c r="O298" s="397">
        <f t="shared" si="61"/>
        <v>0</v>
      </c>
      <c r="P298" s="397">
        <f t="shared" si="63"/>
        <v>17.588305140316685</v>
      </c>
      <c r="Q298" s="397">
        <f t="shared" si="62"/>
        <v>-17.588305140316685</v>
      </c>
      <c r="R298" s="398">
        <f t="shared" si="64"/>
        <v>2597.4738405205981</v>
      </c>
      <c r="S298" s="399">
        <f>INDEX(LIBOR!$M$3:$M$122,MATCH(L298,LIBOR!$N$3:$N$122))</f>
        <v>3.2809699999999997E-2</v>
      </c>
      <c r="T298" s="400">
        <f t="shared" si="65"/>
        <v>8.1809699999999999E-2</v>
      </c>
    </row>
    <row r="299" spans="2:20">
      <c r="B299" s="396">
        <f t="shared" si="66"/>
        <v>53235</v>
      </c>
      <c r="C299" s="357">
        <f t="shared" si="67"/>
        <v>351</v>
      </c>
      <c r="D299" s="397" t="e">
        <f>INDEX('Monthly Cash Flow'!$L$137:$GT$137, MATCH(C299, 'Monthly Cash Flow'!$L$13:$GT$13, 0))</f>
        <v>#N/A</v>
      </c>
      <c r="E299" s="397">
        <f t="shared" ca="1" si="60"/>
        <v>0</v>
      </c>
      <c r="F299" s="397" t="e">
        <f t="shared" si="56"/>
        <v>#N/A</v>
      </c>
      <c r="G299" s="397" t="e">
        <f t="shared" ca="1" si="57"/>
        <v>#N/A</v>
      </c>
      <c r="H299" s="398" t="e">
        <f t="shared" ca="1" si="58"/>
        <v>#N/A</v>
      </c>
      <c r="I299" s="399">
        <f>MAX($J$5, INDEX(LIBOR!$M$3:$M$122,MATCH(B299,LIBOR!$N$3:$N$122)))</f>
        <v>3.2809699999999997E-2</v>
      </c>
      <c r="J299" s="400">
        <f t="shared" si="59"/>
        <v>8.5309699999999988E-2</v>
      </c>
      <c r="L299" s="392">
        <f t="shared" si="68"/>
        <v>53235</v>
      </c>
      <c r="M299" s="357">
        <f t="shared" si="69"/>
        <v>351</v>
      </c>
      <c r="N299" s="397">
        <v>2548.2504029647575</v>
      </c>
      <c r="O299" s="397">
        <f t="shared" si="61"/>
        <v>0</v>
      </c>
      <c r="P299" s="397">
        <f t="shared" si="63"/>
        <v>17.372633415952162</v>
      </c>
      <c r="Q299" s="397">
        <f t="shared" si="62"/>
        <v>-17.372633415952162</v>
      </c>
      <c r="R299" s="398">
        <f t="shared" si="64"/>
        <v>2565.6230363807099</v>
      </c>
      <c r="S299" s="399">
        <f>INDEX(LIBOR!$M$3:$M$122,MATCH(L299,LIBOR!$N$3:$N$122))</f>
        <v>3.2809699999999997E-2</v>
      </c>
      <c r="T299" s="400">
        <f t="shared" si="65"/>
        <v>8.1809699999999999E-2</v>
      </c>
    </row>
    <row r="300" spans="2:20">
      <c r="B300" s="396">
        <f t="shared" si="66"/>
        <v>53266</v>
      </c>
      <c r="C300" s="357">
        <f t="shared" si="67"/>
        <v>352</v>
      </c>
      <c r="D300" s="397" t="e">
        <f>INDEX('Monthly Cash Flow'!$L$137:$GT$137, MATCH(C300, 'Monthly Cash Flow'!$L$13:$GT$13, 0))</f>
        <v>#N/A</v>
      </c>
      <c r="E300" s="397">
        <f t="shared" ca="1" si="60"/>
        <v>0</v>
      </c>
      <c r="F300" s="397" t="e">
        <f t="shared" si="56"/>
        <v>#N/A</v>
      </c>
      <c r="G300" s="397" t="e">
        <f t="shared" ca="1" si="57"/>
        <v>#N/A</v>
      </c>
      <c r="H300" s="398" t="e">
        <f t="shared" ca="1" si="58"/>
        <v>#N/A</v>
      </c>
      <c r="I300" s="399">
        <f>MAX($J$5, INDEX(LIBOR!$M$3:$M$122,MATCH(B300,LIBOR!$N$3:$N$122)))</f>
        <v>3.2809699999999997E-2</v>
      </c>
      <c r="J300" s="400">
        <f t="shared" si="59"/>
        <v>8.5309699999999988E-2</v>
      </c>
      <c r="L300" s="392">
        <f t="shared" si="68"/>
        <v>53266</v>
      </c>
      <c r="M300" s="357">
        <f t="shared" si="69"/>
        <v>352</v>
      </c>
      <c r="N300" s="397">
        <v>2516.4711796389856</v>
      </c>
      <c r="O300" s="397">
        <f t="shared" si="61"/>
        <v>0</v>
      </c>
      <c r="P300" s="397">
        <f t="shared" si="63"/>
        <v>17.155979355409293</v>
      </c>
      <c r="Q300" s="397">
        <f t="shared" si="62"/>
        <v>-17.155979355409293</v>
      </c>
      <c r="R300" s="398">
        <f t="shared" si="64"/>
        <v>2533.6271589943949</v>
      </c>
      <c r="S300" s="399">
        <f>INDEX(LIBOR!$M$3:$M$122,MATCH(L300,LIBOR!$N$3:$N$122))</f>
        <v>3.2809699999999997E-2</v>
      </c>
      <c r="T300" s="400">
        <f t="shared" si="65"/>
        <v>8.1809699999999999E-2</v>
      </c>
    </row>
    <row r="301" spans="2:20">
      <c r="B301" s="396">
        <f t="shared" si="66"/>
        <v>53296</v>
      </c>
      <c r="C301" s="357">
        <f t="shared" si="67"/>
        <v>353</v>
      </c>
      <c r="D301" s="397" t="e">
        <f>INDEX('Monthly Cash Flow'!$L$137:$GT$137, MATCH(C301, 'Monthly Cash Flow'!$L$13:$GT$13, 0))</f>
        <v>#N/A</v>
      </c>
      <c r="E301" s="397">
        <f t="shared" ca="1" si="60"/>
        <v>0</v>
      </c>
      <c r="F301" s="397" t="e">
        <f t="shared" si="56"/>
        <v>#N/A</v>
      </c>
      <c r="G301" s="397" t="e">
        <f t="shared" ca="1" si="57"/>
        <v>#N/A</v>
      </c>
      <c r="H301" s="398" t="e">
        <f t="shared" ca="1" si="58"/>
        <v>#N/A</v>
      </c>
      <c r="I301" s="399">
        <f>MAX($J$5, INDEX(LIBOR!$M$3:$M$122,MATCH(B301,LIBOR!$N$3:$N$122)))</f>
        <v>3.2809699999999997E-2</v>
      </c>
      <c r="J301" s="400">
        <f t="shared" si="59"/>
        <v>8.5309699999999988E-2</v>
      </c>
      <c r="L301" s="392">
        <f t="shared" si="68"/>
        <v>53296</v>
      </c>
      <c r="M301" s="357">
        <f t="shared" si="69"/>
        <v>353</v>
      </c>
      <c r="N301" s="397">
        <v>2484.5472091012898</v>
      </c>
      <c r="O301" s="397">
        <f t="shared" si="61"/>
        <v>0</v>
      </c>
      <c r="P301" s="397">
        <f t="shared" si="63"/>
        <v>16.938338484367815</v>
      </c>
      <c r="Q301" s="397">
        <f t="shared" si="62"/>
        <v>-16.938338484367815</v>
      </c>
      <c r="R301" s="398">
        <f t="shared" si="64"/>
        <v>2501.4855475856575</v>
      </c>
      <c r="S301" s="399">
        <f>INDEX(LIBOR!$M$3:$M$122,MATCH(L301,LIBOR!$N$3:$N$122))</f>
        <v>3.2809699999999997E-2</v>
      </c>
      <c r="T301" s="400">
        <f t="shared" si="65"/>
        <v>8.1809699999999999E-2</v>
      </c>
    </row>
    <row r="302" spans="2:20">
      <c r="B302" s="396">
        <f t="shared" si="66"/>
        <v>53327</v>
      </c>
      <c r="C302" s="357">
        <f t="shared" si="67"/>
        <v>354</v>
      </c>
      <c r="D302" s="397" t="e">
        <f>INDEX('Monthly Cash Flow'!$L$137:$GT$137, MATCH(C302, 'Monthly Cash Flow'!$L$13:$GT$13, 0))</f>
        <v>#N/A</v>
      </c>
      <c r="E302" s="397">
        <f t="shared" ca="1" si="60"/>
        <v>0</v>
      </c>
      <c r="F302" s="397" t="e">
        <f t="shared" si="56"/>
        <v>#N/A</v>
      </c>
      <c r="G302" s="397" t="e">
        <f t="shared" ca="1" si="57"/>
        <v>#N/A</v>
      </c>
      <c r="H302" s="398" t="e">
        <f t="shared" ca="1" si="58"/>
        <v>#N/A</v>
      </c>
      <c r="I302" s="399">
        <f>MAX($J$5, INDEX(LIBOR!$M$3:$M$122,MATCH(B302,LIBOR!$N$3:$N$122)))</f>
        <v>3.2809699999999997E-2</v>
      </c>
      <c r="J302" s="400">
        <f t="shared" si="59"/>
        <v>8.5309699999999988E-2</v>
      </c>
      <c r="L302" s="392">
        <f t="shared" si="68"/>
        <v>53327</v>
      </c>
      <c r="M302" s="357">
        <f t="shared" si="69"/>
        <v>354</v>
      </c>
      <c r="N302" s="397">
        <v>2452.4778320606883</v>
      </c>
      <c r="O302" s="397">
        <f t="shared" si="61"/>
        <v>0</v>
      </c>
      <c r="P302" s="397">
        <f t="shared" si="63"/>
        <v>16.719706308127943</v>
      </c>
      <c r="Q302" s="397">
        <f t="shared" si="62"/>
        <v>-16.719706308127943</v>
      </c>
      <c r="R302" s="398">
        <f t="shared" si="64"/>
        <v>2469.1975383688164</v>
      </c>
      <c r="S302" s="399">
        <f>INDEX(LIBOR!$M$3:$M$122,MATCH(L302,LIBOR!$N$3:$N$122))</f>
        <v>3.2809699999999997E-2</v>
      </c>
      <c r="T302" s="400">
        <f t="shared" si="65"/>
        <v>8.1809699999999999E-2</v>
      </c>
    </row>
    <row r="303" spans="2:20">
      <c r="B303" s="396">
        <f t="shared" si="66"/>
        <v>53358</v>
      </c>
      <c r="C303" s="357">
        <f t="shared" si="67"/>
        <v>355</v>
      </c>
      <c r="D303" s="397" t="e">
        <f>INDEX('Monthly Cash Flow'!$L$137:$GT$137, MATCH(C303, 'Monthly Cash Flow'!$L$13:$GT$13, 0))</f>
        <v>#N/A</v>
      </c>
      <c r="E303" s="397">
        <f t="shared" ca="1" si="60"/>
        <v>0</v>
      </c>
      <c r="F303" s="397" t="e">
        <f t="shared" si="56"/>
        <v>#N/A</v>
      </c>
      <c r="G303" s="397" t="e">
        <f t="shared" ca="1" si="57"/>
        <v>#N/A</v>
      </c>
      <c r="H303" s="398" t="e">
        <f t="shared" ca="1" si="58"/>
        <v>#N/A</v>
      </c>
      <c r="I303" s="399">
        <f>MAX($J$5, INDEX(LIBOR!$M$3:$M$122,MATCH(B303,LIBOR!$N$3:$N$122)))</f>
        <v>3.2809699999999997E-2</v>
      </c>
      <c r="J303" s="400">
        <f t="shared" si="59"/>
        <v>8.5309699999999988E-2</v>
      </c>
      <c r="L303" s="392">
        <f t="shared" si="68"/>
        <v>53358</v>
      </c>
      <c r="M303" s="357">
        <f t="shared" si="69"/>
        <v>355</v>
      </c>
      <c r="N303" s="397">
        <v>2420.2623862232767</v>
      </c>
      <c r="O303" s="397">
        <f t="shared" si="61"/>
        <v>0</v>
      </c>
      <c r="P303" s="397">
        <f t="shared" si="63"/>
        <v>16.500078311517534</v>
      </c>
      <c r="Q303" s="397">
        <f t="shared" si="62"/>
        <v>-16.500078311517534</v>
      </c>
      <c r="R303" s="398">
        <f t="shared" si="64"/>
        <v>2436.7624645347942</v>
      </c>
      <c r="S303" s="399">
        <f>INDEX(LIBOR!$M$3:$M$122,MATCH(L303,LIBOR!$N$3:$N$122))</f>
        <v>3.2809699999999997E-2</v>
      </c>
      <c r="T303" s="400">
        <f t="shared" si="65"/>
        <v>8.1809699999999999E-2</v>
      </c>
    </row>
    <row r="304" spans="2:20">
      <c r="B304" s="396">
        <f t="shared" si="66"/>
        <v>53386</v>
      </c>
      <c r="C304" s="357">
        <f t="shared" si="67"/>
        <v>356</v>
      </c>
      <c r="D304" s="397" t="e">
        <f>INDEX('Monthly Cash Flow'!$L$137:$GT$137, MATCH(C304, 'Monthly Cash Flow'!$L$13:$GT$13, 0))</f>
        <v>#N/A</v>
      </c>
      <c r="E304" s="397">
        <f t="shared" ca="1" si="60"/>
        <v>0</v>
      </c>
      <c r="F304" s="397" t="e">
        <f t="shared" si="56"/>
        <v>#N/A</v>
      </c>
      <c r="G304" s="397" t="e">
        <f t="shared" ca="1" si="57"/>
        <v>#N/A</v>
      </c>
      <c r="H304" s="398" t="e">
        <f t="shared" ca="1" si="58"/>
        <v>#N/A</v>
      </c>
      <c r="I304" s="399">
        <f>MAX($J$5, INDEX(LIBOR!$M$3:$M$122,MATCH(B304,LIBOR!$N$3:$N$122)))</f>
        <v>3.2809699999999997E-2</v>
      </c>
      <c r="J304" s="400">
        <f t="shared" si="59"/>
        <v>8.5309699999999988E-2</v>
      </c>
      <c r="L304" s="392">
        <f t="shared" si="68"/>
        <v>53386</v>
      </c>
      <c r="M304" s="357">
        <f t="shared" si="69"/>
        <v>356</v>
      </c>
      <c r="N304" s="397">
        <v>2387.9002062785512</v>
      </c>
      <c r="O304" s="397">
        <f t="shared" si="61"/>
        <v>0</v>
      </c>
      <c r="P304" s="397">
        <f t="shared" si="63"/>
        <v>16.279449958798867</v>
      </c>
      <c r="Q304" s="397">
        <f t="shared" si="62"/>
        <v>-16.279449958798867</v>
      </c>
      <c r="R304" s="398">
        <f t="shared" si="64"/>
        <v>2404.1796562373502</v>
      </c>
      <c r="S304" s="399">
        <f>INDEX(LIBOR!$M$3:$M$122,MATCH(L304,LIBOR!$N$3:$N$122))</f>
        <v>3.2809699999999997E-2</v>
      </c>
      <c r="T304" s="400">
        <f t="shared" si="65"/>
        <v>8.1809699999999999E-2</v>
      </c>
    </row>
    <row r="305" spans="2:20">
      <c r="B305" s="396">
        <f t="shared" si="66"/>
        <v>53417</v>
      </c>
      <c r="C305" s="357">
        <f t="shared" si="67"/>
        <v>357</v>
      </c>
      <c r="D305" s="397" t="e">
        <f>INDEX('Monthly Cash Flow'!$L$137:$GT$137, MATCH(C305, 'Monthly Cash Flow'!$L$13:$GT$13, 0))</f>
        <v>#N/A</v>
      </c>
      <c r="E305" s="397">
        <f t="shared" ca="1" si="60"/>
        <v>0</v>
      </c>
      <c r="F305" s="397" t="e">
        <f t="shared" si="56"/>
        <v>#N/A</v>
      </c>
      <c r="G305" s="397" t="e">
        <f t="shared" ca="1" si="57"/>
        <v>#N/A</v>
      </c>
      <c r="H305" s="398" t="e">
        <f t="shared" ca="1" si="58"/>
        <v>#N/A</v>
      </c>
      <c r="I305" s="399">
        <f>MAX($J$5, INDEX(LIBOR!$M$3:$M$122,MATCH(B305,LIBOR!$N$3:$N$122)))</f>
        <v>3.2809699999999997E-2</v>
      </c>
      <c r="J305" s="400">
        <f t="shared" si="59"/>
        <v>8.5309699999999988E-2</v>
      </c>
      <c r="L305" s="392">
        <f t="shared" si="68"/>
        <v>53417</v>
      </c>
      <c r="M305" s="357">
        <f t="shared" si="69"/>
        <v>357</v>
      </c>
      <c r="N305" s="397">
        <v>2355.3906238856675</v>
      </c>
      <c r="O305" s="397">
        <f t="shared" si="61"/>
        <v>0</v>
      </c>
      <c r="P305" s="397">
        <f t="shared" si="63"/>
        <v>16.057816693574942</v>
      </c>
      <c r="Q305" s="397">
        <f t="shared" si="62"/>
        <v>-16.057816693574942</v>
      </c>
      <c r="R305" s="398">
        <f t="shared" si="64"/>
        <v>2371.4484405792423</v>
      </c>
      <c r="S305" s="399">
        <f>INDEX(LIBOR!$M$3:$M$122,MATCH(L305,LIBOR!$N$3:$N$122))</f>
        <v>3.2809699999999997E-2</v>
      </c>
      <c r="T305" s="400">
        <f t="shared" si="65"/>
        <v>8.1809699999999999E-2</v>
      </c>
    </row>
    <row r="306" spans="2:20">
      <c r="B306" s="396">
        <f t="shared" si="66"/>
        <v>53447</v>
      </c>
      <c r="C306" s="357">
        <f t="shared" si="67"/>
        <v>358</v>
      </c>
      <c r="D306" s="397" t="e">
        <f>INDEX('Monthly Cash Flow'!$L$137:$GT$137, MATCH(C306, 'Monthly Cash Flow'!$L$13:$GT$13, 0))</f>
        <v>#N/A</v>
      </c>
      <c r="E306" s="397">
        <f t="shared" ca="1" si="60"/>
        <v>0</v>
      </c>
      <c r="F306" s="397" t="e">
        <f t="shared" si="56"/>
        <v>#N/A</v>
      </c>
      <c r="G306" s="397" t="e">
        <f t="shared" ca="1" si="57"/>
        <v>#N/A</v>
      </c>
      <c r="H306" s="398" t="e">
        <f t="shared" ca="1" si="58"/>
        <v>#N/A</v>
      </c>
      <c r="I306" s="399">
        <f>MAX($J$5, INDEX(LIBOR!$M$3:$M$122,MATCH(B306,LIBOR!$N$3:$N$122)))</f>
        <v>3.2809699999999997E-2</v>
      </c>
      <c r="J306" s="400">
        <f t="shared" si="59"/>
        <v>8.5309699999999988E-2</v>
      </c>
      <c r="L306" s="392">
        <f t="shared" si="68"/>
        <v>53447</v>
      </c>
      <c r="M306" s="357">
        <f t="shared" si="69"/>
        <v>358</v>
      </c>
      <c r="N306" s="397">
        <v>2322.7329676596405</v>
      </c>
      <c r="O306" s="397">
        <f t="shared" si="61"/>
        <v>0</v>
      </c>
      <c r="P306" s="397">
        <f t="shared" si="63"/>
        <v>15.835173938695407</v>
      </c>
      <c r="Q306" s="397">
        <f t="shared" si="62"/>
        <v>-15.835173938695407</v>
      </c>
      <c r="R306" s="398">
        <f t="shared" si="64"/>
        <v>2338.5681415983358</v>
      </c>
      <c r="S306" s="399">
        <f>INDEX(LIBOR!$M$3:$M$122,MATCH(L306,LIBOR!$N$3:$N$122))</f>
        <v>3.2809699999999997E-2</v>
      </c>
      <c r="T306" s="400">
        <f t="shared" si="65"/>
        <v>8.1809699999999999E-2</v>
      </c>
    </row>
    <row r="307" spans="2:20">
      <c r="B307" s="396">
        <f t="shared" si="66"/>
        <v>53478</v>
      </c>
      <c r="C307" s="357">
        <f t="shared" si="67"/>
        <v>359</v>
      </c>
      <c r="D307" s="397" t="e">
        <f>INDEX('Monthly Cash Flow'!$L$137:$GT$137, MATCH(C307, 'Monthly Cash Flow'!$L$13:$GT$13, 0))</f>
        <v>#N/A</v>
      </c>
      <c r="E307" s="397">
        <f t="shared" ca="1" si="60"/>
        <v>0</v>
      </c>
      <c r="F307" s="397" t="e">
        <f t="shared" si="56"/>
        <v>#N/A</v>
      </c>
      <c r="G307" s="397" t="e">
        <f t="shared" ca="1" si="57"/>
        <v>#N/A</v>
      </c>
      <c r="H307" s="398" t="e">
        <f t="shared" ca="1" si="58"/>
        <v>#N/A</v>
      </c>
      <c r="I307" s="399">
        <f>MAX($J$5, INDEX(LIBOR!$M$3:$M$122,MATCH(B307,LIBOR!$N$3:$N$122)))</f>
        <v>3.2809699999999997E-2</v>
      </c>
      <c r="J307" s="400">
        <f t="shared" si="59"/>
        <v>8.5309699999999988E-2</v>
      </c>
      <c r="L307" s="392">
        <f t="shared" si="68"/>
        <v>53478</v>
      </c>
      <c r="M307" s="357">
        <f t="shared" si="69"/>
        <v>359</v>
      </c>
      <c r="N307" s="397">
        <v>2289.9265631574767</v>
      </c>
      <c r="O307" s="397">
        <f t="shared" si="61"/>
        <v>0</v>
      </c>
      <c r="P307" s="397">
        <f t="shared" si="63"/>
        <v>15.611517096162018</v>
      </c>
      <c r="Q307" s="397">
        <f t="shared" si="62"/>
        <v>-15.611517096162018</v>
      </c>
      <c r="R307" s="398">
        <f t="shared" si="64"/>
        <v>2305.5380802536388</v>
      </c>
      <c r="S307" s="399">
        <f>INDEX(LIBOR!$M$3:$M$122,MATCH(L307,LIBOR!$N$3:$N$122))</f>
        <v>3.2809699999999997E-2</v>
      </c>
      <c r="T307" s="400">
        <f t="shared" si="65"/>
        <v>8.1809699999999999E-2</v>
      </c>
    </row>
    <row r="308" spans="2:20">
      <c r="B308" s="396">
        <f t="shared" si="66"/>
        <v>53508</v>
      </c>
      <c r="C308" s="357">
        <f t="shared" si="67"/>
        <v>360</v>
      </c>
      <c r="D308" s="397" t="e">
        <f>INDEX('Monthly Cash Flow'!$L$137:$GT$137, MATCH(C308, 'Monthly Cash Flow'!$L$13:$GT$13, 0))</f>
        <v>#N/A</v>
      </c>
      <c r="E308" s="397">
        <f t="shared" ca="1" si="60"/>
        <v>0</v>
      </c>
      <c r="F308" s="397" t="e">
        <f t="shared" si="56"/>
        <v>#N/A</v>
      </c>
      <c r="G308" s="397" t="e">
        <f t="shared" ca="1" si="57"/>
        <v>#N/A</v>
      </c>
      <c r="H308" s="398" t="e">
        <f t="shared" ca="1" si="58"/>
        <v>#N/A</v>
      </c>
      <c r="I308" s="399">
        <f>MAX($J$5, INDEX(LIBOR!$M$3:$M$122,MATCH(B308,LIBOR!$N$3:$N$122)))</f>
        <v>3.2809699999999997E-2</v>
      </c>
      <c r="J308" s="400">
        <f t="shared" si="59"/>
        <v>8.5309699999999988E-2</v>
      </c>
      <c r="L308" s="392">
        <f t="shared" si="68"/>
        <v>53508</v>
      </c>
      <c r="M308" s="357">
        <f t="shared" si="69"/>
        <v>360</v>
      </c>
      <c r="N308" s="397">
        <v>2256.9707328642467</v>
      </c>
      <c r="O308" s="397">
        <f t="shared" si="61"/>
        <v>0</v>
      </c>
      <c r="P308" s="397">
        <f t="shared" si="63"/>
        <v>15.386841547033681</v>
      </c>
      <c r="Q308" s="397">
        <f t="shared" si="62"/>
        <v>-15.386841547033681</v>
      </c>
      <c r="R308" s="398">
        <f t="shared" si="64"/>
        <v>2272.3575744112804</v>
      </c>
      <c r="S308" s="399">
        <f>INDEX(LIBOR!$M$3:$M$122,MATCH(L308,LIBOR!$N$3:$N$122))</f>
        <v>3.2809699999999997E-2</v>
      </c>
      <c r="T308" s="400">
        <f t="shared" si="65"/>
        <v>8.1809699999999999E-2</v>
      </c>
    </row>
    <row r="309" spans="2:20">
      <c r="B309" s="396">
        <f t="shared" si="66"/>
        <v>53539</v>
      </c>
      <c r="C309" s="357">
        <f t="shared" si="67"/>
        <v>361</v>
      </c>
      <c r="D309" s="397" t="e">
        <f>INDEX('Monthly Cash Flow'!$L$137:$GT$137, MATCH(C309, 'Monthly Cash Flow'!$L$13:$GT$13, 0))</f>
        <v>#N/A</v>
      </c>
      <c r="E309" s="397">
        <f t="shared" ca="1" si="60"/>
        <v>0</v>
      </c>
      <c r="F309" s="397" t="e">
        <f t="shared" si="56"/>
        <v>#N/A</v>
      </c>
      <c r="G309" s="397" t="e">
        <f t="shared" ca="1" si="57"/>
        <v>#N/A</v>
      </c>
      <c r="H309" s="398" t="e">
        <f t="shared" ca="1" si="58"/>
        <v>#N/A</v>
      </c>
      <c r="I309" s="399">
        <f>MAX($J$5, INDEX(LIBOR!$M$3:$M$122,MATCH(B309,LIBOR!$N$3:$N$122)))</f>
        <v>3.2809699999999997E-2</v>
      </c>
      <c r="J309" s="400">
        <f t="shared" si="59"/>
        <v>8.5309699999999988E-2</v>
      </c>
      <c r="L309" s="392">
        <f t="shared" si="68"/>
        <v>53539</v>
      </c>
      <c r="M309" s="357">
        <f t="shared" si="69"/>
        <v>361</v>
      </c>
      <c r="N309" s="397">
        <v>2223.8647961790925</v>
      </c>
      <c r="O309" s="397">
        <f t="shared" si="61"/>
        <v>0</v>
      </c>
      <c r="P309" s="397">
        <f t="shared" si="63"/>
        <v>15.16114265133106</v>
      </c>
      <c r="Q309" s="397">
        <f t="shared" si="62"/>
        <v>-15.16114265133106</v>
      </c>
      <c r="R309" s="398">
        <f t="shared" si="64"/>
        <v>2239.0259388304235</v>
      </c>
      <c r="S309" s="399">
        <f>INDEX(LIBOR!$M$3:$M$122,MATCH(L309,LIBOR!$N$3:$N$122))</f>
        <v>3.2809699999999997E-2</v>
      </c>
      <c r="T309" s="400">
        <f t="shared" si="65"/>
        <v>8.1809699999999999E-2</v>
      </c>
    </row>
    <row r="310" spans="2:20">
      <c r="B310" s="396">
        <f t="shared" si="66"/>
        <v>53570</v>
      </c>
      <c r="C310" s="357">
        <f t="shared" si="67"/>
        <v>362</v>
      </c>
      <c r="D310" s="397" t="e">
        <f>INDEX('Monthly Cash Flow'!$L$137:$GT$137, MATCH(C310, 'Monthly Cash Flow'!$L$13:$GT$13, 0))</f>
        <v>#N/A</v>
      </c>
      <c r="E310" s="397">
        <f t="shared" ca="1" si="60"/>
        <v>0</v>
      </c>
      <c r="F310" s="397" t="e">
        <f t="shared" si="56"/>
        <v>#N/A</v>
      </c>
      <c r="G310" s="397" t="e">
        <f t="shared" ca="1" si="57"/>
        <v>#N/A</v>
      </c>
      <c r="H310" s="398" t="e">
        <f t="shared" ca="1" si="58"/>
        <v>#N/A</v>
      </c>
      <c r="I310" s="399">
        <f>MAX($J$5, INDEX(LIBOR!$M$3:$M$122,MATCH(B310,LIBOR!$N$3:$N$122)))</f>
        <v>3.2809699999999997E-2</v>
      </c>
      <c r="J310" s="400">
        <f t="shared" si="59"/>
        <v>8.5309699999999988E-2</v>
      </c>
      <c r="L310" s="392">
        <f t="shared" si="68"/>
        <v>53570</v>
      </c>
      <c r="M310" s="357">
        <f t="shared" si="69"/>
        <v>362</v>
      </c>
      <c r="N310" s="397">
        <v>2190.6080694011735</v>
      </c>
      <c r="O310" s="397">
        <f t="shared" si="61"/>
        <v>0</v>
      </c>
      <c r="P310" s="397">
        <f t="shared" si="63"/>
        <v>14.934415747940763</v>
      </c>
      <c r="Q310" s="397">
        <f t="shared" si="62"/>
        <v>-14.934415747940763</v>
      </c>
      <c r="R310" s="398">
        <f t="shared" si="64"/>
        <v>2205.5424851491143</v>
      </c>
      <c r="S310" s="399">
        <f>INDEX(LIBOR!$M$3:$M$122,MATCH(L310,LIBOR!$N$3:$N$122))</f>
        <v>3.2809699999999997E-2</v>
      </c>
      <c r="T310" s="400">
        <f t="shared" si="65"/>
        <v>8.1809699999999999E-2</v>
      </c>
    </row>
    <row r="311" spans="2:20">
      <c r="B311" s="396">
        <f t="shared" si="66"/>
        <v>53600</v>
      </c>
      <c r="C311" s="357">
        <f t="shared" si="67"/>
        <v>363</v>
      </c>
      <c r="D311" s="397" t="e">
        <f>INDEX('Monthly Cash Flow'!$L$137:$GT$137, MATCH(C311, 'Monthly Cash Flow'!$L$13:$GT$13, 0))</f>
        <v>#N/A</v>
      </c>
      <c r="E311" s="397">
        <f t="shared" ca="1" si="60"/>
        <v>0</v>
      </c>
      <c r="F311" s="397" t="e">
        <f t="shared" si="56"/>
        <v>#N/A</v>
      </c>
      <c r="G311" s="397" t="e">
        <f t="shared" ca="1" si="57"/>
        <v>#N/A</v>
      </c>
      <c r="H311" s="398" t="e">
        <f t="shared" ca="1" si="58"/>
        <v>#N/A</v>
      </c>
      <c r="I311" s="399">
        <f>MAX($J$5, INDEX(LIBOR!$M$3:$M$122,MATCH(B311,LIBOR!$N$3:$N$122)))</f>
        <v>3.2809699999999997E-2</v>
      </c>
      <c r="J311" s="400">
        <f t="shared" si="59"/>
        <v>8.5309699999999988E-2</v>
      </c>
      <c r="L311" s="392">
        <f t="shared" si="68"/>
        <v>53600</v>
      </c>
      <c r="M311" s="357">
        <f t="shared" si="69"/>
        <v>363</v>
      </c>
      <c r="N311" s="397">
        <v>2157.1998657155445</v>
      </c>
      <c r="O311" s="397">
        <f t="shared" si="61"/>
        <v>0</v>
      </c>
      <c r="P311" s="397">
        <f t="shared" si="63"/>
        <v>14.706656154519081</v>
      </c>
      <c r="Q311" s="397">
        <f t="shared" si="62"/>
        <v>-14.706656154519081</v>
      </c>
      <c r="R311" s="398">
        <f t="shared" si="64"/>
        <v>2171.9065218700634</v>
      </c>
      <c r="S311" s="399">
        <f>INDEX(LIBOR!$M$3:$M$122,MATCH(L311,LIBOR!$N$3:$N$122))</f>
        <v>3.2809699999999997E-2</v>
      </c>
      <c r="T311" s="400">
        <f t="shared" si="65"/>
        <v>8.1809699999999999E-2</v>
      </c>
    </row>
    <row r="312" spans="2:20">
      <c r="B312" s="396">
        <f t="shared" si="66"/>
        <v>53631</v>
      </c>
      <c r="C312" s="357">
        <f t="shared" si="67"/>
        <v>364</v>
      </c>
      <c r="D312" s="397" t="e">
        <f>INDEX('Monthly Cash Flow'!$L$137:$GT$137, MATCH(C312, 'Monthly Cash Flow'!$L$13:$GT$13, 0))</f>
        <v>#N/A</v>
      </c>
      <c r="E312" s="397">
        <f t="shared" ca="1" si="60"/>
        <v>0</v>
      </c>
      <c r="F312" s="397" t="e">
        <f t="shared" si="56"/>
        <v>#N/A</v>
      </c>
      <c r="G312" s="397" t="e">
        <f t="shared" ca="1" si="57"/>
        <v>#N/A</v>
      </c>
      <c r="H312" s="398" t="e">
        <f t="shared" ca="1" si="58"/>
        <v>#N/A</v>
      </c>
      <c r="I312" s="399">
        <f>MAX($J$5, INDEX(LIBOR!$M$3:$M$122,MATCH(B312,LIBOR!$N$3:$N$122)))</f>
        <v>3.2809699999999997E-2</v>
      </c>
      <c r="J312" s="400">
        <f t="shared" si="59"/>
        <v>8.5309699999999988E-2</v>
      </c>
      <c r="L312" s="392">
        <f t="shared" si="68"/>
        <v>53631</v>
      </c>
      <c r="M312" s="357">
        <f t="shared" si="69"/>
        <v>364</v>
      </c>
      <c r="N312" s="397">
        <v>2123.6394951789734</v>
      </c>
      <c r="O312" s="397">
        <f t="shared" si="61"/>
        <v>0</v>
      </c>
      <c r="P312" s="397">
        <f t="shared" si="63"/>
        <v>14.477859167395271</v>
      </c>
      <c r="Q312" s="397">
        <f t="shared" si="62"/>
        <v>-14.477859167395271</v>
      </c>
      <c r="R312" s="398">
        <f t="shared" si="64"/>
        <v>2138.1173543463688</v>
      </c>
      <c r="S312" s="399">
        <f>INDEX(LIBOR!$M$3:$M$122,MATCH(L312,LIBOR!$N$3:$N$122))</f>
        <v>3.2809699999999997E-2</v>
      </c>
      <c r="T312" s="400">
        <f t="shared" si="65"/>
        <v>8.1809699999999999E-2</v>
      </c>
    </row>
    <row r="313" spans="2:20">
      <c r="B313" s="396">
        <f t="shared" si="66"/>
        <v>53661</v>
      </c>
      <c r="C313" s="357">
        <f t="shared" si="67"/>
        <v>365</v>
      </c>
      <c r="D313" s="397" t="e">
        <f>INDEX('Monthly Cash Flow'!$L$137:$GT$137, MATCH(C313, 'Monthly Cash Flow'!$L$13:$GT$13, 0))</f>
        <v>#N/A</v>
      </c>
      <c r="E313" s="397">
        <f t="shared" ca="1" si="60"/>
        <v>0</v>
      </c>
      <c r="F313" s="397" t="e">
        <f t="shared" si="56"/>
        <v>#N/A</v>
      </c>
      <c r="G313" s="397" t="e">
        <f t="shared" ca="1" si="57"/>
        <v>#N/A</v>
      </c>
      <c r="H313" s="398" t="e">
        <f t="shared" ca="1" si="58"/>
        <v>#N/A</v>
      </c>
      <c r="I313" s="399">
        <f>MAX($J$5, INDEX(LIBOR!$M$3:$M$122,MATCH(B313,LIBOR!$N$3:$N$122)))</f>
        <v>3.2809699999999997E-2</v>
      </c>
      <c r="J313" s="400">
        <f t="shared" si="59"/>
        <v>8.5309699999999988E-2</v>
      </c>
      <c r="L313" s="392">
        <f t="shared" si="68"/>
        <v>53661</v>
      </c>
      <c r="M313" s="357">
        <f t="shared" si="69"/>
        <v>365</v>
      </c>
      <c r="N313" s="397">
        <v>2089.9262647056912</v>
      </c>
      <c r="O313" s="397">
        <f t="shared" si="61"/>
        <v>0</v>
      </c>
      <c r="P313" s="397">
        <f t="shared" si="63"/>
        <v>14.248020061474433</v>
      </c>
      <c r="Q313" s="397">
        <f t="shared" si="62"/>
        <v>-14.248020061474433</v>
      </c>
      <c r="R313" s="398">
        <f t="shared" si="64"/>
        <v>2104.1742847671658</v>
      </c>
      <c r="S313" s="399">
        <f>INDEX(LIBOR!$M$3:$M$122,MATCH(L313,LIBOR!$N$3:$N$122))</f>
        <v>3.2809699999999997E-2</v>
      </c>
      <c r="T313" s="400">
        <f t="shared" si="65"/>
        <v>8.1809699999999999E-2</v>
      </c>
    </row>
    <row r="314" spans="2:20">
      <c r="B314" s="396">
        <f t="shared" si="66"/>
        <v>53692</v>
      </c>
      <c r="C314" s="357">
        <f t="shared" si="67"/>
        <v>366</v>
      </c>
      <c r="D314" s="397" t="e">
        <f>INDEX('Monthly Cash Flow'!$L$137:$GT$137, MATCH(C314, 'Monthly Cash Flow'!$L$13:$GT$13, 0))</f>
        <v>#N/A</v>
      </c>
      <c r="E314" s="397">
        <f t="shared" ca="1" si="60"/>
        <v>0</v>
      </c>
      <c r="F314" s="397" t="e">
        <f t="shared" si="56"/>
        <v>#N/A</v>
      </c>
      <c r="G314" s="397" t="e">
        <f t="shared" ca="1" si="57"/>
        <v>#N/A</v>
      </c>
      <c r="H314" s="398" t="e">
        <f t="shared" ca="1" si="58"/>
        <v>#N/A</v>
      </c>
      <c r="I314" s="399">
        <f>MAX($J$5, INDEX(LIBOR!$M$3:$M$122,MATCH(B314,LIBOR!$N$3:$N$122)))</f>
        <v>3.2809699999999997E-2</v>
      </c>
      <c r="J314" s="400">
        <f t="shared" si="59"/>
        <v>8.5309699999999988E-2</v>
      </c>
      <c r="L314" s="392">
        <f t="shared" si="68"/>
        <v>53692</v>
      </c>
      <c r="M314" s="357">
        <f t="shared" si="69"/>
        <v>366</v>
      </c>
      <c r="N314" s="397">
        <v>2056.0594780530801</v>
      </c>
      <c r="O314" s="397">
        <f t="shared" si="61"/>
        <v>0</v>
      </c>
      <c r="P314" s="397">
        <f t="shared" si="63"/>
        <v>14.017134090139921</v>
      </c>
      <c r="Q314" s="397">
        <f t="shared" si="62"/>
        <v>-14.017134090139921</v>
      </c>
      <c r="R314" s="398">
        <f t="shared" si="64"/>
        <v>2070.0766121432198</v>
      </c>
      <c r="S314" s="399">
        <f>INDEX(LIBOR!$M$3:$M$122,MATCH(L314,LIBOR!$N$3:$N$122))</f>
        <v>3.2809699999999997E-2</v>
      </c>
      <c r="T314" s="400">
        <f t="shared" si="65"/>
        <v>8.1809699999999999E-2</v>
      </c>
    </row>
    <row r="315" spans="2:20">
      <c r="B315" s="396">
        <f t="shared" si="66"/>
        <v>53723</v>
      </c>
      <c r="C315" s="357">
        <f t="shared" si="67"/>
        <v>367</v>
      </c>
      <c r="D315" s="397" t="e">
        <f>INDEX('Monthly Cash Flow'!$L$137:$GT$137, MATCH(C315, 'Monthly Cash Flow'!$L$13:$GT$13, 0))</f>
        <v>#N/A</v>
      </c>
      <c r="E315" s="397">
        <f t="shared" ca="1" si="60"/>
        <v>0</v>
      </c>
      <c r="F315" s="397" t="e">
        <f t="shared" si="56"/>
        <v>#N/A</v>
      </c>
      <c r="G315" s="397" t="e">
        <f t="shared" ca="1" si="57"/>
        <v>#N/A</v>
      </c>
      <c r="H315" s="398" t="e">
        <f t="shared" ca="1" si="58"/>
        <v>#N/A</v>
      </c>
      <c r="I315" s="399">
        <f>MAX($J$5, INDEX(LIBOR!$M$3:$M$122,MATCH(B315,LIBOR!$N$3:$N$122)))</f>
        <v>3.2809699999999997E-2</v>
      </c>
      <c r="J315" s="400">
        <f t="shared" si="59"/>
        <v>8.5309699999999988E-2</v>
      </c>
      <c r="L315" s="392">
        <f t="shared" si="68"/>
        <v>53723</v>
      </c>
      <c r="M315" s="357">
        <f t="shared" si="69"/>
        <v>367</v>
      </c>
      <c r="N315" s="397">
        <v>2022.0384358072934</v>
      </c>
      <c r="O315" s="397">
        <f t="shared" si="61"/>
        <v>0</v>
      </c>
      <c r="P315" s="397">
        <f t="shared" si="63"/>
        <v>13.785196485155327</v>
      </c>
      <c r="Q315" s="397">
        <f t="shared" si="62"/>
        <v>-13.785196485155327</v>
      </c>
      <c r="R315" s="398">
        <f t="shared" si="64"/>
        <v>2035.8236322924488</v>
      </c>
      <c r="S315" s="399">
        <f>INDEX(LIBOR!$M$3:$M$122,MATCH(L315,LIBOR!$N$3:$N$122))</f>
        <v>3.2809699999999997E-2</v>
      </c>
      <c r="T315" s="400">
        <f t="shared" si="65"/>
        <v>8.1809699999999999E-2</v>
      </c>
    </row>
    <row r="316" spans="2:20">
      <c r="B316" s="396">
        <f t="shared" si="66"/>
        <v>53751</v>
      </c>
      <c r="C316" s="357">
        <f t="shared" si="67"/>
        <v>368</v>
      </c>
      <c r="D316" s="397" t="e">
        <f>INDEX('Monthly Cash Flow'!$L$137:$GT$137, MATCH(C316, 'Monthly Cash Flow'!$L$13:$GT$13, 0))</f>
        <v>#N/A</v>
      </c>
      <c r="E316" s="397">
        <f t="shared" ca="1" si="60"/>
        <v>0</v>
      </c>
      <c r="F316" s="397" t="e">
        <f t="shared" si="56"/>
        <v>#N/A</v>
      </c>
      <c r="G316" s="397" t="e">
        <f t="shared" ca="1" si="57"/>
        <v>#N/A</v>
      </c>
      <c r="H316" s="398" t="e">
        <f t="shared" ca="1" si="58"/>
        <v>#N/A</v>
      </c>
      <c r="I316" s="399">
        <f>MAX($J$5, INDEX(LIBOR!$M$3:$M$122,MATCH(B316,LIBOR!$N$3:$N$122)))</f>
        <v>3.2809699999999997E-2</v>
      </c>
      <c r="J316" s="400">
        <f t="shared" si="59"/>
        <v>8.5309699999999988E-2</v>
      </c>
      <c r="L316" s="392">
        <f t="shared" si="68"/>
        <v>53751</v>
      </c>
      <c r="M316" s="357">
        <f t="shared" si="69"/>
        <v>368</v>
      </c>
      <c r="N316" s="397">
        <v>1987.8624353688117</v>
      </c>
      <c r="O316" s="397">
        <f t="shared" si="61"/>
        <v>0</v>
      </c>
      <c r="P316" s="397">
        <f t="shared" si="63"/>
        <v>13.552202456565988</v>
      </c>
      <c r="Q316" s="397">
        <f t="shared" si="62"/>
        <v>-13.552202456565988</v>
      </c>
      <c r="R316" s="398">
        <f t="shared" si="64"/>
        <v>2001.4146378253777</v>
      </c>
      <c r="S316" s="399">
        <f>INDEX(LIBOR!$M$3:$M$122,MATCH(L316,LIBOR!$N$3:$N$122))</f>
        <v>3.2809699999999997E-2</v>
      </c>
      <c r="T316" s="400">
        <f t="shared" si="65"/>
        <v>8.1809699999999999E-2</v>
      </c>
    </row>
    <row r="317" spans="2:20">
      <c r="B317" s="396">
        <f t="shared" si="66"/>
        <v>53782</v>
      </c>
      <c r="C317" s="357">
        <f t="shared" si="67"/>
        <v>369</v>
      </c>
      <c r="D317" s="397" t="e">
        <f>INDEX('Monthly Cash Flow'!$L$137:$GT$137, MATCH(C317, 'Monthly Cash Flow'!$L$13:$GT$13, 0))</f>
        <v>#N/A</v>
      </c>
      <c r="E317" s="397">
        <f t="shared" ca="1" si="60"/>
        <v>0</v>
      </c>
      <c r="F317" s="397" t="e">
        <f t="shared" si="56"/>
        <v>#N/A</v>
      </c>
      <c r="G317" s="397" t="e">
        <f t="shared" ca="1" si="57"/>
        <v>#N/A</v>
      </c>
      <c r="H317" s="398" t="e">
        <f t="shared" ca="1" si="58"/>
        <v>#N/A</v>
      </c>
      <c r="I317" s="399">
        <f>MAX($J$5, INDEX(LIBOR!$M$3:$M$122,MATCH(B317,LIBOR!$N$3:$N$122)))</f>
        <v>3.2809699999999997E-2</v>
      </c>
      <c r="J317" s="400">
        <f t="shared" si="59"/>
        <v>8.5309699999999988E-2</v>
      </c>
      <c r="L317" s="392">
        <f t="shared" si="68"/>
        <v>53782</v>
      </c>
      <c r="M317" s="357">
        <f t="shared" si="69"/>
        <v>369</v>
      </c>
      <c r="N317" s="397">
        <v>1953.5307709379329</v>
      </c>
      <c r="O317" s="397">
        <f t="shared" si="61"/>
        <v>0</v>
      </c>
      <c r="P317" s="397">
        <f t="shared" si="63"/>
        <v>13.318147192600085</v>
      </c>
      <c r="Q317" s="397">
        <f t="shared" si="62"/>
        <v>-13.318147192600085</v>
      </c>
      <c r="R317" s="398">
        <f t="shared" si="64"/>
        <v>1966.8489181305329</v>
      </c>
      <c r="S317" s="399">
        <f>INDEX(LIBOR!$M$3:$M$122,MATCH(L317,LIBOR!$N$3:$N$122))</f>
        <v>3.2809699999999997E-2</v>
      </c>
      <c r="T317" s="400">
        <f t="shared" si="65"/>
        <v>8.1809699999999999E-2</v>
      </c>
    </row>
    <row r="318" spans="2:20">
      <c r="B318" s="396">
        <f t="shared" si="66"/>
        <v>53812</v>
      </c>
      <c r="C318" s="357">
        <f t="shared" si="67"/>
        <v>370</v>
      </c>
      <c r="D318" s="397" t="e">
        <f>INDEX('Monthly Cash Flow'!$L$137:$GT$137, MATCH(C318, 'Monthly Cash Flow'!$L$13:$GT$13, 0))</f>
        <v>#N/A</v>
      </c>
      <c r="E318" s="397">
        <f t="shared" ca="1" si="60"/>
        <v>0</v>
      </c>
      <c r="F318" s="397" t="e">
        <f t="shared" si="56"/>
        <v>#N/A</v>
      </c>
      <c r="G318" s="397" t="e">
        <f t="shared" ca="1" si="57"/>
        <v>#N/A</v>
      </c>
      <c r="H318" s="398" t="e">
        <f t="shared" ca="1" si="58"/>
        <v>#N/A</v>
      </c>
      <c r="I318" s="399">
        <f>MAX($J$5, INDEX(LIBOR!$M$3:$M$122,MATCH(B318,LIBOR!$N$3:$N$122)))</f>
        <v>3.2809699999999997E-2</v>
      </c>
      <c r="J318" s="400">
        <f t="shared" si="59"/>
        <v>8.5309699999999988E-2</v>
      </c>
      <c r="L318" s="392">
        <f t="shared" si="68"/>
        <v>53812</v>
      </c>
      <c r="M318" s="357">
        <f t="shared" si="69"/>
        <v>370</v>
      </c>
      <c r="N318" s="397">
        <v>1919.0427335001959</v>
      </c>
      <c r="O318" s="397">
        <f t="shared" si="61"/>
        <v>0</v>
      </c>
      <c r="P318" s="397">
        <f t="shared" si="63"/>
        <v>13.083025859569247</v>
      </c>
      <c r="Q318" s="397">
        <f t="shared" si="62"/>
        <v>-13.083025859569247</v>
      </c>
      <c r="R318" s="398">
        <f t="shared" si="64"/>
        <v>1932.1257593597652</v>
      </c>
      <c r="S318" s="399">
        <f>INDEX(LIBOR!$M$3:$M$122,MATCH(L318,LIBOR!$N$3:$N$122))</f>
        <v>3.2809699999999997E-2</v>
      </c>
      <c r="T318" s="400">
        <f t="shared" si="65"/>
        <v>8.1809699999999999E-2</v>
      </c>
    </row>
    <row r="319" spans="2:20">
      <c r="B319" s="396">
        <f t="shared" si="66"/>
        <v>53843</v>
      </c>
      <c r="C319" s="357">
        <f t="shared" si="67"/>
        <v>371</v>
      </c>
      <c r="D319" s="397" t="e">
        <f>INDEX('Monthly Cash Flow'!$L$137:$GT$137, MATCH(C319, 'Monthly Cash Flow'!$L$13:$GT$13, 0))</f>
        <v>#N/A</v>
      </c>
      <c r="E319" s="397">
        <f t="shared" ca="1" si="60"/>
        <v>0</v>
      </c>
      <c r="F319" s="397" t="e">
        <f t="shared" si="56"/>
        <v>#N/A</v>
      </c>
      <c r="G319" s="397" t="e">
        <f t="shared" ca="1" si="57"/>
        <v>#N/A</v>
      </c>
      <c r="H319" s="398" t="e">
        <f t="shared" ca="1" si="58"/>
        <v>#N/A</v>
      </c>
      <c r="I319" s="399">
        <f>MAX($J$5, INDEX(LIBOR!$M$3:$M$122,MATCH(B319,LIBOR!$N$3:$N$122)))</f>
        <v>3.2809699999999997E-2</v>
      </c>
      <c r="J319" s="400">
        <f t="shared" si="59"/>
        <v>8.5309699999999988E-2</v>
      </c>
      <c r="L319" s="392">
        <f t="shared" si="68"/>
        <v>53843</v>
      </c>
      <c r="M319" s="357">
        <f t="shared" si="69"/>
        <v>371</v>
      </c>
      <c r="N319" s="397">
        <v>1884.3976108117386</v>
      </c>
      <c r="O319" s="397">
        <f t="shared" si="61"/>
        <v>0</v>
      </c>
      <c r="P319" s="397">
        <f t="shared" si="63"/>
        <v>12.846833601768758</v>
      </c>
      <c r="Q319" s="397">
        <f t="shared" si="62"/>
        <v>-12.846833601768758</v>
      </c>
      <c r="R319" s="398">
        <f t="shared" si="64"/>
        <v>1897.2444444135074</v>
      </c>
      <c r="S319" s="399">
        <f>INDEX(LIBOR!$M$3:$M$122,MATCH(L319,LIBOR!$N$3:$N$122))</f>
        <v>3.2809699999999997E-2</v>
      </c>
      <c r="T319" s="400">
        <f t="shared" si="65"/>
        <v>8.1809699999999999E-2</v>
      </c>
    </row>
    <row r="320" spans="2:20">
      <c r="B320" s="396">
        <f t="shared" si="66"/>
        <v>53873</v>
      </c>
      <c r="C320" s="357">
        <f t="shared" si="67"/>
        <v>372</v>
      </c>
      <c r="D320" s="397" t="e">
        <f>INDEX('Monthly Cash Flow'!$L$137:$GT$137, MATCH(C320, 'Monthly Cash Flow'!$L$13:$GT$13, 0))</f>
        <v>#N/A</v>
      </c>
      <c r="E320" s="397">
        <f t="shared" ca="1" si="60"/>
        <v>0</v>
      </c>
      <c r="F320" s="397" t="e">
        <f t="shared" si="56"/>
        <v>#N/A</v>
      </c>
      <c r="G320" s="397" t="e">
        <f t="shared" ca="1" si="57"/>
        <v>#N/A</v>
      </c>
      <c r="H320" s="398" t="e">
        <f t="shared" ca="1" si="58"/>
        <v>#N/A</v>
      </c>
      <c r="I320" s="399">
        <f>MAX($J$5, INDEX(LIBOR!$M$3:$M$122,MATCH(B320,LIBOR!$N$3:$N$122)))</f>
        <v>3.2809699999999997E-2</v>
      </c>
      <c r="J320" s="400">
        <f t="shared" si="59"/>
        <v>8.5309699999999988E-2</v>
      </c>
      <c r="L320" s="392">
        <f t="shared" si="68"/>
        <v>53873</v>
      </c>
      <c r="M320" s="357">
        <f t="shared" si="69"/>
        <v>372</v>
      </c>
      <c r="N320" s="397">
        <v>1849.5946873845878</v>
      </c>
      <c r="O320" s="397">
        <f t="shared" si="61"/>
        <v>0</v>
      </c>
      <c r="P320" s="397">
        <f t="shared" si="63"/>
        <v>12.609565541377243</v>
      </c>
      <c r="Q320" s="397">
        <f t="shared" si="62"/>
        <v>-12.609565541377243</v>
      </c>
      <c r="R320" s="398">
        <f t="shared" si="64"/>
        <v>1862.204252925965</v>
      </c>
      <c r="S320" s="399">
        <f>INDEX(LIBOR!$M$3:$M$122,MATCH(L320,LIBOR!$N$3:$N$122))</f>
        <v>3.2809699999999997E-2</v>
      </c>
      <c r="T320" s="400">
        <f t="shared" si="65"/>
        <v>8.1809699999999999E-2</v>
      </c>
    </row>
    <row r="321" spans="2:20">
      <c r="B321" s="396">
        <f t="shared" si="66"/>
        <v>53904</v>
      </c>
      <c r="C321" s="357">
        <f t="shared" si="67"/>
        <v>373</v>
      </c>
      <c r="D321" s="397" t="e">
        <f>INDEX('Monthly Cash Flow'!$L$137:$GT$137, MATCH(C321, 'Monthly Cash Flow'!$L$13:$GT$13, 0))</f>
        <v>#N/A</v>
      </c>
      <c r="E321" s="397">
        <f t="shared" ca="1" si="60"/>
        <v>0</v>
      </c>
      <c r="F321" s="397" t="e">
        <f t="shared" si="56"/>
        <v>#N/A</v>
      </c>
      <c r="G321" s="397" t="e">
        <f t="shared" ca="1" si="57"/>
        <v>#N/A</v>
      </c>
      <c r="H321" s="398" t="e">
        <f t="shared" ca="1" si="58"/>
        <v>#N/A</v>
      </c>
      <c r="I321" s="399">
        <f>MAX($J$5, INDEX(LIBOR!$M$3:$M$122,MATCH(B321,LIBOR!$N$3:$N$122)))</f>
        <v>3.2809699999999997E-2</v>
      </c>
      <c r="J321" s="400">
        <f t="shared" si="59"/>
        <v>8.5309699999999988E-2</v>
      </c>
      <c r="L321" s="392">
        <f t="shared" si="68"/>
        <v>53904</v>
      </c>
      <c r="M321" s="357">
        <f t="shared" si="69"/>
        <v>373</v>
      </c>
      <c r="N321" s="397">
        <v>1814.6332444718842</v>
      </c>
      <c r="O321" s="397">
        <f t="shared" si="61"/>
        <v>0</v>
      </c>
      <c r="P321" s="397">
        <f t="shared" si="63"/>
        <v>12.371216778355958</v>
      </c>
      <c r="Q321" s="397">
        <f t="shared" si="62"/>
        <v>-12.371216778355958</v>
      </c>
      <c r="R321" s="398">
        <f t="shared" si="64"/>
        <v>1827.0044612502402</v>
      </c>
      <c r="S321" s="399">
        <f>INDEX(LIBOR!$M$3:$M$122,MATCH(L321,LIBOR!$N$3:$N$122))</f>
        <v>3.2809699999999997E-2</v>
      </c>
      <c r="T321" s="400">
        <f t="shared" si="65"/>
        <v>8.1809699999999999E-2</v>
      </c>
    </row>
    <row r="322" spans="2:20">
      <c r="B322" s="396">
        <f t="shared" si="66"/>
        <v>53935</v>
      </c>
      <c r="C322" s="357">
        <f t="shared" si="67"/>
        <v>374</v>
      </c>
      <c r="D322" s="397" t="e">
        <f>INDEX('Monthly Cash Flow'!$L$137:$GT$137, MATCH(C322, 'Monthly Cash Flow'!$L$13:$GT$13, 0))</f>
        <v>#N/A</v>
      </c>
      <c r="E322" s="397">
        <f t="shared" ca="1" si="60"/>
        <v>0</v>
      </c>
      <c r="F322" s="397" t="e">
        <f t="shared" si="56"/>
        <v>#N/A</v>
      </c>
      <c r="G322" s="397" t="e">
        <f t="shared" ca="1" si="57"/>
        <v>#N/A</v>
      </c>
      <c r="H322" s="398" t="e">
        <f t="shared" ca="1" si="58"/>
        <v>#N/A</v>
      </c>
      <c r="I322" s="399">
        <f>MAX($J$5, INDEX(LIBOR!$M$3:$M$122,MATCH(B322,LIBOR!$N$3:$N$122)))</f>
        <v>3.2809699999999997E-2</v>
      </c>
      <c r="J322" s="400">
        <f t="shared" si="59"/>
        <v>8.5309699999999988E-2</v>
      </c>
      <c r="L322" s="392">
        <f t="shared" si="68"/>
        <v>53935</v>
      </c>
      <c r="M322" s="357">
        <f t="shared" si="69"/>
        <v>374</v>
      </c>
      <c r="N322" s="397">
        <v>1779.5125600530378</v>
      </c>
      <c r="O322" s="397">
        <f t="shared" si="61"/>
        <v>0</v>
      </c>
      <c r="P322" s="397">
        <f t="shared" si="63"/>
        <v>12.131782390347583</v>
      </c>
      <c r="Q322" s="397">
        <f t="shared" si="62"/>
        <v>-12.131782390347583</v>
      </c>
      <c r="R322" s="398">
        <f t="shared" si="64"/>
        <v>1791.6443424433853</v>
      </c>
      <c r="S322" s="399">
        <f>INDEX(LIBOR!$M$3:$M$122,MATCH(L322,LIBOR!$N$3:$N$122))</f>
        <v>3.2809699999999997E-2</v>
      </c>
      <c r="T322" s="400">
        <f t="shared" si="65"/>
        <v>8.1809699999999999E-2</v>
      </c>
    </row>
    <row r="323" spans="2:20">
      <c r="B323" s="396">
        <f t="shared" si="66"/>
        <v>53965</v>
      </c>
      <c r="C323" s="357">
        <f t="shared" si="67"/>
        <v>375</v>
      </c>
      <c r="D323" s="397" t="e">
        <f>INDEX('Monthly Cash Flow'!$L$137:$GT$137, MATCH(C323, 'Monthly Cash Flow'!$L$13:$GT$13, 0))</f>
        <v>#N/A</v>
      </c>
      <c r="E323" s="397">
        <f t="shared" ca="1" si="60"/>
        <v>0</v>
      </c>
      <c r="F323" s="397" t="e">
        <f t="shared" si="56"/>
        <v>#N/A</v>
      </c>
      <c r="G323" s="397" t="e">
        <f t="shared" ca="1" si="57"/>
        <v>#N/A</v>
      </c>
      <c r="H323" s="398" t="e">
        <f t="shared" ca="1" si="58"/>
        <v>#N/A</v>
      </c>
      <c r="I323" s="399">
        <f>MAX($J$5, INDEX(LIBOR!$M$3:$M$122,MATCH(B323,LIBOR!$N$3:$N$122)))</f>
        <v>3.2809699999999997E-2</v>
      </c>
      <c r="J323" s="400">
        <f t="shared" si="59"/>
        <v>8.5309699999999988E-2</v>
      </c>
      <c r="L323" s="392">
        <f t="shared" si="68"/>
        <v>53965</v>
      </c>
      <c r="M323" s="357">
        <f t="shared" si="69"/>
        <v>375</v>
      </c>
      <c r="N323" s="397">
        <v>1744.2319088188176</v>
      </c>
      <c r="O323" s="397">
        <f t="shared" si="61"/>
        <v>0</v>
      </c>
      <c r="P323" s="397">
        <f t="shared" si="63"/>
        <v>11.891257432574569</v>
      </c>
      <c r="Q323" s="397">
        <f t="shared" si="62"/>
        <v>-11.891257432574569</v>
      </c>
      <c r="R323" s="398">
        <f t="shared" si="64"/>
        <v>1756.1231662513921</v>
      </c>
      <c r="S323" s="399">
        <f>INDEX(LIBOR!$M$3:$M$122,MATCH(L323,LIBOR!$N$3:$N$122))</f>
        <v>3.2809699999999997E-2</v>
      </c>
      <c r="T323" s="400">
        <f t="shared" si="65"/>
        <v>8.1809699999999999E-2</v>
      </c>
    </row>
    <row r="324" spans="2:20">
      <c r="B324" s="396">
        <f t="shared" si="66"/>
        <v>53996</v>
      </c>
      <c r="C324" s="357">
        <f t="shared" si="67"/>
        <v>376</v>
      </c>
      <c r="D324" s="397" t="e">
        <f>INDEX('Monthly Cash Flow'!$L$137:$GT$137, MATCH(C324, 'Monthly Cash Flow'!$L$13:$GT$13, 0))</f>
        <v>#N/A</v>
      </c>
      <c r="E324" s="397">
        <f t="shared" ca="1" si="60"/>
        <v>0</v>
      </c>
      <c r="F324" s="397" t="e">
        <f t="shared" si="56"/>
        <v>#N/A</v>
      </c>
      <c r="G324" s="397" t="e">
        <f t="shared" ca="1" si="57"/>
        <v>#N/A</v>
      </c>
      <c r="H324" s="398" t="e">
        <f t="shared" ca="1" si="58"/>
        <v>#N/A</v>
      </c>
      <c r="I324" s="399">
        <f>MAX($J$5, INDEX(LIBOR!$M$3:$M$122,MATCH(B324,LIBOR!$N$3:$N$122)))</f>
        <v>3.2809699999999997E-2</v>
      </c>
      <c r="J324" s="400">
        <f t="shared" si="59"/>
        <v>8.5309699999999988E-2</v>
      </c>
      <c r="L324" s="392">
        <f t="shared" si="68"/>
        <v>53996</v>
      </c>
      <c r="M324" s="357">
        <f t="shared" si="69"/>
        <v>376</v>
      </c>
      <c r="N324" s="397">
        <v>1708.7905621563721</v>
      </c>
      <c r="O324" s="397">
        <f t="shared" si="61"/>
        <v>0</v>
      </c>
      <c r="P324" s="397">
        <f t="shared" si="63"/>
        <v>11.649636937737013</v>
      </c>
      <c r="Q324" s="397">
        <f t="shared" si="62"/>
        <v>-11.649636937737013</v>
      </c>
      <c r="R324" s="398">
        <f t="shared" si="64"/>
        <v>1720.4401990941092</v>
      </c>
      <c r="S324" s="399">
        <f>INDEX(LIBOR!$M$3:$M$122,MATCH(L324,LIBOR!$N$3:$N$122))</f>
        <v>3.2809699999999997E-2</v>
      </c>
      <c r="T324" s="400">
        <f t="shared" si="65"/>
        <v>8.1809699999999999E-2</v>
      </c>
    </row>
    <row r="325" spans="2:20">
      <c r="B325" s="396">
        <f t="shared" si="66"/>
        <v>54026</v>
      </c>
      <c r="C325" s="357">
        <f t="shared" si="67"/>
        <v>377</v>
      </c>
      <c r="D325" s="397" t="e">
        <f>INDEX('Monthly Cash Flow'!$L$137:$GT$137, MATCH(C325, 'Monthly Cash Flow'!$L$13:$GT$13, 0))</f>
        <v>#N/A</v>
      </c>
      <c r="E325" s="397">
        <f t="shared" ca="1" si="60"/>
        <v>0</v>
      </c>
      <c r="F325" s="397" t="e">
        <f t="shared" ref="F325:F366" si="70">D325*J325/12</f>
        <v>#N/A</v>
      </c>
      <c r="G325" s="397" t="e">
        <f t="shared" ref="G325:G366" ca="1" si="71">+E325-F325</f>
        <v>#N/A</v>
      </c>
      <c r="H325" s="398" t="e">
        <f t="shared" ref="H325:H366" ca="1" si="72">+D325-G325</f>
        <v>#N/A</v>
      </c>
      <c r="I325" s="399">
        <f>MAX($J$5, INDEX(LIBOR!$M$3:$M$122,MATCH(B325,LIBOR!$N$3:$N$122)))</f>
        <v>3.2809699999999997E-2</v>
      </c>
      <c r="J325" s="400">
        <f t="shared" ref="J325:J366" si="73">IF($I$2=1,I325+$J$4/10000,$J$3)</f>
        <v>8.5309699999999988E-2</v>
      </c>
      <c r="L325" s="392">
        <f t="shared" si="68"/>
        <v>54026</v>
      </c>
      <c r="M325" s="357">
        <f t="shared" si="69"/>
        <v>377</v>
      </c>
      <c r="N325" s="397">
        <v>1673.187788134182</v>
      </c>
      <c r="O325" s="397">
        <f t="shared" si="61"/>
        <v>0</v>
      </c>
      <c r="P325" s="397">
        <f t="shared" si="63"/>
        <v>11.406915915910083</v>
      </c>
      <c r="Q325" s="397">
        <f t="shared" si="62"/>
        <v>-11.406915915910083</v>
      </c>
      <c r="R325" s="398">
        <f t="shared" si="64"/>
        <v>1684.5947040500921</v>
      </c>
      <c r="S325" s="399">
        <f>INDEX(LIBOR!$M$3:$M$122,MATCH(L325,LIBOR!$N$3:$N$122))</f>
        <v>3.2809699999999997E-2</v>
      </c>
      <c r="T325" s="400">
        <f t="shared" si="65"/>
        <v>8.1809699999999999E-2</v>
      </c>
    </row>
    <row r="326" spans="2:20">
      <c r="B326" s="396">
        <f t="shared" si="66"/>
        <v>54057</v>
      </c>
      <c r="C326" s="357">
        <f t="shared" si="67"/>
        <v>378</v>
      </c>
      <c r="D326" s="397" t="e">
        <f>INDEX('Monthly Cash Flow'!$L$137:$GT$137, MATCH(C326, 'Monthly Cash Flow'!$L$13:$GT$13, 0))</f>
        <v>#N/A</v>
      </c>
      <c r="E326" s="397">
        <f t="shared" ca="1" si="60"/>
        <v>0</v>
      </c>
      <c r="F326" s="397" t="e">
        <f t="shared" si="70"/>
        <v>#N/A</v>
      </c>
      <c r="G326" s="397" t="e">
        <f t="shared" ca="1" si="71"/>
        <v>#N/A</v>
      </c>
      <c r="H326" s="398" t="e">
        <f t="shared" ca="1" si="72"/>
        <v>#N/A</v>
      </c>
      <c r="I326" s="399">
        <f>MAX($J$5, INDEX(LIBOR!$M$3:$M$122,MATCH(B326,LIBOR!$N$3:$N$122)))</f>
        <v>3.2809699999999997E-2</v>
      </c>
      <c r="J326" s="400">
        <f t="shared" si="73"/>
        <v>8.5309699999999988E-2</v>
      </c>
      <c r="L326" s="392">
        <f t="shared" si="68"/>
        <v>54057</v>
      </c>
      <c r="M326" s="357">
        <f t="shared" si="69"/>
        <v>378</v>
      </c>
      <c r="N326" s="397">
        <v>1637.4228514869451</v>
      </c>
      <c r="O326" s="397">
        <f t="shared" si="61"/>
        <v>0</v>
      </c>
      <c r="P326" s="397">
        <f t="shared" si="63"/>
        <v>11.163089354440961</v>
      </c>
      <c r="Q326" s="397">
        <f t="shared" si="62"/>
        <v>-11.163089354440961</v>
      </c>
      <c r="R326" s="398">
        <f t="shared" si="64"/>
        <v>1648.585940841386</v>
      </c>
      <c r="S326" s="399">
        <f>INDEX(LIBOR!$M$3:$M$122,MATCH(L326,LIBOR!$N$3:$N$122))</f>
        <v>3.2809699999999997E-2</v>
      </c>
      <c r="T326" s="400">
        <f t="shared" si="65"/>
        <v>8.1809699999999999E-2</v>
      </c>
    </row>
    <row r="327" spans="2:20">
      <c r="B327" s="396">
        <f t="shared" si="66"/>
        <v>54088</v>
      </c>
      <c r="C327" s="357">
        <f t="shared" si="67"/>
        <v>379</v>
      </c>
      <c r="D327" s="397" t="e">
        <f>INDEX('Monthly Cash Flow'!$L$137:$GT$137, MATCH(C327, 'Monthly Cash Flow'!$L$13:$GT$13, 0))</f>
        <v>#N/A</v>
      </c>
      <c r="E327" s="397">
        <f t="shared" ca="1" si="60"/>
        <v>0</v>
      </c>
      <c r="F327" s="397" t="e">
        <f t="shared" si="70"/>
        <v>#N/A</v>
      </c>
      <c r="G327" s="397" t="e">
        <f t="shared" ca="1" si="71"/>
        <v>#N/A</v>
      </c>
      <c r="H327" s="398" t="e">
        <f t="shared" ca="1" si="72"/>
        <v>#N/A</v>
      </c>
      <c r="I327" s="399">
        <f>MAX($J$5, INDEX(LIBOR!$M$3:$M$122,MATCH(B327,LIBOR!$N$3:$N$122)))</f>
        <v>3.2809699999999997E-2</v>
      </c>
      <c r="J327" s="400">
        <f t="shared" si="73"/>
        <v>8.5309699999999988E-2</v>
      </c>
      <c r="L327" s="392">
        <f t="shared" si="68"/>
        <v>54088</v>
      </c>
      <c r="M327" s="357">
        <f t="shared" si="69"/>
        <v>379</v>
      </c>
      <c r="N327" s="397">
        <v>1601.4950136003906</v>
      </c>
      <c r="O327" s="397">
        <f t="shared" si="61"/>
        <v>0</v>
      </c>
      <c r="P327" s="397">
        <f t="shared" si="63"/>
        <v>10.918152217845323</v>
      </c>
      <c r="Q327" s="397">
        <f t="shared" si="62"/>
        <v>-10.918152217845323</v>
      </c>
      <c r="R327" s="398">
        <f t="shared" si="64"/>
        <v>1612.4131658182359</v>
      </c>
      <c r="S327" s="399">
        <f>INDEX(LIBOR!$M$3:$M$122,MATCH(L327,LIBOR!$N$3:$N$122))</f>
        <v>3.2809699999999997E-2</v>
      </c>
      <c r="T327" s="400">
        <f t="shared" si="65"/>
        <v>8.1809699999999999E-2</v>
      </c>
    </row>
    <row r="328" spans="2:20">
      <c r="B328" s="396">
        <f t="shared" si="66"/>
        <v>54117</v>
      </c>
      <c r="C328" s="357">
        <f t="shared" si="67"/>
        <v>380</v>
      </c>
      <c r="D328" s="397" t="e">
        <f>INDEX('Monthly Cash Flow'!$L$137:$GT$137, MATCH(C328, 'Monthly Cash Flow'!$L$13:$GT$13, 0))</f>
        <v>#N/A</v>
      </c>
      <c r="E328" s="397">
        <f t="shared" ca="1" si="60"/>
        <v>0</v>
      </c>
      <c r="F328" s="397" t="e">
        <f t="shared" si="70"/>
        <v>#N/A</v>
      </c>
      <c r="G328" s="397" t="e">
        <f t="shared" ca="1" si="71"/>
        <v>#N/A</v>
      </c>
      <c r="H328" s="398" t="e">
        <f t="shared" ca="1" si="72"/>
        <v>#N/A</v>
      </c>
      <c r="I328" s="399">
        <f>MAX($J$5, INDEX(LIBOR!$M$3:$M$122,MATCH(B328,LIBOR!$N$3:$N$122)))</f>
        <v>3.2809699999999997E-2</v>
      </c>
      <c r="J328" s="400">
        <f t="shared" si="73"/>
        <v>8.5309699999999988E-2</v>
      </c>
      <c r="L328" s="392">
        <f t="shared" si="68"/>
        <v>54117</v>
      </c>
      <c r="M328" s="357">
        <f t="shared" si="69"/>
        <v>380</v>
      </c>
      <c r="N328" s="397">
        <v>1565.4035324960264</v>
      </c>
      <c r="O328" s="397">
        <f t="shared" si="61"/>
        <v>0</v>
      </c>
      <c r="P328" s="397">
        <f t="shared" si="63"/>
        <v>10.672099447703348</v>
      </c>
      <c r="Q328" s="397">
        <f t="shared" si="62"/>
        <v>-10.672099447703348</v>
      </c>
      <c r="R328" s="398">
        <f t="shared" si="64"/>
        <v>1576.0756319437298</v>
      </c>
      <c r="S328" s="399">
        <f>INDEX(LIBOR!$M$3:$M$122,MATCH(L328,LIBOR!$N$3:$N$122))</f>
        <v>3.2809699999999997E-2</v>
      </c>
      <c r="T328" s="400">
        <f t="shared" si="65"/>
        <v>8.1809699999999999E-2</v>
      </c>
    </row>
    <row r="329" spans="2:20">
      <c r="B329" s="396">
        <f t="shared" si="66"/>
        <v>54148</v>
      </c>
      <c r="C329" s="357">
        <f t="shared" si="67"/>
        <v>381</v>
      </c>
      <c r="D329" s="397" t="e">
        <f>INDEX('Monthly Cash Flow'!$L$137:$GT$137, MATCH(C329, 'Monthly Cash Flow'!$L$13:$GT$13, 0))</f>
        <v>#N/A</v>
      </c>
      <c r="E329" s="397">
        <f t="shared" ref="E329:E366" ca="1" si="74">-PMT(J329/12,$E$2*12,$D$9,)</f>
        <v>0</v>
      </c>
      <c r="F329" s="397" t="e">
        <f t="shared" si="70"/>
        <v>#N/A</v>
      </c>
      <c r="G329" s="397" t="e">
        <f t="shared" ca="1" si="71"/>
        <v>#N/A</v>
      </c>
      <c r="H329" s="398" t="e">
        <f t="shared" ca="1" si="72"/>
        <v>#N/A</v>
      </c>
      <c r="I329" s="399">
        <f>MAX($J$5, INDEX(LIBOR!$M$3:$M$122,MATCH(B329,LIBOR!$N$3:$N$122)))</f>
        <v>3.2809699999999997E-2</v>
      </c>
      <c r="J329" s="400">
        <f t="shared" si="73"/>
        <v>8.5309699999999988E-2</v>
      </c>
      <c r="L329" s="392">
        <f t="shared" si="68"/>
        <v>54148</v>
      </c>
      <c r="M329" s="357">
        <f t="shared" si="69"/>
        <v>381</v>
      </c>
      <c r="N329" s="397">
        <v>1529.1476628158152</v>
      </c>
      <c r="O329" s="397">
        <f t="shared" ref="O329:O366" si="75">-PMT(T329/12,$O$2*12,$N$9,)</f>
        <v>0</v>
      </c>
      <c r="P329" s="397">
        <f t="shared" si="63"/>
        <v>10.42492596255525</v>
      </c>
      <c r="Q329" s="397">
        <f t="shared" ref="Q329:Q366" si="76">+O329-P329</f>
        <v>-10.42492596255525</v>
      </c>
      <c r="R329" s="398">
        <f t="shared" si="64"/>
        <v>1539.5725887783706</v>
      </c>
      <c r="S329" s="399">
        <f>INDEX(LIBOR!$M$3:$M$122,MATCH(L329,LIBOR!$N$3:$N$122))</f>
        <v>3.2809699999999997E-2</v>
      </c>
      <c r="T329" s="400">
        <f t="shared" si="65"/>
        <v>8.1809699999999999E-2</v>
      </c>
    </row>
    <row r="330" spans="2:20">
      <c r="B330" s="396">
        <f t="shared" si="66"/>
        <v>54178</v>
      </c>
      <c r="C330" s="357">
        <f t="shared" si="67"/>
        <v>382</v>
      </c>
      <c r="D330" s="397" t="e">
        <f>INDEX('Monthly Cash Flow'!$L$137:$GT$137, MATCH(C330, 'Monthly Cash Flow'!$L$13:$GT$13, 0))</f>
        <v>#N/A</v>
      </c>
      <c r="E330" s="397">
        <f t="shared" ca="1" si="74"/>
        <v>0</v>
      </c>
      <c r="F330" s="397" t="e">
        <f t="shared" si="70"/>
        <v>#N/A</v>
      </c>
      <c r="G330" s="397" t="e">
        <f t="shared" ca="1" si="71"/>
        <v>#N/A</v>
      </c>
      <c r="H330" s="398" t="e">
        <f t="shared" ca="1" si="72"/>
        <v>#N/A</v>
      </c>
      <c r="I330" s="399">
        <f>MAX($J$5, INDEX(LIBOR!$M$3:$M$122,MATCH(B330,LIBOR!$N$3:$N$122)))</f>
        <v>3.2809699999999997E-2</v>
      </c>
      <c r="J330" s="400">
        <f t="shared" si="73"/>
        <v>8.5309699999999988E-2</v>
      </c>
      <c r="L330" s="392">
        <f t="shared" si="68"/>
        <v>54178</v>
      </c>
      <c r="M330" s="357">
        <f t="shared" si="69"/>
        <v>382</v>
      </c>
      <c r="N330" s="397">
        <v>1492.7266558067813</v>
      </c>
      <c r="O330" s="397">
        <f t="shared" si="75"/>
        <v>0</v>
      </c>
      <c r="P330" s="397">
        <f t="shared" ref="P330:P366" si="77">N330*T330/12</f>
        <v>10.176626657796335</v>
      </c>
      <c r="Q330" s="397">
        <f t="shared" si="76"/>
        <v>-10.176626657796335</v>
      </c>
      <c r="R330" s="398">
        <f t="shared" ref="R330:R366" si="78">+N330-Q330</f>
        <v>1502.9032824645776</v>
      </c>
      <c r="S330" s="399">
        <f>INDEX(LIBOR!$M$3:$M$122,MATCH(L330,LIBOR!$N$3:$N$122))</f>
        <v>3.2809699999999997E-2</v>
      </c>
      <c r="T330" s="400">
        <f t="shared" ref="T330:T366" si="79">IF($S$2=1,S330+$T$4/10000,$T$3)</f>
        <v>8.1809699999999999E-2</v>
      </c>
    </row>
    <row r="331" spans="2:20">
      <c r="B331" s="396">
        <f t="shared" ref="B331:B366" si="80">EOMONTH(B330,1)</f>
        <v>54209</v>
      </c>
      <c r="C331" s="357">
        <f t="shared" ref="C331:C366" si="81">+C330+1</f>
        <v>383</v>
      </c>
      <c r="D331" s="397" t="e">
        <f>INDEX('Monthly Cash Flow'!$L$137:$GT$137, MATCH(C331, 'Monthly Cash Flow'!$L$13:$GT$13, 0))</f>
        <v>#N/A</v>
      </c>
      <c r="E331" s="397">
        <f t="shared" ca="1" si="74"/>
        <v>0</v>
      </c>
      <c r="F331" s="397" t="e">
        <f t="shared" si="70"/>
        <v>#N/A</v>
      </c>
      <c r="G331" s="397" t="e">
        <f t="shared" ca="1" si="71"/>
        <v>#N/A</v>
      </c>
      <c r="H331" s="398" t="e">
        <f t="shared" ca="1" si="72"/>
        <v>#N/A</v>
      </c>
      <c r="I331" s="399">
        <f>MAX($J$5, INDEX(LIBOR!$M$3:$M$122,MATCH(B331,LIBOR!$N$3:$N$122)))</f>
        <v>3.2809699999999997E-2</v>
      </c>
      <c r="J331" s="400">
        <f t="shared" si="73"/>
        <v>8.5309699999999988E-2</v>
      </c>
      <c r="L331" s="392">
        <f t="shared" ref="L331:L366" si="82">EOMONTH(L330,1)</f>
        <v>54209</v>
      </c>
      <c r="M331" s="357">
        <f t="shared" ref="M331:M366" si="83">+M330+1</f>
        <v>383</v>
      </c>
      <c r="N331" s="397">
        <v>1456.1397593055478</v>
      </c>
      <c r="O331" s="397">
        <f t="shared" si="75"/>
        <v>0</v>
      </c>
      <c r="P331" s="397">
        <f t="shared" si="77"/>
        <v>9.9271964055715891</v>
      </c>
      <c r="Q331" s="397">
        <f t="shared" si="76"/>
        <v>-9.9271964055715891</v>
      </c>
      <c r="R331" s="398">
        <f t="shared" si="78"/>
        <v>1466.0669557111194</v>
      </c>
      <c r="S331" s="399">
        <f>INDEX(LIBOR!$M$3:$M$122,MATCH(L331,LIBOR!$N$3:$N$122))</f>
        <v>3.2809699999999997E-2</v>
      </c>
      <c r="T331" s="400">
        <f t="shared" si="79"/>
        <v>8.1809699999999999E-2</v>
      </c>
    </row>
    <row r="332" spans="2:20">
      <c r="B332" s="396">
        <f t="shared" si="80"/>
        <v>54239</v>
      </c>
      <c r="C332" s="357">
        <f t="shared" si="81"/>
        <v>384</v>
      </c>
      <c r="D332" s="397" t="e">
        <f>INDEX('Monthly Cash Flow'!$L$137:$GT$137, MATCH(C332, 'Monthly Cash Flow'!$L$13:$GT$13, 0))</f>
        <v>#N/A</v>
      </c>
      <c r="E332" s="397">
        <f t="shared" ca="1" si="74"/>
        <v>0</v>
      </c>
      <c r="F332" s="397" t="e">
        <f t="shared" si="70"/>
        <v>#N/A</v>
      </c>
      <c r="G332" s="397" t="e">
        <f t="shared" ca="1" si="71"/>
        <v>#N/A</v>
      </c>
      <c r="H332" s="398" t="e">
        <f t="shared" ca="1" si="72"/>
        <v>#N/A</v>
      </c>
      <c r="I332" s="399">
        <f>MAX($J$5, INDEX(LIBOR!$M$3:$M$122,MATCH(B332,LIBOR!$N$3:$N$122)))</f>
        <v>3.2809699999999997E-2</v>
      </c>
      <c r="J332" s="400">
        <f t="shared" si="73"/>
        <v>8.5309699999999988E-2</v>
      </c>
      <c r="L332" s="392">
        <f t="shared" si="82"/>
        <v>54239</v>
      </c>
      <c r="M332" s="357">
        <f t="shared" si="83"/>
        <v>384</v>
      </c>
      <c r="N332" s="397">
        <v>1419.3862177228029</v>
      </c>
      <c r="O332" s="397">
        <f t="shared" si="75"/>
        <v>0</v>
      </c>
      <c r="P332" s="397">
        <f t="shared" si="77"/>
        <v>9.6766300546697668</v>
      </c>
      <c r="Q332" s="397">
        <f t="shared" si="76"/>
        <v>-9.6766300546697668</v>
      </c>
      <c r="R332" s="398">
        <f t="shared" si="78"/>
        <v>1429.0628477774726</v>
      </c>
      <c r="S332" s="399">
        <f>INDEX(LIBOR!$M$3:$M$122,MATCH(L332,LIBOR!$N$3:$N$122))</f>
        <v>3.2809699999999997E-2</v>
      </c>
      <c r="T332" s="400">
        <f t="shared" si="79"/>
        <v>8.1809699999999999E-2</v>
      </c>
    </row>
    <row r="333" spans="2:20">
      <c r="B333" s="396">
        <f t="shared" si="80"/>
        <v>54270</v>
      </c>
      <c r="C333" s="357">
        <f t="shared" si="81"/>
        <v>385</v>
      </c>
      <c r="D333" s="397" t="e">
        <f>INDEX('Monthly Cash Flow'!$L$137:$GT$137, MATCH(C333, 'Monthly Cash Flow'!$L$13:$GT$13, 0))</f>
        <v>#N/A</v>
      </c>
      <c r="E333" s="397">
        <f t="shared" ca="1" si="74"/>
        <v>0</v>
      </c>
      <c r="F333" s="397" t="e">
        <f t="shared" si="70"/>
        <v>#N/A</v>
      </c>
      <c r="G333" s="397" t="e">
        <f t="shared" ca="1" si="71"/>
        <v>#N/A</v>
      </c>
      <c r="H333" s="398" t="e">
        <f t="shared" ca="1" si="72"/>
        <v>#N/A</v>
      </c>
      <c r="I333" s="399">
        <f>MAX($J$5, INDEX(LIBOR!$M$3:$M$122,MATCH(B333,LIBOR!$N$3:$N$122)))</f>
        <v>3.2809699999999997E-2</v>
      </c>
      <c r="J333" s="400">
        <f t="shared" si="73"/>
        <v>8.5309699999999988E-2</v>
      </c>
      <c r="L333" s="392">
        <f t="shared" si="82"/>
        <v>54270</v>
      </c>
      <c r="M333" s="357">
        <f t="shared" si="83"/>
        <v>385</v>
      </c>
      <c r="N333" s="397">
        <v>1382.4652720276954</v>
      </c>
      <c r="O333" s="397">
        <f t="shared" si="75"/>
        <v>0</v>
      </c>
      <c r="P333" s="397">
        <f t="shared" si="77"/>
        <v>9.4249224304170127</v>
      </c>
      <c r="Q333" s="397">
        <f t="shared" si="76"/>
        <v>-9.4249224304170127</v>
      </c>
      <c r="R333" s="398">
        <f t="shared" si="78"/>
        <v>1391.8901944581123</v>
      </c>
      <c r="S333" s="399">
        <f>INDEX(LIBOR!$M$3:$M$122,MATCH(L333,LIBOR!$N$3:$N$122))</f>
        <v>3.2809699999999997E-2</v>
      </c>
      <c r="T333" s="400">
        <f t="shared" si="79"/>
        <v>8.1809699999999999E-2</v>
      </c>
    </row>
    <row r="334" spans="2:20">
      <c r="B334" s="396">
        <f t="shared" si="80"/>
        <v>54301</v>
      </c>
      <c r="C334" s="357">
        <f t="shared" si="81"/>
        <v>386</v>
      </c>
      <c r="D334" s="397" t="e">
        <f>INDEX('Monthly Cash Flow'!$L$137:$GT$137, MATCH(C334, 'Monthly Cash Flow'!$L$13:$GT$13, 0))</f>
        <v>#N/A</v>
      </c>
      <c r="E334" s="397">
        <f t="shared" ca="1" si="74"/>
        <v>0</v>
      </c>
      <c r="F334" s="397" t="e">
        <f t="shared" si="70"/>
        <v>#N/A</v>
      </c>
      <c r="G334" s="397" t="e">
        <f t="shared" ca="1" si="71"/>
        <v>#N/A</v>
      </c>
      <c r="H334" s="398" t="e">
        <f t="shared" ca="1" si="72"/>
        <v>#N/A</v>
      </c>
      <c r="I334" s="399">
        <f>MAX($J$5, INDEX(LIBOR!$M$3:$M$122,MATCH(B334,LIBOR!$N$3:$N$122)))</f>
        <v>3.2809699999999997E-2</v>
      </c>
      <c r="J334" s="400">
        <f t="shared" si="73"/>
        <v>8.5309699999999988E-2</v>
      </c>
      <c r="L334" s="392">
        <f t="shared" si="82"/>
        <v>54301</v>
      </c>
      <c r="M334" s="357">
        <f t="shared" si="83"/>
        <v>386</v>
      </c>
      <c r="N334" s="397">
        <v>1345.3761597321595</v>
      </c>
      <c r="O334" s="397">
        <f t="shared" si="75"/>
        <v>0</v>
      </c>
      <c r="P334" s="397">
        <f t="shared" si="77"/>
        <v>9.1720683345700049</v>
      </c>
      <c r="Q334" s="397">
        <f t="shared" si="76"/>
        <v>-9.1720683345700049</v>
      </c>
      <c r="R334" s="398">
        <f t="shared" si="78"/>
        <v>1354.5482280667295</v>
      </c>
      <c r="S334" s="399">
        <f>INDEX(LIBOR!$M$3:$M$122,MATCH(L334,LIBOR!$N$3:$N$122))</f>
        <v>3.2809699999999997E-2</v>
      </c>
      <c r="T334" s="400">
        <f t="shared" si="79"/>
        <v>8.1809699999999999E-2</v>
      </c>
    </row>
    <row r="335" spans="2:20">
      <c r="B335" s="396">
        <f t="shared" si="80"/>
        <v>54331</v>
      </c>
      <c r="C335" s="357">
        <f t="shared" si="81"/>
        <v>387</v>
      </c>
      <c r="D335" s="397" t="e">
        <f>INDEX('Monthly Cash Flow'!$L$137:$GT$137, MATCH(C335, 'Monthly Cash Flow'!$L$13:$GT$13, 0))</f>
        <v>#N/A</v>
      </c>
      <c r="E335" s="397">
        <f t="shared" ca="1" si="74"/>
        <v>0</v>
      </c>
      <c r="F335" s="397" t="e">
        <f t="shared" si="70"/>
        <v>#N/A</v>
      </c>
      <c r="G335" s="397" t="e">
        <f t="shared" ca="1" si="71"/>
        <v>#N/A</v>
      </c>
      <c r="H335" s="398" t="e">
        <f t="shared" ca="1" si="72"/>
        <v>#N/A</v>
      </c>
      <c r="I335" s="399">
        <f>MAX($J$5, INDEX(LIBOR!$M$3:$M$122,MATCH(B335,LIBOR!$N$3:$N$122)))</f>
        <v>3.2809699999999997E-2</v>
      </c>
      <c r="J335" s="400">
        <f t="shared" si="73"/>
        <v>8.5309699999999988E-2</v>
      </c>
      <c r="L335" s="392">
        <f t="shared" si="82"/>
        <v>54331</v>
      </c>
      <c r="M335" s="357">
        <f t="shared" si="83"/>
        <v>387</v>
      </c>
      <c r="N335" s="397">
        <v>1308.1181148751677</v>
      </c>
      <c r="O335" s="397">
        <f t="shared" si="75"/>
        <v>0</v>
      </c>
      <c r="P335" s="397">
        <f t="shared" si="77"/>
        <v>8.9180625452085831</v>
      </c>
      <c r="Q335" s="397">
        <f t="shared" si="76"/>
        <v>-8.9180625452085831</v>
      </c>
      <c r="R335" s="398">
        <f t="shared" si="78"/>
        <v>1317.0361774203764</v>
      </c>
      <c r="S335" s="399">
        <f>INDEX(LIBOR!$M$3:$M$122,MATCH(L335,LIBOR!$N$3:$N$122))</f>
        <v>3.2809699999999997E-2</v>
      </c>
      <c r="T335" s="400">
        <f t="shared" si="79"/>
        <v>8.1809699999999999E-2</v>
      </c>
    </row>
    <row r="336" spans="2:20">
      <c r="B336" s="396">
        <f t="shared" si="80"/>
        <v>54362</v>
      </c>
      <c r="C336" s="357">
        <f t="shared" si="81"/>
        <v>388</v>
      </c>
      <c r="D336" s="397" t="e">
        <f>INDEX('Monthly Cash Flow'!$L$137:$GT$137, MATCH(C336, 'Monthly Cash Flow'!$L$13:$GT$13, 0))</f>
        <v>#N/A</v>
      </c>
      <c r="E336" s="397">
        <f t="shared" ca="1" si="74"/>
        <v>0</v>
      </c>
      <c r="F336" s="397" t="e">
        <f t="shared" si="70"/>
        <v>#N/A</v>
      </c>
      <c r="G336" s="397" t="e">
        <f t="shared" ca="1" si="71"/>
        <v>#N/A</v>
      </c>
      <c r="H336" s="398" t="e">
        <f t="shared" ca="1" si="72"/>
        <v>#N/A</v>
      </c>
      <c r="I336" s="399">
        <f>MAX($J$5, INDEX(LIBOR!$M$3:$M$122,MATCH(B336,LIBOR!$N$3:$N$122)))</f>
        <v>3.2809699999999997E-2</v>
      </c>
      <c r="J336" s="400">
        <f t="shared" si="73"/>
        <v>8.5309699999999988E-2</v>
      </c>
      <c r="L336" s="392">
        <f t="shared" si="82"/>
        <v>54362</v>
      </c>
      <c r="M336" s="357">
        <f t="shared" si="83"/>
        <v>388</v>
      </c>
      <c r="N336" s="397">
        <v>1270.6903680069124</v>
      </c>
      <c r="O336" s="397">
        <f t="shared" si="75"/>
        <v>0</v>
      </c>
      <c r="P336" s="397">
        <f t="shared" si="77"/>
        <v>8.6628998166279256</v>
      </c>
      <c r="Q336" s="397">
        <f t="shared" si="76"/>
        <v>-8.6628998166279256</v>
      </c>
      <c r="R336" s="398">
        <f t="shared" si="78"/>
        <v>1279.3532678235404</v>
      </c>
      <c r="S336" s="399">
        <f>INDEX(LIBOR!$M$3:$M$122,MATCH(L336,LIBOR!$N$3:$N$122))</f>
        <v>3.2809699999999997E-2</v>
      </c>
      <c r="T336" s="400">
        <f t="shared" si="79"/>
        <v>8.1809699999999999E-2</v>
      </c>
    </row>
    <row r="337" spans="2:20">
      <c r="B337" s="396">
        <f t="shared" si="80"/>
        <v>54392</v>
      </c>
      <c r="C337" s="357">
        <f t="shared" si="81"/>
        <v>389</v>
      </c>
      <c r="D337" s="397" t="e">
        <f>INDEX('Monthly Cash Flow'!$L$137:$GT$137, MATCH(C337, 'Monthly Cash Flow'!$L$13:$GT$13, 0))</f>
        <v>#N/A</v>
      </c>
      <c r="E337" s="397">
        <f t="shared" ca="1" si="74"/>
        <v>0</v>
      </c>
      <c r="F337" s="397" t="e">
        <f t="shared" si="70"/>
        <v>#N/A</v>
      </c>
      <c r="G337" s="397" t="e">
        <f t="shared" ca="1" si="71"/>
        <v>#N/A</v>
      </c>
      <c r="H337" s="398" t="e">
        <f t="shared" ca="1" si="72"/>
        <v>#N/A</v>
      </c>
      <c r="I337" s="399">
        <f>MAX($J$5, INDEX(LIBOR!$M$3:$M$122,MATCH(B337,LIBOR!$N$3:$N$122)))</f>
        <v>3.2809699999999997E-2</v>
      </c>
      <c r="J337" s="400">
        <f t="shared" si="73"/>
        <v>8.5309699999999988E-2</v>
      </c>
      <c r="L337" s="392">
        <f t="shared" si="82"/>
        <v>54392</v>
      </c>
      <c r="M337" s="357">
        <f t="shared" si="83"/>
        <v>389</v>
      </c>
      <c r="N337" s="397">
        <v>1233.0921461729154</v>
      </c>
      <c r="O337" s="397">
        <f t="shared" si="75"/>
        <v>0</v>
      </c>
      <c r="P337" s="397">
        <f t="shared" si="77"/>
        <v>8.4065748792301971</v>
      </c>
      <c r="Q337" s="397">
        <f t="shared" si="76"/>
        <v>-8.4065748792301971</v>
      </c>
      <c r="R337" s="398">
        <f t="shared" si="78"/>
        <v>1241.4987210521456</v>
      </c>
      <c r="S337" s="399">
        <f>INDEX(LIBOR!$M$3:$M$122,MATCH(L337,LIBOR!$N$3:$N$122))</f>
        <v>3.2809699999999997E-2</v>
      </c>
      <c r="T337" s="400">
        <f t="shared" si="79"/>
        <v>8.1809699999999999E-2</v>
      </c>
    </row>
    <row r="338" spans="2:20">
      <c r="B338" s="396">
        <f t="shared" si="80"/>
        <v>54423</v>
      </c>
      <c r="C338" s="357">
        <f t="shared" si="81"/>
        <v>390</v>
      </c>
      <c r="D338" s="397" t="e">
        <f>INDEX('Monthly Cash Flow'!$L$137:$GT$137, MATCH(C338, 'Monthly Cash Flow'!$L$13:$GT$13, 0))</f>
        <v>#N/A</v>
      </c>
      <c r="E338" s="397">
        <f t="shared" ca="1" si="74"/>
        <v>0</v>
      </c>
      <c r="F338" s="397" t="e">
        <f t="shared" si="70"/>
        <v>#N/A</v>
      </c>
      <c r="G338" s="397" t="e">
        <f t="shared" ca="1" si="71"/>
        <v>#N/A</v>
      </c>
      <c r="H338" s="398" t="e">
        <f t="shared" ca="1" si="72"/>
        <v>#N/A</v>
      </c>
      <c r="I338" s="399">
        <f>MAX($J$5, INDEX(LIBOR!$M$3:$M$122,MATCH(B338,LIBOR!$N$3:$N$122)))</f>
        <v>3.2809699999999997E-2</v>
      </c>
      <c r="J338" s="400">
        <f t="shared" si="73"/>
        <v>8.5309699999999988E-2</v>
      </c>
      <c r="L338" s="392">
        <f t="shared" si="82"/>
        <v>54423</v>
      </c>
      <c r="M338" s="357">
        <f t="shared" si="83"/>
        <v>390</v>
      </c>
      <c r="N338" s="397">
        <v>1195.3226728980642</v>
      </c>
      <c r="O338" s="397">
        <f t="shared" si="75"/>
        <v>0</v>
      </c>
      <c r="P338" s="397">
        <f t="shared" si="77"/>
        <v>8.1490824394157304</v>
      </c>
      <c r="Q338" s="397">
        <f t="shared" si="76"/>
        <v>-8.1490824394157304</v>
      </c>
      <c r="R338" s="398">
        <f t="shared" si="78"/>
        <v>1203.4717553374799</v>
      </c>
      <c r="S338" s="399">
        <f>INDEX(LIBOR!$M$3:$M$122,MATCH(L338,LIBOR!$N$3:$N$122))</f>
        <v>3.2809699999999997E-2</v>
      </c>
      <c r="T338" s="400">
        <f t="shared" si="79"/>
        <v>8.1809699999999999E-2</v>
      </c>
    </row>
    <row r="339" spans="2:20">
      <c r="B339" s="396">
        <f t="shared" si="80"/>
        <v>54454</v>
      </c>
      <c r="C339" s="357">
        <f t="shared" si="81"/>
        <v>391</v>
      </c>
      <c r="D339" s="397" t="e">
        <f>INDEX('Monthly Cash Flow'!$L$137:$GT$137, MATCH(C339, 'Monthly Cash Flow'!$L$13:$GT$13, 0))</f>
        <v>#N/A</v>
      </c>
      <c r="E339" s="397">
        <f t="shared" ca="1" si="74"/>
        <v>0</v>
      </c>
      <c r="F339" s="397" t="e">
        <f t="shared" si="70"/>
        <v>#N/A</v>
      </c>
      <c r="G339" s="397" t="e">
        <f t="shared" ca="1" si="71"/>
        <v>#N/A</v>
      </c>
      <c r="H339" s="398" t="e">
        <f t="shared" ca="1" si="72"/>
        <v>#N/A</v>
      </c>
      <c r="I339" s="399">
        <f>MAX($J$5, INDEX(LIBOR!$M$3:$M$122,MATCH(B339,LIBOR!$N$3:$N$122)))</f>
        <v>3.2809699999999997E-2</v>
      </c>
      <c r="J339" s="400">
        <f t="shared" si="73"/>
        <v>8.5309699999999988E-2</v>
      </c>
      <c r="L339" s="392">
        <f t="shared" si="82"/>
        <v>54454</v>
      </c>
      <c r="M339" s="357">
        <f t="shared" si="83"/>
        <v>391</v>
      </c>
      <c r="N339" s="397">
        <v>1157.3811681705777</v>
      </c>
      <c r="O339" s="397">
        <f t="shared" si="75"/>
        <v>0</v>
      </c>
      <c r="P339" s="397">
        <f t="shared" si="77"/>
        <v>7.890417179473709</v>
      </c>
      <c r="Q339" s="397">
        <f t="shared" si="76"/>
        <v>-7.890417179473709</v>
      </c>
      <c r="R339" s="398">
        <f t="shared" si="78"/>
        <v>1165.2715853500513</v>
      </c>
      <c r="S339" s="399">
        <f>INDEX(LIBOR!$M$3:$M$122,MATCH(L339,LIBOR!$N$3:$N$122))</f>
        <v>3.2809699999999997E-2</v>
      </c>
      <c r="T339" s="400">
        <f t="shared" si="79"/>
        <v>8.1809699999999999E-2</v>
      </c>
    </row>
    <row r="340" spans="2:20">
      <c r="B340" s="396">
        <f t="shared" si="80"/>
        <v>54482</v>
      </c>
      <c r="C340" s="357">
        <f t="shared" si="81"/>
        <v>392</v>
      </c>
      <c r="D340" s="397" t="e">
        <f>INDEX('Monthly Cash Flow'!$L$137:$GT$137, MATCH(C340, 'Monthly Cash Flow'!$L$13:$GT$13, 0))</f>
        <v>#N/A</v>
      </c>
      <c r="E340" s="397">
        <f t="shared" ca="1" si="74"/>
        <v>0</v>
      </c>
      <c r="F340" s="397" t="e">
        <f t="shared" si="70"/>
        <v>#N/A</v>
      </c>
      <c r="G340" s="397" t="e">
        <f t="shared" ca="1" si="71"/>
        <v>#N/A</v>
      </c>
      <c r="H340" s="398" t="e">
        <f t="shared" ca="1" si="72"/>
        <v>#N/A</v>
      </c>
      <c r="I340" s="399">
        <f>MAX($J$5, INDEX(LIBOR!$M$3:$M$122,MATCH(B340,LIBOR!$N$3:$N$122)))</f>
        <v>3.2809699999999997E-2</v>
      </c>
      <c r="J340" s="400">
        <f t="shared" si="73"/>
        <v>8.5309699999999988E-2</v>
      </c>
      <c r="L340" s="392">
        <f t="shared" si="82"/>
        <v>54482</v>
      </c>
      <c r="M340" s="357">
        <f t="shared" si="83"/>
        <v>392</v>
      </c>
      <c r="N340" s="397">
        <v>1119.2668484258959</v>
      </c>
      <c r="O340" s="397">
        <f t="shared" si="75"/>
        <v>0</v>
      </c>
      <c r="P340" s="397">
        <f t="shared" si="77"/>
        <v>7.6305737574723347</v>
      </c>
      <c r="Q340" s="397">
        <f t="shared" si="76"/>
        <v>-7.6305737574723347</v>
      </c>
      <c r="R340" s="398">
        <f t="shared" si="78"/>
        <v>1126.8974221833682</v>
      </c>
      <c r="S340" s="399">
        <f>INDEX(LIBOR!$M$3:$M$122,MATCH(L340,LIBOR!$N$3:$N$122))</f>
        <v>3.2809699999999997E-2</v>
      </c>
      <c r="T340" s="400">
        <f t="shared" si="79"/>
        <v>8.1809699999999999E-2</v>
      </c>
    </row>
    <row r="341" spans="2:20">
      <c r="B341" s="396">
        <f t="shared" si="80"/>
        <v>54513</v>
      </c>
      <c r="C341" s="357">
        <f t="shared" si="81"/>
        <v>393</v>
      </c>
      <c r="D341" s="397" t="e">
        <f>INDEX('Monthly Cash Flow'!$L$137:$GT$137, MATCH(C341, 'Monthly Cash Flow'!$L$13:$GT$13, 0))</f>
        <v>#N/A</v>
      </c>
      <c r="E341" s="397">
        <f t="shared" ca="1" si="74"/>
        <v>0</v>
      </c>
      <c r="F341" s="397" t="e">
        <f t="shared" si="70"/>
        <v>#N/A</v>
      </c>
      <c r="G341" s="397" t="e">
        <f t="shared" ca="1" si="71"/>
        <v>#N/A</v>
      </c>
      <c r="H341" s="398" t="e">
        <f t="shared" ca="1" si="72"/>
        <v>#N/A</v>
      </c>
      <c r="I341" s="399">
        <f>MAX($J$5, INDEX(LIBOR!$M$3:$M$122,MATCH(B341,LIBOR!$N$3:$N$122)))</f>
        <v>3.2809699999999997E-2</v>
      </c>
      <c r="J341" s="400">
        <f t="shared" si="73"/>
        <v>8.5309699999999988E-2</v>
      </c>
      <c r="L341" s="392">
        <f t="shared" si="82"/>
        <v>54513</v>
      </c>
      <c r="M341" s="357">
        <f t="shared" si="83"/>
        <v>393</v>
      </c>
      <c r="N341" s="397">
        <v>1080.9789265304992</v>
      </c>
      <c r="O341" s="397">
        <f t="shared" si="75"/>
        <v>0</v>
      </c>
      <c r="P341" s="397">
        <f t="shared" si="77"/>
        <v>7.369546807148514</v>
      </c>
      <c r="Q341" s="397">
        <f t="shared" si="76"/>
        <v>-7.369546807148514</v>
      </c>
      <c r="R341" s="398">
        <f t="shared" si="78"/>
        <v>1088.3484733376476</v>
      </c>
      <c r="S341" s="399">
        <f>INDEX(LIBOR!$M$3:$M$122,MATCH(L341,LIBOR!$N$3:$N$122))</f>
        <v>3.2809699999999997E-2</v>
      </c>
      <c r="T341" s="400">
        <f t="shared" si="79"/>
        <v>8.1809699999999999E-2</v>
      </c>
    </row>
    <row r="342" spans="2:20">
      <c r="B342" s="396">
        <f t="shared" si="80"/>
        <v>54543</v>
      </c>
      <c r="C342" s="357">
        <f t="shared" si="81"/>
        <v>394</v>
      </c>
      <c r="D342" s="397" t="e">
        <f>INDEX('Monthly Cash Flow'!$L$137:$GT$137, MATCH(C342, 'Monthly Cash Flow'!$L$13:$GT$13, 0))</f>
        <v>#N/A</v>
      </c>
      <c r="E342" s="397">
        <f t="shared" ca="1" si="74"/>
        <v>0</v>
      </c>
      <c r="F342" s="397" t="e">
        <f t="shared" si="70"/>
        <v>#N/A</v>
      </c>
      <c r="G342" s="397" t="e">
        <f t="shared" ca="1" si="71"/>
        <v>#N/A</v>
      </c>
      <c r="H342" s="398" t="e">
        <f t="shared" ca="1" si="72"/>
        <v>#N/A</v>
      </c>
      <c r="I342" s="399">
        <f>MAX($J$5, INDEX(LIBOR!$M$3:$M$122,MATCH(B342,LIBOR!$N$3:$N$122)))</f>
        <v>3.2809699999999997E-2</v>
      </c>
      <c r="J342" s="400">
        <f t="shared" si="73"/>
        <v>8.5309699999999988E-2</v>
      </c>
      <c r="L342" s="392">
        <f t="shared" si="82"/>
        <v>54543</v>
      </c>
      <c r="M342" s="357">
        <f t="shared" si="83"/>
        <v>394</v>
      </c>
      <c r="N342" s="397">
        <v>1042.5166117656513</v>
      </c>
      <c r="O342" s="397">
        <f t="shared" si="75"/>
        <v>0</v>
      </c>
      <c r="P342" s="397">
        <f t="shared" si="77"/>
        <v>7.107330937797034</v>
      </c>
      <c r="Q342" s="397">
        <f t="shared" si="76"/>
        <v>-7.107330937797034</v>
      </c>
      <c r="R342" s="398">
        <f t="shared" si="78"/>
        <v>1049.6239427034484</v>
      </c>
      <c r="S342" s="399">
        <f>INDEX(LIBOR!$M$3:$M$122,MATCH(L342,LIBOR!$N$3:$N$122))</f>
        <v>3.2809699999999997E-2</v>
      </c>
      <c r="T342" s="400">
        <f t="shared" si="79"/>
        <v>8.1809699999999999E-2</v>
      </c>
    </row>
    <row r="343" spans="2:20">
      <c r="B343" s="396">
        <f t="shared" si="80"/>
        <v>54574</v>
      </c>
      <c r="C343" s="357">
        <f t="shared" si="81"/>
        <v>395</v>
      </c>
      <c r="D343" s="397" t="e">
        <f>INDEX('Monthly Cash Flow'!$L$137:$GT$137, MATCH(C343, 'Monthly Cash Flow'!$L$13:$GT$13, 0))</f>
        <v>#N/A</v>
      </c>
      <c r="E343" s="397">
        <f t="shared" ca="1" si="74"/>
        <v>0</v>
      </c>
      <c r="F343" s="397" t="e">
        <f t="shared" si="70"/>
        <v>#N/A</v>
      </c>
      <c r="G343" s="397" t="e">
        <f t="shared" ca="1" si="71"/>
        <v>#N/A</v>
      </c>
      <c r="H343" s="398" t="e">
        <f t="shared" ca="1" si="72"/>
        <v>#N/A</v>
      </c>
      <c r="I343" s="399">
        <f>MAX($J$5, INDEX(LIBOR!$M$3:$M$122,MATCH(B343,LIBOR!$N$3:$N$122)))</f>
        <v>3.2809699999999997E-2</v>
      </c>
      <c r="J343" s="400">
        <f t="shared" si="73"/>
        <v>8.5309699999999988E-2</v>
      </c>
      <c r="L343" s="392">
        <f t="shared" si="82"/>
        <v>54574</v>
      </c>
      <c r="M343" s="357">
        <f t="shared" si="83"/>
        <v>395</v>
      </c>
      <c r="N343" s="397">
        <v>1003.8791098110704</v>
      </c>
      <c r="O343" s="397">
        <f t="shared" si="75"/>
        <v>0</v>
      </c>
      <c r="P343" s="397">
        <f t="shared" si="77"/>
        <v>6.8439207341592274</v>
      </c>
      <c r="Q343" s="397">
        <f t="shared" si="76"/>
        <v>-6.8439207341592274</v>
      </c>
      <c r="R343" s="398">
        <f t="shared" si="78"/>
        <v>1010.7230305452297</v>
      </c>
      <c r="S343" s="399">
        <f>INDEX(LIBOR!$M$3:$M$122,MATCH(L343,LIBOR!$N$3:$N$122))</f>
        <v>3.2809699999999997E-2</v>
      </c>
      <c r="T343" s="400">
        <f t="shared" si="79"/>
        <v>8.1809699999999999E-2</v>
      </c>
    </row>
    <row r="344" spans="2:20">
      <c r="B344" s="396">
        <f t="shared" si="80"/>
        <v>54604</v>
      </c>
      <c r="C344" s="357">
        <f t="shared" si="81"/>
        <v>396</v>
      </c>
      <c r="D344" s="397" t="e">
        <f>INDEX('Monthly Cash Flow'!$L$137:$GT$137, MATCH(C344, 'Monthly Cash Flow'!$L$13:$GT$13, 0))</f>
        <v>#N/A</v>
      </c>
      <c r="E344" s="397">
        <f t="shared" ca="1" si="74"/>
        <v>0</v>
      </c>
      <c r="F344" s="397" t="e">
        <f t="shared" si="70"/>
        <v>#N/A</v>
      </c>
      <c r="G344" s="397" t="e">
        <f t="shared" ca="1" si="71"/>
        <v>#N/A</v>
      </c>
      <c r="H344" s="398" t="e">
        <f t="shared" ca="1" si="72"/>
        <v>#N/A</v>
      </c>
      <c r="I344" s="399">
        <f>MAX($J$5, INDEX(LIBOR!$M$3:$M$122,MATCH(B344,LIBOR!$N$3:$N$122)))</f>
        <v>3.2809699999999997E-2</v>
      </c>
      <c r="J344" s="400">
        <f t="shared" si="73"/>
        <v>8.5309699999999988E-2</v>
      </c>
      <c r="L344" s="392">
        <f t="shared" si="82"/>
        <v>54604</v>
      </c>
      <c r="M344" s="357">
        <f t="shared" si="83"/>
        <v>396</v>
      </c>
      <c r="N344" s="397">
        <v>965.06562272852432</v>
      </c>
      <c r="O344" s="397">
        <f t="shared" si="75"/>
        <v>0</v>
      </c>
      <c r="P344" s="397">
        <f t="shared" si="77"/>
        <v>6.5793107563111457</v>
      </c>
      <c r="Q344" s="397">
        <f t="shared" si="76"/>
        <v>-6.5793107563111457</v>
      </c>
      <c r="R344" s="398">
        <f t="shared" si="78"/>
        <v>971.64493348483552</v>
      </c>
      <c r="S344" s="399">
        <f>INDEX(LIBOR!$M$3:$M$122,MATCH(L344,LIBOR!$N$3:$N$122))</f>
        <v>3.2809699999999997E-2</v>
      </c>
      <c r="T344" s="400">
        <f t="shared" si="79"/>
        <v>8.1809699999999999E-2</v>
      </c>
    </row>
    <row r="345" spans="2:20">
      <c r="B345" s="396">
        <f t="shared" si="80"/>
        <v>54635</v>
      </c>
      <c r="C345" s="357">
        <f t="shared" si="81"/>
        <v>397</v>
      </c>
      <c r="D345" s="397" t="e">
        <f>INDEX('Monthly Cash Flow'!$L$137:$GT$137, MATCH(C345, 'Monthly Cash Flow'!$L$13:$GT$13, 0))</f>
        <v>#N/A</v>
      </c>
      <c r="E345" s="397">
        <f t="shared" ca="1" si="74"/>
        <v>0</v>
      </c>
      <c r="F345" s="397" t="e">
        <f t="shared" si="70"/>
        <v>#N/A</v>
      </c>
      <c r="G345" s="397" t="e">
        <f t="shared" ca="1" si="71"/>
        <v>#N/A</v>
      </c>
      <c r="H345" s="398" t="e">
        <f t="shared" ca="1" si="72"/>
        <v>#N/A</v>
      </c>
      <c r="I345" s="399">
        <f>MAX($J$5, INDEX(LIBOR!$M$3:$M$122,MATCH(B345,LIBOR!$N$3:$N$122)))</f>
        <v>3.2809699999999997E-2</v>
      </c>
      <c r="J345" s="400">
        <f t="shared" si="73"/>
        <v>8.5309699999999988E-2</v>
      </c>
      <c r="L345" s="392">
        <f t="shared" si="82"/>
        <v>54635</v>
      </c>
      <c r="M345" s="357">
        <f t="shared" si="83"/>
        <v>397</v>
      </c>
      <c r="N345" s="397">
        <v>926.07534894535183</v>
      </c>
      <c r="O345" s="397">
        <f t="shared" si="75"/>
        <v>0</v>
      </c>
      <c r="P345" s="397">
        <f t="shared" si="77"/>
        <v>6.3134955395512122</v>
      </c>
      <c r="Q345" s="397">
        <f t="shared" si="76"/>
        <v>-6.3134955395512122</v>
      </c>
      <c r="R345" s="398">
        <f t="shared" si="78"/>
        <v>932.38884448490307</v>
      </c>
      <c r="S345" s="399">
        <f>INDEX(LIBOR!$M$3:$M$122,MATCH(L345,LIBOR!$N$3:$N$122))</f>
        <v>3.2809699999999997E-2</v>
      </c>
      <c r="T345" s="400">
        <f t="shared" si="79"/>
        <v>8.1809699999999999E-2</v>
      </c>
    </row>
    <row r="346" spans="2:20">
      <c r="B346" s="396">
        <f t="shared" si="80"/>
        <v>54666</v>
      </c>
      <c r="C346" s="357">
        <f t="shared" si="81"/>
        <v>398</v>
      </c>
      <c r="D346" s="397" t="e">
        <f>INDEX('Monthly Cash Flow'!$L$137:$GT$137, MATCH(C346, 'Monthly Cash Flow'!$L$13:$GT$13, 0))</f>
        <v>#N/A</v>
      </c>
      <c r="E346" s="397">
        <f t="shared" ca="1" si="74"/>
        <v>0</v>
      </c>
      <c r="F346" s="397" t="e">
        <f t="shared" si="70"/>
        <v>#N/A</v>
      </c>
      <c r="G346" s="397" t="e">
        <f t="shared" ca="1" si="71"/>
        <v>#N/A</v>
      </c>
      <c r="H346" s="398" t="e">
        <f t="shared" ca="1" si="72"/>
        <v>#N/A</v>
      </c>
      <c r="I346" s="399">
        <f>MAX($J$5, INDEX(LIBOR!$M$3:$M$122,MATCH(B346,LIBOR!$N$3:$N$122)))</f>
        <v>3.2809699999999997E-2</v>
      </c>
      <c r="J346" s="400">
        <f t="shared" si="73"/>
        <v>8.5309699999999988E-2</v>
      </c>
      <c r="L346" s="392">
        <f t="shared" si="82"/>
        <v>54666</v>
      </c>
      <c r="M346" s="357">
        <f t="shared" si="83"/>
        <v>398</v>
      </c>
      <c r="N346" s="397">
        <v>886.90748323790854</v>
      </c>
      <c r="O346" s="397">
        <f t="shared" si="75"/>
        <v>0</v>
      </c>
      <c r="P346" s="397">
        <f t="shared" si="77"/>
        <v>6.0464695942873599</v>
      </c>
      <c r="Q346" s="397">
        <f t="shared" si="76"/>
        <v>-6.0464695942873599</v>
      </c>
      <c r="R346" s="398">
        <f t="shared" si="78"/>
        <v>892.95395283219591</v>
      </c>
      <c r="S346" s="399">
        <f>INDEX(LIBOR!$M$3:$M$122,MATCH(L346,LIBOR!$N$3:$N$122))</f>
        <v>3.2809699999999997E-2</v>
      </c>
      <c r="T346" s="400">
        <f t="shared" si="79"/>
        <v>8.1809699999999999E-2</v>
      </c>
    </row>
    <row r="347" spans="2:20">
      <c r="B347" s="396">
        <f t="shared" si="80"/>
        <v>54696</v>
      </c>
      <c r="C347" s="357">
        <f t="shared" si="81"/>
        <v>399</v>
      </c>
      <c r="D347" s="397" t="e">
        <f>INDEX('Monthly Cash Flow'!$L$137:$GT$137, MATCH(C347, 'Monthly Cash Flow'!$L$13:$GT$13, 0))</f>
        <v>#N/A</v>
      </c>
      <c r="E347" s="397">
        <f t="shared" ca="1" si="74"/>
        <v>0</v>
      </c>
      <c r="F347" s="397" t="e">
        <f t="shared" si="70"/>
        <v>#N/A</v>
      </c>
      <c r="G347" s="397" t="e">
        <f t="shared" ca="1" si="71"/>
        <v>#N/A</v>
      </c>
      <c r="H347" s="398" t="e">
        <f t="shared" ca="1" si="72"/>
        <v>#N/A</v>
      </c>
      <c r="I347" s="399">
        <f>MAX($J$5, INDEX(LIBOR!$M$3:$M$122,MATCH(B347,LIBOR!$N$3:$N$122)))</f>
        <v>3.2809699999999997E-2</v>
      </c>
      <c r="J347" s="400">
        <f t="shared" si="73"/>
        <v>8.5309699999999988E-2</v>
      </c>
      <c r="L347" s="392">
        <f t="shared" si="82"/>
        <v>54696</v>
      </c>
      <c r="M347" s="357">
        <f t="shared" si="83"/>
        <v>399</v>
      </c>
      <c r="N347" s="397">
        <v>847.5612167149377</v>
      </c>
      <c r="O347" s="397">
        <f t="shared" si="75"/>
        <v>0</v>
      </c>
      <c r="P347" s="397">
        <f t="shared" si="77"/>
        <v>5.77822740592367</v>
      </c>
      <c r="Q347" s="397">
        <f t="shared" si="76"/>
        <v>-5.77822740592367</v>
      </c>
      <c r="R347" s="398">
        <f t="shared" si="78"/>
        <v>853.33944412086134</v>
      </c>
      <c r="S347" s="399">
        <f>INDEX(LIBOR!$M$3:$M$122,MATCH(L347,LIBOR!$N$3:$N$122))</f>
        <v>3.2809699999999997E-2</v>
      </c>
      <c r="T347" s="400">
        <f t="shared" si="79"/>
        <v>8.1809699999999999E-2</v>
      </c>
    </row>
    <row r="348" spans="2:20">
      <c r="B348" s="396">
        <f t="shared" si="80"/>
        <v>54727</v>
      </c>
      <c r="C348" s="357">
        <f t="shared" si="81"/>
        <v>400</v>
      </c>
      <c r="D348" s="397" t="e">
        <f>INDEX('Monthly Cash Flow'!$L$137:$GT$137, MATCH(C348, 'Monthly Cash Flow'!$L$13:$GT$13, 0))</f>
        <v>#N/A</v>
      </c>
      <c r="E348" s="397">
        <f t="shared" ca="1" si="74"/>
        <v>0</v>
      </c>
      <c r="F348" s="397" t="e">
        <f t="shared" si="70"/>
        <v>#N/A</v>
      </c>
      <c r="G348" s="397" t="e">
        <f t="shared" ca="1" si="71"/>
        <v>#N/A</v>
      </c>
      <c r="H348" s="398" t="e">
        <f t="shared" ca="1" si="72"/>
        <v>#N/A</v>
      </c>
      <c r="I348" s="399">
        <f>MAX($J$5, INDEX(LIBOR!$M$3:$M$122,MATCH(B348,LIBOR!$N$3:$N$122)))</f>
        <v>3.2809699999999997E-2</v>
      </c>
      <c r="J348" s="400">
        <f t="shared" si="73"/>
        <v>8.5309699999999988E-2</v>
      </c>
      <c r="L348" s="392">
        <f t="shared" si="82"/>
        <v>54727</v>
      </c>
      <c r="M348" s="357">
        <f t="shared" si="83"/>
        <v>400</v>
      </c>
      <c r="N348" s="397">
        <v>808.0357368008647</v>
      </c>
      <c r="O348" s="397">
        <f t="shared" si="75"/>
        <v>0</v>
      </c>
      <c r="P348" s="397">
        <f t="shared" si="77"/>
        <v>5.5087634347464745</v>
      </c>
      <c r="Q348" s="397">
        <f t="shared" si="76"/>
        <v>-5.5087634347464745</v>
      </c>
      <c r="R348" s="398">
        <f t="shared" si="78"/>
        <v>813.54450023561117</v>
      </c>
      <c r="S348" s="399">
        <f>INDEX(LIBOR!$M$3:$M$122,MATCH(L348,LIBOR!$N$3:$N$122))</f>
        <v>3.2809699999999997E-2</v>
      </c>
      <c r="T348" s="400">
        <f t="shared" si="79"/>
        <v>8.1809699999999999E-2</v>
      </c>
    </row>
    <row r="349" spans="2:20">
      <c r="B349" s="396">
        <f t="shared" si="80"/>
        <v>54757</v>
      </c>
      <c r="C349" s="357">
        <f t="shared" si="81"/>
        <v>401</v>
      </c>
      <c r="D349" s="397" t="e">
        <f>INDEX('Monthly Cash Flow'!$L$137:$GT$137, MATCH(C349, 'Monthly Cash Flow'!$L$13:$GT$13, 0))</f>
        <v>#N/A</v>
      </c>
      <c r="E349" s="397">
        <f t="shared" ca="1" si="74"/>
        <v>0</v>
      </c>
      <c r="F349" s="397" t="e">
        <f t="shared" si="70"/>
        <v>#N/A</v>
      </c>
      <c r="G349" s="397" t="e">
        <f t="shared" ca="1" si="71"/>
        <v>#N/A</v>
      </c>
      <c r="H349" s="398" t="e">
        <f t="shared" ca="1" si="72"/>
        <v>#N/A</v>
      </c>
      <c r="I349" s="399">
        <f>MAX($J$5, INDEX(LIBOR!$M$3:$M$122,MATCH(B349,LIBOR!$N$3:$N$122)))</f>
        <v>3.2809699999999997E-2</v>
      </c>
      <c r="J349" s="400">
        <f t="shared" si="73"/>
        <v>8.5309699999999988E-2</v>
      </c>
      <c r="L349" s="392">
        <f t="shared" si="82"/>
        <v>54757</v>
      </c>
      <c r="M349" s="357">
        <f t="shared" si="83"/>
        <v>401</v>
      </c>
      <c r="N349" s="397">
        <v>768.33022721901602</v>
      </c>
      <c r="O349" s="397">
        <f t="shared" si="75"/>
        <v>0</v>
      </c>
      <c r="P349" s="397">
        <f t="shared" si="77"/>
        <v>5.2380721158099615</v>
      </c>
      <c r="Q349" s="397">
        <f t="shared" si="76"/>
        <v>-5.2380721158099615</v>
      </c>
      <c r="R349" s="398">
        <f t="shared" si="78"/>
        <v>773.56829933482595</v>
      </c>
      <c r="S349" s="399">
        <f>INDEX(LIBOR!$M$3:$M$122,MATCH(L349,LIBOR!$N$3:$N$122))</f>
        <v>3.2809699999999997E-2</v>
      </c>
      <c r="T349" s="400">
        <f t="shared" si="79"/>
        <v>8.1809699999999999E-2</v>
      </c>
    </row>
    <row r="350" spans="2:20">
      <c r="B350" s="396">
        <f t="shared" si="80"/>
        <v>54788</v>
      </c>
      <c r="C350" s="357">
        <f t="shared" si="81"/>
        <v>402</v>
      </c>
      <c r="D350" s="397" t="e">
        <f>INDEX('Monthly Cash Flow'!$L$137:$GT$137, MATCH(C350, 'Monthly Cash Flow'!$L$13:$GT$13, 0))</f>
        <v>#N/A</v>
      </c>
      <c r="E350" s="397">
        <f t="shared" ca="1" si="74"/>
        <v>0</v>
      </c>
      <c r="F350" s="397" t="e">
        <f t="shared" si="70"/>
        <v>#N/A</v>
      </c>
      <c r="G350" s="397" t="e">
        <f t="shared" ca="1" si="71"/>
        <v>#N/A</v>
      </c>
      <c r="H350" s="398" t="e">
        <f t="shared" ca="1" si="72"/>
        <v>#N/A</v>
      </c>
      <c r="I350" s="399">
        <f>MAX($J$5, INDEX(LIBOR!$M$3:$M$122,MATCH(B350,LIBOR!$N$3:$N$122)))</f>
        <v>3.2809699999999997E-2</v>
      </c>
      <c r="J350" s="400">
        <f t="shared" si="73"/>
        <v>8.5309699999999988E-2</v>
      </c>
      <c r="L350" s="392">
        <f t="shared" si="82"/>
        <v>54788</v>
      </c>
      <c r="M350" s="357">
        <f t="shared" si="83"/>
        <v>402</v>
      </c>
      <c r="N350" s="397">
        <v>728.4438679747617</v>
      </c>
      <c r="O350" s="397">
        <f t="shared" si="75"/>
        <v>0</v>
      </c>
      <c r="P350" s="397">
        <f t="shared" si="77"/>
        <v>4.9661478588212384</v>
      </c>
      <c r="Q350" s="397">
        <f t="shared" si="76"/>
        <v>-4.9661478588212384</v>
      </c>
      <c r="R350" s="398">
        <f t="shared" si="78"/>
        <v>733.41001583358297</v>
      </c>
      <c r="S350" s="399">
        <f>INDEX(LIBOR!$M$3:$M$122,MATCH(L350,LIBOR!$N$3:$N$122))</f>
        <v>3.2809699999999997E-2</v>
      </c>
      <c r="T350" s="400">
        <f t="shared" si="79"/>
        <v>8.1809699999999999E-2</v>
      </c>
    </row>
    <row r="351" spans="2:20">
      <c r="B351" s="396">
        <f t="shared" si="80"/>
        <v>54819</v>
      </c>
      <c r="C351" s="357">
        <f t="shared" si="81"/>
        <v>403</v>
      </c>
      <c r="D351" s="397" t="e">
        <f>INDEX('Monthly Cash Flow'!$L$137:$GT$137, MATCH(C351, 'Monthly Cash Flow'!$L$13:$GT$13, 0))</f>
        <v>#N/A</v>
      </c>
      <c r="E351" s="397">
        <f t="shared" ca="1" si="74"/>
        <v>0</v>
      </c>
      <c r="F351" s="397" t="e">
        <f t="shared" si="70"/>
        <v>#N/A</v>
      </c>
      <c r="G351" s="397" t="e">
        <f t="shared" ca="1" si="71"/>
        <v>#N/A</v>
      </c>
      <c r="H351" s="398" t="e">
        <f t="shared" ca="1" si="72"/>
        <v>#N/A</v>
      </c>
      <c r="I351" s="399">
        <f>MAX($J$5, INDEX(LIBOR!$M$3:$M$122,MATCH(B351,LIBOR!$N$3:$N$122)))</f>
        <v>3.2809699999999997E-2</v>
      </c>
      <c r="J351" s="400">
        <f t="shared" si="73"/>
        <v>8.5309699999999988E-2</v>
      </c>
      <c r="L351" s="392">
        <f t="shared" si="82"/>
        <v>54819</v>
      </c>
      <c r="M351" s="357">
        <f t="shared" si="83"/>
        <v>403</v>
      </c>
      <c r="N351" s="397">
        <v>688.3758353385806</v>
      </c>
      <c r="O351" s="397">
        <f t="shared" si="75"/>
        <v>0</v>
      </c>
      <c r="P351" s="397">
        <f t="shared" si="77"/>
        <v>4.69298504802489</v>
      </c>
      <c r="Q351" s="397">
        <f t="shared" si="76"/>
        <v>-4.69298504802489</v>
      </c>
      <c r="R351" s="398">
        <f t="shared" si="78"/>
        <v>693.06882038660547</v>
      </c>
      <c r="S351" s="399">
        <f>INDEX(LIBOR!$M$3:$M$122,MATCH(L351,LIBOR!$N$3:$N$122))</f>
        <v>3.2809699999999997E-2</v>
      </c>
      <c r="T351" s="400">
        <f t="shared" si="79"/>
        <v>8.1809699999999999E-2</v>
      </c>
    </row>
    <row r="352" spans="2:20">
      <c r="B352" s="396">
        <f t="shared" si="80"/>
        <v>54847</v>
      </c>
      <c r="C352" s="357">
        <f t="shared" si="81"/>
        <v>404</v>
      </c>
      <c r="D352" s="397" t="e">
        <f>INDEX('Monthly Cash Flow'!$L$137:$GT$137, MATCH(C352, 'Monthly Cash Flow'!$L$13:$GT$13, 0))</f>
        <v>#N/A</v>
      </c>
      <c r="E352" s="397">
        <f t="shared" ca="1" si="74"/>
        <v>0</v>
      </c>
      <c r="F352" s="397" t="e">
        <f t="shared" si="70"/>
        <v>#N/A</v>
      </c>
      <c r="G352" s="397" t="e">
        <f t="shared" ca="1" si="71"/>
        <v>#N/A</v>
      </c>
      <c r="H352" s="398" t="e">
        <f t="shared" ca="1" si="72"/>
        <v>#N/A</v>
      </c>
      <c r="I352" s="399">
        <f>MAX($J$5, INDEX(LIBOR!$M$3:$M$122,MATCH(B352,LIBOR!$N$3:$N$122)))</f>
        <v>3.2809699999999997E-2</v>
      </c>
      <c r="J352" s="400">
        <f t="shared" si="73"/>
        <v>8.5309699999999988E-2</v>
      </c>
      <c r="L352" s="392">
        <f t="shared" si="82"/>
        <v>54847</v>
      </c>
      <c r="M352" s="357">
        <f t="shared" si="83"/>
        <v>404</v>
      </c>
      <c r="N352" s="397">
        <v>648.12530182904902</v>
      </c>
      <c r="O352" s="397">
        <f t="shared" si="75"/>
        <v>0</v>
      </c>
      <c r="P352" s="397">
        <f t="shared" si="77"/>
        <v>4.4185780420869962</v>
      </c>
      <c r="Q352" s="397">
        <f t="shared" si="76"/>
        <v>-4.4185780420869962</v>
      </c>
      <c r="R352" s="398">
        <f t="shared" si="78"/>
        <v>652.54387987113603</v>
      </c>
      <c r="S352" s="399">
        <f>INDEX(LIBOR!$M$3:$M$122,MATCH(L352,LIBOR!$N$3:$N$122))</f>
        <v>3.2809699999999997E-2</v>
      </c>
      <c r="T352" s="400">
        <f t="shared" si="79"/>
        <v>8.1809699999999999E-2</v>
      </c>
    </row>
    <row r="353" spans="2:20">
      <c r="B353" s="396">
        <f t="shared" si="80"/>
        <v>54878</v>
      </c>
      <c r="C353" s="357">
        <f t="shared" si="81"/>
        <v>405</v>
      </c>
      <c r="D353" s="397" t="e">
        <f>INDEX('Monthly Cash Flow'!$L$137:$GT$137, MATCH(C353, 'Monthly Cash Flow'!$L$13:$GT$13, 0))</f>
        <v>#N/A</v>
      </c>
      <c r="E353" s="397">
        <f t="shared" ca="1" si="74"/>
        <v>0</v>
      </c>
      <c r="F353" s="397" t="e">
        <f t="shared" si="70"/>
        <v>#N/A</v>
      </c>
      <c r="G353" s="397" t="e">
        <f t="shared" ca="1" si="71"/>
        <v>#N/A</v>
      </c>
      <c r="H353" s="398" t="e">
        <f t="shared" ca="1" si="72"/>
        <v>#N/A</v>
      </c>
      <c r="I353" s="399">
        <f>MAX($J$5, INDEX(LIBOR!$M$3:$M$122,MATCH(B353,LIBOR!$N$3:$N$122)))</f>
        <v>3.2809699999999997E-2</v>
      </c>
      <c r="J353" s="400">
        <f t="shared" si="73"/>
        <v>8.5309699999999988E-2</v>
      </c>
      <c r="L353" s="392">
        <f t="shared" si="82"/>
        <v>54878</v>
      </c>
      <c r="M353" s="357">
        <f t="shared" si="83"/>
        <v>405</v>
      </c>
      <c r="N353" s="397">
        <v>607.69143619575163</v>
      </c>
      <c r="O353" s="397">
        <f t="shared" si="75"/>
        <v>0</v>
      </c>
      <c r="P353" s="397">
        <f t="shared" si="77"/>
        <v>4.1429211739786318</v>
      </c>
      <c r="Q353" s="397">
        <f t="shared" si="76"/>
        <v>-4.1429211739786318</v>
      </c>
      <c r="R353" s="398">
        <f t="shared" si="78"/>
        <v>611.83435736973024</v>
      </c>
      <c r="S353" s="399">
        <f>INDEX(LIBOR!$M$3:$M$122,MATCH(L353,LIBOR!$N$3:$N$122))</f>
        <v>3.2809699999999997E-2</v>
      </c>
      <c r="T353" s="400">
        <f t="shared" si="79"/>
        <v>8.1809699999999999E-2</v>
      </c>
    </row>
    <row r="354" spans="2:20">
      <c r="B354" s="396">
        <f t="shared" si="80"/>
        <v>54908</v>
      </c>
      <c r="C354" s="357">
        <f t="shared" si="81"/>
        <v>406</v>
      </c>
      <c r="D354" s="397" t="e">
        <f>INDEX('Monthly Cash Flow'!$L$137:$GT$137, MATCH(C354, 'Monthly Cash Flow'!$L$13:$GT$13, 0))</f>
        <v>#N/A</v>
      </c>
      <c r="E354" s="397">
        <f t="shared" ca="1" si="74"/>
        <v>0</v>
      </c>
      <c r="F354" s="397" t="e">
        <f t="shared" si="70"/>
        <v>#N/A</v>
      </c>
      <c r="G354" s="397" t="e">
        <f t="shared" ca="1" si="71"/>
        <v>#N/A</v>
      </c>
      <c r="H354" s="398" t="e">
        <f t="shared" ca="1" si="72"/>
        <v>#N/A</v>
      </c>
      <c r="I354" s="399">
        <f>MAX($J$5, INDEX(LIBOR!$M$3:$M$122,MATCH(B354,LIBOR!$N$3:$N$122)))</f>
        <v>3.2809699999999997E-2</v>
      </c>
      <c r="J354" s="400">
        <f t="shared" si="73"/>
        <v>8.5309699999999988E-2</v>
      </c>
      <c r="L354" s="392">
        <f t="shared" si="82"/>
        <v>54908</v>
      </c>
      <c r="M354" s="357">
        <f t="shared" si="83"/>
        <v>406</v>
      </c>
      <c r="N354" s="397">
        <v>567.07340340211431</v>
      </c>
      <c r="O354" s="397">
        <f t="shared" si="75"/>
        <v>0</v>
      </c>
      <c r="P354" s="397">
        <f t="shared" si="77"/>
        <v>3.8660087508588288</v>
      </c>
      <c r="Q354" s="397">
        <f t="shared" si="76"/>
        <v>-3.8660087508588288</v>
      </c>
      <c r="R354" s="398">
        <f t="shared" si="78"/>
        <v>570.93941215297309</v>
      </c>
      <c r="S354" s="399">
        <f>INDEX(LIBOR!$M$3:$M$122,MATCH(L354,LIBOR!$N$3:$N$122))</f>
        <v>3.2809699999999997E-2</v>
      </c>
      <c r="T354" s="400">
        <f t="shared" si="79"/>
        <v>8.1809699999999999E-2</v>
      </c>
    </row>
    <row r="355" spans="2:20">
      <c r="B355" s="396">
        <f t="shared" si="80"/>
        <v>54939</v>
      </c>
      <c r="C355" s="357">
        <f t="shared" si="81"/>
        <v>407</v>
      </c>
      <c r="D355" s="397" t="e">
        <f>INDEX('Monthly Cash Flow'!$L$137:$GT$137, MATCH(C355, 'Monthly Cash Flow'!$L$13:$GT$13, 0))</f>
        <v>#N/A</v>
      </c>
      <c r="E355" s="397">
        <f t="shared" ca="1" si="74"/>
        <v>0</v>
      </c>
      <c r="F355" s="397" t="e">
        <f t="shared" si="70"/>
        <v>#N/A</v>
      </c>
      <c r="G355" s="397" t="e">
        <f t="shared" ca="1" si="71"/>
        <v>#N/A</v>
      </c>
      <c r="H355" s="398" t="e">
        <f t="shared" ca="1" si="72"/>
        <v>#N/A</v>
      </c>
      <c r="I355" s="399">
        <f>MAX($J$5, INDEX(LIBOR!$M$3:$M$122,MATCH(B355,LIBOR!$N$3:$N$122)))</f>
        <v>3.2809699999999997E-2</v>
      </c>
      <c r="J355" s="400">
        <f t="shared" si="73"/>
        <v>8.5309699999999988E-2</v>
      </c>
      <c r="L355" s="392">
        <f t="shared" si="82"/>
        <v>54939</v>
      </c>
      <c r="M355" s="357">
        <f t="shared" si="83"/>
        <v>407</v>
      </c>
      <c r="N355" s="397">
        <v>526.2703646081593</v>
      </c>
      <c r="O355" s="397">
        <f t="shared" si="75"/>
        <v>0</v>
      </c>
      <c r="P355" s="397">
        <f t="shared" si="77"/>
        <v>3.587835053957011</v>
      </c>
      <c r="Q355" s="397">
        <f t="shared" si="76"/>
        <v>-3.587835053957011</v>
      </c>
      <c r="R355" s="398">
        <f t="shared" si="78"/>
        <v>529.85819966211636</v>
      </c>
      <c r="S355" s="399">
        <f>INDEX(LIBOR!$M$3:$M$122,MATCH(L355,LIBOR!$N$3:$N$122))</f>
        <v>3.2809699999999997E-2</v>
      </c>
      <c r="T355" s="400">
        <f t="shared" si="79"/>
        <v>8.1809699999999999E-2</v>
      </c>
    </row>
    <row r="356" spans="2:20">
      <c r="B356" s="396">
        <f t="shared" si="80"/>
        <v>54969</v>
      </c>
      <c r="C356" s="357">
        <f t="shared" si="81"/>
        <v>408</v>
      </c>
      <c r="D356" s="397" t="e">
        <f>INDEX('Monthly Cash Flow'!$L$137:$GT$137, MATCH(C356, 'Monthly Cash Flow'!$L$13:$GT$13, 0))</f>
        <v>#N/A</v>
      </c>
      <c r="E356" s="397">
        <f t="shared" ca="1" si="74"/>
        <v>0</v>
      </c>
      <c r="F356" s="397" t="e">
        <f t="shared" si="70"/>
        <v>#N/A</v>
      </c>
      <c r="G356" s="397" t="e">
        <f t="shared" ca="1" si="71"/>
        <v>#N/A</v>
      </c>
      <c r="H356" s="398" t="e">
        <f t="shared" ca="1" si="72"/>
        <v>#N/A</v>
      </c>
      <c r="I356" s="399">
        <f>MAX($J$5, INDEX(LIBOR!$M$3:$M$122,MATCH(B356,LIBOR!$N$3:$N$122)))</f>
        <v>3.2809699999999997E-2</v>
      </c>
      <c r="J356" s="400">
        <f t="shared" si="73"/>
        <v>8.5309699999999988E-2</v>
      </c>
      <c r="L356" s="392">
        <f t="shared" si="82"/>
        <v>54969</v>
      </c>
      <c r="M356" s="357">
        <f t="shared" si="83"/>
        <v>408</v>
      </c>
      <c r="N356" s="397">
        <v>485.28147715318158</v>
      </c>
      <c r="O356" s="397">
        <f t="shared" si="75"/>
        <v>0</v>
      </c>
      <c r="P356" s="397">
        <f t="shared" si="77"/>
        <v>3.3083943384548866</v>
      </c>
      <c r="Q356" s="397">
        <f t="shared" si="76"/>
        <v>-3.3083943384548866</v>
      </c>
      <c r="R356" s="398">
        <f t="shared" si="78"/>
        <v>488.58987149163647</v>
      </c>
      <c r="S356" s="399">
        <f>INDEX(LIBOR!$M$3:$M$122,MATCH(L356,LIBOR!$N$3:$N$122))</f>
        <v>3.2809699999999997E-2</v>
      </c>
      <c r="T356" s="400">
        <f t="shared" si="79"/>
        <v>8.1809699999999999E-2</v>
      </c>
    </row>
    <row r="357" spans="2:20">
      <c r="B357" s="396">
        <f t="shared" si="80"/>
        <v>55000</v>
      </c>
      <c r="C357" s="357">
        <f t="shared" si="81"/>
        <v>409</v>
      </c>
      <c r="D357" s="397" t="e">
        <f>INDEX('Monthly Cash Flow'!$L$137:$GT$137, MATCH(C357, 'Monthly Cash Flow'!$L$13:$GT$13, 0))</f>
        <v>#N/A</v>
      </c>
      <c r="E357" s="397">
        <f t="shared" ca="1" si="74"/>
        <v>0</v>
      </c>
      <c r="F357" s="397" t="e">
        <f t="shared" si="70"/>
        <v>#N/A</v>
      </c>
      <c r="G357" s="397" t="e">
        <f t="shared" ca="1" si="71"/>
        <v>#N/A</v>
      </c>
      <c r="H357" s="398" t="e">
        <f t="shared" ca="1" si="72"/>
        <v>#N/A</v>
      </c>
      <c r="I357" s="399">
        <f>MAX($J$5, INDEX(LIBOR!$M$3:$M$122,MATCH(B357,LIBOR!$N$3:$N$122)))</f>
        <v>3.2809699999999997E-2</v>
      </c>
      <c r="J357" s="400">
        <f t="shared" si="73"/>
        <v>8.5309699999999988E-2</v>
      </c>
      <c r="L357" s="392">
        <f t="shared" si="82"/>
        <v>55000</v>
      </c>
      <c r="M357" s="357">
        <f t="shared" si="83"/>
        <v>409</v>
      </c>
      <c r="N357" s="397">
        <v>444.10589453834615</v>
      </c>
      <c r="O357" s="397">
        <f t="shared" si="75"/>
        <v>0</v>
      </c>
      <c r="P357" s="397">
        <f t="shared" si="77"/>
        <v>3.0276808333678118</v>
      </c>
      <c r="Q357" s="397">
        <f t="shared" si="76"/>
        <v>-3.0276808333678118</v>
      </c>
      <c r="R357" s="398">
        <f t="shared" si="78"/>
        <v>447.13357537171396</v>
      </c>
      <c r="S357" s="399">
        <f>INDEX(LIBOR!$M$3:$M$122,MATCH(L357,LIBOR!$N$3:$N$122))</f>
        <v>3.2809699999999997E-2</v>
      </c>
      <c r="T357" s="400">
        <f t="shared" si="79"/>
        <v>8.1809699999999999E-2</v>
      </c>
    </row>
    <row r="358" spans="2:20">
      <c r="B358" s="396">
        <f t="shared" si="80"/>
        <v>55031</v>
      </c>
      <c r="C358" s="357">
        <f t="shared" si="81"/>
        <v>410</v>
      </c>
      <c r="D358" s="397" t="e">
        <f>INDEX('Monthly Cash Flow'!$L$137:$GT$137, MATCH(C358, 'Monthly Cash Flow'!$L$13:$GT$13, 0))</f>
        <v>#N/A</v>
      </c>
      <c r="E358" s="397">
        <f t="shared" ca="1" si="74"/>
        <v>0</v>
      </c>
      <c r="F358" s="397" t="e">
        <f t="shared" si="70"/>
        <v>#N/A</v>
      </c>
      <c r="G358" s="397" t="e">
        <f t="shared" ca="1" si="71"/>
        <v>#N/A</v>
      </c>
      <c r="H358" s="398" t="e">
        <f t="shared" ca="1" si="72"/>
        <v>#N/A</v>
      </c>
      <c r="I358" s="399">
        <f>MAX($J$5, INDEX(LIBOR!$M$3:$M$122,MATCH(B358,LIBOR!$N$3:$N$122)))</f>
        <v>3.2809699999999997E-2</v>
      </c>
      <c r="J358" s="400">
        <f t="shared" si="73"/>
        <v>8.5309699999999988E-2</v>
      </c>
      <c r="L358" s="392">
        <f t="shared" si="82"/>
        <v>55031</v>
      </c>
      <c r="M358" s="357">
        <f t="shared" si="83"/>
        <v>410</v>
      </c>
      <c r="N358" s="397">
        <v>402.74276640920618</v>
      </c>
      <c r="O358" s="397">
        <f t="shared" si="75"/>
        <v>0</v>
      </c>
      <c r="P358" s="397">
        <f t="shared" si="77"/>
        <v>2.745688741425603</v>
      </c>
      <c r="Q358" s="397">
        <f t="shared" si="76"/>
        <v>-2.745688741425603</v>
      </c>
      <c r="R358" s="398">
        <f t="shared" si="78"/>
        <v>405.48845515063181</v>
      </c>
      <c r="S358" s="399">
        <f>INDEX(LIBOR!$M$3:$M$122,MATCH(L358,LIBOR!$N$3:$N$122))</f>
        <v>3.2809699999999997E-2</v>
      </c>
      <c r="T358" s="400">
        <f t="shared" si="79"/>
        <v>8.1809699999999999E-2</v>
      </c>
    </row>
    <row r="359" spans="2:20">
      <c r="B359" s="396">
        <f t="shared" si="80"/>
        <v>55061</v>
      </c>
      <c r="C359" s="357">
        <f t="shared" si="81"/>
        <v>411</v>
      </c>
      <c r="D359" s="397" t="e">
        <f>INDEX('Monthly Cash Flow'!$L$137:$GT$137, MATCH(C359, 'Monthly Cash Flow'!$L$13:$GT$13, 0))</f>
        <v>#N/A</v>
      </c>
      <c r="E359" s="397">
        <f t="shared" ca="1" si="74"/>
        <v>0</v>
      </c>
      <c r="F359" s="397" t="e">
        <f t="shared" si="70"/>
        <v>#N/A</v>
      </c>
      <c r="G359" s="397" t="e">
        <f t="shared" ca="1" si="71"/>
        <v>#N/A</v>
      </c>
      <c r="H359" s="398" t="e">
        <f t="shared" ca="1" si="72"/>
        <v>#N/A</v>
      </c>
      <c r="I359" s="399">
        <f>MAX($J$5, INDEX(LIBOR!$M$3:$M$122,MATCH(B359,LIBOR!$N$3:$N$122)))</f>
        <v>3.2809699999999997E-2</v>
      </c>
      <c r="J359" s="400">
        <f t="shared" si="73"/>
        <v>8.5309699999999988E-2</v>
      </c>
      <c r="L359" s="392">
        <f t="shared" si="82"/>
        <v>55061</v>
      </c>
      <c r="M359" s="357">
        <f t="shared" si="83"/>
        <v>411</v>
      </c>
      <c r="N359" s="397">
        <v>361.19123853814187</v>
      </c>
      <c r="O359" s="397">
        <f t="shared" si="75"/>
        <v>0</v>
      </c>
      <c r="P359" s="397">
        <f t="shared" si="77"/>
        <v>2.4624122389528185</v>
      </c>
      <c r="Q359" s="397">
        <f t="shared" si="76"/>
        <v>-2.4624122389528185</v>
      </c>
      <c r="R359" s="398">
        <f t="shared" si="78"/>
        <v>363.6536507770947</v>
      </c>
      <c r="S359" s="399">
        <f>INDEX(LIBOR!$M$3:$M$122,MATCH(L359,LIBOR!$N$3:$N$122))</f>
        <v>3.2809699999999997E-2</v>
      </c>
      <c r="T359" s="400">
        <f t="shared" si="79"/>
        <v>8.1809699999999999E-2</v>
      </c>
    </row>
    <row r="360" spans="2:20">
      <c r="B360" s="396">
        <f t="shared" si="80"/>
        <v>55092</v>
      </c>
      <c r="C360" s="357">
        <f t="shared" si="81"/>
        <v>412</v>
      </c>
      <c r="D360" s="397" t="e">
        <f>INDEX('Monthly Cash Flow'!$L$137:$GT$137, MATCH(C360, 'Monthly Cash Flow'!$L$13:$GT$13, 0))</f>
        <v>#N/A</v>
      </c>
      <c r="E360" s="397">
        <f t="shared" ca="1" si="74"/>
        <v>0</v>
      </c>
      <c r="F360" s="397" t="e">
        <f t="shared" si="70"/>
        <v>#N/A</v>
      </c>
      <c r="G360" s="397" t="e">
        <f t="shared" ca="1" si="71"/>
        <v>#N/A</v>
      </c>
      <c r="H360" s="398" t="e">
        <f t="shared" ca="1" si="72"/>
        <v>#N/A</v>
      </c>
      <c r="I360" s="399">
        <f>MAX($J$5, INDEX(LIBOR!$M$3:$M$122,MATCH(B360,LIBOR!$N$3:$N$122)))</f>
        <v>3.2809699999999997E-2</v>
      </c>
      <c r="J360" s="400">
        <f t="shared" si="73"/>
        <v>8.5309699999999988E-2</v>
      </c>
      <c r="L360" s="392">
        <f t="shared" si="82"/>
        <v>55092</v>
      </c>
      <c r="M360" s="357">
        <f t="shared" si="83"/>
        <v>412</v>
      </c>
      <c r="N360" s="397">
        <v>319.4504528067186</v>
      </c>
      <c r="O360" s="397">
        <f t="shared" si="75"/>
        <v>0</v>
      </c>
      <c r="P360" s="397">
        <f t="shared" si="77"/>
        <v>2.1778454757484838</v>
      </c>
      <c r="Q360" s="397">
        <f t="shared" si="76"/>
        <v>-2.1778454757484838</v>
      </c>
      <c r="R360" s="398">
        <f t="shared" si="78"/>
        <v>321.62829828246709</v>
      </c>
      <c r="S360" s="399">
        <f>INDEX(LIBOR!$M$3:$M$122,MATCH(L360,LIBOR!$N$3:$N$122))</f>
        <v>3.2809699999999997E-2</v>
      </c>
      <c r="T360" s="400">
        <f t="shared" si="79"/>
        <v>8.1809699999999999E-2</v>
      </c>
    </row>
    <row r="361" spans="2:20">
      <c r="B361" s="396">
        <f t="shared" si="80"/>
        <v>55122</v>
      </c>
      <c r="C361" s="357">
        <f t="shared" si="81"/>
        <v>413</v>
      </c>
      <c r="D361" s="397" t="e">
        <f>INDEX('Monthly Cash Flow'!$L$137:$GT$137, MATCH(C361, 'Monthly Cash Flow'!$L$13:$GT$13, 0))</f>
        <v>#N/A</v>
      </c>
      <c r="E361" s="397">
        <f t="shared" ca="1" si="74"/>
        <v>0</v>
      </c>
      <c r="F361" s="397" t="e">
        <f t="shared" si="70"/>
        <v>#N/A</v>
      </c>
      <c r="G361" s="397" t="e">
        <f t="shared" ca="1" si="71"/>
        <v>#N/A</v>
      </c>
      <c r="H361" s="398" t="e">
        <f t="shared" ca="1" si="72"/>
        <v>#N/A</v>
      </c>
      <c r="I361" s="399">
        <f>MAX($J$5, INDEX(LIBOR!$M$3:$M$122,MATCH(B361,LIBOR!$N$3:$N$122)))</f>
        <v>3.2809699999999997E-2</v>
      </c>
      <c r="J361" s="400">
        <f t="shared" si="73"/>
        <v>8.5309699999999988E-2</v>
      </c>
      <c r="L361" s="392">
        <f t="shared" si="82"/>
        <v>55122</v>
      </c>
      <c r="M361" s="357">
        <f t="shared" si="83"/>
        <v>413</v>
      </c>
      <c r="N361" s="397">
        <v>277.51954718796549</v>
      </c>
      <c r="O361" s="397">
        <f t="shared" si="75"/>
        <v>0</v>
      </c>
      <c r="P361" s="397">
        <f t="shared" si="77"/>
        <v>1.891982574965275</v>
      </c>
      <c r="Q361" s="397">
        <f t="shared" si="76"/>
        <v>-1.891982574965275</v>
      </c>
      <c r="R361" s="398">
        <f t="shared" si="78"/>
        <v>279.41152976293074</v>
      </c>
      <c r="S361" s="399">
        <f>INDEX(LIBOR!$M$3:$M$122,MATCH(L361,LIBOR!$N$3:$N$122))</f>
        <v>3.2809699999999997E-2</v>
      </c>
      <c r="T361" s="400">
        <f t="shared" si="79"/>
        <v>8.1809699999999999E-2</v>
      </c>
    </row>
    <row r="362" spans="2:20">
      <c r="B362" s="396">
        <f t="shared" si="80"/>
        <v>55153</v>
      </c>
      <c r="C362" s="357">
        <f t="shared" si="81"/>
        <v>414</v>
      </c>
      <c r="D362" s="397" t="e">
        <f>INDEX('Monthly Cash Flow'!$L$137:$GT$137, MATCH(C362, 'Monthly Cash Flow'!$L$13:$GT$13, 0))</f>
        <v>#N/A</v>
      </c>
      <c r="E362" s="397">
        <f t="shared" ca="1" si="74"/>
        <v>0</v>
      </c>
      <c r="F362" s="397" t="e">
        <f t="shared" si="70"/>
        <v>#N/A</v>
      </c>
      <c r="G362" s="397" t="e">
        <f t="shared" ca="1" si="71"/>
        <v>#N/A</v>
      </c>
      <c r="H362" s="398" t="e">
        <f t="shared" ca="1" si="72"/>
        <v>#N/A</v>
      </c>
      <c r="I362" s="399">
        <f>MAX($J$5, INDEX(LIBOR!$M$3:$M$122,MATCH(B362,LIBOR!$N$3:$N$122)))</f>
        <v>3.2809699999999997E-2</v>
      </c>
      <c r="J362" s="400">
        <f t="shared" si="73"/>
        <v>8.5309699999999988E-2</v>
      </c>
      <c r="L362" s="392">
        <f t="shared" si="82"/>
        <v>55153</v>
      </c>
      <c r="M362" s="357">
        <f t="shared" si="83"/>
        <v>414</v>
      </c>
      <c r="N362" s="397">
        <v>235.39765572857272</v>
      </c>
      <c r="O362" s="397">
        <f t="shared" si="75"/>
        <v>0</v>
      </c>
      <c r="P362" s="397">
        <f t="shared" si="77"/>
        <v>1.6048176329881514</v>
      </c>
      <c r="Q362" s="397">
        <f t="shared" si="76"/>
        <v>-1.6048176329881514</v>
      </c>
      <c r="R362" s="398">
        <f t="shared" si="78"/>
        <v>237.00247336156087</v>
      </c>
      <c r="S362" s="399">
        <f>INDEX(LIBOR!$M$3:$M$122,MATCH(L362,LIBOR!$N$3:$N$122))</f>
        <v>3.2809699999999997E-2</v>
      </c>
      <c r="T362" s="400">
        <f t="shared" si="79"/>
        <v>8.1809699999999999E-2</v>
      </c>
    </row>
    <row r="363" spans="2:20">
      <c r="B363" s="396">
        <f t="shared" si="80"/>
        <v>55184</v>
      </c>
      <c r="C363" s="357">
        <f t="shared" si="81"/>
        <v>415</v>
      </c>
      <c r="D363" s="397" t="e">
        <f>INDEX('Monthly Cash Flow'!$L$137:$GT$137, MATCH(C363, 'Monthly Cash Flow'!$L$13:$GT$13, 0))</f>
        <v>#N/A</v>
      </c>
      <c r="E363" s="397">
        <f t="shared" ca="1" si="74"/>
        <v>0</v>
      </c>
      <c r="F363" s="397" t="e">
        <f t="shared" si="70"/>
        <v>#N/A</v>
      </c>
      <c r="G363" s="397" t="e">
        <f t="shared" ca="1" si="71"/>
        <v>#N/A</v>
      </c>
      <c r="H363" s="398" t="e">
        <f t="shared" ca="1" si="72"/>
        <v>#N/A</v>
      </c>
      <c r="I363" s="399">
        <f>MAX($J$5, INDEX(LIBOR!$M$3:$M$122,MATCH(B363,LIBOR!$N$3:$N$122)))</f>
        <v>3.2809699999999997E-2</v>
      </c>
      <c r="J363" s="400">
        <f t="shared" si="73"/>
        <v>8.5309699999999988E-2</v>
      </c>
      <c r="L363" s="392">
        <f t="shared" si="82"/>
        <v>55184</v>
      </c>
      <c r="M363" s="357">
        <f t="shared" si="83"/>
        <v>415</v>
      </c>
      <c r="N363" s="397">
        <v>193.08390853100798</v>
      </c>
      <c r="O363" s="397">
        <f t="shared" si="75"/>
        <v>0</v>
      </c>
      <c r="P363" s="397">
        <f t="shared" si="77"/>
        <v>1.3163447193124336</v>
      </c>
      <c r="Q363" s="397">
        <f t="shared" si="76"/>
        <v>-1.3163447193124336</v>
      </c>
      <c r="R363" s="398">
        <f t="shared" si="78"/>
        <v>194.40025325032042</v>
      </c>
      <c r="S363" s="399">
        <f>INDEX(LIBOR!$M$3:$M$122,MATCH(L363,LIBOR!$N$3:$N$122))</f>
        <v>3.2809699999999997E-2</v>
      </c>
      <c r="T363" s="400">
        <f t="shared" si="79"/>
        <v>8.1809699999999999E-2</v>
      </c>
    </row>
    <row r="364" spans="2:20">
      <c r="B364" s="396">
        <f t="shared" si="80"/>
        <v>55212</v>
      </c>
      <c r="C364" s="357">
        <f t="shared" si="81"/>
        <v>416</v>
      </c>
      <c r="D364" s="397" t="e">
        <f>INDEX('Monthly Cash Flow'!$L$137:$GT$137, MATCH(C364, 'Monthly Cash Flow'!$L$13:$GT$13, 0))</f>
        <v>#N/A</v>
      </c>
      <c r="E364" s="397">
        <f t="shared" ca="1" si="74"/>
        <v>0</v>
      </c>
      <c r="F364" s="397" t="e">
        <f t="shared" si="70"/>
        <v>#N/A</v>
      </c>
      <c r="G364" s="397" t="e">
        <f t="shared" ca="1" si="71"/>
        <v>#N/A</v>
      </c>
      <c r="H364" s="398" t="e">
        <f t="shared" ca="1" si="72"/>
        <v>#N/A</v>
      </c>
      <c r="I364" s="399">
        <f>MAX($J$5, INDEX(LIBOR!$M$3:$M$122,MATCH(B364,LIBOR!$N$3:$N$122)))</f>
        <v>3.2809699999999997E-2</v>
      </c>
      <c r="J364" s="400">
        <f t="shared" si="73"/>
        <v>8.5309699999999988E-2</v>
      </c>
      <c r="L364" s="392">
        <f t="shared" si="82"/>
        <v>55212</v>
      </c>
      <c r="M364" s="357">
        <f t="shared" si="83"/>
        <v>416</v>
      </c>
      <c r="N364" s="397">
        <v>150.57743173555147</v>
      </c>
      <c r="O364" s="397">
        <f t="shared" si="75"/>
        <v>0</v>
      </c>
      <c r="P364" s="397">
        <f t="shared" si="77"/>
        <v>1.0265578764213288</v>
      </c>
      <c r="Q364" s="397">
        <f t="shared" si="76"/>
        <v>-1.0265578764213288</v>
      </c>
      <c r="R364" s="398">
        <f t="shared" si="78"/>
        <v>151.60398961197279</v>
      </c>
      <c r="S364" s="399">
        <f>INDEX(LIBOR!$M$3:$M$122,MATCH(L364,LIBOR!$N$3:$N$122))</f>
        <v>3.2809699999999997E-2</v>
      </c>
      <c r="T364" s="400">
        <f t="shared" si="79"/>
        <v>8.1809699999999999E-2</v>
      </c>
    </row>
    <row r="365" spans="2:20">
      <c r="B365" s="396">
        <f t="shared" si="80"/>
        <v>55243</v>
      </c>
      <c r="C365" s="357">
        <f t="shared" si="81"/>
        <v>417</v>
      </c>
      <c r="D365" s="397" t="e">
        <f>INDEX('Monthly Cash Flow'!$L$137:$GT$137, MATCH(C365, 'Monthly Cash Flow'!$L$13:$GT$13, 0))</f>
        <v>#N/A</v>
      </c>
      <c r="E365" s="397">
        <f t="shared" ca="1" si="74"/>
        <v>0</v>
      </c>
      <c r="F365" s="397" t="e">
        <f t="shared" si="70"/>
        <v>#N/A</v>
      </c>
      <c r="G365" s="397" t="e">
        <f t="shared" ca="1" si="71"/>
        <v>#N/A</v>
      </c>
      <c r="H365" s="398" t="e">
        <f t="shared" ca="1" si="72"/>
        <v>#N/A</v>
      </c>
      <c r="I365" s="399">
        <f>MAX($J$5, INDEX(LIBOR!$M$3:$M$122,MATCH(B365,LIBOR!$N$3:$N$122)))</f>
        <v>3.2809699999999997E-2</v>
      </c>
      <c r="J365" s="400">
        <f t="shared" si="73"/>
        <v>8.5309699999999988E-2</v>
      </c>
      <c r="L365" s="392">
        <f t="shared" si="82"/>
        <v>55243</v>
      </c>
      <c r="M365" s="357">
        <f t="shared" si="83"/>
        <v>417</v>
      </c>
      <c r="N365" s="397">
        <v>107.87734750224894</v>
      </c>
      <c r="O365" s="397">
        <f t="shared" si="75"/>
        <v>0</v>
      </c>
      <c r="P365" s="397">
        <f t="shared" si="77"/>
        <v>0.73545111966289456</v>
      </c>
      <c r="Q365" s="397">
        <f t="shared" si="76"/>
        <v>-0.73545111966289456</v>
      </c>
      <c r="R365" s="398">
        <f t="shared" si="78"/>
        <v>108.61279862191184</v>
      </c>
      <c r="S365" s="399">
        <f>INDEX(LIBOR!$M$3:$M$122,MATCH(L365,LIBOR!$N$3:$N$122))</f>
        <v>3.2809699999999997E-2</v>
      </c>
      <c r="T365" s="400">
        <f t="shared" si="79"/>
        <v>8.1809699999999999E-2</v>
      </c>
    </row>
    <row r="366" spans="2:20">
      <c r="B366" s="396">
        <f t="shared" si="80"/>
        <v>55273</v>
      </c>
      <c r="C366" s="357">
        <f t="shared" si="81"/>
        <v>418</v>
      </c>
      <c r="D366" s="397" t="e">
        <f>INDEX('Monthly Cash Flow'!$L$137:$GT$137, MATCH(C366, 'Monthly Cash Flow'!$L$13:$GT$13, 0))</f>
        <v>#N/A</v>
      </c>
      <c r="E366" s="397">
        <f t="shared" ca="1" si="74"/>
        <v>0</v>
      </c>
      <c r="F366" s="397" t="e">
        <f t="shared" si="70"/>
        <v>#N/A</v>
      </c>
      <c r="G366" s="397" t="e">
        <f t="shared" ca="1" si="71"/>
        <v>#N/A</v>
      </c>
      <c r="H366" s="398" t="e">
        <f t="shared" ca="1" si="72"/>
        <v>#N/A</v>
      </c>
      <c r="I366" s="399">
        <f>MAX($J$5, INDEX(LIBOR!$M$3:$M$122,MATCH(B366,LIBOR!$N$3:$N$122)))</f>
        <v>3.2809699999999997E-2</v>
      </c>
      <c r="J366" s="400">
        <f t="shared" si="73"/>
        <v>8.5309699999999988E-2</v>
      </c>
      <c r="L366" s="392">
        <f t="shared" si="82"/>
        <v>55273</v>
      </c>
      <c r="M366" s="357">
        <f t="shared" si="83"/>
        <v>418</v>
      </c>
      <c r="N366" s="397">
        <v>64.982773992782654</v>
      </c>
      <c r="O366" s="397">
        <f t="shared" si="75"/>
        <v>0</v>
      </c>
      <c r="P366" s="397">
        <f t="shared" si="77"/>
        <v>0.4430184371264459</v>
      </c>
      <c r="Q366" s="397">
        <f t="shared" si="76"/>
        <v>-0.4430184371264459</v>
      </c>
      <c r="R366" s="398">
        <f t="shared" si="78"/>
        <v>65.425792429909094</v>
      </c>
      <c r="S366" s="399">
        <f>INDEX(LIBOR!$M$3:$M$122,MATCH(L366,LIBOR!$N$3:$N$122))</f>
        <v>3.2809699999999997E-2</v>
      </c>
      <c r="T366" s="400">
        <f t="shared" si="79"/>
        <v>8.1809699999999999E-2</v>
      </c>
    </row>
    <row r="367" spans="2:20">
      <c r="B367" s="392"/>
      <c r="C367" s="347"/>
      <c r="D367" s="18"/>
      <c r="E367" s="18"/>
      <c r="F367" s="18"/>
      <c r="G367" s="18"/>
      <c r="H367" s="393"/>
      <c r="I367" s="388"/>
      <c r="J367" s="394"/>
    </row>
    <row r="368" spans="2:20">
      <c r="B368" s="392"/>
      <c r="C368" s="347"/>
      <c r="D368" s="18"/>
      <c r="E368" s="18"/>
      <c r="F368" s="18"/>
      <c r="G368" s="18"/>
      <c r="H368" s="393"/>
      <c r="I368" s="388"/>
      <c r="J368" s="394"/>
    </row>
    <row r="369" spans="2:10">
      <c r="B369" s="392"/>
      <c r="C369" s="347"/>
      <c r="D369" s="18"/>
      <c r="E369" s="18"/>
      <c r="F369" s="18"/>
      <c r="G369" s="18"/>
      <c r="H369" s="393"/>
      <c r="I369" s="388"/>
      <c r="J369" s="394"/>
    </row>
    <row r="370" spans="2:10">
      <c r="B370" s="392"/>
      <c r="C370" s="347"/>
      <c r="D370" s="18"/>
      <c r="E370" s="18"/>
      <c r="F370" s="18"/>
      <c r="G370" s="18"/>
      <c r="H370" s="393"/>
      <c r="I370" s="388"/>
      <c r="J370" s="394"/>
    </row>
    <row r="371" spans="2:10">
      <c r="B371" s="392"/>
      <c r="C371" s="347"/>
      <c r="D371" s="18"/>
      <c r="E371" s="18"/>
      <c r="F371" s="18"/>
      <c r="G371" s="18"/>
      <c r="H371" s="393"/>
      <c r="I371" s="388"/>
      <c r="J371" s="394"/>
    </row>
    <row r="372" spans="2:10">
      <c r="B372" s="392"/>
      <c r="C372" s="347"/>
      <c r="D372" s="18"/>
      <c r="E372" s="18"/>
      <c r="F372" s="18"/>
      <c r="G372" s="18"/>
      <c r="H372" s="393"/>
      <c r="I372" s="388"/>
      <c r="J372" s="394"/>
    </row>
    <row r="373" spans="2:10">
      <c r="B373" s="392"/>
      <c r="C373" s="347"/>
      <c r="D373" s="18"/>
      <c r="E373" s="18"/>
      <c r="F373" s="18"/>
      <c r="G373" s="18"/>
      <c r="H373" s="393"/>
      <c r="I373" s="388"/>
      <c r="J373" s="394"/>
    </row>
    <row r="374" spans="2:10">
      <c r="B374" s="392"/>
      <c r="C374" s="347"/>
      <c r="D374" s="18"/>
      <c r="E374" s="18"/>
      <c r="F374" s="18"/>
      <c r="G374" s="18"/>
      <c r="H374" s="393"/>
      <c r="I374" s="388"/>
      <c r="J374" s="394"/>
    </row>
    <row r="375" spans="2:10">
      <c r="B375" s="392"/>
      <c r="C375" s="347"/>
      <c r="D375" s="18"/>
      <c r="E375" s="18"/>
      <c r="F375" s="18"/>
      <c r="G375" s="18"/>
      <c r="H375" s="393"/>
      <c r="I375" s="388"/>
      <c r="J375" s="394"/>
    </row>
    <row r="376" spans="2:10">
      <c r="B376" s="392"/>
      <c r="C376" s="347"/>
      <c r="D376" s="18"/>
      <c r="E376" s="18"/>
      <c r="F376" s="18"/>
      <c r="G376" s="18"/>
      <c r="H376" s="393"/>
      <c r="I376" s="388"/>
      <c r="J376" s="394"/>
    </row>
    <row r="377" spans="2:10">
      <c r="B377" s="392"/>
      <c r="C377" s="347"/>
      <c r="D377" s="18"/>
      <c r="E377" s="18"/>
      <c r="F377" s="18"/>
      <c r="G377" s="18"/>
      <c r="H377" s="393"/>
      <c r="I377" s="388"/>
      <c r="J377" s="394"/>
    </row>
    <row r="378" spans="2:10">
      <c r="B378" s="392"/>
      <c r="C378" s="347"/>
      <c r="D378" s="18"/>
      <c r="E378" s="18"/>
      <c r="F378" s="18"/>
      <c r="G378" s="18"/>
      <c r="H378" s="393"/>
      <c r="I378" s="388"/>
      <c r="J378" s="394"/>
    </row>
    <row r="379" spans="2:10">
      <c r="B379" s="392"/>
      <c r="C379" s="347"/>
      <c r="D379" s="18"/>
      <c r="E379" s="18"/>
      <c r="F379" s="18"/>
      <c r="G379" s="18"/>
      <c r="H379" s="393"/>
      <c r="I379" s="388"/>
      <c r="J379" s="394"/>
    </row>
    <row r="380" spans="2:10">
      <c r="B380" s="392"/>
      <c r="C380" s="347"/>
      <c r="D380" s="18"/>
      <c r="E380" s="18"/>
      <c r="F380" s="18"/>
      <c r="G380" s="18"/>
      <c r="H380" s="393"/>
      <c r="I380" s="388"/>
      <c r="J380" s="394"/>
    </row>
    <row r="381" spans="2:10">
      <c r="B381" s="392"/>
      <c r="C381" s="347"/>
      <c r="D381" s="18"/>
      <c r="E381" s="18"/>
      <c r="F381" s="18"/>
      <c r="G381" s="18"/>
      <c r="H381" s="393"/>
      <c r="I381" s="388"/>
      <c r="J381" s="394"/>
    </row>
    <row r="382" spans="2:10">
      <c r="B382" s="392"/>
      <c r="C382" s="347"/>
      <c r="D382" s="18"/>
      <c r="E382" s="18"/>
      <c r="F382" s="18"/>
      <c r="G382" s="18"/>
      <c r="H382" s="393"/>
      <c r="I382" s="388"/>
      <c r="J382" s="394"/>
    </row>
    <row r="383" spans="2:10">
      <c r="B383" s="392"/>
      <c r="C383" s="347"/>
      <c r="D383" s="18"/>
      <c r="E383" s="18"/>
      <c r="F383" s="18"/>
      <c r="G383" s="18"/>
      <c r="H383" s="393"/>
      <c r="I383" s="388"/>
      <c r="J383" s="394"/>
    </row>
    <row r="384" spans="2:10">
      <c r="B384" s="392"/>
      <c r="C384" s="347"/>
      <c r="D384" s="18"/>
      <c r="E384" s="18"/>
      <c r="F384" s="18"/>
      <c r="G384" s="18"/>
      <c r="H384" s="393"/>
      <c r="I384" s="388"/>
      <c r="J384" s="394"/>
    </row>
    <row r="385" spans="2:10">
      <c r="B385" s="392"/>
      <c r="C385" s="347"/>
      <c r="D385" s="18"/>
      <c r="E385" s="18"/>
      <c r="F385" s="18"/>
      <c r="G385" s="18"/>
      <c r="H385" s="393"/>
      <c r="I385" s="388"/>
      <c r="J385" s="394"/>
    </row>
    <row r="386" spans="2:10">
      <c r="B386" s="392"/>
      <c r="C386" s="347"/>
      <c r="D386" s="18"/>
      <c r="E386" s="18"/>
      <c r="F386" s="18"/>
      <c r="G386" s="18"/>
      <c r="H386" s="393"/>
      <c r="I386" s="388"/>
      <c r="J386" s="394"/>
    </row>
    <row r="387" spans="2:10">
      <c r="B387" s="392"/>
      <c r="C387" s="347"/>
      <c r="D387" s="18"/>
      <c r="E387" s="18"/>
      <c r="F387" s="18"/>
      <c r="G387" s="18"/>
      <c r="H387" s="393"/>
      <c r="I387" s="388"/>
      <c r="J387" s="394"/>
    </row>
    <row r="388" spans="2:10">
      <c r="B388" s="392"/>
      <c r="C388" s="347"/>
      <c r="D388" s="18"/>
      <c r="E388" s="18"/>
      <c r="F388" s="18"/>
      <c r="G388" s="18"/>
      <c r="H388" s="393"/>
      <c r="I388" s="388"/>
      <c r="J388" s="394"/>
    </row>
    <row r="389" spans="2:10">
      <c r="B389" s="392"/>
      <c r="C389" s="347"/>
      <c r="D389" s="18"/>
      <c r="E389" s="18"/>
      <c r="F389" s="18"/>
      <c r="G389" s="18"/>
      <c r="H389" s="393"/>
      <c r="I389" s="388"/>
      <c r="J389" s="394"/>
    </row>
    <row r="390" spans="2:10">
      <c r="B390" s="392"/>
      <c r="C390" s="347"/>
      <c r="D390" s="18"/>
      <c r="E390" s="18"/>
      <c r="F390" s="18"/>
      <c r="G390" s="18"/>
      <c r="H390" s="393"/>
      <c r="I390" s="388"/>
      <c r="J390" s="394"/>
    </row>
    <row r="391" spans="2:10">
      <c r="B391" s="392"/>
      <c r="C391" s="347"/>
      <c r="D391" s="18"/>
      <c r="E391" s="18"/>
      <c r="F391" s="18"/>
      <c r="G391" s="18"/>
      <c r="H391" s="393"/>
      <c r="I391" s="388"/>
      <c r="J391" s="394"/>
    </row>
    <row r="392" spans="2:10">
      <c r="B392" s="392"/>
      <c r="C392" s="347"/>
      <c r="D392" s="18"/>
      <c r="E392" s="18"/>
      <c r="F392" s="18"/>
      <c r="G392" s="18"/>
      <c r="H392" s="393"/>
      <c r="I392" s="388"/>
      <c r="J392" s="394"/>
    </row>
    <row r="393" spans="2:10">
      <c r="B393" s="392"/>
      <c r="C393" s="347"/>
      <c r="D393" s="18"/>
      <c r="E393" s="18"/>
      <c r="F393" s="18"/>
      <c r="G393" s="18"/>
      <c r="H393" s="393"/>
      <c r="I393" s="388"/>
      <c r="J393" s="394"/>
    </row>
    <row r="394" spans="2:10">
      <c r="B394" s="392"/>
      <c r="C394" s="347"/>
      <c r="D394" s="18"/>
      <c r="E394" s="18"/>
      <c r="F394" s="18"/>
      <c r="G394" s="18"/>
      <c r="H394" s="393"/>
      <c r="I394" s="388"/>
      <c r="J394" s="394"/>
    </row>
    <row r="395" spans="2:10">
      <c r="B395" s="392"/>
      <c r="C395" s="347"/>
      <c r="D395" s="18"/>
      <c r="E395" s="18"/>
      <c r="F395" s="18"/>
      <c r="G395" s="18"/>
      <c r="H395" s="393"/>
      <c r="I395" s="388"/>
      <c r="J395" s="394"/>
    </row>
    <row r="396" spans="2:10">
      <c r="B396" s="392"/>
      <c r="C396" s="347"/>
      <c r="D396" s="18"/>
      <c r="E396" s="18"/>
      <c r="F396" s="18"/>
      <c r="G396" s="18"/>
      <c r="H396" s="393"/>
      <c r="I396" s="388"/>
      <c r="J396" s="394"/>
    </row>
    <row r="397" spans="2:10">
      <c r="B397" s="392"/>
      <c r="C397" s="347"/>
      <c r="D397" s="18"/>
      <c r="E397" s="18"/>
      <c r="F397" s="18"/>
      <c r="G397" s="18"/>
      <c r="H397" s="393"/>
      <c r="I397" s="388"/>
      <c r="J397" s="394"/>
    </row>
    <row r="398" spans="2:10">
      <c r="B398" s="392"/>
      <c r="C398" s="347"/>
      <c r="D398" s="18"/>
      <c r="E398" s="18"/>
      <c r="F398" s="18"/>
      <c r="G398" s="18"/>
      <c r="H398" s="393"/>
      <c r="I398" s="388"/>
      <c r="J398" s="394"/>
    </row>
    <row r="399" spans="2:10">
      <c r="B399" s="392"/>
      <c r="C399" s="347"/>
      <c r="D399" s="18"/>
      <c r="E399" s="18"/>
      <c r="F399" s="18"/>
      <c r="G399" s="18"/>
      <c r="H399" s="393"/>
      <c r="I399" s="388"/>
      <c r="J399" s="394"/>
    </row>
    <row r="400" spans="2:10">
      <c r="B400" s="392"/>
      <c r="C400" s="347"/>
      <c r="D400" s="18"/>
      <c r="E400" s="18"/>
      <c r="F400" s="18"/>
      <c r="G400" s="18"/>
      <c r="H400" s="393"/>
      <c r="I400" s="388"/>
      <c r="J400" s="394"/>
    </row>
    <row r="401" spans="2:10">
      <c r="B401" s="392"/>
      <c r="C401" s="347"/>
      <c r="D401" s="18"/>
      <c r="E401" s="18"/>
      <c r="F401" s="18"/>
      <c r="G401" s="18"/>
      <c r="H401" s="393"/>
      <c r="I401" s="388"/>
      <c r="J401" s="394"/>
    </row>
    <row r="402" spans="2:10">
      <c r="B402" s="392"/>
      <c r="C402" s="347"/>
      <c r="D402" s="18"/>
      <c r="E402" s="18"/>
      <c r="F402" s="18"/>
      <c r="G402" s="18"/>
      <c r="H402" s="393"/>
      <c r="I402" s="388"/>
      <c r="J402" s="394"/>
    </row>
    <row r="403" spans="2:10">
      <c r="B403" s="392"/>
      <c r="C403" s="347"/>
      <c r="D403" s="18"/>
      <c r="E403" s="18"/>
      <c r="F403" s="18"/>
      <c r="G403" s="18"/>
      <c r="H403" s="393"/>
      <c r="I403" s="388"/>
      <c r="J403" s="394"/>
    </row>
    <row r="404" spans="2:10">
      <c r="B404" s="392"/>
      <c r="C404" s="347"/>
      <c r="D404" s="18"/>
      <c r="E404" s="18"/>
      <c r="F404" s="18"/>
      <c r="G404" s="18"/>
      <c r="H404" s="393"/>
      <c r="I404" s="388"/>
      <c r="J404" s="394"/>
    </row>
    <row r="405" spans="2:10">
      <c r="B405" s="392"/>
      <c r="C405" s="347"/>
      <c r="D405" s="18"/>
      <c r="E405" s="18"/>
      <c r="F405" s="18"/>
      <c r="G405" s="18"/>
      <c r="H405" s="393"/>
      <c r="I405" s="388"/>
      <c r="J405" s="394"/>
    </row>
    <row r="406" spans="2:10">
      <c r="B406" s="392"/>
      <c r="C406" s="347"/>
      <c r="D406" s="18"/>
      <c r="E406" s="18"/>
      <c r="F406" s="18"/>
      <c r="G406" s="18"/>
      <c r="H406" s="393"/>
      <c r="I406" s="388"/>
      <c r="J406" s="394"/>
    </row>
    <row r="407" spans="2:10">
      <c r="B407" s="392"/>
      <c r="C407" s="347"/>
      <c r="D407" s="18"/>
      <c r="E407" s="18"/>
      <c r="F407" s="18"/>
      <c r="G407" s="18"/>
      <c r="H407" s="393"/>
      <c r="I407" s="388"/>
      <c r="J407" s="394"/>
    </row>
    <row r="408" spans="2:10">
      <c r="B408" s="392"/>
      <c r="C408" s="347"/>
      <c r="D408" s="18"/>
      <c r="E408" s="18"/>
      <c r="F408" s="18"/>
      <c r="G408" s="18"/>
      <c r="H408" s="393"/>
      <c r="I408" s="388"/>
      <c r="J408" s="394"/>
    </row>
    <row r="409" spans="2:10">
      <c r="B409" s="392"/>
      <c r="C409" s="347"/>
      <c r="D409" s="18"/>
      <c r="E409" s="18"/>
      <c r="F409" s="18"/>
      <c r="G409" s="18"/>
      <c r="H409" s="393"/>
      <c r="I409" s="388"/>
      <c r="J409" s="394"/>
    </row>
    <row r="410" spans="2:10">
      <c r="B410" s="392"/>
      <c r="C410" s="347"/>
      <c r="D410" s="18"/>
      <c r="E410" s="18"/>
      <c r="F410" s="18"/>
      <c r="G410" s="18"/>
      <c r="H410" s="393"/>
      <c r="I410" s="388"/>
      <c r="J410" s="394"/>
    </row>
    <row r="411" spans="2:10">
      <c r="B411" s="392"/>
      <c r="C411" s="347"/>
      <c r="D411" s="18"/>
      <c r="E411" s="18"/>
      <c r="F411" s="18"/>
      <c r="G411" s="18"/>
      <c r="H411" s="393"/>
      <c r="I411" s="388"/>
      <c r="J411" s="394"/>
    </row>
    <row r="412" spans="2:10">
      <c r="B412" s="392"/>
      <c r="C412" s="347"/>
      <c r="D412" s="18"/>
      <c r="E412" s="18"/>
      <c r="F412" s="18"/>
      <c r="G412" s="18"/>
      <c r="H412" s="393"/>
      <c r="I412" s="388"/>
      <c r="J412" s="394"/>
    </row>
    <row r="413" spans="2:10">
      <c r="B413" s="392"/>
      <c r="C413" s="347"/>
      <c r="D413" s="18"/>
      <c r="E413" s="18"/>
      <c r="F413" s="18"/>
      <c r="G413" s="18"/>
      <c r="H413" s="393"/>
      <c r="I413" s="388"/>
      <c r="J413" s="394"/>
    </row>
    <row r="414" spans="2:10">
      <c r="B414" s="392"/>
      <c r="C414" s="347"/>
      <c r="D414" s="18"/>
      <c r="E414" s="18"/>
      <c r="F414" s="18"/>
      <c r="G414" s="18"/>
      <c r="H414" s="393"/>
      <c r="I414" s="388"/>
      <c r="J414" s="394"/>
    </row>
    <row r="415" spans="2:10">
      <c r="B415" s="392"/>
      <c r="C415" s="347"/>
      <c r="D415" s="18"/>
      <c r="E415" s="18"/>
      <c r="F415" s="18"/>
      <c r="G415" s="18"/>
      <c r="H415" s="393"/>
      <c r="I415" s="388"/>
      <c r="J415" s="394"/>
    </row>
    <row r="416" spans="2:10">
      <c r="B416" s="392"/>
      <c r="C416" s="347"/>
      <c r="D416" s="18"/>
      <c r="E416" s="18"/>
      <c r="F416" s="18"/>
      <c r="G416" s="18"/>
      <c r="H416" s="393"/>
      <c r="I416" s="388"/>
      <c r="J416" s="394"/>
    </row>
    <row r="417" spans="2:10">
      <c r="B417" s="392"/>
      <c r="C417" s="347"/>
      <c r="D417" s="18"/>
      <c r="E417" s="18"/>
      <c r="F417" s="18"/>
      <c r="G417" s="18"/>
      <c r="H417" s="393"/>
      <c r="I417" s="388"/>
      <c r="J417" s="394"/>
    </row>
    <row r="418" spans="2:10">
      <c r="B418" s="392"/>
      <c r="C418" s="347"/>
      <c r="D418" s="18"/>
      <c r="E418" s="18"/>
      <c r="F418" s="18"/>
      <c r="G418" s="18"/>
      <c r="H418" s="393"/>
      <c r="I418" s="388"/>
      <c r="J418" s="394"/>
    </row>
    <row r="419" spans="2:10">
      <c r="B419" s="392"/>
      <c r="C419" s="347"/>
      <c r="D419" s="18"/>
      <c r="E419" s="18"/>
      <c r="F419" s="18"/>
      <c r="G419" s="18"/>
      <c r="H419" s="393"/>
      <c r="I419" s="388"/>
      <c r="J419" s="394"/>
    </row>
    <row r="420" spans="2:10">
      <c r="B420" s="392"/>
      <c r="C420" s="347"/>
      <c r="D420" s="18"/>
      <c r="E420" s="18"/>
      <c r="F420" s="18"/>
      <c r="G420" s="18"/>
      <c r="H420" s="393"/>
      <c r="I420" s="388"/>
      <c r="J420" s="394"/>
    </row>
    <row r="421" spans="2:10">
      <c r="B421" s="392"/>
      <c r="C421" s="347"/>
      <c r="D421" s="18"/>
      <c r="E421" s="18"/>
      <c r="F421" s="18"/>
      <c r="G421" s="18"/>
      <c r="H421" s="393"/>
      <c r="I421" s="388"/>
      <c r="J421" s="394"/>
    </row>
    <row r="422" spans="2:10">
      <c r="B422" s="392"/>
      <c r="C422" s="347"/>
      <c r="D422" s="18"/>
      <c r="E422" s="18"/>
      <c r="F422" s="18"/>
      <c r="G422" s="18"/>
      <c r="H422" s="393"/>
      <c r="I422" s="388"/>
      <c r="J422" s="394"/>
    </row>
    <row r="423" spans="2:10">
      <c r="B423" s="392"/>
      <c r="C423" s="347"/>
      <c r="D423" s="18"/>
      <c r="E423" s="18"/>
      <c r="F423" s="18"/>
      <c r="G423" s="18"/>
      <c r="H423" s="393"/>
      <c r="I423" s="388"/>
      <c r="J423" s="394"/>
    </row>
    <row r="424" spans="2:10">
      <c r="B424" s="392"/>
      <c r="C424" s="347"/>
      <c r="D424" s="18"/>
      <c r="E424" s="18"/>
      <c r="F424" s="18"/>
      <c r="G424" s="18"/>
      <c r="H424" s="393"/>
      <c r="I424" s="388"/>
      <c r="J424" s="394"/>
    </row>
    <row r="425" spans="2:10">
      <c r="B425" s="392"/>
      <c r="C425" s="347"/>
      <c r="D425" s="18"/>
      <c r="E425" s="18"/>
      <c r="F425" s="18"/>
      <c r="G425" s="18"/>
      <c r="H425" s="393"/>
      <c r="I425" s="388"/>
      <c r="J425" s="394"/>
    </row>
    <row r="426" spans="2:10">
      <c r="B426" s="392"/>
      <c r="C426" s="347"/>
      <c r="D426" s="18"/>
      <c r="E426" s="18"/>
      <c r="F426" s="18"/>
      <c r="G426" s="18"/>
      <c r="H426" s="393"/>
      <c r="I426" s="388"/>
      <c r="J426" s="394"/>
    </row>
    <row r="427" spans="2:10">
      <c r="B427" s="392"/>
      <c r="C427" s="347"/>
      <c r="D427" s="18"/>
      <c r="E427" s="18"/>
      <c r="F427" s="18"/>
      <c r="G427" s="18"/>
      <c r="H427" s="393"/>
      <c r="I427" s="388"/>
      <c r="J427" s="394"/>
    </row>
    <row r="428" spans="2:10">
      <c r="B428" s="392"/>
      <c r="C428" s="347"/>
      <c r="D428" s="18"/>
      <c r="E428" s="18"/>
      <c r="F428" s="18"/>
      <c r="G428" s="18"/>
      <c r="H428" s="393"/>
      <c r="I428" s="388"/>
      <c r="J428" s="394"/>
    </row>
    <row r="429" spans="2:10">
      <c r="B429" s="392"/>
      <c r="C429" s="347"/>
      <c r="D429" s="18"/>
      <c r="E429" s="18"/>
      <c r="F429" s="18"/>
      <c r="G429" s="18"/>
      <c r="H429" s="393"/>
      <c r="I429" s="388"/>
      <c r="J429" s="394"/>
    </row>
    <row r="430" spans="2:10">
      <c r="B430" s="392"/>
      <c r="C430" s="347"/>
      <c r="D430" s="18"/>
      <c r="E430" s="18"/>
      <c r="F430" s="18"/>
      <c r="G430" s="18"/>
      <c r="H430" s="393"/>
      <c r="I430" s="388"/>
      <c r="J430" s="394"/>
    </row>
    <row r="431" spans="2:10">
      <c r="B431" s="392"/>
      <c r="C431" s="347"/>
      <c r="D431" s="18"/>
      <c r="E431" s="18"/>
      <c r="F431" s="18"/>
      <c r="G431" s="18"/>
      <c r="H431" s="393"/>
      <c r="I431" s="388"/>
      <c r="J431" s="394"/>
    </row>
    <row r="432" spans="2:10">
      <c r="B432" s="392"/>
      <c r="C432" s="347"/>
      <c r="D432" s="18"/>
      <c r="E432" s="18"/>
      <c r="F432" s="18"/>
      <c r="G432" s="18"/>
      <c r="H432" s="393"/>
      <c r="I432" s="388"/>
      <c r="J432" s="394"/>
    </row>
    <row r="433" spans="2:10">
      <c r="B433" s="392"/>
      <c r="C433" s="347"/>
      <c r="D433" s="18"/>
      <c r="E433" s="18"/>
      <c r="F433" s="18"/>
      <c r="G433" s="18"/>
      <c r="H433" s="393"/>
      <c r="I433" s="388"/>
      <c r="J433" s="394"/>
    </row>
    <row r="434" spans="2:10">
      <c r="B434" s="392"/>
      <c r="C434" s="347"/>
      <c r="D434" s="18"/>
      <c r="E434" s="18"/>
      <c r="F434" s="18"/>
      <c r="G434" s="18"/>
      <c r="H434" s="393"/>
      <c r="I434" s="388"/>
      <c r="J434" s="394"/>
    </row>
    <row r="435" spans="2:10">
      <c r="B435" s="392"/>
      <c r="C435" s="347"/>
      <c r="D435" s="18"/>
      <c r="E435" s="18"/>
      <c r="F435" s="18"/>
      <c r="G435" s="18"/>
      <c r="H435" s="393"/>
      <c r="I435" s="388"/>
      <c r="J435" s="394"/>
    </row>
    <row r="436" spans="2:10">
      <c r="B436" s="392"/>
      <c r="C436" s="347"/>
      <c r="D436" s="18"/>
      <c r="E436" s="18"/>
      <c r="F436" s="18"/>
      <c r="G436" s="18"/>
      <c r="H436" s="393"/>
      <c r="I436" s="388"/>
      <c r="J436" s="394"/>
    </row>
    <row r="437" spans="2:10">
      <c r="B437" s="392"/>
      <c r="C437" s="347"/>
      <c r="D437" s="18"/>
      <c r="E437" s="18"/>
      <c r="F437" s="18"/>
      <c r="G437" s="18"/>
      <c r="H437" s="393"/>
      <c r="I437" s="388"/>
      <c r="J437" s="394"/>
    </row>
    <row r="438" spans="2:10">
      <c r="B438" s="392"/>
      <c r="C438" s="347"/>
      <c r="D438" s="18"/>
      <c r="E438" s="18"/>
      <c r="F438" s="18"/>
      <c r="G438" s="18"/>
      <c r="H438" s="393"/>
      <c r="I438" s="388"/>
      <c r="J438" s="394"/>
    </row>
    <row r="439" spans="2:10">
      <c r="B439" s="392"/>
      <c r="C439" s="347"/>
      <c r="D439" s="18"/>
      <c r="E439" s="18"/>
      <c r="F439" s="18"/>
      <c r="G439" s="18"/>
      <c r="H439" s="393"/>
      <c r="I439" s="388"/>
      <c r="J439" s="394"/>
    </row>
    <row r="440" spans="2:10">
      <c r="B440" s="392"/>
      <c r="C440" s="347"/>
      <c r="D440" s="18"/>
      <c r="E440" s="18"/>
      <c r="F440" s="18"/>
      <c r="G440" s="18"/>
      <c r="H440" s="393"/>
      <c r="I440" s="388"/>
      <c r="J440" s="394"/>
    </row>
    <row r="441" spans="2:10">
      <c r="B441" s="392"/>
      <c r="C441" s="347"/>
      <c r="D441" s="18"/>
      <c r="E441" s="18"/>
      <c r="F441" s="18"/>
      <c r="G441" s="18"/>
      <c r="H441" s="393"/>
      <c r="I441" s="388"/>
      <c r="J441" s="394"/>
    </row>
    <row r="442" spans="2:10">
      <c r="B442" s="392"/>
      <c r="C442" s="347"/>
      <c r="D442" s="18"/>
      <c r="E442" s="18"/>
      <c r="F442" s="18"/>
      <c r="G442" s="18"/>
      <c r="H442" s="393"/>
      <c r="I442" s="388"/>
      <c r="J442" s="394"/>
    </row>
    <row r="443" spans="2:10">
      <c r="B443" s="392"/>
      <c r="C443" s="347"/>
      <c r="D443" s="18"/>
      <c r="E443" s="18"/>
      <c r="F443" s="18"/>
      <c r="G443" s="18"/>
      <c r="H443" s="393"/>
      <c r="I443" s="388"/>
      <c r="J443" s="394"/>
    </row>
    <row r="444" spans="2:10">
      <c r="B444" s="392"/>
      <c r="C444" s="347"/>
      <c r="D444" s="18"/>
      <c r="E444" s="18"/>
      <c r="F444" s="18"/>
      <c r="G444" s="18"/>
      <c r="H444" s="393"/>
      <c r="I444" s="388"/>
      <c r="J444" s="394"/>
    </row>
    <row r="445" spans="2:10">
      <c r="B445" s="392"/>
      <c r="C445" s="347"/>
      <c r="D445" s="18"/>
      <c r="E445" s="18"/>
      <c r="F445" s="18"/>
      <c r="G445" s="18"/>
      <c r="H445" s="393"/>
      <c r="I445" s="388"/>
      <c r="J445" s="394"/>
    </row>
    <row r="446" spans="2:10">
      <c r="B446" s="392"/>
      <c r="C446" s="347"/>
      <c r="D446" s="18"/>
      <c r="E446" s="18"/>
      <c r="F446" s="18"/>
      <c r="G446" s="18"/>
      <c r="H446" s="393"/>
      <c r="I446" s="388"/>
      <c r="J446" s="394"/>
    </row>
    <row r="447" spans="2:10">
      <c r="B447" s="392"/>
      <c r="C447" s="347"/>
      <c r="D447" s="18"/>
      <c r="E447" s="18"/>
      <c r="F447" s="18"/>
      <c r="G447" s="18"/>
      <c r="H447" s="393"/>
      <c r="I447" s="388"/>
      <c r="J447" s="394"/>
    </row>
    <row r="448" spans="2:10">
      <c r="B448" s="392"/>
      <c r="C448" s="347"/>
      <c r="D448" s="18"/>
      <c r="E448" s="18"/>
      <c r="F448" s="18"/>
      <c r="G448" s="18"/>
      <c r="H448" s="393"/>
      <c r="I448" s="388"/>
      <c r="J448" s="394"/>
    </row>
    <row r="449" spans="2:10">
      <c r="B449" s="392"/>
      <c r="C449" s="347"/>
      <c r="D449" s="18"/>
      <c r="E449" s="18"/>
      <c r="F449" s="18"/>
      <c r="G449" s="18"/>
      <c r="H449" s="393"/>
      <c r="I449" s="388"/>
      <c r="J449" s="394"/>
    </row>
    <row r="450" spans="2:10">
      <c r="B450" s="392"/>
      <c r="C450" s="347"/>
      <c r="D450" s="18"/>
      <c r="E450" s="18"/>
      <c r="F450" s="18"/>
      <c r="G450" s="18"/>
      <c r="H450" s="393"/>
      <c r="I450" s="388"/>
      <c r="J450" s="394"/>
    </row>
    <row r="451" spans="2:10">
      <c r="B451" s="392"/>
      <c r="C451" s="347"/>
      <c r="D451" s="18"/>
      <c r="E451" s="18"/>
      <c r="F451" s="18"/>
      <c r="G451" s="18"/>
      <c r="H451" s="393"/>
      <c r="I451" s="388"/>
      <c r="J451" s="394"/>
    </row>
    <row r="452" spans="2:10">
      <c r="B452" s="392"/>
      <c r="C452" s="347"/>
      <c r="D452" s="18"/>
      <c r="E452" s="18"/>
      <c r="F452" s="18"/>
      <c r="G452" s="18"/>
      <c r="H452" s="393"/>
      <c r="I452" s="388"/>
      <c r="J452" s="394"/>
    </row>
    <row r="453" spans="2:10">
      <c r="B453" s="392"/>
      <c r="C453" s="347"/>
      <c r="D453" s="18"/>
      <c r="E453" s="18"/>
      <c r="F453" s="18"/>
      <c r="G453" s="18"/>
      <c r="H453" s="393"/>
      <c r="I453" s="388"/>
      <c r="J453" s="394"/>
    </row>
    <row r="454" spans="2:10">
      <c r="B454" s="392"/>
      <c r="C454" s="347"/>
      <c r="D454" s="18"/>
      <c r="E454" s="18"/>
      <c r="F454" s="18"/>
      <c r="G454" s="18"/>
      <c r="H454" s="393"/>
      <c r="I454" s="388"/>
      <c r="J454" s="394"/>
    </row>
    <row r="455" spans="2:10">
      <c r="B455" s="392"/>
      <c r="C455" s="347"/>
      <c r="D455" s="18"/>
      <c r="E455" s="18"/>
      <c r="F455" s="18"/>
      <c r="G455" s="18"/>
      <c r="H455" s="393"/>
      <c r="I455" s="388"/>
      <c r="J455" s="394"/>
    </row>
    <row r="456" spans="2:10">
      <c r="B456" s="392"/>
      <c r="C456" s="347"/>
      <c r="D456" s="18"/>
      <c r="E456" s="18"/>
      <c r="F456" s="18"/>
      <c r="G456" s="18"/>
      <c r="H456" s="393"/>
      <c r="I456" s="388"/>
      <c r="J456" s="394"/>
    </row>
    <row r="457" spans="2:10">
      <c r="B457" s="392"/>
      <c r="C457" s="347"/>
      <c r="D457" s="18"/>
      <c r="E457" s="18"/>
      <c r="F457" s="18"/>
      <c r="G457" s="18"/>
      <c r="H457" s="393"/>
      <c r="I457" s="388"/>
      <c r="J457" s="394"/>
    </row>
    <row r="458" spans="2:10">
      <c r="B458" s="392"/>
      <c r="C458" s="347"/>
      <c r="D458" s="18"/>
      <c r="E458" s="18"/>
      <c r="F458" s="18"/>
      <c r="G458" s="18"/>
      <c r="H458" s="393"/>
      <c r="I458" s="388"/>
      <c r="J458" s="394"/>
    </row>
    <row r="459" spans="2:10">
      <c r="B459" s="392"/>
      <c r="C459" s="347"/>
      <c r="D459" s="18"/>
      <c r="E459" s="18"/>
      <c r="F459" s="18"/>
      <c r="G459" s="18"/>
      <c r="H459" s="393"/>
      <c r="I459" s="388"/>
      <c r="J459" s="394"/>
    </row>
    <row r="460" spans="2:10">
      <c r="B460" s="392"/>
      <c r="C460" s="347"/>
      <c r="D460" s="18"/>
      <c r="E460" s="18"/>
      <c r="F460" s="18"/>
      <c r="G460" s="18"/>
      <c r="H460" s="393"/>
      <c r="I460" s="388"/>
      <c r="J460" s="394"/>
    </row>
    <row r="461" spans="2:10">
      <c r="B461" s="392"/>
      <c r="C461" s="347"/>
      <c r="D461" s="18"/>
      <c r="E461" s="18"/>
      <c r="F461" s="18"/>
      <c r="G461" s="18"/>
      <c r="H461" s="393"/>
      <c r="I461" s="388"/>
      <c r="J461" s="394"/>
    </row>
    <row r="462" spans="2:10">
      <c r="B462" s="392"/>
      <c r="C462" s="347"/>
      <c r="D462" s="18"/>
      <c r="E462" s="18"/>
      <c r="F462" s="18"/>
      <c r="G462" s="18"/>
      <c r="H462" s="393"/>
      <c r="I462" s="388"/>
      <c r="J462" s="394"/>
    </row>
    <row r="463" spans="2:10">
      <c r="B463" s="392"/>
      <c r="C463" s="347"/>
      <c r="D463" s="18"/>
      <c r="E463" s="18"/>
      <c r="F463" s="18"/>
      <c r="G463" s="18"/>
      <c r="H463" s="393"/>
      <c r="I463" s="388"/>
      <c r="J463" s="394"/>
    </row>
    <row r="464" spans="2:10">
      <c r="B464" s="392"/>
      <c r="C464" s="347"/>
      <c r="D464" s="18"/>
      <c r="E464" s="18"/>
      <c r="F464" s="18"/>
      <c r="G464" s="18"/>
      <c r="H464" s="393"/>
      <c r="I464" s="388"/>
      <c r="J464" s="394"/>
    </row>
    <row r="465" spans="2:10">
      <c r="B465" s="392"/>
      <c r="C465" s="347"/>
      <c r="D465" s="18"/>
      <c r="E465" s="18"/>
      <c r="F465" s="18"/>
      <c r="G465" s="18"/>
      <c r="H465" s="393"/>
      <c r="I465" s="388"/>
      <c r="J465" s="394"/>
    </row>
    <row r="466" spans="2:10">
      <c r="B466" s="392"/>
      <c r="C466" s="347"/>
      <c r="D466" s="18"/>
      <c r="E466" s="18"/>
      <c r="F466" s="18"/>
      <c r="G466" s="18"/>
      <c r="H466" s="393"/>
      <c r="I466" s="388"/>
      <c r="J466" s="394"/>
    </row>
    <row r="467" spans="2:10">
      <c r="B467" s="392"/>
      <c r="C467" s="347"/>
      <c r="D467" s="18"/>
      <c r="E467" s="18"/>
      <c r="F467" s="18"/>
      <c r="G467" s="18"/>
      <c r="H467" s="393"/>
      <c r="I467" s="388"/>
      <c r="J467" s="394"/>
    </row>
    <row r="468" spans="2:10">
      <c r="B468" s="392"/>
      <c r="C468" s="347"/>
      <c r="D468" s="18"/>
      <c r="E468" s="18"/>
      <c r="F468" s="18"/>
      <c r="G468" s="18"/>
      <c r="H468" s="393"/>
      <c r="I468" s="388"/>
      <c r="J468" s="394"/>
    </row>
    <row r="469" spans="2:10">
      <c r="B469" s="392"/>
      <c r="C469" s="347"/>
      <c r="D469" s="18"/>
      <c r="E469" s="18"/>
      <c r="F469" s="18"/>
      <c r="G469" s="18"/>
      <c r="H469" s="393"/>
      <c r="I469" s="388"/>
      <c r="J469" s="394"/>
    </row>
    <row r="470" spans="2:10">
      <c r="B470" s="392"/>
      <c r="C470" s="347"/>
      <c r="D470" s="18"/>
      <c r="E470" s="18"/>
      <c r="F470" s="18"/>
      <c r="G470" s="18"/>
      <c r="H470" s="393"/>
      <c r="I470" s="388"/>
      <c r="J470" s="394"/>
    </row>
    <row r="471" spans="2:10">
      <c r="B471" s="392"/>
      <c r="C471" s="347"/>
      <c r="D471" s="18"/>
      <c r="E471" s="18"/>
      <c r="F471" s="18"/>
      <c r="G471" s="18"/>
      <c r="H471" s="393"/>
      <c r="I471" s="388"/>
      <c r="J471" s="394"/>
    </row>
    <row r="472" spans="2:10">
      <c r="B472" s="392"/>
      <c r="C472" s="347"/>
      <c r="D472" s="18"/>
      <c r="E472" s="18"/>
      <c r="F472" s="18"/>
      <c r="G472" s="18"/>
      <c r="H472" s="393"/>
      <c r="I472" s="388"/>
      <c r="J472" s="394"/>
    </row>
    <row r="473" spans="2:10">
      <c r="B473" s="392"/>
      <c r="C473" s="347"/>
      <c r="D473" s="18"/>
      <c r="E473" s="18"/>
      <c r="F473" s="18"/>
      <c r="G473" s="18"/>
      <c r="H473" s="393"/>
      <c r="I473" s="388"/>
      <c r="J473" s="394"/>
    </row>
    <row r="474" spans="2:10">
      <c r="B474" s="392"/>
      <c r="C474" s="347"/>
      <c r="D474" s="18"/>
      <c r="E474" s="18"/>
      <c r="F474" s="18"/>
      <c r="G474" s="18"/>
      <c r="H474" s="393"/>
      <c r="I474" s="388"/>
      <c r="J474" s="394"/>
    </row>
    <row r="475" spans="2:10">
      <c r="B475" s="392"/>
      <c r="C475" s="347"/>
      <c r="D475" s="18"/>
      <c r="E475" s="18"/>
      <c r="F475" s="18"/>
      <c r="G475" s="18"/>
      <c r="H475" s="393"/>
      <c r="I475" s="388"/>
      <c r="J475" s="394"/>
    </row>
    <row r="476" spans="2:10">
      <c r="B476" s="392"/>
      <c r="C476" s="347"/>
      <c r="D476" s="18"/>
      <c r="E476" s="18"/>
      <c r="F476" s="18"/>
      <c r="G476" s="18"/>
      <c r="H476" s="393"/>
      <c r="I476" s="388"/>
      <c r="J476" s="394"/>
    </row>
    <row r="477" spans="2:10">
      <c r="B477" s="392"/>
      <c r="C477" s="347"/>
      <c r="D477" s="18"/>
      <c r="E477" s="18"/>
      <c r="F477" s="18"/>
      <c r="G477" s="18"/>
      <c r="H477" s="393"/>
      <c r="I477" s="388"/>
      <c r="J477" s="394"/>
    </row>
    <row r="478" spans="2:10">
      <c r="B478" s="392"/>
      <c r="C478" s="347"/>
      <c r="D478" s="18"/>
      <c r="E478" s="18"/>
      <c r="F478" s="18"/>
      <c r="G478" s="18"/>
      <c r="H478" s="393"/>
      <c r="I478" s="388"/>
      <c r="J478" s="394"/>
    </row>
    <row r="479" spans="2:10">
      <c r="B479" s="392"/>
      <c r="C479" s="347"/>
      <c r="D479" s="18"/>
      <c r="E479" s="18"/>
      <c r="F479" s="18"/>
      <c r="G479" s="18"/>
      <c r="H479" s="393"/>
      <c r="I479" s="388"/>
      <c r="J479" s="394"/>
    </row>
    <row r="480" spans="2:10">
      <c r="B480" s="392"/>
      <c r="C480" s="347"/>
      <c r="D480" s="18"/>
      <c r="E480" s="18"/>
      <c r="F480" s="18"/>
      <c r="G480" s="18"/>
      <c r="H480" s="393"/>
      <c r="I480" s="388"/>
      <c r="J480" s="394"/>
    </row>
    <row r="481" spans="2:10">
      <c r="B481" s="392"/>
      <c r="C481" s="347"/>
      <c r="D481" s="18"/>
      <c r="E481" s="18"/>
      <c r="F481" s="18"/>
      <c r="G481" s="18"/>
      <c r="H481" s="393"/>
      <c r="I481" s="388"/>
      <c r="J481" s="394"/>
    </row>
    <row r="482" spans="2:10">
      <c r="B482" s="392"/>
      <c r="C482" s="347"/>
      <c r="D482" s="18"/>
      <c r="E482" s="18"/>
      <c r="F482" s="18"/>
      <c r="G482" s="18"/>
      <c r="H482" s="393"/>
      <c r="I482" s="388"/>
      <c r="J482" s="394"/>
    </row>
    <row r="483" spans="2:10">
      <c r="B483" s="392"/>
      <c r="C483" s="347"/>
      <c r="D483" s="18"/>
      <c r="E483" s="18"/>
      <c r="F483" s="18"/>
      <c r="G483" s="18"/>
      <c r="H483" s="393"/>
      <c r="I483" s="388"/>
      <c r="J483" s="394"/>
    </row>
    <row r="484" spans="2:10">
      <c r="B484" s="392"/>
      <c r="C484" s="347"/>
      <c r="D484" s="18"/>
      <c r="E484" s="18"/>
      <c r="F484" s="18"/>
      <c r="G484" s="18"/>
      <c r="H484" s="393"/>
      <c r="I484" s="388"/>
      <c r="J484" s="394"/>
    </row>
    <row r="485" spans="2:10">
      <c r="B485" s="392"/>
      <c r="C485" s="347"/>
      <c r="D485" s="18"/>
      <c r="E485" s="18"/>
      <c r="F485" s="18"/>
      <c r="G485" s="18"/>
      <c r="H485" s="393"/>
      <c r="I485" s="388"/>
      <c r="J485" s="394"/>
    </row>
    <row r="486" spans="2:10">
      <c r="B486" s="392"/>
      <c r="C486" s="347"/>
      <c r="D486" s="18"/>
      <c r="E486" s="18"/>
      <c r="F486" s="18"/>
      <c r="G486" s="18"/>
      <c r="H486" s="393"/>
      <c r="I486" s="388"/>
      <c r="J486" s="394"/>
    </row>
    <row r="487" spans="2:10">
      <c r="B487" s="392"/>
      <c r="C487" s="347"/>
      <c r="D487" s="18"/>
      <c r="E487" s="18"/>
      <c r="F487" s="18"/>
      <c r="G487" s="18"/>
      <c r="H487" s="393"/>
      <c r="I487" s="388"/>
      <c r="J487" s="394"/>
    </row>
    <row r="488" spans="2:10">
      <c r="B488" s="392"/>
      <c r="C488" s="347"/>
      <c r="D488" s="18"/>
      <c r="E488" s="18"/>
      <c r="F488" s="18"/>
      <c r="G488" s="18"/>
      <c r="H488" s="393"/>
      <c r="I488" s="388"/>
      <c r="J488" s="394"/>
    </row>
    <row r="489" spans="2:10">
      <c r="B489" s="392"/>
      <c r="C489" s="347"/>
      <c r="D489" s="18"/>
      <c r="E489" s="18"/>
      <c r="F489" s="18"/>
      <c r="G489" s="18"/>
      <c r="H489" s="393"/>
      <c r="I489" s="388"/>
      <c r="J489" s="394"/>
    </row>
    <row r="490" spans="2:10">
      <c r="B490" s="392"/>
      <c r="C490" s="347"/>
      <c r="D490" s="18"/>
      <c r="E490" s="18"/>
      <c r="F490" s="18"/>
      <c r="G490" s="18"/>
      <c r="H490" s="393"/>
      <c r="I490" s="388"/>
      <c r="J490" s="394"/>
    </row>
    <row r="491" spans="2:10">
      <c r="B491" s="392"/>
      <c r="C491" s="347"/>
      <c r="D491" s="18"/>
      <c r="E491" s="18"/>
      <c r="F491" s="18"/>
      <c r="G491" s="18"/>
      <c r="H491" s="393"/>
      <c r="I491" s="388"/>
      <c r="J491" s="394"/>
    </row>
    <row r="492" spans="2:10">
      <c r="B492" s="392"/>
      <c r="C492" s="347"/>
      <c r="D492" s="18"/>
      <c r="E492" s="18"/>
      <c r="F492" s="18"/>
      <c r="G492" s="18"/>
      <c r="H492" s="393"/>
      <c r="I492" s="388"/>
      <c r="J492" s="394"/>
    </row>
    <row r="493" spans="2:10">
      <c r="B493" s="392"/>
      <c r="C493" s="347"/>
      <c r="D493" s="18"/>
      <c r="E493" s="18"/>
      <c r="F493" s="18"/>
      <c r="G493" s="18"/>
      <c r="H493" s="393"/>
      <c r="I493" s="388"/>
      <c r="J493" s="394"/>
    </row>
    <row r="494" spans="2:10">
      <c r="B494" s="392"/>
      <c r="C494" s="347"/>
      <c r="D494" s="18"/>
      <c r="E494" s="18"/>
      <c r="F494" s="18"/>
      <c r="G494" s="18"/>
      <c r="H494" s="393"/>
      <c r="I494" s="388"/>
      <c r="J494" s="394"/>
    </row>
    <row r="495" spans="2:10">
      <c r="B495" s="392"/>
      <c r="C495" s="347"/>
      <c r="D495" s="18"/>
      <c r="E495" s="18"/>
      <c r="F495" s="18"/>
      <c r="G495" s="18"/>
      <c r="H495" s="393"/>
      <c r="I495" s="388"/>
      <c r="J495" s="394"/>
    </row>
    <row r="496" spans="2:10">
      <c r="B496" s="392"/>
      <c r="C496" s="347"/>
      <c r="D496" s="18"/>
      <c r="E496" s="18"/>
      <c r="F496" s="18"/>
      <c r="G496" s="18"/>
      <c r="H496" s="393"/>
      <c r="I496" s="388"/>
      <c r="J496" s="394"/>
    </row>
    <row r="497" spans="2:10">
      <c r="B497" s="392"/>
      <c r="C497" s="347"/>
      <c r="D497" s="18"/>
      <c r="E497" s="18"/>
      <c r="F497" s="18"/>
      <c r="G497" s="18"/>
      <c r="H497" s="393"/>
      <c r="I497" s="388"/>
      <c r="J497" s="394"/>
    </row>
    <row r="498" spans="2:10">
      <c r="B498" s="392"/>
      <c r="C498" s="347"/>
      <c r="D498" s="18"/>
      <c r="E498" s="18"/>
      <c r="F498" s="18"/>
      <c r="G498" s="18"/>
      <c r="H498" s="393"/>
      <c r="I498" s="388"/>
      <c r="J498" s="394"/>
    </row>
    <row r="499" spans="2:10">
      <c r="B499" s="392"/>
      <c r="C499" s="347"/>
      <c r="D499" s="18"/>
      <c r="E499" s="18"/>
      <c r="F499" s="18"/>
      <c r="G499" s="18"/>
      <c r="H499" s="393"/>
      <c r="I499" s="388"/>
      <c r="J499" s="394"/>
    </row>
    <row r="500" spans="2:10">
      <c r="B500" s="392"/>
      <c r="C500" s="347"/>
      <c r="D500" s="18"/>
      <c r="E500" s="18"/>
      <c r="F500" s="18"/>
      <c r="G500" s="18"/>
      <c r="H500" s="393"/>
      <c r="I500" s="388"/>
      <c r="J500" s="394"/>
    </row>
    <row r="501" spans="2:10">
      <c r="B501" s="392"/>
      <c r="C501" s="347"/>
      <c r="D501" s="18"/>
      <c r="E501" s="18"/>
      <c r="F501" s="18"/>
      <c r="G501" s="18"/>
      <c r="H501" s="393"/>
      <c r="I501" s="388"/>
      <c r="J501" s="394"/>
    </row>
    <row r="502" spans="2:10">
      <c r="B502" s="392"/>
      <c r="C502" s="347"/>
      <c r="D502" s="18"/>
      <c r="E502" s="18"/>
      <c r="F502" s="18"/>
      <c r="G502" s="18"/>
      <c r="H502" s="393"/>
      <c r="I502" s="388"/>
      <c r="J502" s="394"/>
    </row>
    <row r="503" spans="2:10">
      <c r="B503" s="392"/>
      <c r="C503" s="347"/>
      <c r="D503" s="18"/>
      <c r="E503" s="18"/>
      <c r="F503" s="18"/>
      <c r="G503" s="18"/>
      <c r="H503" s="393"/>
      <c r="I503" s="388"/>
      <c r="J503" s="394"/>
    </row>
    <row r="504" spans="2:10">
      <c r="B504" s="392"/>
      <c r="C504" s="347"/>
      <c r="D504" s="18"/>
      <c r="E504" s="18"/>
      <c r="F504" s="18"/>
      <c r="G504" s="18"/>
      <c r="H504" s="393"/>
      <c r="I504" s="388"/>
      <c r="J504" s="394"/>
    </row>
    <row r="505" spans="2:10">
      <c r="B505" s="392"/>
      <c r="C505" s="347"/>
      <c r="D505" s="18"/>
      <c r="E505" s="18"/>
      <c r="F505" s="18"/>
      <c r="G505" s="18"/>
      <c r="H505" s="393"/>
      <c r="I505" s="388"/>
      <c r="J505" s="394"/>
    </row>
    <row r="506" spans="2:10">
      <c r="B506" s="392"/>
      <c r="C506" s="347"/>
      <c r="D506" s="18"/>
      <c r="E506" s="18"/>
      <c r="F506" s="18"/>
      <c r="G506" s="18"/>
      <c r="H506" s="393"/>
      <c r="I506" s="388"/>
      <c r="J506" s="394"/>
    </row>
    <row r="507" spans="2:10">
      <c r="B507" s="392"/>
      <c r="C507" s="347"/>
      <c r="D507" s="18"/>
      <c r="E507" s="18"/>
      <c r="F507" s="18"/>
      <c r="G507" s="18"/>
      <c r="H507" s="393"/>
      <c r="I507" s="388"/>
      <c r="J507" s="394"/>
    </row>
    <row r="508" spans="2:10">
      <c r="B508" s="392"/>
      <c r="C508" s="347"/>
      <c r="D508" s="18"/>
      <c r="E508" s="18"/>
      <c r="F508" s="18"/>
      <c r="G508" s="18"/>
      <c r="H508" s="393"/>
      <c r="I508" s="388"/>
      <c r="J508" s="394"/>
    </row>
    <row r="509" spans="2:10">
      <c r="B509" s="392"/>
      <c r="C509" s="347"/>
      <c r="D509" s="18"/>
      <c r="E509" s="18"/>
      <c r="F509" s="18"/>
      <c r="G509" s="18"/>
      <c r="H509" s="393"/>
      <c r="I509" s="388"/>
      <c r="J509" s="394"/>
    </row>
    <row r="510" spans="2:10">
      <c r="B510" s="392"/>
      <c r="C510" s="347"/>
      <c r="D510" s="18"/>
      <c r="E510" s="18"/>
      <c r="F510" s="18"/>
      <c r="G510" s="18"/>
      <c r="H510" s="393"/>
      <c r="I510" s="388"/>
      <c r="J510" s="394"/>
    </row>
    <row r="511" spans="2:10">
      <c r="B511" s="392"/>
      <c r="C511" s="347"/>
      <c r="D511" s="18"/>
      <c r="E511" s="18"/>
      <c r="F511" s="18"/>
      <c r="G511" s="18"/>
      <c r="H511" s="393"/>
      <c r="I511" s="388"/>
      <c r="J511" s="394"/>
    </row>
    <row r="512" spans="2:10">
      <c r="B512" s="392"/>
      <c r="C512" s="347"/>
      <c r="D512" s="18"/>
      <c r="E512" s="18"/>
      <c r="F512" s="18"/>
      <c r="G512" s="18"/>
      <c r="H512" s="393"/>
      <c r="I512" s="388"/>
      <c r="J512" s="394"/>
    </row>
    <row r="513" spans="2:10">
      <c r="B513" s="392"/>
      <c r="C513" s="347"/>
      <c r="D513" s="18"/>
      <c r="E513" s="18"/>
      <c r="F513" s="18"/>
      <c r="G513" s="18"/>
      <c r="H513" s="393"/>
      <c r="I513" s="388"/>
      <c r="J513" s="394"/>
    </row>
    <row r="514" spans="2:10">
      <c r="B514" s="392"/>
      <c r="C514" s="347"/>
      <c r="D514" s="18"/>
      <c r="E514" s="18"/>
      <c r="F514" s="18"/>
      <c r="G514" s="18"/>
      <c r="H514" s="393"/>
      <c r="I514" s="388"/>
      <c r="J514" s="394"/>
    </row>
    <row r="515" spans="2:10">
      <c r="B515" s="392"/>
      <c r="C515" s="347"/>
      <c r="D515" s="18"/>
      <c r="E515" s="18"/>
      <c r="F515" s="18"/>
      <c r="G515" s="18"/>
      <c r="H515" s="393"/>
      <c r="I515" s="388"/>
      <c r="J515" s="394"/>
    </row>
    <row r="516" spans="2:10">
      <c r="B516" s="392"/>
      <c r="C516" s="347"/>
      <c r="D516" s="18"/>
      <c r="E516" s="18"/>
      <c r="F516" s="18"/>
      <c r="G516" s="18"/>
      <c r="H516" s="393"/>
      <c r="I516" s="388"/>
      <c r="J516" s="394"/>
    </row>
    <row r="517" spans="2:10">
      <c r="B517" s="392"/>
      <c r="C517" s="347"/>
      <c r="D517" s="18"/>
      <c r="E517" s="18"/>
      <c r="F517" s="18"/>
      <c r="G517" s="18"/>
      <c r="H517" s="393"/>
      <c r="I517" s="388"/>
      <c r="J517" s="394"/>
    </row>
    <row r="518" spans="2:10">
      <c r="B518" s="392"/>
      <c r="C518" s="347"/>
      <c r="D518" s="18"/>
      <c r="E518" s="18"/>
      <c r="F518" s="18"/>
      <c r="G518" s="18"/>
      <c r="H518" s="393"/>
      <c r="I518" s="388"/>
      <c r="J518" s="394"/>
    </row>
    <row r="519" spans="2:10">
      <c r="B519" s="392"/>
      <c r="C519" s="347"/>
      <c r="D519" s="18"/>
      <c r="E519" s="18"/>
      <c r="F519" s="18"/>
      <c r="G519" s="18"/>
      <c r="H519" s="393"/>
      <c r="I519" s="388"/>
      <c r="J519" s="394"/>
    </row>
    <row r="520" spans="2:10">
      <c r="B520" s="392"/>
      <c r="C520" s="347"/>
      <c r="D520" s="18"/>
      <c r="E520" s="18"/>
      <c r="F520" s="18"/>
      <c r="G520" s="18"/>
      <c r="H520" s="393"/>
      <c r="I520" s="388"/>
      <c r="J520" s="394"/>
    </row>
    <row r="521" spans="2:10">
      <c r="B521" s="392"/>
      <c r="C521" s="347"/>
      <c r="D521" s="18"/>
      <c r="E521" s="18"/>
      <c r="F521" s="18"/>
      <c r="G521" s="18"/>
      <c r="H521" s="393"/>
      <c r="I521" s="388"/>
      <c r="J521" s="394"/>
    </row>
    <row r="522" spans="2:10">
      <c r="B522" s="392"/>
      <c r="C522" s="347"/>
      <c r="D522" s="18"/>
      <c r="E522" s="18"/>
      <c r="F522" s="18"/>
      <c r="G522" s="18"/>
      <c r="H522" s="393"/>
      <c r="I522" s="388"/>
      <c r="J522" s="394"/>
    </row>
    <row r="523" spans="2:10">
      <c r="B523" s="392"/>
      <c r="C523" s="347"/>
      <c r="D523" s="18"/>
      <c r="E523" s="18"/>
      <c r="F523" s="18"/>
      <c r="G523" s="18"/>
      <c r="H523" s="393"/>
      <c r="I523" s="388"/>
      <c r="J523" s="394"/>
    </row>
    <row r="524" spans="2:10">
      <c r="B524" s="392"/>
      <c r="C524" s="347"/>
      <c r="D524" s="18"/>
      <c r="E524" s="18"/>
      <c r="F524" s="18"/>
      <c r="G524" s="18"/>
      <c r="H524" s="393"/>
      <c r="I524" s="388"/>
      <c r="J524" s="394"/>
    </row>
    <row r="525" spans="2:10">
      <c r="B525" s="392"/>
      <c r="C525" s="347"/>
      <c r="D525" s="18"/>
      <c r="E525" s="18"/>
      <c r="F525" s="18"/>
      <c r="G525" s="18"/>
      <c r="H525" s="393"/>
      <c r="I525" s="388"/>
      <c r="J525" s="394"/>
    </row>
    <row r="526" spans="2:10">
      <c r="B526" s="392"/>
      <c r="C526" s="347"/>
      <c r="D526" s="18"/>
      <c r="E526" s="18"/>
      <c r="F526" s="18"/>
      <c r="G526" s="18"/>
      <c r="H526" s="393"/>
      <c r="I526" s="388"/>
      <c r="J526" s="394"/>
    </row>
    <row r="527" spans="2:10">
      <c r="B527" s="392"/>
      <c r="C527" s="347"/>
      <c r="D527" s="18"/>
      <c r="E527" s="18"/>
      <c r="F527" s="18"/>
      <c r="G527" s="18"/>
      <c r="H527" s="393"/>
      <c r="I527" s="388"/>
      <c r="J527" s="394"/>
    </row>
    <row r="528" spans="2:10">
      <c r="B528" s="392"/>
      <c r="C528" s="347"/>
      <c r="D528" s="18"/>
      <c r="E528" s="18"/>
      <c r="F528" s="18"/>
      <c r="G528" s="18"/>
      <c r="H528" s="393"/>
      <c r="I528" s="388"/>
      <c r="J528" s="394"/>
    </row>
    <row r="529" spans="2:10">
      <c r="B529" s="392"/>
      <c r="C529" s="347"/>
      <c r="D529" s="18"/>
      <c r="E529" s="18"/>
      <c r="F529" s="18"/>
      <c r="G529" s="18"/>
      <c r="H529" s="393"/>
      <c r="I529" s="388"/>
      <c r="J529" s="394"/>
    </row>
    <row r="530" spans="2:10">
      <c r="B530" s="392"/>
      <c r="C530" s="347"/>
      <c r="D530" s="18"/>
      <c r="E530" s="18"/>
      <c r="F530" s="18"/>
      <c r="G530" s="18"/>
      <c r="H530" s="393"/>
      <c r="I530" s="388"/>
      <c r="J530" s="394"/>
    </row>
    <row r="531" spans="2:10">
      <c r="B531" s="392"/>
      <c r="C531" s="347"/>
      <c r="D531" s="18"/>
      <c r="E531" s="18"/>
      <c r="F531" s="18"/>
      <c r="G531" s="18"/>
      <c r="H531" s="393"/>
      <c r="I531" s="388"/>
      <c r="J531" s="394"/>
    </row>
    <row r="532" spans="2:10">
      <c r="B532" s="392"/>
      <c r="C532" s="347"/>
      <c r="D532" s="18"/>
      <c r="E532" s="18"/>
      <c r="F532" s="18"/>
      <c r="G532" s="18"/>
      <c r="H532" s="393"/>
      <c r="I532" s="388"/>
      <c r="J532" s="394"/>
    </row>
    <row r="533" spans="2:10">
      <c r="B533" s="392"/>
      <c r="C533" s="347"/>
      <c r="D533" s="18"/>
      <c r="E533" s="18"/>
      <c r="F533" s="18"/>
      <c r="G533" s="18"/>
      <c r="H533" s="393"/>
      <c r="I533" s="388"/>
      <c r="J533" s="394"/>
    </row>
    <row r="534" spans="2:10">
      <c r="B534" s="392"/>
      <c r="C534" s="347"/>
      <c r="D534" s="18"/>
      <c r="E534" s="18"/>
      <c r="F534" s="18"/>
      <c r="G534" s="18"/>
      <c r="H534" s="393"/>
      <c r="I534" s="388"/>
      <c r="J534" s="394"/>
    </row>
    <row r="535" spans="2:10">
      <c r="B535" s="392"/>
      <c r="C535" s="347"/>
      <c r="D535" s="18"/>
      <c r="E535" s="18"/>
      <c r="F535" s="18"/>
      <c r="G535" s="18"/>
      <c r="H535" s="393"/>
      <c r="I535" s="388"/>
      <c r="J535" s="394"/>
    </row>
    <row r="536" spans="2:10">
      <c r="B536" s="392"/>
      <c r="C536" s="347"/>
      <c r="D536" s="18"/>
      <c r="E536" s="18"/>
      <c r="F536" s="18"/>
      <c r="G536" s="18"/>
      <c r="H536" s="393"/>
      <c r="I536" s="388"/>
      <c r="J536" s="394"/>
    </row>
    <row r="537" spans="2:10">
      <c r="B537" s="392"/>
      <c r="C537" s="347"/>
      <c r="D537" s="18"/>
      <c r="E537" s="18"/>
      <c r="F537" s="18"/>
      <c r="G537" s="18"/>
      <c r="H537" s="393"/>
      <c r="I537" s="388"/>
      <c r="J537" s="394"/>
    </row>
    <row r="538" spans="2:10">
      <c r="B538" s="392"/>
      <c r="C538" s="347"/>
      <c r="D538" s="18"/>
      <c r="E538" s="18"/>
      <c r="F538" s="18"/>
      <c r="G538" s="18"/>
      <c r="H538" s="393"/>
      <c r="I538" s="388"/>
      <c r="J538" s="394"/>
    </row>
    <row r="539" spans="2:10">
      <c r="B539" s="392"/>
      <c r="C539" s="347"/>
      <c r="D539" s="18"/>
      <c r="E539" s="18"/>
      <c r="F539" s="18"/>
      <c r="G539" s="18"/>
      <c r="H539" s="393"/>
      <c r="I539" s="388"/>
      <c r="J539" s="394"/>
    </row>
    <row r="540" spans="2:10">
      <c r="B540" s="392"/>
      <c r="C540" s="347"/>
      <c r="D540" s="18"/>
      <c r="E540" s="18"/>
      <c r="F540" s="18"/>
      <c r="G540" s="18"/>
      <c r="H540" s="393"/>
      <c r="I540" s="388"/>
      <c r="J540" s="394"/>
    </row>
    <row r="541" spans="2:10">
      <c r="B541" s="392"/>
      <c r="C541" s="347"/>
      <c r="D541" s="18"/>
      <c r="E541" s="18"/>
      <c r="F541" s="18"/>
      <c r="G541" s="18"/>
      <c r="H541" s="393"/>
      <c r="I541" s="388"/>
      <c r="J541" s="394"/>
    </row>
    <row r="542" spans="2:10">
      <c r="B542" s="392"/>
      <c r="C542" s="347"/>
      <c r="D542" s="18"/>
      <c r="E542" s="18"/>
      <c r="F542" s="18"/>
      <c r="G542" s="18"/>
      <c r="H542" s="393"/>
      <c r="I542" s="388"/>
      <c r="J542" s="394"/>
    </row>
    <row r="543" spans="2:10">
      <c r="B543" s="392"/>
      <c r="C543" s="347"/>
      <c r="D543" s="18"/>
      <c r="E543" s="18"/>
      <c r="F543" s="18"/>
      <c r="G543" s="18"/>
      <c r="H543" s="393"/>
      <c r="I543" s="388"/>
      <c r="J543" s="394"/>
    </row>
    <row r="544" spans="2:10">
      <c r="B544" s="392"/>
      <c r="C544" s="347"/>
      <c r="D544" s="18"/>
      <c r="E544" s="18"/>
      <c r="F544" s="18"/>
      <c r="G544" s="18"/>
      <c r="H544" s="393"/>
      <c r="I544" s="388"/>
      <c r="J544" s="394"/>
    </row>
    <row r="545" spans="2:10">
      <c r="B545" s="392"/>
      <c r="C545" s="347"/>
      <c r="D545" s="18"/>
      <c r="E545" s="18"/>
      <c r="F545" s="18"/>
      <c r="G545" s="18"/>
      <c r="H545" s="393"/>
      <c r="I545" s="388"/>
      <c r="J545" s="394"/>
    </row>
    <row r="546" spans="2:10">
      <c r="B546" s="392"/>
      <c r="C546" s="347"/>
      <c r="D546" s="18"/>
      <c r="E546" s="18"/>
      <c r="F546" s="18"/>
      <c r="G546" s="18"/>
      <c r="H546" s="393"/>
      <c r="I546" s="388"/>
      <c r="J546" s="394"/>
    </row>
    <row r="547" spans="2:10">
      <c r="B547" s="392"/>
      <c r="C547" s="347"/>
      <c r="D547" s="18"/>
      <c r="E547" s="18"/>
      <c r="F547" s="18"/>
      <c r="G547" s="18"/>
      <c r="H547" s="393"/>
      <c r="I547" s="388"/>
      <c r="J547" s="394"/>
    </row>
    <row r="548" spans="2:10">
      <c r="B548" s="392"/>
      <c r="C548" s="347"/>
      <c r="D548" s="18"/>
      <c r="E548" s="18"/>
      <c r="F548" s="18"/>
      <c r="G548" s="18"/>
      <c r="H548" s="393"/>
      <c r="I548" s="388"/>
      <c r="J548" s="394"/>
    </row>
    <row r="549" spans="2:10">
      <c r="B549" s="392"/>
      <c r="C549" s="347"/>
      <c r="D549" s="18"/>
      <c r="E549" s="18"/>
      <c r="F549" s="18"/>
      <c r="G549" s="18"/>
      <c r="H549" s="393"/>
      <c r="I549" s="388"/>
      <c r="J549" s="394"/>
    </row>
    <row r="550" spans="2:10">
      <c r="B550" s="392"/>
      <c r="C550" s="347"/>
      <c r="D550" s="18"/>
      <c r="E550" s="18"/>
      <c r="F550" s="18"/>
      <c r="G550" s="18"/>
      <c r="H550" s="393"/>
      <c r="I550" s="388"/>
      <c r="J550" s="394"/>
    </row>
    <row r="551" spans="2:10">
      <c r="B551" s="392"/>
      <c r="C551" s="347"/>
      <c r="D551" s="18"/>
      <c r="E551" s="18"/>
      <c r="F551" s="18"/>
      <c r="G551" s="18"/>
      <c r="H551" s="393"/>
      <c r="I551" s="388"/>
      <c r="J551" s="394"/>
    </row>
    <row r="552" spans="2:10">
      <c r="B552" s="392"/>
      <c r="C552" s="347"/>
      <c r="D552" s="18"/>
      <c r="E552" s="18"/>
      <c r="F552" s="18"/>
      <c r="G552" s="18"/>
      <c r="H552" s="393"/>
      <c r="I552" s="388"/>
      <c r="J552" s="394"/>
    </row>
    <row r="553" spans="2:10">
      <c r="B553" s="392"/>
      <c r="C553" s="347"/>
      <c r="D553" s="18"/>
      <c r="E553" s="18"/>
      <c r="F553" s="18"/>
      <c r="G553" s="18"/>
      <c r="H553" s="393"/>
      <c r="I553" s="388"/>
      <c r="J553" s="394"/>
    </row>
    <row r="554" spans="2:10">
      <c r="B554" s="392"/>
      <c r="C554" s="347"/>
      <c r="D554" s="18"/>
      <c r="E554" s="18"/>
      <c r="F554" s="18"/>
      <c r="G554" s="18"/>
      <c r="H554" s="393"/>
      <c r="I554" s="388"/>
      <c r="J554" s="394"/>
    </row>
    <row r="555" spans="2:10">
      <c r="B555" s="392"/>
      <c r="C555" s="347"/>
      <c r="D555" s="18"/>
      <c r="E555" s="18"/>
      <c r="F555" s="18"/>
      <c r="G555" s="18"/>
      <c r="H555" s="393"/>
      <c r="I555" s="388"/>
      <c r="J555" s="394"/>
    </row>
    <row r="556" spans="2:10">
      <c r="B556" s="392"/>
      <c r="C556" s="347"/>
      <c r="D556" s="18"/>
      <c r="E556" s="18"/>
      <c r="F556" s="18"/>
      <c r="G556" s="18"/>
      <c r="H556" s="393"/>
      <c r="I556" s="388"/>
      <c r="J556" s="394"/>
    </row>
    <row r="557" spans="2:10">
      <c r="B557" s="392"/>
      <c r="C557" s="347"/>
      <c r="D557" s="18"/>
      <c r="E557" s="18"/>
      <c r="F557" s="18"/>
      <c r="G557" s="18"/>
      <c r="H557" s="393"/>
      <c r="I557" s="388"/>
      <c r="J557" s="394"/>
    </row>
    <row r="558" spans="2:10">
      <c r="B558" s="392"/>
      <c r="C558" s="347"/>
      <c r="D558" s="18"/>
      <c r="E558" s="18"/>
      <c r="F558" s="18"/>
      <c r="G558" s="18"/>
      <c r="H558" s="393"/>
      <c r="I558" s="388"/>
      <c r="J558" s="394"/>
    </row>
    <row r="559" spans="2:10">
      <c r="B559" s="392"/>
      <c r="C559" s="347"/>
      <c r="D559" s="18"/>
      <c r="E559" s="18"/>
      <c r="F559" s="18"/>
      <c r="G559" s="18"/>
      <c r="H559" s="393"/>
      <c r="I559" s="388"/>
      <c r="J559" s="394"/>
    </row>
    <row r="560" spans="2:10">
      <c r="B560" s="392"/>
      <c r="C560" s="347"/>
      <c r="D560" s="18"/>
      <c r="E560" s="18"/>
      <c r="F560" s="18"/>
      <c r="G560" s="18"/>
      <c r="H560" s="393"/>
      <c r="I560" s="388"/>
      <c r="J560" s="394"/>
    </row>
    <row r="561" spans="2:10">
      <c r="B561" s="392"/>
      <c r="C561" s="347"/>
      <c r="D561" s="18"/>
      <c r="E561" s="18"/>
      <c r="F561" s="18"/>
      <c r="G561" s="18"/>
      <c r="H561" s="393"/>
      <c r="I561" s="388"/>
      <c r="J561" s="394"/>
    </row>
    <row r="562" spans="2:10">
      <c r="B562" s="392"/>
      <c r="C562" s="347"/>
      <c r="D562" s="18"/>
      <c r="E562" s="18"/>
      <c r="F562" s="18"/>
      <c r="G562" s="18"/>
      <c r="H562" s="393"/>
      <c r="I562" s="388"/>
      <c r="J562" s="394"/>
    </row>
    <row r="563" spans="2:10">
      <c r="B563" s="392"/>
      <c r="C563" s="347"/>
      <c r="D563" s="18"/>
      <c r="E563" s="18"/>
      <c r="F563" s="18"/>
      <c r="G563" s="18"/>
      <c r="H563" s="393"/>
      <c r="I563" s="388"/>
      <c r="J563" s="394"/>
    </row>
    <row r="564" spans="2:10">
      <c r="B564" s="392"/>
      <c r="C564" s="347"/>
      <c r="D564" s="18"/>
      <c r="E564" s="18"/>
      <c r="F564" s="18"/>
      <c r="G564" s="18"/>
      <c r="H564" s="393"/>
      <c r="I564" s="388"/>
      <c r="J564" s="394"/>
    </row>
    <row r="565" spans="2:10">
      <c r="B565" s="392"/>
      <c r="C565" s="347"/>
      <c r="D565" s="18"/>
      <c r="E565" s="18"/>
      <c r="F565" s="18"/>
      <c r="G565" s="18"/>
      <c r="H565" s="393"/>
      <c r="I565" s="388"/>
      <c r="J565" s="394"/>
    </row>
    <row r="566" spans="2:10">
      <c r="B566" s="392"/>
      <c r="C566" s="347"/>
      <c r="D566" s="18"/>
      <c r="E566" s="18"/>
      <c r="F566" s="18"/>
      <c r="G566" s="18"/>
      <c r="H566" s="393"/>
      <c r="I566" s="388"/>
      <c r="J566" s="394"/>
    </row>
    <row r="567" spans="2:10">
      <c r="B567" s="392"/>
      <c r="C567" s="347"/>
      <c r="D567" s="18"/>
      <c r="E567" s="18"/>
      <c r="F567" s="18"/>
      <c r="G567" s="18"/>
      <c r="H567" s="393"/>
      <c r="I567" s="388"/>
      <c r="J567" s="394"/>
    </row>
    <row r="568" spans="2:10">
      <c r="B568" s="392"/>
      <c r="C568" s="347"/>
      <c r="D568" s="18"/>
      <c r="E568" s="18"/>
      <c r="F568" s="18"/>
      <c r="G568" s="18"/>
      <c r="H568" s="393"/>
      <c r="I568" s="388"/>
      <c r="J568" s="394"/>
    </row>
    <row r="569" spans="2:10">
      <c r="B569" s="392"/>
      <c r="C569" s="347"/>
      <c r="D569" s="18"/>
      <c r="E569" s="18"/>
      <c r="F569" s="18"/>
      <c r="G569" s="18"/>
      <c r="H569" s="393"/>
      <c r="I569" s="388"/>
      <c r="J569" s="394"/>
    </row>
    <row r="570" spans="2:10">
      <c r="B570" s="392"/>
      <c r="C570" s="347"/>
      <c r="D570" s="18"/>
      <c r="E570" s="18"/>
      <c r="F570" s="18"/>
      <c r="G570" s="18"/>
      <c r="H570" s="393"/>
      <c r="I570" s="388"/>
      <c r="J570" s="394"/>
    </row>
    <row r="571" spans="2:10">
      <c r="B571" s="392"/>
      <c r="C571" s="347"/>
      <c r="D571" s="18"/>
      <c r="E571" s="18"/>
      <c r="F571" s="18"/>
      <c r="G571" s="18"/>
      <c r="H571" s="393"/>
      <c r="I571" s="388"/>
      <c r="J571" s="394"/>
    </row>
    <row r="572" spans="2:10">
      <c r="B572" s="392"/>
      <c r="C572" s="347"/>
      <c r="D572" s="18"/>
      <c r="E572" s="18"/>
      <c r="F572" s="18"/>
      <c r="G572" s="18"/>
      <c r="H572" s="393"/>
      <c r="I572" s="388"/>
      <c r="J572" s="394"/>
    </row>
    <row r="573" spans="2:10">
      <c r="B573" s="392"/>
      <c r="C573" s="347"/>
      <c r="D573" s="18"/>
      <c r="E573" s="18"/>
      <c r="F573" s="18"/>
      <c r="G573" s="18"/>
      <c r="H573" s="393"/>
      <c r="I573" s="388"/>
      <c r="J573" s="394"/>
    </row>
    <row r="574" spans="2:10">
      <c r="B574" s="392"/>
      <c r="C574" s="347"/>
      <c r="D574" s="18"/>
      <c r="E574" s="18"/>
      <c r="F574" s="18"/>
      <c r="G574" s="18"/>
      <c r="H574" s="393"/>
      <c r="I574" s="388"/>
      <c r="J574" s="394"/>
    </row>
    <row r="575" spans="2:10">
      <c r="B575" s="392"/>
      <c r="C575" s="347"/>
      <c r="D575" s="18"/>
      <c r="E575" s="18"/>
      <c r="F575" s="18"/>
      <c r="G575" s="18"/>
      <c r="H575" s="393"/>
      <c r="I575" s="388"/>
      <c r="J575" s="394"/>
    </row>
    <row r="576" spans="2:10">
      <c r="B576" s="392"/>
      <c r="C576" s="347"/>
      <c r="D576" s="18"/>
      <c r="E576" s="18"/>
      <c r="F576" s="18"/>
      <c r="G576" s="18"/>
      <c r="H576" s="393"/>
      <c r="I576" s="388"/>
      <c r="J576" s="394"/>
    </row>
    <row r="577" spans="2:10">
      <c r="B577" s="392"/>
      <c r="C577" s="347"/>
      <c r="D577" s="18"/>
      <c r="E577" s="18"/>
      <c r="F577" s="18"/>
      <c r="G577" s="18"/>
      <c r="H577" s="393"/>
      <c r="I577" s="388"/>
      <c r="J577" s="394"/>
    </row>
    <row r="578" spans="2:10">
      <c r="B578" s="392"/>
      <c r="C578" s="347"/>
      <c r="D578" s="18"/>
      <c r="E578" s="18"/>
      <c r="F578" s="18"/>
      <c r="G578" s="18"/>
      <c r="H578" s="393"/>
      <c r="I578" s="388"/>
      <c r="J578" s="394"/>
    </row>
    <row r="579" spans="2:10">
      <c r="B579" s="392"/>
      <c r="C579" s="347"/>
      <c r="D579" s="18"/>
      <c r="E579" s="18"/>
      <c r="F579" s="18"/>
      <c r="G579" s="18"/>
      <c r="H579" s="393"/>
      <c r="I579" s="388"/>
      <c r="J579" s="394"/>
    </row>
    <row r="580" spans="2:10">
      <c r="B580" s="392"/>
      <c r="C580" s="347"/>
      <c r="D580" s="18"/>
      <c r="E580" s="18"/>
      <c r="F580" s="18"/>
      <c r="G580" s="18"/>
      <c r="H580" s="393"/>
      <c r="I580" s="388"/>
      <c r="J580" s="394"/>
    </row>
    <row r="581" spans="2:10">
      <c r="B581" s="392"/>
      <c r="C581" s="347"/>
      <c r="D581" s="18"/>
      <c r="E581" s="18"/>
      <c r="F581" s="18"/>
      <c r="G581" s="18"/>
      <c r="H581" s="393"/>
      <c r="I581" s="388"/>
      <c r="J581" s="394"/>
    </row>
    <row r="582" spans="2:10">
      <c r="B582" s="392"/>
      <c r="C582" s="347"/>
      <c r="D582" s="18"/>
      <c r="E582" s="18"/>
      <c r="F582" s="18"/>
      <c r="G582" s="18"/>
      <c r="H582" s="393"/>
      <c r="I582" s="388"/>
      <c r="J582" s="394"/>
    </row>
    <row r="583" spans="2:10">
      <c r="B583" s="392"/>
      <c r="C583" s="347"/>
      <c r="D583" s="18"/>
      <c r="E583" s="18"/>
      <c r="F583" s="18"/>
      <c r="G583" s="18"/>
      <c r="H583" s="393"/>
      <c r="I583" s="388"/>
      <c r="J583" s="394"/>
    </row>
    <row r="584" spans="2:10">
      <c r="B584" s="392"/>
      <c r="C584" s="347"/>
      <c r="D584" s="18"/>
      <c r="E584" s="18"/>
      <c r="F584" s="18"/>
      <c r="G584" s="18"/>
      <c r="H584" s="393"/>
      <c r="I584" s="388"/>
      <c r="J584" s="394"/>
    </row>
    <row r="585" spans="2:10">
      <c r="B585" s="392"/>
      <c r="C585" s="347"/>
      <c r="D585" s="18"/>
      <c r="E585" s="18"/>
      <c r="F585" s="18"/>
      <c r="G585" s="18"/>
      <c r="H585" s="393"/>
      <c r="I585" s="388"/>
      <c r="J585" s="394"/>
    </row>
    <row r="586" spans="2:10">
      <c r="B586" s="392"/>
      <c r="C586" s="347"/>
      <c r="D586" s="18"/>
      <c r="E586" s="18"/>
      <c r="F586" s="18"/>
      <c r="G586" s="18"/>
      <c r="H586" s="393"/>
      <c r="I586" s="388"/>
      <c r="J586" s="394"/>
    </row>
    <row r="587" spans="2:10">
      <c r="B587" s="392"/>
      <c r="C587" s="347"/>
      <c r="D587" s="18"/>
      <c r="E587" s="18"/>
      <c r="F587" s="18"/>
      <c r="G587" s="18"/>
      <c r="H587" s="393"/>
      <c r="I587" s="388"/>
      <c r="J587" s="394"/>
    </row>
    <row r="588" spans="2:10">
      <c r="B588" s="392"/>
      <c r="C588" s="347"/>
      <c r="D588" s="18"/>
      <c r="E588" s="18"/>
      <c r="F588" s="18"/>
      <c r="G588" s="18"/>
      <c r="H588" s="393"/>
      <c r="I588" s="388"/>
      <c r="J588" s="394"/>
    </row>
    <row r="589" spans="2:10">
      <c r="B589" s="392"/>
      <c r="C589" s="347"/>
      <c r="D589" s="18"/>
      <c r="E589" s="18"/>
      <c r="F589" s="18"/>
      <c r="G589" s="18"/>
      <c r="H589" s="393"/>
      <c r="I589" s="388"/>
      <c r="J589" s="394"/>
    </row>
    <row r="590" spans="2:10">
      <c r="B590" s="392"/>
      <c r="C590" s="347"/>
      <c r="D590" s="18"/>
      <c r="E590" s="18"/>
      <c r="F590" s="18"/>
      <c r="G590" s="18"/>
      <c r="H590" s="393"/>
      <c r="I590" s="388"/>
      <c r="J590" s="394"/>
    </row>
    <row r="591" spans="2:10">
      <c r="B591" s="392"/>
      <c r="C591" s="347"/>
      <c r="D591" s="18"/>
      <c r="E591" s="18"/>
      <c r="F591" s="18"/>
      <c r="G591" s="18"/>
      <c r="H591" s="393"/>
      <c r="I591" s="388"/>
      <c r="J591" s="394"/>
    </row>
    <row r="592" spans="2:10">
      <c r="B592" s="392"/>
      <c r="C592" s="347"/>
      <c r="D592" s="18"/>
      <c r="E592" s="18"/>
      <c r="F592" s="18"/>
      <c r="G592" s="18"/>
      <c r="H592" s="393"/>
      <c r="I592" s="388"/>
      <c r="J592" s="394"/>
    </row>
    <row r="593" spans="2:10">
      <c r="B593" s="392"/>
      <c r="C593" s="347"/>
      <c r="D593" s="18"/>
      <c r="E593" s="18"/>
      <c r="F593" s="18"/>
      <c r="G593" s="18"/>
      <c r="H593" s="393"/>
      <c r="I593" s="388"/>
      <c r="J593" s="394"/>
    </row>
    <row r="594" spans="2:10">
      <c r="B594" s="392"/>
      <c r="C594" s="347"/>
      <c r="D594" s="18"/>
      <c r="E594" s="18"/>
      <c r="F594" s="18"/>
      <c r="G594" s="18"/>
      <c r="H594" s="393"/>
      <c r="I594" s="388"/>
      <c r="J594" s="394"/>
    </row>
    <row r="595" spans="2:10">
      <c r="B595" s="392"/>
      <c r="C595" s="347"/>
      <c r="D595" s="18"/>
      <c r="E595" s="18"/>
      <c r="F595" s="18"/>
      <c r="G595" s="18"/>
      <c r="H595" s="393"/>
      <c r="I595" s="388"/>
      <c r="J595" s="394"/>
    </row>
    <row r="596" spans="2:10">
      <c r="B596" s="392"/>
      <c r="C596" s="347"/>
      <c r="D596" s="18"/>
      <c r="E596" s="18"/>
      <c r="F596" s="18"/>
      <c r="G596" s="18"/>
      <c r="H596" s="393"/>
      <c r="I596" s="388"/>
      <c r="J596" s="394"/>
    </row>
    <row r="597" spans="2:10">
      <c r="B597" s="392"/>
      <c r="C597" s="347"/>
      <c r="D597" s="18"/>
      <c r="E597" s="18"/>
      <c r="F597" s="18"/>
      <c r="G597" s="18"/>
      <c r="H597" s="393"/>
      <c r="I597" s="388"/>
      <c r="J597" s="394"/>
    </row>
    <row r="598" spans="2:10">
      <c r="B598" s="392"/>
      <c r="C598" s="347"/>
      <c r="D598" s="18"/>
      <c r="E598" s="18"/>
      <c r="F598" s="18"/>
      <c r="G598" s="18"/>
      <c r="H598" s="393"/>
      <c r="I598" s="388"/>
      <c r="J598" s="394"/>
    </row>
    <row r="599" spans="2:10">
      <c r="B599" s="392"/>
      <c r="C599" s="347"/>
      <c r="D599" s="18"/>
      <c r="E599" s="18"/>
      <c r="F599" s="18"/>
      <c r="G599" s="18"/>
      <c r="H599" s="393"/>
      <c r="I599" s="388"/>
      <c r="J599" s="394"/>
    </row>
    <row r="600" spans="2:10">
      <c r="B600" s="392"/>
      <c r="C600" s="347"/>
      <c r="D600" s="18"/>
      <c r="E600" s="18"/>
      <c r="F600" s="18"/>
      <c r="G600" s="18"/>
      <c r="H600" s="393"/>
      <c r="I600" s="388"/>
      <c r="J600" s="394"/>
    </row>
    <row r="601" spans="2:10">
      <c r="B601" s="392"/>
      <c r="C601" s="347"/>
      <c r="D601" s="18"/>
      <c r="E601" s="18"/>
      <c r="F601" s="18"/>
      <c r="G601" s="18"/>
      <c r="H601" s="393"/>
      <c r="I601" s="388"/>
      <c r="J601" s="394"/>
    </row>
    <row r="602" spans="2:10">
      <c r="B602" s="392"/>
      <c r="C602" s="347"/>
      <c r="D602" s="18"/>
      <c r="E602" s="18"/>
      <c r="F602" s="18"/>
      <c r="G602" s="18"/>
      <c r="H602" s="393"/>
      <c r="I602" s="388"/>
      <c r="J602" s="394"/>
    </row>
    <row r="603" spans="2:10">
      <c r="B603" s="392"/>
      <c r="C603" s="347"/>
      <c r="D603" s="18"/>
      <c r="E603" s="18"/>
      <c r="F603" s="18"/>
      <c r="G603" s="18"/>
      <c r="H603" s="393"/>
      <c r="I603" s="388"/>
      <c r="J603" s="394"/>
    </row>
    <row r="604" spans="2:10">
      <c r="B604" s="392"/>
      <c r="C604" s="347"/>
      <c r="D604" s="18"/>
      <c r="E604" s="18"/>
      <c r="F604" s="18"/>
      <c r="G604" s="18"/>
      <c r="H604" s="393"/>
      <c r="I604" s="388"/>
      <c r="J604" s="394"/>
    </row>
    <row r="605" spans="2:10">
      <c r="B605" s="392"/>
      <c r="C605" s="347"/>
      <c r="D605" s="18"/>
      <c r="E605" s="18"/>
      <c r="F605" s="18"/>
      <c r="G605" s="18"/>
      <c r="H605" s="393"/>
      <c r="I605" s="388"/>
      <c r="J605" s="394"/>
    </row>
    <row r="606" spans="2:10">
      <c r="B606" s="392"/>
      <c r="C606" s="347"/>
      <c r="D606" s="18"/>
      <c r="E606" s="18"/>
      <c r="F606" s="18"/>
      <c r="G606" s="18"/>
      <c r="H606" s="393"/>
      <c r="I606" s="388"/>
      <c r="J606" s="394"/>
    </row>
    <row r="607" spans="2:10">
      <c r="B607" s="392"/>
      <c r="C607" s="347"/>
      <c r="D607" s="18"/>
      <c r="E607" s="18"/>
      <c r="F607" s="18"/>
      <c r="G607" s="18"/>
      <c r="H607" s="393"/>
      <c r="I607" s="388"/>
      <c r="J607" s="394"/>
    </row>
    <row r="608" spans="2:10">
      <c r="B608" s="392"/>
      <c r="C608" s="347"/>
      <c r="D608" s="18"/>
      <c r="E608" s="18"/>
      <c r="F608" s="18"/>
      <c r="G608" s="18"/>
      <c r="H608" s="393"/>
      <c r="I608" s="388"/>
      <c r="J608" s="394"/>
    </row>
    <row r="609" spans="2:10">
      <c r="B609" s="392"/>
      <c r="C609" s="347"/>
      <c r="D609" s="18"/>
      <c r="E609" s="18"/>
      <c r="F609" s="18"/>
      <c r="G609" s="18"/>
      <c r="H609" s="393"/>
      <c r="I609" s="388"/>
      <c r="J609" s="394"/>
    </row>
    <row r="610" spans="2:10">
      <c r="B610" s="392"/>
      <c r="C610" s="347"/>
      <c r="D610" s="18"/>
      <c r="E610" s="18"/>
      <c r="F610" s="18"/>
      <c r="G610" s="18"/>
      <c r="H610" s="393"/>
      <c r="I610" s="388"/>
      <c r="J610" s="394"/>
    </row>
    <row r="611" spans="2:10">
      <c r="B611" s="392"/>
      <c r="C611" s="347"/>
      <c r="D611" s="18"/>
      <c r="E611" s="18"/>
      <c r="F611" s="18"/>
      <c r="G611" s="18"/>
      <c r="H611" s="393"/>
      <c r="I611" s="388"/>
      <c r="J611" s="394"/>
    </row>
    <row r="612" spans="2:10">
      <c r="B612" s="392"/>
      <c r="C612" s="347"/>
      <c r="D612" s="18"/>
      <c r="E612" s="18"/>
      <c r="F612" s="18"/>
      <c r="G612" s="18"/>
      <c r="H612" s="393"/>
      <c r="I612" s="388"/>
      <c r="J612" s="394"/>
    </row>
    <row r="613" spans="2:10">
      <c r="B613" s="392"/>
      <c r="C613" s="347"/>
      <c r="D613" s="18"/>
      <c r="E613" s="18"/>
      <c r="F613" s="18"/>
      <c r="G613" s="18"/>
      <c r="H613" s="393"/>
      <c r="I613" s="388"/>
      <c r="J613" s="394"/>
    </row>
    <row r="614" spans="2:10">
      <c r="B614" s="392"/>
      <c r="C614" s="347"/>
      <c r="D614" s="18"/>
      <c r="E614" s="18"/>
      <c r="F614" s="18"/>
      <c r="G614" s="18"/>
      <c r="H614" s="393"/>
      <c r="I614" s="388"/>
      <c r="J614" s="394"/>
    </row>
    <row r="615" spans="2:10">
      <c r="B615" s="392"/>
      <c r="C615" s="347"/>
      <c r="D615" s="18"/>
      <c r="E615" s="18"/>
      <c r="F615" s="18"/>
      <c r="G615" s="18"/>
      <c r="H615" s="393"/>
      <c r="I615" s="388"/>
      <c r="J615" s="394"/>
    </row>
    <row r="616" spans="2:10">
      <c r="B616" s="392"/>
      <c r="C616" s="347"/>
      <c r="D616" s="18"/>
      <c r="E616" s="18"/>
      <c r="F616" s="18"/>
      <c r="G616" s="18"/>
      <c r="H616" s="393"/>
      <c r="I616" s="388"/>
      <c r="J616" s="394"/>
    </row>
    <row r="617" spans="2:10">
      <c r="B617" s="392"/>
      <c r="C617" s="347"/>
      <c r="D617" s="18"/>
      <c r="E617" s="18"/>
      <c r="F617" s="18"/>
      <c r="G617" s="18"/>
      <c r="H617" s="393"/>
      <c r="I617" s="388"/>
      <c r="J617" s="394"/>
    </row>
    <row r="618" spans="2:10">
      <c r="B618" s="392"/>
      <c r="C618" s="347"/>
      <c r="D618" s="18"/>
      <c r="E618" s="18"/>
      <c r="F618" s="18"/>
      <c r="G618" s="18"/>
      <c r="H618" s="393"/>
      <c r="I618" s="388"/>
      <c r="J618" s="394"/>
    </row>
    <row r="619" spans="2:10">
      <c r="B619" s="392"/>
      <c r="C619" s="347"/>
      <c r="D619" s="18"/>
      <c r="E619" s="18"/>
      <c r="F619" s="18"/>
      <c r="G619" s="18"/>
      <c r="H619" s="393"/>
      <c r="I619" s="388"/>
      <c r="J619" s="394"/>
    </row>
    <row r="620" spans="2:10">
      <c r="B620" s="392"/>
      <c r="C620" s="347"/>
      <c r="D620" s="18"/>
      <c r="E620" s="18"/>
      <c r="F620" s="18"/>
      <c r="G620" s="18"/>
      <c r="H620" s="393"/>
      <c r="I620" s="388"/>
      <c r="J620" s="394"/>
    </row>
    <row r="621" spans="2:10">
      <c r="B621" s="392"/>
      <c r="C621" s="347"/>
      <c r="D621" s="18"/>
      <c r="E621" s="18"/>
      <c r="F621" s="18"/>
      <c r="G621" s="18"/>
      <c r="H621" s="393"/>
      <c r="I621" s="388"/>
      <c r="J621" s="394"/>
    </row>
    <row r="622" spans="2:10">
      <c r="B622" s="392"/>
      <c r="C622" s="347"/>
      <c r="D622" s="18"/>
      <c r="E622" s="18"/>
      <c r="F622" s="18"/>
      <c r="G622" s="18"/>
      <c r="H622" s="393"/>
      <c r="I622" s="388"/>
      <c r="J622" s="394"/>
    </row>
    <row r="623" spans="2:10">
      <c r="B623" s="392"/>
      <c r="C623" s="347"/>
      <c r="D623" s="18"/>
      <c r="E623" s="18"/>
      <c r="F623" s="18"/>
      <c r="G623" s="18"/>
      <c r="H623" s="393"/>
      <c r="I623" s="388"/>
      <c r="J623" s="394"/>
    </row>
    <row r="624" spans="2:10">
      <c r="B624" s="392"/>
      <c r="C624" s="347"/>
      <c r="D624" s="18"/>
      <c r="E624" s="18"/>
      <c r="F624" s="18"/>
      <c r="G624" s="18"/>
      <c r="H624" s="393"/>
      <c r="I624" s="388"/>
      <c r="J624" s="394"/>
    </row>
    <row r="625" spans="2:10">
      <c r="B625" s="392"/>
      <c r="C625" s="347"/>
      <c r="D625" s="18"/>
      <c r="E625" s="18"/>
      <c r="F625" s="18"/>
      <c r="G625" s="18"/>
      <c r="H625" s="393"/>
      <c r="I625" s="388"/>
      <c r="J625" s="394"/>
    </row>
    <row r="626" spans="2:10">
      <c r="B626" s="392"/>
      <c r="C626" s="347"/>
      <c r="D626" s="18"/>
      <c r="E626" s="18"/>
      <c r="F626" s="18"/>
      <c r="G626" s="18"/>
      <c r="H626" s="393"/>
      <c r="I626" s="388"/>
      <c r="J626" s="394"/>
    </row>
    <row r="627" spans="2:10">
      <c r="B627" s="392"/>
      <c r="C627" s="347"/>
      <c r="D627" s="18"/>
      <c r="E627" s="18"/>
      <c r="F627" s="18"/>
      <c r="G627" s="18"/>
      <c r="H627" s="393"/>
      <c r="I627" s="388"/>
      <c r="J627" s="394"/>
    </row>
    <row r="628" spans="2:10">
      <c r="B628" s="392"/>
      <c r="C628" s="347"/>
      <c r="D628" s="18"/>
      <c r="E628" s="18"/>
      <c r="F628" s="18"/>
      <c r="G628" s="18"/>
      <c r="H628" s="393"/>
      <c r="I628" s="388"/>
      <c r="J628" s="394"/>
    </row>
    <row r="629" spans="2:10">
      <c r="B629" s="392"/>
      <c r="C629" s="347"/>
      <c r="D629" s="18"/>
      <c r="E629" s="18"/>
      <c r="F629" s="18"/>
      <c r="G629" s="18"/>
      <c r="H629" s="393"/>
      <c r="I629" s="388"/>
      <c r="J629" s="394"/>
    </row>
    <row r="630" spans="2:10">
      <c r="B630" s="392"/>
      <c r="C630" s="347"/>
      <c r="D630" s="18"/>
      <c r="E630" s="18"/>
      <c r="F630" s="18"/>
      <c r="G630" s="18"/>
      <c r="H630" s="393"/>
      <c r="I630" s="388"/>
      <c r="J630" s="394"/>
    </row>
    <row r="631" spans="2:10">
      <c r="B631" s="392"/>
      <c r="C631" s="347"/>
      <c r="D631" s="18"/>
      <c r="E631" s="18"/>
      <c r="F631" s="18"/>
      <c r="G631" s="18"/>
      <c r="H631" s="393"/>
      <c r="I631" s="388"/>
      <c r="J631" s="394"/>
    </row>
    <row r="632" spans="2:10">
      <c r="B632" s="392"/>
      <c r="C632" s="347"/>
      <c r="D632" s="18"/>
      <c r="E632" s="18"/>
      <c r="F632" s="18"/>
      <c r="G632" s="18"/>
      <c r="H632" s="393"/>
      <c r="I632" s="388"/>
      <c r="J632" s="394"/>
    </row>
    <row r="633" spans="2:10">
      <c r="B633" s="392"/>
      <c r="C633" s="347"/>
      <c r="D633" s="18"/>
      <c r="E633" s="18"/>
      <c r="F633" s="18"/>
      <c r="G633" s="18"/>
      <c r="H633" s="393"/>
      <c r="I633" s="388"/>
      <c r="J633" s="394"/>
    </row>
    <row r="634" spans="2:10">
      <c r="B634" s="392"/>
      <c r="C634" s="347"/>
      <c r="D634" s="18"/>
      <c r="E634" s="18"/>
      <c r="F634" s="18"/>
      <c r="G634" s="18"/>
      <c r="H634" s="393"/>
      <c r="I634" s="388"/>
      <c r="J634" s="394"/>
    </row>
    <row r="635" spans="2:10">
      <c r="B635" s="392"/>
      <c r="C635" s="347"/>
      <c r="D635" s="18"/>
      <c r="E635" s="18"/>
      <c r="F635" s="18"/>
      <c r="G635" s="18"/>
      <c r="H635" s="393"/>
      <c r="I635" s="388"/>
      <c r="J635" s="394"/>
    </row>
    <row r="636" spans="2:10">
      <c r="B636" s="392"/>
      <c r="C636" s="347"/>
      <c r="D636" s="18"/>
      <c r="E636" s="18"/>
      <c r="F636" s="18"/>
      <c r="G636" s="18"/>
      <c r="H636" s="393"/>
      <c r="I636" s="388"/>
      <c r="J636" s="394"/>
    </row>
    <row r="637" spans="2:10">
      <c r="B637" s="392"/>
      <c r="C637" s="347"/>
      <c r="D637" s="18"/>
      <c r="E637" s="18"/>
      <c r="F637" s="18"/>
      <c r="G637" s="18"/>
      <c r="H637" s="393"/>
      <c r="I637" s="388"/>
      <c r="J637" s="394"/>
    </row>
    <row r="638" spans="2:10">
      <c r="B638" s="392"/>
      <c r="C638" s="347"/>
      <c r="D638" s="18"/>
      <c r="E638" s="18"/>
      <c r="F638" s="18"/>
      <c r="G638" s="18"/>
      <c r="H638" s="393"/>
      <c r="I638" s="388"/>
      <c r="J638" s="394"/>
    </row>
    <row r="639" spans="2:10">
      <c r="B639" s="392"/>
      <c r="C639" s="347"/>
      <c r="D639" s="18"/>
      <c r="E639" s="18"/>
      <c r="F639" s="18"/>
      <c r="G639" s="18"/>
      <c r="H639" s="393"/>
      <c r="I639" s="388"/>
      <c r="J639" s="394"/>
    </row>
    <row r="640" spans="2:10">
      <c r="B640" s="392"/>
      <c r="C640" s="347"/>
      <c r="D640" s="18"/>
      <c r="E640" s="18"/>
      <c r="F640" s="18"/>
      <c r="G640" s="18"/>
      <c r="H640" s="393"/>
      <c r="I640" s="388"/>
      <c r="J640" s="394"/>
    </row>
    <row r="641" spans="2:10">
      <c r="B641" s="392"/>
      <c r="C641" s="347"/>
      <c r="D641" s="18"/>
      <c r="E641" s="18"/>
      <c r="F641" s="18"/>
      <c r="G641" s="18"/>
      <c r="H641" s="393"/>
      <c r="I641" s="388"/>
      <c r="J641" s="394"/>
    </row>
    <row r="642" spans="2:10">
      <c r="B642" s="392"/>
      <c r="C642" s="347"/>
      <c r="D642" s="18"/>
      <c r="E642" s="18"/>
      <c r="F642" s="18"/>
      <c r="G642" s="18"/>
      <c r="H642" s="393"/>
      <c r="I642" s="388"/>
      <c r="J642" s="394"/>
    </row>
    <row r="643" spans="2:10">
      <c r="B643" s="392"/>
      <c r="C643" s="347"/>
      <c r="D643" s="18"/>
      <c r="E643" s="18"/>
      <c r="F643" s="18"/>
      <c r="G643" s="18"/>
      <c r="H643" s="393"/>
      <c r="I643" s="388"/>
      <c r="J643" s="394"/>
    </row>
    <row r="644" spans="2:10">
      <c r="B644" s="392"/>
      <c r="C644" s="347"/>
      <c r="D644" s="18"/>
      <c r="E644" s="18"/>
      <c r="F644" s="18"/>
      <c r="G644" s="18"/>
      <c r="H644" s="393"/>
      <c r="I644" s="388"/>
      <c r="J644" s="394"/>
    </row>
    <row r="645" spans="2:10">
      <c r="B645" s="392"/>
      <c r="C645" s="347"/>
      <c r="D645" s="18"/>
      <c r="E645" s="18"/>
      <c r="F645" s="18"/>
      <c r="G645" s="18"/>
      <c r="H645" s="393"/>
      <c r="I645" s="388"/>
      <c r="J645" s="394"/>
    </row>
    <row r="646" spans="2:10">
      <c r="B646" s="392"/>
      <c r="C646" s="347"/>
      <c r="D646" s="18"/>
      <c r="E646" s="18"/>
      <c r="F646" s="18"/>
      <c r="G646" s="18"/>
      <c r="H646" s="393"/>
      <c r="I646" s="388"/>
      <c r="J646" s="394"/>
    </row>
    <row r="647" spans="2:10">
      <c r="B647" s="392"/>
      <c r="C647" s="347"/>
      <c r="D647" s="18"/>
      <c r="E647" s="18"/>
      <c r="F647" s="18"/>
      <c r="G647" s="18"/>
      <c r="H647" s="393"/>
      <c r="I647" s="388"/>
      <c r="J647" s="394"/>
    </row>
    <row r="648" spans="2:10">
      <c r="B648" s="392"/>
      <c r="C648" s="347"/>
      <c r="D648" s="18"/>
      <c r="E648" s="18"/>
      <c r="F648" s="18"/>
      <c r="G648" s="18"/>
      <c r="H648" s="393"/>
      <c r="I648" s="388"/>
      <c r="J648" s="394"/>
    </row>
    <row r="649" spans="2:10">
      <c r="B649" s="392"/>
      <c r="C649" s="347"/>
      <c r="D649" s="18"/>
      <c r="E649" s="18"/>
      <c r="F649" s="18"/>
      <c r="G649" s="18"/>
      <c r="H649" s="393"/>
      <c r="I649" s="388"/>
      <c r="J649" s="394"/>
    </row>
    <row r="650" spans="2:10">
      <c r="B650" s="392"/>
      <c r="C650" s="347"/>
      <c r="D650" s="18"/>
      <c r="E650" s="18"/>
      <c r="F650" s="18"/>
      <c r="G650" s="18"/>
      <c r="H650" s="393"/>
      <c r="I650" s="388"/>
      <c r="J650" s="394"/>
    </row>
    <row r="651" spans="2:10">
      <c r="B651" s="392"/>
      <c r="C651" s="347"/>
      <c r="D651" s="18"/>
      <c r="E651" s="18"/>
      <c r="F651" s="18"/>
      <c r="G651" s="18"/>
      <c r="H651" s="393"/>
      <c r="I651" s="388"/>
      <c r="J651" s="394"/>
    </row>
    <row r="652" spans="2:10">
      <c r="B652" s="392"/>
      <c r="C652" s="347"/>
      <c r="D652" s="18"/>
      <c r="E652" s="18"/>
      <c r="F652" s="18"/>
      <c r="G652" s="18"/>
      <c r="H652" s="393"/>
      <c r="I652" s="388"/>
      <c r="J652" s="394"/>
    </row>
    <row r="653" spans="2:10">
      <c r="B653" s="392"/>
      <c r="C653" s="347"/>
      <c r="D653" s="18"/>
      <c r="E653" s="18"/>
      <c r="F653" s="18"/>
      <c r="G653" s="18"/>
      <c r="H653" s="393"/>
      <c r="I653" s="388"/>
      <c r="J653" s="394"/>
    </row>
    <row r="1067" spans="3:3">
      <c r="C1067" s="1">
        <v>0</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FBDB5-6C79-42EE-BA49-F088EE559485}">
  <dimension ref="B1:U1067"/>
  <sheetViews>
    <sheetView showGridLines="0" workbookViewId="0">
      <pane xSplit="2" ySplit="8" topLeftCell="C9" activePane="bottomRight" state="frozen"/>
      <selection activeCell="C179" sqref="C179"/>
      <selection pane="topRight" activeCell="C179" sqref="C179"/>
      <selection pane="bottomLeft" activeCell="C179" sqref="C179"/>
      <selection pane="bottomRight" activeCell="C179" sqref="C179"/>
    </sheetView>
  </sheetViews>
  <sheetFormatPr baseColWidth="10" defaultColWidth="8.6640625" defaultRowHeight="14" outlineLevelCol="1"/>
  <cols>
    <col min="1" max="1" width="8.6640625" style="1"/>
    <col min="2" max="11" width="11.33203125" style="1" bestFit="1" customWidth="1"/>
    <col min="12" max="20" width="11.33203125" style="1" hidden="1" customWidth="1" outlineLevel="1"/>
    <col min="21" max="21" width="8.6640625" style="1" collapsed="1"/>
    <col min="22" max="16384" width="8.6640625" style="1"/>
  </cols>
  <sheetData>
    <row r="1" spans="2:20" ht="15" thickBot="1"/>
    <row r="2" spans="2:20" ht="15" thickBot="1">
      <c r="B2" s="1" t="s">
        <v>241</v>
      </c>
      <c r="E2" s="386">
        <f>+Assumptions!E72</f>
        <v>30</v>
      </c>
      <c r="I2" s="387">
        <f>+Assumptions!F73</f>
        <v>1</v>
      </c>
      <c r="J2" s="19"/>
      <c r="K2" s="19"/>
      <c r="L2" s="1" t="s">
        <v>241</v>
      </c>
      <c r="O2" s="386">
        <f>+Assumptions!E72</f>
        <v>30</v>
      </c>
      <c r="S2" s="387">
        <f>+Assumptions!F73</f>
        <v>1</v>
      </c>
      <c r="T2" s="19"/>
    </row>
    <row r="3" spans="2:20">
      <c r="I3" s="203" t="s">
        <v>242</v>
      </c>
      <c r="J3" s="388">
        <f>+Assumptions!D66</f>
        <v>5.1999999999999998E-2</v>
      </c>
      <c r="K3" s="19"/>
      <c r="S3" s="203" t="s">
        <v>242</v>
      </c>
      <c r="T3" s="388">
        <f>+Assumptions!D66</f>
        <v>5.1999999999999998E-2</v>
      </c>
    </row>
    <row r="4" spans="2:20">
      <c r="I4" s="203" t="s">
        <v>243</v>
      </c>
      <c r="J4" s="389">
        <f>+Assumptions!D65</f>
        <v>490</v>
      </c>
      <c r="S4" s="203" t="s">
        <v>243</v>
      </c>
      <c r="T4" s="389">
        <f>+Assumptions!D65</f>
        <v>490</v>
      </c>
    </row>
    <row r="5" spans="2:20">
      <c r="I5" s="203" t="s">
        <v>498</v>
      </c>
      <c r="J5" s="388">
        <f>+Assumptions!D67</f>
        <v>5.1999999999999998E-2</v>
      </c>
      <c r="S5" s="203"/>
      <c r="T5" s="389"/>
    </row>
    <row r="7" spans="2:20">
      <c r="B7" s="390" t="s">
        <v>249</v>
      </c>
      <c r="C7" s="390"/>
      <c r="D7" s="390"/>
      <c r="E7" s="390"/>
      <c r="F7" s="390"/>
      <c r="G7" s="390"/>
      <c r="H7" s="390"/>
      <c r="I7" s="390"/>
      <c r="J7" s="390"/>
      <c r="L7" s="390" t="s">
        <v>248</v>
      </c>
      <c r="M7" s="390"/>
      <c r="N7" s="390"/>
      <c r="O7" s="390"/>
      <c r="P7" s="390"/>
      <c r="Q7" s="390"/>
      <c r="R7" s="390"/>
      <c r="S7" s="390"/>
      <c r="T7" s="390"/>
    </row>
    <row r="8" spans="2:20">
      <c r="B8" s="19" t="s">
        <v>244</v>
      </c>
      <c r="C8" s="19" t="s">
        <v>87</v>
      </c>
      <c r="D8" s="19" t="s">
        <v>245</v>
      </c>
      <c r="E8" s="19" t="s">
        <v>88</v>
      </c>
      <c r="F8" s="19" t="s">
        <v>89</v>
      </c>
      <c r="G8" s="19" t="s">
        <v>85</v>
      </c>
      <c r="H8" s="391" t="s">
        <v>246</v>
      </c>
      <c r="I8" s="19" t="s">
        <v>247</v>
      </c>
      <c r="J8" s="19" t="s">
        <v>42</v>
      </c>
      <c r="L8" s="19" t="s">
        <v>244</v>
      </c>
      <c r="M8" s="19" t="s">
        <v>87</v>
      </c>
      <c r="N8" s="19" t="s">
        <v>245</v>
      </c>
      <c r="O8" s="19" t="s">
        <v>88</v>
      </c>
      <c r="P8" s="19" t="s">
        <v>89</v>
      </c>
      <c r="Q8" s="19" t="s">
        <v>85</v>
      </c>
      <c r="R8" s="391" t="s">
        <v>246</v>
      </c>
      <c r="S8" s="19" t="s">
        <v>247</v>
      </c>
      <c r="T8" s="19" t="s">
        <v>42</v>
      </c>
    </row>
    <row r="9" spans="2:20">
      <c r="B9" s="392">
        <f>INDEX('Monthly Cash Flow'!$K$15:$GT$15,MATCH(C9,'Monthly Cash Flow'!$K$13:$GT$13))</f>
        <v>46203</v>
      </c>
      <c r="C9" s="404">
        <f>+Assumptions!F66+Assumptions!F71</f>
        <v>120</v>
      </c>
      <c r="D9" s="361">
        <f ca="1">INDEX('Monthly Cash Flow'!$L$160:$GT$160, MATCH(C9, 'Monthly Cash Flow'!$L$13:$GT$13, 0))</f>
        <v>0</v>
      </c>
      <c r="E9" s="18">
        <f t="shared" ref="E9:E72" ca="1" si="0">-PMT(J9/12,$E$2*12,$D$9,)</f>
        <v>0</v>
      </c>
      <c r="F9" s="18">
        <f ca="1">D9*J9/12</f>
        <v>0</v>
      </c>
      <c r="G9" s="18">
        <f t="shared" ref="G9:G72" ca="1" si="1">+E9-F9</f>
        <v>0</v>
      </c>
      <c r="H9" s="393">
        <f ca="1">+D9-G9</f>
        <v>0</v>
      </c>
      <c r="I9" s="388">
        <f>MAX($J$5, INDEX(LIBOR!$M$3:$M$122,MATCH(B9,LIBOR!$N$3:$N$122)))</f>
        <v>5.1999999999999998E-2</v>
      </c>
      <c r="J9" s="394">
        <f>IF($I$2=1,I9+$J$4/10000,$J$3)</f>
        <v>0.10100000000000001</v>
      </c>
      <c r="L9" s="392">
        <f>INDEX('Monthly Cash Flow'!$K$15:$GT$15,MATCH(M9,'Monthly Cash Flow'!$K$13:$GT$13))</f>
        <v>44408</v>
      </c>
      <c r="M9" s="404">
        <f>+Assumptions!F71+1</f>
        <v>61</v>
      </c>
      <c r="N9" s="361">
        <f>+Assumptions!F96</f>
        <v>0</v>
      </c>
      <c r="O9" s="18">
        <f t="shared" ref="O9:O72" si="2">-PMT(T9/12,$O$2*12,$N$9,)</f>
        <v>0</v>
      </c>
      <c r="P9" s="18">
        <f>N9*T9/12</f>
        <v>0</v>
      </c>
      <c r="Q9" s="18">
        <f t="shared" ref="Q9:Q72" si="3">+O9-P9</f>
        <v>0</v>
      </c>
      <c r="R9" s="393">
        <f>+N9-Q9</f>
        <v>0</v>
      </c>
      <c r="S9" s="388">
        <f>INDEX(LIBOR!$M$3:$M$122,MATCH(L9,LIBOR!$N$3:$N$122))</f>
        <v>1.3485000000000001E-3</v>
      </c>
      <c r="T9" s="394">
        <f>IF($S$2=1,S9+$T$4/10000,$T$3)</f>
        <v>5.0348500000000004E-2</v>
      </c>
    </row>
    <row r="10" spans="2:20">
      <c r="B10" s="392">
        <f>EOMONTH(B9,1)</f>
        <v>46234</v>
      </c>
      <c r="C10" s="347">
        <f>+C9+1</f>
        <v>121</v>
      </c>
      <c r="D10" s="18">
        <f ca="1">INDEX('Monthly Cash Flow'!$L$160:$GT$160, MATCH(C10, 'Monthly Cash Flow'!$L$13:$GT$13, 0))</f>
        <v>0</v>
      </c>
      <c r="E10" s="18">
        <f t="shared" ca="1" si="0"/>
        <v>0</v>
      </c>
      <c r="F10" s="18">
        <f t="shared" ref="F10:F73" ca="1" si="4">D10*J10/12</f>
        <v>0</v>
      </c>
      <c r="G10" s="18">
        <f t="shared" ca="1" si="1"/>
        <v>0</v>
      </c>
      <c r="H10" s="393">
        <f t="shared" ref="H10:H73" ca="1" si="5">+D10-G10</f>
        <v>0</v>
      </c>
      <c r="I10" s="388">
        <f>MAX($J$5, INDEX(LIBOR!$M$3:$M$122,MATCH(B10,LIBOR!$N$3:$N$122)))</f>
        <v>5.1999999999999998E-2</v>
      </c>
      <c r="J10" s="394">
        <f t="shared" ref="J10:J73" si="6">IF($I$2=1,I10+$J$4/10000,$J$3)</f>
        <v>0.10100000000000001</v>
      </c>
      <c r="L10" s="392">
        <f>EOMONTH(L9,1)</f>
        <v>44439</v>
      </c>
      <c r="M10" s="347">
        <f>+M9+1</f>
        <v>62</v>
      </c>
      <c r="N10" s="18">
        <v>7661.1380409741769</v>
      </c>
      <c r="O10" s="18">
        <f t="shared" si="2"/>
        <v>0</v>
      </c>
      <c r="P10" s="18">
        <f t="shared" ref="P10:P73" si="7">N10*T10/12</f>
        <v>32.135792683572333</v>
      </c>
      <c r="Q10" s="18">
        <f t="shared" si="3"/>
        <v>-32.135792683572333</v>
      </c>
      <c r="R10" s="393">
        <f t="shared" ref="R10:R73" si="8">+N10-Q10</f>
        <v>7693.2738336577495</v>
      </c>
      <c r="S10" s="388">
        <f>INDEX(LIBOR!$M$3:$M$122,MATCH(L10,LIBOR!$N$3:$N$122))</f>
        <v>1.3358000000000001E-3</v>
      </c>
      <c r="T10" s="394">
        <f t="shared" ref="T10:T73" si="9">IF($S$2=1,S10+$T$4/10000,$T$3)</f>
        <v>5.03358E-2</v>
      </c>
    </row>
    <row r="11" spans="2:20">
      <c r="B11" s="392">
        <f t="shared" ref="B11:B74" si="10">EOMONTH(B10,1)</f>
        <v>46265</v>
      </c>
      <c r="C11" s="347">
        <f t="shared" ref="C11:C74" si="11">+C10+1</f>
        <v>122</v>
      </c>
      <c r="D11" s="18">
        <f ca="1">INDEX('Monthly Cash Flow'!$L$160:$GT$160, MATCH(C11, 'Monthly Cash Flow'!$L$13:$GT$13, 0))</f>
        <v>0</v>
      </c>
      <c r="E11" s="18">
        <f t="shared" ca="1" si="0"/>
        <v>0</v>
      </c>
      <c r="F11" s="18">
        <f ca="1">D11*J11/12</f>
        <v>0</v>
      </c>
      <c r="G11" s="18">
        <f t="shared" ca="1" si="1"/>
        <v>0</v>
      </c>
      <c r="H11" s="393">
        <f t="shared" ca="1" si="5"/>
        <v>0</v>
      </c>
      <c r="I11" s="388">
        <f>MAX($J$5, INDEX(LIBOR!$M$3:$M$122,MATCH(B11,LIBOR!$N$3:$N$122)))</f>
        <v>5.1999999999999998E-2</v>
      </c>
      <c r="J11" s="394">
        <f t="shared" si="6"/>
        <v>0.10100000000000001</v>
      </c>
      <c r="L11" s="392">
        <f t="shared" ref="L11:L74" si="12">EOMONTH(L10,1)</f>
        <v>44469</v>
      </c>
      <c r="M11" s="347">
        <f t="shared" ref="M11:M74" si="13">+M10+1</f>
        <v>63</v>
      </c>
      <c r="N11" s="18">
        <v>7652.028319931057</v>
      </c>
      <c r="O11" s="18">
        <f t="shared" si="2"/>
        <v>0</v>
      </c>
      <c r="P11" s="18">
        <f t="shared" si="7"/>
        <v>32.114351287599995</v>
      </c>
      <c r="Q11" s="18">
        <f t="shared" si="3"/>
        <v>-32.114351287599995</v>
      </c>
      <c r="R11" s="393">
        <f t="shared" si="8"/>
        <v>7684.1426712186567</v>
      </c>
      <c r="S11" s="388">
        <f>INDEX(LIBOR!$M$3:$M$122,MATCH(L11,LIBOR!$N$3:$N$122))</f>
        <v>1.3621E-3</v>
      </c>
      <c r="T11" s="394">
        <f t="shared" si="9"/>
        <v>5.03621E-2</v>
      </c>
    </row>
    <row r="12" spans="2:20">
      <c r="B12" s="392">
        <f t="shared" si="10"/>
        <v>46295</v>
      </c>
      <c r="C12" s="347">
        <f t="shared" si="11"/>
        <v>123</v>
      </c>
      <c r="D12" s="18">
        <f ca="1">INDEX('Monthly Cash Flow'!$L$160:$GT$160, MATCH(C12, 'Monthly Cash Flow'!$L$13:$GT$13, 0))</f>
        <v>0</v>
      </c>
      <c r="E12" s="18">
        <f t="shared" ca="1" si="0"/>
        <v>0</v>
      </c>
      <c r="F12" s="18">
        <f t="shared" ca="1" si="4"/>
        <v>0</v>
      </c>
      <c r="G12" s="18">
        <f t="shared" ca="1" si="1"/>
        <v>0</v>
      </c>
      <c r="H12" s="393">
        <f t="shared" ca="1" si="5"/>
        <v>0</v>
      </c>
      <c r="I12" s="388">
        <f>MAX($J$5, INDEX(LIBOR!$M$3:$M$122,MATCH(B12,LIBOR!$N$3:$N$122)))</f>
        <v>5.1999999999999998E-2</v>
      </c>
      <c r="J12" s="394">
        <f t="shared" si="6"/>
        <v>0.10100000000000001</v>
      </c>
      <c r="L12" s="392">
        <f t="shared" si="12"/>
        <v>44500</v>
      </c>
      <c r="M12" s="347">
        <f t="shared" si="13"/>
        <v>64</v>
      </c>
      <c r="N12" s="18">
        <v>7642.8992979301565</v>
      </c>
      <c r="O12" s="18">
        <f t="shared" si="2"/>
        <v>0</v>
      </c>
      <c r="P12" s="18">
        <f t="shared" si="7"/>
        <v>32.096674055795106</v>
      </c>
      <c r="Q12" s="18">
        <f t="shared" si="3"/>
        <v>-32.096674055795106</v>
      </c>
      <c r="R12" s="393">
        <f t="shared" si="8"/>
        <v>7674.9959719859517</v>
      </c>
      <c r="S12" s="388">
        <f>INDEX(LIBOR!$M$3:$M$122,MATCH(L12,LIBOR!$N$3:$N$122))</f>
        <v>1.3944999999999999E-3</v>
      </c>
      <c r="T12" s="394">
        <f t="shared" si="9"/>
        <v>5.0394500000000002E-2</v>
      </c>
    </row>
    <row r="13" spans="2:20">
      <c r="B13" s="392">
        <f t="shared" si="10"/>
        <v>46326</v>
      </c>
      <c r="C13" s="347">
        <f t="shared" si="11"/>
        <v>124</v>
      </c>
      <c r="D13" s="18">
        <f ca="1">INDEX('Monthly Cash Flow'!$L$160:$GT$160, MATCH(C13, 'Monthly Cash Flow'!$L$13:$GT$13, 0))</f>
        <v>0</v>
      </c>
      <c r="E13" s="18">
        <f t="shared" ca="1" si="0"/>
        <v>0</v>
      </c>
      <c r="F13" s="18">
        <f t="shared" ca="1" si="4"/>
        <v>0</v>
      </c>
      <c r="G13" s="18">
        <f t="shared" ca="1" si="1"/>
        <v>0</v>
      </c>
      <c r="H13" s="393">
        <f t="shared" ca="1" si="5"/>
        <v>0</v>
      </c>
      <c r="I13" s="388">
        <f>MAX($J$5, INDEX(LIBOR!$M$3:$M$122,MATCH(B13,LIBOR!$N$3:$N$122)))</f>
        <v>5.1999999999999998E-2</v>
      </c>
      <c r="J13" s="394">
        <f t="shared" si="6"/>
        <v>0.10100000000000001</v>
      </c>
      <c r="L13" s="392">
        <f t="shared" si="12"/>
        <v>44530</v>
      </c>
      <c r="M13" s="347">
        <f t="shared" si="13"/>
        <v>65</v>
      </c>
      <c r="N13" s="18">
        <v>7633.750682866249</v>
      </c>
      <c r="O13" s="18">
        <f t="shared" si="2"/>
        <v>0</v>
      </c>
      <c r="P13" s="18">
        <f t="shared" si="7"/>
        <v>32.092097027002644</v>
      </c>
      <c r="Q13" s="18">
        <f t="shared" si="3"/>
        <v>-32.092097027002644</v>
      </c>
      <c r="R13" s="393">
        <f t="shared" si="8"/>
        <v>7665.8427798932516</v>
      </c>
      <c r="S13" s="388">
        <f>INDEX(LIBOR!$M$3:$M$122,MATCH(L13,LIBOR!$N$3:$N$122))</f>
        <v>1.4476999999999999E-3</v>
      </c>
      <c r="T13" s="394">
        <f t="shared" si="9"/>
        <v>5.0447700000000005E-2</v>
      </c>
    </row>
    <row r="14" spans="2:20">
      <c r="B14" s="392">
        <f t="shared" si="10"/>
        <v>46356</v>
      </c>
      <c r="C14" s="347">
        <f t="shared" si="11"/>
        <v>125</v>
      </c>
      <c r="D14" s="18">
        <f ca="1">INDEX('Monthly Cash Flow'!$L$160:$GT$160, MATCH(C14, 'Monthly Cash Flow'!$L$13:$GT$13, 0))</f>
        <v>0</v>
      </c>
      <c r="E14" s="18">
        <f t="shared" ca="1" si="0"/>
        <v>0</v>
      </c>
      <c r="F14" s="18">
        <f t="shared" ca="1" si="4"/>
        <v>0</v>
      </c>
      <c r="G14" s="18">
        <f t="shared" ca="1" si="1"/>
        <v>0</v>
      </c>
      <c r="H14" s="393">
        <f t="shared" ca="1" si="5"/>
        <v>0</v>
      </c>
      <c r="I14" s="388">
        <f>MAX($J$5, INDEX(LIBOR!$M$3:$M$122,MATCH(B14,LIBOR!$N$3:$N$122)))</f>
        <v>5.1999999999999998E-2</v>
      </c>
      <c r="J14" s="394">
        <f t="shared" si="6"/>
        <v>0.10100000000000001</v>
      </c>
      <c r="L14" s="392">
        <f t="shared" si="12"/>
        <v>44561</v>
      </c>
      <c r="M14" s="347">
        <f t="shared" si="13"/>
        <v>66</v>
      </c>
      <c r="N14" s="18">
        <v>7624.5819015150082</v>
      </c>
      <c r="O14" s="18">
        <f t="shared" si="2"/>
        <v>0</v>
      </c>
      <c r="P14" s="18">
        <f t="shared" si="7"/>
        <v>32.091293379834056</v>
      </c>
      <c r="Q14" s="18">
        <f t="shared" si="3"/>
        <v>-32.091293379834056</v>
      </c>
      <c r="R14" s="393">
        <f t="shared" si="8"/>
        <v>7656.6731948948427</v>
      </c>
      <c r="S14" s="388">
        <f>INDEX(LIBOR!$M$3:$M$122,MATCH(L14,LIBOR!$N$3:$N$122))</f>
        <v>1.5070999999999999E-3</v>
      </c>
      <c r="T14" s="394">
        <f t="shared" si="9"/>
        <v>5.0507099999999999E-2</v>
      </c>
    </row>
    <row r="15" spans="2:20">
      <c r="B15" s="392">
        <f t="shared" si="10"/>
        <v>46387</v>
      </c>
      <c r="C15" s="347">
        <f t="shared" si="11"/>
        <v>126</v>
      </c>
      <c r="D15" s="18">
        <f ca="1">INDEX('Monthly Cash Flow'!$L$160:$GT$160, MATCH(C15, 'Monthly Cash Flow'!$L$13:$GT$13, 0))</f>
        <v>0</v>
      </c>
      <c r="E15" s="18">
        <f t="shared" ca="1" si="0"/>
        <v>0</v>
      </c>
      <c r="F15" s="18">
        <f t="shared" ca="1" si="4"/>
        <v>0</v>
      </c>
      <c r="G15" s="18">
        <f t="shared" ca="1" si="1"/>
        <v>0</v>
      </c>
      <c r="H15" s="393">
        <f t="shared" ca="1" si="5"/>
        <v>0</v>
      </c>
      <c r="I15" s="388">
        <f>MAX($J$5, INDEX(LIBOR!$M$3:$M$122,MATCH(B15,LIBOR!$N$3:$N$122)))</f>
        <v>5.1999999999999998E-2</v>
      </c>
      <c r="J15" s="394">
        <f t="shared" si="6"/>
        <v>0.10100000000000001</v>
      </c>
      <c r="L15" s="392">
        <f t="shared" si="12"/>
        <v>44592</v>
      </c>
      <c r="M15" s="347">
        <f t="shared" si="13"/>
        <v>67</v>
      </c>
      <c r="N15" s="18">
        <v>7615.392676927816</v>
      </c>
      <c r="O15" s="18">
        <f t="shared" si="2"/>
        <v>0</v>
      </c>
      <c r="P15" s="18">
        <f t="shared" si="7"/>
        <v>32.077239725727146</v>
      </c>
      <c r="Q15" s="18">
        <f t="shared" si="3"/>
        <v>-32.077239725727146</v>
      </c>
      <c r="R15" s="393">
        <f t="shared" si="8"/>
        <v>7647.4699166535429</v>
      </c>
      <c r="S15" s="388">
        <f>INDEX(LIBOR!$M$3:$M$122,MATCH(L15,LIBOR!$N$3:$N$122))</f>
        <v>1.5459E-3</v>
      </c>
      <c r="T15" s="394">
        <f t="shared" si="9"/>
        <v>5.0545900000000005E-2</v>
      </c>
    </row>
    <row r="16" spans="2:20">
      <c r="B16" s="392">
        <f t="shared" si="10"/>
        <v>46418</v>
      </c>
      <c r="C16" s="347">
        <f t="shared" si="11"/>
        <v>127</v>
      </c>
      <c r="D16" s="18">
        <f ca="1">INDEX('Monthly Cash Flow'!$L$160:$GT$160, MATCH(C16, 'Monthly Cash Flow'!$L$13:$GT$13, 0))</f>
        <v>0</v>
      </c>
      <c r="E16" s="18">
        <f t="shared" ca="1" si="0"/>
        <v>0</v>
      </c>
      <c r="F16" s="18">
        <f t="shared" ca="1" si="4"/>
        <v>0</v>
      </c>
      <c r="G16" s="18">
        <f t="shared" ca="1" si="1"/>
        <v>0</v>
      </c>
      <c r="H16" s="393">
        <f t="shared" ca="1" si="5"/>
        <v>0</v>
      </c>
      <c r="I16" s="388">
        <f>MAX($J$5, INDEX(LIBOR!$M$3:$M$122,MATCH(B16,LIBOR!$N$3:$N$122)))</f>
        <v>5.1999999999999998E-2</v>
      </c>
      <c r="J16" s="394">
        <f t="shared" si="6"/>
        <v>0.10100000000000001</v>
      </c>
      <c r="L16" s="392">
        <f t="shared" si="12"/>
        <v>44620</v>
      </c>
      <c r="M16" s="347">
        <f t="shared" si="13"/>
        <v>68</v>
      </c>
      <c r="N16" s="18">
        <v>7606.1822921119256</v>
      </c>
      <c r="O16" s="18">
        <f t="shared" si="2"/>
        <v>0</v>
      </c>
      <c r="P16" s="18">
        <f t="shared" si="7"/>
        <v>32.05853712479334</v>
      </c>
      <c r="Q16" s="18">
        <f t="shared" si="3"/>
        <v>-32.05853712479334</v>
      </c>
      <c r="R16" s="393">
        <f t="shared" si="8"/>
        <v>7638.240829236719</v>
      </c>
      <c r="S16" s="388">
        <f>INDEX(LIBOR!$M$3:$M$122,MATCH(L16,LIBOR!$N$3:$N$122))</f>
        <v>1.5776E-3</v>
      </c>
      <c r="T16" s="394">
        <f t="shared" si="9"/>
        <v>5.05776E-2</v>
      </c>
    </row>
    <row r="17" spans="2:20">
      <c r="B17" s="392">
        <f t="shared" si="10"/>
        <v>46446</v>
      </c>
      <c r="C17" s="347">
        <f t="shared" si="11"/>
        <v>128</v>
      </c>
      <c r="D17" s="18">
        <f ca="1">INDEX('Monthly Cash Flow'!$L$160:$GT$160, MATCH(C17, 'Monthly Cash Flow'!$L$13:$GT$13, 0))</f>
        <v>0</v>
      </c>
      <c r="E17" s="18">
        <f t="shared" ca="1" si="0"/>
        <v>0</v>
      </c>
      <c r="F17" s="18">
        <f t="shared" ca="1" si="4"/>
        <v>0</v>
      </c>
      <c r="G17" s="18">
        <f t="shared" ca="1" si="1"/>
        <v>0</v>
      </c>
      <c r="H17" s="393">
        <f t="shared" ca="1" si="5"/>
        <v>0</v>
      </c>
      <c r="I17" s="388">
        <f>MAX($J$5, INDEX(LIBOR!$M$3:$M$122,MATCH(B17,LIBOR!$N$3:$N$122)))</f>
        <v>5.1999999999999998E-2</v>
      </c>
      <c r="J17" s="394">
        <f t="shared" si="6"/>
        <v>0.10100000000000001</v>
      </c>
      <c r="L17" s="392">
        <f t="shared" si="12"/>
        <v>44651</v>
      </c>
      <c r="M17" s="347">
        <f t="shared" si="13"/>
        <v>69</v>
      </c>
      <c r="N17" s="18">
        <v>7596.9522587098927</v>
      </c>
      <c r="O17" s="18">
        <f t="shared" si="2"/>
        <v>0</v>
      </c>
      <c r="P17" s="18">
        <f t="shared" si="7"/>
        <v>32.024255859301171</v>
      </c>
      <c r="Q17" s="18">
        <f t="shared" si="3"/>
        <v>-32.024255859301171</v>
      </c>
      <c r="R17" s="393">
        <f t="shared" si="8"/>
        <v>7628.9765145691936</v>
      </c>
      <c r="S17" s="388">
        <f>INDEX(LIBOR!$M$3:$M$122,MATCH(L17,LIBOR!$N$3:$N$122))</f>
        <v>1.5849E-3</v>
      </c>
      <c r="T17" s="394">
        <f t="shared" si="9"/>
        <v>5.0584900000000002E-2</v>
      </c>
    </row>
    <row r="18" spans="2:20">
      <c r="B18" s="392">
        <f t="shared" si="10"/>
        <v>46477</v>
      </c>
      <c r="C18" s="347">
        <f t="shared" si="11"/>
        <v>129</v>
      </c>
      <c r="D18" s="18">
        <f ca="1">INDEX('Monthly Cash Flow'!$L$160:$GT$160, MATCH(C18, 'Monthly Cash Flow'!$L$13:$GT$13, 0))</f>
        <v>0</v>
      </c>
      <c r="E18" s="18">
        <f t="shared" ca="1" si="0"/>
        <v>0</v>
      </c>
      <c r="F18" s="18">
        <f t="shared" ca="1" si="4"/>
        <v>0</v>
      </c>
      <c r="G18" s="18">
        <f t="shared" ca="1" si="1"/>
        <v>0</v>
      </c>
      <c r="H18" s="393">
        <f t="shared" ca="1" si="5"/>
        <v>0</v>
      </c>
      <c r="I18" s="388">
        <f>MAX($J$5, INDEX(LIBOR!$M$3:$M$122,MATCH(B18,LIBOR!$N$3:$N$122)))</f>
        <v>5.1999999999999998E-2</v>
      </c>
      <c r="J18" s="394">
        <f t="shared" si="6"/>
        <v>0.10100000000000001</v>
      </c>
      <c r="L18" s="392">
        <f t="shared" si="12"/>
        <v>44681</v>
      </c>
      <c r="M18" s="347">
        <f t="shared" si="13"/>
        <v>70</v>
      </c>
      <c r="N18" s="18">
        <v>7587.7019933339188</v>
      </c>
      <c r="O18" s="18">
        <f t="shared" si="2"/>
        <v>0</v>
      </c>
      <c r="P18" s="18">
        <f t="shared" si="7"/>
        <v>31.966482651116248</v>
      </c>
      <c r="Q18" s="18">
        <f t="shared" si="3"/>
        <v>-31.966482651116248</v>
      </c>
      <c r="R18" s="393">
        <f t="shared" si="8"/>
        <v>7619.668475985035</v>
      </c>
      <c r="S18" s="388">
        <f>INDEX(LIBOR!$M$3:$M$122,MATCH(L18,LIBOR!$N$3:$N$122))</f>
        <v>1.5552000000000001E-3</v>
      </c>
      <c r="T18" s="394">
        <f t="shared" si="9"/>
        <v>5.0555200000000002E-2</v>
      </c>
    </row>
    <row r="19" spans="2:20">
      <c r="B19" s="392">
        <f t="shared" si="10"/>
        <v>46507</v>
      </c>
      <c r="C19" s="347">
        <f t="shared" si="11"/>
        <v>130</v>
      </c>
      <c r="D19" s="18">
        <f ca="1">INDEX('Monthly Cash Flow'!$L$160:$GT$160, MATCH(C19, 'Monthly Cash Flow'!$L$13:$GT$13, 0))</f>
        <v>0</v>
      </c>
      <c r="E19" s="18">
        <f t="shared" ca="1" si="0"/>
        <v>0</v>
      </c>
      <c r="F19" s="18">
        <f t="shared" ca="1" si="4"/>
        <v>0</v>
      </c>
      <c r="G19" s="18">
        <f t="shared" ca="1" si="1"/>
        <v>0</v>
      </c>
      <c r="H19" s="393">
        <f t="shared" ca="1" si="5"/>
        <v>0</v>
      </c>
      <c r="I19" s="388">
        <f>MAX($J$5, INDEX(LIBOR!$M$3:$M$122,MATCH(B19,LIBOR!$N$3:$N$122)))</f>
        <v>5.1999999999999998E-2</v>
      </c>
      <c r="J19" s="394">
        <f t="shared" si="6"/>
        <v>0.10100000000000001</v>
      </c>
      <c r="L19" s="392">
        <f t="shared" si="12"/>
        <v>44712</v>
      </c>
      <c r="M19" s="347">
        <f t="shared" si="13"/>
        <v>71</v>
      </c>
      <c r="N19" s="18">
        <v>7578.4305015824966</v>
      </c>
      <c r="O19" s="18">
        <f t="shared" si="2"/>
        <v>0</v>
      </c>
      <c r="P19" s="18">
        <f t="shared" si="7"/>
        <v>31.903297804036914</v>
      </c>
      <c r="Q19" s="18">
        <f t="shared" si="3"/>
        <v>-31.903297804036914</v>
      </c>
      <c r="R19" s="393">
        <f t="shared" si="8"/>
        <v>7610.3337993865334</v>
      </c>
      <c r="S19" s="388">
        <f>INDEX(LIBOR!$M$3:$M$122,MATCH(L19,LIBOR!$N$3:$N$122))</f>
        <v>1.5169999999999999E-3</v>
      </c>
      <c r="T19" s="394">
        <f t="shared" si="9"/>
        <v>5.0516999999999999E-2</v>
      </c>
    </row>
    <row r="20" spans="2:20">
      <c r="B20" s="392">
        <f t="shared" si="10"/>
        <v>46538</v>
      </c>
      <c r="C20" s="347">
        <f t="shared" si="11"/>
        <v>131</v>
      </c>
      <c r="D20" s="18">
        <f ca="1">INDEX('Monthly Cash Flow'!$L$160:$GT$160, MATCH(C20, 'Monthly Cash Flow'!$L$13:$GT$13, 0))</f>
        <v>0</v>
      </c>
      <c r="E20" s="18">
        <f t="shared" ca="1" si="0"/>
        <v>0</v>
      </c>
      <c r="F20" s="18">
        <f t="shared" ca="1" si="4"/>
        <v>0</v>
      </c>
      <c r="G20" s="18">
        <f t="shared" ca="1" si="1"/>
        <v>0</v>
      </c>
      <c r="H20" s="393">
        <f t="shared" ca="1" si="5"/>
        <v>0</v>
      </c>
      <c r="I20" s="388">
        <f>MAX($J$5, INDEX(LIBOR!$M$3:$M$122,MATCH(B20,LIBOR!$N$3:$N$122)))</f>
        <v>5.1999999999999998E-2</v>
      </c>
      <c r="J20" s="394">
        <f t="shared" si="6"/>
        <v>0.10100000000000001</v>
      </c>
      <c r="L20" s="392">
        <f t="shared" si="12"/>
        <v>44742</v>
      </c>
      <c r="M20" s="347">
        <f t="shared" si="13"/>
        <v>72</v>
      </c>
      <c r="N20" s="18">
        <v>7569.1368927018284</v>
      </c>
      <c r="O20" s="18">
        <f t="shared" si="2"/>
        <v>0</v>
      </c>
      <c r="P20" s="18">
        <f t="shared" si="7"/>
        <v>31.849540369392301</v>
      </c>
      <c r="Q20" s="18">
        <f t="shared" si="3"/>
        <v>-31.849540369392301</v>
      </c>
      <c r="R20" s="393">
        <f t="shared" si="8"/>
        <v>7600.9864330712207</v>
      </c>
      <c r="S20" s="388">
        <f>INDEX(LIBOR!$M$3:$M$122,MATCH(L20,LIBOR!$N$3:$N$122))</f>
        <v>1.4938E-3</v>
      </c>
      <c r="T20" s="394">
        <f t="shared" si="9"/>
        <v>5.0493800000000005E-2</v>
      </c>
    </row>
    <row r="21" spans="2:20">
      <c r="B21" s="392">
        <f t="shared" si="10"/>
        <v>46568</v>
      </c>
      <c r="C21" s="347">
        <f t="shared" si="11"/>
        <v>132</v>
      </c>
      <c r="D21" s="18">
        <f ca="1">INDEX('Monthly Cash Flow'!$L$160:$GT$160, MATCH(C21, 'Monthly Cash Flow'!$L$13:$GT$13, 0))</f>
        <v>0</v>
      </c>
      <c r="E21" s="18">
        <f t="shared" ca="1" si="0"/>
        <v>0</v>
      </c>
      <c r="F21" s="18">
        <f t="shared" ca="1" si="4"/>
        <v>0</v>
      </c>
      <c r="G21" s="18">
        <f t="shared" ca="1" si="1"/>
        <v>0</v>
      </c>
      <c r="H21" s="393">
        <f t="shared" ca="1" si="5"/>
        <v>0</v>
      </c>
      <c r="I21" s="388">
        <f>MAX($J$5, INDEX(LIBOR!$M$3:$M$122,MATCH(B21,LIBOR!$N$3:$N$122)))</f>
        <v>5.1999999999999998E-2</v>
      </c>
      <c r="J21" s="394">
        <f t="shared" si="6"/>
        <v>0.10100000000000001</v>
      </c>
      <c r="L21" s="392">
        <f t="shared" si="12"/>
        <v>44773</v>
      </c>
      <c r="M21" s="347">
        <f t="shared" si="13"/>
        <v>73</v>
      </c>
      <c r="N21" s="18">
        <v>7559.8218207809205</v>
      </c>
      <c r="O21" s="18">
        <f t="shared" si="2"/>
        <v>0</v>
      </c>
      <c r="P21" s="18">
        <f t="shared" si="7"/>
        <v>31.795476604931434</v>
      </c>
      <c r="Q21" s="18">
        <f t="shared" si="3"/>
        <v>-31.795476604931434</v>
      </c>
      <c r="R21" s="393">
        <f t="shared" si="8"/>
        <v>7591.617297385852</v>
      </c>
      <c r="S21" s="388">
        <f>INDEX(LIBOR!$M$3:$M$122,MATCH(L21,LIBOR!$N$3:$N$122))</f>
        <v>1.4702000000000001E-3</v>
      </c>
      <c r="T21" s="394">
        <f t="shared" si="9"/>
        <v>5.04702E-2</v>
      </c>
    </row>
    <row r="22" spans="2:20">
      <c r="B22" s="392">
        <f t="shared" si="10"/>
        <v>46599</v>
      </c>
      <c r="C22" s="347">
        <f t="shared" si="11"/>
        <v>133</v>
      </c>
      <c r="D22" s="18">
        <f ca="1">INDEX('Monthly Cash Flow'!$L$160:$GT$160, MATCH(C22, 'Monthly Cash Flow'!$L$13:$GT$13, 0))</f>
        <v>0</v>
      </c>
      <c r="E22" s="18">
        <f t="shared" ca="1" si="0"/>
        <v>0</v>
      </c>
      <c r="F22" s="18">
        <f t="shared" ca="1" si="4"/>
        <v>0</v>
      </c>
      <c r="G22" s="18">
        <f t="shared" ca="1" si="1"/>
        <v>0</v>
      </c>
      <c r="H22" s="393">
        <f t="shared" ca="1" si="5"/>
        <v>0</v>
      </c>
      <c r="I22" s="388">
        <f>MAX($J$5, INDEX(LIBOR!$M$3:$M$122,MATCH(B22,LIBOR!$N$3:$N$122)))</f>
        <v>5.1999999999999998E-2</v>
      </c>
      <c r="J22" s="394">
        <f t="shared" si="6"/>
        <v>0.10100000000000001</v>
      </c>
      <c r="L22" s="392">
        <f t="shared" si="12"/>
        <v>44804</v>
      </c>
      <c r="M22" s="347">
        <f t="shared" si="13"/>
        <v>74</v>
      </c>
      <c r="N22" s="18">
        <v>7550.4831646165812</v>
      </c>
      <c r="O22" s="18">
        <f t="shared" si="2"/>
        <v>0</v>
      </c>
      <c r="P22" s="18">
        <f t="shared" si="7"/>
        <v>31.765574801165386</v>
      </c>
      <c r="Q22" s="18">
        <f t="shared" si="3"/>
        <v>-31.765574801165386</v>
      </c>
      <c r="R22" s="393">
        <f t="shared" si="8"/>
        <v>7582.2487394177469</v>
      </c>
      <c r="S22" s="388">
        <f>INDEX(LIBOR!$M$3:$M$122,MATCH(L22,LIBOR!$N$3:$N$122))</f>
        <v>1.4851E-3</v>
      </c>
      <c r="T22" s="394">
        <f t="shared" si="9"/>
        <v>5.0485100000000005E-2</v>
      </c>
    </row>
    <row r="23" spans="2:20">
      <c r="B23" s="392">
        <f t="shared" si="10"/>
        <v>46630</v>
      </c>
      <c r="C23" s="347">
        <f t="shared" si="11"/>
        <v>134</v>
      </c>
      <c r="D23" s="18">
        <f ca="1">INDEX('Monthly Cash Flow'!$L$160:$GT$160, MATCH(C23, 'Monthly Cash Flow'!$L$13:$GT$13, 0))</f>
        <v>0</v>
      </c>
      <c r="E23" s="18">
        <f t="shared" ca="1" si="0"/>
        <v>0</v>
      </c>
      <c r="F23" s="18">
        <f t="shared" ca="1" si="4"/>
        <v>0</v>
      </c>
      <c r="G23" s="18">
        <f t="shared" ca="1" si="1"/>
        <v>0</v>
      </c>
      <c r="H23" s="393">
        <f t="shared" ca="1" si="5"/>
        <v>0</v>
      </c>
      <c r="I23" s="388">
        <f>MAX($J$5, INDEX(LIBOR!$M$3:$M$122,MATCH(B23,LIBOR!$N$3:$N$122)))</f>
        <v>5.1999999999999998E-2</v>
      </c>
      <c r="J23" s="394">
        <f t="shared" si="6"/>
        <v>0.10100000000000001</v>
      </c>
      <c r="L23" s="392">
        <f t="shared" si="12"/>
        <v>44834</v>
      </c>
      <c r="M23" s="347">
        <f t="shared" si="13"/>
        <v>75</v>
      </c>
      <c r="N23" s="18">
        <v>7541.1184580581703</v>
      </c>
      <c r="O23" s="18">
        <f t="shared" si="2"/>
        <v>0</v>
      </c>
      <c r="P23" s="18">
        <f t="shared" si="7"/>
        <v>31.757346578536019</v>
      </c>
      <c r="Q23" s="18">
        <f t="shared" si="3"/>
        <v>-31.757346578536019</v>
      </c>
      <c r="R23" s="393">
        <f t="shared" si="8"/>
        <v>7572.8758046367066</v>
      </c>
      <c r="S23" s="388">
        <f>INDEX(LIBOR!$M$3:$M$122,MATCH(L23,LIBOR!$N$3:$N$122))</f>
        <v>1.5347E-3</v>
      </c>
      <c r="T23" s="394">
        <f t="shared" si="9"/>
        <v>5.0534700000000002E-2</v>
      </c>
    </row>
    <row r="24" spans="2:20">
      <c r="B24" s="392">
        <f t="shared" si="10"/>
        <v>46660</v>
      </c>
      <c r="C24" s="347">
        <f t="shared" si="11"/>
        <v>135</v>
      </c>
      <c r="D24" s="18">
        <f ca="1">INDEX('Monthly Cash Flow'!$L$160:$GT$160, MATCH(C24, 'Monthly Cash Flow'!$L$13:$GT$13, 0))</f>
        <v>0</v>
      </c>
      <c r="E24" s="18">
        <f t="shared" ca="1" si="0"/>
        <v>0</v>
      </c>
      <c r="F24" s="18">
        <f t="shared" ca="1" si="4"/>
        <v>0</v>
      </c>
      <c r="G24" s="18">
        <f t="shared" ca="1" si="1"/>
        <v>0</v>
      </c>
      <c r="H24" s="393">
        <f t="shared" ca="1" si="5"/>
        <v>0</v>
      </c>
      <c r="I24" s="388">
        <f>MAX($J$5, INDEX(LIBOR!$M$3:$M$122,MATCH(B24,LIBOR!$N$3:$N$122)))</f>
        <v>5.1999999999999998E-2</v>
      </c>
      <c r="J24" s="394">
        <f t="shared" si="6"/>
        <v>0.10100000000000001</v>
      </c>
      <c r="K24" s="25"/>
      <c r="L24" s="392">
        <f t="shared" si="12"/>
        <v>44865</v>
      </c>
      <c r="M24" s="347">
        <f t="shared" si="13"/>
        <v>76</v>
      </c>
      <c r="N24" s="18">
        <v>7531.7282502622129</v>
      </c>
      <c r="O24" s="18">
        <f t="shared" si="2"/>
        <v>0</v>
      </c>
      <c r="P24" s="18">
        <f t="shared" si="7"/>
        <v>31.75295036587838</v>
      </c>
      <c r="Q24" s="18">
        <f t="shared" si="3"/>
        <v>-31.75295036587838</v>
      </c>
      <c r="R24" s="393">
        <f t="shared" si="8"/>
        <v>7563.4812006280908</v>
      </c>
      <c r="S24" s="388">
        <f>INDEX(LIBOR!$M$3:$M$122,MATCH(L24,LIBOR!$N$3:$N$122))</f>
        <v>1.5907E-3</v>
      </c>
      <c r="T24" s="394">
        <f t="shared" si="9"/>
        <v>5.0590700000000002E-2</v>
      </c>
    </row>
    <row r="25" spans="2:20">
      <c r="B25" s="392">
        <f t="shared" si="10"/>
        <v>46691</v>
      </c>
      <c r="C25" s="347">
        <f t="shared" si="11"/>
        <v>136</v>
      </c>
      <c r="D25" s="18">
        <f ca="1">INDEX('Monthly Cash Flow'!$L$160:$GT$160, MATCH(C25, 'Monthly Cash Flow'!$L$13:$GT$13, 0))</f>
        <v>0</v>
      </c>
      <c r="E25" s="18">
        <f t="shared" ca="1" si="0"/>
        <v>0</v>
      </c>
      <c r="F25" s="18">
        <f t="shared" ca="1" si="4"/>
        <v>0</v>
      </c>
      <c r="G25" s="18">
        <f t="shared" ca="1" si="1"/>
        <v>0</v>
      </c>
      <c r="H25" s="393">
        <f t="shared" ca="1" si="5"/>
        <v>0</v>
      </c>
      <c r="I25" s="388">
        <f>MAX($J$5, INDEX(LIBOR!$M$3:$M$122,MATCH(B25,LIBOR!$N$3:$N$122)))</f>
        <v>5.1999999999999998E-2</v>
      </c>
      <c r="J25" s="394">
        <f t="shared" si="6"/>
        <v>0.10100000000000001</v>
      </c>
      <c r="L25" s="392">
        <f t="shared" si="12"/>
        <v>44895</v>
      </c>
      <c r="M25" s="347">
        <f t="shared" si="13"/>
        <v>77</v>
      </c>
      <c r="N25" s="18">
        <v>7522.309210136772</v>
      </c>
      <c r="O25" s="18">
        <f t="shared" si="2"/>
        <v>0</v>
      </c>
      <c r="P25" s="18">
        <f t="shared" si="7"/>
        <v>55.225471867589704</v>
      </c>
      <c r="Q25" s="18">
        <f t="shared" si="3"/>
        <v>-55.225471867589704</v>
      </c>
      <c r="R25" s="393">
        <f t="shared" si="8"/>
        <v>7577.5346820043615</v>
      </c>
      <c r="S25" s="388">
        <f>INDEX(LIBOR!$M$3:$M$122,MATCH(L25,LIBOR!$N$3:$N$122))</f>
        <v>3.90987E-2</v>
      </c>
      <c r="T25" s="394">
        <f t="shared" si="9"/>
        <v>8.8098700000000002E-2</v>
      </c>
    </row>
    <row r="26" spans="2:20">
      <c r="B26" s="392">
        <f t="shared" si="10"/>
        <v>46721</v>
      </c>
      <c r="C26" s="347">
        <f t="shared" si="11"/>
        <v>137</v>
      </c>
      <c r="D26" s="18">
        <f ca="1">INDEX('Monthly Cash Flow'!$L$160:$GT$160, MATCH(C26, 'Monthly Cash Flow'!$L$13:$GT$13, 0))</f>
        <v>0</v>
      </c>
      <c r="E26" s="18">
        <f t="shared" ca="1" si="0"/>
        <v>0</v>
      </c>
      <c r="F26" s="18">
        <f t="shared" ca="1" si="4"/>
        <v>0</v>
      </c>
      <c r="G26" s="18">
        <f t="shared" ca="1" si="1"/>
        <v>0</v>
      </c>
      <c r="H26" s="393">
        <f t="shared" ca="1" si="5"/>
        <v>0</v>
      </c>
      <c r="I26" s="388">
        <f>MAX($J$5, INDEX(LIBOR!$M$3:$M$122,MATCH(B26,LIBOR!$N$3:$N$122)))</f>
        <v>5.1999999999999998E-2</v>
      </c>
      <c r="J26" s="394">
        <f t="shared" si="6"/>
        <v>0.10100000000000001</v>
      </c>
      <c r="L26" s="392">
        <f t="shared" si="12"/>
        <v>44926</v>
      </c>
      <c r="M26" s="347">
        <f t="shared" si="13"/>
        <v>78</v>
      </c>
      <c r="N26" s="18">
        <v>7512.859705403077</v>
      </c>
      <c r="O26" s="18">
        <f t="shared" si="2"/>
        <v>0</v>
      </c>
      <c r="P26" s="18">
        <f t="shared" si="7"/>
        <v>58.52398756896995</v>
      </c>
      <c r="Q26" s="18">
        <f t="shared" si="3"/>
        <v>-58.52398756896995</v>
      </c>
      <c r="R26" s="393">
        <f t="shared" si="8"/>
        <v>7571.3836929720474</v>
      </c>
      <c r="S26" s="388">
        <f>INDEX(LIBOR!$M$3:$M$122,MATCH(L26,LIBOR!$N$3:$N$122))</f>
        <v>4.44781E-2</v>
      </c>
      <c r="T26" s="394">
        <f t="shared" si="9"/>
        <v>9.3478100000000008E-2</v>
      </c>
    </row>
    <row r="27" spans="2:20">
      <c r="B27" s="392">
        <f t="shared" si="10"/>
        <v>46752</v>
      </c>
      <c r="C27" s="347">
        <f t="shared" si="11"/>
        <v>138</v>
      </c>
      <c r="D27" s="18">
        <f ca="1">INDEX('Monthly Cash Flow'!$L$160:$GT$160, MATCH(C27, 'Monthly Cash Flow'!$L$13:$GT$13, 0))</f>
        <v>0</v>
      </c>
      <c r="E27" s="18">
        <f t="shared" ca="1" si="0"/>
        <v>0</v>
      </c>
      <c r="F27" s="18">
        <f t="shared" ca="1" si="4"/>
        <v>0</v>
      </c>
      <c r="G27" s="18">
        <f t="shared" ca="1" si="1"/>
        <v>0</v>
      </c>
      <c r="H27" s="393">
        <f t="shared" ca="1" si="5"/>
        <v>0</v>
      </c>
      <c r="I27" s="388">
        <f>MAX($J$5, INDEX(LIBOR!$M$3:$M$122,MATCH(B27,LIBOR!$N$3:$N$122)))</f>
        <v>5.1999999999999998E-2</v>
      </c>
      <c r="J27" s="394">
        <f t="shared" si="6"/>
        <v>0.10100000000000001</v>
      </c>
      <c r="L27" s="392">
        <f t="shared" si="12"/>
        <v>44957</v>
      </c>
      <c r="M27" s="347">
        <f t="shared" si="13"/>
        <v>79</v>
      </c>
      <c r="N27" s="18">
        <v>7503.3792840161386</v>
      </c>
      <c r="O27" s="18">
        <f t="shared" si="2"/>
        <v>0</v>
      </c>
      <c r="P27" s="18">
        <f t="shared" si="7"/>
        <v>60.747733852358863</v>
      </c>
      <c r="Q27" s="18">
        <f t="shared" si="3"/>
        <v>-60.747733852358863</v>
      </c>
      <c r="R27" s="393">
        <f t="shared" si="8"/>
        <v>7564.1270178684972</v>
      </c>
      <c r="S27" s="388">
        <f>INDEX(LIBOR!$M$3:$M$122,MATCH(L27,LIBOR!$N$3:$N$122))</f>
        <v>4.8152599999999997E-2</v>
      </c>
      <c r="T27" s="394">
        <f t="shared" si="9"/>
        <v>9.7152600000000006E-2</v>
      </c>
    </row>
    <row r="28" spans="2:20">
      <c r="B28" s="392">
        <f t="shared" si="10"/>
        <v>46783</v>
      </c>
      <c r="C28" s="347">
        <f t="shared" si="11"/>
        <v>139</v>
      </c>
      <c r="D28" s="18">
        <f ca="1">INDEX('Monthly Cash Flow'!$L$160:$GT$160, MATCH(C28, 'Monthly Cash Flow'!$L$13:$GT$13, 0))</f>
        <v>0</v>
      </c>
      <c r="E28" s="18">
        <f t="shared" ca="1" si="0"/>
        <v>0</v>
      </c>
      <c r="F28" s="18">
        <f t="shared" ca="1" si="4"/>
        <v>0</v>
      </c>
      <c r="G28" s="18">
        <f t="shared" ca="1" si="1"/>
        <v>0</v>
      </c>
      <c r="H28" s="393">
        <f t="shared" ca="1" si="5"/>
        <v>0</v>
      </c>
      <c r="I28" s="388">
        <f>MAX($J$5, INDEX(LIBOR!$M$3:$M$122,MATCH(B28,LIBOR!$N$3:$N$122)))</f>
        <v>5.1999999999999998E-2</v>
      </c>
      <c r="J28" s="394">
        <f t="shared" si="6"/>
        <v>0.10100000000000001</v>
      </c>
      <c r="L28" s="392">
        <f t="shared" si="12"/>
        <v>44985</v>
      </c>
      <c r="M28" s="347">
        <f t="shared" si="13"/>
        <v>80</v>
      </c>
      <c r="N28" s="18">
        <v>7493.8645859638755</v>
      </c>
      <c r="O28" s="18">
        <f t="shared" si="2"/>
        <v>0</v>
      </c>
      <c r="P28" s="18">
        <f t="shared" si="7"/>
        <v>61.969139318454182</v>
      </c>
      <c r="Q28" s="18">
        <f t="shared" si="3"/>
        <v>-61.969139318454182</v>
      </c>
      <c r="R28" s="393">
        <f t="shared" si="8"/>
        <v>7555.8337252823294</v>
      </c>
      <c r="S28" s="388">
        <f>INDEX(LIBOR!$M$3:$M$122,MATCH(L28,LIBOR!$N$3:$N$122))</f>
        <v>5.02318E-2</v>
      </c>
      <c r="T28" s="394">
        <f t="shared" si="9"/>
        <v>9.9231800000000009E-2</v>
      </c>
    </row>
    <row r="29" spans="2:20">
      <c r="B29" s="392">
        <f t="shared" si="10"/>
        <v>46812</v>
      </c>
      <c r="C29" s="347">
        <f t="shared" si="11"/>
        <v>140</v>
      </c>
      <c r="D29" s="18">
        <f ca="1">INDEX('Monthly Cash Flow'!$L$160:$GT$160, MATCH(C29, 'Monthly Cash Flow'!$L$13:$GT$13, 0))</f>
        <v>0</v>
      </c>
      <c r="E29" s="18">
        <f t="shared" ca="1" si="0"/>
        <v>0</v>
      </c>
      <c r="F29" s="18">
        <f t="shared" ca="1" si="4"/>
        <v>0</v>
      </c>
      <c r="G29" s="18">
        <f t="shared" ca="1" si="1"/>
        <v>0</v>
      </c>
      <c r="H29" s="393">
        <f t="shared" ca="1" si="5"/>
        <v>0</v>
      </c>
      <c r="I29" s="388">
        <f>MAX($J$5, INDEX(LIBOR!$M$3:$M$122,MATCH(B29,LIBOR!$N$3:$N$122)))</f>
        <v>5.1999999999999998E-2</v>
      </c>
      <c r="J29" s="394">
        <f t="shared" si="6"/>
        <v>0.10100000000000001</v>
      </c>
      <c r="L29" s="392">
        <f t="shared" si="12"/>
        <v>45016</v>
      </c>
      <c r="M29" s="347">
        <f t="shared" si="13"/>
        <v>81</v>
      </c>
      <c r="N29" s="18">
        <v>7484.3141266665771</v>
      </c>
      <c r="O29" s="18">
        <f t="shared" si="2"/>
        <v>0</v>
      </c>
      <c r="P29" s="18">
        <f t="shared" si="7"/>
        <v>62.368535957475473</v>
      </c>
      <c r="Q29" s="18">
        <f t="shared" si="3"/>
        <v>-62.368535957475473</v>
      </c>
      <c r="R29" s="393">
        <f t="shared" si="8"/>
        <v>7546.6826626240527</v>
      </c>
      <c r="S29" s="388">
        <f>INDEX(LIBOR!$M$3:$M$122,MATCH(L29,LIBOR!$N$3:$N$122))</f>
        <v>5.0998799999999997E-2</v>
      </c>
      <c r="T29" s="394">
        <f t="shared" si="9"/>
        <v>9.9998799999999999E-2</v>
      </c>
    </row>
    <row r="30" spans="2:20">
      <c r="B30" s="392">
        <f t="shared" si="10"/>
        <v>46843</v>
      </c>
      <c r="C30" s="347">
        <f t="shared" si="11"/>
        <v>141</v>
      </c>
      <c r="D30" s="18">
        <f ca="1">INDEX('Monthly Cash Flow'!$L$160:$GT$160, MATCH(C30, 'Monthly Cash Flow'!$L$13:$GT$13, 0))</f>
        <v>0</v>
      </c>
      <c r="E30" s="18">
        <f t="shared" ca="1" si="0"/>
        <v>0</v>
      </c>
      <c r="F30" s="18">
        <f t="shared" ca="1" si="4"/>
        <v>0</v>
      </c>
      <c r="G30" s="18">
        <f t="shared" ca="1" si="1"/>
        <v>0</v>
      </c>
      <c r="H30" s="393">
        <f t="shared" ca="1" si="5"/>
        <v>0</v>
      </c>
      <c r="I30" s="388">
        <f>MAX($J$5, INDEX(LIBOR!$M$3:$M$122,MATCH(B30,LIBOR!$N$3:$N$122)))</f>
        <v>5.1999999999999998E-2</v>
      </c>
      <c r="J30" s="394">
        <f t="shared" si="6"/>
        <v>0.10100000000000001</v>
      </c>
      <c r="L30" s="392">
        <f t="shared" si="12"/>
        <v>45046</v>
      </c>
      <c r="M30" s="347">
        <f t="shared" si="13"/>
        <v>82</v>
      </c>
      <c r="N30" s="18">
        <v>7474.7278895797162</v>
      </c>
      <c r="O30" s="18">
        <f t="shared" si="2"/>
        <v>0</v>
      </c>
      <c r="P30" s="18">
        <f t="shared" si="7"/>
        <v>62.335742392746369</v>
      </c>
      <c r="Q30" s="18">
        <f t="shared" si="3"/>
        <v>-62.335742392746369</v>
      </c>
      <c r="R30" s="393">
        <f t="shared" si="8"/>
        <v>7537.0636319724626</v>
      </c>
      <c r="S30" s="388">
        <f>INDEX(LIBOR!$M$3:$M$122,MATCH(L30,LIBOR!$N$3:$N$122))</f>
        <v>5.1074399999999999E-2</v>
      </c>
      <c r="T30" s="394">
        <f t="shared" si="9"/>
        <v>0.10007440000000001</v>
      </c>
    </row>
    <row r="31" spans="2:20">
      <c r="B31" s="392">
        <f t="shared" si="10"/>
        <v>46873</v>
      </c>
      <c r="C31" s="347">
        <f t="shared" si="11"/>
        <v>142</v>
      </c>
      <c r="D31" s="18">
        <f ca="1">INDEX('Monthly Cash Flow'!$L$160:$GT$160, MATCH(C31, 'Monthly Cash Flow'!$L$13:$GT$13, 0))</f>
        <v>0</v>
      </c>
      <c r="E31" s="18">
        <f t="shared" ca="1" si="0"/>
        <v>0</v>
      </c>
      <c r="F31" s="18">
        <f t="shared" ca="1" si="4"/>
        <v>0</v>
      </c>
      <c r="G31" s="18">
        <f t="shared" ca="1" si="1"/>
        <v>0</v>
      </c>
      <c r="H31" s="393">
        <f t="shared" ca="1" si="5"/>
        <v>0</v>
      </c>
      <c r="I31" s="388">
        <f>MAX($J$5, INDEX(LIBOR!$M$3:$M$122,MATCH(B31,LIBOR!$N$3:$N$122)))</f>
        <v>5.1999999999999998E-2</v>
      </c>
      <c r="J31" s="394">
        <f t="shared" si="6"/>
        <v>0.10100000000000001</v>
      </c>
      <c r="L31" s="392">
        <f t="shared" si="12"/>
        <v>45077</v>
      </c>
      <c r="M31" s="347">
        <f t="shared" si="13"/>
        <v>83</v>
      </c>
      <c r="N31" s="18">
        <v>7465.1029224226149</v>
      </c>
      <c r="O31" s="18">
        <f t="shared" si="2"/>
        <v>0</v>
      </c>
      <c r="P31" s="18">
        <f t="shared" si="7"/>
        <v>62.099827262374966</v>
      </c>
      <c r="Q31" s="18">
        <f t="shared" si="3"/>
        <v>-62.099827262374966</v>
      </c>
      <c r="R31" s="393">
        <f t="shared" si="8"/>
        <v>7527.2027496849896</v>
      </c>
      <c r="S31" s="388">
        <f>INDEX(LIBOR!$M$3:$M$122,MATCH(L31,LIBOR!$N$3:$N$122))</f>
        <v>5.08242E-2</v>
      </c>
      <c r="T31" s="394">
        <f t="shared" si="9"/>
        <v>9.9824200000000002E-2</v>
      </c>
    </row>
    <row r="32" spans="2:20">
      <c r="B32" s="392">
        <f t="shared" si="10"/>
        <v>46904</v>
      </c>
      <c r="C32" s="347">
        <f t="shared" si="11"/>
        <v>143</v>
      </c>
      <c r="D32" s="18">
        <f ca="1">INDEX('Monthly Cash Flow'!$L$160:$GT$160, MATCH(C32, 'Monthly Cash Flow'!$L$13:$GT$13, 0))</f>
        <v>0</v>
      </c>
      <c r="E32" s="18">
        <f t="shared" ca="1" si="0"/>
        <v>0</v>
      </c>
      <c r="F32" s="18">
        <f t="shared" ca="1" si="4"/>
        <v>0</v>
      </c>
      <c r="G32" s="18">
        <f t="shared" ca="1" si="1"/>
        <v>0</v>
      </c>
      <c r="H32" s="393">
        <f t="shared" ca="1" si="5"/>
        <v>0</v>
      </c>
      <c r="I32" s="388">
        <f>MAX($J$5, INDEX(LIBOR!$M$3:$M$122,MATCH(B32,LIBOR!$N$3:$N$122)))</f>
        <v>5.1999999999999998E-2</v>
      </c>
      <c r="J32" s="394">
        <f t="shared" si="6"/>
        <v>0.10100000000000001</v>
      </c>
      <c r="L32" s="392">
        <f t="shared" si="12"/>
        <v>45107</v>
      </c>
      <c r="M32" s="347">
        <f t="shared" si="13"/>
        <v>84</v>
      </c>
      <c r="N32" s="18">
        <v>7455.4393690486286</v>
      </c>
      <c r="O32" s="18">
        <f t="shared" si="2"/>
        <v>0</v>
      </c>
      <c r="P32" s="18">
        <f t="shared" si="7"/>
        <v>61.691710533050916</v>
      </c>
      <c r="Q32" s="18">
        <f t="shared" si="3"/>
        <v>-61.691710533050916</v>
      </c>
      <c r="R32" s="393">
        <f t="shared" si="8"/>
        <v>7517.1310795816798</v>
      </c>
      <c r="S32" s="388">
        <f>INDEX(LIBOR!$M$3:$M$122,MATCH(L32,LIBOR!$N$3:$N$122))</f>
        <v>5.02967E-2</v>
      </c>
      <c r="T32" s="394">
        <f t="shared" si="9"/>
        <v>9.9296700000000002E-2</v>
      </c>
    </row>
    <row r="33" spans="2:20">
      <c r="B33" s="392">
        <f t="shared" si="10"/>
        <v>46934</v>
      </c>
      <c r="C33" s="347">
        <f t="shared" si="11"/>
        <v>144</v>
      </c>
      <c r="D33" s="18">
        <f ca="1">INDEX('Monthly Cash Flow'!$L$160:$GT$160, MATCH(C33, 'Monthly Cash Flow'!$L$13:$GT$13, 0))</f>
        <v>0</v>
      </c>
      <c r="E33" s="18">
        <f t="shared" ca="1" si="0"/>
        <v>0</v>
      </c>
      <c r="F33" s="18">
        <f t="shared" ca="1" si="4"/>
        <v>0</v>
      </c>
      <c r="G33" s="18">
        <f t="shared" ca="1" si="1"/>
        <v>0</v>
      </c>
      <c r="H33" s="393">
        <f t="shared" ca="1" si="5"/>
        <v>0</v>
      </c>
      <c r="I33" s="388">
        <f>MAX($J$5, INDEX(LIBOR!$M$3:$M$122,MATCH(B33,LIBOR!$N$3:$N$122)))</f>
        <v>5.1999999999999998E-2</v>
      </c>
      <c r="J33" s="394">
        <f t="shared" si="6"/>
        <v>0.10100000000000001</v>
      </c>
      <c r="L33" s="392">
        <f t="shared" si="12"/>
        <v>45138</v>
      </c>
      <c r="M33" s="347">
        <f t="shared" si="13"/>
        <v>85</v>
      </c>
      <c r="N33" s="18">
        <v>7445.738517631773</v>
      </c>
      <c r="O33" s="18">
        <f t="shared" si="2"/>
        <v>0</v>
      </c>
      <c r="P33" s="18">
        <f t="shared" si="7"/>
        <v>61.170837078529708</v>
      </c>
      <c r="Q33" s="18">
        <f t="shared" si="3"/>
        <v>-61.170837078529708</v>
      </c>
      <c r="R33" s="393">
        <f t="shared" si="8"/>
        <v>7506.909354710303</v>
      </c>
      <c r="S33" s="388">
        <f>INDEX(LIBOR!$M$3:$M$122,MATCH(L33,LIBOR!$N$3:$N$122))</f>
        <v>4.9586600000000002E-2</v>
      </c>
      <c r="T33" s="394">
        <f t="shared" si="9"/>
        <v>9.8586599999999996E-2</v>
      </c>
    </row>
    <row r="34" spans="2:20">
      <c r="B34" s="392">
        <f t="shared" si="10"/>
        <v>46965</v>
      </c>
      <c r="C34" s="347">
        <f t="shared" si="11"/>
        <v>145</v>
      </c>
      <c r="D34" s="18">
        <f ca="1">INDEX('Monthly Cash Flow'!$L$160:$GT$160, MATCH(C34, 'Monthly Cash Flow'!$L$13:$GT$13, 0))</f>
        <v>0</v>
      </c>
      <c r="E34" s="18">
        <f t="shared" ca="1" si="0"/>
        <v>0</v>
      </c>
      <c r="F34" s="18">
        <f t="shared" ca="1" si="4"/>
        <v>0</v>
      </c>
      <c r="G34" s="18">
        <f t="shared" ca="1" si="1"/>
        <v>0</v>
      </c>
      <c r="H34" s="393">
        <f t="shared" ca="1" si="5"/>
        <v>0</v>
      </c>
      <c r="I34" s="388">
        <f>MAX($J$5, INDEX(LIBOR!$M$3:$M$122,MATCH(B34,LIBOR!$N$3:$N$122)))</f>
        <v>5.1999999999999998E-2</v>
      </c>
      <c r="J34" s="394">
        <f t="shared" si="6"/>
        <v>0.10100000000000001</v>
      </c>
      <c r="L34" s="392">
        <f t="shared" si="12"/>
        <v>45169</v>
      </c>
      <c r="M34" s="347">
        <f t="shared" si="13"/>
        <v>86</v>
      </c>
      <c r="N34" s="18">
        <v>7435.9989285387119</v>
      </c>
      <c r="O34" s="18">
        <f t="shared" si="2"/>
        <v>0</v>
      </c>
      <c r="P34" s="18">
        <f t="shared" si="7"/>
        <v>60.628921530578488</v>
      </c>
      <c r="Q34" s="18">
        <f t="shared" si="3"/>
        <v>-60.628921530578488</v>
      </c>
      <c r="R34" s="393">
        <f t="shared" si="8"/>
        <v>7496.6278500692906</v>
      </c>
      <c r="S34" s="388">
        <f>INDEX(LIBOR!$M$3:$M$122,MATCH(L34,LIBOR!$N$3:$N$122))</f>
        <v>4.8841200000000001E-2</v>
      </c>
      <c r="T34" s="394">
        <f t="shared" si="9"/>
        <v>9.7841200000000003E-2</v>
      </c>
    </row>
    <row r="35" spans="2:20">
      <c r="B35" s="392">
        <f t="shared" si="10"/>
        <v>46996</v>
      </c>
      <c r="C35" s="347">
        <f t="shared" si="11"/>
        <v>146</v>
      </c>
      <c r="D35" s="18">
        <f ca="1">INDEX('Monthly Cash Flow'!$L$160:$GT$160, MATCH(C35, 'Monthly Cash Flow'!$L$13:$GT$13, 0))</f>
        <v>0</v>
      </c>
      <c r="E35" s="18">
        <f t="shared" ca="1" si="0"/>
        <v>0</v>
      </c>
      <c r="F35" s="18">
        <f t="shared" ca="1" si="4"/>
        <v>0</v>
      </c>
      <c r="G35" s="18">
        <f t="shared" ca="1" si="1"/>
        <v>0</v>
      </c>
      <c r="H35" s="393">
        <f t="shared" ca="1" si="5"/>
        <v>0</v>
      </c>
      <c r="I35" s="388">
        <f>MAX($J$5, INDEX(LIBOR!$M$3:$M$122,MATCH(B35,LIBOR!$N$3:$N$122)))</f>
        <v>5.1999999999999998E-2</v>
      </c>
      <c r="J35" s="394">
        <f t="shared" si="6"/>
        <v>0.10100000000000001</v>
      </c>
      <c r="L35" s="392">
        <f t="shared" si="12"/>
        <v>45199</v>
      </c>
      <c r="M35" s="347">
        <f t="shared" si="13"/>
        <v>87</v>
      </c>
      <c r="N35" s="18">
        <v>7426.2221115570837</v>
      </c>
      <c r="O35" s="18">
        <f t="shared" si="2"/>
        <v>0</v>
      </c>
      <c r="P35" s="18">
        <f t="shared" si="7"/>
        <v>60.001027942905132</v>
      </c>
      <c r="Q35" s="18">
        <f t="shared" si="3"/>
        <v>-60.001027942905132</v>
      </c>
      <c r="R35" s="393">
        <f t="shared" si="8"/>
        <v>7486.223139499989</v>
      </c>
      <c r="S35" s="388">
        <f>INDEX(LIBOR!$M$3:$M$122,MATCH(L35,LIBOR!$N$3:$N$122))</f>
        <v>4.7955400000000002E-2</v>
      </c>
      <c r="T35" s="394">
        <f t="shared" si="9"/>
        <v>9.6955399999999997E-2</v>
      </c>
    </row>
    <row r="36" spans="2:20">
      <c r="B36" s="392">
        <f t="shared" si="10"/>
        <v>47026</v>
      </c>
      <c r="C36" s="347">
        <f t="shared" si="11"/>
        <v>147</v>
      </c>
      <c r="D36" s="18">
        <f ca="1">INDEX('Monthly Cash Flow'!$L$160:$GT$160, MATCH(C36, 'Monthly Cash Flow'!$L$13:$GT$13, 0))</f>
        <v>0</v>
      </c>
      <c r="E36" s="18">
        <f t="shared" ca="1" si="0"/>
        <v>0</v>
      </c>
      <c r="F36" s="18">
        <f t="shared" ca="1" si="4"/>
        <v>0</v>
      </c>
      <c r="G36" s="18">
        <f t="shared" ca="1" si="1"/>
        <v>0</v>
      </c>
      <c r="H36" s="393">
        <f t="shared" ca="1" si="5"/>
        <v>0</v>
      </c>
      <c r="I36" s="388">
        <f>MAX($J$5, INDEX(LIBOR!$M$3:$M$122,MATCH(B36,LIBOR!$N$3:$N$122)))</f>
        <v>5.1999999999999998E-2</v>
      </c>
      <c r="J36" s="394">
        <f t="shared" si="6"/>
        <v>0.10100000000000001</v>
      </c>
      <c r="L36" s="392">
        <f t="shared" si="12"/>
        <v>45230</v>
      </c>
      <c r="M36" s="347">
        <f t="shared" si="13"/>
        <v>88</v>
      </c>
      <c r="N36" s="18">
        <v>7416.4106356561997</v>
      </c>
      <c r="O36" s="18">
        <f t="shared" si="2"/>
        <v>0</v>
      </c>
      <c r="P36" s="18">
        <f t="shared" si="7"/>
        <v>59.4275748166692</v>
      </c>
      <c r="Q36" s="18">
        <f t="shared" si="3"/>
        <v>-59.4275748166692</v>
      </c>
      <c r="R36" s="393">
        <f t="shared" si="8"/>
        <v>7475.8382104728689</v>
      </c>
      <c r="S36" s="388">
        <f>INDEX(LIBOR!$M$3:$M$122,MATCH(L36,LIBOR!$N$3:$N$122))</f>
        <v>4.7155799999999998E-2</v>
      </c>
      <c r="T36" s="394">
        <f t="shared" si="9"/>
        <v>9.61558E-2</v>
      </c>
    </row>
    <row r="37" spans="2:20">
      <c r="B37" s="392">
        <f t="shared" si="10"/>
        <v>47057</v>
      </c>
      <c r="C37" s="347">
        <f t="shared" si="11"/>
        <v>148</v>
      </c>
      <c r="D37" s="18">
        <f ca="1">INDEX('Monthly Cash Flow'!$L$160:$GT$160, MATCH(C37, 'Monthly Cash Flow'!$L$13:$GT$13, 0))</f>
        <v>0</v>
      </c>
      <c r="E37" s="18">
        <f t="shared" ca="1" si="0"/>
        <v>0</v>
      </c>
      <c r="F37" s="18">
        <f t="shared" ca="1" si="4"/>
        <v>0</v>
      </c>
      <c r="G37" s="18">
        <f t="shared" ca="1" si="1"/>
        <v>0</v>
      </c>
      <c r="H37" s="393">
        <f t="shared" ca="1" si="5"/>
        <v>0</v>
      </c>
      <c r="I37" s="388">
        <f>MAX($J$5, INDEX(LIBOR!$M$3:$M$122,MATCH(B37,LIBOR!$N$3:$N$122)))</f>
        <v>5.1999999999999998E-2</v>
      </c>
      <c r="J37" s="394">
        <f t="shared" si="6"/>
        <v>0.10100000000000001</v>
      </c>
      <c r="L37" s="392">
        <f t="shared" si="12"/>
        <v>45260</v>
      </c>
      <c r="M37" s="347">
        <f t="shared" si="13"/>
        <v>89</v>
      </c>
      <c r="N37" s="18">
        <v>7406.5626973734197</v>
      </c>
      <c r="O37" s="18">
        <f t="shared" si="2"/>
        <v>0</v>
      </c>
      <c r="P37" s="18">
        <f t="shared" si="7"/>
        <v>58.718364965795111</v>
      </c>
      <c r="Q37" s="18">
        <f t="shared" si="3"/>
        <v>-58.718364965795111</v>
      </c>
      <c r="R37" s="393">
        <f t="shared" si="8"/>
        <v>7465.2810623392152</v>
      </c>
      <c r="S37" s="388">
        <f>INDEX(LIBOR!$M$3:$M$122,MATCH(L37,LIBOR!$N$3:$N$122))</f>
        <v>4.6134599999999998E-2</v>
      </c>
      <c r="T37" s="394">
        <f t="shared" si="9"/>
        <v>9.51346E-2</v>
      </c>
    </row>
    <row r="38" spans="2:20">
      <c r="B38" s="392">
        <f t="shared" si="10"/>
        <v>47087</v>
      </c>
      <c r="C38" s="347">
        <f t="shared" si="11"/>
        <v>149</v>
      </c>
      <c r="D38" s="18">
        <f ca="1">INDEX('Monthly Cash Flow'!$L$160:$GT$160, MATCH(C38, 'Monthly Cash Flow'!$L$13:$GT$13, 0))</f>
        <v>0</v>
      </c>
      <c r="E38" s="18">
        <f t="shared" ca="1" si="0"/>
        <v>0</v>
      </c>
      <c r="F38" s="18">
        <f t="shared" ca="1" si="4"/>
        <v>0</v>
      </c>
      <c r="G38" s="18">
        <f t="shared" ca="1" si="1"/>
        <v>0</v>
      </c>
      <c r="H38" s="393">
        <f t="shared" ca="1" si="5"/>
        <v>0</v>
      </c>
      <c r="I38" s="388">
        <f>MAX($J$5, INDEX(LIBOR!$M$3:$M$122,MATCH(B38,LIBOR!$N$3:$N$122)))</f>
        <v>5.1999999999999998E-2</v>
      </c>
      <c r="J38" s="394">
        <f t="shared" si="6"/>
        <v>0.10100000000000001</v>
      </c>
      <c r="L38" s="392">
        <f t="shared" si="12"/>
        <v>45291</v>
      </c>
      <c r="M38" s="347">
        <f t="shared" si="13"/>
        <v>90</v>
      </c>
      <c r="N38" s="18">
        <v>7396.6806171483568</v>
      </c>
      <c r="O38" s="18">
        <f t="shared" si="2"/>
        <v>0</v>
      </c>
      <c r="P38" s="18">
        <f t="shared" si="7"/>
        <v>57.980853465681967</v>
      </c>
      <c r="Q38" s="18">
        <f t="shared" si="3"/>
        <v>-57.980853465681967</v>
      </c>
      <c r="R38" s="393">
        <f t="shared" si="8"/>
        <v>7454.661470614039</v>
      </c>
      <c r="S38" s="388">
        <f>INDEX(LIBOR!$M$3:$M$122,MATCH(L38,LIBOR!$N$3:$N$122))</f>
        <v>4.50652E-2</v>
      </c>
      <c r="T38" s="394">
        <f t="shared" si="9"/>
        <v>9.4065200000000002E-2</v>
      </c>
    </row>
    <row r="39" spans="2:20">
      <c r="B39" s="392">
        <f t="shared" si="10"/>
        <v>47118</v>
      </c>
      <c r="C39" s="347">
        <f t="shared" si="11"/>
        <v>150</v>
      </c>
      <c r="D39" s="18">
        <f ca="1">INDEX('Monthly Cash Flow'!$L$160:$GT$160, MATCH(C39, 'Monthly Cash Flow'!$L$13:$GT$13, 0))</f>
        <v>0</v>
      </c>
      <c r="E39" s="18">
        <f t="shared" ca="1" si="0"/>
        <v>0</v>
      </c>
      <c r="F39" s="18">
        <f t="shared" ca="1" si="4"/>
        <v>0</v>
      </c>
      <c r="G39" s="18">
        <f t="shared" ca="1" si="1"/>
        <v>0</v>
      </c>
      <c r="H39" s="393">
        <f t="shared" ca="1" si="5"/>
        <v>0</v>
      </c>
      <c r="I39" s="388">
        <f>MAX($J$5, INDEX(LIBOR!$M$3:$M$122,MATCH(B39,LIBOR!$N$3:$N$122)))</f>
        <v>5.1999999999999998E-2</v>
      </c>
      <c r="J39" s="394">
        <f t="shared" si="6"/>
        <v>0.10100000000000001</v>
      </c>
      <c r="L39" s="392">
        <f t="shared" si="12"/>
        <v>45322</v>
      </c>
      <c r="M39" s="347">
        <f t="shared" si="13"/>
        <v>91</v>
      </c>
      <c r="N39" s="18">
        <v>7386.7666433690965</v>
      </c>
      <c r="O39" s="18">
        <f t="shared" si="2"/>
        <v>0</v>
      </c>
      <c r="P39" s="18">
        <f t="shared" si="7"/>
        <v>57.295578582069787</v>
      </c>
      <c r="Q39" s="18">
        <f t="shared" si="3"/>
        <v>-57.295578582069787</v>
      </c>
      <c r="R39" s="393">
        <f t="shared" si="8"/>
        <v>7444.0622219511661</v>
      </c>
      <c r="S39" s="388">
        <f>INDEX(LIBOR!$M$3:$M$122,MATCH(L39,LIBOR!$N$3:$N$122))</f>
        <v>4.4078199999999998E-2</v>
      </c>
      <c r="T39" s="394">
        <f t="shared" si="9"/>
        <v>9.30782E-2</v>
      </c>
    </row>
    <row r="40" spans="2:20">
      <c r="B40" s="392">
        <f t="shared" si="10"/>
        <v>47149</v>
      </c>
      <c r="C40" s="347">
        <f t="shared" si="11"/>
        <v>151</v>
      </c>
      <c r="D40" s="18">
        <f ca="1">INDEX('Monthly Cash Flow'!$L$160:$GT$160, MATCH(C40, 'Monthly Cash Flow'!$L$13:$GT$13, 0))</f>
        <v>0</v>
      </c>
      <c r="E40" s="18">
        <f t="shared" ca="1" si="0"/>
        <v>0</v>
      </c>
      <c r="F40" s="18">
        <f t="shared" ca="1" si="4"/>
        <v>0</v>
      </c>
      <c r="G40" s="18">
        <f t="shared" ca="1" si="1"/>
        <v>0</v>
      </c>
      <c r="H40" s="393">
        <f t="shared" ca="1" si="5"/>
        <v>0</v>
      </c>
      <c r="I40" s="388">
        <f>MAX($J$5, INDEX(LIBOR!$M$3:$M$122,MATCH(B40,LIBOR!$N$3:$N$122)))</f>
        <v>5.1999999999999998E-2</v>
      </c>
      <c r="J40" s="394">
        <f t="shared" si="6"/>
        <v>0.10100000000000001</v>
      </c>
      <c r="L40" s="392">
        <f t="shared" si="12"/>
        <v>45351</v>
      </c>
      <c r="M40" s="347">
        <f t="shared" si="13"/>
        <v>92</v>
      </c>
      <c r="N40" s="18">
        <v>7376.8194098953736</v>
      </c>
      <c r="O40" s="18">
        <f t="shared" si="2"/>
        <v>0</v>
      </c>
      <c r="P40" s="18">
        <f t="shared" si="7"/>
        <v>56.501027012231305</v>
      </c>
      <c r="Q40" s="18">
        <f t="shared" si="3"/>
        <v>-56.501027012231305</v>
      </c>
      <c r="R40" s="393">
        <f t="shared" si="8"/>
        <v>7433.3204369076047</v>
      </c>
      <c r="S40" s="388">
        <f>INDEX(LIBOR!$M$3:$M$122,MATCH(L40,LIBOR!$N$3:$N$122))</f>
        <v>4.2911199999999997E-2</v>
      </c>
      <c r="T40" s="394">
        <f t="shared" si="9"/>
        <v>9.1911199999999998E-2</v>
      </c>
    </row>
    <row r="41" spans="2:20">
      <c r="B41" s="392">
        <f t="shared" si="10"/>
        <v>47177</v>
      </c>
      <c r="C41" s="347">
        <f t="shared" si="11"/>
        <v>152</v>
      </c>
      <c r="D41" s="18">
        <f ca="1">INDEX('Monthly Cash Flow'!$L$160:$GT$160, MATCH(C41, 'Monthly Cash Flow'!$L$13:$GT$13, 0))</f>
        <v>0</v>
      </c>
      <c r="E41" s="18">
        <f t="shared" ca="1" si="0"/>
        <v>0</v>
      </c>
      <c r="F41" s="18">
        <f t="shared" ca="1" si="4"/>
        <v>0</v>
      </c>
      <c r="G41" s="18">
        <f t="shared" ca="1" si="1"/>
        <v>0</v>
      </c>
      <c r="H41" s="393">
        <f t="shared" ca="1" si="5"/>
        <v>0</v>
      </c>
      <c r="I41" s="388">
        <f>MAX($J$5, INDEX(LIBOR!$M$3:$M$122,MATCH(B41,LIBOR!$N$3:$N$122)))</f>
        <v>5.1999999999999998E-2</v>
      </c>
      <c r="J41" s="394">
        <f t="shared" si="6"/>
        <v>0.10100000000000001</v>
      </c>
      <c r="L41" s="392">
        <f t="shared" si="12"/>
        <v>45382</v>
      </c>
      <c r="M41" s="347">
        <f t="shared" si="13"/>
        <v>93</v>
      </c>
      <c r="N41" s="18">
        <v>7366.8401175293211</v>
      </c>
      <c r="O41" s="18">
        <f t="shared" si="2"/>
        <v>0</v>
      </c>
      <c r="P41" s="18">
        <f t="shared" si="7"/>
        <v>55.672991087864148</v>
      </c>
      <c r="Q41" s="18">
        <f t="shared" si="3"/>
        <v>-55.672991087864148</v>
      </c>
      <c r="R41" s="393">
        <f t="shared" si="8"/>
        <v>7422.513108617185</v>
      </c>
      <c r="S41" s="388">
        <f>INDEX(LIBOR!$M$3:$M$122,MATCH(L41,LIBOR!$N$3:$N$122))</f>
        <v>4.1686899999999999E-2</v>
      </c>
      <c r="T41" s="394">
        <f t="shared" si="9"/>
        <v>9.0686900000000001E-2</v>
      </c>
    </row>
    <row r="42" spans="2:20">
      <c r="B42" s="392">
        <f t="shared" si="10"/>
        <v>47208</v>
      </c>
      <c r="C42" s="347">
        <f t="shared" si="11"/>
        <v>153</v>
      </c>
      <c r="D42" s="18">
        <f ca="1">INDEX('Monthly Cash Flow'!$L$160:$GT$160, MATCH(C42, 'Monthly Cash Flow'!$L$13:$GT$13, 0))</f>
        <v>0</v>
      </c>
      <c r="E42" s="18">
        <f t="shared" ca="1" si="0"/>
        <v>0</v>
      </c>
      <c r="F42" s="18">
        <f t="shared" ca="1" si="4"/>
        <v>0</v>
      </c>
      <c r="G42" s="18">
        <f t="shared" ca="1" si="1"/>
        <v>0</v>
      </c>
      <c r="H42" s="393">
        <f t="shared" ca="1" si="5"/>
        <v>0</v>
      </c>
      <c r="I42" s="388">
        <f>MAX($J$5, INDEX(LIBOR!$M$3:$M$122,MATCH(B42,LIBOR!$N$3:$N$122)))</f>
        <v>5.1999999999999998E-2</v>
      </c>
      <c r="J42" s="394">
        <f t="shared" si="6"/>
        <v>0.10100000000000001</v>
      </c>
      <c r="L42" s="392">
        <f t="shared" si="12"/>
        <v>45412</v>
      </c>
      <c r="M42" s="347">
        <f t="shared" si="13"/>
        <v>94</v>
      </c>
      <c r="N42" s="18">
        <v>7356.8310454459861</v>
      </c>
      <c r="O42" s="18">
        <f t="shared" si="2"/>
        <v>0</v>
      </c>
      <c r="P42" s="18">
        <f t="shared" si="7"/>
        <v>54.927510644583442</v>
      </c>
      <c r="Q42" s="18">
        <f t="shared" si="3"/>
        <v>-54.927510644583442</v>
      </c>
      <c r="R42" s="393">
        <f t="shared" si="8"/>
        <v>7411.75855609057</v>
      </c>
      <c r="S42" s="388">
        <f>INDEX(LIBOR!$M$3:$M$122,MATCH(L42,LIBOR!$N$3:$N$122))</f>
        <v>4.05943E-2</v>
      </c>
      <c r="T42" s="394">
        <f t="shared" si="9"/>
        <v>8.9594300000000002E-2</v>
      </c>
    </row>
    <row r="43" spans="2:20">
      <c r="B43" s="392">
        <f t="shared" si="10"/>
        <v>47238</v>
      </c>
      <c r="C43" s="347">
        <f t="shared" si="11"/>
        <v>154</v>
      </c>
      <c r="D43" s="18">
        <f ca="1">INDEX('Monthly Cash Flow'!$L$160:$GT$160, MATCH(C43, 'Monthly Cash Flow'!$L$13:$GT$13, 0))</f>
        <v>0</v>
      </c>
      <c r="E43" s="18">
        <f t="shared" ca="1" si="0"/>
        <v>0</v>
      </c>
      <c r="F43" s="18">
        <f t="shared" ca="1" si="4"/>
        <v>0</v>
      </c>
      <c r="G43" s="18">
        <f t="shared" ca="1" si="1"/>
        <v>0</v>
      </c>
      <c r="H43" s="393">
        <f t="shared" ca="1" si="5"/>
        <v>0</v>
      </c>
      <c r="I43" s="388">
        <f>MAX($J$5, INDEX(LIBOR!$M$3:$M$122,MATCH(B43,LIBOR!$N$3:$N$122)))</f>
        <v>5.1999999999999998E-2</v>
      </c>
      <c r="J43" s="394">
        <f t="shared" si="6"/>
        <v>0.10100000000000001</v>
      </c>
      <c r="L43" s="392">
        <f t="shared" si="12"/>
        <v>45443</v>
      </c>
      <c r="M43" s="347">
        <f t="shared" si="13"/>
        <v>95</v>
      </c>
      <c r="N43" s="18">
        <v>7346.7898359047776</v>
      </c>
      <c r="O43" s="18">
        <f t="shared" si="2"/>
        <v>0</v>
      </c>
      <c r="P43" s="18">
        <f t="shared" si="7"/>
        <v>54.125147632580415</v>
      </c>
      <c r="Q43" s="18">
        <f t="shared" si="3"/>
        <v>-54.125147632580415</v>
      </c>
      <c r="R43" s="393">
        <f t="shared" si="8"/>
        <v>7400.9149835373582</v>
      </c>
      <c r="S43" s="388">
        <f>INDEX(LIBOR!$M$3:$M$122,MATCH(L43,LIBOR!$N$3:$N$122))</f>
        <v>3.9406200000000002E-2</v>
      </c>
      <c r="T43" s="394">
        <f t="shared" si="9"/>
        <v>8.8406200000000004E-2</v>
      </c>
    </row>
    <row r="44" spans="2:20">
      <c r="B44" s="392">
        <f t="shared" si="10"/>
        <v>47269</v>
      </c>
      <c r="C44" s="347">
        <f t="shared" si="11"/>
        <v>155</v>
      </c>
      <c r="D44" s="18">
        <f ca="1">INDEX('Monthly Cash Flow'!$L$160:$GT$160, MATCH(C44, 'Monthly Cash Flow'!$L$13:$GT$13, 0))</f>
        <v>0</v>
      </c>
      <c r="E44" s="18">
        <f t="shared" ca="1" si="0"/>
        <v>0</v>
      </c>
      <c r="F44" s="18">
        <f t="shared" ca="1" si="4"/>
        <v>0</v>
      </c>
      <c r="G44" s="18">
        <f t="shared" ca="1" si="1"/>
        <v>0</v>
      </c>
      <c r="H44" s="393">
        <f t="shared" ca="1" si="5"/>
        <v>0</v>
      </c>
      <c r="I44" s="388">
        <f>MAX($J$5, INDEX(LIBOR!$M$3:$M$122,MATCH(B44,LIBOR!$N$3:$N$122)))</f>
        <v>5.1999999999999998E-2</v>
      </c>
      <c r="J44" s="394">
        <f t="shared" si="6"/>
        <v>0.10100000000000001</v>
      </c>
      <c r="L44" s="392">
        <f t="shared" si="12"/>
        <v>45473</v>
      </c>
      <c r="M44" s="347">
        <f t="shared" si="13"/>
        <v>96</v>
      </c>
      <c r="N44" s="18">
        <v>7336.7178153115146</v>
      </c>
      <c r="O44" s="18">
        <f t="shared" si="2"/>
        <v>0</v>
      </c>
      <c r="P44" s="18">
        <f t="shared" si="7"/>
        <v>53.390090353118552</v>
      </c>
      <c r="Q44" s="18">
        <f t="shared" si="3"/>
        <v>-53.390090353118552</v>
      </c>
      <c r="R44" s="393">
        <f t="shared" si="8"/>
        <v>7390.1079056646331</v>
      </c>
      <c r="S44" s="388">
        <f>INDEX(LIBOR!$M$3:$M$122,MATCH(L44,LIBOR!$N$3:$N$122))</f>
        <v>3.83253E-2</v>
      </c>
      <c r="T44" s="394">
        <f t="shared" si="9"/>
        <v>8.7325299999999995E-2</v>
      </c>
    </row>
    <row r="45" spans="2:20">
      <c r="B45" s="392">
        <f t="shared" si="10"/>
        <v>47299</v>
      </c>
      <c r="C45" s="347">
        <f t="shared" si="11"/>
        <v>156</v>
      </c>
      <c r="D45" s="18">
        <f ca="1">INDEX('Monthly Cash Flow'!$L$160:$GT$160, MATCH(C45, 'Monthly Cash Flow'!$L$13:$GT$13, 0))</f>
        <v>0</v>
      </c>
      <c r="E45" s="18">
        <f t="shared" ca="1" si="0"/>
        <v>0</v>
      </c>
      <c r="F45" s="18">
        <f t="shared" ca="1" si="4"/>
        <v>0</v>
      </c>
      <c r="G45" s="18">
        <f t="shared" ca="1" si="1"/>
        <v>0</v>
      </c>
      <c r="H45" s="393">
        <f t="shared" ca="1" si="5"/>
        <v>0</v>
      </c>
      <c r="I45" s="388">
        <f>MAX($J$5, INDEX(LIBOR!$M$3:$M$122,MATCH(B45,LIBOR!$N$3:$N$122)))</f>
        <v>5.1999999999999998E-2</v>
      </c>
      <c r="J45" s="394">
        <f t="shared" si="6"/>
        <v>0.10100000000000001</v>
      </c>
      <c r="L45" s="392">
        <f t="shared" si="12"/>
        <v>45504</v>
      </c>
      <c r="M45" s="347">
        <f t="shared" si="13"/>
        <v>97</v>
      </c>
      <c r="N45" s="18">
        <v>7326.6165021056959</v>
      </c>
      <c r="O45" s="18">
        <f t="shared" si="2"/>
        <v>0</v>
      </c>
      <c r="P45" s="18">
        <f t="shared" si="7"/>
        <v>52.773252333842215</v>
      </c>
      <c r="Q45" s="18">
        <f t="shared" si="3"/>
        <v>-52.773252333842215</v>
      </c>
      <c r="R45" s="393">
        <f t="shared" si="8"/>
        <v>7379.3897544395377</v>
      </c>
      <c r="S45" s="388">
        <f>INDEX(LIBOR!$M$3:$M$122,MATCH(L45,LIBOR!$N$3:$N$122))</f>
        <v>3.7435400000000001E-2</v>
      </c>
      <c r="T45" s="394">
        <f t="shared" si="9"/>
        <v>8.6435399999999996E-2</v>
      </c>
    </row>
    <row r="46" spans="2:20">
      <c r="B46" s="392">
        <f t="shared" si="10"/>
        <v>47330</v>
      </c>
      <c r="C46" s="347">
        <f t="shared" si="11"/>
        <v>157</v>
      </c>
      <c r="D46" s="18">
        <f ca="1">INDEX('Monthly Cash Flow'!$L$160:$GT$160, MATCH(C46, 'Monthly Cash Flow'!$L$13:$GT$13, 0))</f>
        <v>0</v>
      </c>
      <c r="E46" s="18">
        <f t="shared" ca="1" si="0"/>
        <v>0</v>
      </c>
      <c r="F46" s="18">
        <f t="shared" ca="1" si="4"/>
        <v>0</v>
      </c>
      <c r="G46" s="18">
        <f t="shared" ca="1" si="1"/>
        <v>0</v>
      </c>
      <c r="H46" s="393">
        <f t="shared" ca="1" si="5"/>
        <v>0</v>
      </c>
      <c r="I46" s="388">
        <f>MAX($J$5, INDEX(LIBOR!$M$3:$M$122,MATCH(B46,LIBOR!$N$3:$N$122)))</f>
        <v>5.1999999999999998E-2</v>
      </c>
      <c r="J46" s="394">
        <f t="shared" si="6"/>
        <v>0.10100000000000001</v>
      </c>
      <c r="L46" s="392">
        <f t="shared" si="12"/>
        <v>45535</v>
      </c>
      <c r="M46" s="347">
        <f t="shared" si="13"/>
        <v>98</v>
      </c>
      <c r="N46" s="18">
        <v>7316.4812991441468</v>
      </c>
      <c r="O46" s="18">
        <f t="shared" si="2"/>
        <v>0</v>
      </c>
      <c r="P46" s="18">
        <f t="shared" si="7"/>
        <v>52.213032289824817</v>
      </c>
      <c r="Q46" s="18">
        <f t="shared" si="3"/>
        <v>-52.213032289824817</v>
      </c>
      <c r="R46" s="393">
        <f t="shared" si="8"/>
        <v>7368.6943314339715</v>
      </c>
      <c r="S46" s="388">
        <f>INDEX(LIBOR!$M$3:$M$122,MATCH(L46,LIBOR!$N$3:$N$122))</f>
        <v>3.6636299999999997E-2</v>
      </c>
      <c r="T46" s="394">
        <f t="shared" si="9"/>
        <v>8.5636299999999999E-2</v>
      </c>
    </row>
    <row r="47" spans="2:20">
      <c r="B47" s="392">
        <f t="shared" si="10"/>
        <v>47361</v>
      </c>
      <c r="C47" s="347">
        <f t="shared" si="11"/>
        <v>158</v>
      </c>
      <c r="D47" s="18">
        <f ca="1">INDEX('Monthly Cash Flow'!$L$160:$GT$160, MATCH(C47, 'Monthly Cash Flow'!$L$13:$GT$13, 0))</f>
        <v>0</v>
      </c>
      <c r="E47" s="18">
        <f t="shared" ca="1" si="0"/>
        <v>0</v>
      </c>
      <c r="F47" s="18">
        <f t="shared" ca="1" si="4"/>
        <v>0</v>
      </c>
      <c r="G47" s="18">
        <f t="shared" ca="1" si="1"/>
        <v>0</v>
      </c>
      <c r="H47" s="393">
        <f t="shared" ca="1" si="5"/>
        <v>0</v>
      </c>
      <c r="I47" s="388">
        <f>MAX($J$5, INDEX(LIBOR!$M$3:$M$122,MATCH(B47,LIBOR!$N$3:$N$122)))</f>
        <v>5.1999999999999998E-2</v>
      </c>
      <c r="J47" s="394">
        <f t="shared" si="6"/>
        <v>0.10100000000000001</v>
      </c>
      <c r="L47" s="392">
        <f t="shared" si="12"/>
        <v>45565</v>
      </c>
      <c r="M47" s="347">
        <f t="shared" si="13"/>
        <v>99</v>
      </c>
      <c r="N47" s="18">
        <v>7306.3124843091427</v>
      </c>
      <c r="O47" s="18">
        <f t="shared" si="2"/>
        <v>0</v>
      </c>
      <c r="P47" s="18">
        <f t="shared" si="7"/>
        <v>51.789517440340603</v>
      </c>
      <c r="Q47" s="18">
        <f t="shared" si="3"/>
        <v>-51.789517440340603</v>
      </c>
      <c r="R47" s="393">
        <f t="shared" si="8"/>
        <v>7358.102001749483</v>
      </c>
      <c r="S47" s="388">
        <f>INDEX(LIBOR!$M$3:$M$122,MATCH(L47,LIBOR!$N$3:$N$122))</f>
        <v>3.6059899999999999E-2</v>
      </c>
      <c r="T47" s="394">
        <f t="shared" si="9"/>
        <v>8.5059899999999994E-2</v>
      </c>
    </row>
    <row r="48" spans="2:20">
      <c r="B48" s="392">
        <f t="shared" si="10"/>
        <v>47391</v>
      </c>
      <c r="C48" s="347">
        <f t="shared" si="11"/>
        <v>159</v>
      </c>
      <c r="D48" s="18">
        <f ca="1">INDEX('Monthly Cash Flow'!$L$160:$GT$160, MATCH(C48, 'Monthly Cash Flow'!$L$13:$GT$13, 0))</f>
        <v>0</v>
      </c>
      <c r="E48" s="18">
        <f t="shared" ca="1" si="0"/>
        <v>0</v>
      </c>
      <c r="F48" s="18">
        <f t="shared" ca="1" si="4"/>
        <v>0</v>
      </c>
      <c r="G48" s="18">
        <f t="shared" ca="1" si="1"/>
        <v>0</v>
      </c>
      <c r="H48" s="393">
        <f t="shared" ca="1" si="5"/>
        <v>0</v>
      </c>
      <c r="I48" s="388">
        <f>MAX($J$5, INDEX(LIBOR!$M$3:$M$122,MATCH(B48,LIBOR!$N$3:$N$122)))</f>
        <v>5.1999999999999998E-2</v>
      </c>
      <c r="J48" s="394">
        <f t="shared" si="6"/>
        <v>0.10100000000000001</v>
      </c>
      <c r="L48" s="392">
        <f t="shared" si="12"/>
        <v>45596</v>
      </c>
      <c r="M48" s="347">
        <f t="shared" si="13"/>
        <v>100</v>
      </c>
      <c r="N48" s="18">
        <v>7296.1103216055826</v>
      </c>
      <c r="O48" s="18">
        <f t="shared" si="2"/>
        <v>0</v>
      </c>
      <c r="P48" s="18">
        <f t="shared" si="7"/>
        <v>51.399394789969627</v>
      </c>
      <c r="Q48" s="18">
        <f t="shared" si="3"/>
        <v>-51.399394789969627</v>
      </c>
      <c r="R48" s="393">
        <f t="shared" si="8"/>
        <v>7347.5097163955525</v>
      </c>
      <c r="S48" s="388">
        <f>INDEX(LIBOR!$M$3:$M$122,MATCH(L48,LIBOR!$N$3:$N$122))</f>
        <v>3.5537199999999998E-2</v>
      </c>
      <c r="T48" s="394">
        <f t="shared" si="9"/>
        <v>8.4537200000000007E-2</v>
      </c>
    </row>
    <row r="49" spans="2:20">
      <c r="B49" s="392">
        <f t="shared" si="10"/>
        <v>47422</v>
      </c>
      <c r="C49" s="347">
        <f t="shared" si="11"/>
        <v>160</v>
      </c>
      <c r="D49" s="18">
        <f ca="1">INDEX('Monthly Cash Flow'!$L$160:$GT$160, MATCH(C49, 'Monthly Cash Flow'!$L$13:$GT$13, 0))</f>
        <v>0</v>
      </c>
      <c r="E49" s="18">
        <f t="shared" ca="1" si="0"/>
        <v>0</v>
      </c>
      <c r="F49" s="18">
        <f t="shared" ca="1" si="4"/>
        <v>0</v>
      </c>
      <c r="G49" s="18">
        <f t="shared" ca="1" si="1"/>
        <v>0</v>
      </c>
      <c r="H49" s="393">
        <f t="shared" ca="1" si="5"/>
        <v>0</v>
      </c>
      <c r="I49" s="388">
        <f>MAX($J$5, INDEX(LIBOR!$M$3:$M$122,MATCH(B49,LIBOR!$N$3:$N$122)))</f>
        <v>5.1999999999999998E-2</v>
      </c>
      <c r="J49" s="394">
        <f t="shared" si="6"/>
        <v>0.10100000000000001</v>
      </c>
      <c r="L49" s="392">
        <f t="shared" si="12"/>
        <v>45626</v>
      </c>
      <c r="M49" s="347">
        <f t="shared" si="13"/>
        <v>101</v>
      </c>
      <c r="N49" s="18">
        <v>7285.8710428044697</v>
      </c>
      <c r="O49" s="18">
        <f t="shared" si="2"/>
        <v>0</v>
      </c>
      <c r="P49" s="18">
        <f t="shared" si="7"/>
        <v>51.100610154957593</v>
      </c>
      <c r="Q49" s="18">
        <f t="shared" si="3"/>
        <v>-51.100610154957593</v>
      </c>
      <c r="R49" s="393">
        <f t="shared" si="8"/>
        <v>7336.971652959427</v>
      </c>
      <c r="S49" s="388">
        <f>INDEX(LIBOR!$M$3:$M$122,MATCH(L49,LIBOR!$N$3:$N$122))</f>
        <v>3.5163899999999998E-2</v>
      </c>
      <c r="T49" s="394">
        <f t="shared" si="9"/>
        <v>8.41639E-2</v>
      </c>
    </row>
    <row r="50" spans="2:20">
      <c r="B50" s="392">
        <f t="shared" si="10"/>
        <v>47452</v>
      </c>
      <c r="C50" s="347">
        <f t="shared" si="11"/>
        <v>161</v>
      </c>
      <c r="D50" s="18">
        <f ca="1">INDEX('Monthly Cash Flow'!$L$160:$GT$160, MATCH(C50, 'Monthly Cash Flow'!$L$13:$GT$13, 0))</f>
        <v>0</v>
      </c>
      <c r="E50" s="18">
        <f t="shared" ca="1" si="0"/>
        <v>0</v>
      </c>
      <c r="F50" s="18">
        <f t="shared" ca="1" si="4"/>
        <v>0</v>
      </c>
      <c r="G50" s="18">
        <f t="shared" ca="1" si="1"/>
        <v>0</v>
      </c>
      <c r="H50" s="393">
        <f t="shared" ca="1" si="5"/>
        <v>0</v>
      </c>
      <c r="I50" s="388">
        <f>MAX($J$5, INDEX(LIBOR!$M$3:$M$122,MATCH(B50,LIBOR!$N$3:$N$122)))</f>
        <v>5.1999999999999998E-2</v>
      </c>
      <c r="J50" s="394">
        <f t="shared" si="6"/>
        <v>0.10100000000000001</v>
      </c>
      <c r="L50" s="392">
        <f t="shared" si="12"/>
        <v>45657</v>
      </c>
      <c r="M50" s="347">
        <f t="shared" si="13"/>
        <v>102</v>
      </c>
      <c r="N50" s="18">
        <v>7275.5942777865375</v>
      </c>
      <c r="O50" s="18">
        <f t="shared" si="2"/>
        <v>0</v>
      </c>
      <c r="P50" s="18">
        <f t="shared" si="7"/>
        <v>50.886355198171451</v>
      </c>
      <c r="Q50" s="18">
        <f t="shared" si="3"/>
        <v>-50.886355198171451</v>
      </c>
      <c r="R50" s="393">
        <f t="shared" si="8"/>
        <v>7326.4806329847088</v>
      </c>
      <c r="S50" s="388">
        <f>INDEX(LIBOR!$M$3:$M$122,MATCH(L50,LIBOR!$N$3:$N$122))</f>
        <v>3.4929399999999999E-2</v>
      </c>
      <c r="T50" s="394">
        <f t="shared" si="9"/>
        <v>8.3929400000000001E-2</v>
      </c>
    </row>
    <row r="51" spans="2:20">
      <c r="B51" s="392">
        <f t="shared" si="10"/>
        <v>47483</v>
      </c>
      <c r="C51" s="347">
        <f t="shared" si="11"/>
        <v>162</v>
      </c>
      <c r="D51" s="18">
        <f ca="1">INDEX('Monthly Cash Flow'!$L$160:$GT$160, MATCH(C51, 'Monthly Cash Flow'!$L$13:$GT$13, 0))</f>
        <v>0</v>
      </c>
      <c r="E51" s="18">
        <f t="shared" ca="1" si="0"/>
        <v>0</v>
      </c>
      <c r="F51" s="18">
        <f t="shared" ca="1" si="4"/>
        <v>0</v>
      </c>
      <c r="G51" s="18">
        <f t="shared" ca="1" si="1"/>
        <v>0</v>
      </c>
      <c r="H51" s="393">
        <f t="shared" ca="1" si="5"/>
        <v>0</v>
      </c>
      <c r="I51" s="388">
        <f>MAX($J$5, INDEX(LIBOR!$M$3:$M$122,MATCH(B51,LIBOR!$N$3:$N$122)))</f>
        <v>5.1999999999999998E-2</v>
      </c>
      <c r="J51" s="394">
        <f t="shared" si="6"/>
        <v>0.10100000000000001</v>
      </c>
      <c r="L51" s="392">
        <f t="shared" si="12"/>
        <v>45688</v>
      </c>
      <c r="M51" s="347">
        <f t="shared" si="13"/>
        <v>103</v>
      </c>
      <c r="N51" s="18">
        <v>7265.2798213390679</v>
      </c>
      <c r="O51" s="18">
        <f t="shared" si="2"/>
        <v>0</v>
      </c>
      <c r="P51" s="18">
        <f t="shared" si="7"/>
        <v>50.650866978441492</v>
      </c>
      <c r="Q51" s="18">
        <f t="shared" si="3"/>
        <v>-50.650866978441492</v>
      </c>
      <c r="R51" s="393">
        <f t="shared" si="8"/>
        <v>7315.9306883175095</v>
      </c>
      <c r="S51" s="388">
        <f>INDEX(LIBOR!$M$3:$M$122,MATCH(L51,LIBOR!$N$3:$N$122))</f>
        <v>3.4659599999999999E-2</v>
      </c>
      <c r="T51" s="394">
        <f t="shared" si="9"/>
        <v>8.3659600000000001E-2</v>
      </c>
    </row>
    <row r="52" spans="2:20">
      <c r="B52" s="392">
        <f t="shared" si="10"/>
        <v>47514</v>
      </c>
      <c r="C52" s="347">
        <f t="shared" si="11"/>
        <v>163</v>
      </c>
      <c r="D52" s="18">
        <f ca="1">INDEX('Monthly Cash Flow'!$L$160:$GT$160, MATCH(C52, 'Monthly Cash Flow'!$L$13:$GT$13, 0))</f>
        <v>0</v>
      </c>
      <c r="E52" s="18">
        <f t="shared" ca="1" si="0"/>
        <v>0</v>
      </c>
      <c r="F52" s="18">
        <f t="shared" ca="1" si="4"/>
        <v>0</v>
      </c>
      <c r="G52" s="18">
        <f t="shared" ca="1" si="1"/>
        <v>0</v>
      </c>
      <c r="H52" s="393">
        <f t="shared" ca="1" si="5"/>
        <v>0</v>
      </c>
      <c r="I52" s="388">
        <f>MAX($J$5, INDEX(LIBOR!$M$3:$M$122,MATCH(B52,LIBOR!$N$3:$N$122)))</f>
        <v>5.1999999999999998E-2</v>
      </c>
      <c r="J52" s="394">
        <f t="shared" si="6"/>
        <v>0.10100000000000001</v>
      </c>
      <c r="L52" s="392">
        <f t="shared" si="12"/>
        <v>45716</v>
      </c>
      <c r="M52" s="347">
        <f t="shared" si="13"/>
        <v>104</v>
      </c>
      <c r="N52" s="18">
        <v>7254.9239308427377</v>
      </c>
      <c r="O52" s="18">
        <f t="shared" si="2"/>
        <v>0</v>
      </c>
      <c r="P52" s="18">
        <f t="shared" si="7"/>
        <v>50.443667464247831</v>
      </c>
      <c r="Q52" s="18">
        <f t="shared" si="3"/>
        <v>-50.443667464247831</v>
      </c>
      <c r="R52" s="393">
        <f t="shared" si="8"/>
        <v>7305.3675983069852</v>
      </c>
      <c r="S52" s="388">
        <f>INDEX(LIBOR!$M$3:$M$122,MATCH(L52,LIBOR!$N$3:$N$122))</f>
        <v>3.4436300000000003E-2</v>
      </c>
      <c r="T52" s="394">
        <f t="shared" si="9"/>
        <v>8.3436300000000005E-2</v>
      </c>
    </row>
    <row r="53" spans="2:20">
      <c r="B53" s="392">
        <f t="shared" si="10"/>
        <v>47542</v>
      </c>
      <c r="C53" s="347">
        <f t="shared" si="11"/>
        <v>164</v>
      </c>
      <c r="D53" s="18">
        <f ca="1">INDEX('Monthly Cash Flow'!$L$160:$GT$160, MATCH(C53, 'Monthly Cash Flow'!$L$13:$GT$13, 0))</f>
        <v>0</v>
      </c>
      <c r="E53" s="18">
        <f t="shared" ca="1" si="0"/>
        <v>0</v>
      </c>
      <c r="F53" s="18">
        <f t="shared" ca="1" si="4"/>
        <v>0</v>
      </c>
      <c r="G53" s="18">
        <f t="shared" ca="1" si="1"/>
        <v>0</v>
      </c>
      <c r="H53" s="393">
        <f t="shared" ca="1" si="5"/>
        <v>0</v>
      </c>
      <c r="I53" s="388">
        <f>MAX($J$5, INDEX(LIBOR!$M$3:$M$122,MATCH(B53,LIBOR!$N$3:$N$122)))</f>
        <v>5.1999999999999998E-2</v>
      </c>
      <c r="J53" s="394">
        <f t="shared" si="6"/>
        <v>0.10100000000000001</v>
      </c>
      <c r="L53" s="392">
        <f t="shared" si="12"/>
        <v>45747</v>
      </c>
      <c r="M53" s="347">
        <f t="shared" si="13"/>
        <v>105</v>
      </c>
      <c r="N53" s="18">
        <v>7244.5266840998793</v>
      </c>
      <c r="O53" s="18">
        <f t="shared" si="2"/>
        <v>0</v>
      </c>
      <c r="P53" s="18">
        <f t="shared" si="7"/>
        <v>50.255402349712263</v>
      </c>
      <c r="Q53" s="18">
        <f t="shared" si="3"/>
        <v>-50.255402349712263</v>
      </c>
      <c r="R53" s="393">
        <f t="shared" si="8"/>
        <v>7294.7820864495916</v>
      </c>
      <c r="S53" s="388">
        <f>INDEX(LIBOR!$M$3:$M$122,MATCH(L53,LIBOR!$N$3:$N$122))</f>
        <v>3.4244200000000002E-2</v>
      </c>
      <c r="T53" s="394">
        <f t="shared" si="9"/>
        <v>8.3244200000000004E-2</v>
      </c>
    </row>
    <row r="54" spans="2:20">
      <c r="B54" s="392">
        <f t="shared" si="10"/>
        <v>47573</v>
      </c>
      <c r="C54" s="347">
        <f t="shared" si="11"/>
        <v>165</v>
      </c>
      <c r="D54" s="18">
        <f ca="1">INDEX('Monthly Cash Flow'!$L$160:$GT$160, MATCH(C54, 'Monthly Cash Flow'!$L$13:$GT$13, 0))</f>
        <v>0</v>
      </c>
      <c r="E54" s="18">
        <f t="shared" ca="1" si="0"/>
        <v>0</v>
      </c>
      <c r="F54" s="18">
        <f t="shared" ca="1" si="4"/>
        <v>0</v>
      </c>
      <c r="G54" s="18">
        <f t="shared" ca="1" si="1"/>
        <v>0</v>
      </c>
      <c r="H54" s="393">
        <f t="shared" ca="1" si="5"/>
        <v>0</v>
      </c>
      <c r="I54" s="388">
        <f>MAX($J$5, INDEX(LIBOR!$M$3:$M$122,MATCH(B54,LIBOR!$N$3:$N$122)))</f>
        <v>5.1999999999999998E-2</v>
      </c>
      <c r="J54" s="394">
        <f t="shared" si="6"/>
        <v>0.10100000000000001</v>
      </c>
      <c r="L54" s="392">
        <f t="shared" si="12"/>
        <v>45777</v>
      </c>
      <c r="M54" s="347">
        <f t="shared" si="13"/>
        <v>106</v>
      </c>
      <c r="N54" s="18">
        <v>7234.0879521068082</v>
      </c>
      <c r="O54" s="18">
        <f t="shared" si="2"/>
        <v>0</v>
      </c>
      <c r="P54" s="18">
        <f t="shared" si="7"/>
        <v>50.05681414119946</v>
      </c>
      <c r="Q54" s="18">
        <f t="shared" si="3"/>
        <v>-50.05681414119946</v>
      </c>
      <c r="R54" s="393">
        <f t="shared" si="8"/>
        <v>7284.1447662480077</v>
      </c>
      <c r="S54" s="388">
        <f>INDEX(LIBOR!$M$3:$M$122,MATCH(L54,LIBOR!$N$3:$N$122))</f>
        <v>3.40349E-2</v>
      </c>
      <c r="T54" s="394">
        <f t="shared" si="9"/>
        <v>8.3034899999999995E-2</v>
      </c>
    </row>
    <row r="55" spans="2:20">
      <c r="B55" s="392">
        <f t="shared" si="10"/>
        <v>47603</v>
      </c>
      <c r="C55" s="347">
        <f t="shared" si="11"/>
        <v>166</v>
      </c>
      <c r="D55" s="18">
        <f ca="1">INDEX('Monthly Cash Flow'!$L$160:$GT$160, MATCH(C55, 'Monthly Cash Flow'!$L$13:$GT$13, 0))</f>
        <v>0</v>
      </c>
      <c r="E55" s="18">
        <f t="shared" ca="1" si="0"/>
        <v>0</v>
      </c>
      <c r="F55" s="18">
        <f t="shared" ca="1" si="4"/>
        <v>0</v>
      </c>
      <c r="G55" s="18">
        <f t="shared" ca="1" si="1"/>
        <v>0</v>
      </c>
      <c r="H55" s="393">
        <f t="shared" ca="1" si="5"/>
        <v>0</v>
      </c>
      <c r="I55" s="388">
        <f>MAX($J$5, INDEX(LIBOR!$M$3:$M$122,MATCH(B55,LIBOR!$N$3:$N$122)))</f>
        <v>5.1999999999999998E-2</v>
      </c>
      <c r="J55" s="394">
        <f t="shared" si="6"/>
        <v>0.10100000000000001</v>
      </c>
      <c r="L55" s="392">
        <f t="shared" si="12"/>
        <v>45808</v>
      </c>
      <c r="M55" s="347">
        <f t="shared" si="13"/>
        <v>107</v>
      </c>
      <c r="N55" s="18">
        <v>7223.6047894062367</v>
      </c>
      <c r="O55" s="18">
        <f t="shared" si="2"/>
        <v>0</v>
      </c>
      <c r="P55" s="18">
        <f t="shared" si="7"/>
        <v>49.864122484325208</v>
      </c>
      <c r="Q55" s="18">
        <f t="shared" si="3"/>
        <v>-49.864122484325208</v>
      </c>
      <c r="R55" s="393">
        <f t="shared" si="8"/>
        <v>7273.4689118905617</v>
      </c>
      <c r="S55" s="388">
        <f>INDEX(LIBOR!$M$3:$M$122,MATCH(L55,LIBOR!$N$3:$N$122))</f>
        <v>3.3835299999999999E-2</v>
      </c>
      <c r="T55" s="394">
        <f t="shared" si="9"/>
        <v>8.2835300000000001E-2</v>
      </c>
    </row>
    <row r="56" spans="2:20">
      <c r="B56" s="392">
        <f t="shared" si="10"/>
        <v>47634</v>
      </c>
      <c r="C56" s="347">
        <f t="shared" si="11"/>
        <v>167</v>
      </c>
      <c r="D56" s="18">
        <f ca="1">INDEX('Monthly Cash Flow'!$L$160:$GT$160, MATCH(C56, 'Monthly Cash Flow'!$L$13:$GT$13, 0))</f>
        <v>0</v>
      </c>
      <c r="E56" s="18">
        <f t="shared" ca="1" si="0"/>
        <v>0</v>
      </c>
      <c r="F56" s="18">
        <f t="shared" ca="1" si="4"/>
        <v>0</v>
      </c>
      <c r="G56" s="18">
        <f t="shared" ca="1" si="1"/>
        <v>0</v>
      </c>
      <c r="H56" s="393">
        <f t="shared" ca="1" si="5"/>
        <v>0</v>
      </c>
      <c r="I56" s="388">
        <f>MAX($J$5, INDEX(LIBOR!$M$3:$M$122,MATCH(B56,LIBOR!$N$3:$N$122)))</f>
        <v>5.1999999999999998E-2</v>
      </c>
      <c r="J56" s="394">
        <f t="shared" si="6"/>
        <v>0.10100000000000001</v>
      </c>
      <c r="L56" s="392">
        <f t="shared" si="12"/>
        <v>45838</v>
      </c>
      <c r="M56" s="347">
        <f t="shared" si="13"/>
        <v>108</v>
      </c>
      <c r="N56" s="18">
        <v>7213.0776648725996</v>
      </c>
      <c r="O56" s="18">
        <f t="shared" si="2"/>
        <v>0</v>
      </c>
      <c r="P56" s="18">
        <f t="shared" si="7"/>
        <v>49.686504077727875</v>
      </c>
      <c r="Q56" s="18">
        <f t="shared" si="3"/>
        <v>-49.686504077727875</v>
      </c>
      <c r="R56" s="393">
        <f t="shared" si="8"/>
        <v>7262.7641689503271</v>
      </c>
      <c r="S56" s="388">
        <f>INDEX(LIBOR!$M$3:$M$122,MATCH(L56,LIBOR!$N$3:$N$122))</f>
        <v>3.3660700000000002E-2</v>
      </c>
      <c r="T56" s="394">
        <f t="shared" si="9"/>
        <v>8.2660700000000004E-2</v>
      </c>
    </row>
    <row r="57" spans="2:20">
      <c r="B57" s="392">
        <f t="shared" si="10"/>
        <v>47664</v>
      </c>
      <c r="C57" s="347">
        <f t="shared" si="11"/>
        <v>168</v>
      </c>
      <c r="D57" s="18">
        <f ca="1">INDEX('Monthly Cash Flow'!$L$160:$GT$160, MATCH(C57, 'Monthly Cash Flow'!$L$13:$GT$13, 0))</f>
        <v>0</v>
      </c>
      <c r="E57" s="18">
        <f t="shared" ca="1" si="0"/>
        <v>0</v>
      </c>
      <c r="F57" s="18">
        <f t="shared" ca="1" si="4"/>
        <v>0</v>
      </c>
      <c r="G57" s="18">
        <f t="shared" ca="1" si="1"/>
        <v>0</v>
      </c>
      <c r="H57" s="393">
        <f t="shared" ca="1" si="5"/>
        <v>0</v>
      </c>
      <c r="I57" s="388">
        <f>MAX($J$5, INDEX(LIBOR!$M$3:$M$122,MATCH(B57,LIBOR!$N$3:$N$122)))</f>
        <v>5.1999999999999998E-2</v>
      </c>
      <c r="J57" s="394">
        <f t="shared" si="6"/>
        <v>0.10100000000000001</v>
      </c>
      <c r="L57" s="392">
        <f t="shared" si="12"/>
        <v>45869</v>
      </c>
      <c r="M57" s="347">
        <f t="shared" si="13"/>
        <v>109</v>
      </c>
      <c r="N57" s="18">
        <v>7202.5067169649501</v>
      </c>
      <c r="O57" s="18">
        <f t="shared" si="2"/>
        <v>0</v>
      </c>
      <c r="P57" s="18">
        <f t="shared" si="7"/>
        <v>49.479180435312735</v>
      </c>
      <c r="Q57" s="18">
        <f t="shared" si="3"/>
        <v>-49.479180435312735</v>
      </c>
      <c r="R57" s="393">
        <f t="shared" si="8"/>
        <v>7251.9858974002627</v>
      </c>
      <c r="S57" s="388">
        <f>INDEX(LIBOR!$M$3:$M$122,MATCH(L57,LIBOR!$N$3:$N$122))</f>
        <v>3.3436599999999997E-2</v>
      </c>
      <c r="T57" s="394">
        <f t="shared" si="9"/>
        <v>8.2436599999999999E-2</v>
      </c>
    </row>
    <row r="58" spans="2:20">
      <c r="B58" s="392">
        <f t="shared" si="10"/>
        <v>47695</v>
      </c>
      <c r="C58" s="347">
        <f t="shared" si="11"/>
        <v>169</v>
      </c>
      <c r="D58" s="18">
        <f ca="1">INDEX('Monthly Cash Flow'!$L$160:$GT$160, MATCH(C58, 'Monthly Cash Flow'!$L$13:$GT$13, 0))</f>
        <v>0</v>
      </c>
      <c r="E58" s="18">
        <f t="shared" ca="1" si="0"/>
        <v>0</v>
      </c>
      <c r="F58" s="18">
        <f t="shared" ca="1" si="4"/>
        <v>0</v>
      </c>
      <c r="G58" s="18">
        <f t="shared" ca="1" si="1"/>
        <v>0</v>
      </c>
      <c r="H58" s="393">
        <f t="shared" ca="1" si="5"/>
        <v>0</v>
      </c>
      <c r="I58" s="388">
        <f>MAX($J$5, INDEX(LIBOR!$M$3:$M$122,MATCH(B58,LIBOR!$N$3:$N$122)))</f>
        <v>5.1999999999999998E-2</v>
      </c>
      <c r="J58" s="394">
        <f t="shared" si="6"/>
        <v>0.10100000000000001</v>
      </c>
      <c r="L58" s="392">
        <f t="shared" si="12"/>
        <v>45900</v>
      </c>
      <c r="M58" s="347">
        <f t="shared" si="13"/>
        <v>110</v>
      </c>
      <c r="N58" s="18">
        <v>7191.8902312163063</v>
      </c>
      <c r="O58" s="18">
        <f t="shared" si="2"/>
        <v>0</v>
      </c>
      <c r="P58" s="18">
        <f t="shared" si="7"/>
        <v>49.284285714386137</v>
      </c>
      <c r="Q58" s="18">
        <f t="shared" si="3"/>
        <v>-49.284285714386137</v>
      </c>
      <c r="R58" s="393">
        <f t="shared" si="8"/>
        <v>7241.1745169306923</v>
      </c>
      <c r="S58" s="388">
        <f>INDEX(LIBOR!$M$3:$M$122,MATCH(L58,LIBOR!$N$3:$N$122))</f>
        <v>3.3233100000000002E-2</v>
      </c>
      <c r="T58" s="394">
        <f t="shared" si="9"/>
        <v>8.2233100000000003E-2</v>
      </c>
    </row>
    <row r="59" spans="2:20">
      <c r="B59" s="392">
        <f t="shared" si="10"/>
        <v>47726</v>
      </c>
      <c r="C59" s="347">
        <f t="shared" si="11"/>
        <v>170</v>
      </c>
      <c r="D59" s="18">
        <f ca="1">INDEX('Monthly Cash Flow'!$L$160:$GT$160, MATCH(C59, 'Monthly Cash Flow'!$L$13:$GT$13, 0))</f>
        <v>0</v>
      </c>
      <c r="E59" s="18">
        <f t="shared" ca="1" si="0"/>
        <v>0</v>
      </c>
      <c r="F59" s="18">
        <f t="shared" ca="1" si="4"/>
        <v>0</v>
      </c>
      <c r="G59" s="18">
        <f t="shared" ca="1" si="1"/>
        <v>0</v>
      </c>
      <c r="H59" s="393">
        <f t="shared" ca="1" si="5"/>
        <v>0</v>
      </c>
      <c r="I59" s="388">
        <f>MAX($J$5, INDEX(LIBOR!$M$3:$M$122,MATCH(B59,LIBOR!$N$3:$N$122)))</f>
        <v>5.1999999999999998E-2</v>
      </c>
      <c r="J59" s="394">
        <f t="shared" si="6"/>
        <v>0.10100000000000001</v>
      </c>
      <c r="L59" s="392">
        <f t="shared" si="12"/>
        <v>45930</v>
      </c>
      <c r="M59" s="347">
        <f t="shared" si="13"/>
        <v>111</v>
      </c>
      <c r="N59" s="18">
        <v>7181.2285165629955</v>
      </c>
      <c r="O59" s="18">
        <f t="shared" si="2"/>
        <v>0</v>
      </c>
      <c r="P59" s="18">
        <f t="shared" si="7"/>
        <v>49.116012439032609</v>
      </c>
      <c r="Q59" s="18">
        <f t="shared" si="3"/>
        <v>-49.116012439032609</v>
      </c>
      <c r="R59" s="393">
        <f t="shared" si="8"/>
        <v>7230.3445290020281</v>
      </c>
      <c r="S59" s="388">
        <f>INDEX(LIBOR!$M$3:$M$122,MATCH(L59,LIBOR!$N$3:$N$122))</f>
        <v>3.3073999999999999E-2</v>
      </c>
      <c r="T59" s="394">
        <f t="shared" si="9"/>
        <v>8.2074000000000008E-2</v>
      </c>
    </row>
    <row r="60" spans="2:20">
      <c r="B60" s="392">
        <f t="shared" si="10"/>
        <v>47756</v>
      </c>
      <c r="C60" s="347">
        <f t="shared" si="11"/>
        <v>171</v>
      </c>
      <c r="D60" s="18">
        <f ca="1">INDEX('Monthly Cash Flow'!$L$160:$GT$160, MATCH(C60, 'Monthly Cash Flow'!$L$13:$GT$13, 0))</f>
        <v>0</v>
      </c>
      <c r="E60" s="18">
        <f t="shared" ca="1" si="0"/>
        <v>0</v>
      </c>
      <c r="F60" s="18">
        <f t="shared" ca="1" si="4"/>
        <v>0</v>
      </c>
      <c r="G60" s="18">
        <f t="shared" ca="1" si="1"/>
        <v>0</v>
      </c>
      <c r="H60" s="393">
        <f t="shared" ca="1" si="5"/>
        <v>0</v>
      </c>
      <c r="I60" s="388">
        <f>MAX($J$5, INDEX(LIBOR!$M$3:$M$122,MATCH(B60,LIBOR!$N$3:$N$122)))</f>
        <v>5.1999999999999998E-2</v>
      </c>
      <c r="J60" s="394">
        <f t="shared" si="6"/>
        <v>0.10100000000000001</v>
      </c>
      <c r="L60" s="392">
        <f t="shared" si="12"/>
        <v>45961</v>
      </c>
      <c r="M60" s="347">
        <f t="shared" si="13"/>
        <v>112</v>
      </c>
      <c r="N60" s="18">
        <v>7170.522320879063</v>
      </c>
      <c r="O60" s="18">
        <f t="shared" si="2"/>
        <v>0</v>
      </c>
      <c r="P60" s="18">
        <f t="shared" si="7"/>
        <v>48.925370110647954</v>
      </c>
      <c r="Q60" s="18">
        <f t="shared" si="3"/>
        <v>-48.925370110647954</v>
      </c>
      <c r="R60" s="393">
        <f t="shared" si="8"/>
        <v>7219.4476909897112</v>
      </c>
      <c r="S60" s="388">
        <f>INDEX(LIBOR!$M$3:$M$122,MATCH(L60,LIBOR!$N$3:$N$122))</f>
        <v>3.2877499999999997E-2</v>
      </c>
      <c r="T60" s="394">
        <f t="shared" si="9"/>
        <v>8.1877499999999992E-2</v>
      </c>
    </row>
    <row r="61" spans="2:20">
      <c r="B61" s="392">
        <f t="shared" si="10"/>
        <v>47787</v>
      </c>
      <c r="C61" s="347">
        <f t="shared" si="11"/>
        <v>172</v>
      </c>
      <c r="D61" s="18">
        <f ca="1">INDEX('Monthly Cash Flow'!$L$160:$GT$160, MATCH(C61, 'Monthly Cash Flow'!$L$13:$GT$13, 0))</f>
        <v>0</v>
      </c>
      <c r="E61" s="18">
        <f t="shared" ca="1" si="0"/>
        <v>0</v>
      </c>
      <c r="F61" s="18">
        <f t="shared" ca="1" si="4"/>
        <v>0</v>
      </c>
      <c r="G61" s="18">
        <f t="shared" ca="1" si="1"/>
        <v>0</v>
      </c>
      <c r="H61" s="393">
        <f t="shared" ca="1" si="5"/>
        <v>0</v>
      </c>
      <c r="I61" s="388">
        <f>MAX($J$5, INDEX(LIBOR!$M$3:$M$122,MATCH(B61,LIBOR!$N$3:$N$122)))</f>
        <v>5.1999999999999998E-2</v>
      </c>
      <c r="J61" s="394">
        <f t="shared" si="6"/>
        <v>0.10100000000000001</v>
      </c>
      <c r="L61" s="392">
        <f t="shared" si="12"/>
        <v>45991</v>
      </c>
      <c r="M61" s="347">
        <f t="shared" si="13"/>
        <v>113</v>
      </c>
      <c r="N61" s="18">
        <v>7159.7702762687304</v>
      </c>
      <c r="O61" s="18">
        <f t="shared" si="2"/>
        <v>0</v>
      </c>
      <c r="P61" s="18">
        <f t="shared" si="7"/>
        <v>48.752069106159837</v>
      </c>
      <c r="Q61" s="18">
        <f t="shared" si="3"/>
        <v>-48.752069106159837</v>
      </c>
      <c r="R61" s="393">
        <f t="shared" si="8"/>
        <v>7208.5223453748904</v>
      </c>
      <c r="S61" s="388">
        <f>INDEX(LIBOR!$M$3:$M$122,MATCH(L61,LIBOR!$N$3:$N$122))</f>
        <v>3.2710000000000003E-2</v>
      </c>
      <c r="T61" s="394">
        <f t="shared" si="9"/>
        <v>8.1710000000000005E-2</v>
      </c>
    </row>
    <row r="62" spans="2:20">
      <c r="B62" s="392">
        <f t="shared" si="10"/>
        <v>47817</v>
      </c>
      <c r="C62" s="347">
        <f t="shared" si="11"/>
        <v>173</v>
      </c>
      <c r="D62" s="18">
        <f ca="1">INDEX('Monthly Cash Flow'!$L$160:$GT$160, MATCH(C62, 'Monthly Cash Flow'!$L$13:$GT$13, 0))</f>
        <v>0</v>
      </c>
      <c r="E62" s="18">
        <f t="shared" ca="1" si="0"/>
        <v>0</v>
      </c>
      <c r="F62" s="18">
        <f t="shared" ca="1" si="4"/>
        <v>0</v>
      </c>
      <c r="G62" s="18">
        <f t="shared" ca="1" si="1"/>
        <v>0</v>
      </c>
      <c r="H62" s="393">
        <f t="shared" ca="1" si="5"/>
        <v>0</v>
      </c>
      <c r="I62" s="388">
        <f>MAX($J$5, INDEX(LIBOR!$M$3:$M$122,MATCH(B62,LIBOR!$N$3:$N$122)))</f>
        <v>5.1999999999999998E-2</v>
      </c>
      <c r="J62" s="394">
        <f t="shared" si="6"/>
        <v>0.10100000000000001</v>
      </c>
      <c r="L62" s="392">
        <f t="shared" si="12"/>
        <v>46022</v>
      </c>
      <c r="M62" s="347">
        <f t="shared" si="13"/>
        <v>114</v>
      </c>
      <c r="N62" s="18">
        <v>7148.9730312947004</v>
      </c>
      <c r="O62" s="18">
        <f t="shared" si="2"/>
        <v>0</v>
      </c>
      <c r="P62" s="18">
        <f t="shared" si="7"/>
        <v>48.604318695615888</v>
      </c>
      <c r="Q62" s="18">
        <f t="shared" si="3"/>
        <v>-48.604318695615888</v>
      </c>
      <c r="R62" s="393">
        <f t="shared" si="8"/>
        <v>7197.5773499903162</v>
      </c>
      <c r="S62" s="388">
        <f>INDEX(LIBOR!$M$3:$M$122,MATCH(L62,LIBOR!$N$3:$N$122))</f>
        <v>3.25854E-2</v>
      </c>
      <c r="T62" s="394">
        <f t="shared" si="9"/>
        <v>8.1585400000000002E-2</v>
      </c>
    </row>
    <row r="63" spans="2:20">
      <c r="B63" s="392">
        <f t="shared" si="10"/>
        <v>47848</v>
      </c>
      <c r="C63" s="347">
        <f t="shared" si="11"/>
        <v>174</v>
      </c>
      <c r="D63" s="18">
        <f ca="1">INDEX('Monthly Cash Flow'!$L$160:$GT$160, MATCH(C63, 'Monthly Cash Flow'!$L$13:$GT$13, 0))</f>
        <v>0</v>
      </c>
      <c r="E63" s="18">
        <f t="shared" ca="1" si="0"/>
        <v>0</v>
      </c>
      <c r="F63" s="18">
        <f t="shared" ca="1" si="4"/>
        <v>0</v>
      </c>
      <c r="G63" s="18">
        <f t="shared" ca="1" si="1"/>
        <v>0</v>
      </c>
      <c r="H63" s="393">
        <f t="shared" ca="1" si="5"/>
        <v>0</v>
      </c>
      <c r="I63" s="388">
        <f>MAX($J$5, INDEX(LIBOR!$M$3:$M$122,MATCH(B63,LIBOR!$N$3:$N$122)))</f>
        <v>5.1999999999999998E-2</v>
      </c>
      <c r="J63" s="394">
        <f t="shared" si="6"/>
        <v>0.10100000000000001</v>
      </c>
      <c r="L63" s="392">
        <f t="shared" si="12"/>
        <v>46053</v>
      </c>
      <c r="M63" s="347">
        <f t="shared" si="13"/>
        <v>115</v>
      </c>
      <c r="N63" s="18">
        <v>7138.1313766932362</v>
      </c>
      <c r="O63" s="18">
        <f t="shared" si="2"/>
        <v>0</v>
      </c>
      <c r="P63" s="18">
        <f t="shared" si="7"/>
        <v>48.446914044613976</v>
      </c>
      <c r="Q63" s="18">
        <f t="shared" si="3"/>
        <v>-48.446914044613976</v>
      </c>
      <c r="R63" s="393">
        <f t="shared" si="8"/>
        <v>7186.5782907378498</v>
      </c>
      <c r="S63" s="388">
        <f>INDEX(LIBOR!$M$3:$M$122,MATCH(L63,LIBOR!$N$3:$N$122))</f>
        <v>3.24447E-2</v>
      </c>
      <c r="T63" s="394">
        <f t="shared" si="9"/>
        <v>8.1444700000000009E-2</v>
      </c>
    </row>
    <row r="64" spans="2:20">
      <c r="B64" s="392">
        <f t="shared" si="10"/>
        <v>47879</v>
      </c>
      <c r="C64" s="347">
        <f t="shared" si="11"/>
        <v>175</v>
      </c>
      <c r="D64" s="18">
        <f ca="1">INDEX('Monthly Cash Flow'!$L$160:$GT$160, MATCH(C64, 'Monthly Cash Flow'!$L$13:$GT$13, 0))</f>
        <v>0</v>
      </c>
      <c r="E64" s="18">
        <f t="shared" ca="1" si="0"/>
        <v>0</v>
      </c>
      <c r="F64" s="18">
        <f t="shared" ca="1" si="4"/>
        <v>0</v>
      </c>
      <c r="G64" s="18">
        <f t="shared" ca="1" si="1"/>
        <v>0</v>
      </c>
      <c r="H64" s="393">
        <f t="shared" ca="1" si="5"/>
        <v>0</v>
      </c>
      <c r="I64" s="388">
        <f>MAX($J$5, INDEX(LIBOR!$M$3:$M$122,MATCH(B64,LIBOR!$N$3:$N$122)))</f>
        <v>5.1999999999999998E-2</v>
      </c>
      <c r="J64" s="394">
        <f t="shared" si="6"/>
        <v>0.10100000000000001</v>
      </c>
      <c r="L64" s="392">
        <f t="shared" si="12"/>
        <v>46081</v>
      </c>
      <c r="M64" s="347">
        <f t="shared" si="13"/>
        <v>116</v>
      </c>
      <c r="N64" s="18">
        <v>7127.243658528063</v>
      </c>
      <c r="O64" s="18">
        <f t="shared" si="2"/>
        <v>0</v>
      </c>
      <c r="P64" s="18">
        <f t="shared" si="7"/>
        <v>48.316178698133285</v>
      </c>
      <c r="Q64" s="18">
        <f t="shared" si="3"/>
        <v>-48.316178698133285</v>
      </c>
      <c r="R64" s="393">
        <f t="shared" si="8"/>
        <v>7175.5598372261966</v>
      </c>
      <c r="S64" s="388">
        <f>INDEX(LIBOR!$M$3:$M$122,MATCH(L64,LIBOR!$N$3:$N$122))</f>
        <v>3.2349000000000003E-2</v>
      </c>
      <c r="T64" s="394">
        <f t="shared" si="9"/>
        <v>8.1349000000000005E-2</v>
      </c>
    </row>
    <row r="65" spans="2:20">
      <c r="B65" s="392">
        <f t="shared" si="10"/>
        <v>47907</v>
      </c>
      <c r="C65" s="347">
        <f t="shared" si="11"/>
        <v>176</v>
      </c>
      <c r="D65" s="18">
        <f ca="1">INDEX('Monthly Cash Flow'!$L$160:$GT$160, MATCH(C65, 'Monthly Cash Flow'!$L$13:$GT$13, 0))</f>
        <v>0</v>
      </c>
      <c r="E65" s="18">
        <f t="shared" ca="1" si="0"/>
        <v>0</v>
      </c>
      <c r="F65" s="18">
        <f t="shared" ca="1" si="4"/>
        <v>0</v>
      </c>
      <c r="G65" s="18">
        <f t="shared" ca="1" si="1"/>
        <v>0</v>
      </c>
      <c r="H65" s="393">
        <f t="shared" ca="1" si="5"/>
        <v>0</v>
      </c>
      <c r="I65" s="388">
        <f>MAX($J$5, INDEX(LIBOR!$M$3:$M$122,MATCH(B65,LIBOR!$N$3:$N$122)))</f>
        <v>5.1999999999999998E-2</v>
      </c>
      <c r="J65" s="394">
        <f t="shared" si="6"/>
        <v>0.10100000000000001</v>
      </c>
      <c r="L65" s="392">
        <f t="shared" si="12"/>
        <v>46112</v>
      </c>
      <c r="M65" s="347">
        <f t="shared" si="13"/>
        <v>117</v>
      </c>
      <c r="N65" s="18">
        <v>7116.3110373837926</v>
      </c>
      <c r="O65" s="18">
        <f t="shared" si="2"/>
        <v>0</v>
      </c>
      <c r="P65" s="18">
        <f t="shared" si="7"/>
        <v>48.201324667655491</v>
      </c>
      <c r="Q65" s="18">
        <f t="shared" si="3"/>
        <v>-48.201324667655491</v>
      </c>
      <c r="R65" s="393">
        <f t="shared" si="8"/>
        <v>7164.5123620514478</v>
      </c>
      <c r="S65" s="388">
        <f>INDEX(LIBOR!$M$3:$M$122,MATCH(L65,LIBOR!$N$3:$N$122))</f>
        <v>3.2280299999999998E-2</v>
      </c>
      <c r="T65" s="394">
        <f t="shared" si="9"/>
        <v>8.12803E-2</v>
      </c>
    </row>
    <row r="66" spans="2:20">
      <c r="B66" s="392">
        <f t="shared" si="10"/>
        <v>47938</v>
      </c>
      <c r="C66" s="347">
        <f t="shared" si="11"/>
        <v>177</v>
      </c>
      <c r="D66" s="18">
        <f ca="1">INDEX('Monthly Cash Flow'!$L$160:$GT$160, MATCH(C66, 'Monthly Cash Flow'!$L$13:$GT$13, 0))</f>
        <v>0</v>
      </c>
      <c r="E66" s="18">
        <f t="shared" ca="1" si="0"/>
        <v>0</v>
      </c>
      <c r="F66" s="18">
        <f t="shared" ca="1" si="4"/>
        <v>0</v>
      </c>
      <c r="G66" s="18">
        <f t="shared" ca="1" si="1"/>
        <v>0</v>
      </c>
      <c r="H66" s="393">
        <f t="shared" ca="1" si="5"/>
        <v>0</v>
      </c>
      <c r="I66" s="388">
        <f>MAX($J$5, INDEX(LIBOR!$M$3:$M$122,MATCH(B66,LIBOR!$N$3:$N$122)))</f>
        <v>5.1999999999999998E-2</v>
      </c>
      <c r="J66" s="394">
        <f t="shared" si="6"/>
        <v>0.10100000000000001</v>
      </c>
      <c r="L66" s="392">
        <f t="shared" si="12"/>
        <v>46142</v>
      </c>
      <c r="M66" s="347">
        <f t="shared" si="13"/>
        <v>118</v>
      </c>
      <c r="N66" s="18">
        <v>7105.3340661484071</v>
      </c>
      <c r="O66" s="18">
        <f t="shared" si="2"/>
        <v>0</v>
      </c>
      <c r="P66" s="18">
        <f t="shared" si="7"/>
        <v>48.07836138082763</v>
      </c>
      <c r="Q66" s="18">
        <f t="shared" si="3"/>
        <v>-48.07836138082763</v>
      </c>
      <c r="R66" s="393">
        <f t="shared" si="8"/>
        <v>7153.4124275292352</v>
      </c>
      <c r="S66" s="388">
        <f>INDEX(LIBOR!$M$3:$M$122,MATCH(L66,LIBOR!$N$3:$N$122))</f>
        <v>3.2198200000000003E-2</v>
      </c>
      <c r="T66" s="394">
        <f t="shared" si="9"/>
        <v>8.1198199999999998E-2</v>
      </c>
    </row>
    <row r="67" spans="2:20">
      <c r="B67" s="392">
        <f t="shared" si="10"/>
        <v>47968</v>
      </c>
      <c r="C67" s="347">
        <f t="shared" si="11"/>
        <v>178</v>
      </c>
      <c r="D67" s="18">
        <f ca="1">INDEX('Monthly Cash Flow'!$L$160:$GT$160, MATCH(C67, 'Monthly Cash Flow'!$L$13:$GT$13, 0))</f>
        <v>0</v>
      </c>
      <c r="E67" s="18">
        <f t="shared" ca="1" si="0"/>
        <v>0</v>
      </c>
      <c r="F67" s="18">
        <f t="shared" ca="1" si="4"/>
        <v>0</v>
      </c>
      <c r="G67" s="18">
        <f t="shared" ca="1" si="1"/>
        <v>0</v>
      </c>
      <c r="H67" s="393">
        <f t="shared" ca="1" si="5"/>
        <v>0</v>
      </c>
      <c r="I67" s="388">
        <f>MAX($J$5, INDEX(LIBOR!$M$3:$M$122,MATCH(B67,LIBOR!$N$3:$N$122)))</f>
        <v>5.1999999999999998E-2</v>
      </c>
      <c r="J67" s="394">
        <f t="shared" si="6"/>
        <v>0.10100000000000001</v>
      </c>
      <c r="L67" s="392">
        <f t="shared" si="12"/>
        <v>46173</v>
      </c>
      <c r="M67" s="347">
        <f t="shared" si="13"/>
        <v>119</v>
      </c>
      <c r="N67" s="18">
        <v>7094.3113335646121</v>
      </c>
      <c r="O67" s="18">
        <f t="shared" si="2"/>
        <v>0</v>
      </c>
      <c r="P67" s="18">
        <f t="shared" si="7"/>
        <v>47.977231328847431</v>
      </c>
      <c r="Q67" s="18">
        <f t="shared" si="3"/>
        <v>-47.977231328847431</v>
      </c>
      <c r="R67" s="393">
        <f t="shared" si="8"/>
        <v>7142.2885648934598</v>
      </c>
      <c r="S67" s="388">
        <f>INDEX(LIBOR!$M$3:$M$122,MATCH(L67,LIBOR!$N$3:$N$122))</f>
        <v>3.2153300000000003E-2</v>
      </c>
      <c r="T67" s="394">
        <f t="shared" si="9"/>
        <v>8.1153300000000012E-2</v>
      </c>
    </row>
    <row r="68" spans="2:20">
      <c r="B68" s="392">
        <f t="shared" si="10"/>
        <v>47999</v>
      </c>
      <c r="C68" s="347">
        <f t="shared" si="11"/>
        <v>179</v>
      </c>
      <c r="D68" s="18">
        <f ca="1">INDEX('Monthly Cash Flow'!$L$160:$GT$160, MATCH(C68, 'Monthly Cash Flow'!$L$13:$GT$13, 0))</f>
        <v>0</v>
      </c>
      <c r="E68" s="18">
        <f t="shared" ca="1" si="0"/>
        <v>0</v>
      </c>
      <c r="F68" s="18">
        <f t="shared" ca="1" si="4"/>
        <v>0</v>
      </c>
      <c r="G68" s="18">
        <f t="shared" ca="1" si="1"/>
        <v>0</v>
      </c>
      <c r="H68" s="393">
        <f t="shared" ca="1" si="5"/>
        <v>0</v>
      </c>
      <c r="I68" s="388">
        <f>MAX($J$5, INDEX(LIBOR!$M$3:$M$122,MATCH(B68,LIBOR!$N$3:$N$122)))</f>
        <v>5.1999999999999998E-2</v>
      </c>
      <c r="J68" s="394">
        <f t="shared" si="6"/>
        <v>0.10100000000000001</v>
      </c>
      <c r="L68" s="392">
        <f t="shared" si="12"/>
        <v>46203</v>
      </c>
      <c r="M68" s="347">
        <f t="shared" si="13"/>
        <v>120</v>
      </c>
      <c r="N68" s="18">
        <v>7083.238394914013</v>
      </c>
      <c r="O68" s="18">
        <f t="shared" si="2"/>
        <v>0</v>
      </c>
      <c r="P68" s="18">
        <f t="shared" si="7"/>
        <v>47.894969162836581</v>
      </c>
      <c r="Q68" s="18">
        <f t="shared" si="3"/>
        <v>-47.894969162836581</v>
      </c>
      <c r="R68" s="393">
        <f t="shared" si="8"/>
        <v>7131.1333640768498</v>
      </c>
      <c r="S68" s="388">
        <f>INDEX(LIBOR!$M$3:$M$122,MATCH(L68,LIBOR!$N$3:$N$122))</f>
        <v>3.2140799999999997E-2</v>
      </c>
      <c r="T68" s="394">
        <f t="shared" si="9"/>
        <v>8.1140799999999999E-2</v>
      </c>
    </row>
    <row r="69" spans="2:20">
      <c r="B69" s="392">
        <f t="shared" si="10"/>
        <v>48029</v>
      </c>
      <c r="C69" s="347">
        <f t="shared" si="11"/>
        <v>180</v>
      </c>
      <c r="D69" s="18">
        <f ca="1">INDEX('Monthly Cash Flow'!$L$160:$GT$160, MATCH(C69, 'Monthly Cash Flow'!$L$13:$GT$13, 0))</f>
        <v>0</v>
      </c>
      <c r="E69" s="18">
        <f t="shared" ca="1" si="0"/>
        <v>0</v>
      </c>
      <c r="F69" s="18">
        <f t="shared" ca="1" si="4"/>
        <v>0</v>
      </c>
      <c r="G69" s="18">
        <f t="shared" ca="1" si="1"/>
        <v>0</v>
      </c>
      <c r="H69" s="393">
        <f t="shared" ca="1" si="5"/>
        <v>0</v>
      </c>
      <c r="I69" s="388">
        <f>MAX($J$5, INDEX(LIBOR!$M$3:$M$122,MATCH(B69,LIBOR!$N$3:$N$122)))</f>
        <v>5.1999999999999998E-2</v>
      </c>
      <c r="J69" s="394">
        <f t="shared" si="6"/>
        <v>0.10100000000000001</v>
      </c>
      <c r="L69" s="392">
        <f t="shared" si="12"/>
        <v>46234</v>
      </c>
      <c r="M69" s="347">
        <f t="shared" si="13"/>
        <v>121</v>
      </c>
      <c r="N69" s="18">
        <v>7072.115021519272</v>
      </c>
      <c r="O69" s="18">
        <f t="shared" si="2"/>
        <v>0</v>
      </c>
      <c r="P69" s="18">
        <f t="shared" si="7"/>
        <v>47.805611648131212</v>
      </c>
      <c r="Q69" s="18">
        <f t="shared" si="3"/>
        <v>-47.805611648131212</v>
      </c>
      <c r="R69" s="393">
        <f t="shared" si="8"/>
        <v>7119.9206331674031</v>
      </c>
      <c r="S69" s="388">
        <f>INDEX(LIBOR!$M$3:$M$122,MATCH(L69,LIBOR!$N$3:$N$122))</f>
        <v>3.2116800000000001E-2</v>
      </c>
      <c r="T69" s="394">
        <f t="shared" si="9"/>
        <v>8.1116800000000003E-2</v>
      </c>
    </row>
    <row r="70" spans="2:20">
      <c r="B70" s="392">
        <f t="shared" si="10"/>
        <v>48060</v>
      </c>
      <c r="C70" s="347">
        <f t="shared" si="11"/>
        <v>181</v>
      </c>
      <c r="D70" s="18">
        <f ca="1">INDEX('Monthly Cash Flow'!$L$160:$GT$160, MATCH(C70, 'Monthly Cash Flow'!$L$13:$GT$13, 0))</f>
        <v>0</v>
      </c>
      <c r="E70" s="18">
        <f t="shared" ca="1" si="0"/>
        <v>0</v>
      </c>
      <c r="F70" s="18">
        <f t="shared" ca="1" si="4"/>
        <v>0</v>
      </c>
      <c r="G70" s="18">
        <f t="shared" ca="1" si="1"/>
        <v>0</v>
      </c>
      <c r="H70" s="393">
        <f t="shared" ca="1" si="5"/>
        <v>0</v>
      </c>
      <c r="I70" s="388">
        <f>MAX($J$5, INDEX(LIBOR!$M$3:$M$122,MATCH(B70,LIBOR!$N$3:$N$122)))</f>
        <v>5.1999999999999998E-2</v>
      </c>
      <c r="J70" s="394">
        <f t="shared" si="6"/>
        <v>0.10100000000000001</v>
      </c>
      <c r="L70" s="392">
        <f t="shared" si="12"/>
        <v>46265</v>
      </c>
      <c r="M70" s="347">
        <f t="shared" si="13"/>
        <v>122</v>
      </c>
      <c r="N70" s="18">
        <v>7060.9409836614768</v>
      </c>
      <c r="O70" s="18">
        <f t="shared" si="2"/>
        <v>0</v>
      </c>
      <c r="P70" s="18">
        <f t="shared" si="7"/>
        <v>47.734844267119911</v>
      </c>
      <c r="Q70" s="18">
        <f t="shared" si="3"/>
        <v>-47.734844267119911</v>
      </c>
      <c r="R70" s="393">
        <f t="shared" si="8"/>
        <v>7108.6758279285968</v>
      </c>
      <c r="S70" s="388">
        <f>INDEX(LIBOR!$M$3:$M$122,MATCH(L70,LIBOR!$N$3:$N$122))</f>
        <v>3.2124899999999998E-2</v>
      </c>
      <c r="T70" s="394">
        <f t="shared" si="9"/>
        <v>8.11249E-2</v>
      </c>
    </row>
    <row r="71" spans="2:20">
      <c r="B71" s="392">
        <f t="shared" si="10"/>
        <v>48091</v>
      </c>
      <c r="C71" s="347">
        <f t="shared" si="11"/>
        <v>182</v>
      </c>
      <c r="D71" s="18">
        <f ca="1">INDEX('Monthly Cash Flow'!$L$160:$GT$160, MATCH(C71, 'Monthly Cash Flow'!$L$13:$GT$13, 0))</f>
        <v>0</v>
      </c>
      <c r="E71" s="18">
        <f t="shared" ca="1" si="0"/>
        <v>0</v>
      </c>
      <c r="F71" s="18">
        <f t="shared" ca="1" si="4"/>
        <v>0</v>
      </c>
      <c r="G71" s="18">
        <f t="shared" ca="1" si="1"/>
        <v>0</v>
      </c>
      <c r="H71" s="393">
        <f t="shared" ca="1" si="5"/>
        <v>0</v>
      </c>
      <c r="I71" s="388">
        <f>MAX($J$5, INDEX(LIBOR!$M$3:$M$122,MATCH(B71,LIBOR!$N$3:$N$122)))</f>
        <v>5.1999999999999998E-2</v>
      </c>
      <c r="J71" s="394">
        <f t="shared" si="6"/>
        <v>0.10100000000000001</v>
      </c>
      <c r="L71" s="392">
        <f t="shared" si="12"/>
        <v>46295</v>
      </c>
      <c r="M71" s="347">
        <f t="shared" si="13"/>
        <v>123</v>
      </c>
      <c r="N71" s="18">
        <v>7049.7160505753973</v>
      </c>
      <c r="O71" s="18">
        <f t="shared" si="2"/>
        <v>0</v>
      </c>
      <c r="P71" s="18">
        <f t="shared" si="7"/>
        <v>47.677699631111444</v>
      </c>
      <c r="Q71" s="18">
        <f t="shared" si="3"/>
        <v>-47.677699631111444</v>
      </c>
      <c r="R71" s="393">
        <f t="shared" si="8"/>
        <v>7097.3937502065091</v>
      </c>
      <c r="S71" s="388">
        <f>INDEX(LIBOR!$M$3:$M$122,MATCH(L71,LIBOR!$N$3:$N$122))</f>
        <v>3.2156799999999999E-2</v>
      </c>
      <c r="T71" s="394">
        <f t="shared" si="9"/>
        <v>8.1156800000000001E-2</v>
      </c>
    </row>
    <row r="72" spans="2:20">
      <c r="B72" s="392">
        <f t="shared" si="10"/>
        <v>48121</v>
      </c>
      <c r="C72" s="347">
        <f t="shared" si="11"/>
        <v>183</v>
      </c>
      <c r="D72" s="18">
        <f ca="1">INDEX('Monthly Cash Flow'!$L$160:$GT$160, MATCH(C72, 'Monthly Cash Flow'!$L$13:$GT$13, 0))</f>
        <v>0</v>
      </c>
      <c r="E72" s="18">
        <f t="shared" ca="1" si="0"/>
        <v>0</v>
      </c>
      <c r="F72" s="18">
        <f t="shared" ca="1" si="4"/>
        <v>0</v>
      </c>
      <c r="G72" s="18">
        <f t="shared" ca="1" si="1"/>
        <v>0</v>
      </c>
      <c r="H72" s="393">
        <f t="shared" ca="1" si="5"/>
        <v>0</v>
      </c>
      <c r="I72" s="388">
        <f>MAX($J$5, INDEX(LIBOR!$M$3:$M$122,MATCH(B72,LIBOR!$N$3:$N$122)))</f>
        <v>5.1999999999999998E-2</v>
      </c>
      <c r="J72" s="394">
        <f t="shared" si="6"/>
        <v>0.10100000000000001</v>
      </c>
      <c r="L72" s="392">
        <f t="shared" si="12"/>
        <v>46326</v>
      </c>
      <c r="M72" s="347">
        <f t="shared" si="13"/>
        <v>124</v>
      </c>
      <c r="N72" s="18">
        <v>7038.4399904447209</v>
      </c>
      <c r="O72" s="18">
        <f t="shared" si="2"/>
        <v>0</v>
      </c>
      <c r="P72" s="18">
        <f t="shared" si="7"/>
        <v>47.612759042361638</v>
      </c>
      <c r="Q72" s="18">
        <f t="shared" si="3"/>
        <v>-47.612759042361638</v>
      </c>
      <c r="R72" s="393">
        <f t="shared" si="8"/>
        <v>7086.052749487083</v>
      </c>
      <c r="S72" s="388">
        <f>INDEX(LIBOR!$M$3:$M$122,MATCH(L72,LIBOR!$N$3:$N$122))</f>
        <v>3.2176099999999999E-2</v>
      </c>
      <c r="T72" s="394">
        <f t="shared" si="9"/>
        <v>8.1176100000000001E-2</v>
      </c>
    </row>
    <row r="73" spans="2:20">
      <c r="B73" s="392">
        <f t="shared" si="10"/>
        <v>48152</v>
      </c>
      <c r="C73" s="347">
        <f t="shared" si="11"/>
        <v>184</v>
      </c>
      <c r="D73" s="18">
        <f ca="1">INDEX('Monthly Cash Flow'!$L$160:$GT$160, MATCH(C73, 'Monthly Cash Flow'!$L$13:$GT$13, 0))</f>
        <v>0</v>
      </c>
      <c r="E73" s="18">
        <f t="shared" ref="E73:E136" ca="1" si="14">-PMT(J73/12,$E$2*12,$D$9,)</f>
        <v>0</v>
      </c>
      <c r="F73" s="18">
        <f t="shared" ca="1" si="4"/>
        <v>0</v>
      </c>
      <c r="G73" s="18">
        <f t="shared" ref="G73:G136" ca="1" si="15">+E73-F73</f>
        <v>0</v>
      </c>
      <c r="H73" s="393">
        <f t="shared" ca="1" si="5"/>
        <v>0</v>
      </c>
      <c r="I73" s="388">
        <f>MAX($J$5, INDEX(LIBOR!$M$3:$M$122,MATCH(B73,LIBOR!$N$3:$N$122)))</f>
        <v>5.1999999999999998E-2</v>
      </c>
      <c r="J73" s="394">
        <f t="shared" si="6"/>
        <v>0.10100000000000001</v>
      </c>
      <c r="L73" s="392">
        <f t="shared" si="12"/>
        <v>46356</v>
      </c>
      <c r="M73" s="347">
        <f t="shared" si="13"/>
        <v>125</v>
      </c>
      <c r="N73" s="18">
        <v>7027.112570397263</v>
      </c>
      <c r="O73" s="18">
        <f t="shared" ref="O73:O136" si="16">-PMT(T73/12,$O$2*12,$N$9,)</f>
        <v>0</v>
      </c>
      <c r="P73" s="18">
        <f t="shared" si="7"/>
        <v>47.559614994991513</v>
      </c>
      <c r="Q73" s="18">
        <f t="shared" ref="Q73:Q136" si="17">+O73-P73</f>
        <v>-47.559614994991513</v>
      </c>
      <c r="R73" s="393">
        <f t="shared" si="8"/>
        <v>7074.6721853922545</v>
      </c>
      <c r="S73" s="388">
        <f>INDEX(LIBOR!$M$3:$M$122,MATCH(L73,LIBOR!$N$3:$N$122))</f>
        <v>3.22162E-2</v>
      </c>
      <c r="T73" s="394">
        <f t="shared" si="9"/>
        <v>8.1216200000000002E-2</v>
      </c>
    </row>
    <row r="74" spans="2:20">
      <c r="B74" s="392">
        <f t="shared" si="10"/>
        <v>48182</v>
      </c>
      <c r="C74" s="347">
        <f t="shared" si="11"/>
        <v>185</v>
      </c>
      <c r="D74" s="18">
        <f ca="1">INDEX('Monthly Cash Flow'!$L$160:$GT$160, MATCH(C74, 'Monthly Cash Flow'!$L$13:$GT$13, 0))</f>
        <v>0</v>
      </c>
      <c r="E74" s="18">
        <f t="shared" ca="1" si="14"/>
        <v>0</v>
      </c>
      <c r="F74" s="18">
        <f t="shared" ref="F74:F137" ca="1" si="18">D74*J74/12</f>
        <v>0</v>
      </c>
      <c r="G74" s="18">
        <f t="shared" ca="1" si="15"/>
        <v>0</v>
      </c>
      <c r="H74" s="393">
        <f t="shared" ref="H74:H137" ca="1" si="19">+D74-G74</f>
        <v>0</v>
      </c>
      <c r="I74" s="388">
        <f>MAX($J$5, INDEX(LIBOR!$M$3:$M$122,MATCH(B74,LIBOR!$N$3:$N$122)))</f>
        <v>5.1999999999999998E-2</v>
      </c>
      <c r="J74" s="394">
        <f t="shared" ref="J74:J137" si="20">IF($I$2=1,I74+$J$4/10000,$J$3)</f>
        <v>0.10100000000000001</v>
      </c>
      <c r="L74" s="392">
        <f t="shared" si="12"/>
        <v>46387</v>
      </c>
      <c r="M74" s="347">
        <f t="shared" si="13"/>
        <v>126</v>
      </c>
      <c r="N74" s="18">
        <v>7015.7335565001586</v>
      </c>
      <c r="O74" s="18">
        <f t="shared" si="16"/>
        <v>0</v>
      </c>
      <c r="P74" s="18">
        <f t="shared" ref="P74:P137" si="21">N74*T74/12</f>
        <v>47.520486600490777</v>
      </c>
      <c r="Q74" s="18">
        <f t="shared" si="17"/>
        <v>-47.520486600490777</v>
      </c>
      <c r="R74" s="393">
        <f t="shared" ref="R74:R137" si="22">+N74-Q74</f>
        <v>7063.2540431006491</v>
      </c>
      <c r="S74" s="388">
        <f>INDEX(LIBOR!$M$3:$M$122,MATCH(L74,LIBOR!$N$3:$N$122))</f>
        <v>3.2280999999999997E-2</v>
      </c>
      <c r="T74" s="394">
        <f t="shared" ref="T74:T137" si="23">IF($S$2=1,S74+$T$4/10000,$T$3)</f>
        <v>8.1280999999999992E-2</v>
      </c>
    </row>
    <row r="75" spans="2:20">
      <c r="B75" s="392">
        <f t="shared" ref="B75:B138" si="24">EOMONTH(B74,1)</f>
        <v>48213</v>
      </c>
      <c r="C75" s="347">
        <f t="shared" ref="C75:C138" si="25">+C74+1</f>
        <v>186</v>
      </c>
      <c r="D75" s="18">
        <f ca="1">INDEX('Monthly Cash Flow'!$L$160:$GT$160, MATCH(C75, 'Monthly Cash Flow'!$L$13:$GT$13, 0))</f>
        <v>0</v>
      </c>
      <c r="E75" s="18">
        <f t="shared" ca="1" si="14"/>
        <v>0</v>
      </c>
      <c r="F75" s="18">
        <f t="shared" ca="1" si="18"/>
        <v>0</v>
      </c>
      <c r="G75" s="18">
        <f t="shared" ca="1" si="15"/>
        <v>0</v>
      </c>
      <c r="H75" s="393">
        <f t="shared" ca="1" si="19"/>
        <v>0</v>
      </c>
      <c r="I75" s="388">
        <f>MAX($J$5, INDEX(LIBOR!$M$3:$M$122,MATCH(B75,LIBOR!$N$3:$N$122)))</f>
        <v>5.1999999999999998E-2</v>
      </c>
      <c r="J75" s="394">
        <f t="shared" si="20"/>
        <v>0.10100000000000001</v>
      </c>
      <c r="L75" s="392">
        <f t="shared" ref="L75:L138" si="26">EOMONTH(L74,1)</f>
        <v>46418</v>
      </c>
      <c r="M75" s="347">
        <f t="shared" ref="M75:M138" si="27">+M74+1</f>
        <v>127</v>
      </c>
      <c r="N75" s="18">
        <v>7004.3027137550307</v>
      </c>
      <c r="O75" s="18">
        <f t="shared" si="16"/>
        <v>0</v>
      </c>
      <c r="P75" s="18">
        <f t="shared" si="21"/>
        <v>47.466816999764376</v>
      </c>
      <c r="Q75" s="18">
        <f t="shared" si="17"/>
        <v>-47.466816999764376</v>
      </c>
      <c r="R75" s="393">
        <f t="shared" si="22"/>
        <v>7051.7695307547947</v>
      </c>
      <c r="S75" s="388">
        <f>INDEX(LIBOR!$M$3:$M$122,MATCH(L75,LIBOR!$N$3:$N$122))</f>
        <v>3.2321700000000002E-2</v>
      </c>
      <c r="T75" s="394">
        <f t="shared" si="23"/>
        <v>8.1321699999999997E-2</v>
      </c>
    </row>
    <row r="76" spans="2:20">
      <c r="B76" s="392">
        <f t="shared" si="24"/>
        <v>48244</v>
      </c>
      <c r="C76" s="347">
        <f t="shared" si="25"/>
        <v>187</v>
      </c>
      <c r="D76" s="18">
        <f ca="1">INDEX('Monthly Cash Flow'!$L$160:$GT$160, MATCH(C76, 'Monthly Cash Flow'!$L$13:$GT$13, 0))</f>
        <v>0</v>
      </c>
      <c r="E76" s="18">
        <f t="shared" ca="1" si="14"/>
        <v>0</v>
      </c>
      <c r="F76" s="18">
        <f t="shared" ca="1" si="18"/>
        <v>0</v>
      </c>
      <c r="G76" s="18">
        <f t="shared" ca="1" si="15"/>
        <v>0</v>
      </c>
      <c r="H76" s="393">
        <f t="shared" ca="1" si="19"/>
        <v>0</v>
      </c>
      <c r="I76" s="388">
        <f>MAX($J$5, INDEX(LIBOR!$M$3:$M$122,MATCH(B76,LIBOR!$N$3:$N$122)))</f>
        <v>5.1999999999999998E-2</v>
      </c>
      <c r="J76" s="394">
        <f t="shared" si="20"/>
        <v>0.10100000000000001</v>
      </c>
      <c r="L76" s="392">
        <f t="shared" si="26"/>
        <v>46446</v>
      </c>
      <c r="M76" s="347">
        <f t="shared" si="27"/>
        <v>128</v>
      </c>
      <c r="N76" s="18">
        <v>6992.8198060931381</v>
      </c>
      <c r="O76" s="18">
        <f t="shared" si="16"/>
        <v>0</v>
      </c>
      <c r="P76" s="18">
        <f t="shared" si="21"/>
        <v>47.416912541156357</v>
      </c>
      <c r="Q76" s="18">
        <f t="shared" si="17"/>
        <v>-47.416912541156357</v>
      </c>
      <c r="R76" s="393">
        <f t="shared" si="22"/>
        <v>7040.2367186342944</v>
      </c>
      <c r="S76" s="388">
        <f>INDEX(LIBOR!$M$3:$M$122,MATCH(L76,LIBOR!$N$3:$N$122))</f>
        <v>3.2369599999999998E-2</v>
      </c>
      <c r="T76" s="394">
        <f t="shared" si="23"/>
        <v>8.13696E-2</v>
      </c>
    </row>
    <row r="77" spans="2:20">
      <c r="B77" s="392">
        <f t="shared" si="24"/>
        <v>48273</v>
      </c>
      <c r="C77" s="347">
        <f t="shared" si="25"/>
        <v>188</v>
      </c>
      <c r="D77" s="18">
        <f ca="1">INDEX('Monthly Cash Flow'!$L$160:$GT$160, MATCH(C77, 'Monthly Cash Flow'!$L$13:$GT$13, 0))</f>
        <v>0</v>
      </c>
      <c r="E77" s="18">
        <f t="shared" ca="1" si="14"/>
        <v>0</v>
      </c>
      <c r="F77" s="18">
        <f t="shared" ca="1" si="18"/>
        <v>0</v>
      </c>
      <c r="G77" s="18">
        <f t="shared" ca="1" si="15"/>
        <v>0</v>
      </c>
      <c r="H77" s="393">
        <f t="shared" ca="1" si="19"/>
        <v>0</v>
      </c>
      <c r="I77" s="388">
        <f>MAX($J$5, INDEX(LIBOR!$M$3:$M$122,MATCH(B77,LIBOR!$N$3:$N$122)))</f>
        <v>5.1999999999999998E-2</v>
      </c>
      <c r="J77" s="394">
        <f t="shared" si="20"/>
        <v>0.10100000000000001</v>
      </c>
      <c r="L77" s="392">
        <f t="shared" si="26"/>
        <v>46477</v>
      </c>
      <c r="M77" s="347">
        <f t="shared" si="27"/>
        <v>129</v>
      </c>
      <c r="N77" s="18">
        <v>6981.2845963705004</v>
      </c>
      <c r="O77" s="18">
        <f t="shared" si="16"/>
        <v>0</v>
      </c>
      <c r="P77" s="18">
        <f t="shared" si="21"/>
        <v>47.374880916226942</v>
      </c>
      <c r="Q77" s="18">
        <f t="shared" si="17"/>
        <v>-47.374880916226942</v>
      </c>
      <c r="R77" s="393">
        <f t="shared" si="22"/>
        <v>7028.6594772867275</v>
      </c>
      <c r="S77" s="388">
        <f>INDEX(LIBOR!$M$3:$M$122,MATCH(L77,LIBOR!$N$3:$N$122))</f>
        <v>3.2431799999999997E-2</v>
      </c>
      <c r="T77" s="394">
        <f t="shared" si="23"/>
        <v>8.1431799999999999E-2</v>
      </c>
    </row>
    <row r="78" spans="2:20">
      <c r="B78" s="392">
        <f t="shared" si="24"/>
        <v>48304</v>
      </c>
      <c r="C78" s="347">
        <f t="shared" si="25"/>
        <v>189</v>
      </c>
      <c r="D78" s="18">
        <f ca="1">INDEX('Monthly Cash Flow'!$L$160:$GT$160, MATCH(C78, 'Monthly Cash Flow'!$L$13:$GT$13, 0))</f>
        <v>0</v>
      </c>
      <c r="E78" s="18">
        <f t="shared" ca="1" si="14"/>
        <v>0</v>
      </c>
      <c r="F78" s="18">
        <f t="shared" ca="1" si="18"/>
        <v>0</v>
      </c>
      <c r="G78" s="18">
        <f t="shared" ca="1" si="15"/>
        <v>0</v>
      </c>
      <c r="H78" s="393">
        <f t="shared" ca="1" si="19"/>
        <v>0</v>
      </c>
      <c r="I78" s="388">
        <f>MAX($J$5, INDEX(LIBOR!$M$3:$M$122,MATCH(B78,LIBOR!$N$3:$N$122)))</f>
        <v>5.1999999999999998E-2</v>
      </c>
      <c r="J78" s="394">
        <f t="shared" si="20"/>
        <v>0.10100000000000001</v>
      </c>
      <c r="L78" s="392">
        <f t="shared" si="26"/>
        <v>46507</v>
      </c>
      <c r="M78" s="347">
        <f t="shared" si="27"/>
        <v>130</v>
      </c>
      <c r="N78" s="18">
        <v>6969.6968463629983</v>
      </c>
      <c r="O78" s="18">
        <f t="shared" si="16"/>
        <v>0</v>
      </c>
      <c r="P78" s="18">
        <f t="shared" si="21"/>
        <v>47.314948657676275</v>
      </c>
      <c r="Q78" s="18">
        <f t="shared" si="17"/>
        <v>-47.314948657676275</v>
      </c>
      <c r="R78" s="393">
        <f t="shared" si="22"/>
        <v>7017.011795020675</v>
      </c>
      <c r="S78" s="388">
        <f>INDEX(LIBOR!$M$3:$M$122,MATCH(L78,LIBOR!$N$3:$N$122))</f>
        <v>3.2464E-2</v>
      </c>
      <c r="T78" s="394">
        <f t="shared" si="23"/>
        <v>8.1464000000000009E-2</v>
      </c>
    </row>
    <row r="79" spans="2:20">
      <c r="B79" s="392">
        <f t="shared" si="24"/>
        <v>48334</v>
      </c>
      <c r="C79" s="347">
        <f t="shared" si="25"/>
        <v>190</v>
      </c>
      <c r="D79" s="18">
        <f ca="1">INDEX('Monthly Cash Flow'!$L$160:$GT$160, MATCH(C79, 'Monthly Cash Flow'!$L$13:$GT$13, 0))</f>
        <v>0</v>
      </c>
      <c r="E79" s="18">
        <f t="shared" ca="1" si="14"/>
        <v>0</v>
      </c>
      <c r="F79" s="18">
        <f t="shared" ca="1" si="18"/>
        <v>0</v>
      </c>
      <c r="G79" s="18">
        <f t="shared" ca="1" si="15"/>
        <v>0</v>
      </c>
      <c r="H79" s="393">
        <f t="shared" ca="1" si="19"/>
        <v>0</v>
      </c>
      <c r="I79" s="388">
        <f>MAX($J$5, INDEX(LIBOR!$M$3:$M$122,MATCH(B79,LIBOR!$N$3:$N$122)))</f>
        <v>5.1999999999999998E-2</v>
      </c>
      <c r="J79" s="394">
        <f t="shared" si="20"/>
        <v>0.10100000000000001</v>
      </c>
      <c r="L79" s="392">
        <f t="shared" si="26"/>
        <v>46538</v>
      </c>
      <c r="M79" s="347">
        <f t="shared" si="27"/>
        <v>131</v>
      </c>
      <c r="N79" s="18">
        <v>6958.0563167614555</v>
      </c>
      <c r="O79" s="18">
        <f t="shared" si="16"/>
        <v>0</v>
      </c>
      <c r="P79" s="18">
        <f t="shared" si="21"/>
        <v>47.261031968930922</v>
      </c>
      <c r="Q79" s="18">
        <f t="shared" si="17"/>
        <v>-47.261031968930922</v>
      </c>
      <c r="R79" s="393">
        <f t="shared" si="22"/>
        <v>7005.3173487303866</v>
      </c>
      <c r="S79" s="388">
        <f>INDEX(LIBOR!$M$3:$M$122,MATCH(L79,LIBOR!$N$3:$N$122))</f>
        <v>3.2507300000000003E-2</v>
      </c>
      <c r="T79" s="394">
        <f t="shared" si="23"/>
        <v>8.1507300000000005E-2</v>
      </c>
    </row>
    <row r="80" spans="2:20">
      <c r="B80" s="392">
        <f t="shared" si="24"/>
        <v>48365</v>
      </c>
      <c r="C80" s="347">
        <f t="shared" si="25"/>
        <v>191</v>
      </c>
      <c r="D80" s="18">
        <f ca="1">INDEX('Monthly Cash Flow'!$L$160:$GT$160, MATCH(C80, 'Monthly Cash Flow'!$L$13:$GT$13, 0))</f>
        <v>0</v>
      </c>
      <c r="E80" s="18">
        <f t="shared" ca="1" si="14"/>
        <v>0</v>
      </c>
      <c r="F80" s="18">
        <f t="shared" ca="1" si="18"/>
        <v>0</v>
      </c>
      <c r="G80" s="18">
        <f t="shared" ca="1" si="15"/>
        <v>0</v>
      </c>
      <c r="H80" s="393">
        <f t="shared" ca="1" si="19"/>
        <v>0</v>
      </c>
      <c r="I80" s="388">
        <f>MAX($J$5, INDEX(LIBOR!$M$3:$M$122,MATCH(B80,LIBOR!$N$3:$N$122)))</f>
        <v>5.1999999999999998E-2</v>
      </c>
      <c r="J80" s="394">
        <f t="shared" si="20"/>
        <v>0.10100000000000001</v>
      </c>
      <c r="L80" s="392">
        <f t="shared" si="26"/>
        <v>46568</v>
      </c>
      <c r="M80" s="347">
        <f t="shared" si="27"/>
        <v>132</v>
      </c>
      <c r="N80" s="18">
        <v>6946.3627671666973</v>
      </c>
      <c r="O80" s="18">
        <f t="shared" si="16"/>
        <v>0</v>
      </c>
      <c r="P80" s="18">
        <f t="shared" si="21"/>
        <v>47.209681047207816</v>
      </c>
      <c r="Q80" s="18">
        <f t="shared" si="17"/>
        <v>-47.209681047207816</v>
      </c>
      <c r="R80" s="393">
        <f t="shared" si="22"/>
        <v>6993.5724482139049</v>
      </c>
      <c r="S80" s="388">
        <f>INDEX(LIBOR!$M$3:$M$122,MATCH(L80,LIBOR!$N$3:$N$122))</f>
        <v>3.2555800000000003E-2</v>
      </c>
      <c r="T80" s="394">
        <f t="shared" si="23"/>
        <v>8.1555800000000012E-2</v>
      </c>
    </row>
    <row r="81" spans="2:20">
      <c r="B81" s="396">
        <f t="shared" si="24"/>
        <v>48395</v>
      </c>
      <c r="C81" s="357">
        <f t="shared" si="25"/>
        <v>192</v>
      </c>
      <c r="D81" s="397" t="e">
        <f>INDEX('Monthly Cash Flow'!$L$160:$GT$160, MATCH(C81, 'Monthly Cash Flow'!$L$13:$GT$13, 0))</f>
        <v>#N/A</v>
      </c>
      <c r="E81" s="397">
        <f t="shared" ca="1" si="14"/>
        <v>0</v>
      </c>
      <c r="F81" s="397" t="e">
        <f t="shared" si="18"/>
        <v>#N/A</v>
      </c>
      <c r="G81" s="397" t="e">
        <f t="shared" ca="1" si="15"/>
        <v>#N/A</v>
      </c>
      <c r="H81" s="398" t="e">
        <f t="shared" ca="1" si="19"/>
        <v>#N/A</v>
      </c>
      <c r="I81" s="399">
        <f>MAX($J$5, INDEX(LIBOR!$M$3:$M$122,MATCH(B81,LIBOR!$N$3:$N$122)))</f>
        <v>5.1999999999999998E-2</v>
      </c>
      <c r="J81" s="400">
        <f t="shared" si="20"/>
        <v>0.10100000000000001</v>
      </c>
      <c r="L81" s="392">
        <f t="shared" si="26"/>
        <v>46599</v>
      </c>
      <c r="M81" s="357">
        <f t="shared" si="27"/>
        <v>133</v>
      </c>
      <c r="N81" s="397">
        <v>6934.6159560845836</v>
      </c>
      <c r="O81" s="397">
        <f t="shared" si="16"/>
        <v>0</v>
      </c>
      <c r="P81" s="397">
        <f t="shared" si="21"/>
        <v>47.142097154126013</v>
      </c>
      <c r="Q81" s="397">
        <f t="shared" si="17"/>
        <v>-47.142097154126013</v>
      </c>
      <c r="R81" s="398">
        <f t="shared" si="22"/>
        <v>6981.7580532387092</v>
      </c>
      <c r="S81" s="399">
        <f>INDEX(LIBOR!$M$3:$M$122,MATCH(L81,LIBOR!$N$3:$N$122))</f>
        <v>3.2577000000000002E-2</v>
      </c>
      <c r="T81" s="400">
        <f t="shared" si="23"/>
        <v>8.1577000000000011E-2</v>
      </c>
    </row>
    <row r="82" spans="2:20">
      <c r="B82" s="396">
        <f t="shared" si="24"/>
        <v>48426</v>
      </c>
      <c r="C82" s="357">
        <f t="shared" si="25"/>
        <v>193</v>
      </c>
      <c r="D82" s="397" t="e">
        <f>INDEX('Monthly Cash Flow'!$L$160:$GT$160, MATCH(C82, 'Monthly Cash Flow'!$L$13:$GT$13, 0))</f>
        <v>#N/A</v>
      </c>
      <c r="E82" s="397">
        <f t="shared" ca="1" si="14"/>
        <v>0</v>
      </c>
      <c r="F82" s="397" t="e">
        <f t="shared" si="18"/>
        <v>#N/A</v>
      </c>
      <c r="G82" s="397" t="e">
        <f t="shared" ca="1" si="15"/>
        <v>#N/A</v>
      </c>
      <c r="H82" s="398" t="e">
        <f t="shared" ca="1" si="19"/>
        <v>#N/A</v>
      </c>
      <c r="I82" s="399">
        <f>MAX($J$5, INDEX(LIBOR!$M$3:$M$122,MATCH(B82,LIBOR!$N$3:$N$122)))</f>
        <v>5.1999999999999998E-2</v>
      </c>
      <c r="J82" s="400">
        <f t="shared" si="20"/>
        <v>0.10100000000000001</v>
      </c>
      <c r="L82" s="392">
        <f t="shared" si="26"/>
        <v>46630</v>
      </c>
      <c r="M82" s="357">
        <f t="shared" si="27"/>
        <v>134</v>
      </c>
      <c r="N82" s="397">
        <v>6922.8156409210233</v>
      </c>
      <c r="O82" s="397">
        <f t="shared" si="16"/>
        <v>0</v>
      </c>
      <c r="P82" s="397">
        <f t="shared" si="21"/>
        <v>47.079992329211599</v>
      </c>
      <c r="Q82" s="397">
        <f t="shared" si="17"/>
        <v>-47.079992329211599</v>
      </c>
      <c r="R82" s="398">
        <f t="shared" si="22"/>
        <v>6969.8956332502348</v>
      </c>
      <c r="S82" s="399">
        <f>INDEX(LIBOR!$M$3:$M$122,MATCH(L82,LIBOR!$N$3:$N$122))</f>
        <v>3.2608400000000003E-2</v>
      </c>
      <c r="T82" s="400">
        <f t="shared" si="23"/>
        <v>8.1608399999999998E-2</v>
      </c>
    </row>
    <row r="83" spans="2:20">
      <c r="B83" s="396">
        <f t="shared" si="24"/>
        <v>48457</v>
      </c>
      <c r="C83" s="357">
        <f t="shared" si="25"/>
        <v>194</v>
      </c>
      <c r="D83" s="397" t="e">
        <f>INDEX('Monthly Cash Flow'!$L$160:$GT$160, MATCH(C83, 'Monthly Cash Flow'!$L$13:$GT$13, 0))</f>
        <v>#N/A</v>
      </c>
      <c r="E83" s="397">
        <f t="shared" ca="1" si="14"/>
        <v>0</v>
      </c>
      <c r="F83" s="397" t="e">
        <f t="shared" si="18"/>
        <v>#N/A</v>
      </c>
      <c r="G83" s="397" t="e">
        <f t="shared" ca="1" si="15"/>
        <v>#N/A</v>
      </c>
      <c r="H83" s="398" t="e">
        <f t="shared" ca="1" si="19"/>
        <v>#N/A</v>
      </c>
      <c r="I83" s="399">
        <f>MAX($J$5, INDEX(LIBOR!$M$3:$M$122,MATCH(B83,LIBOR!$N$3:$N$122)))</f>
        <v>5.1999999999999998E-2</v>
      </c>
      <c r="J83" s="400">
        <f t="shared" si="20"/>
        <v>0.10100000000000001</v>
      </c>
      <c r="L83" s="392">
        <f t="shared" si="26"/>
        <v>46660</v>
      </c>
      <c r="M83" s="357">
        <f t="shared" si="27"/>
        <v>135</v>
      </c>
      <c r="N83" s="397">
        <v>6910.9615779769638</v>
      </c>
      <c r="O83" s="397">
        <f t="shared" si="16"/>
        <v>0</v>
      </c>
      <c r="P83" s="397">
        <f t="shared" si="21"/>
        <v>47.025292509265348</v>
      </c>
      <c r="Q83" s="397">
        <f t="shared" si="17"/>
        <v>-47.025292509265348</v>
      </c>
      <c r="R83" s="398">
        <f t="shared" si="22"/>
        <v>6957.9868704862292</v>
      </c>
      <c r="S83" s="399">
        <f>INDEX(LIBOR!$M$3:$M$122,MATCH(L83,LIBOR!$N$3:$N$122))</f>
        <v>3.2653399999999999E-2</v>
      </c>
      <c r="T83" s="400">
        <f t="shared" si="23"/>
        <v>8.1653400000000001E-2</v>
      </c>
    </row>
    <row r="84" spans="2:20">
      <c r="B84" s="396">
        <f t="shared" si="24"/>
        <v>48487</v>
      </c>
      <c r="C84" s="357">
        <f t="shared" si="25"/>
        <v>195</v>
      </c>
      <c r="D84" s="397" t="e">
        <f>INDEX('Monthly Cash Flow'!$L$160:$GT$160, MATCH(C84, 'Monthly Cash Flow'!$L$13:$GT$13, 0))</f>
        <v>#N/A</v>
      </c>
      <c r="E84" s="397">
        <f t="shared" ca="1" si="14"/>
        <v>0</v>
      </c>
      <c r="F84" s="397" t="e">
        <f t="shared" si="18"/>
        <v>#N/A</v>
      </c>
      <c r="G84" s="397" t="e">
        <f t="shared" ca="1" si="15"/>
        <v>#N/A</v>
      </c>
      <c r="H84" s="398" t="e">
        <f t="shared" ca="1" si="19"/>
        <v>#N/A</v>
      </c>
      <c r="I84" s="399">
        <f>MAX($J$5, INDEX(LIBOR!$M$3:$M$122,MATCH(B84,LIBOR!$N$3:$N$122)))</f>
        <v>5.1999999999999998E-2</v>
      </c>
      <c r="J84" s="400">
        <f t="shared" si="20"/>
        <v>0.10100000000000001</v>
      </c>
      <c r="L84" s="392">
        <f t="shared" si="26"/>
        <v>46691</v>
      </c>
      <c r="M84" s="357">
        <f t="shared" si="27"/>
        <v>136</v>
      </c>
      <c r="N84" s="397">
        <v>6899.0535224433579</v>
      </c>
      <c r="O84" s="397">
        <f t="shared" si="16"/>
        <v>0</v>
      </c>
      <c r="P84" s="397">
        <f t="shared" si="21"/>
        <v>46.952716081354701</v>
      </c>
      <c r="Q84" s="397">
        <f t="shared" si="17"/>
        <v>-46.952716081354701</v>
      </c>
      <c r="R84" s="398">
        <f t="shared" si="22"/>
        <v>6946.0062385247129</v>
      </c>
      <c r="S84" s="399">
        <f>INDEX(LIBOR!$M$3:$M$122,MATCH(L84,LIBOR!$N$3:$N$122))</f>
        <v>3.2668099999999999E-2</v>
      </c>
      <c r="T84" s="400">
        <f t="shared" si="23"/>
        <v>8.1668099999999993E-2</v>
      </c>
    </row>
    <row r="85" spans="2:20">
      <c r="B85" s="396">
        <f t="shared" si="24"/>
        <v>48518</v>
      </c>
      <c r="C85" s="357">
        <f t="shared" si="25"/>
        <v>196</v>
      </c>
      <c r="D85" s="397" t="e">
        <f>INDEX('Monthly Cash Flow'!$L$160:$GT$160, MATCH(C85, 'Monthly Cash Flow'!$L$13:$GT$13, 0))</f>
        <v>#N/A</v>
      </c>
      <c r="E85" s="397">
        <f t="shared" ca="1" si="14"/>
        <v>0</v>
      </c>
      <c r="F85" s="397" t="e">
        <f t="shared" si="18"/>
        <v>#N/A</v>
      </c>
      <c r="G85" s="397" t="e">
        <f t="shared" ca="1" si="15"/>
        <v>#N/A</v>
      </c>
      <c r="H85" s="398" t="e">
        <f t="shared" ca="1" si="19"/>
        <v>#N/A</v>
      </c>
      <c r="I85" s="399">
        <f>MAX($J$5, INDEX(LIBOR!$M$3:$M$122,MATCH(B85,LIBOR!$N$3:$N$122)))</f>
        <v>5.1999999999999998E-2</v>
      </c>
      <c r="J85" s="400">
        <f t="shared" si="20"/>
        <v>0.10100000000000001</v>
      </c>
      <c r="L85" s="392">
        <f t="shared" si="26"/>
        <v>46721</v>
      </c>
      <c r="M85" s="357">
        <f t="shared" si="27"/>
        <v>137</v>
      </c>
      <c r="N85" s="397">
        <v>6887.0912283961088</v>
      </c>
      <c r="O85" s="397">
        <f t="shared" si="16"/>
        <v>0</v>
      </c>
      <c r="P85" s="397">
        <f t="shared" si="21"/>
        <v>46.884906600990774</v>
      </c>
      <c r="Q85" s="397">
        <f t="shared" si="17"/>
        <v>-46.884906600990774</v>
      </c>
      <c r="R85" s="398">
        <f t="shared" si="22"/>
        <v>6933.9761349970995</v>
      </c>
      <c r="S85" s="399">
        <f>INDEX(LIBOR!$M$3:$M$122,MATCH(L85,LIBOR!$N$3:$N$122))</f>
        <v>3.26918E-2</v>
      </c>
      <c r="T85" s="400">
        <f t="shared" si="23"/>
        <v>8.1691800000000009E-2</v>
      </c>
    </row>
    <row r="86" spans="2:20">
      <c r="B86" s="396">
        <f t="shared" si="24"/>
        <v>48548</v>
      </c>
      <c r="C86" s="357">
        <f t="shared" si="25"/>
        <v>197</v>
      </c>
      <c r="D86" s="397" t="e">
        <f>INDEX('Monthly Cash Flow'!$L$160:$GT$160, MATCH(C86, 'Monthly Cash Flow'!$L$13:$GT$13, 0))</f>
        <v>#N/A</v>
      </c>
      <c r="E86" s="397">
        <f t="shared" ca="1" si="14"/>
        <v>0</v>
      </c>
      <c r="F86" s="397" t="e">
        <f t="shared" si="18"/>
        <v>#N/A</v>
      </c>
      <c r="G86" s="397" t="e">
        <f t="shared" ca="1" si="15"/>
        <v>#N/A</v>
      </c>
      <c r="H86" s="398" t="e">
        <f t="shared" ca="1" si="19"/>
        <v>#N/A</v>
      </c>
      <c r="I86" s="399">
        <f>MAX($J$5, INDEX(LIBOR!$M$3:$M$122,MATCH(B86,LIBOR!$N$3:$N$122)))</f>
        <v>5.1999999999999998E-2</v>
      </c>
      <c r="J86" s="400">
        <f t="shared" si="20"/>
        <v>0.10100000000000001</v>
      </c>
      <c r="L86" s="392">
        <f t="shared" si="26"/>
        <v>46752</v>
      </c>
      <c r="M86" s="357">
        <f t="shared" si="27"/>
        <v>138</v>
      </c>
      <c r="N86" s="397">
        <v>6875.0744487909906</v>
      </c>
      <c r="O86" s="397">
        <f t="shared" si="16"/>
        <v>0</v>
      </c>
      <c r="P86" s="397">
        <f t="shared" si="21"/>
        <v>46.824871640399827</v>
      </c>
      <c r="Q86" s="397">
        <f t="shared" si="17"/>
        <v>-46.824871640399827</v>
      </c>
      <c r="R86" s="398">
        <f t="shared" si="22"/>
        <v>6921.8993204313902</v>
      </c>
      <c r="S86" s="399">
        <f>INDEX(LIBOR!$M$3:$M$122,MATCH(L86,LIBOR!$N$3:$N$122))</f>
        <v>3.2729800000000003E-2</v>
      </c>
      <c r="T86" s="400">
        <f t="shared" si="23"/>
        <v>8.1729800000000005E-2</v>
      </c>
    </row>
    <row r="87" spans="2:20">
      <c r="B87" s="396">
        <f t="shared" si="24"/>
        <v>48579</v>
      </c>
      <c r="C87" s="357">
        <f t="shared" si="25"/>
        <v>198</v>
      </c>
      <c r="D87" s="397" t="e">
        <f>INDEX('Monthly Cash Flow'!$L$160:$GT$160, MATCH(C87, 'Monthly Cash Flow'!$L$13:$GT$13, 0))</f>
        <v>#N/A</v>
      </c>
      <c r="E87" s="397">
        <f t="shared" ca="1" si="14"/>
        <v>0</v>
      </c>
      <c r="F87" s="397" t="e">
        <f t="shared" si="18"/>
        <v>#N/A</v>
      </c>
      <c r="G87" s="397" t="e">
        <f t="shared" ca="1" si="15"/>
        <v>#N/A</v>
      </c>
      <c r="H87" s="398" t="e">
        <f t="shared" ca="1" si="19"/>
        <v>#N/A</v>
      </c>
      <c r="I87" s="399">
        <f>MAX($J$5, INDEX(LIBOR!$M$3:$M$122,MATCH(B87,LIBOR!$N$3:$N$122)))</f>
        <v>5.1999999999999998E-2</v>
      </c>
      <c r="J87" s="400">
        <f t="shared" si="20"/>
        <v>0.10100000000000001</v>
      </c>
      <c r="L87" s="392">
        <f t="shared" si="26"/>
        <v>46783</v>
      </c>
      <c r="M87" s="357">
        <f t="shared" si="27"/>
        <v>139</v>
      </c>
      <c r="N87" s="397">
        <v>6863.0029354585467</v>
      </c>
      <c r="O87" s="397">
        <f t="shared" si="16"/>
        <v>0</v>
      </c>
      <c r="P87" s="397">
        <f t="shared" si="21"/>
        <v>46.749803737594426</v>
      </c>
      <c r="Q87" s="397">
        <f t="shared" si="17"/>
        <v>-46.749803737594426</v>
      </c>
      <c r="R87" s="398">
        <f t="shared" si="22"/>
        <v>6909.7527391961412</v>
      </c>
      <c r="S87" s="399">
        <f>INDEX(LIBOR!$M$3:$M$122,MATCH(L87,LIBOR!$N$3:$N$122))</f>
        <v>3.2742300000000002E-2</v>
      </c>
      <c r="T87" s="400">
        <f t="shared" si="23"/>
        <v>8.1742300000000004E-2</v>
      </c>
    </row>
    <row r="88" spans="2:20">
      <c r="B88" s="396">
        <f t="shared" si="24"/>
        <v>48610</v>
      </c>
      <c r="C88" s="357">
        <f t="shared" si="25"/>
        <v>199</v>
      </c>
      <c r="D88" s="397" t="e">
        <f>INDEX('Monthly Cash Flow'!$L$160:$GT$160, MATCH(C88, 'Monthly Cash Flow'!$L$13:$GT$13, 0))</f>
        <v>#N/A</v>
      </c>
      <c r="E88" s="397">
        <f t="shared" ca="1" si="14"/>
        <v>0</v>
      </c>
      <c r="F88" s="397" t="e">
        <f t="shared" si="18"/>
        <v>#N/A</v>
      </c>
      <c r="G88" s="397" t="e">
        <f t="shared" ca="1" si="15"/>
        <v>#N/A</v>
      </c>
      <c r="H88" s="398" t="e">
        <f t="shared" ca="1" si="19"/>
        <v>#N/A</v>
      </c>
      <c r="I88" s="399">
        <f>MAX($J$5, INDEX(LIBOR!$M$3:$M$122,MATCH(B88,LIBOR!$N$3:$N$122)))</f>
        <v>5.1999999999999998E-2</v>
      </c>
      <c r="J88" s="400">
        <f t="shared" si="20"/>
        <v>0.10100000000000001</v>
      </c>
      <c r="L88" s="392">
        <f t="shared" si="26"/>
        <v>46812</v>
      </c>
      <c r="M88" s="357">
        <f t="shared" si="27"/>
        <v>140</v>
      </c>
      <c r="N88" s="397">
        <v>6850.8764390989645</v>
      </c>
      <c r="O88" s="397">
        <f t="shared" si="16"/>
        <v>0</v>
      </c>
      <c r="P88" s="397">
        <f t="shared" si="21"/>
        <v>46.682614234301248</v>
      </c>
      <c r="Q88" s="397">
        <f t="shared" si="17"/>
        <v>-46.682614234301248</v>
      </c>
      <c r="R88" s="398">
        <f t="shared" si="22"/>
        <v>6897.5590533332661</v>
      </c>
      <c r="S88" s="399">
        <f>INDEX(LIBOR!$M$3:$M$122,MATCH(L88,LIBOR!$N$3:$N$122))</f>
        <v>3.2769300000000001E-2</v>
      </c>
      <c r="T88" s="400">
        <f t="shared" si="23"/>
        <v>8.1769300000000003E-2</v>
      </c>
    </row>
    <row r="89" spans="2:20">
      <c r="B89" s="396">
        <f t="shared" si="24"/>
        <v>48638</v>
      </c>
      <c r="C89" s="357">
        <f t="shared" si="25"/>
        <v>200</v>
      </c>
      <c r="D89" s="397" t="e">
        <f>INDEX('Monthly Cash Flow'!$L$160:$GT$160, MATCH(C89, 'Monthly Cash Flow'!$L$13:$GT$13, 0))</f>
        <v>#N/A</v>
      </c>
      <c r="E89" s="397">
        <f t="shared" ca="1" si="14"/>
        <v>0</v>
      </c>
      <c r="F89" s="397" t="e">
        <f t="shared" si="18"/>
        <v>#N/A</v>
      </c>
      <c r="G89" s="397" t="e">
        <f t="shared" ca="1" si="15"/>
        <v>#N/A</v>
      </c>
      <c r="H89" s="398" t="e">
        <f t="shared" ca="1" si="19"/>
        <v>#N/A</v>
      </c>
      <c r="I89" s="399">
        <f>MAX($J$5, INDEX(LIBOR!$M$3:$M$122,MATCH(B89,LIBOR!$N$3:$N$122)))</f>
        <v>5.1999999999999998E-2</v>
      </c>
      <c r="J89" s="400">
        <f t="shared" si="20"/>
        <v>0.10100000000000001</v>
      </c>
      <c r="L89" s="392">
        <f t="shared" si="26"/>
        <v>46843</v>
      </c>
      <c r="M89" s="357">
        <f t="shared" si="27"/>
        <v>141</v>
      </c>
      <c r="N89" s="397">
        <v>6838.694709276926</v>
      </c>
      <c r="O89" s="397">
        <f t="shared" si="16"/>
        <v>0</v>
      </c>
      <c r="P89" s="397">
        <f t="shared" si="21"/>
        <v>46.622630213127707</v>
      </c>
      <c r="Q89" s="397">
        <f t="shared" si="17"/>
        <v>-46.622630213127707</v>
      </c>
      <c r="R89" s="398">
        <f t="shared" si="22"/>
        <v>6885.3173394900541</v>
      </c>
      <c r="S89" s="399">
        <f>INDEX(LIBOR!$M$3:$M$122,MATCH(L89,LIBOR!$N$3:$N$122))</f>
        <v>3.2809699999999997E-2</v>
      </c>
      <c r="T89" s="400">
        <f t="shared" si="23"/>
        <v>8.1809699999999999E-2</v>
      </c>
    </row>
    <row r="90" spans="2:20">
      <c r="B90" s="396">
        <f t="shared" si="24"/>
        <v>48669</v>
      </c>
      <c r="C90" s="357">
        <f t="shared" si="25"/>
        <v>201</v>
      </c>
      <c r="D90" s="397" t="e">
        <f>INDEX('Monthly Cash Flow'!$L$160:$GT$160, MATCH(C90, 'Monthly Cash Flow'!$L$13:$GT$13, 0))</f>
        <v>#N/A</v>
      </c>
      <c r="E90" s="397">
        <f t="shared" ca="1" si="14"/>
        <v>0</v>
      </c>
      <c r="F90" s="397" t="e">
        <f t="shared" si="18"/>
        <v>#N/A</v>
      </c>
      <c r="G90" s="397" t="e">
        <f t="shared" ca="1" si="15"/>
        <v>#N/A</v>
      </c>
      <c r="H90" s="398" t="e">
        <f t="shared" ca="1" si="19"/>
        <v>#N/A</v>
      </c>
      <c r="I90" s="399">
        <f>MAX($J$5, INDEX(LIBOR!$M$3:$M$122,MATCH(B90,LIBOR!$N$3:$N$122)))</f>
        <v>5.1999999999999998E-2</v>
      </c>
      <c r="J90" s="400">
        <f t="shared" si="20"/>
        <v>0.10100000000000001</v>
      </c>
      <c r="L90" s="392">
        <f t="shared" si="26"/>
        <v>46873</v>
      </c>
      <c r="M90" s="357">
        <f t="shared" si="27"/>
        <v>142</v>
      </c>
      <c r="N90" s="397">
        <v>6826.4574944164369</v>
      </c>
      <c r="O90" s="397">
        <f t="shared" si="16"/>
        <v>0</v>
      </c>
      <c r="P90" s="397">
        <f t="shared" si="21"/>
        <v>46.539203306746693</v>
      </c>
      <c r="Q90" s="397">
        <f t="shared" si="17"/>
        <v>-46.539203306746693</v>
      </c>
      <c r="R90" s="398">
        <f t="shared" si="22"/>
        <v>6872.9966977231834</v>
      </c>
      <c r="S90" s="399">
        <f>INDEX(LIBOR!$M$3:$M$122,MATCH(L90,LIBOR!$N$3:$N$122))</f>
        <v>3.2809699999999997E-2</v>
      </c>
      <c r="T90" s="400">
        <f t="shared" si="23"/>
        <v>8.1809699999999999E-2</v>
      </c>
    </row>
    <row r="91" spans="2:20">
      <c r="B91" s="396">
        <f t="shared" si="24"/>
        <v>48699</v>
      </c>
      <c r="C91" s="357">
        <f t="shared" si="25"/>
        <v>202</v>
      </c>
      <c r="D91" s="397" t="e">
        <f>INDEX('Monthly Cash Flow'!$L$160:$GT$160, MATCH(C91, 'Monthly Cash Flow'!$L$13:$GT$13, 0))</f>
        <v>#N/A</v>
      </c>
      <c r="E91" s="397">
        <f t="shared" ca="1" si="14"/>
        <v>0</v>
      </c>
      <c r="F91" s="397" t="e">
        <f t="shared" si="18"/>
        <v>#N/A</v>
      </c>
      <c r="G91" s="397" t="e">
        <f t="shared" ca="1" si="15"/>
        <v>#N/A</v>
      </c>
      <c r="H91" s="398" t="e">
        <f t="shared" ca="1" si="19"/>
        <v>#N/A</v>
      </c>
      <c r="I91" s="399">
        <f>MAX($J$5, INDEX(LIBOR!$M$3:$M$122,MATCH(B91,LIBOR!$N$3:$N$122)))</f>
        <v>5.1999999999999998E-2</v>
      </c>
      <c r="J91" s="400">
        <f t="shared" si="20"/>
        <v>0.10100000000000001</v>
      </c>
      <c r="L91" s="392">
        <f t="shared" si="26"/>
        <v>46904</v>
      </c>
      <c r="M91" s="357">
        <f t="shared" si="27"/>
        <v>143</v>
      </c>
      <c r="N91" s="397">
        <v>6814.1645417956315</v>
      </c>
      <c r="O91" s="397">
        <f t="shared" si="16"/>
        <v>0</v>
      </c>
      <c r="P91" s="397">
        <f t="shared" si="21"/>
        <v>46.455396409578178</v>
      </c>
      <c r="Q91" s="397">
        <f t="shared" si="17"/>
        <v>-46.455396409578178</v>
      </c>
      <c r="R91" s="398">
        <f t="shared" si="22"/>
        <v>6860.61993820521</v>
      </c>
      <c r="S91" s="399">
        <f>INDEX(LIBOR!$M$3:$M$122,MATCH(L91,LIBOR!$N$3:$N$122))</f>
        <v>3.2809699999999997E-2</v>
      </c>
      <c r="T91" s="400">
        <f t="shared" si="23"/>
        <v>8.1809699999999999E-2</v>
      </c>
    </row>
    <row r="92" spans="2:20">
      <c r="B92" s="396">
        <f t="shared" si="24"/>
        <v>48730</v>
      </c>
      <c r="C92" s="357">
        <f t="shared" si="25"/>
        <v>203</v>
      </c>
      <c r="D92" s="397" t="e">
        <f>INDEX('Monthly Cash Flow'!$L$160:$GT$160, MATCH(C92, 'Monthly Cash Flow'!$L$13:$GT$13, 0))</f>
        <v>#N/A</v>
      </c>
      <c r="E92" s="397">
        <f t="shared" ca="1" si="14"/>
        <v>0</v>
      </c>
      <c r="F92" s="397" t="e">
        <f t="shared" si="18"/>
        <v>#N/A</v>
      </c>
      <c r="G92" s="397" t="e">
        <f t="shared" ca="1" si="15"/>
        <v>#N/A</v>
      </c>
      <c r="H92" s="398" t="e">
        <f t="shared" ca="1" si="19"/>
        <v>#N/A</v>
      </c>
      <c r="I92" s="399">
        <f>MAX($J$5, INDEX(LIBOR!$M$3:$M$122,MATCH(B92,LIBOR!$N$3:$N$122)))</f>
        <v>5.1999999999999998E-2</v>
      </c>
      <c r="J92" s="400">
        <f t="shared" si="20"/>
        <v>0.10100000000000001</v>
      </c>
      <c r="L92" s="392">
        <f t="shared" si="26"/>
        <v>46934</v>
      </c>
      <c r="M92" s="357">
        <f t="shared" si="27"/>
        <v>144</v>
      </c>
      <c r="N92" s="397">
        <v>6801.815597541553</v>
      </c>
      <c r="O92" s="397">
        <f t="shared" si="16"/>
        <v>0</v>
      </c>
      <c r="P92" s="397">
        <f t="shared" si="21"/>
        <v>46.371207790849603</v>
      </c>
      <c r="Q92" s="397">
        <f t="shared" si="17"/>
        <v>-46.371207790849603</v>
      </c>
      <c r="R92" s="398">
        <f t="shared" si="22"/>
        <v>6848.1868053324024</v>
      </c>
      <c r="S92" s="399">
        <f>INDEX(LIBOR!$M$3:$M$122,MATCH(L92,LIBOR!$N$3:$N$122))</f>
        <v>3.2809699999999997E-2</v>
      </c>
      <c r="T92" s="400">
        <f t="shared" si="23"/>
        <v>8.1809699999999999E-2</v>
      </c>
    </row>
    <row r="93" spans="2:20">
      <c r="B93" s="396">
        <f t="shared" si="24"/>
        <v>48760</v>
      </c>
      <c r="C93" s="357">
        <f t="shared" si="25"/>
        <v>204</v>
      </c>
      <c r="D93" s="397" t="e">
        <f>INDEX('Monthly Cash Flow'!$L$160:$GT$160, MATCH(C93, 'Monthly Cash Flow'!$L$13:$GT$13, 0))</f>
        <v>#N/A</v>
      </c>
      <c r="E93" s="397">
        <f t="shared" ca="1" si="14"/>
        <v>0</v>
      </c>
      <c r="F93" s="397" t="e">
        <f t="shared" si="18"/>
        <v>#N/A</v>
      </c>
      <c r="G93" s="397" t="e">
        <f t="shared" ca="1" si="15"/>
        <v>#N/A</v>
      </c>
      <c r="H93" s="398" t="e">
        <f t="shared" ca="1" si="19"/>
        <v>#N/A</v>
      </c>
      <c r="I93" s="399">
        <f>MAX($J$5, INDEX(LIBOR!$M$3:$M$122,MATCH(B93,LIBOR!$N$3:$N$122)))</f>
        <v>5.1999999999999998E-2</v>
      </c>
      <c r="J93" s="400">
        <f t="shared" si="20"/>
        <v>0.10100000000000001</v>
      </c>
      <c r="L93" s="392">
        <f t="shared" si="26"/>
        <v>46965</v>
      </c>
      <c r="M93" s="357">
        <f t="shared" si="27"/>
        <v>145</v>
      </c>
      <c r="N93" s="397">
        <v>6789.4104066249092</v>
      </c>
      <c r="O93" s="397">
        <f t="shared" si="16"/>
        <v>0</v>
      </c>
      <c r="P93" s="397">
        <f t="shared" si="21"/>
        <v>46.286635711905149</v>
      </c>
      <c r="Q93" s="397">
        <f t="shared" si="17"/>
        <v>-46.286635711905149</v>
      </c>
      <c r="R93" s="398">
        <f t="shared" si="22"/>
        <v>6835.6970423368148</v>
      </c>
      <c r="S93" s="399">
        <f>INDEX(LIBOR!$M$3:$M$122,MATCH(L93,LIBOR!$N$3:$N$122))</f>
        <v>3.2809699999999997E-2</v>
      </c>
      <c r="T93" s="400">
        <f t="shared" si="23"/>
        <v>8.1809699999999999E-2</v>
      </c>
    </row>
    <row r="94" spans="2:20">
      <c r="B94" s="396">
        <f t="shared" si="24"/>
        <v>48791</v>
      </c>
      <c r="C94" s="357">
        <f t="shared" si="25"/>
        <v>205</v>
      </c>
      <c r="D94" s="397" t="e">
        <f>INDEX('Monthly Cash Flow'!$L$160:$GT$160, MATCH(C94, 'Monthly Cash Flow'!$L$13:$GT$13, 0))</f>
        <v>#N/A</v>
      </c>
      <c r="E94" s="397">
        <f t="shared" ca="1" si="14"/>
        <v>0</v>
      </c>
      <c r="F94" s="397" t="e">
        <f t="shared" si="18"/>
        <v>#N/A</v>
      </c>
      <c r="G94" s="397" t="e">
        <f t="shared" ca="1" si="15"/>
        <v>#N/A</v>
      </c>
      <c r="H94" s="398" t="e">
        <f t="shared" ca="1" si="19"/>
        <v>#N/A</v>
      </c>
      <c r="I94" s="399">
        <f>MAX($J$5, INDEX(LIBOR!$M$3:$M$122,MATCH(B94,LIBOR!$N$3:$N$122)))</f>
        <v>5.1999999999999998E-2</v>
      </c>
      <c r="J94" s="400">
        <f t="shared" si="20"/>
        <v>0.10100000000000001</v>
      </c>
      <c r="L94" s="392">
        <f t="shared" si="26"/>
        <v>46996</v>
      </c>
      <c r="M94" s="357">
        <f t="shared" si="27"/>
        <v>146</v>
      </c>
      <c r="N94" s="397">
        <v>6776.948712854808</v>
      </c>
      <c r="O94" s="397">
        <f t="shared" si="16"/>
        <v>0</v>
      </c>
      <c r="P94" s="397">
        <f t="shared" si="21"/>
        <v>46.201678426169828</v>
      </c>
      <c r="Q94" s="397">
        <f t="shared" si="17"/>
        <v>-46.201678426169828</v>
      </c>
      <c r="R94" s="398">
        <f t="shared" si="22"/>
        <v>6823.1503912809776</v>
      </c>
      <c r="S94" s="399">
        <f>INDEX(LIBOR!$M$3:$M$122,MATCH(L94,LIBOR!$N$3:$N$122))</f>
        <v>3.2809699999999997E-2</v>
      </c>
      <c r="T94" s="400">
        <f t="shared" si="23"/>
        <v>8.1809699999999999E-2</v>
      </c>
    </row>
    <row r="95" spans="2:20">
      <c r="B95" s="396">
        <f t="shared" si="24"/>
        <v>48822</v>
      </c>
      <c r="C95" s="357">
        <f t="shared" si="25"/>
        <v>206</v>
      </c>
      <c r="D95" s="397" t="e">
        <f>INDEX('Monthly Cash Flow'!$L$160:$GT$160, MATCH(C95, 'Monthly Cash Flow'!$L$13:$GT$13, 0))</f>
        <v>#N/A</v>
      </c>
      <c r="E95" s="397">
        <f t="shared" ca="1" si="14"/>
        <v>0</v>
      </c>
      <c r="F95" s="397" t="e">
        <f t="shared" si="18"/>
        <v>#N/A</v>
      </c>
      <c r="G95" s="397" t="e">
        <f t="shared" ca="1" si="15"/>
        <v>#N/A</v>
      </c>
      <c r="H95" s="398" t="e">
        <f t="shared" ca="1" si="19"/>
        <v>#N/A</v>
      </c>
      <c r="I95" s="399">
        <f>MAX($J$5, INDEX(LIBOR!$M$3:$M$122,MATCH(B95,LIBOR!$N$3:$N$122)))</f>
        <v>5.1999999999999998E-2</v>
      </c>
      <c r="J95" s="400">
        <f t="shared" si="20"/>
        <v>0.10100000000000001</v>
      </c>
      <c r="L95" s="392">
        <f t="shared" si="26"/>
        <v>47026</v>
      </c>
      <c r="M95" s="357">
        <f t="shared" si="27"/>
        <v>147</v>
      </c>
      <c r="N95" s="397">
        <v>6764.4302588734654</v>
      </c>
      <c r="O95" s="397">
        <f t="shared" si="16"/>
        <v>0</v>
      </c>
      <c r="P95" s="397">
        <f t="shared" si="21"/>
        <v>46.11633417911338</v>
      </c>
      <c r="Q95" s="397">
        <f t="shared" si="17"/>
        <v>-46.11633417911338</v>
      </c>
      <c r="R95" s="398">
        <f t="shared" si="22"/>
        <v>6810.5465930525788</v>
      </c>
      <c r="S95" s="399">
        <f>INDEX(LIBOR!$M$3:$M$122,MATCH(L95,LIBOR!$N$3:$N$122))</f>
        <v>3.2809699999999997E-2</v>
      </c>
      <c r="T95" s="400">
        <f t="shared" si="23"/>
        <v>8.1809699999999999E-2</v>
      </c>
    </row>
    <row r="96" spans="2:20">
      <c r="B96" s="396">
        <f t="shared" si="24"/>
        <v>48852</v>
      </c>
      <c r="C96" s="357">
        <f t="shared" si="25"/>
        <v>207</v>
      </c>
      <c r="D96" s="397" t="e">
        <f>INDEX('Monthly Cash Flow'!$L$160:$GT$160, MATCH(C96, 'Monthly Cash Flow'!$L$13:$GT$13, 0))</f>
        <v>#N/A</v>
      </c>
      <c r="E96" s="397">
        <f t="shared" ca="1" si="14"/>
        <v>0</v>
      </c>
      <c r="F96" s="397" t="e">
        <f t="shared" si="18"/>
        <v>#N/A</v>
      </c>
      <c r="G96" s="397" t="e">
        <f t="shared" ca="1" si="15"/>
        <v>#N/A</v>
      </c>
      <c r="H96" s="398" t="e">
        <f t="shared" ca="1" si="19"/>
        <v>#N/A</v>
      </c>
      <c r="I96" s="399">
        <f>MAX($J$5, INDEX(LIBOR!$M$3:$M$122,MATCH(B96,LIBOR!$N$3:$N$122)))</f>
        <v>5.1999999999999998E-2</v>
      </c>
      <c r="J96" s="400">
        <f t="shared" si="20"/>
        <v>0.10100000000000001</v>
      </c>
      <c r="L96" s="392">
        <f t="shared" si="26"/>
        <v>47057</v>
      </c>
      <c r="M96" s="357">
        <f t="shared" si="27"/>
        <v>148</v>
      </c>
      <c r="N96" s="397">
        <v>6751.8547861508896</v>
      </c>
      <c r="O96" s="397">
        <f t="shared" si="16"/>
        <v>0</v>
      </c>
      <c r="P96" s="397">
        <f t="shared" si="21"/>
        <v>46.03060120821403</v>
      </c>
      <c r="Q96" s="397">
        <f t="shared" si="17"/>
        <v>-46.03060120821403</v>
      </c>
      <c r="R96" s="398">
        <f t="shared" si="22"/>
        <v>6797.8853873591033</v>
      </c>
      <c r="S96" s="399">
        <f>INDEX(LIBOR!$M$3:$M$122,MATCH(L96,LIBOR!$N$3:$N$122))</f>
        <v>3.2809699999999997E-2</v>
      </c>
      <c r="T96" s="400">
        <f t="shared" si="23"/>
        <v>8.1809699999999999E-2</v>
      </c>
    </row>
    <row r="97" spans="2:20">
      <c r="B97" s="396">
        <f t="shared" si="24"/>
        <v>48883</v>
      </c>
      <c r="C97" s="357">
        <f t="shared" si="25"/>
        <v>208</v>
      </c>
      <c r="D97" s="397" t="e">
        <f>INDEX('Monthly Cash Flow'!$L$160:$GT$160, MATCH(C97, 'Monthly Cash Flow'!$L$13:$GT$13, 0))</f>
        <v>#N/A</v>
      </c>
      <c r="E97" s="397">
        <f t="shared" ca="1" si="14"/>
        <v>0</v>
      </c>
      <c r="F97" s="397" t="e">
        <f t="shared" si="18"/>
        <v>#N/A</v>
      </c>
      <c r="G97" s="397" t="e">
        <f t="shared" ca="1" si="15"/>
        <v>#N/A</v>
      </c>
      <c r="H97" s="398" t="e">
        <f t="shared" ca="1" si="19"/>
        <v>#N/A</v>
      </c>
      <c r="I97" s="399">
        <f>MAX($J$5, INDEX(LIBOR!$M$3:$M$122,MATCH(B97,LIBOR!$N$3:$N$122)))</f>
        <v>5.1999999999999998E-2</v>
      </c>
      <c r="J97" s="400">
        <f t="shared" si="20"/>
        <v>0.10100000000000001</v>
      </c>
      <c r="L97" s="392">
        <f t="shared" si="26"/>
        <v>47087</v>
      </c>
      <c r="M97" s="357">
        <f t="shared" si="27"/>
        <v>149</v>
      </c>
      <c r="N97" s="397">
        <v>6739.2220349795443</v>
      </c>
      <c r="O97" s="397">
        <f t="shared" si="16"/>
        <v>0</v>
      </c>
      <c r="P97" s="397">
        <f t="shared" si="21"/>
        <v>45.944477742922167</v>
      </c>
      <c r="Q97" s="397">
        <f t="shared" si="17"/>
        <v>-45.944477742922167</v>
      </c>
      <c r="R97" s="398">
        <f t="shared" si="22"/>
        <v>6785.1665127224669</v>
      </c>
      <c r="S97" s="399">
        <f>INDEX(LIBOR!$M$3:$M$122,MATCH(L97,LIBOR!$N$3:$N$122))</f>
        <v>3.2809699999999997E-2</v>
      </c>
      <c r="T97" s="400">
        <f t="shared" si="23"/>
        <v>8.1809699999999999E-2</v>
      </c>
    </row>
    <row r="98" spans="2:20">
      <c r="B98" s="396">
        <f t="shared" si="24"/>
        <v>48913</v>
      </c>
      <c r="C98" s="357">
        <f t="shared" si="25"/>
        <v>209</v>
      </c>
      <c r="D98" s="397" t="e">
        <f>INDEX('Monthly Cash Flow'!$L$160:$GT$160, MATCH(C98, 'Monthly Cash Flow'!$L$13:$GT$13, 0))</f>
        <v>#N/A</v>
      </c>
      <c r="E98" s="397">
        <f t="shared" ca="1" si="14"/>
        <v>0</v>
      </c>
      <c r="F98" s="397" t="e">
        <f t="shared" si="18"/>
        <v>#N/A</v>
      </c>
      <c r="G98" s="397" t="e">
        <f t="shared" ca="1" si="15"/>
        <v>#N/A</v>
      </c>
      <c r="H98" s="398" t="e">
        <f t="shared" ca="1" si="19"/>
        <v>#N/A</v>
      </c>
      <c r="I98" s="399">
        <f>MAX($J$5, INDEX(LIBOR!$M$3:$M$122,MATCH(B98,LIBOR!$N$3:$N$122)))</f>
        <v>5.1999999999999998E-2</v>
      </c>
      <c r="J98" s="400">
        <f t="shared" si="20"/>
        <v>0.10100000000000001</v>
      </c>
      <c r="L98" s="392">
        <f t="shared" si="26"/>
        <v>47118</v>
      </c>
      <c r="M98" s="357">
        <f t="shared" si="27"/>
        <v>150</v>
      </c>
      <c r="N98" s="397">
        <v>6726.5317444689827</v>
      </c>
      <c r="O98" s="397">
        <f t="shared" si="16"/>
        <v>0</v>
      </c>
      <c r="P98" s="397">
        <f t="shared" si="21"/>
        <v>45.85796200462368</v>
      </c>
      <c r="Q98" s="397">
        <f t="shared" si="17"/>
        <v>-45.85796200462368</v>
      </c>
      <c r="R98" s="398">
        <f t="shared" si="22"/>
        <v>6772.3897064736066</v>
      </c>
      <c r="S98" s="399">
        <f>INDEX(LIBOR!$M$3:$M$122,MATCH(L98,LIBOR!$N$3:$N$122))</f>
        <v>3.2809699999999997E-2</v>
      </c>
      <c r="T98" s="400">
        <f t="shared" si="23"/>
        <v>8.1809699999999999E-2</v>
      </c>
    </row>
    <row r="99" spans="2:20">
      <c r="B99" s="396">
        <f t="shared" si="24"/>
        <v>48944</v>
      </c>
      <c r="C99" s="357">
        <f t="shared" si="25"/>
        <v>210</v>
      </c>
      <c r="D99" s="397" t="e">
        <f>INDEX('Monthly Cash Flow'!$L$160:$GT$160, MATCH(C99, 'Monthly Cash Flow'!$L$13:$GT$13, 0))</f>
        <v>#N/A</v>
      </c>
      <c r="E99" s="397">
        <f t="shared" ca="1" si="14"/>
        <v>0</v>
      </c>
      <c r="F99" s="397" t="e">
        <f t="shared" si="18"/>
        <v>#N/A</v>
      </c>
      <c r="G99" s="397" t="e">
        <f t="shared" ca="1" si="15"/>
        <v>#N/A</v>
      </c>
      <c r="H99" s="398" t="e">
        <f t="shared" ca="1" si="19"/>
        <v>#N/A</v>
      </c>
      <c r="I99" s="399">
        <f>MAX($J$5, INDEX(LIBOR!$M$3:$M$122,MATCH(B99,LIBOR!$N$3:$N$122)))</f>
        <v>5.1999999999999998E-2</v>
      </c>
      <c r="J99" s="400">
        <f t="shared" si="20"/>
        <v>0.10100000000000001</v>
      </c>
      <c r="L99" s="392">
        <f t="shared" si="26"/>
        <v>47149</v>
      </c>
      <c r="M99" s="357">
        <f t="shared" si="27"/>
        <v>151</v>
      </c>
      <c r="N99" s="397">
        <v>6713.7836525404609</v>
      </c>
      <c r="O99" s="397">
        <f t="shared" si="16"/>
        <v>0</v>
      </c>
      <c r="P99" s="397">
        <f t="shared" si="21"/>
        <v>45.771052206603279</v>
      </c>
      <c r="Q99" s="397">
        <f t="shared" si="17"/>
        <v>-45.771052206603279</v>
      </c>
      <c r="R99" s="398">
        <f t="shared" si="22"/>
        <v>6759.5547047470645</v>
      </c>
      <c r="S99" s="399">
        <f>INDEX(LIBOR!$M$3:$M$122,MATCH(L99,LIBOR!$N$3:$N$122))</f>
        <v>3.2809699999999997E-2</v>
      </c>
      <c r="T99" s="400">
        <f t="shared" si="23"/>
        <v>8.1809699999999999E-2</v>
      </c>
    </row>
    <row r="100" spans="2:20">
      <c r="B100" s="396">
        <f t="shared" si="24"/>
        <v>48975</v>
      </c>
      <c r="C100" s="357">
        <f t="shared" si="25"/>
        <v>211</v>
      </c>
      <c r="D100" s="397" t="e">
        <f>INDEX('Monthly Cash Flow'!$L$160:$GT$160, MATCH(C100, 'Monthly Cash Flow'!$L$13:$GT$13, 0))</f>
        <v>#N/A</v>
      </c>
      <c r="E100" s="397">
        <f t="shared" ca="1" si="14"/>
        <v>0</v>
      </c>
      <c r="F100" s="397" t="e">
        <f t="shared" si="18"/>
        <v>#N/A</v>
      </c>
      <c r="G100" s="397" t="e">
        <f t="shared" ca="1" si="15"/>
        <v>#N/A</v>
      </c>
      <c r="H100" s="398" t="e">
        <f t="shared" ca="1" si="19"/>
        <v>#N/A</v>
      </c>
      <c r="I100" s="399">
        <f>MAX($J$5, INDEX(LIBOR!$M$3:$M$122,MATCH(B100,LIBOR!$N$3:$N$122)))</f>
        <v>5.1999999999999998E-2</v>
      </c>
      <c r="J100" s="400">
        <f t="shared" si="20"/>
        <v>0.10100000000000001</v>
      </c>
      <c r="L100" s="392">
        <f t="shared" si="26"/>
        <v>47177</v>
      </c>
      <c r="M100" s="357">
        <f t="shared" si="27"/>
        <v>152</v>
      </c>
      <c r="N100" s="397">
        <v>6700.9774959215247</v>
      </c>
      <c r="O100" s="397">
        <f t="shared" si="16"/>
        <v>0</v>
      </c>
      <c r="P100" s="397">
        <f t="shared" si="21"/>
        <v>45.683746554007598</v>
      </c>
      <c r="Q100" s="397">
        <f t="shared" si="17"/>
        <v>-45.683746554007598</v>
      </c>
      <c r="R100" s="398">
        <f t="shared" si="22"/>
        <v>6746.6612424755322</v>
      </c>
      <c r="S100" s="399">
        <f>INDEX(LIBOR!$M$3:$M$122,MATCH(L100,LIBOR!$N$3:$N$122))</f>
        <v>3.2809699999999997E-2</v>
      </c>
      <c r="T100" s="400">
        <f t="shared" si="23"/>
        <v>8.1809699999999999E-2</v>
      </c>
    </row>
    <row r="101" spans="2:20">
      <c r="B101" s="396">
        <f t="shared" si="24"/>
        <v>49003</v>
      </c>
      <c r="C101" s="357">
        <f t="shared" si="25"/>
        <v>212</v>
      </c>
      <c r="D101" s="397" t="e">
        <f>INDEX('Monthly Cash Flow'!$L$160:$GT$160, MATCH(C101, 'Monthly Cash Flow'!$L$13:$GT$13, 0))</f>
        <v>#N/A</v>
      </c>
      <c r="E101" s="397">
        <f t="shared" ca="1" si="14"/>
        <v>0</v>
      </c>
      <c r="F101" s="397" t="e">
        <f t="shared" si="18"/>
        <v>#N/A</v>
      </c>
      <c r="G101" s="397" t="e">
        <f t="shared" ca="1" si="15"/>
        <v>#N/A</v>
      </c>
      <c r="H101" s="398" t="e">
        <f t="shared" ca="1" si="19"/>
        <v>#N/A</v>
      </c>
      <c r="I101" s="399">
        <f>MAX($J$5, INDEX(LIBOR!$M$3:$M$122,MATCH(B101,LIBOR!$N$3:$N$122)))</f>
        <v>5.1999999999999998E-2</v>
      </c>
      <c r="J101" s="400">
        <f t="shared" si="20"/>
        <v>0.10100000000000001</v>
      </c>
      <c r="L101" s="392">
        <f t="shared" si="26"/>
        <v>47208</v>
      </c>
      <c r="M101" s="357">
        <f t="shared" si="27"/>
        <v>153</v>
      </c>
      <c r="N101" s="397">
        <v>6688.1130101405752</v>
      </c>
      <c r="O101" s="397">
        <f t="shared" si="16"/>
        <v>0</v>
      </c>
      <c r="P101" s="397">
        <f t="shared" si="21"/>
        <v>45.596043243808118</v>
      </c>
      <c r="Q101" s="397">
        <f t="shared" si="17"/>
        <v>-45.596043243808118</v>
      </c>
      <c r="R101" s="398">
        <f t="shared" si="22"/>
        <v>6733.709053384383</v>
      </c>
      <c r="S101" s="399">
        <f>INDEX(LIBOR!$M$3:$M$122,MATCH(L101,LIBOR!$N$3:$N$122))</f>
        <v>3.2809699999999997E-2</v>
      </c>
      <c r="T101" s="400">
        <f t="shared" si="23"/>
        <v>8.1809699999999999E-2</v>
      </c>
    </row>
    <row r="102" spans="2:20">
      <c r="B102" s="396">
        <f t="shared" si="24"/>
        <v>49034</v>
      </c>
      <c r="C102" s="357">
        <f t="shared" si="25"/>
        <v>213</v>
      </c>
      <c r="D102" s="397" t="e">
        <f>INDEX('Monthly Cash Flow'!$L$160:$GT$160, MATCH(C102, 'Monthly Cash Flow'!$L$13:$GT$13, 0))</f>
        <v>#N/A</v>
      </c>
      <c r="E102" s="397">
        <f t="shared" ca="1" si="14"/>
        <v>0</v>
      </c>
      <c r="F102" s="397" t="e">
        <f t="shared" si="18"/>
        <v>#N/A</v>
      </c>
      <c r="G102" s="397" t="e">
        <f t="shared" ca="1" si="15"/>
        <v>#N/A</v>
      </c>
      <c r="H102" s="398" t="e">
        <f t="shared" ca="1" si="19"/>
        <v>#N/A</v>
      </c>
      <c r="I102" s="399">
        <f>MAX($J$5, INDEX(LIBOR!$M$3:$M$122,MATCH(B102,LIBOR!$N$3:$N$122)))</f>
        <v>5.1999999999999998E-2</v>
      </c>
      <c r="J102" s="400">
        <f t="shared" si="20"/>
        <v>0.10100000000000001</v>
      </c>
      <c r="L102" s="392">
        <f t="shared" si="26"/>
        <v>47238</v>
      </c>
      <c r="M102" s="357">
        <f t="shared" si="27"/>
        <v>154</v>
      </c>
      <c r="N102" s="397">
        <v>6675.1899295214025</v>
      </c>
      <c r="O102" s="397">
        <f t="shared" si="16"/>
        <v>0</v>
      </c>
      <c r="P102" s="397">
        <f t="shared" si="21"/>
        <v>45.507940464763919</v>
      </c>
      <c r="Q102" s="397">
        <f t="shared" si="17"/>
        <v>-45.507940464763919</v>
      </c>
      <c r="R102" s="398">
        <f t="shared" si="22"/>
        <v>6720.6978699861666</v>
      </c>
      <c r="S102" s="399">
        <f>INDEX(LIBOR!$M$3:$M$122,MATCH(L102,LIBOR!$N$3:$N$122))</f>
        <v>3.2809699999999997E-2</v>
      </c>
      <c r="T102" s="400">
        <f t="shared" si="23"/>
        <v>8.1809699999999999E-2</v>
      </c>
    </row>
    <row r="103" spans="2:20">
      <c r="B103" s="396">
        <f t="shared" si="24"/>
        <v>49064</v>
      </c>
      <c r="C103" s="357">
        <f t="shared" si="25"/>
        <v>214</v>
      </c>
      <c r="D103" s="397" t="e">
        <f>INDEX('Monthly Cash Flow'!$L$160:$GT$160, MATCH(C103, 'Monthly Cash Flow'!$L$13:$GT$13, 0))</f>
        <v>#N/A</v>
      </c>
      <c r="E103" s="397">
        <f t="shared" ca="1" si="14"/>
        <v>0</v>
      </c>
      <c r="F103" s="397" t="e">
        <f t="shared" si="18"/>
        <v>#N/A</v>
      </c>
      <c r="G103" s="397" t="e">
        <f t="shared" ca="1" si="15"/>
        <v>#N/A</v>
      </c>
      <c r="H103" s="398" t="e">
        <f t="shared" ca="1" si="19"/>
        <v>#N/A</v>
      </c>
      <c r="I103" s="399">
        <f>MAX($J$5, INDEX(LIBOR!$M$3:$M$122,MATCH(B103,LIBOR!$N$3:$N$122)))</f>
        <v>5.1999999999999998E-2</v>
      </c>
      <c r="J103" s="400">
        <f t="shared" si="20"/>
        <v>0.10100000000000001</v>
      </c>
      <c r="L103" s="392">
        <f t="shared" si="26"/>
        <v>47269</v>
      </c>
      <c r="M103" s="357">
        <f t="shared" si="27"/>
        <v>155</v>
      </c>
      <c r="N103" s="397">
        <v>6662.2079871777023</v>
      </c>
      <c r="O103" s="397">
        <f t="shared" si="16"/>
        <v>0</v>
      </c>
      <c r="P103" s="397">
        <f t="shared" si="21"/>
        <v>45.41943639738431</v>
      </c>
      <c r="Q103" s="397">
        <f t="shared" si="17"/>
        <v>-45.41943639738431</v>
      </c>
      <c r="R103" s="398">
        <f t="shared" si="22"/>
        <v>6707.6274235750871</v>
      </c>
      <c r="S103" s="399">
        <f>INDEX(LIBOR!$M$3:$M$122,MATCH(L103,LIBOR!$N$3:$N$122))</f>
        <v>3.2809699999999997E-2</v>
      </c>
      <c r="T103" s="400">
        <f t="shared" si="23"/>
        <v>8.1809699999999999E-2</v>
      </c>
    </row>
    <row r="104" spans="2:20">
      <c r="B104" s="396">
        <f t="shared" si="24"/>
        <v>49095</v>
      </c>
      <c r="C104" s="357">
        <f t="shared" si="25"/>
        <v>215</v>
      </c>
      <c r="D104" s="397" t="e">
        <f>INDEX('Monthly Cash Flow'!$L$160:$GT$160, MATCH(C104, 'Monthly Cash Flow'!$L$13:$GT$13, 0))</f>
        <v>#N/A</v>
      </c>
      <c r="E104" s="397">
        <f t="shared" ca="1" si="14"/>
        <v>0</v>
      </c>
      <c r="F104" s="397" t="e">
        <f t="shared" si="18"/>
        <v>#N/A</v>
      </c>
      <c r="G104" s="397" t="e">
        <f t="shared" ca="1" si="15"/>
        <v>#N/A</v>
      </c>
      <c r="H104" s="398" t="e">
        <f t="shared" ca="1" si="19"/>
        <v>#N/A</v>
      </c>
      <c r="I104" s="399">
        <f>MAX($J$5, INDEX(LIBOR!$M$3:$M$122,MATCH(B104,LIBOR!$N$3:$N$122)))</f>
        <v>5.1999999999999998E-2</v>
      </c>
      <c r="J104" s="400">
        <f t="shared" si="20"/>
        <v>0.10100000000000001</v>
      </c>
      <c r="L104" s="392">
        <f t="shared" si="26"/>
        <v>47299</v>
      </c>
      <c r="M104" s="357">
        <f t="shared" si="27"/>
        <v>156</v>
      </c>
      <c r="N104" s="397">
        <v>6649.1669150075641</v>
      </c>
      <c r="O104" s="397">
        <f t="shared" si="16"/>
        <v>0</v>
      </c>
      <c r="P104" s="397">
        <f t="shared" si="21"/>
        <v>45.330529213891197</v>
      </c>
      <c r="Q104" s="397">
        <f t="shared" si="17"/>
        <v>-45.330529213891197</v>
      </c>
      <c r="R104" s="398">
        <f t="shared" si="22"/>
        <v>6694.4974442214552</v>
      </c>
      <c r="S104" s="399">
        <f>INDEX(LIBOR!$M$3:$M$122,MATCH(L104,LIBOR!$N$3:$N$122))</f>
        <v>3.2809699999999997E-2</v>
      </c>
      <c r="T104" s="400">
        <f t="shared" si="23"/>
        <v>8.1809699999999999E-2</v>
      </c>
    </row>
    <row r="105" spans="2:20">
      <c r="B105" s="396">
        <f t="shared" si="24"/>
        <v>49125</v>
      </c>
      <c r="C105" s="357">
        <f t="shared" si="25"/>
        <v>216</v>
      </c>
      <c r="D105" s="397" t="e">
        <f>INDEX('Monthly Cash Flow'!$L$160:$GT$160, MATCH(C105, 'Monthly Cash Flow'!$L$13:$GT$13, 0))</f>
        <v>#N/A</v>
      </c>
      <c r="E105" s="397">
        <f t="shared" ca="1" si="14"/>
        <v>0</v>
      </c>
      <c r="F105" s="397" t="e">
        <f t="shared" si="18"/>
        <v>#N/A</v>
      </c>
      <c r="G105" s="397" t="e">
        <f t="shared" ca="1" si="15"/>
        <v>#N/A</v>
      </c>
      <c r="H105" s="398" t="e">
        <f t="shared" ca="1" si="19"/>
        <v>#N/A</v>
      </c>
      <c r="I105" s="399">
        <f>MAX($J$5, INDEX(LIBOR!$M$3:$M$122,MATCH(B105,LIBOR!$N$3:$N$122)))</f>
        <v>5.1999999999999998E-2</v>
      </c>
      <c r="J105" s="400">
        <f t="shared" si="20"/>
        <v>0.10100000000000001</v>
      </c>
      <c r="L105" s="392">
        <f t="shared" si="26"/>
        <v>47330</v>
      </c>
      <c r="M105" s="357">
        <f t="shared" si="27"/>
        <v>157</v>
      </c>
      <c r="N105" s="397">
        <v>6636.0664436879315</v>
      </c>
      <c r="O105" s="397">
        <f t="shared" si="16"/>
        <v>0</v>
      </c>
      <c r="P105" s="397">
        <f t="shared" si="21"/>
        <v>45.241217078181386</v>
      </c>
      <c r="Q105" s="397">
        <f t="shared" si="17"/>
        <v>-45.241217078181386</v>
      </c>
      <c r="R105" s="398">
        <f t="shared" si="22"/>
        <v>6681.3076607661133</v>
      </c>
      <c r="S105" s="399">
        <f>INDEX(LIBOR!$M$3:$M$122,MATCH(L105,LIBOR!$N$3:$N$122))</f>
        <v>3.2809699999999997E-2</v>
      </c>
      <c r="T105" s="400">
        <f t="shared" si="23"/>
        <v>8.1809699999999999E-2</v>
      </c>
    </row>
    <row r="106" spans="2:20">
      <c r="B106" s="396">
        <f t="shared" si="24"/>
        <v>49156</v>
      </c>
      <c r="C106" s="357">
        <f t="shared" si="25"/>
        <v>217</v>
      </c>
      <c r="D106" s="397" t="e">
        <f>INDEX('Monthly Cash Flow'!$L$160:$GT$160, MATCH(C106, 'Monthly Cash Flow'!$L$13:$GT$13, 0))</f>
        <v>#N/A</v>
      </c>
      <c r="E106" s="397">
        <f t="shared" ca="1" si="14"/>
        <v>0</v>
      </c>
      <c r="F106" s="397" t="e">
        <f t="shared" si="18"/>
        <v>#N/A</v>
      </c>
      <c r="G106" s="397" t="e">
        <f t="shared" ca="1" si="15"/>
        <v>#N/A</v>
      </c>
      <c r="H106" s="398" t="e">
        <f t="shared" ca="1" si="19"/>
        <v>#N/A</v>
      </c>
      <c r="I106" s="399">
        <f>MAX($J$5, INDEX(LIBOR!$M$3:$M$122,MATCH(B106,LIBOR!$N$3:$N$122)))</f>
        <v>5.1999999999999998E-2</v>
      </c>
      <c r="J106" s="400">
        <f t="shared" si="20"/>
        <v>0.10100000000000001</v>
      </c>
      <c r="L106" s="392">
        <f t="shared" si="26"/>
        <v>47361</v>
      </c>
      <c r="M106" s="357">
        <f t="shared" si="27"/>
        <v>158</v>
      </c>
      <c r="N106" s="397">
        <v>6622.9063026690446</v>
      </c>
      <c r="O106" s="397">
        <f t="shared" si="16"/>
        <v>0</v>
      </c>
      <c r="P106" s="397">
        <f t="shared" si="21"/>
        <v>45.151498145788644</v>
      </c>
      <c r="Q106" s="397">
        <f t="shared" si="17"/>
        <v>-45.151498145788644</v>
      </c>
      <c r="R106" s="398">
        <f t="shared" si="22"/>
        <v>6668.0578008148332</v>
      </c>
      <c r="S106" s="399">
        <f>INDEX(LIBOR!$M$3:$M$122,MATCH(L106,LIBOR!$N$3:$N$122))</f>
        <v>3.2809699999999997E-2</v>
      </c>
      <c r="T106" s="400">
        <f t="shared" si="23"/>
        <v>8.1809699999999999E-2</v>
      </c>
    </row>
    <row r="107" spans="2:20">
      <c r="B107" s="396">
        <f t="shared" si="24"/>
        <v>49187</v>
      </c>
      <c r="C107" s="357">
        <f t="shared" si="25"/>
        <v>218</v>
      </c>
      <c r="D107" s="397" t="e">
        <f>INDEX('Monthly Cash Flow'!$L$160:$GT$160, MATCH(C107, 'Monthly Cash Flow'!$L$13:$GT$13, 0))</f>
        <v>#N/A</v>
      </c>
      <c r="E107" s="397">
        <f t="shared" ca="1" si="14"/>
        <v>0</v>
      </c>
      <c r="F107" s="397" t="e">
        <f t="shared" si="18"/>
        <v>#N/A</v>
      </c>
      <c r="G107" s="397" t="e">
        <f t="shared" ca="1" si="15"/>
        <v>#N/A</v>
      </c>
      <c r="H107" s="398" t="e">
        <f t="shared" ca="1" si="19"/>
        <v>#N/A</v>
      </c>
      <c r="I107" s="399">
        <f>MAX($J$5, INDEX(LIBOR!$M$3:$M$122,MATCH(B107,LIBOR!$N$3:$N$122)))</f>
        <v>5.1999999999999998E-2</v>
      </c>
      <c r="J107" s="400">
        <f t="shared" si="20"/>
        <v>0.10100000000000001</v>
      </c>
      <c r="L107" s="392">
        <f t="shared" si="26"/>
        <v>47391</v>
      </c>
      <c r="M107" s="357">
        <f t="shared" si="27"/>
        <v>159</v>
      </c>
      <c r="N107" s="397">
        <v>6609.6862201688482</v>
      </c>
      <c r="O107" s="397">
        <f t="shared" si="16"/>
        <v>0</v>
      </c>
      <c r="P107" s="397">
        <f t="shared" si="21"/>
        <v>45.061370563845621</v>
      </c>
      <c r="Q107" s="397">
        <f t="shared" si="17"/>
        <v>-45.061370563845621</v>
      </c>
      <c r="R107" s="398">
        <f t="shared" si="22"/>
        <v>6654.7475907326934</v>
      </c>
      <c r="S107" s="399">
        <f>INDEX(LIBOR!$M$3:$M$122,MATCH(L107,LIBOR!$N$3:$N$122))</f>
        <v>3.2809699999999997E-2</v>
      </c>
      <c r="T107" s="400">
        <f t="shared" si="23"/>
        <v>8.1809699999999999E-2</v>
      </c>
    </row>
    <row r="108" spans="2:20">
      <c r="B108" s="396">
        <f t="shared" si="24"/>
        <v>49217</v>
      </c>
      <c r="C108" s="357">
        <f t="shared" si="25"/>
        <v>219</v>
      </c>
      <c r="D108" s="397" t="e">
        <f>INDEX('Monthly Cash Flow'!$L$160:$GT$160, MATCH(C108, 'Monthly Cash Flow'!$L$13:$GT$13, 0))</f>
        <v>#N/A</v>
      </c>
      <c r="E108" s="397">
        <f t="shared" ca="1" si="14"/>
        <v>0</v>
      </c>
      <c r="F108" s="397" t="e">
        <f t="shared" si="18"/>
        <v>#N/A</v>
      </c>
      <c r="G108" s="397" t="e">
        <f t="shared" ca="1" si="15"/>
        <v>#N/A</v>
      </c>
      <c r="H108" s="398" t="e">
        <f t="shared" ca="1" si="19"/>
        <v>#N/A</v>
      </c>
      <c r="I108" s="399">
        <f>MAX($J$5, INDEX(LIBOR!$M$3:$M$122,MATCH(B108,LIBOR!$N$3:$N$122)))</f>
        <v>5.1999999999999998E-2</v>
      </c>
      <c r="J108" s="400">
        <f t="shared" si="20"/>
        <v>0.10100000000000001</v>
      </c>
      <c r="L108" s="392">
        <f t="shared" si="26"/>
        <v>47422</v>
      </c>
      <c r="M108" s="357">
        <f t="shared" si="27"/>
        <v>160</v>
      </c>
      <c r="N108" s="397">
        <v>6596.4059231673818</v>
      </c>
      <c r="O108" s="397">
        <f t="shared" si="16"/>
        <v>0</v>
      </c>
      <c r="P108" s="397">
        <f t="shared" si="21"/>
        <v>44.970832471045547</v>
      </c>
      <c r="Q108" s="397">
        <f t="shared" si="17"/>
        <v>-44.970832471045547</v>
      </c>
      <c r="R108" s="398">
        <f t="shared" si="22"/>
        <v>6641.3767556384273</v>
      </c>
      <c r="S108" s="399">
        <f>INDEX(LIBOR!$M$3:$M$122,MATCH(L108,LIBOR!$N$3:$N$122))</f>
        <v>3.2809699999999997E-2</v>
      </c>
      <c r="T108" s="400">
        <f t="shared" si="23"/>
        <v>8.1809699999999999E-2</v>
      </c>
    </row>
    <row r="109" spans="2:20">
      <c r="B109" s="396">
        <f t="shared" si="24"/>
        <v>49248</v>
      </c>
      <c r="C109" s="357">
        <f t="shared" si="25"/>
        <v>220</v>
      </c>
      <c r="D109" s="397" t="e">
        <f>INDEX('Monthly Cash Flow'!$L$160:$GT$160, MATCH(C109, 'Monthly Cash Flow'!$L$13:$GT$13, 0))</f>
        <v>#N/A</v>
      </c>
      <c r="E109" s="397">
        <f t="shared" ca="1" si="14"/>
        <v>0</v>
      </c>
      <c r="F109" s="397" t="e">
        <f t="shared" si="18"/>
        <v>#N/A</v>
      </c>
      <c r="G109" s="397" t="e">
        <f t="shared" ca="1" si="15"/>
        <v>#N/A</v>
      </c>
      <c r="H109" s="398" t="e">
        <f t="shared" ca="1" si="19"/>
        <v>#N/A</v>
      </c>
      <c r="I109" s="399">
        <f>MAX($J$5, INDEX(LIBOR!$M$3:$M$122,MATCH(B109,LIBOR!$N$3:$N$122)))</f>
        <v>5.1999999999999998E-2</v>
      </c>
      <c r="J109" s="400">
        <f t="shared" si="20"/>
        <v>0.10100000000000001</v>
      </c>
      <c r="L109" s="392">
        <f t="shared" si="26"/>
        <v>47452</v>
      </c>
      <c r="M109" s="357">
        <f t="shared" si="27"/>
        <v>161</v>
      </c>
      <c r="N109" s="397">
        <v>6583.0651374011404</v>
      </c>
      <c r="O109" s="397">
        <f t="shared" si="16"/>
        <v>0</v>
      </c>
      <c r="P109" s="397">
        <f t="shared" si="21"/>
        <v>44.879881997603839</v>
      </c>
      <c r="Q109" s="397">
        <f t="shared" si="17"/>
        <v>-44.879881997603839</v>
      </c>
      <c r="R109" s="398">
        <f t="shared" si="22"/>
        <v>6627.9450193987441</v>
      </c>
      <c r="S109" s="399">
        <f>INDEX(LIBOR!$M$3:$M$122,MATCH(L109,LIBOR!$N$3:$N$122))</f>
        <v>3.2809699999999997E-2</v>
      </c>
      <c r="T109" s="400">
        <f t="shared" si="23"/>
        <v>8.1809699999999999E-2</v>
      </c>
    </row>
    <row r="110" spans="2:20">
      <c r="B110" s="396">
        <f t="shared" si="24"/>
        <v>49278</v>
      </c>
      <c r="C110" s="357">
        <f t="shared" si="25"/>
        <v>221</v>
      </c>
      <c r="D110" s="397" t="e">
        <f>INDEX('Monthly Cash Flow'!$L$160:$GT$160, MATCH(C110, 'Monthly Cash Flow'!$L$13:$GT$13, 0))</f>
        <v>#N/A</v>
      </c>
      <c r="E110" s="397">
        <f t="shared" ca="1" si="14"/>
        <v>0</v>
      </c>
      <c r="F110" s="397" t="e">
        <f t="shared" si="18"/>
        <v>#N/A</v>
      </c>
      <c r="G110" s="397" t="e">
        <f t="shared" ca="1" si="15"/>
        <v>#N/A</v>
      </c>
      <c r="H110" s="398" t="e">
        <f t="shared" ca="1" si="19"/>
        <v>#N/A</v>
      </c>
      <c r="I110" s="399">
        <f>MAX($J$5, INDEX(LIBOR!$M$3:$M$122,MATCH(B110,LIBOR!$N$3:$N$122)))</f>
        <v>5.1999999999999998E-2</v>
      </c>
      <c r="J110" s="400">
        <f t="shared" si="20"/>
        <v>0.10100000000000001</v>
      </c>
      <c r="L110" s="392">
        <f t="shared" si="26"/>
        <v>47483</v>
      </c>
      <c r="M110" s="357">
        <f t="shared" si="27"/>
        <v>162</v>
      </c>
      <c r="N110" s="397">
        <v>6569.6635873574105</v>
      </c>
      <c r="O110" s="397">
        <f t="shared" si="16"/>
        <v>0</v>
      </c>
      <c r="P110" s="397">
        <f t="shared" si="21"/>
        <v>44.788517265219461</v>
      </c>
      <c r="Q110" s="397">
        <f t="shared" si="17"/>
        <v>-44.788517265219461</v>
      </c>
      <c r="R110" s="398">
        <f t="shared" si="22"/>
        <v>6614.45210462263</v>
      </c>
      <c r="S110" s="399">
        <f>INDEX(LIBOR!$M$3:$M$122,MATCH(L110,LIBOR!$N$3:$N$122))</f>
        <v>3.2809699999999997E-2</v>
      </c>
      <c r="T110" s="400">
        <f t="shared" si="23"/>
        <v>8.1809699999999999E-2</v>
      </c>
    </row>
    <row r="111" spans="2:20">
      <c r="B111" s="396">
        <f t="shared" si="24"/>
        <v>49309</v>
      </c>
      <c r="C111" s="357">
        <f t="shared" si="25"/>
        <v>222</v>
      </c>
      <c r="D111" s="397" t="e">
        <f>INDEX('Monthly Cash Flow'!$L$160:$GT$160, MATCH(C111, 'Monthly Cash Flow'!$L$13:$GT$13, 0))</f>
        <v>#N/A</v>
      </c>
      <c r="E111" s="397">
        <f t="shared" ca="1" si="14"/>
        <v>0</v>
      </c>
      <c r="F111" s="397" t="e">
        <f t="shared" si="18"/>
        <v>#N/A</v>
      </c>
      <c r="G111" s="397" t="e">
        <f t="shared" ca="1" si="15"/>
        <v>#N/A</v>
      </c>
      <c r="H111" s="398" t="e">
        <f t="shared" ca="1" si="19"/>
        <v>#N/A</v>
      </c>
      <c r="I111" s="399">
        <f>MAX($J$5, INDEX(LIBOR!$M$3:$M$122,MATCH(B111,LIBOR!$N$3:$N$122)))</f>
        <v>5.1999999999999998E-2</v>
      </c>
      <c r="J111" s="400">
        <f t="shared" si="20"/>
        <v>0.10100000000000001</v>
      </c>
      <c r="L111" s="392">
        <f t="shared" si="26"/>
        <v>47514</v>
      </c>
      <c r="M111" s="357">
        <f t="shared" si="27"/>
        <v>163</v>
      </c>
      <c r="N111" s="397">
        <v>6556.2009962685806</v>
      </c>
      <c r="O111" s="397">
        <f t="shared" si="16"/>
        <v>0</v>
      </c>
      <c r="P111" s="397">
        <f t="shared" si="21"/>
        <v>44.69673638703614</v>
      </c>
      <c r="Q111" s="397">
        <f t="shared" si="17"/>
        <v>-44.69673638703614</v>
      </c>
      <c r="R111" s="398">
        <f t="shared" si="22"/>
        <v>6600.8977326556169</v>
      </c>
      <c r="S111" s="399">
        <f>INDEX(LIBOR!$M$3:$M$122,MATCH(L111,LIBOR!$N$3:$N$122))</f>
        <v>3.2809699999999997E-2</v>
      </c>
      <c r="T111" s="400">
        <f t="shared" si="23"/>
        <v>8.1809699999999999E-2</v>
      </c>
    </row>
    <row r="112" spans="2:20">
      <c r="B112" s="396">
        <f t="shared" si="24"/>
        <v>49340</v>
      </c>
      <c r="C112" s="357">
        <f t="shared" si="25"/>
        <v>223</v>
      </c>
      <c r="D112" s="397" t="e">
        <f>INDEX('Monthly Cash Flow'!$L$160:$GT$160, MATCH(C112, 'Monthly Cash Flow'!$L$13:$GT$13, 0))</f>
        <v>#N/A</v>
      </c>
      <c r="E112" s="397">
        <f t="shared" ca="1" si="14"/>
        <v>0</v>
      </c>
      <c r="F112" s="397" t="e">
        <f t="shared" si="18"/>
        <v>#N/A</v>
      </c>
      <c r="G112" s="397" t="e">
        <f t="shared" ca="1" si="15"/>
        <v>#N/A</v>
      </c>
      <c r="H112" s="398" t="e">
        <f t="shared" ca="1" si="19"/>
        <v>#N/A</v>
      </c>
      <c r="I112" s="399">
        <f>MAX($J$5, INDEX(LIBOR!$M$3:$M$122,MATCH(B112,LIBOR!$N$3:$N$122)))</f>
        <v>5.1999999999999998E-2</v>
      </c>
      <c r="J112" s="400">
        <f t="shared" si="20"/>
        <v>0.10100000000000001</v>
      </c>
      <c r="L112" s="392">
        <f t="shared" si="26"/>
        <v>47542</v>
      </c>
      <c r="M112" s="357">
        <f t="shared" si="27"/>
        <v>164</v>
      </c>
      <c r="N112" s="397">
        <v>6542.6770861064242</v>
      </c>
      <c r="O112" s="397">
        <f t="shared" si="16"/>
        <v>0</v>
      </c>
      <c r="P112" s="397">
        <f t="shared" si="21"/>
        <v>44.604537467603393</v>
      </c>
      <c r="Q112" s="397">
        <f t="shared" si="17"/>
        <v>-44.604537467603393</v>
      </c>
      <c r="R112" s="398">
        <f t="shared" si="22"/>
        <v>6587.2816235740274</v>
      </c>
      <c r="S112" s="399">
        <f>INDEX(LIBOR!$M$3:$M$122,MATCH(L112,LIBOR!$N$3:$N$122))</f>
        <v>3.2809699999999997E-2</v>
      </c>
      <c r="T112" s="400">
        <f t="shared" si="23"/>
        <v>8.1809699999999999E-2</v>
      </c>
    </row>
    <row r="113" spans="2:20">
      <c r="B113" s="396">
        <f t="shared" si="24"/>
        <v>49368</v>
      </c>
      <c r="C113" s="357">
        <f t="shared" si="25"/>
        <v>224</v>
      </c>
      <c r="D113" s="397" t="e">
        <f>INDEX('Monthly Cash Flow'!$L$160:$GT$160, MATCH(C113, 'Monthly Cash Flow'!$L$13:$GT$13, 0))</f>
        <v>#N/A</v>
      </c>
      <c r="E113" s="397">
        <f t="shared" ca="1" si="14"/>
        <v>0</v>
      </c>
      <c r="F113" s="397" t="e">
        <f t="shared" si="18"/>
        <v>#N/A</v>
      </c>
      <c r="G113" s="397" t="e">
        <f t="shared" ca="1" si="15"/>
        <v>#N/A</v>
      </c>
      <c r="H113" s="398" t="e">
        <f t="shared" ca="1" si="19"/>
        <v>#N/A</v>
      </c>
      <c r="I113" s="399">
        <f>MAX($J$5, INDEX(LIBOR!$M$3:$M$122,MATCH(B113,LIBOR!$N$3:$N$122)))</f>
        <v>5.1999999999999998E-2</v>
      </c>
      <c r="J113" s="400">
        <f t="shared" si="20"/>
        <v>0.10100000000000001</v>
      </c>
      <c r="L113" s="392">
        <f t="shared" si="26"/>
        <v>47573</v>
      </c>
      <c r="M113" s="357">
        <f t="shared" si="27"/>
        <v>165</v>
      </c>
      <c r="N113" s="397">
        <v>6529.0915775763588</v>
      </c>
      <c r="O113" s="397">
        <f t="shared" si="16"/>
        <v>0</v>
      </c>
      <c r="P113" s="397">
        <f t="shared" si="21"/>
        <v>44.51191860283739</v>
      </c>
      <c r="Q113" s="397">
        <f t="shared" si="17"/>
        <v>-44.51191860283739</v>
      </c>
      <c r="R113" s="398">
        <f t="shared" si="22"/>
        <v>6573.6034961791966</v>
      </c>
      <c r="S113" s="399">
        <f>INDEX(LIBOR!$M$3:$M$122,MATCH(L113,LIBOR!$N$3:$N$122))</f>
        <v>3.2809699999999997E-2</v>
      </c>
      <c r="T113" s="400">
        <f t="shared" si="23"/>
        <v>8.1809699999999999E-2</v>
      </c>
    </row>
    <row r="114" spans="2:20">
      <c r="B114" s="396">
        <f t="shared" si="24"/>
        <v>49399</v>
      </c>
      <c r="C114" s="357">
        <f t="shared" si="25"/>
        <v>225</v>
      </c>
      <c r="D114" s="397" t="e">
        <f>INDEX('Monthly Cash Flow'!$L$160:$GT$160, MATCH(C114, 'Monthly Cash Flow'!$L$13:$GT$13, 0))</f>
        <v>#N/A</v>
      </c>
      <c r="E114" s="397">
        <f t="shared" ca="1" si="14"/>
        <v>0</v>
      </c>
      <c r="F114" s="397" t="e">
        <f t="shared" si="18"/>
        <v>#N/A</v>
      </c>
      <c r="G114" s="397" t="e">
        <f t="shared" ca="1" si="15"/>
        <v>#N/A</v>
      </c>
      <c r="H114" s="398" t="e">
        <f t="shared" ca="1" si="19"/>
        <v>#N/A</v>
      </c>
      <c r="I114" s="399">
        <f>MAX($J$5, INDEX(LIBOR!$M$3:$M$122,MATCH(B114,LIBOR!$N$3:$N$122)))</f>
        <v>5.1999999999999998E-2</v>
      </c>
      <c r="J114" s="400">
        <f t="shared" si="20"/>
        <v>0.10100000000000001</v>
      </c>
      <c r="L114" s="392">
        <f t="shared" si="26"/>
        <v>47603</v>
      </c>
      <c r="M114" s="357">
        <f t="shared" si="27"/>
        <v>166</v>
      </c>
      <c r="N114" s="397">
        <v>6515.4441901116779</v>
      </c>
      <c r="O114" s="397">
        <f t="shared" si="16"/>
        <v>0</v>
      </c>
      <c r="P114" s="397">
        <f t="shared" si="21"/>
        <v>44.418877879981608</v>
      </c>
      <c r="Q114" s="397">
        <f t="shared" si="17"/>
        <v>-44.418877879981608</v>
      </c>
      <c r="R114" s="398">
        <f t="shared" si="22"/>
        <v>6559.8630679916596</v>
      </c>
      <c r="S114" s="399">
        <f>INDEX(LIBOR!$M$3:$M$122,MATCH(L114,LIBOR!$N$3:$N$122))</f>
        <v>3.2809699999999997E-2</v>
      </c>
      <c r="T114" s="400">
        <f t="shared" si="23"/>
        <v>8.1809699999999999E-2</v>
      </c>
    </row>
    <row r="115" spans="2:20">
      <c r="B115" s="396">
        <f t="shared" si="24"/>
        <v>49429</v>
      </c>
      <c r="C115" s="357">
        <f t="shared" si="25"/>
        <v>226</v>
      </c>
      <c r="D115" s="397" t="e">
        <f>INDEX('Monthly Cash Flow'!$L$160:$GT$160, MATCH(C115, 'Monthly Cash Flow'!$L$13:$GT$13, 0))</f>
        <v>#N/A</v>
      </c>
      <c r="E115" s="397">
        <f t="shared" ca="1" si="14"/>
        <v>0</v>
      </c>
      <c r="F115" s="397" t="e">
        <f t="shared" si="18"/>
        <v>#N/A</v>
      </c>
      <c r="G115" s="397" t="e">
        <f t="shared" ca="1" si="15"/>
        <v>#N/A</v>
      </c>
      <c r="H115" s="398" t="e">
        <f t="shared" ca="1" si="19"/>
        <v>#N/A</v>
      </c>
      <c r="I115" s="399">
        <f>MAX($J$5, INDEX(LIBOR!$M$3:$M$122,MATCH(B115,LIBOR!$N$3:$N$122)))</f>
        <v>5.1999999999999998E-2</v>
      </c>
      <c r="J115" s="400">
        <f t="shared" si="20"/>
        <v>0.10100000000000001</v>
      </c>
      <c r="L115" s="392">
        <f t="shared" si="26"/>
        <v>47634</v>
      </c>
      <c r="M115" s="357">
        <f t="shared" si="27"/>
        <v>167</v>
      </c>
      <c r="N115" s="397">
        <v>6501.734641867758</v>
      </c>
      <c r="O115" s="397">
        <f t="shared" si="16"/>
        <v>0</v>
      </c>
      <c r="P115" s="397">
        <f t="shared" si="21"/>
        <v>44.325413377567394</v>
      </c>
      <c r="Q115" s="397">
        <f t="shared" si="17"/>
        <v>-44.325413377567394</v>
      </c>
      <c r="R115" s="398">
        <f t="shared" si="22"/>
        <v>6546.0600552453252</v>
      </c>
      <c r="S115" s="399">
        <f>INDEX(LIBOR!$M$3:$M$122,MATCH(L115,LIBOR!$N$3:$N$122))</f>
        <v>3.2809699999999997E-2</v>
      </c>
      <c r="T115" s="400">
        <f t="shared" si="23"/>
        <v>8.1809699999999999E-2</v>
      </c>
    </row>
    <row r="116" spans="2:20">
      <c r="B116" s="396">
        <f t="shared" si="24"/>
        <v>49460</v>
      </c>
      <c r="C116" s="357">
        <f t="shared" si="25"/>
        <v>227</v>
      </c>
      <c r="D116" s="397" t="e">
        <f>INDEX('Monthly Cash Flow'!$L$160:$GT$160, MATCH(C116, 'Monthly Cash Flow'!$L$13:$GT$13, 0))</f>
        <v>#N/A</v>
      </c>
      <c r="E116" s="397">
        <f t="shared" ca="1" si="14"/>
        <v>0</v>
      </c>
      <c r="F116" s="397" t="e">
        <f t="shared" si="18"/>
        <v>#N/A</v>
      </c>
      <c r="G116" s="397" t="e">
        <f t="shared" ca="1" si="15"/>
        <v>#N/A</v>
      </c>
      <c r="H116" s="398" t="e">
        <f t="shared" ca="1" si="19"/>
        <v>#N/A</v>
      </c>
      <c r="I116" s="399">
        <f>MAX($J$5, INDEX(LIBOR!$M$3:$M$122,MATCH(B116,LIBOR!$N$3:$N$122)))</f>
        <v>5.1999999999999998E-2</v>
      </c>
      <c r="J116" s="400">
        <f t="shared" si="20"/>
        <v>0.10100000000000001</v>
      </c>
      <c r="L116" s="392">
        <f t="shared" si="26"/>
        <v>47664</v>
      </c>
      <c r="M116" s="357">
        <f t="shared" si="27"/>
        <v>168</v>
      </c>
      <c r="N116" s="397">
        <v>6487.9626497162353</v>
      </c>
      <c r="O116" s="397">
        <f t="shared" si="16"/>
        <v>0</v>
      </c>
      <c r="P116" s="397">
        <f t="shared" si="21"/>
        <v>44.231523165374192</v>
      </c>
      <c r="Q116" s="397">
        <f t="shared" si="17"/>
        <v>-44.231523165374192</v>
      </c>
      <c r="R116" s="398">
        <f t="shared" si="22"/>
        <v>6532.1941728816091</v>
      </c>
      <c r="S116" s="399">
        <f>INDEX(LIBOR!$M$3:$M$122,MATCH(L116,LIBOR!$N$3:$N$122))</f>
        <v>3.2809699999999997E-2</v>
      </c>
      <c r="T116" s="400">
        <f t="shared" si="23"/>
        <v>8.1809699999999999E-2</v>
      </c>
    </row>
    <row r="117" spans="2:20">
      <c r="B117" s="396">
        <f t="shared" si="24"/>
        <v>49490</v>
      </c>
      <c r="C117" s="357">
        <f t="shared" si="25"/>
        <v>228</v>
      </c>
      <c r="D117" s="397" t="e">
        <f>INDEX('Monthly Cash Flow'!$L$160:$GT$160, MATCH(C117, 'Monthly Cash Flow'!$L$13:$GT$13, 0))</f>
        <v>#N/A</v>
      </c>
      <c r="E117" s="397">
        <f t="shared" ca="1" si="14"/>
        <v>0</v>
      </c>
      <c r="F117" s="397" t="e">
        <f t="shared" si="18"/>
        <v>#N/A</v>
      </c>
      <c r="G117" s="397" t="e">
        <f t="shared" ca="1" si="15"/>
        <v>#N/A</v>
      </c>
      <c r="H117" s="398" t="e">
        <f t="shared" ca="1" si="19"/>
        <v>#N/A</v>
      </c>
      <c r="I117" s="399">
        <f>MAX($J$5, INDEX(LIBOR!$M$3:$M$122,MATCH(B117,LIBOR!$N$3:$N$122)))</f>
        <v>5.1999999999999998E-2</v>
      </c>
      <c r="J117" s="400">
        <f t="shared" si="20"/>
        <v>0.10100000000000001</v>
      </c>
      <c r="L117" s="392">
        <f t="shared" si="26"/>
        <v>47695</v>
      </c>
      <c r="M117" s="357">
        <f t="shared" si="27"/>
        <v>169</v>
      </c>
      <c r="N117" s="397">
        <v>6474.1279292391609</v>
      </c>
      <c r="O117" s="397">
        <f t="shared" si="16"/>
        <v>0</v>
      </c>
      <c r="P117" s="397">
        <f t="shared" si="21"/>
        <v>44.137205304389745</v>
      </c>
      <c r="Q117" s="397">
        <f t="shared" si="17"/>
        <v>-44.137205304389745</v>
      </c>
      <c r="R117" s="398">
        <f t="shared" si="22"/>
        <v>6518.2651345435506</v>
      </c>
      <c r="S117" s="399">
        <f>INDEX(LIBOR!$M$3:$M$122,MATCH(L117,LIBOR!$N$3:$N$122))</f>
        <v>3.2809699999999997E-2</v>
      </c>
      <c r="T117" s="400">
        <f t="shared" si="23"/>
        <v>8.1809699999999999E-2</v>
      </c>
    </row>
    <row r="118" spans="2:20">
      <c r="B118" s="396">
        <f t="shared" si="24"/>
        <v>49521</v>
      </c>
      <c r="C118" s="357">
        <f t="shared" si="25"/>
        <v>229</v>
      </c>
      <c r="D118" s="397" t="e">
        <f>INDEX('Monthly Cash Flow'!$L$160:$GT$160, MATCH(C118, 'Monthly Cash Flow'!$L$13:$GT$13, 0))</f>
        <v>#N/A</v>
      </c>
      <c r="E118" s="397">
        <f t="shared" ca="1" si="14"/>
        <v>0</v>
      </c>
      <c r="F118" s="397" t="e">
        <f t="shared" si="18"/>
        <v>#N/A</v>
      </c>
      <c r="G118" s="397" t="e">
        <f t="shared" ca="1" si="15"/>
        <v>#N/A</v>
      </c>
      <c r="H118" s="398" t="e">
        <f t="shared" ca="1" si="19"/>
        <v>#N/A</v>
      </c>
      <c r="I118" s="399">
        <f>MAX($J$5, INDEX(LIBOR!$M$3:$M$122,MATCH(B118,LIBOR!$N$3:$N$122)))</f>
        <v>5.1999999999999998E-2</v>
      </c>
      <c r="J118" s="400">
        <f t="shared" si="20"/>
        <v>0.10100000000000001</v>
      </c>
      <c r="L118" s="392">
        <f t="shared" si="26"/>
        <v>47726</v>
      </c>
      <c r="M118" s="357">
        <f t="shared" si="27"/>
        <v>170</v>
      </c>
      <c r="N118" s="397">
        <v>6460.2301947231254</v>
      </c>
      <c r="O118" s="397">
        <f t="shared" si="16"/>
        <v>0</v>
      </c>
      <c r="P118" s="397">
        <f t="shared" si="21"/>
        <v>44.042457846770041</v>
      </c>
      <c r="Q118" s="397">
        <f t="shared" si="17"/>
        <v>-44.042457846770041</v>
      </c>
      <c r="R118" s="398">
        <f t="shared" si="22"/>
        <v>6504.2726525698954</v>
      </c>
      <c r="S118" s="399">
        <f>INDEX(LIBOR!$M$3:$M$122,MATCH(L118,LIBOR!$N$3:$N$122))</f>
        <v>3.2809699999999997E-2</v>
      </c>
      <c r="T118" s="400">
        <f t="shared" si="23"/>
        <v>8.1809699999999999E-2</v>
      </c>
    </row>
    <row r="119" spans="2:20">
      <c r="B119" s="396">
        <f t="shared" si="24"/>
        <v>49552</v>
      </c>
      <c r="C119" s="357">
        <f t="shared" si="25"/>
        <v>230</v>
      </c>
      <c r="D119" s="397" t="e">
        <f>INDEX('Monthly Cash Flow'!$L$160:$GT$160, MATCH(C119, 'Monthly Cash Flow'!$L$13:$GT$13, 0))</f>
        <v>#N/A</v>
      </c>
      <c r="E119" s="397">
        <f t="shared" ca="1" si="14"/>
        <v>0</v>
      </c>
      <c r="F119" s="397" t="e">
        <f t="shared" si="18"/>
        <v>#N/A</v>
      </c>
      <c r="G119" s="397" t="e">
        <f t="shared" ca="1" si="15"/>
        <v>#N/A</v>
      </c>
      <c r="H119" s="398" t="e">
        <f t="shared" ca="1" si="19"/>
        <v>#N/A</v>
      </c>
      <c r="I119" s="399">
        <f>MAX($J$5, INDEX(LIBOR!$M$3:$M$122,MATCH(B119,LIBOR!$N$3:$N$122)))</f>
        <v>5.1999999999999998E-2</v>
      </c>
      <c r="J119" s="400">
        <f t="shared" si="20"/>
        <v>0.10100000000000001</v>
      </c>
      <c r="L119" s="392">
        <f t="shared" si="26"/>
        <v>47756</v>
      </c>
      <c r="M119" s="357">
        <f t="shared" si="27"/>
        <v>171</v>
      </c>
      <c r="N119" s="397">
        <v>6446.2691591533594</v>
      </c>
      <c r="O119" s="397">
        <f t="shared" si="16"/>
        <v>0</v>
      </c>
      <c r="P119" s="397">
        <f t="shared" si="21"/>
        <v>43.947278835799047</v>
      </c>
      <c r="Q119" s="397">
        <f t="shared" si="17"/>
        <v>-43.947278835799047</v>
      </c>
      <c r="R119" s="398">
        <f t="shared" si="22"/>
        <v>6490.2164379891583</v>
      </c>
      <c r="S119" s="399">
        <f>INDEX(LIBOR!$M$3:$M$122,MATCH(L119,LIBOR!$N$3:$N$122))</f>
        <v>3.2809699999999997E-2</v>
      </c>
      <c r="T119" s="400">
        <f t="shared" si="23"/>
        <v>8.1809699999999999E-2</v>
      </c>
    </row>
    <row r="120" spans="2:20">
      <c r="B120" s="396">
        <f t="shared" si="24"/>
        <v>49582</v>
      </c>
      <c r="C120" s="357">
        <f t="shared" si="25"/>
        <v>231</v>
      </c>
      <c r="D120" s="397" t="e">
        <f>INDEX('Monthly Cash Flow'!$L$160:$GT$160, MATCH(C120, 'Monthly Cash Flow'!$L$13:$GT$13, 0))</f>
        <v>#N/A</v>
      </c>
      <c r="E120" s="397">
        <f t="shared" ca="1" si="14"/>
        <v>0</v>
      </c>
      <c r="F120" s="397" t="e">
        <f t="shared" si="18"/>
        <v>#N/A</v>
      </c>
      <c r="G120" s="397" t="e">
        <f t="shared" ca="1" si="15"/>
        <v>#N/A</v>
      </c>
      <c r="H120" s="398" t="e">
        <f t="shared" ca="1" si="19"/>
        <v>#N/A</v>
      </c>
      <c r="I120" s="399">
        <f>MAX($J$5, INDEX(LIBOR!$M$3:$M$122,MATCH(B120,LIBOR!$N$3:$N$122)))</f>
        <v>5.1999999999999998E-2</v>
      </c>
      <c r="J120" s="400">
        <f t="shared" si="20"/>
        <v>0.10100000000000001</v>
      </c>
      <c r="L120" s="392">
        <f t="shared" si="26"/>
        <v>47787</v>
      </c>
      <c r="M120" s="357">
        <f t="shared" si="27"/>
        <v>172</v>
      </c>
      <c r="N120" s="397">
        <v>6432.2445342078063</v>
      </c>
      <c r="O120" s="397">
        <f t="shared" si="16"/>
        <v>0</v>
      </c>
      <c r="P120" s="397">
        <f t="shared" si="21"/>
        <v>43.851666305848362</v>
      </c>
      <c r="Q120" s="397">
        <f t="shared" si="17"/>
        <v>-43.851666305848362</v>
      </c>
      <c r="R120" s="398">
        <f t="shared" si="22"/>
        <v>6476.0962005136544</v>
      </c>
      <c r="S120" s="399">
        <f>INDEX(LIBOR!$M$3:$M$122,MATCH(L120,LIBOR!$N$3:$N$122))</f>
        <v>3.2809699999999997E-2</v>
      </c>
      <c r="T120" s="400">
        <f t="shared" si="23"/>
        <v>8.1809699999999999E-2</v>
      </c>
    </row>
    <row r="121" spans="2:20">
      <c r="B121" s="396">
        <f t="shared" si="24"/>
        <v>49613</v>
      </c>
      <c r="C121" s="357">
        <f t="shared" si="25"/>
        <v>232</v>
      </c>
      <c r="D121" s="397" t="e">
        <f>INDEX('Monthly Cash Flow'!$L$160:$GT$160, MATCH(C121, 'Monthly Cash Flow'!$L$13:$GT$13, 0))</f>
        <v>#N/A</v>
      </c>
      <c r="E121" s="397">
        <f t="shared" ca="1" si="14"/>
        <v>0</v>
      </c>
      <c r="F121" s="397" t="e">
        <f t="shared" si="18"/>
        <v>#N/A</v>
      </c>
      <c r="G121" s="397" t="e">
        <f t="shared" ca="1" si="15"/>
        <v>#N/A</v>
      </c>
      <c r="H121" s="398" t="e">
        <f t="shared" ca="1" si="19"/>
        <v>#N/A</v>
      </c>
      <c r="I121" s="399">
        <f>MAX($J$5, INDEX(LIBOR!$M$3:$M$122,MATCH(B121,LIBOR!$N$3:$N$122)))</f>
        <v>5.1999999999999998E-2</v>
      </c>
      <c r="J121" s="400">
        <f t="shared" si="20"/>
        <v>0.10100000000000001</v>
      </c>
      <c r="L121" s="392">
        <f t="shared" si="26"/>
        <v>47817</v>
      </c>
      <c r="M121" s="357">
        <f t="shared" si="27"/>
        <v>173</v>
      </c>
      <c r="N121" s="397">
        <v>6418.1560302511671</v>
      </c>
      <c r="O121" s="397">
        <f t="shared" si="16"/>
        <v>0</v>
      </c>
      <c r="P121" s="397">
        <f t="shared" si="21"/>
        <v>43.75561828233657</v>
      </c>
      <c r="Q121" s="397">
        <f t="shared" si="17"/>
        <v>-43.75561828233657</v>
      </c>
      <c r="R121" s="398">
        <f t="shared" si="22"/>
        <v>6461.9116485335035</v>
      </c>
      <c r="S121" s="399">
        <f>INDEX(LIBOR!$M$3:$M$122,MATCH(L121,LIBOR!$N$3:$N$122))</f>
        <v>3.2809699999999997E-2</v>
      </c>
      <c r="T121" s="400">
        <f t="shared" si="23"/>
        <v>8.1809699999999999E-2</v>
      </c>
    </row>
    <row r="122" spans="2:20">
      <c r="B122" s="396">
        <f t="shared" si="24"/>
        <v>49643</v>
      </c>
      <c r="C122" s="357">
        <f t="shared" si="25"/>
        <v>233</v>
      </c>
      <c r="D122" s="397" t="e">
        <f>INDEX('Monthly Cash Flow'!$L$160:$GT$160, MATCH(C122, 'Monthly Cash Flow'!$L$13:$GT$13, 0))</f>
        <v>#N/A</v>
      </c>
      <c r="E122" s="397">
        <f t="shared" ca="1" si="14"/>
        <v>0</v>
      </c>
      <c r="F122" s="397" t="e">
        <f t="shared" si="18"/>
        <v>#N/A</v>
      </c>
      <c r="G122" s="397" t="e">
        <f t="shared" ca="1" si="15"/>
        <v>#N/A</v>
      </c>
      <c r="H122" s="398" t="e">
        <f t="shared" ca="1" si="19"/>
        <v>#N/A</v>
      </c>
      <c r="I122" s="399">
        <f>MAX($J$5, INDEX(LIBOR!$M$3:$M$122,MATCH(B122,LIBOR!$N$3:$N$122)))</f>
        <v>5.1999999999999998E-2</v>
      </c>
      <c r="J122" s="400">
        <f t="shared" si="20"/>
        <v>0.10100000000000001</v>
      </c>
      <c r="L122" s="392">
        <f t="shared" si="26"/>
        <v>47848</v>
      </c>
      <c r="M122" s="357">
        <f t="shared" si="27"/>
        <v>174</v>
      </c>
      <c r="N122" s="397">
        <v>6404.0033563289189</v>
      </c>
      <c r="O122" s="397">
        <f t="shared" si="16"/>
        <v>0</v>
      </c>
      <c r="P122" s="397">
        <f t="shared" si="21"/>
        <v>43.659132781688498</v>
      </c>
      <c r="Q122" s="397">
        <f t="shared" si="17"/>
        <v>-43.659132781688498</v>
      </c>
      <c r="R122" s="398">
        <f t="shared" si="22"/>
        <v>6447.6624891106076</v>
      </c>
      <c r="S122" s="399">
        <f>INDEX(LIBOR!$M$3:$M$122,MATCH(L122,LIBOR!$N$3:$N$122))</f>
        <v>3.2809699999999997E-2</v>
      </c>
      <c r="T122" s="400">
        <f t="shared" si="23"/>
        <v>8.1809699999999999E-2</v>
      </c>
    </row>
    <row r="123" spans="2:20">
      <c r="B123" s="396">
        <f t="shared" si="24"/>
        <v>49674</v>
      </c>
      <c r="C123" s="357">
        <f t="shared" si="25"/>
        <v>234</v>
      </c>
      <c r="D123" s="397" t="e">
        <f>INDEX('Monthly Cash Flow'!$L$160:$GT$160, MATCH(C123, 'Monthly Cash Flow'!$L$13:$GT$13, 0))</f>
        <v>#N/A</v>
      </c>
      <c r="E123" s="397">
        <f t="shared" ca="1" si="14"/>
        <v>0</v>
      </c>
      <c r="F123" s="397" t="e">
        <f t="shared" si="18"/>
        <v>#N/A</v>
      </c>
      <c r="G123" s="397" t="e">
        <f t="shared" ca="1" si="15"/>
        <v>#N/A</v>
      </c>
      <c r="H123" s="398" t="e">
        <f t="shared" ca="1" si="19"/>
        <v>#N/A</v>
      </c>
      <c r="I123" s="399">
        <f>MAX($J$5, INDEX(LIBOR!$M$3:$M$122,MATCH(B123,LIBOR!$N$3:$N$122)))</f>
        <v>5.1999999999999998E-2</v>
      </c>
      <c r="J123" s="400">
        <f t="shared" si="20"/>
        <v>0.10100000000000001</v>
      </c>
      <c r="L123" s="392">
        <f t="shared" si="26"/>
        <v>47879</v>
      </c>
      <c r="M123" s="357">
        <f t="shared" si="27"/>
        <v>175</v>
      </c>
      <c r="N123" s="397">
        <v>6389.7862201613061</v>
      </c>
      <c r="O123" s="397">
        <f t="shared" si="16"/>
        <v>0</v>
      </c>
      <c r="P123" s="397">
        <f t="shared" si="21"/>
        <v>43.562207811294201</v>
      </c>
      <c r="Q123" s="397">
        <f t="shared" si="17"/>
        <v>-43.562207811294201</v>
      </c>
      <c r="R123" s="398">
        <f t="shared" si="22"/>
        <v>6433.3484279725999</v>
      </c>
      <c r="S123" s="399">
        <f>INDEX(LIBOR!$M$3:$M$122,MATCH(L123,LIBOR!$N$3:$N$122))</f>
        <v>3.2809699999999997E-2</v>
      </c>
      <c r="T123" s="400">
        <f t="shared" si="23"/>
        <v>8.1809699999999999E-2</v>
      </c>
    </row>
    <row r="124" spans="2:20">
      <c r="B124" s="396">
        <f t="shared" si="24"/>
        <v>49705</v>
      </c>
      <c r="C124" s="357">
        <f t="shared" si="25"/>
        <v>235</v>
      </c>
      <c r="D124" s="397" t="e">
        <f>INDEX('Monthly Cash Flow'!$L$160:$GT$160, MATCH(C124, 'Monthly Cash Flow'!$L$13:$GT$13, 0))</f>
        <v>#N/A</v>
      </c>
      <c r="E124" s="397">
        <f t="shared" ca="1" si="14"/>
        <v>0</v>
      </c>
      <c r="F124" s="397" t="e">
        <f t="shared" si="18"/>
        <v>#N/A</v>
      </c>
      <c r="G124" s="397" t="e">
        <f t="shared" ca="1" si="15"/>
        <v>#N/A</v>
      </c>
      <c r="H124" s="398" t="e">
        <f t="shared" ca="1" si="19"/>
        <v>#N/A</v>
      </c>
      <c r="I124" s="399">
        <f>MAX($J$5, INDEX(LIBOR!$M$3:$M$122,MATCH(B124,LIBOR!$N$3:$N$122)))</f>
        <v>5.1999999999999998E-2</v>
      </c>
      <c r="J124" s="400">
        <f t="shared" si="20"/>
        <v>0.10100000000000001</v>
      </c>
      <c r="L124" s="392">
        <f t="shared" si="26"/>
        <v>47907</v>
      </c>
      <c r="M124" s="357">
        <f t="shared" si="27"/>
        <v>176</v>
      </c>
      <c r="N124" s="397">
        <v>6375.5043281373055</v>
      </c>
      <c r="O124" s="397">
        <f t="shared" si="16"/>
        <v>0</v>
      </c>
      <c r="P124" s="397">
        <f t="shared" si="21"/>
        <v>43.464841369467877</v>
      </c>
      <c r="Q124" s="397">
        <f t="shared" si="17"/>
        <v>-43.464841369467877</v>
      </c>
      <c r="R124" s="398">
        <f t="shared" si="22"/>
        <v>6418.9691695067731</v>
      </c>
      <c r="S124" s="399">
        <f>INDEX(LIBOR!$M$3:$M$122,MATCH(L124,LIBOR!$N$3:$N$122))</f>
        <v>3.2809699999999997E-2</v>
      </c>
      <c r="T124" s="400">
        <f t="shared" si="23"/>
        <v>8.1809699999999999E-2</v>
      </c>
    </row>
    <row r="125" spans="2:20">
      <c r="B125" s="396">
        <f t="shared" si="24"/>
        <v>49734</v>
      </c>
      <c r="C125" s="357">
        <f t="shared" si="25"/>
        <v>236</v>
      </c>
      <c r="D125" s="397" t="e">
        <f>INDEX('Monthly Cash Flow'!$L$160:$GT$160, MATCH(C125, 'Monthly Cash Flow'!$L$13:$GT$13, 0))</f>
        <v>#N/A</v>
      </c>
      <c r="E125" s="397">
        <f t="shared" ca="1" si="14"/>
        <v>0</v>
      </c>
      <c r="F125" s="397" t="e">
        <f t="shared" si="18"/>
        <v>#N/A</v>
      </c>
      <c r="G125" s="397" t="e">
        <f t="shared" ca="1" si="15"/>
        <v>#N/A</v>
      </c>
      <c r="H125" s="398" t="e">
        <f t="shared" ca="1" si="19"/>
        <v>#N/A</v>
      </c>
      <c r="I125" s="399">
        <f>MAX($J$5, INDEX(LIBOR!$M$3:$M$122,MATCH(B125,LIBOR!$N$3:$N$122)))</f>
        <v>5.1999999999999998E-2</v>
      </c>
      <c r="J125" s="400">
        <f t="shared" si="20"/>
        <v>0.10100000000000001</v>
      </c>
      <c r="L125" s="392">
        <f t="shared" si="26"/>
        <v>47938</v>
      </c>
      <c r="M125" s="357">
        <f t="shared" si="27"/>
        <v>177</v>
      </c>
      <c r="N125" s="397">
        <v>6361.1573853085611</v>
      </c>
      <c r="O125" s="397">
        <f t="shared" si="16"/>
        <v>0</v>
      </c>
      <c r="P125" s="397">
        <f t="shared" si="21"/>
        <v>43.367031445406475</v>
      </c>
      <c r="Q125" s="397">
        <f t="shared" si="17"/>
        <v>-43.367031445406475</v>
      </c>
      <c r="R125" s="398">
        <f t="shared" si="22"/>
        <v>6404.5244167539677</v>
      </c>
      <c r="S125" s="399">
        <f>INDEX(LIBOR!$M$3:$M$122,MATCH(L125,LIBOR!$N$3:$N$122))</f>
        <v>3.2809699999999997E-2</v>
      </c>
      <c r="T125" s="400">
        <f t="shared" si="23"/>
        <v>8.1809699999999999E-2</v>
      </c>
    </row>
    <row r="126" spans="2:20">
      <c r="B126" s="396">
        <f t="shared" si="24"/>
        <v>49765</v>
      </c>
      <c r="C126" s="357">
        <f t="shared" si="25"/>
        <v>237</v>
      </c>
      <c r="D126" s="397" t="e">
        <f>INDEX('Monthly Cash Flow'!$L$160:$GT$160, MATCH(C126, 'Monthly Cash Flow'!$L$13:$GT$13, 0))</f>
        <v>#N/A</v>
      </c>
      <c r="E126" s="397">
        <f t="shared" ca="1" si="14"/>
        <v>0</v>
      </c>
      <c r="F126" s="397" t="e">
        <f t="shared" si="18"/>
        <v>#N/A</v>
      </c>
      <c r="G126" s="397" t="e">
        <f t="shared" ca="1" si="15"/>
        <v>#N/A</v>
      </c>
      <c r="H126" s="398" t="e">
        <f t="shared" ca="1" si="19"/>
        <v>#N/A</v>
      </c>
      <c r="I126" s="399">
        <f>MAX($J$5, INDEX(LIBOR!$M$3:$M$122,MATCH(B126,LIBOR!$N$3:$N$122)))</f>
        <v>5.1999999999999998E-2</v>
      </c>
      <c r="J126" s="400">
        <f t="shared" si="20"/>
        <v>0.10100000000000001</v>
      </c>
      <c r="L126" s="392">
        <f t="shared" si="26"/>
        <v>47968</v>
      </c>
      <c r="M126" s="357">
        <f t="shared" si="27"/>
        <v>178</v>
      </c>
      <c r="N126" s="397">
        <v>6346.745095383294</v>
      </c>
      <c r="O126" s="397">
        <f t="shared" si="16"/>
        <v>0</v>
      </c>
      <c r="P126" s="397">
        <f t="shared" si="21"/>
        <v>43.26877601914822</v>
      </c>
      <c r="Q126" s="397">
        <f t="shared" si="17"/>
        <v>-43.26877601914822</v>
      </c>
      <c r="R126" s="398">
        <f t="shared" si="22"/>
        <v>6390.0138714024424</v>
      </c>
      <c r="S126" s="399">
        <f>INDEX(LIBOR!$M$3:$M$122,MATCH(L126,LIBOR!$N$3:$N$122))</f>
        <v>3.2809699999999997E-2</v>
      </c>
      <c r="T126" s="400">
        <f t="shared" si="23"/>
        <v>8.1809699999999999E-2</v>
      </c>
    </row>
    <row r="127" spans="2:20">
      <c r="B127" s="396">
        <f t="shared" si="24"/>
        <v>49795</v>
      </c>
      <c r="C127" s="357">
        <f t="shared" si="25"/>
        <v>238</v>
      </c>
      <c r="D127" s="397" t="e">
        <f>INDEX('Monthly Cash Flow'!$L$160:$GT$160, MATCH(C127, 'Monthly Cash Flow'!$L$13:$GT$13, 0))</f>
        <v>#N/A</v>
      </c>
      <c r="E127" s="397">
        <f t="shared" ca="1" si="14"/>
        <v>0</v>
      </c>
      <c r="F127" s="397" t="e">
        <f t="shared" si="18"/>
        <v>#N/A</v>
      </c>
      <c r="G127" s="397" t="e">
        <f t="shared" ca="1" si="15"/>
        <v>#N/A</v>
      </c>
      <c r="H127" s="398" t="e">
        <f t="shared" ca="1" si="19"/>
        <v>#N/A</v>
      </c>
      <c r="I127" s="399">
        <f>MAX($J$5, INDEX(LIBOR!$M$3:$M$122,MATCH(B127,LIBOR!$N$3:$N$122)))</f>
        <v>5.1999999999999998E-2</v>
      </c>
      <c r="J127" s="400">
        <f t="shared" si="20"/>
        <v>0.10100000000000001</v>
      </c>
      <c r="L127" s="392">
        <f t="shared" si="26"/>
        <v>47999</v>
      </c>
      <c r="M127" s="357">
        <f t="shared" si="27"/>
        <v>179</v>
      </c>
      <c r="N127" s="397">
        <v>6332.2671607201828</v>
      </c>
      <c r="O127" s="397">
        <f t="shared" si="16"/>
        <v>0</v>
      </c>
      <c r="P127" s="397">
        <f t="shared" si="21"/>
        <v>43.170073061530822</v>
      </c>
      <c r="Q127" s="397">
        <f t="shared" si="17"/>
        <v>-43.170073061530822</v>
      </c>
      <c r="R127" s="398">
        <f t="shared" si="22"/>
        <v>6375.437233781714</v>
      </c>
      <c r="S127" s="399">
        <f>INDEX(LIBOR!$M$3:$M$122,MATCH(L127,LIBOR!$N$3:$N$122))</f>
        <v>3.2809699999999997E-2</v>
      </c>
      <c r="T127" s="400">
        <f t="shared" si="23"/>
        <v>8.1809699999999999E-2</v>
      </c>
    </row>
    <row r="128" spans="2:20">
      <c r="B128" s="396">
        <f t="shared" si="24"/>
        <v>49826</v>
      </c>
      <c r="C128" s="357">
        <f t="shared" si="25"/>
        <v>239</v>
      </c>
      <c r="D128" s="397" t="e">
        <f>INDEX('Monthly Cash Flow'!$L$160:$GT$160, MATCH(C128, 'Monthly Cash Flow'!$L$13:$GT$13, 0))</f>
        <v>#N/A</v>
      </c>
      <c r="E128" s="397">
        <f t="shared" ca="1" si="14"/>
        <v>0</v>
      </c>
      <c r="F128" s="397" t="e">
        <f t="shared" si="18"/>
        <v>#N/A</v>
      </c>
      <c r="G128" s="397" t="e">
        <f t="shared" ca="1" si="15"/>
        <v>#N/A</v>
      </c>
      <c r="H128" s="398" t="e">
        <f t="shared" ca="1" si="19"/>
        <v>#N/A</v>
      </c>
      <c r="I128" s="399">
        <f>MAX($J$5, INDEX(LIBOR!$M$3:$M$122,MATCH(B128,LIBOR!$N$3:$N$122)))</f>
        <v>5.1999999999999998E-2</v>
      </c>
      <c r="J128" s="400">
        <f t="shared" si="20"/>
        <v>0.10100000000000001</v>
      </c>
      <c r="L128" s="392">
        <f t="shared" si="26"/>
        <v>48029</v>
      </c>
      <c r="M128" s="357">
        <f t="shared" si="27"/>
        <v>180</v>
      </c>
      <c r="N128" s="397">
        <v>6317.7232823222166</v>
      </c>
      <c r="O128" s="397">
        <f t="shared" si="16"/>
        <v>0</v>
      </c>
      <c r="P128" s="397">
        <f t="shared" si="21"/>
        <v>43.07092053414965</v>
      </c>
      <c r="Q128" s="397">
        <f t="shared" si="17"/>
        <v>-43.07092053414965</v>
      </c>
      <c r="R128" s="398">
        <f t="shared" si="22"/>
        <v>6360.7942028563666</v>
      </c>
      <c r="S128" s="399">
        <f>INDEX(LIBOR!$M$3:$M$122,MATCH(L128,LIBOR!$N$3:$N$122))</f>
        <v>3.2809699999999997E-2</v>
      </c>
      <c r="T128" s="400">
        <f t="shared" si="23"/>
        <v>8.1809699999999999E-2</v>
      </c>
    </row>
    <row r="129" spans="2:20">
      <c r="B129" s="396">
        <f t="shared" si="24"/>
        <v>49856</v>
      </c>
      <c r="C129" s="357">
        <f t="shared" si="25"/>
        <v>240</v>
      </c>
      <c r="D129" s="397" t="e">
        <f>INDEX('Monthly Cash Flow'!$L$160:$GT$160, MATCH(C129, 'Monthly Cash Flow'!$L$13:$GT$13, 0))</f>
        <v>#N/A</v>
      </c>
      <c r="E129" s="397">
        <f t="shared" ca="1" si="14"/>
        <v>0</v>
      </c>
      <c r="F129" s="397" t="e">
        <f t="shared" si="18"/>
        <v>#N/A</v>
      </c>
      <c r="G129" s="397" t="e">
        <f t="shared" ca="1" si="15"/>
        <v>#N/A</v>
      </c>
      <c r="H129" s="398" t="e">
        <f t="shared" ca="1" si="19"/>
        <v>#N/A</v>
      </c>
      <c r="I129" s="399">
        <f>MAX($J$5, INDEX(LIBOR!$M$3:$M$122,MATCH(B129,LIBOR!$N$3:$N$122)))</f>
        <v>5.1999999999999998E-2</v>
      </c>
      <c r="J129" s="400">
        <f t="shared" si="20"/>
        <v>0.10100000000000001</v>
      </c>
      <c r="L129" s="392">
        <f t="shared" si="26"/>
        <v>48060</v>
      </c>
      <c r="M129" s="357">
        <f t="shared" si="27"/>
        <v>181</v>
      </c>
      <c r="N129" s="397">
        <v>6303.1131598305201</v>
      </c>
      <c r="O129" s="397">
        <f t="shared" si="16"/>
        <v>0</v>
      </c>
      <c r="P129" s="397">
        <f t="shared" si="21"/>
        <v>42.971316389315575</v>
      </c>
      <c r="Q129" s="397">
        <f t="shared" si="17"/>
        <v>-42.971316389315575</v>
      </c>
      <c r="R129" s="398">
        <f t="shared" si="22"/>
        <v>6346.0844762198358</v>
      </c>
      <c r="S129" s="399">
        <f>INDEX(LIBOR!$M$3:$M$122,MATCH(L129,LIBOR!$N$3:$N$122))</f>
        <v>3.2809699999999997E-2</v>
      </c>
      <c r="T129" s="400">
        <f t="shared" si="23"/>
        <v>8.1809699999999999E-2</v>
      </c>
    </row>
    <row r="130" spans="2:20">
      <c r="B130" s="396">
        <f t="shared" si="24"/>
        <v>49887</v>
      </c>
      <c r="C130" s="357">
        <f t="shared" si="25"/>
        <v>241</v>
      </c>
      <c r="D130" s="397" t="e">
        <f>INDEX('Monthly Cash Flow'!$L$160:$GT$160, MATCH(C130, 'Monthly Cash Flow'!$L$13:$GT$13, 0))</f>
        <v>#N/A</v>
      </c>
      <c r="E130" s="397">
        <f t="shared" ca="1" si="14"/>
        <v>0</v>
      </c>
      <c r="F130" s="397" t="e">
        <f t="shared" si="18"/>
        <v>#N/A</v>
      </c>
      <c r="G130" s="397" t="e">
        <f t="shared" ca="1" si="15"/>
        <v>#N/A</v>
      </c>
      <c r="H130" s="398" t="e">
        <f t="shared" ca="1" si="19"/>
        <v>#N/A</v>
      </c>
      <c r="I130" s="399">
        <f>MAX($J$5, INDEX(LIBOR!$M$3:$M$122,MATCH(B130,LIBOR!$N$3:$N$122)))</f>
        <v>5.1999999999999998E-2</v>
      </c>
      <c r="J130" s="400">
        <f t="shared" si="20"/>
        <v>0.10100000000000001</v>
      </c>
      <c r="L130" s="392">
        <f t="shared" si="26"/>
        <v>48091</v>
      </c>
      <c r="M130" s="357">
        <f t="shared" si="27"/>
        <v>182</v>
      </c>
      <c r="N130" s="397">
        <v>6288.4364915181513</v>
      </c>
      <c r="O130" s="397">
        <f t="shared" si="16"/>
        <v>0</v>
      </c>
      <c r="P130" s="397">
        <f t="shared" si="21"/>
        <v>42.871258570012706</v>
      </c>
      <c r="Q130" s="397">
        <f t="shared" si="17"/>
        <v>-42.871258570012706</v>
      </c>
      <c r="R130" s="398">
        <f t="shared" si="22"/>
        <v>6331.3077500881636</v>
      </c>
      <c r="S130" s="399">
        <f>INDEX(LIBOR!$M$3:$M$122,MATCH(L130,LIBOR!$N$3:$N$122))</f>
        <v>3.2809699999999997E-2</v>
      </c>
      <c r="T130" s="400">
        <f t="shared" si="23"/>
        <v>8.1809699999999999E-2</v>
      </c>
    </row>
    <row r="131" spans="2:20">
      <c r="B131" s="396">
        <f t="shared" si="24"/>
        <v>49918</v>
      </c>
      <c r="C131" s="357">
        <f t="shared" si="25"/>
        <v>242</v>
      </c>
      <c r="D131" s="397" t="e">
        <f>INDEX('Monthly Cash Flow'!$L$160:$GT$160, MATCH(C131, 'Monthly Cash Flow'!$L$13:$GT$13, 0))</f>
        <v>#N/A</v>
      </c>
      <c r="E131" s="397">
        <f t="shared" ca="1" si="14"/>
        <v>0</v>
      </c>
      <c r="F131" s="397" t="e">
        <f t="shared" si="18"/>
        <v>#N/A</v>
      </c>
      <c r="G131" s="397" t="e">
        <f t="shared" ca="1" si="15"/>
        <v>#N/A</v>
      </c>
      <c r="H131" s="398" t="e">
        <f t="shared" ca="1" si="19"/>
        <v>#N/A</v>
      </c>
      <c r="I131" s="399">
        <f>MAX($J$5, INDEX(LIBOR!$M$3:$M$122,MATCH(B131,LIBOR!$N$3:$N$122)))</f>
        <v>5.1999999999999998E-2</v>
      </c>
      <c r="J131" s="400">
        <f t="shared" si="20"/>
        <v>0.10100000000000001</v>
      </c>
      <c r="L131" s="392">
        <f t="shared" si="26"/>
        <v>48121</v>
      </c>
      <c r="M131" s="357">
        <f t="shared" si="27"/>
        <v>183</v>
      </c>
      <c r="N131" s="397">
        <v>6273.6929742838702</v>
      </c>
      <c r="O131" s="397">
        <f t="shared" si="16"/>
        <v>0</v>
      </c>
      <c r="P131" s="397">
        <f t="shared" si="21"/>
        <v>42.770745009855922</v>
      </c>
      <c r="Q131" s="397">
        <f t="shared" si="17"/>
        <v>-42.770745009855922</v>
      </c>
      <c r="R131" s="398">
        <f t="shared" si="22"/>
        <v>6316.4637192937262</v>
      </c>
      <c r="S131" s="399">
        <f>INDEX(LIBOR!$M$3:$M$122,MATCH(L131,LIBOR!$N$3:$N$122))</f>
        <v>3.2809699999999997E-2</v>
      </c>
      <c r="T131" s="400">
        <f t="shared" si="23"/>
        <v>8.1809699999999999E-2</v>
      </c>
    </row>
    <row r="132" spans="2:20">
      <c r="B132" s="396">
        <f t="shared" si="24"/>
        <v>49948</v>
      </c>
      <c r="C132" s="357">
        <f t="shared" si="25"/>
        <v>243</v>
      </c>
      <c r="D132" s="397" t="e">
        <f>INDEX('Monthly Cash Flow'!$L$160:$GT$160, MATCH(C132, 'Monthly Cash Flow'!$L$13:$GT$13, 0))</f>
        <v>#N/A</v>
      </c>
      <c r="E132" s="397">
        <f t="shared" ca="1" si="14"/>
        <v>0</v>
      </c>
      <c r="F132" s="397" t="e">
        <f t="shared" si="18"/>
        <v>#N/A</v>
      </c>
      <c r="G132" s="397" t="e">
        <f t="shared" ca="1" si="15"/>
        <v>#N/A</v>
      </c>
      <c r="H132" s="398" t="e">
        <f t="shared" ca="1" si="19"/>
        <v>#N/A</v>
      </c>
      <c r="I132" s="399">
        <f>MAX($J$5, INDEX(LIBOR!$M$3:$M$122,MATCH(B132,LIBOR!$N$3:$N$122)))</f>
        <v>5.1999999999999998E-2</v>
      </c>
      <c r="J132" s="400">
        <f t="shared" si="20"/>
        <v>0.10100000000000001</v>
      </c>
      <c r="L132" s="392">
        <f t="shared" si="26"/>
        <v>48152</v>
      </c>
      <c r="M132" s="357">
        <f t="shared" si="27"/>
        <v>184</v>
      </c>
      <c r="N132" s="397">
        <v>6258.882303645878</v>
      </c>
      <c r="O132" s="397">
        <f t="shared" si="16"/>
        <v>0</v>
      </c>
      <c r="P132" s="397">
        <f t="shared" si="21"/>
        <v>42.66977363304818</v>
      </c>
      <c r="Q132" s="397">
        <f t="shared" si="17"/>
        <v>-42.66977363304818</v>
      </c>
      <c r="R132" s="398">
        <f t="shared" si="22"/>
        <v>6301.5520772789259</v>
      </c>
      <c r="S132" s="399">
        <f>INDEX(LIBOR!$M$3:$M$122,MATCH(L132,LIBOR!$N$3:$N$122))</f>
        <v>3.2809699999999997E-2</v>
      </c>
      <c r="T132" s="400">
        <f t="shared" si="23"/>
        <v>8.1809699999999999E-2</v>
      </c>
    </row>
    <row r="133" spans="2:20">
      <c r="B133" s="396">
        <f t="shared" si="24"/>
        <v>49979</v>
      </c>
      <c r="C133" s="357">
        <f t="shared" si="25"/>
        <v>244</v>
      </c>
      <c r="D133" s="397" t="e">
        <f>INDEX('Monthly Cash Flow'!$L$160:$GT$160, MATCH(C133, 'Monthly Cash Flow'!$L$13:$GT$13, 0))</f>
        <v>#N/A</v>
      </c>
      <c r="E133" s="397">
        <f t="shared" ca="1" si="14"/>
        <v>0</v>
      </c>
      <c r="F133" s="397" t="e">
        <f t="shared" si="18"/>
        <v>#N/A</v>
      </c>
      <c r="G133" s="397" t="e">
        <f t="shared" ca="1" si="15"/>
        <v>#N/A</v>
      </c>
      <c r="H133" s="398" t="e">
        <f t="shared" ca="1" si="19"/>
        <v>#N/A</v>
      </c>
      <c r="I133" s="399">
        <f>MAX($J$5, INDEX(LIBOR!$M$3:$M$122,MATCH(B133,LIBOR!$N$3:$N$122)))</f>
        <v>5.1999999999999998E-2</v>
      </c>
      <c r="J133" s="400">
        <f t="shared" si="20"/>
        <v>0.10100000000000001</v>
      </c>
      <c r="L133" s="392">
        <f t="shared" si="26"/>
        <v>48182</v>
      </c>
      <c r="M133" s="357">
        <f t="shared" si="27"/>
        <v>185</v>
      </c>
      <c r="N133" s="397">
        <v>6244.0041737355305</v>
      </c>
      <c r="O133" s="397">
        <f t="shared" si="16"/>
        <v>0</v>
      </c>
      <c r="P133" s="397">
        <f t="shared" si="21"/>
        <v>42.568342354337638</v>
      </c>
      <c r="Q133" s="397">
        <f t="shared" si="17"/>
        <v>-42.568342354337638</v>
      </c>
      <c r="R133" s="398">
        <f t="shared" si="22"/>
        <v>6286.5725160898683</v>
      </c>
      <c r="S133" s="399">
        <f>INDEX(LIBOR!$M$3:$M$122,MATCH(L133,LIBOR!$N$3:$N$122))</f>
        <v>3.2809699999999997E-2</v>
      </c>
      <c r="T133" s="400">
        <f t="shared" si="23"/>
        <v>8.1809699999999999E-2</v>
      </c>
    </row>
    <row r="134" spans="2:20">
      <c r="B134" s="396">
        <f t="shared" si="24"/>
        <v>50009</v>
      </c>
      <c r="C134" s="357">
        <f t="shared" si="25"/>
        <v>245</v>
      </c>
      <c r="D134" s="397" t="e">
        <f>INDEX('Monthly Cash Flow'!$L$160:$GT$160, MATCH(C134, 'Monthly Cash Flow'!$L$13:$GT$13, 0))</f>
        <v>#N/A</v>
      </c>
      <c r="E134" s="397">
        <f t="shared" ca="1" si="14"/>
        <v>0</v>
      </c>
      <c r="F134" s="397" t="e">
        <f t="shared" si="18"/>
        <v>#N/A</v>
      </c>
      <c r="G134" s="397" t="e">
        <f t="shared" ca="1" si="15"/>
        <v>#N/A</v>
      </c>
      <c r="H134" s="398" t="e">
        <f t="shared" ca="1" si="19"/>
        <v>#N/A</v>
      </c>
      <c r="I134" s="399">
        <f>MAX($J$5, INDEX(LIBOR!$M$3:$M$122,MATCH(B134,LIBOR!$N$3:$N$122)))</f>
        <v>5.1999999999999998E-2</v>
      </c>
      <c r="J134" s="400">
        <f t="shared" si="20"/>
        <v>0.10100000000000001</v>
      </c>
      <c r="L134" s="392">
        <f t="shared" si="26"/>
        <v>48213</v>
      </c>
      <c r="M134" s="357">
        <f t="shared" si="27"/>
        <v>186</v>
      </c>
      <c r="N134" s="397">
        <v>6229.0582772910211</v>
      </c>
      <c r="O134" s="397">
        <f t="shared" si="16"/>
        <v>0</v>
      </c>
      <c r="P134" s="397">
        <f t="shared" si="21"/>
        <v>42.466449078974605</v>
      </c>
      <c r="Q134" s="397">
        <f t="shared" si="17"/>
        <v>-42.466449078974605</v>
      </c>
      <c r="R134" s="398">
        <f t="shared" si="22"/>
        <v>6271.5247263699957</v>
      </c>
      <c r="S134" s="399">
        <f>INDEX(LIBOR!$M$3:$M$122,MATCH(L134,LIBOR!$N$3:$N$122))</f>
        <v>3.2809699999999997E-2</v>
      </c>
      <c r="T134" s="400">
        <f t="shared" si="23"/>
        <v>8.1809699999999999E-2</v>
      </c>
    </row>
    <row r="135" spans="2:20">
      <c r="B135" s="396">
        <f t="shared" si="24"/>
        <v>50040</v>
      </c>
      <c r="C135" s="357">
        <f t="shared" si="25"/>
        <v>246</v>
      </c>
      <c r="D135" s="397" t="e">
        <f>INDEX('Monthly Cash Flow'!$L$160:$GT$160, MATCH(C135, 'Monthly Cash Flow'!$L$13:$GT$13, 0))</f>
        <v>#N/A</v>
      </c>
      <c r="E135" s="397">
        <f t="shared" ca="1" si="14"/>
        <v>0</v>
      </c>
      <c r="F135" s="397" t="e">
        <f t="shared" si="18"/>
        <v>#N/A</v>
      </c>
      <c r="G135" s="397" t="e">
        <f t="shared" ca="1" si="15"/>
        <v>#N/A</v>
      </c>
      <c r="H135" s="398" t="e">
        <f t="shared" ca="1" si="19"/>
        <v>#N/A</v>
      </c>
      <c r="I135" s="399">
        <f>MAX($J$5, INDEX(LIBOR!$M$3:$M$122,MATCH(B135,LIBOR!$N$3:$N$122)))</f>
        <v>5.1999999999999998E-2</v>
      </c>
      <c r="J135" s="400">
        <f t="shared" si="20"/>
        <v>0.10100000000000001</v>
      </c>
      <c r="L135" s="392">
        <f t="shared" si="26"/>
        <v>48244</v>
      </c>
      <c r="M135" s="357">
        <f t="shared" si="27"/>
        <v>187</v>
      </c>
      <c r="N135" s="397">
        <v>6214.0443056510339</v>
      </c>
      <c r="O135" s="397">
        <f t="shared" si="16"/>
        <v>0</v>
      </c>
      <c r="P135" s="397">
        <f t="shared" si="21"/>
        <v>42.364091702668283</v>
      </c>
      <c r="Q135" s="397">
        <f t="shared" si="17"/>
        <v>-42.364091702668283</v>
      </c>
      <c r="R135" s="398">
        <f t="shared" si="22"/>
        <v>6256.4083973537026</v>
      </c>
      <c r="S135" s="399">
        <f>INDEX(LIBOR!$M$3:$M$122,MATCH(L135,LIBOR!$N$3:$N$122))</f>
        <v>3.2809699999999997E-2</v>
      </c>
      <c r="T135" s="400">
        <f t="shared" si="23"/>
        <v>8.1809699999999999E-2</v>
      </c>
    </row>
    <row r="136" spans="2:20">
      <c r="B136" s="396">
        <f t="shared" si="24"/>
        <v>50071</v>
      </c>
      <c r="C136" s="357">
        <f t="shared" si="25"/>
        <v>247</v>
      </c>
      <c r="D136" s="397" t="e">
        <f>INDEX('Monthly Cash Flow'!$L$160:$GT$160, MATCH(C136, 'Monthly Cash Flow'!$L$13:$GT$13, 0))</f>
        <v>#N/A</v>
      </c>
      <c r="E136" s="397">
        <f t="shared" ca="1" si="14"/>
        <v>0</v>
      </c>
      <c r="F136" s="397" t="e">
        <f t="shared" si="18"/>
        <v>#N/A</v>
      </c>
      <c r="G136" s="397" t="e">
        <f t="shared" ca="1" si="15"/>
        <v>#N/A</v>
      </c>
      <c r="H136" s="398" t="e">
        <f t="shared" ca="1" si="19"/>
        <v>#N/A</v>
      </c>
      <c r="I136" s="399">
        <f>MAX($J$5, INDEX(LIBOR!$M$3:$M$122,MATCH(B136,LIBOR!$N$3:$N$122)))</f>
        <v>5.1999999999999998E-2</v>
      </c>
      <c r="J136" s="400">
        <f t="shared" si="20"/>
        <v>0.10100000000000001</v>
      </c>
      <c r="L136" s="392">
        <f t="shared" si="26"/>
        <v>48273</v>
      </c>
      <c r="M136" s="357">
        <f t="shared" si="27"/>
        <v>188</v>
      </c>
      <c r="N136" s="397">
        <v>6198.9619487483697</v>
      </c>
      <c r="O136" s="397">
        <f t="shared" si="16"/>
        <v>0</v>
      </c>
      <c r="P136" s="397">
        <f t="shared" si="21"/>
        <v>42.261268111543295</v>
      </c>
      <c r="Q136" s="397">
        <f t="shared" si="17"/>
        <v>-42.261268111543295</v>
      </c>
      <c r="R136" s="398">
        <f t="shared" si="22"/>
        <v>6241.223216859913</v>
      </c>
      <c r="S136" s="399">
        <f>INDEX(LIBOR!$M$3:$M$122,MATCH(L136,LIBOR!$N$3:$N$122))</f>
        <v>3.2809699999999997E-2</v>
      </c>
      <c r="T136" s="400">
        <f t="shared" si="23"/>
        <v>8.1809699999999999E-2</v>
      </c>
    </row>
    <row r="137" spans="2:20">
      <c r="B137" s="396">
        <f t="shared" si="24"/>
        <v>50099</v>
      </c>
      <c r="C137" s="357">
        <f t="shared" si="25"/>
        <v>248</v>
      </c>
      <c r="D137" s="397" t="e">
        <f>INDEX('Monthly Cash Flow'!$L$160:$GT$160, MATCH(C137, 'Monthly Cash Flow'!$L$13:$GT$13, 0))</f>
        <v>#N/A</v>
      </c>
      <c r="E137" s="397">
        <f t="shared" ref="E137:E200" ca="1" si="28">-PMT(J137/12,$E$2*12,$D$9,)</f>
        <v>0</v>
      </c>
      <c r="F137" s="397" t="e">
        <f t="shared" si="18"/>
        <v>#N/A</v>
      </c>
      <c r="G137" s="397" t="e">
        <f t="shared" ref="G137:G200" ca="1" si="29">+E137-F137</f>
        <v>#N/A</v>
      </c>
      <c r="H137" s="398" t="e">
        <f t="shared" ca="1" si="19"/>
        <v>#N/A</v>
      </c>
      <c r="I137" s="399">
        <f>MAX($J$5, INDEX(LIBOR!$M$3:$M$122,MATCH(B137,LIBOR!$N$3:$N$122)))</f>
        <v>5.1999999999999998E-2</v>
      </c>
      <c r="J137" s="400">
        <f t="shared" si="20"/>
        <v>0.10100000000000001</v>
      </c>
      <c r="L137" s="392">
        <f t="shared" si="26"/>
        <v>48304</v>
      </c>
      <c r="M137" s="357">
        <f t="shared" si="27"/>
        <v>189</v>
      </c>
      <c r="N137" s="397">
        <v>6183.8108951035438</v>
      </c>
      <c r="O137" s="397">
        <f t="shared" ref="O137:O200" si="30">-PMT(T137/12,$O$2*12,$N$9,)</f>
        <v>0</v>
      </c>
      <c r="P137" s="397">
        <f t="shared" si="21"/>
        <v>42.157976182096029</v>
      </c>
      <c r="Q137" s="397">
        <f t="shared" ref="Q137:Q200" si="31">+O137-P137</f>
        <v>-42.157976182096029</v>
      </c>
      <c r="R137" s="398">
        <f t="shared" si="22"/>
        <v>6225.9688712856396</v>
      </c>
      <c r="S137" s="399">
        <f>INDEX(LIBOR!$M$3:$M$122,MATCH(L137,LIBOR!$N$3:$N$122))</f>
        <v>3.2809699999999997E-2</v>
      </c>
      <c r="T137" s="400">
        <f t="shared" si="23"/>
        <v>8.1809699999999999E-2</v>
      </c>
    </row>
    <row r="138" spans="2:20">
      <c r="B138" s="396">
        <f t="shared" si="24"/>
        <v>50130</v>
      </c>
      <c r="C138" s="357">
        <f t="shared" si="25"/>
        <v>249</v>
      </c>
      <c r="D138" s="397" t="e">
        <f>INDEX('Monthly Cash Flow'!$L$160:$GT$160, MATCH(C138, 'Monthly Cash Flow'!$L$13:$GT$13, 0))</f>
        <v>#N/A</v>
      </c>
      <c r="E138" s="397">
        <f t="shared" ca="1" si="28"/>
        <v>0</v>
      </c>
      <c r="F138" s="397" t="e">
        <f t="shared" ref="F138:F201" si="32">D138*J138/12</f>
        <v>#N/A</v>
      </c>
      <c r="G138" s="397" t="e">
        <f t="shared" ca="1" si="29"/>
        <v>#N/A</v>
      </c>
      <c r="H138" s="398" t="e">
        <f t="shared" ref="H138:H201" ca="1" si="33">+D138-G138</f>
        <v>#N/A</v>
      </c>
      <c r="I138" s="399">
        <f>MAX($J$5, INDEX(LIBOR!$M$3:$M$122,MATCH(B138,LIBOR!$N$3:$N$122)))</f>
        <v>5.1999999999999998E-2</v>
      </c>
      <c r="J138" s="400">
        <f t="shared" ref="J138:J201" si="34">IF($I$2=1,I138+$J$4/10000,$J$3)</f>
        <v>0.10100000000000001</v>
      </c>
      <c r="L138" s="392">
        <f t="shared" si="26"/>
        <v>48334</v>
      </c>
      <c r="M138" s="357">
        <f t="shared" si="27"/>
        <v>190</v>
      </c>
      <c r="N138" s="397">
        <v>6168.5908318183529</v>
      </c>
      <c r="O138" s="397">
        <f t="shared" si="30"/>
        <v>0</v>
      </c>
      <c r="P138" s="397">
        <f t="shared" ref="P138:P201" si="35">N138*T138/12</f>
        <v>42.054213781150828</v>
      </c>
      <c r="Q138" s="397">
        <f t="shared" si="31"/>
        <v>-42.054213781150828</v>
      </c>
      <c r="R138" s="398">
        <f t="shared" ref="R138:R201" si="36">+N138-Q138</f>
        <v>6210.6450455995036</v>
      </c>
      <c r="S138" s="399">
        <f>INDEX(LIBOR!$M$3:$M$122,MATCH(L138,LIBOR!$N$3:$N$122))</f>
        <v>3.2809699999999997E-2</v>
      </c>
      <c r="T138" s="400">
        <f t="shared" ref="T138:T201" si="37">IF($S$2=1,S138+$T$4/10000,$T$3)</f>
        <v>8.1809699999999999E-2</v>
      </c>
    </row>
    <row r="139" spans="2:20">
      <c r="B139" s="396">
        <f t="shared" ref="B139:B202" si="38">EOMONTH(B138,1)</f>
        <v>50160</v>
      </c>
      <c r="C139" s="357">
        <f t="shared" ref="C139:C202" si="39">+C138+1</f>
        <v>250</v>
      </c>
      <c r="D139" s="397" t="e">
        <f>INDEX('Monthly Cash Flow'!$L$160:$GT$160, MATCH(C139, 'Monthly Cash Flow'!$L$13:$GT$13, 0))</f>
        <v>#N/A</v>
      </c>
      <c r="E139" s="397">
        <f t="shared" ca="1" si="28"/>
        <v>0</v>
      </c>
      <c r="F139" s="397" t="e">
        <f t="shared" si="32"/>
        <v>#N/A</v>
      </c>
      <c r="G139" s="397" t="e">
        <f t="shared" ca="1" si="29"/>
        <v>#N/A</v>
      </c>
      <c r="H139" s="398" t="e">
        <f t="shared" ca="1" si="33"/>
        <v>#N/A</v>
      </c>
      <c r="I139" s="399">
        <f>MAX($J$5, INDEX(LIBOR!$M$3:$M$122,MATCH(B139,LIBOR!$N$3:$N$122)))</f>
        <v>5.1999999999999998E-2</v>
      </c>
      <c r="J139" s="400">
        <f t="shared" si="34"/>
        <v>0.10100000000000001</v>
      </c>
      <c r="L139" s="392">
        <f t="shared" ref="L139:L202" si="40">EOMONTH(L138,1)</f>
        <v>48365</v>
      </c>
      <c r="M139" s="357">
        <f t="shared" ref="M139:M202" si="41">+M138+1</f>
        <v>191</v>
      </c>
      <c r="N139" s="397">
        <v>6153.3014445694125</v>
      </c>
      <c r="O139" s="397">
        <f t="shared" si="30"/>
        <v>0</v>
      </c>
      <c r="P139" s="397">
        <f t="shared" si="35"/>
        <v>41.949978765815857</v>
      </c>
      <c r="Q139" s="397">
        <f t="shared" si="31"/>
        <v>-41.949978765815857</v>
      </c>
      <c r="R139" s="398">
        <f t="shared" si="36"/>
        <v>6195.2514233352285</v>
      </c>
      <c r="S139" s="399">
        <f>INDEX(LIBOR!$M$3:$M$122,MATCH(L139,LIBOR!$N$3:$N$122))</f>
        <v>3.2809699999999997E-2</v>
      </c>
      <c r="T139" s="400">
        <f t="shared" si="37"/>
        <v>8.1809699999999999E-2</v>
      </c>
    </row>
    <row r="140" spans="2:20">
      <c r="B140" s="396">
        <f t="shared" si="38"/>
        <v>50191</v>
      </c>
      <c r="C140" s="357">
        <f t="shared" si="39"/>
        <v>251</v>
      </c>
      <c r="D140" s="397" t="e">
        <f>INDEX('Monthly Cash Flow'!$L$160:$GT$160, MATCH(C140, 'Monthly Cash Flow'!$L$13:$GT$13, 0))</f>
        <v>#N/A</v>
      </c>
      <c r="E140" s="397">
        <f t="shared" ca="1" si="28"/>
        <v>0</v>
      </c>
      <c r="F140" s="397" t="e">
        <f t="shared" si="32"/>
        <v>#N/A</v>
      </c>
      <c r="G140" s="397" t="e">
        <f t="shared" ca="1" si="29"/>
        <v>#N/A</v>
      </c>
      <c r="H140" s="398" t="e">
        <f t="shared" ca="1" si="33"/>
        <v>#N/A</v>
      </c>
      <c r="I140" s="399">
        <f>MAX($J$5, INDEX(LIBOR!$M$3:$M$122,MATCH(B140,LIBOR!$N$3:$N$122)))</f>
        <v>5.1999999999999998E-2</v>
      </c>
      <c r="J140" s="400">
        <f t="shared" si="34"/>
        <v>0.10100000000000001</v>
      </c>
      <c r="L140" s="392">
        <f t="shared" si="40"/>
        <v>48395</v>
      </c>
      <c r="M140" s="357">
        <f t="shared" si="41"/>
        <v>192</v>
      </c>
      <c r="N140" s="397">
        <v>6137.9424176016655</v>
      </c>
      <c r="O140" s="397">
        <f t="shared" si="30"/>
        <v>0</v>
      </c>
      <c r="P140" s="397">
        <f t="shared" si="35"/>
        <v>41.845268983438913</v>
      </c>
      <c r="Q140" s="397">
        <f t="shared" si="31"/>
        <v>-41.845268983438913</v>
      </c>
      <c r="R140" s="398">
        <f t="shared" si="36"/>
        <v>6179.787686585104</v>
      </c>
      <c r="S140" s="399">
        <f>INDEX(LIBOR!$M$3:$M$122,MATCH(L140,LIBOR!$N$3:$N$122))</f>
        <v>3.2809699999999997E-2</v>
      </c>
      <c r="T140" s="400">
        <f t="shared" si="37"/>
        <v>8.1809699999999999E-2</v>
      </c>
    </row>
    <row r="141" spans="2:20">
      <c r="B141" s="396">
        <f t="shared" si="38"/>
        <v>50221</v>
      </c>
      <c r="C141" s="357">
        <f t="shared" si="39"/>
        <v>252</v>
      </c>
      <c r="D141" s="397" t="e">
        <f>INDEX('Monthly Cash Flow'!$L$160:$GT$160, MATCH(C141, 'Monthly Cash Flow'!$L$13:$GT$13, 0))</f>
        <v>#N/A</v>
      </c>
      <c r="E141" s="397">
        <f t="shared" ca="1" si="28"/>
        <v>0</v>
      </c>
      <c r="F141" s="397" t="e">
        <f t="shared" si="32"/>
        <v>#N/A</v>
      </c>
      <c r="G141" s="397" t="e">
        <f t="shared" ca="1" si="29"/>
        <v>#N/A</v>
      </c>
      <c r="H141" s="398" t="e">
        <f t="shared" ca="1" si="33"/>
        <v>#N/A</v>
      </c>
      <c r="I141" s="399">
        <f>MAX($J$5, INDEX(LIBOR!$M$3:$M$122,MATCH(B141,LIBOR!$N$3:$N$122)))</f>
        <v>5.1999999999999998E-2</v>
      </c>
      <c r="J141" s="400">
        <f t="shared" si="34"/>
        <v>0.10100000000000001</v>
      </c>
      <c r="L141" s="392">
        <f t="shared" si="40"/>
        <v>48426</v>
      </c>
      <c r="M141" s="357">
        <f t="shared" si="41"/>
        <v>193</v>
      </c>
      <c r="N141" s="397">
        <v>6122.5134337218615</v>
      </c>
      <c r="O141" s="397">
        <f t="shared" si="30"/>
        <v>0</v>
      </c>
      <c r="P141" s="397">
        <f t="shared" si="35"/>
        <v>41.740082271562947</v>
      </c>
      <c r="Q141" s="397">
        <f t="shared" si="31"/>
        <v>-41.740082271562947</v>
      </c>
      <c r="R141" s="398">
        <f t="shared" si="36"/>
        <v>6164.2535159934241</v>
      </c>
      <c r="S141" s="399">
        <f>INDEX(LIBOR!$M$3:$M$122,MATCH(L141,LIBOR!$N$3:$N$122))</f>
        <v>3.2809699999999997E-2</v>
      </c>
      <c r="T141" s="400">
        <f t="shared" si="37"/>
        <v>8.1809699999999999E-2</v>
      </c>
    </row>
    <row r="142" spans="2:20">
      <c r="B142" s="396">
        <f t="shared" si="38"/>
        <v>50252</v>
      </c>
      <c r="C142" s="357">
        <f t="shared" si="39"/>
        <v>253</v>
      </c>
      <c r="D142" s="397" t="e">
        <f>INDEX('Monthly Cash Flow'!$L$160:$GT$160, MATCH(C142, 'Monthly Cash Flow'!$L$13:$GT$13, 0))</f>
        <v>#N/A</v>
      </c>
      <c r="E142" s="397">
        <f t="shared" ca="1" si="28"/>
        <v>0</v>
      </c>
      <c r="F142" s="397" t="e">
        <f t="shared" si="32"/>
        <v>#N/A</v>
      </c>
      <c r="G142" s="397" t="e">
        <f t="shared" ca="1" si="29"/>
        <v>#N/A</v>
      </c>
      <c r="H142" s="398" t="e">
        <f t="shared" ca="1" si="33"/>
        <v>#N/A</v>
      </c>
      <c r="I142" s="399">
        <f>MAX($J$5, INDEX(LIBOR!$M$3:$M$122,MATCH(B142,LIBOR!$N$3:$N$122)))</f>
        <v>5.1999999999999998E-2</v>
      </c>
      <c r="J142" s="400">
        <f t="shared" si="34"/>
        <v>0.10100000000000001</v>
      </c>
      <c r="L142" s="392">
        <f t="shared" si="40"/>
        <v>48457</v>
      </c>
      <c r="M142" s="357">
        <f t="shared" si="41"/>
        <v>194</v>
      </c>
      <c r="N142" s="397">
        <v>6107.0141742920059</v>
      </c>
      <c r="O142" s="397">
        <f t="shared" si="30"/>
        <v>0</v>
      </c>
      <c r="P142" s="397">
        <f t="shared" si="35"/>
        <v>41.634416457881393</v>
      </c>
      <c r="Q142" s="397">
        <f t="shared" si="31"/>
        <v>-41.634416457881393</v>
      </c>
      <c r="R142" s="398">
        <f t="shared" si="36"/>
        <v>6148.6485907498873</v>
      </c>
      <c r="S142" s="399">
        <f>INDEX(LIBOR!$M$3:$M$122,MATCH(L142,LIBOR!$N$3:$N$122))</f>
        <v>3.2809699999999997E-2</v>
      </c>
      <c r="T142" s="400">
        <f t="shared" si="37"/>
        <v>8.1809699999999999E-2</v>
      </c>
    </row>
    <row r="143" spans="2:20">
      <c r="B143" s="396">
        <f t="shared" si="38"/>
        <v>50283</v>
      </c>
      <c r="C143" s="357">
        <f t="shared" si="39"/>
        <v>254</v>
      </c>
      <c r="D143" s="397" t="e">
        <f>INDEX('Monthly Cash Flow'!$L$160:$GT$160, MATCH(C143, 'Monthly Cash Flow'!$L$13:$GT$13, 0))</f>
        <v>#N/A</v>
      </c>
      <c r="E143" s="397">
        <f t="shared" ca="1" si="28"/>
        <v>0</v>
      </c>
      <c r="F143" s="397" t="e">
        <f t="shared" si="32"/>
        <v>#N/A</v>
      </c>
      <c r="G143" s="397" t="e">
        <f t="shared" ca="1" si="29"/>
        <v>#N/A</v>
      </c>
      <c r="H143" s="398" t="e">
        <f t="shared" ca="1" si="33"/>
        <v>#N/A</v>
      </c>
      <c r="I143" s="399">
        <f>MAX($J$5, INDEX(LIBOR!$M$3:$M$122,MATCH(B143,LIBOR!$N$3:$N$122)))</f>
        <v>5.1999999999999998E-2</v>
      </c>
      <c r="J143" s="400">
        <f t="shared" si="34"/>
        <v>0.10100000000000001</v>
      </c>
      <c r="L143" s="392">
        <f t="shared" si="40"/>
        <v>48487</v>
      </c>
      <c r="M143" s="357">
        <f t="shared" si="41"/>
        <v>195</v>
      </c>
      <c r="N143" s="397">
        <v>6091.4443192227809</v>
      </c>
      <c r="O143" s="397">
        <f t="shared" si="30"/>
        <v>0</v>
      </c>
      <c r="P143" s="397">
        <f t="shared" si="35"/>
        <v>41.528269360193327</v>
      </c>
      <c r="Q143" s="397">
        <f t="shared" si="31"/>
        <v>-41.528269360193327</v>
      </c>
      <c r="R143" s="398">
        <f t="shared" si="36"/>
        <v>6132.9725885829739</v>
      </c>
      <c r="S143" s="399">
        <f>INDEX(LIBOR!$M$3:$M$122,MATCH(L143,LIBOR!$N$3:$N$122))</f>
        <v>3.2809699999999997E-2</v>
      </c>
      <c r="T143" s="400">
        <f t="shared" si="37"/>
        <v>8.1809699999999999E-2</v>
      </c>
    </row>
    <row r="144" spans="2:20">
      <c r="B144" s="396">
        <f t="shared" si="38"/>
        <v>50313</v>
      </c>
      <c r="C144" s="357">
        <f t="shared" si="39"/>
        <v>255</v>
      </c>
      <c r="D144" s="397" t="e">
        <f>INDEX('Monthly Cash Flow'!$L$160:$GT$160, MATCH(C144, 'Monthly Cash Flow'!$L$13:$GT$13, 0))</f>
        <v>#N/A</v>
      </c>
      <c r="E144" s="397">
        <f t="shared" ca="1" si="28"/>
        <v>0</v>
      </c>
      <c r="F144" s="397" t="e">
        <f t="shared" si="32"/>
        <v>#N/A</v>
      </c>
      <c r="G144" s="397" t="e">
        <f t="shared" ca="1" si="29"/>
        <v>#N/A</v>
      </c>
      <c r="H144" s="398" t="e">
        <f t="shared" ca="1" si="33"/>
        <v>#N/A</v>
      </c>
      <c r="I144" s="399">
        <f>MAX($J$5, INDEX(LIBOR!$M$3:$M$122,MATCH(B144,LIBOR!$N$3:$N$122)))</f>
        <v>5.1999999999999998E-2</v>
      </c>
      <c r="J144" s="400">
        <f t="shared" si="34"/>
        <v>0.10100000000000001</v>
      </c>
      <c r="L144" s="392">
        <f t="shared" si="40"/>
        <v>48518</v>
      </c>
      <c r="M144" s="357">
        <f t="shared" si="41"/>
        <v>196</v>
      </c>
      <c r="N144" s="397">
        <v>6075.803546966933</v>
      </c>
      <c r="O144" s="397">
        <f t="shared" si="30"/>
        <v>0</v>
      </c>
      <c r="P144" s="397">
        <f t="shared" si="35"/>
        <v>41.421638786358393</v>
      </c>
      <c r="Q144" s="397">
        <f t="shared" si="31"/>
        <v>-41.421638786358393</v>
      </c>
      <c r="R144" s="398">
        <f t="shared" si="36"/>
        <v>6117.225185753291</v>
      </c>
      <c r="S144" s="399">
        <f>INDEX(LIBOR!$M$3:$M$122,MATCH(L144,LIBOR!$N$3:$N$122))</f>
        <v>3.2809699999999997E-2</v>
      </c>
      <c r="T144" s="400">
        <f t="shared" si="37"/>
        <v>8.1809699999999999E-2</v>
      </c>
    </row>
    <row r="145" spans="2:20">
      <c r="B145" s="396">
        <f t="shared" si="38"/>
        <v>50344</v>
      </c>
      <c r="C145" s="357">
        <f t="shared" si="39"/>
        <v>256</v>
      </c>
      <c r="D145" s="397" t="e">
        <f>INDEX('Monthly Cash Flow'!$L$160:$GT$160, MATCH(C145, 'Monthly Cash Flow'!$L$13:$GT$13, 0))</f>
        <v>#N/A</v>
      </c>
      <c r="E145" s="397">
        <f t="shared" ca="1" si="28"/>
        <v>0</v>
      </c>
      <c r="F145" s="397" t="e">
        <f t="shared" si="32"/>
        <v>#N/A</v>
      </c>
      <c r="G145" s="397" t="e">
        <f t="shared" ca="1" si="29"/>
        <v>#N/A</v>
      </c>
      <c r="H145" s="398" t="e">
        <f t="shared" ca="1" si="33"/>
        <v>#N/A</v>
      </c>
      <c r="I145" s="399">
        <f>MAX($J$5, INDEX(LIBOR!$M$3:$M$122,MATCH(B145,LIBOR!$N$3:$N$122)))</f>
        <v>5.1999999999999998E-2</v>
      </c>
      <c r="J145" s="400">
        <f t="shared" si="34"/>
        <v>0.10100000000000001</v>
      </c>
      <c r="L145" s="392">
        <f t="shared" si="40"/>
        <v>48548</v>
      </c>
      <c r="M145" s="357">
        <f t="shared" si="41"/>
        <v>197</v>
      </c>
      <c r="N145" s="397">
        <v>6060.0915345126332</v>
      </c>
      <c r="O145" s="397">
        <f t="shared" si="30"/>
        <v>0</v>
      </c>
      <c r="P145" s="397">
        <f t="shared" si="35"/>
        <v>41.314522534251516</v>
      </c>
      <c r="Q145" s="397">
        <f t="shared" si="31"/>
        <v>-41.314522534251516</v>
      </c>
      <c r="R145" s="398">
        <f t="shared" si="36"/>
        <v>6101.4060570468846</v>
      </c>
      <c r="S145" s="399">
        <f>INDEX(LIBOR!$M$3:$M$122,MATCH(L145,LIBOR!$N$3:$N$122))</f>
        <v>3.2809699999999997E-2</v>
      </c>
      <c r="T145" s="400">
        <f t="shared" si="37"/>
        <v>8.1809699999999999E-2</v>
      </c>
    </row>
    <row r="146" spans="2:20">
      <c r="B146" s="396">
        <f t="shared" si="38"/>
        <v>50374</v>
      </c>
      <c r="C146" s="357">
        <f t="shared" si="39"/>
        <v>257</v>
      </c>
      <c r="D146" s="397" t="e">
        <f>INDEX('Monthly Cash Flow'!$L$160:$GT$160, MATCH(C146, 'Monthly Cash Flow'!$L$13:$GT$13, 0))</f>
        <v>#N/A</v>
      </c>
      <c r="E146" s="397">
        <f t="shared" ca="1" si="28"/>
        <v>0</v>
      </c>
      <c r="F146" s="397" t="e">
        <f t="shared" si="32"/>
        <v>#N/A</v>
      </c>
      <c r="G146" s="397" t="e">
        <f t="shared" ca="1" si="29"/>
        <v>#N/A</v>
      </c>
      <c r="H146" s="398" t="e">
        <f t="shared" ca="1" si="33"/>
        <v>#N/A</v>
      </c>
      <c r="I146" s="399">
        <f>MAX($J$5, INDEX(LIBOR!$M$3:$M$122,MATCH(B146,LIBOR!$N$3:$N$122)))</f>
        <v>5.1999999999999998E-2</v>
      </c>
      <c r="J146" s="400">
        <f t="shared" si="34"/>
        <v>0.10100000000000001</v>
      </c>
      <c r="L146" s="392">
        <f t="shared" si="40"/>
        <v>48579</v>
      </c>
      <c r="M146" s="357">
        <f t="shared" si="41"/>
        <v>198</v>
      </c>
      <c r="N146" s="397">
        <v>6044.3079573768073</v>
      </c>
      <c r="O146" s="397">
        <f t="shared" si="30"/>
        <v>0</v>
      </c>
      <c r="P146" s="397">
        <f t="shared" si="35"/>
        <v>41.206918391717444</v>
      </c>
      <c r="Q146" s="397">
        <f t="shared" si="31"/>
        <v>-41.206918391717444</v>
      </c>
      <c r="R146" s="398">
        <f t="shared" si="36"/>
        <v>6085.5148757685247</v>
      </c>
      <c r="S146" s="399">
        <f>INDEX(LIBOR!$M$3:$M$122,MATCH(L146,LIBOR!$N$3:$N$122))</f>
        <v>3.2809699999999997E-2</v>
      </c>
      <c r="T146" s="400">
        <f t="shared" si="37"/>
        <v>8.1809699999999999E-2</v>
      </c>
    </row>
    <row r="147" spans="2:20">
      <c r="B147" s="396">
        <f t="shared" si="38"/>
        <v>50405</v>
      </c>
      <c r="C147" s="357">
        <f t="shared" si="39"/>
        <v>258</v>
      </c>
      <c r="D147" s="397" t="e">
        <f>INDEX('Monthly Cash Flow'!$L$160:$GT$160, MATCH(C147, 'Monthly Cash Flow'!$L$13:$GT$13, 0))</f>
        <v>#N/A</v>
      </c>
      <c r="E147" s="397">
        <f t="shared" ca="1" si="28"/>
        <v>0</v>
      </c>
      <c r="F147" s="397" t="e">
        <f t="shared" si="32"/>
        <v>#N/A</v>
      </c>
      <c r="G147" s="397" t="e">
        <f t="shared" ca="1" si="29"/>
        <v>#N/A</v>
      </c>
      <c r="H147" s="398" t="e">
        <f t="shared" ca="1" si="33"/>
        <v>#N/A</v>
      </c>
      <c r="I147" s="399">
        <f>MAX($J$5, INDEX(LIBOR!$M$3:$M$122,MATCH(B147,LIBOR!$N$3:$N$122)))</f>
        <v>5.1999999999999998E-2</v>
      </c>
      <c r="J147" s="400">
        <f t="shared" si="34"/>
        <v>0.10100000000000001</v>
      </c>
      <c r="L147" s="392">
        <f t="shared" si="40"/>
        <v>48610</v>
      </c>
      <c r="M147" s="357">
        <f t="shared" si="41"/>
        <v>199</v>
      </c>
      <c r="N147" s="397">
        <v>6028.4524895984323</v>
      </c>
      <c r="O147" s="397">
        <f t="shared" si="30"/>
        <v>0</v>
      </c>
      <c r="P147" s="397">
        <f t="shared" si="35"/>
        <v>41.098824136525074</v>
      </c>
      <c r="Q147" s="397">
        <f t="shared" si="31"/>
        <v>-41.098824136525074</v>
      </c>
      <c r="R147" s="398">
        <f t="shared" si="36"/>
        <v>6069.5513137349571</v>
      </c>
      <c r="S147" s="399">
        <f>INDEX(LIBOR!$M$3:$M$122,MATCH(L147,LIBOR!$N$3:$N$122))</f>
        <v>3.2809699999999997E-2</v>
      </c>
      <c r="T147" s="400">
        <f t="shared" si="37"/>
        <v>8.1809699999999999E-2</v>
      </c>
    </row>
    <row r="148" spans="2:20">
      <c r="B148" s="396">
        <f t="shared" si="38"/>
        <v>50436</v>
      </c>
      <c r="C148" s="357">
        <f t="shared" si="39"/>
        <v>259</v>
      </c>
      <c r="D148" s="397" t="e">
        <f>INDEX('Monthly Cash Flow'!$L$160:$GT$160, MATCH(C148, 'Monthly Cash Flow'!$L$13:$GT$13, 0))</f>
        <v>#N/A</v>
      </c>
      <c r="E148" s="397">
        <f t="shared" ca="1" si="28"/>
        <v>0</v>
      </c>
      <c r="F148" s="397" t="e">
        <f t="shared" si="32"/>
        <v>#N/A</v>
      </c>
      <c r="G148" s="397" t="e">
        <f t="shared" ca="1" si="29"/>
        <v>#N/A</v>
      </c>
      <c r="H148" s="398" t="e">
        <f t="shared" ca="1" si="33"/>
        <v>#N/A</v>
      </c>
      <c r="I148" s="399">
        <f>MAX($J$5, INDEX(LIBOR!$M$3:$M$122,MATCH(B148,LIBOR!$N$3:$N$122)))</f>
        <v>5.1999999999999998E-2</v>
      </c>
      <c r="J148" s="400">
        <f t="shared" si="34"/>
        <v>0.10100000000000001</v>
      </c>
      <c r="L148" s="392">
        <f t="shared" si="40"/>
        <v>48638</v>
      </c>
      <c r="M148" s="357">
        <f t="shared" si="41"/>
        <v>200</v>
      </c>
      <c r="N148" s="397">
        <v>6012.524803731807</v>
      </c>
      <c r="O148" s="397">
        <f t="shared" si="30"/>
        <v>0</v>
      </c>
      <c r="P148" s="397">
        <f t="shared" si="35"/>
        <v>40.990237536321501</v>
      </c>
      <c r="Q148" s="397">
        <f t="shared" si="31"/>
        <v>-40.990237536321501</v>
      </c>
      <c r="R148" s="398">
        <f t="shared" si="36"/>
        <v>6053.5150412681287</v>
      </c>
      <c r="S148" s="399">
        <f>INDEX(LIBOR!$M$3:$M$122,MATCH(L148,LIBOR!$N$3:$N$122))</f>
        <v>3.2809699999999997E-2</v>
      </c>
      <c r="T148" s="400">
        <f t="shared" si="37"/>
        <v>8.1809699999999999E-2</v>
      </c>
    </row>
    <row r="149" spans="2:20">
      <c r="B149" s="396">
        <f t="shared" si="38"/>
        <v>50464</v>
      </c>
      <c r="C149" s="357">
        <f t="shared" si="39"/>
        <v>260</v>
      </c>
      <c r="D149" s="397" t="e">
        <f>INDEX('Monthly Cash Flow'!$L$160:$GT$160, MATCH(C149, 'Monthly Cash Flow'!$L$13:$GT$13, 0))</f>
        <v>#N/A</v>
      </c>
      <c r="E149" s="397">
        <f t="shared" ca="1" si="28"/>
        <v>0</v>
      </c>
      <c r="F149" s="397" t="e">
        <f t="shared" si="32"/>
        <v>#N/A</v>
      </c>
      <c r="G149" s="397" t="e">
        <f t="shared" ca="1" si="29"/>
        <v>#N/A</v>
      </c>
      <c r="H149" s="398" t="e">
        <f t="shared" ca="1" si="33"/>
        <v>#N/A</v>
      </c>
      <c r="I149" s="399">
        <f>MAX($J$5, INDEX(LIBOR!$M$3:$M$122,MATCH(B149,LIBOR!$N$3:$N$122)))</f>
        <v>5.1999999999999998E-2</v>
      </c>
      <c r="J149" s="400">
        <f t="shared" si="34"/>
        <v>0.10100000000000001</v>
      </c>
      <c r="L149" s="392">
        <f t="shared" si="40"/>
        <v>48669</v>
      </c>
      <c r="M149" s="357">
        <f t="shared" si="41"/>
        <v>201</v>
      </c>
      <c r="N149" s="397">
        <v>5996.5245708397888</v>
      </c>
      <c r="O149" s="397">
        <f t="shared" si="30"/>
        <v>0</v>
      </c>
      <c r="P149" s="397">
        <f t="shared" si="35"/>
        <v>40.881156348585989</v>
      </c>
      <c r="Q149" s="397">
        <f t="shared" si="31"/>
        <v>-40.881156348585989</v>
      </c>
      <c r="R149" s="398">
        <f t="shared" si="36"/>
        <v>6037.4057271883748</v>
      </c>
      <c r="S149" s="399">
        <f>INDEX(LIBOR!$M$3:$M$122,MATCH(L149,LIBOR!$N$3:$N$122))</f>
        <v>3.2809699999999997E-2</v>
      </c>
      <c r="T149" s="400">
        <f t="shared" si="37"/>
        <v>8.1809699999999999E-2</v>
      </c>
    </row>
    <row r="150" spans="2:20">
      <c r="B150" s="396">
        <f t="shared" si="38"/>
        <v>50495</v>
      </c>
      <c r="C150" s="357">
        <f t="shared" si="39"/>
        <v>261</v>
      </c>
      <c r="D150" s="397" t="e">
        <f>INDEX('Monthly Cash Flow'!$L$160:$GT$160, MATCH(C150, 'Monthly Cash Flow'!$L$13:$GT$13, 0))</f>
        <v>#N/A</v>
      </c>
      <c r="E150" s="397">
        <f t="shared" ca="1" si="28"/>
        <v>0</v>
      </c>
      <c r="F150" s="397" t="e">
        <f t="shared" si="32"/>
        <v>#N/A</v>
      </c>
      <c r="G150" s="397" t="e">
        <f t="shared" ca="1" si="29"/>
        <v>#N/A</v>
      </c>
      <c r="H150" s="398" t="e">
        <f t="shared" ca="1" si="33"/>
        <v>#N/A</v>
      </c>
      <c r="I150" s="399">
        <f>MAX($J$5, INDEX(LIBOR!$M$3:$M$122,MATCH(B150,LIBOR!$N$3:$N$122)))</f>
        <v>5.1999999999999998E-2</v>
      </c>
      <c r="J150" s="400">
        <f t="shared" si="34"/>
        <v>0.10100000000000001</v>
      </c>
      <c r="L150" s="392">
        <f t="shared" si="40"/>
        <v>48699</v>
      </c>
      <c r="M150" s="357">
        <f t="shared" si="41"/>
        <v>202</v>
      </c>
      <c r="N150" s="397">
        <v>5980.4514604870001</v>
      </c>
      <c r="O150" s="397">
        <f t="shared" si="30"/>
        <v>0</v>
      </c>
      <c r="P150" s="397">
        <f t="shared" si="35"/>
        <v>40.771578320583608</v>
      </c>
      <c r="Q150" s="397">
        <f t="shared" si="31"/>
        <v>-40.771578320583608</v>
      </c>
      <c r="R150" s="398">
        <f t="shared" si="36"/>
        <v>6021.2230388075841</v>
      </c>
      <c r="S150" s="399">
        <f>INDEX(LIBOR!$M$3:$M$122,MATCH(L150,LIBOR!$N$3:$N$122))</f>
        <v>3.2809699999999997E-2</v>
      </c>
      <c r="T150" s="400">
        <f t="shared" si="37"/>
        <v>8.1809699999999999E-2</v>
      </c>
    </row>
    <row r="151" spans="2:20">
      <c r="B151" s="396">
        <f t="shared" si="38"/>
        <v>50525</v>
      </c>
      <c r="C151" s="357">
        <f t="shared" si="39"/>
        <v>262</v>
      </c>
      <c r="D151" s="397" t="e">
        <f>INDEX('Monthly Cash Flow'!$L$160:$GT$160, MATCH(C151, 'Monthly Cash Flow'!$L$13:$GT$13, 0))</f>
        <v>#N/A</v>
      </c>
      <c r="E151" s="397">
        <f t="shared" ca="1" si="28"/>
        <v>0</v>
      </c>
      <c r="F151" s="397" t="e">
        <f t="shared" si="32"/>
        <v>#N/A</v>
      </c>
      <c r="G151" s="397" t="e">
        <f t="shared" ca="1" si="29"/>
        <v>#N/A</v>
      </c>
      <c r="H151" s="398" t="e">
        <f t="shared" ca="1" si="33"/>
        <v>#N/A</v>
      </c>
      <c r="I151" s="399">
        <f>MAX($J$5, INDEX(LIBOR!$M$3:$M$122,MATCH(B151,LIBOR!$N$3:$N$122)))</f>
        <v>5.1999999999999998E-2</v>
      </c>
      <c r="J151" s="400">
        <f t="shared" si="34"/>
        <v>0.10100000000000001</v>
      </c>
      <c r="L151" s="392">
        <f t="shared" si="40"/>
        <v>48730</v>
      </c>
      <c r="M151" s="357">
        <f t="shared" si="41"/>
        <v>203</v>
      </c>
      <c r="N151" s="397">
        <v>5964.305140733004</v>
      </c>
      <c r="O151" s="397">
        <f t="shared" si="30"/>
        <v>0</v>
      </c>
      <c r="P151" s="397">
        <f t="shared" si="35"/>
        <v>40.661501189318734</v>
      </c>
      <c r="Q151" s="397">
        <f t="shared" si="31"/>
        <v>-40.661501189318734</v>
      </c>
      <c r="R151" s="398">
        <f t="shared" si="36"/>
        <v>6004.9666419223231</v>
      </c>
      <c r="S151" s="399">
        <f>INDEX(LIBOR!$M$3:$M$122,MATCH(L151,LIBOR!$N$3:$N$122))</f>
        <v>3.2809699999999997E-2</v>
      </c>
      <c r="T151" s="400">
        <f t="shared" si="37"/>
        <v>8.1809699999999999E-2</v>
      </c>
    </row>
    <row r="152" spans="2:20">
      <c r="B152" s="396">
        <f t="shared" si="38"/>
        <v>50556</v>
      </c>
      <c r="C152" s="357">
        <f t="shared" si="39"/>
        <v>263</v>
      </c>
      <c r="D152" s="397" t="e">
        <f>INDEX('Monthly Cash Flow'!$L$160:$GT$160, MATCH(C152, 'Monthly Cash Flow'!$L$13:$GT$13, 0))</f>
        <v>#N/A</v>
      </c>
      <c r="E152" s="397">
        <f t="shared" ca="1" si="28"/>
        <v>0</v>
      </c>
      <c r="F152" s="397" t="e">
        <f t="shared" si="32"/>
        <v>#N/A</v>
      </c>
      <c r="G152" s="397" t="e">
        <f t="shared" ca="1" si="29"/>
        <v>#N/A</v>
      </c>
      <c r="H152" s="398" t="e">
        <f t="shared" ca="1" si="33"/>
        <v>#N/A</v>
      </c>
      <c r="I152" s="399">
        <f>MAX($J$5, INDEX(LIBOR!$M$3:$M$122,MATCH(B152,LIBOR!$N$3:$N$122)))</f>
        <v>5.1999999999999998E-2</v>
      </c>
      <c r="J152" s="400">
        <f t="shared" si="34"/>
        <v>0.10100000000000001</v>
      </c>
      <c r="L152" s="392">
        <f t="shared" si="40"/>
        <v>48760</v>
      </c>
      <c r="M152" s="357">
        <f t="shared" si="41"/>
        <v>204</v>
      </c>
      <c r="N152" s="397">
        <v>5948.0852781254507</v>
      </c>
      <c r="O152" s="397">
        <f t="shared" si="30"/>
        <v>0</v>
      </c>
      <c r="P152" s="397">
        <f t="shared" si="35"/>
        <v>40.550922681488309</v>
      </c>
      <c r="Q152" s="397">
        <f t="shared" si="31"/>
        <v>-40.550922681488309</v>
      </c>
      <c r="R152" s="398">
        <f t="shared" si="36"/>
        <v>5988.6362008069391</v>
      </c>
      <c r="S152" s="399">
        <f>INDEX(LIBOR!$M$3:$M$122,MATCH(L152,LIBOR!$N$3:$N$122))</f>
        <v>3.2809699999999997E-2</v>
      </c>
      <c r="T152" s="400">
        <f t="shared" si="37"/>
        <v>8.1809699999999999E-2</v>
      </c>
    </row>
    <row r="153" spans="2:20">
      <c r="B153" s="396">
        <f t="shared" si="38"/>
        <v>50586</v>
      </c>
      <c r="C153" s="357">
        <f t="shared" si="39"/>
        <v>264</v>
      </c>
      <c r="D153" s="397" t="e">
        <f>INDEX('Monthly Cash Flow'!$L$160:$GT$160, MATCH(C153, 'Monthly Cash Flow'!$L$13:$GT$13, 0))</f>
        <v>#N/A</v>
      </c>
      <c r="E153" s="397">
        <f t="shared" ca="1" si="28"/>
        <v>0</v>
      </c>
      <c r="F153" s="397" t="e">
        <f t="shared" si="32"/>
        <v>#N/A</v>
      </c>
      <c r="G153" s="397" t="e">
        <f t="shared" ca="1" si="29"/>
        <v>#N/A</v>
      </c>
      <c r="H153" s="398" t="e">
        <f t="shared" ca="1" si="33"/>
        <v>#N/A</v>
      </c>
      <c r="I153" s="399">
        <f>MAX($J$5, INDEX(LIBOR!$M$3:$M$122,MATCH(B153,LIBOR!$N$3:$N$122)))</f>
        <v>5.1999999999999998E-2</v>
      </c>
      <c r="J153" s="400">
        <f t="shared" si="34"/>
        <v>0.10100000000000001</v>
      </c>
      <c r="L153" s="392">
        <f t="shared" si="40"/>
        <v>48791</v>
      </c>
      <c r="M153" s="357">
        <f t="shared" si="41"/>
        <v>205</v>
      </c>
      <c r="N153" s="397">
        <v>5931.7915376931887</v>
      </c>
      <c r="O153" s="397">
        <f t="shared" si="30"/>
        <v>0</v>
      </c>
      <c r="P153" s="397">
        <f t="shared" si="35"/>
        <v>40.439840513434874</v>
      </c>
      <c r="Q153" s="397">
        <f t="shared" si="31"/>
        <v>-40.439840513434874</v>
      </c>
      <c r="R153" s="398">
        <f t="shared" si="36"/>
        <v>5972.231378206624</v>
      </c>
      <c r="S153" s="399">
        <f>INDEX(LIBOR!$M$3:$M$122,MATCH(L153,LIBOR!$N$3:$N$122))</f>
        <v>3.2809699999999997E-2</v>
      </c>
      <c r="T153" s="400">
        <f t="shared" si="37"/>
        <v>8.1809699999999999E-2</v>
      </c>
    </row>
    <row r="154" spans="2:20">
      <c r="B154" s="396">
        <f t="shared" si="38"/>
        <v>50617</v>
      </c>
      <c r="C154" s="357">
        <f t="shared" si="39"/>
        <v>265</v>
      </c>
      <c r="D154" s="397" t="e">
        <f>INDEX('Monthly Cash Flow'!$L$160:$GT$160, MATCH(C154, 'Monthly Cash Flow'!$L$13:$GT$13, 0))</f>
        <v>#N/A</v>
      </c>
      <c r="E154" s="397">
        <f t="shared" ca="1" si="28"/>
        <v>0</v>
      </c>
      <c r="F154" s="397" t="e">
        <f t="shared" si="32"/>
        <v>#N/A</v>
      </c>
      <c r="G154" s="397" t="e">
        <f t="shared" ca="1" si="29"/>
        <v>#N/A</v>
      </c>
      <c r="H154" s="398" t="e">
        <f t="shared" ca="1" si="33"/>
        <v>#N/A</v>
      </c>
      <c r="I154" s="399">
        <f>MAX($J$5, INDEX(LIBOR!$M$3:$M$122,MATCH(B154,LIBOR!$N$3:$N$122)))</f>
        <v>5.1999999999999998E-2</v>
      </c>
      <c r="J154" s="400">
        <f t="shared" si="34"/>
        <v>0.10100000000000001</v>
      </c>
      <c r="L154" s="392">
        <f t="shared" si="40"/>
        <v>48822</v>
      </c>
      <c r="M154" s="357">
        <f t="shared" si="41"/>
        <v>206</v>
      </c>
      <c r="N154" s="397">
        <v>5915.4235829393492</v>
      </c>
      <c r="O154" s="397">
        <f t="shared" si="30"/>
        <v>0</v>
      </c>
      <c r="P154" s="397">
        <f t="shared" si="35"/>
        <v>40.32825239109944</v>
      </c>
      <c r="Q154" s="397">
        <f t="shared" si="31"/>
        <v>-40.32825239109944</v>
      </c>
      <c r="R154" s="398">
        <f t="shared" si="36"/>
        <v>5955.7518353304486</v>
      </c>
      <c r="S154" s="399">
        <f>INDEX(LIBOR!$M$3:$M$122,MATCH(L154,LIBOR!$N$3:$N$122))</f>
        <v>3.2809699999999997E-2</v>
      </c>
      <c r="T154" s="400">
        <f t="shared" si="37"/>
        <v>8.1809699999999999E-2</v>
      </c>
    </row>
    <row r="155" spans="2:20">
      <c r="B155" s="396">
        <f t="shared" si="38"/>
        <v>50648</v>
      </c>
      <c r="C155" s="357">
        <f t="shared" si="39"/>
        <v>266</v>
      </c>
      <c r="D155" s="397" t="e">
        <f>INDEX('Monthly Cash Flow'!$L$160:$GT$160, MATCH(C155, 'Monthly Cash Flow'!$L$13:$GT$13, 0))</f>
        <v>#N/A</v>
      </c>
      <c r="E155" s="397">
        <f t="shared" ca="1" si="28"/>
        <v>0</v>
      </c>
      <c r="F155" s="397" t="e">
        <f t="shared" si="32"/>
        <v>#N/A</v>
      </c>
      <c r="G155" s="397" t="e">
        <f t="shared" ca="1" si="29"/>
        <v>#N/A</v>
      </c>
      <c r="H155" s="398" t="e">
        <f t="shared" ca="1" si="33"/>
        <v>#N/A</v>
      </c>
      <c r="I155" s="399">
        <f>MAX($J$5, INDEX(LIBOR!$M$3:$M$122,MATCH(B155,LIBOR!$N$3:$N$122)))</f>
        <v>5.1999999999999998E-2</v>
      </c>
      <c r="J155" s="400">
        <f t="shared" si="34"/>
        <v>0.10100000000000001</v>
      </c>
      <c r="L155" s="392">
        <f t="shared" si="40"/>
        <v>48852</v>
      </c>
      <c r="M155" s="357">
        <f t="shared" si="41"/>
        <v>207</v>
      </c>
      <c r="N155" s="397">
        <v>5898.9810758343956</v>
      </c>
      <c r="O155" s="397">
        <f t="shared" si="30"/>
        <v>0</v>
      </c>
      <c r="P155" s="397">
        <f t="shared" si="35"/>
        <v>40.216156009974092</v>
      </c>
      <c r="Q155" s="397">
        <f t="shared" si="31"/>
        <v>-40.216156009974092</v>
      </c>
      <c r="R155" s="398">
        <f t="shared" si="36"/>
        <v>5939.1972318443695</v>
      </c>
      <c r="S155" s="399">
        <f>INDEX(LIBOR!$M$3:$M$122,MATCH(L155,LIBOR!$N$3:$N$122))</f>
        <v>3.2809699999999997E-2</v>
      </c>
      <c r="T155" s="400">
        <f t="shared" si="37"/>
        <v>8.1809699999999999E-2</v>
      </c>
    </row>
    <row r="156" spans="2:20">
      <c r="B156" s="396">
        <f t="shared" si="38"/>
        <v>50678</v>
      </c>
      <c r="C156" s="357">
        <f t="shared" si="39"/>
        <v>267</v>
      </c>
      <c r="D156" s="397" t="e">
        <f>INDEX('Monthly Cash Flow'!$L$160:$GT$160, MATCH(C156, 'Monthly Cash Flow'!$L$13:$GT$13, 0))</f>
        <v>#N/A</v>
      </c>
      <c r="E156" s="397">
        <f t="shared" ca="1" si="28"/>
        <v>0</v>
      </c>
      <c r="F156" s="397" t="e">
        <f t="shared" si="32"/>
        <v>#N/A</v>
      </c>
      <c r="G156" s="397" t="e">
        <f t="shared" ca="1" si="29"/>
        <v>#N/A</v>
      </c>
      <c r="H156" s="398" t="e">
        <f t="shared" ca="1" si="33"/>
        <v>#N/A</v>
      </c>
      <c r="I156" s="399">
        <f>MAX($J$5, INDEX(LIBOR!$M$3:$M$122,MATCH(B156,LIBOR!$N$3:$N$122)))</f>
        <v>5.1999999999999998E-2</v>
      </c>
      <c r="J156" s="400">
        <f t="shared" si="34"/>
        <v>0.10100000000000001</v>
      </c>
      <c r="L156" s="392">
        <f t="shared" si="40"/>
        <v>48883</v>
      </c>
      <c r="M156" s="357">
        <f t="shared" si="41"/>
        <v>208</v>
      </c>
      <c r="N156" s="397">
        <v>5882.4636768091432</v>
      </c>
      <c r="O156" s="397">
        <f t="shared" si="30"/>
        <v>0</v>
      </c>
      <c r="P156" s="397">
        <f t="shared" si="35"/>
        <v>40.103549055054408</v>
      </c>
      <c r="Q156" s="397">
        <f t="shared" si="31"/>
        <v>-40.103549055054408</v>
      </c>
      <c r="R156" s="398">
        <f t="shared" si="36"/>
        <v>5922.567225864198</v>
      </c>
      <c r="S156" s="399">
        <f>INDEX(LIBOR!$M$3:$M$122,MATCH(L156,LIBOR!$N$3:$N$122))</f>
        <v>3.2809699999999997E-2</v>
      </c>
      <c r="T156" s="400">
        <f t="shared" si="37"/>
        <v>8.1809699999999999E-2</v>
      </c>
    </row>
    <row r="157" spans="2:20">
      <c r="B157" s="396">
        <f t="shared" si="38"/>
        <v>50709</v>
      </c>
      <c r="C157" s="357">
        <f t="shared" si="39"/>
        <v>268</v>
      </c>
      <c r="D157" s="397" t="e">
        <f>INDEX('Monthly Cash Flow'!$L$160:$GT$160, MATCH(C157, 'Monthly Cash Flow'!$L$13:$GT$13, 0))</f>
        <v>#N/A</v>
      </c>
      <c r="E157" s="397">
        <f t="shared" ca="1" si="28"/>
        <v>0</v>
      </c>
      <c r="F157" s="397" t="e">
        <f t="shared" si="32"/>
        <v>#N/A</v>
      </c>
      <c r="G157" s="397" t="e">
        <f t="shared" ca="1" si="29"/>
        <v>#N/A</v>
      </c>
      <c r="H157" s="398" t="e">
        <f t="shared" ca="1" si="33"/>
        <v>#N/A</v>
      </c>
      <c r="I157" s="399">
        <f>MAX($J$5, INDEX(LIBOR!$M$3:$M$122,MATCH(B157,LIBOR!$N$3:$N$122)))</f>
        <v>5.1999999999999998E-2</v>
      </c>
      <c r="J157" s="400">
        <f t="shared" si="34"/>
        <v>0.10100000000000001</v>
      </c>
      <c r="L157" s="392">
        <f t="shared" si="40"/>
        <v>48913</v>
      </c>
      <c r="M157" s="357">
        <f t="shared" si="41"/>
        <v>209</v>
      </c>
      <c r="N157" s="397">
        <v>5865.8710447477461</v>
      </c>
      <c r="O157" s="397">
        <f t="shared" si="30"/>
        <v>0</v>
      </c>
      <c r="P157" s="397">
        <f t="shared" si="35"/>
        <v>39.990429200791638</v>
      </c>
      <c r="Q157" s="397">
        <f t="shared" si="31"/>
        <v>-39.990429200791638</v>
      </c>
      <c r="R157" s="398">
        <f t="shared" si="36"/>
        <v>5905.8614739485374</v>
      </c>
      <c r="S157" s="399">
        <f>INDEX(LIBOR!$M$3:$M$122,MATCH(L157,LIBOR!$N$3:$N$122))</f>
        <v>3.2809699999999997E-2</v>
      </c>
      <c r="T157" s="400">
        <f t="shared" si="37"/>
        <v>8.1809699999999999E-2</v>
      </c>
    </row>
    <row r="158" spans="2:20">
      <c r="B158" s="396">
        <f t="shared" si="38"/>
        <v>50739</v>
      </c>
      <c r="C158" s="357">
        <f t="shared" si="39"/>
        <v>269</v>
      </c>
      <c r="D158" s="397" t="e">
        <f>INDEX('Monthly Cash Flow'!$L$160:$GT$160, MATCH(C158, 'Monthly Cash Flow'!$L$13:$GT$13, 0))</f>
        <v>#N/A</v>
      </c>
      <c r="E158" s="397">
        <f t="shared" ca="1" si="28"/>
        <v>0</v>
      </c>
      <c r="F158" s="397" t="e">
        <f t="shared" si="32"/>
        <v>#N/A</v>
      </c>
      <c r="G158" s="397" t="e">
        <f t="shared" ca="1" si="29"/>
        <v>#N/A</v>
      </c>
      <c r="H158" s="398" t="e">
        <f t="shared" ca="1" si="33"/>
        <v>#N/A</v>
      </c>
      <c r="I158" s="399">
        <f>MAX($J$5, INDEX(LIBOR!$M$3:$M$122,MATCH(B158,LIBOR!$N$3:$N$122)))</f>
        <v>5.1999999999999998E-2</v>
      </c>
      <c r="J158" s="400">
        <f t="shared" si="34"/>
        <v>0.10100000000000001</v>
      </c>
      <c r="L158" s="392">
        <f t="shared" si="40"/>
        <v>48944</v>
      </c>
      <c r="M158" s="357">
        <f t="shared" si="41"/>
        <v>210</v>
      </c>
      <c r="N158" s="397">
        <v>5849.2028369806512</v>
      </c>
      <c r="O158" s="397">
        <f t="shared" si="30"/>
        <v>0</v>
      </c>
      <c r="P158" s="397">
        <f t="shared" si="35"/>
        <v>39.876794111044667</v>
      </c>
      <c r="Q158" s="397">
        <f t="shared" si="31"/>
        <v>-39.876794111044667</v>
      </c>
      <c r="R158" s="398">
        <f t="shared" si="36"/>
        <v>5889.0796310916958</v>
      </c>
      <c r="S158" s="399">
        <f>INDEX(LIBOR!$M$3:$M$122,MATCH(L158,LIBOR!$N$3:$N$122))</f>
        <v>3.2809699999999997E-2</v>
      </c>
      <c r="T158" s="400">
        <f t="shared" si="37"/>
        <v>8.1809699999999999E-2</v>
      </c>
    </row>
    <row r="159" spans="2:20">
      <c r="B159" s="396">
        <f t="shared" si="38"/>
        <v>50770</v>
      </c>
      <c r="C159" s="357">
        <f t="shared" si="39"/>
        <v>270</v>
      </c>
      <c r="D159" s="397" t="e">
        <f>INDEX('Monthly Cash Flow'!$L$160:$GT$160, MATCH(C159, 'Monthly Cash Flow'!$L$13:$GT$13, 0))</f>
        <v>#N/A</v>
      </c>
      <c r="E159" s="397">
        <f t="shared" ca="1" si="28"/>
        <v>0</v>
      </c>
      <c r="F159" s="397" t="e">
        <f t="shared" si="32"/>
        <v>#N/A</v>
      </c>
      <c r="G159" s="397" t="e">
        <f t="shared" ca="1" si="29"/>
        <v>#N/A</v>
      </c>
      <c r="H159" s="398" t="e">
        <f t="shared" ca="1" si="33"/>
        <v>#N/A</v>
      </c>
      <c r="I159" s="399">
        <f>MAX($J$5, INDEX(LIBOR!$M$3:$M$122,MATCH(B159,LIBOR!$N$3:$N$122)))</f>
        <v>5.1999999999999998E-2</v>
      </c>
      <c r="J159" s="400">
        <f t="shared" si="34"/>
        <v>0.10100000000000001</v>
      </c>
      <c r="L159" s="392">
        <f t="shared" si="40"/>
        <v>48975</v>
      </c>
      <c r="M159" s="357">
        <f t="shared" si="41"/>
        <v>211</v>
      </c>
      <c r="N159" s="397">
        <v>5832.4587092775237</v>
      </c>
      <c r="O159" s="397">
        <f t="shared" si="30"/>
        <v>0</v>
      </c>
      <c r="P159" s="397">
        <f t="shared" si="35"/>
        <v>39.762641439031789</v>
      </c>
      <c r="Q159" s="397">
        <f t="shared" si="31"/>
        <v>-39.762641439031789</v>
      </c>
      <c r="R159" s="398">
        <f t="shared" si="36"/>
        <v>5872.2213507165552</v>
      </c>
      <c r="S159" s="399">
        <f>INDEX(LIBOR!$M$3:$M$122,MATCH(L159,LIBOR!$N$3:$N$122))</f>
        <v>3.2809699999999997E-2</v>
      </c>
      <c r="T159" s="400">
        <f t="shared" si="37"/>
        <v>8.1809699999999999E-2</v>
      </c>
    </row>
    <row r="160" spans="2:20">
      <c r="B160" s="396">
        <f t="shared" si="38"/>
        <v>50801</v>
      </c>
      <c r="C160" s="357">
        <f t="shared" si="39"/>
        <v>271</v>
      </c>
      <c r="D160" s="397" t="e">
        <f>INDEX('Monthly Cash Flow'!$L$160:$GT$160, MATCH(C160, 'Monthly Cash Flow'!$L$13:$GT$13, 0))</f>
        <v>#N/A</v>
      </c>
      <c r="E160" s="397">
        <f t="shared" ca="1" si="28"/>
        <v>0</v>
      </c>
      <c r="F160" s="397" t="e">
        <f t="shared" si="32"/>
        <v>#N/A</v>
      </c>
      <c r="G160" s="397" t="e">
        <f t="shared" ca="1" si="29"/>
        <v>#N/A</v>
      </c>
      <c r="H160" s="398" t="e">
        <f t="shared" ca="1" si="33"/>
        <v>#N/A</v>
      </c>
      <c r="I160" s="399">
        <f>MAX($J$5, INDEX(LIBOR!$M$3:$M$122,MATCH(B160,LIBOR!$N$3:$N$122)))</f>
        <v>5.1999999999999998E-2</v>
      </c>
      <c r="J160" s="400">
        <f t="shared" si="34"/>
        <v>0.10100000000000001</v>
      </c>
      <c r="L160" s="392">
        <f t="shared" si="40"/>
        <v>49003</v>
      </c>
      <c r="M160" s="357">
        <f t="shared" si="41"/>
        <v>212</v>
      </c>
      <c r="N160" s="397">
        <v>5815.6383158401377</v>
      </c>
      <c r="O160" s="397">
        <f t="shared" si="30"/>
        <v>0</v>
      </c>
      <c r="P160" s="397">
        <f t="shared" si="35"/>
        <v>39.647968827282241</v>
      </c>
      <c r="Q160" s="397">
        <f t="shared" si="31"/>
        <v>-39.647968827282241</v>
      </c>
      <c r="R160" s="398">
        <f t="shared" si="36"/>
        <v>5855.2862846674197</v>
      </c>
      <c r="S160" s="399">
        <f>INDEX(LIBOR!$M$3:$M$122,MATCH(L160,LIBOR!$N$3:$N$122))</f>
        <v>3.2809699999999997E-2</v>
      </c>
      <c r="T160" s="400">
        <f t="shared" si="37"/>
        <v>8.1809699999999999E-2</v>
      </c>
    </row>
    <row r="161" spans="2:20">
      <c r="B161" s="396">
        <f t="shared" si="38"/>
        <v>50829</v>
      </c>
      <c r="C161" s="357">
        <f t="shared" si="39"/>
        <v>272</v>
      </c>
      <c r="D161" s="397" t="e">
        <f>INDEX('Monthly Cash Flow'!$L$160:$GT$160, MATCH(C161, 'Monthly Cash Flow'!$L$13:$GT$13, 0))</f>
        <v>#N/A</v>
      </c>
      <c r="E161" s="397">
        <f t="shared" ca="1" si="28"/>
        <v>0</v>
      </c>
      <c r="F161" s="397" t="e">
        <f t="shared" si="32"/>
        <v>#N/A</v>
      </c>
      <c r="G161" s="397" t="e">
        <f t="shared" ca="1" si="29"/>
        <v>#N/A</v>
      </c>
      <c r="H161" s="398" t="e">
        <f t="shared" ca="1" si="33"/>
        <v>#N/A</v>
      </c>
      <c r="I161" s="399">
        <f>MAX($J$5, INDEX(LIBOR!$M$3:$M$122,MATCH(B161,LIBOR!$N$3:$N$122)))</f>
        <v>5.1999999999999998E-2</v>
      </c>
      <c r="J161" s="400">
        <f t="shared" si="34"/>
        <v>0.10100000000000001</v>
      </c>
      <c r="L161" s="392">
        <f t="shared" si="40"/>
        <v>49034</v>
      </c>
      <c r="M161" s="357">
        <f t="shared" si="41"/>
        <v>213</v>
      </c>
      <c r="N161" s="397">
        <v>5798.7413092952329</v>
      </c>
      <c r="O161" s="397">
        <f t="shared" si="30"/>
        <v>0</v>
      </c>
      <c r="P161" s="397">
        <f t="shared" si="35"/>
        <v>39.532773907587519</v>
      </c>
      <c r="Q161" s="397">
        <f t="shared" si="31"/>
        <v>-39.532773907587519</v>
      </c>
      <c r="R161" s="398">
        <f t="shared" si="36"/>
        <v>5838.2740832028203</v>
      </c>
      <c r="S161" s="399">
        <f>INDEX(LIBOR!$M$3:$M$122,MATCH(L161,LIBOR!$N$3:$N$122))</f>
        <v>3.2809699999999997E-2</v>
      </c>
      <c r="T161" s="400">
        <f t="shared" si="37"/>
        <v>8.1809699999999999E-2</v>
      </c>
    </row>
    <row r="162" spans="2:20">
      <c r="B162" s="396">
        <f t="shared" si="38"/>
        <v>50860</v>
      </c>
      <c r="C162" s="357">
        <f t="shared" si="39"/>
        <v>273</v>
      </c>
      <c r="D162" s="397" t="e">
        <f>INDEX('Monthly Cash Flow'!$L$160:$GT$160, MATCH(C162, 'Monthly Cash Flow'!$L$13:$GT$13, 0))</f>
        <v>#N/A</v>
      </c>
      <c r="E162" s="397">
        <f t="shared" ca="1" si="28"/>
        <v>0</v>
      </c>
      <c r="F162" s="397" t="e">
        <f t="shared" si="32"/>
        <v>#N/A</v>
      </c>
      <c r="G162" s="397" t="e">
        <f t="shared" ca="1" si="29"/>
        <v>#N/A</v>
      </c>
      <c r="H162" s="398" t="e">
        <f t="shared" ca="1" si="33"/>
        <v>#N/A</v>
      </c>
      <c r="I162" s="399">
        <f>MAX($J$5, INDEX(LIBOR!$M$3:$M$122,MATCH(B162,LIBOR!$N$3:$N$122)))</f>
        <v>5.1999999999999998E-2</v>
      </c>
      <c r="J162" s="400">
        <f t="shared" si="34"/>
        <v>0.10100000000000001</v>
      </c>
      <c r="L162" s="392">
        <f t="shared" si="40"/>
        <v>49064</v>
      </c>
      <c r="M162" s="357">
        <f t="shared" si="41"/>
        <v>214</v>
      </c>
      <c r="N162" s="397">
        <v>5781.7673406873419</v>
      </c>
      <c r="O162" s="397">
        <f t="shared" si="30"/>
        <v>0</v>
      </c>
      <c r="P162" s="397">
        <f t="shared" si="35"/>
        <v>39.417054300952437</v>
      </c>
      <c r="Q162" s="397">
        <f t="shared" si="31"/>
        <v>-39.417054300952437</v>
      </c>
      <c r="R162" s="398">
        <f t="shared" si="36"/>
        <v>5821.1843949882941</v>
      </c>
      <c r="S162" s="399">
        <f>INDEX(LIBOR!$M$3:$M$122,MATCH(L162,LIBOR!$N$3:$N$122))</f>
        <v>3.2809699999999997E-2</v>
      </c>
      <c r="T162" s="400">
        <f t="shared" si="37"/>
        <v>8.1809699999999999E-2</v>
      </c>
    </row>
    <row r="163" spans="2:20">
      <c r="B163" s="396">
        <f t="shared" si="38"/>
        <v>50890</v>
      </c>
      <c r="C163" s="357">
        <f t="shared" si="39"/>
        <v>274</v>
      </c>
      <c r="D163" s="397" t="e">
        <f>INDEX('Monthly Cash Flow'!$L$160:$GT$160, MATCH(C163, 'Monthly Cash Flow'!$L$13:$GT$13, 0))</f>
        <v>#N/A</v>
      </c>
      <c r="E163" s="397">
        <f t="shared" ca="1" si="28"/>
        <v>0</v>
      </c>
      <c r="F163" s="397" t="e">
        <f t="shared" si="32"/>
        <v>#N/A</v>
      </c>
      <c r="G163" s="397" t="e">
        <f t="shared" ca="1" si="29"/>
        <v>#N/A</v>
      </c>
      <c r="H163" s="398" t="e">
        <f t="shared" ca="1" si="33"/>
        <v>#N/A</v>
      </c>
      <c r="I163" s="399">
        <f>MAX($J$5, INDEX(LIBOR!$M$3:$M$122,MATCH(B163,LIBOR!$N$3:$N$122)))</f>
        <v>5.1999999999999998E-2</v>
      </c>
      <c r="J163" s="400">
        <f t="shared" si="34"/>
        <v>0.10100000000000001</v>
      </c>
      <c r="L163" s="392">
        <f t="shared" si="40"/>
        <v>49095</v>
      </c>
      <c r="M163" s="357">
        <f t="shared" si="41"/>
        <v>215</v>
      </c>
      <c r="N163" s="397">
        <v>5764.7160594715851</v>
      </c>
      <c r="O163" s="397">
        <f t="shared" si="30"/>
        <v>0</v>
      </c>
      <c r="P163" s="397">
        <f t="shared" si="35"/>
        <v>39.300807617546049</v>
      </c>
      <c r="Q163" s="397">
        <f t="shared" si="31"/>
        <v>-39.300807617546049</v>
      </c>
      <c r="R163" s="398">
        <f t="shared" si="36"/>
        <v>5804.0168670891308</v>
      </c>
      <c r="S163" s="399">
        <f>INDEX(LIBOR!$M$3:$M$122,MATCH(L163,LIBOR!$N$3:$N$122))</f>
        <v>3.2809699999999997E-2</v>
      </c>
      <c r="T163" s="400">
        <f t="shared" si="37"/>
        <v>8.1809699999999999E-2</v>
      </c>
    </row>
    <row r="164" spans="2:20">
      <c r="B164" s="396">
        <f t="shared" si="38"/>
        <v>50921</v>
      </c>
      <c r="C164" s="357">
        <f t="shared" si="39"/>
        <v>275</v>
      </c>
      <c r="D164" s="397" t="e">
        <f>INDEX('Monthly Cash Flow'!$L$160:$GT$160, MATCH(C164, 'Monthly Cash Flow'!$L$13:$GT$13, 0))</f>
        <v>#N/A</v>
      </c>
      <c r="E164" s="397">
        <f t="shared" ca="1" si="28"/>
        <v>0</v>
      </c>
      <c r="F164" s="397" t="e">
        <f t="shared" si="32"/>
        <v>#N/A</v>
      </c>
      <c r="G164" s="397" t="e">
        <f t="shared" ca="1" si="29"/>
        <v>#N/A</v>
      </c>
      <c r="H164" s="398" t="e">
        <f t="shared" ca="1" si="33"/>
        <v>#N/A</v>
      </c>
      <c r="I164" s="399">
        <f>MAX($J$5, INDEX(LIBOR!$M$3:$M$122,MATCH(B164,LIBOR!$N$3:$N$122)))</f>
        <v>5.1999999999999998E-2</v>
      </c>
      <c r="J164" s="400">
        <f t="shared" si="34"/>
        <v>0.10100000000000001</v>
      </c>
      <c r="L164" s="392">
        <f t="shared" si="40"/>
        <v>49125</v>
      </c>
      <c r="M164" s="357">
        <f t="shared" si="41"/>
        <v>216</v>
      </c>
      <c r="N164" s="397">
        <v>5747.587113506429</v>
      </c>
      <c r="O164" s="397">
        <f t="shared" si="30"/>
        <v>0</v>
      </c>
      <c r="P164" s="397">
        <f t="shared" si="35"/>
        <v>39.184031456652242</v>
      </c>
      <c r="Q164" s="397">
        <f t="shared" si="31"/>
        <v>-39.184031456652242</v>
      </c>
      <c r="R164" s="398">
        <f t="shared" si="36"/>
        <v>5786.7711449630815</v>
      </c>
      <c r="S164" s="399">
        <f>INDEX(LIBOR!$M$3:$M$122,MATCH(L164,LIBOR!$N$3:$N$122))</f>
        <v>3.2809699999999997E-2</v>
      </c>
      <c r="T164" s="400">
        <f t="shared" si="37"/>
        <v>8.1809699999999999E-2</v>
      </c>
    </row>
    <row r="165" spans="2:20">
      <c r="B165" s="396">
        <f t="shared" si="38"/>
        <v>50951</v>
      </c>
      <c r="C165" s="357">
        <f t="shared" si="39"/>
        <v>276</v>
      </c>
      <c r="D165" s="397" t="e">
        <f>INDEX('Monthly Cash Flow'!$L$160:$GT$160, MATCH(C165, 'Monthly Cash Flow'!$L$13:$GT$13, 0))</f>
        <v>#N/A</v>
      </c>
      <c r="E165" s="397">
        <f t="shared" ca="1" si="28"/>
        <v>0</v>
      </c>
      <c r="F165" s="397" t="e">
        <f t="shared" si="32"/>
        <v>#N/A</v>
      </c>
      <c r="G165" s="397" t="e">
        <f t="shared" ca="1" si="29"/>
        <v>#N/A</v>
      </c>
      <c r="H165" s="398" t="e">
        <f t="shared" ca="1" si="33"/>
        <v>#N/A</v>
      </c>
      <c r="I165" s="399">
        <f>MAX($J$5, INDEX(LIBOR!$M$3:$M$122,MATCH(B165,LIBOR!$N$3:$N$122)))</f>
        <v>5.1999999999999998E-2</v>
      </c>
      <c r="J165" s="400">
        <f t="shared" si="34"/>
        <v>0.10100000000000001</v>
      </c>
      <c r="L165" s="392">
        <f t="shared" si="40"/>
        <v>49156</v>
      </c>
      <c r="M165" s="357">
        <f t="shared" si="41"/>
        <v>217</v>
      </c>
      <c r="N165" s="397">
        <v>5730.3801490464148</v>
      </c>
      <c r="O165" s="397">
        <f t="shared" si="30"/>
        <v>0</v>
      </c>
      <c r="P165" s="397">
        <f t="shared" si="35"/>
        <v>39.066723406620206</v>
      </c>
      <c r="Q165" s="397">
        <f t="shared" si="31"/>
        <v>-39.066723406620206</v>
      </c>
      <c r="R165" s="398">
        <f t="shared" si="36"/>
        <v>5769.4468724530352</v>
      </c>
      <c r="S165" s="399">
        <f>INDEX(LIBOR!$M$3:$M$122,MATCH(L165,LIBOR!$N$3:$N$122))</f>
        <v>3.2809699999999997E-2</v>
      </c>
      <c r="T165" s="400">
        <f t="shared" si="37"/>
        <v>8.1809699999999999E-2</v>
      </c>
    </row>
    <row r="166" spans="2:20">
      <c r="B166" s="396">
        <f t="shared" si="38"/>
        <v>50982</v>
      </c>
      <c r="C166" s="357">
        <f t="shared" si="39"/>
        <v>277</v>
      </c>
      <c r="D166" s="397" t="e">
        <f>INDEX('Monthly Cash Flow'!$L$160:$GT$160, MATCH(C166, 'Monthly Cash Flow'!$L$13:$GT$13, 0))</f>
        <v>#N/A</v>
      </c>
      <c r="E166" s="397">
        <f t="shared" ca="1" si="28"/>
        <v>0</v>
      </c>
      <c r="F166" s="397" t="e">
        <f t="shared" si="32"/>
        <v>#N/A</v>
      </c>
      <c r="G166" s="397" t="e">
        <f t="shared" ca="1" si="29"/>
        <v>#N/A</v>
      </c>
      <c r="H166" s="398" t="e">
        <f t="shared" ca="1" si="33"/>
        <v>#N/A</v>
      </c>
      <c r="I166" s="399">
        <f>MAX($J$5, INDEX(LIBOR!$M$3:$M$122,MATCH(B166,LIBOR!$N$3:$N$122)))</f>
        <v>5.1999999999999998E-2</v>
      </c>
      <c r="J166" s="400">
        <f t="shared" si="34"/>
        <v>0.10100000000000001</v>
      </c>
      <c r="L166" s="392">
        <f t="shared" si="40"/>
        <v>49187</v>
      </c>
      <c r="M166" s="357">
        <f t="shared" si="41"/>
        <v>218</v>
      </c>
      <c r="N166" s="397">
        <v>5713.0948107348522</v>
      </c>
      <c r="O166" s="397">
        <f t="shared" si="30"/>
        <v>0</v>
      </c>
      <c r="P166" s="397">
        <f t="shared" si="35"/>
        <v>38.948881044814584</v>
      </c>
      <c r="Q166" s="397">
        <f t="shared" si="31"/>
        <v>-38.948881044814584</v>
      </c>
      <c r="R166" s="398">
        <f t="shared" si="36"/>
        <v>5752.0436917796669</v>
      </c>
      <c r="S166" s="399">
        <f>INDEX(LIBOR!$M$3:$M$122,MATCH(L166,LIBOR!$N$3:$N$122))</f>
        <v>3.2809699999999997E-2</v>
      </c>
      <c r="T166" s="400">
        <f t="shared" si="37"/>
        <v>8.1809699999999999E-2</v>
      </c>
    </row>
    <row r="167" spans="2:20">
      <c r="B167" s="396">
        <f t="shared" si="38"/>
        <v>51013</v>
      </c>
      <c r="C167" s="357">
        <f t="shared" si="39"/>
        <v>278</v>
      </c>
      <c r="D167" s="397" t="e">
        <f>INDEX('Monthly Cash Flow'!$L$160:$GT$160, MATCH(C167, 'Monthly Cash Flow'!$L$13:$GT$13, 0))</f>
        <v>#N/A</v>
      </c>
      <c r="E167" s="397">
        <f t="shared" ca="1" si="28"/>
        <v>0</v>
      </c>
      <c r="F167" s="397" t="e">
        <f t="shared" si="32"/>
        <v>#N/A</v>
      </c>
      <c r="G167" s="397" t="e">
        <f t="shared" ca="1" si="29"/>
        <v>#N/A</v>
      </c>
      <c r="H167" s="398" t="e">
        <f t="shared" ca="1" si="33"/>
        <v>#N/A</v>
      </c>
      <c r="I167" s="399">
        <f>MAX($J$5, INDEX(LIBOR!$M$3:$M$122,MATCH(B167,LIBOR!$N$3:$N$122)))</f>
        <v>5.1999999999999998E-2</v>
      </c>
      <c r="J167" s="400">
        <f t="shared" si="34"/>
        <v>0.10100000000000001</v>
      </c>
      <c r="L167" s="392">
        <f t="shared" si="40"/>
        <v>49217</v>
      </c>
      <c r="M167" s="357">
        <f t="shared" si="41"/>
        <v>219</v>
      </c>
      <c r="N167" s="397">
        <v>5695.7307415964815</v>
      </c>
      <c r="O167" s="397">
        <f t="shared" si="30"/>
        <v>0</v>
      </c>
      <c r="P167" s="397">
        <f t="shared" si="35"/>
        <v>38.830501937565472</v>
      </c>
      <c r="Q167" s="397">
        <f t="shared" si="31"/>
        <v>-38.830501937565472</v>
      </c>
      <c r="R167" s="398">
        <f t="shared" si="36"/>
        <v>5734.5612435340472</v>
      </c>
      <c r="S167" s="399">
        <f>INDEX(LIBOR!$M$3:$M$122,MATCH(L167,LIBOR!$N$3:$N$122))</f>
        <v>3.2809699999999997E-2</v>
      </c>
      <c r="T167" s="400">
        <f t="shared" si="37"/>
        <v>8.1809699999999999E-2</v>
      </c>
    </row>
    <row r="168" spans="2:20">
      <c r="B168" s="396">
        <f t="shared" si="38"/>
        <v>51043</v>
      </c>
      <c r="C168" s="357">
        <f t="shared" si="39"/>
        <v>279</v>
      </c>
      <c r="D168" s="397" t="e">
        <f>INDEX('Monthly Cash Flow'!$L$160:$GT$160, MATCH(C168, 'Monthly Cash Flow'!$L$13:$GT$13, 0))</f>
        <v>#N/A</v>
      </c>
      <c r="E168" s="397">
        <f t="shared" ca="1" si="28"/>
        <v>0</v>
      </c>
      <c r="F168" s="397" t="e">
        <f t="shared" si="32"/>
        <v>#N/A</v>
      </c>
      <c r="G168" s="397" t="e">
        <f t="shared" ca="1" si="29"/>
        <v>#N/A</v>
      </c>
      <c r="H168" s="398" t="e">
        <f t="shared" ca="1" si="33"/>
        <v>#N/A</v>
      </c>
      <c r="I168" s="399">
        <f>MAX($J$5, INDEX(LIBOR!$M$3:$M$122,MATCH(B168,LIBOR!$N$3:$N$122)))</f>
        <v>5.1999999999999998E-2</v>
      </c>
      <c r="J168" s="400">
        <f t="shared" si="34"/>
        <v>0.10100000000000001</v>
      </c>
      <c r="L168" s="392">
        <f t="shared" si="40"/>
        <v>49248</v>
      </c>
      <c r="M168" s="357">
        <f t="shared" si="41"/>
        <v>220</v>
      </c>
      <c r="N168" s="397">
        <v>5678.2875830301009</v>
      </c>
      <c r="O168" s="397">
        <f t="shared" si="30"/>
        <v>0</v>
      </c>
      <c r="P168" s="397">
        <f t="shared" si="35"/>
        <v>38.711583640118135</v>
      </c>
      <c r="Q168" s="397">
        <f t="shared" si="31"/>
        <v>-38.711583640118135</v>
      </c>
      <c r="R168" s="398">
        <f t="shared" si="36"/>
        <v>5716.999166670219</v>
      </c>
      <c r="S168" s="399">
        <f>INDEX(LIBOR!$M$3:$M$122,MATCH(L168,LIBOR!$N$3:$N$122))</f>
        <v>3.2809699999999997E-2</v>
      </c>
      <c r="T168" s="400">
        <f t="shared" si="37"/>
        <v>8.1809699999999999E-2</v>
      </c>
    </row>
    <row r="169" spans="2:20">
      <c r="B169" s="396">
        <f t="shared" si="38"/>
        <v>51074</v>
      </c>
      <c r="C169" s="357">
        <f t="shared" si="39"/>
        <v>280</v>
      </c>
      <c r="D169" s="397" t="e">
        <f>INDEX('Monthly Cash Flow'!$L$160:$GT$160, MATCH(C169, 'Monthly Cash Flow'!$L$13:$GT$13, 0))</f>
        <v>#N/A</v>
      </c>
      <c r="E169" s="397">
        <f t="shared" ca="1" si="28"/>
        <v>0</v>
      </c>
      <c r="F169" s="397" t="e">
        <f t="shared" si="32"/>
        <v>#N/A</v>
      </c>
      <c r="G169" s="397" t="e">
        <f t="shared" ca="1" si="29"/>
        <v>#N/A</v>
      </c>
      <c r="H169" s="398" t="e">
        <f t="shared" ca="1" si="33"/>
        <v>#N/A</v>
      </c>
      <c r="I169" s="399">
        <f>MAX($J$5, INDEX(LIBOR!$M$3:$M$122,MATCH(B169,LIBOR!$N$3:$N$122)))</f>
        <v>5.1999999999999998E-2</v>
      </c>
      <c r="J169" s="400">
        <f t="shared" si="34"/>
        <v>0.10100000000000001</v>
      </c>
      <c r="L169" s="392">
        <f t="shared" si="40"/>
        <v>49278</v>
      </c>
      <c r="M169" s="357">
        <f t="shared" si="41"/>
        <v>221</v>
      </c>
      <c r="N169" s="397">
        <v>5660.7649748011609</v>
      </c>
      <c r="O169" s="397">
        <f t="shared" si="30"/>
        <v>0</v>
      </c>
      <c r="P169" s="397">
        <f t="shared" si="35"/>
        <v>38.59212369658254</v>
      </c>
      <c r="Q169" s="397">
        <f t="shared" si="31"/>
        <v>-38.59212369658254</v>
      </c>
      <c r="R169" s="398">
        <f t="shared" si="36"/>
        <v>5699.3570984977432</v>
      </c>
      <c r="S169" s="399">
        <f>INDEX(LIBOR!$M$3:$M$122,MATCH(L169,LIBOR!$N$3:$N$122))</f>
        <v>3.2809699999999997E-2</v>
      </c>
      <c r="T169" s="400">
        <f t="shared" si="37"/>
        <v>8.1809699999999999E-2</v>
      </c>
    </row>
    <row r="170" spans="2:20">
      <c r="B170" s="396">
        <f t="shared" si="38"/>
        <v>51104</v>
      </c>
      <c r="C170" s="357">
        <f t="shared" si="39"/>
        <v>281</v>
      </c>
      <c r="D170" s="397" t="e">
        <f>INDEX('Monthly Cash Flow'!$L$160:$GT$160, MATCH(C170, 'Monthly Cash Flow'!$L$13:$GT$13, 0))</f>
        <v>#N/A</v>
      </c>
      <c r="E170" s="397">
        <f t="shared" ca="1" si="28"/>
        <v>0</v>
      </c>
      <c r="F170" s="397" t="e">
        <f t="shared" si="32"/>
        <v>#N/A</v>
      </c>
      <c r="G170" s="397" t="e">
        <f t="shared" ca="1" si="29"/>
        <v>#N/A</v>
      </c>
      <c r="H170" s="398" t="e">
        <f t="shared" ca="1" si="33"/>
        <v>#N/A</v>
      </c>
      <c r="I170" s="399">
        <f>MAX($J$5, INDEX(LIBOR!$M$3:$M$122,MATCH(B170,LIBOR!$N$3:$N$122)))</f>
        <v>5.1999999999999998E-2</v>
      </c>
      <c r="J170" s="400">
        <f t="shared" si="34"/>
        <v>0.10100000000000001</v>
      </c>
      <c r="L170" s="392">
        <f t="shared" si="40"/>
        <v>49309</v>
      </c>
      <c r="M170" s="357">
        <f t="shared" si="41"/>
        <v>222</v>
      </c>
      <c r="N170" s="397">
        <v>5643.1625550343251</v>
      </c>
      <c r="O170" s="397">
        <f t="shared" si="30"/>
        <v>0</v>
      </c>
      <c r="P170" s="397">
        <f t="shared" si="35"/>
        <v>38.472119639882635</v>
      </c>
      <c r="Q170" s="397">
        <f t="shared" si="31"/>
        <v>-38.472119639882635</v>
      </c>
      <c r="R170" s="398">
        <f t="shared" si="36"/>
        <v>5681.6346746742074</v>
      </c>
      <c r="S170" s="399">
        <f>INDEX(LIBOR!$M$3:$M$122,MATCH(L170,LIBOR!$N$3:$N$122))</f>
        <v>3.2809699999999997E-2</v>
      </c>
      <c r="T170" s="400">
        <f t="shared" si="37"/>
        <v>8.1809699999999999E-2</v>
      </c>
    </row>
    <row r="171" spans="2:20">
      <c r="B171" s="396">
        <f t="shared" si="38"/>
        <v>51135</v>
      </c>
      <c r="C171" s="357">
        <f t="shared" si="39"/>
        <v>282</v>
      </c>
      <c r="D171" s="397" t="e">
        <f>INDEX('Monthly Cash Flow'!$L$160:$GT$160, MATCH(C171, 'Monthly Cash Flow'!$L$13:$GT$13, 0))</f>
        <v>#N/A</v>
      </c>
      <c r="E171" s="397">
        <f t="shared" ca="1" si="28"/>
        <v>0</v>
      </c>
      <c r="F171" s="397" t="e">
        <f t="shared" si="32"/>
        <v>#N/A</v>
      </c>
      <c r="G171" s="397" t="e">
        <f t="shared" ca="1" si="29"/>
        <v>#N/A</v>
      </c>
      <c r="H171" s="398" t="e">
        <f t="shared" ca="1" si="33"/>
        <v>#N/A</v>
      </c>
      <c r="I171" s="399">
        <f>MAX($J$5, INDEX(LIBOR!$M$3:$M$122,MATCH(B171,LIBOR!$N$3:$N$122)))</f>
        <v>5.1999999999999998E-2</v>
      </c>
      <c r="J171" s="400">
        <f t="shared" si="34"/>
        <v>0.10100000000000001</v>
      </c>
      <c r="L171" s="392">
        <f t="shared" si="40"/>
        <v>49340</v>
      </c>
      <c r="M171" s="357">
        <f t="shared" si="41"/>
        <v>223</v>
      </c>
      <c r="N171" s="397">
        <v>5625.4799602059957</v>
      </c>
      <c r="O171" s="397">
        <f t="shared" si="30"/>
        <v>0</v>
      </c>
      <c r="P171" s="397">
        <f t="shared" si="35"/>
        <v>38.351568991705371</v>
      </c>
      <c r="Q171" s="397">
        <f t="shared" si="31"/>
        <v>-38.351568991705371</v>
      </c>
      <c r="R171" s="398">
        <f t="shared" si="36"/>
        <v>5663.8315291977015</v>
      </c>
      <c r="S171" s="399">
        <f>INDEX(LIBOR!$M$3:$M$122,MATCH(L171,LIBOR!$N$3:$N$122))</f>
        <v>3.2809699999999997E-2</v>
      </c>
      <c r="T171" s="400">
        <f t="shared" si="37"/>
        <v>8.1809699999999999E-2</v>
      </c>
    </row>
    <row r="172" spans="2:20">
      <c r="B172" s="396">
        <f t="shared" si="38"/>
        <v>51166</v>
      </c>
      <c r="C172" s="357">
        <f t="shared" si="39"/>
        <v>283</v>
      </c>
      <c r="D172" s="397" t="e">
        <f>INDEX('Monthly Cash Flow'!$L$160:$GT$160, MATCH(C172, 'Monthly Cash Flow'!$L$13:$GT$13, 0))</f>
        <v>#N/A</v>
      </c>
      <c r="E172" s="397">
        <f t="shared" ca="1" si="28"/>
        <v>0</v>
      </c>
      <c r="F172" s="397" t="e">
        <f t="shared" si="32"/>
        <v>#N/A</v>
      </c>
      <c r="G172" s="397" t="e">
        <f t="shared" ca="1" si="29"/>
        <v>#N/A</v>
      </c>
      <c r="H172" s="398" t="e">
        <f t="shared" ca="1" si="33"/>
        <v>#N/A</v>
      </c>
      <c r="I172" s="399">
        <f>MAX($J$5, INDEX(LIBOR!$M$3:$M$122,MATCH(B172,LIBOR!$N$3:$N$122)))</f>
        <v>5.1999999999999998E-2</v>
      </c>
      <c r="J172" s="400">
        <f t="shared" si="34"/>
        <v>0.10100000000000001</v>
      </c>
      <c r="L172" s="392">
        <f t="shared" si="40"/>
        <v>49368</v>
      </c>
      <c r="M172" s="357">
        <f t="shared" si="41"/>
        <v>224</v>
      </c>
      <c r="N172" s="397">
        <v>5607.7168251368075</v>
      </c>
      <c r="O172" s="397">
        <f t="shared" si="30"/>
        <v>0</v>
      </c>
      <c r="P172" s="397">
        <f t="shared" si="35"/>
        <v>38.230469262449553</v>
      </c>
      <c r="Q172" s="397">
        <f t="shared" si="31"/>
        <v>-38.230469262449553</v>
      </c>
      <c r="R172" s="398">
        <f t="shared" si="36"/>
        <v>5645.9472943992569</v>
      </c>
      <c r="S172" s="399">
        <f>INDEX(LIBOR!$M$3:$M$122,MATCH(L172,LIBOR!$N$3:$N$122))</f>
        <v>3.2809699999999997E-2</v>
      </c>
      <c r="T172" s="400">
        <f t="shared" si="37"/>
        <v>8.1809699999999999E-2</v>
      </c>
    </row>
    <row r="173" spans="2:20">
      <c r="B173" s="396">
        <f t="shared" si="38"/>
        <v>51195</v>
      </c>
      <c r="C173" s="357">
        <f t="shared" si="39"/>
        <v>284</v>
      </c>
      <c r="D173" s="397" t="e">
        <f>INDEX('Monthly Cash Flow'!$L$160:$GT$160, MATCH(C173, 'Monthly Cash Flow'!$L$13:$GT$13, 0))</f>
        <v>#N/A</v>
      </c>
      <c r="E173" s="397">
        <f t="shared" ca="1" si="28"/>
        <v>0</v>
      </c>
      <c r="F173" s="397" t="e">
        <f t="shared" si="32"/>
        <v>#N/A</v>
      </c>
      <c r="G173" s="397" t="e">
        <f t="shared" ca="1" si="29"/>
        <v>#N/A</v>
      </c>
      <c r="H173" s="398" t="e">
        <f t="shared" ca="1" si="33"/>
        <v>#N/A</v>
      </c>
      <c r="I173" s="399">
        <f>MAX($J$5, INDEX(LIBOR!$M$3:$M$122,MATCH(B173,LIBOR!$N$3:$N$122)))</f>
        <v>5.1999999999999998E-2</v>
      </c>
      <c r="J173" s="400">
        <f t="shared" si="34"/>
        <v>0.10100000000000001</v>
      </c>
      <c r="L173" s="392">
        <f t="shared" si="40"/>
        <v>49399</v>
      </c>
      <c r="M173" s="357">
        <f t="shared" si="41"/>
        <v>225</v>
      </c>
      <c r="N173" s="397">
        <v>5589.8727829840846</v>
      </c>
      <c r="O173" s="397">
        <f t="shared" si="30"/>
        <v>0</v>
      </c>
      <c r="P173" s="397">
        <f t="shared" si="35"/>
        <v>38.108817951174423</v>
      </c>
      <c r="Q173" s="397">
        <f t="shared" si="31"/>
        <v>-38.108817951174423</v>
      </c>
      <c r="R173" s="398">
        <f t="shared" si="36"/>
        <v>5627.9816009352589</v>
      </c>
      <c r="S173" s="399">
        <f>INDEX(LIBOR!$M$3:$M$122,MATCH(L173,LIBOR!$N$3:$N$122))</f>
        <v>3.2809699999999997E-2</v>
      </c>
      <c r="T173" s="400">
        <f t="shared" si="37"/>
        <v>8.1809699999999999E-2</v>
      </c>
    </row>
    <row r="174" spans="2:20">
      <c r="B174" s="396">
        <f t="shared" si="38"/>
        <v>51226</v>
      </c>
      <c r="C174" s="357">
        <f t="shared" si="39"/>
        <v>285</v>
      </c>
      <c r="D174" s="397" t="e">
        <f>INDEX('Monthly Cash Flow'!$L$160:$GT$160, MATCH(C174, 'Monthly Cash Flow'!$L$13:$GT$13, 0))</f>
        <v>#N/A</v>
      </c>
      <c r="E174" s="397">
        <f t="shared" ca="1" si="28"/>
        <v>0</v>
      </c>
      <c r="F174" s="397" t="e">
        <f t="shared" si="32"/>
        <v>#N/A</v>
      </c>
      <c r="G174" s="397" t="e">
        <f t="shared" ca="1" si="29"/>
        <v>#N/A</v>
      </c>
      <c r="H174" s="398" t="e">
        <f t="shared" ca="1" si="33"/>
        <v>#N/A</v>
      </c>
      <c r="I174" s="399">
        <f>MAX($J$5, INDEX(LIBOR!$M$3:$M$122,MATCH(B174,LIBOR!$N$3:$N$122)))</f>
        <v>5.1999999999999998E-2</v>
      </c>
      <c r="J174" s="400">
        <f t="shared" si="34"/>
        <v>0.10100000000000001</v>
      </c>
      <c r="L174" s="392">
        <f t="shared" si="40"/>
        <v>49429</v>
      </c>
      <c r="M174" s="357">
        <f t="shared" si="41"/>
        <v>226</v>
      </c>
      <c r="N174" s="397">
        <v>5571.9474652342651</v>
      </c>
      <c r="O174" s="397">
        <f t="shared" si="30"/>
        <v>0</v>
      </c>
      <c r="P174" s="397">
        <f t="shared" si="35"/>
        <v>37.98661254554797</v>
      </c>
      <c r="Q174" s="397">
        <f t="shared" si="31"/>
        <v>-37.98661254554797</v>
      </c>
      <c r="R174" s="398">
        <f t="shared" si="36"/>
        <v>5609.9340777798134</v>
      </c>
      <c r="S174" s="399">
        <f>INDEX(LIBOR!$M$3:$M$122,MATCH(L174,LIBOR!$N$3:$N$122))</f>
        <v>3.2809699999999997E-2</v>
      </c>
      <c r="T174" s="400">
        <f t="shared" si="37"/>
        <v>8.1809699999999999E-2</v>
      </c>
    </row>
    <row r="175" spans="2:20">
      <c r="B175" s="396">
        <f t="shared" si="38"/>
        <v>51256</v>
      </c>
      <c r="C175" s="357">
        <f t="shared" si="39"/>
        <v>286</v>
      </c>
      <c r="D175" s="397" t="e">
        <f>INDEX('Monthly Cash Flow'!$L$160:$GT$160, MATCH(C175, 'Monthly Cash Flow'!$L$13:$GT$13, 0))</f>
        <v>#N/A</v>
      </c>
      <c r="E175" s="397">
        <f t="shared" ca="1" si="28"/>
        <v>0</v>
      </c>
      <c r="F175" s="397" t="e">
        <f t="shared" si="32"/>
        <v>#N/A</v>
      </c>
      <c r="G175" s="397" t="e">
        <f t="shared" ca="1" si="29"/>
        <v>#N/A</v>
      </c>
      <c r="H175" s="398" t="e">
        <f t="shared" ca="1" si="33"/>
        <v>#N/A</v>
      </c>
      <c r="I175" s="399">
        <f>MAX($J$5, INDEX(LIBOR!$M$3:$M$122,MATCH(B175,LIBOR!$N$3:$N$122)))</f>
        <v>5.1999999999999998E-2</v>
      </c>
      <c r="J175" s="400">
        <f t="shared" si="34"/>
        <v>0.10100000000000001</v>
      </c>
      <c r="L175" s="392">
        <f t="shared" si="40"/>
        <v>49460</v>
      </c>
      <c r="M175" s="357">
        <f t="shared" si="41"/>
        <v>227</v>
      </c>
      <c r="N175" s="397">
        <v>5553.9405016952915</v>
      </c>
      <c r="O175" s="397">
        <f t="shared" si="30"/>
        <v>0</v>
      </c>
      <c r="P175" s="397">
        <f t="shared" si="35"/>
        <v>37.863850521795108</v>
      </c>
      <c r="Q175" s="397">
        <f t="shared" si="31"/>
        <v>-37.863850521795108</v>
      </c>
      <c r="R175" s="398">
        <f t="shared" si="36"/>
        <v>5591.8043522170865</v>
      </c>
      <c r="S175" s="399">
        <f>INDEX(LIBOR!$M$3:$M$122,MATCH(L175,LIBOR!$N$3:$N$122))</f>
        <v>3.2809699999999997E-2</v>
      </c>
      <c r="T175" s="400">
        <f t="shared" si="37"/>
        <v>8.1809699999999999E-2</v>
      </c>
    </row>
    <row r="176" spans="2:20">
      <c r="B176" s="396">
        <f t="shared" si="38"/>
        <v>51287</v>
      </c>
      <c r="C176" s="357">
        <f t="shared" si="39"/>
        <v>287</v>
      </c>
      <c r="D176" s="397" t="e">
        <f>INDEX('Monthly Cash Flow'!$L$160:$GT$160, MATCH(C176, 'Monthly Cash Flow'!$L$13:$GT$13, 0))</f>
        <v>#N/A</v>
      </c>
      <c r="E176" s="397">
        <f t="shared" ca="1" si="28"/>
        <v>0</v>
      </c>
      <c r="F176" s="397" t="e">
        <f t="shared" si="32"/>
        <v>#N/A</v>
      </c>
      <c r="G176" s="397" t="e">
        <f t="shared" ca="1" si="29"/>
        <v>#N/A</v>
      </c>
      <c r="H176" s="398" t="e">
        <f t="shared" ca="1" si="33"/>
        <v>#N/A</v>
      </c>
      <c r="I176" s="399">
        <f>MAX($J$5, INDEX(LIBOR!$M$3:$M$122,MATCH(B176,LIBOR!$N$3:$N$122)))</f>
        <v>5.1999999999999998E-2</v>
      </c>
      <c r="J176" s="400">
        <f t="shared" si="34"/>
        <v>0.10100000000000001</v>
      </c>
      <c r="L176" s="392">
        <f t="shared" si="40"/>
        <v>49490</v>
      </c>
      <c r="M176" s="357">
        <f t="shared" si="41"/>
        <v>228</v>
      </c>
      <c r="N176" s="397">
        <v>5535.8515204889645</v>
      </c>
      <c r="O176" s="397">
        <f t="shared" si="30"/>
        <v>0</v>
      </c>
      <c r="P176" s="397">
        <f t="shared" si="35"/>
        <v>37.740529344645502</v>
      </c>
      <c r="Q176" s="397">
        <f t="shared" si="31"/>
        <v>-37.740529344645502</v>
      </c>
      <c r="R176" s="398">
        <f t="shared" si="36"/>
        <v>5573.59204983361</v>
      </c>
      <c r="S176" s="399">
        <f>INDEX(LIBOR!$M$3:$M$122,MATCH(L176,LIBOR!$N$3:$N$122))</f>
        <v>3.2809699999999997E-2</v>
      </c>
      <c r="T176" s="400">
        <f t="shared" si="37"/>
        <v>8.1809699999999999E-2</v>
      </c>
    </row>
    <row r="177" spans="2:20">
      <c r="B177" s="396">
        <f t="shared" si="38"/>
        <v>51317</v>
      </c>
      <c r="C177" s="357">
        <f t="shared" si="39"/>
        <v>288</v>
      </c>
      <c r="D177" s="397" t="e">
        <f>INDEX('Monthly Cash Flow'!$L$160:$GT$160, MATCH(C177, 'Monthly Cash Flow'!$L$13:$GT$13, 0))</f>
        <v>#N/A</v>
      </c>
      <c r="E177" s="397">
        <f t="shared" ca="1" si="28"/>
        <v>0</v>
      </c>
      <c r="F177" s="397" t="e">
        <f t="shared" si="32"/>
        <v>#N/A</v>
      </c>
      <c r="G177" s="397" t="e">
        <f t="shared" ca="1" si="29"/>
        <v>#N/A</v>
      </c>
      <c r="H177" s="398" t="e">
        <f t="shared" ca="1" si="33"/>
        <v>#N/A</v>
      </c>
      <c r="I177" s="399">
        <f>MAX($J$5, INDEX(LIBOR!$M$3:$M$122,MATCH(B177,LIBOR!$N$3:$N$122)))</f>
        <v>5.1999999999999998E-2</v>
      </c>
      <c r="J177" s="400">
        <f t="shared" si="34"/>
        <v>0.10100000000000001</v>
      </c>
      <c r="L177" s="392">
        <f t="shared" si="40"/>
        <v>49521</v>
      </c>
      <c r="M177" s="357">
        <f t="shared" si="41"/>
        <v>229</v>
      </c>
      <c r="N177" s="397">
        <v>5517.6801480432641</v>
      </c>
      <c r="O177" s="397">
        <f t="shared" si="30"/>
        <v>0</v>
      </c>
      <c r="P177" s="397">
        <f t="shared" si="35"/>
        <v>37.616646467281249</v>
      </c>
      <c r="Q177" s="397">
        <f t="shared" si="31"/>
        <v>-37.616646467281249</v>
      </c>
      <c r="R177" s="398">
        <f t="shared" si="36"/>
        <v>5555.2967945105456</v>
      </c>
      <c r="S177" s="399">
        <f>INDEX(LIBOR!$M$3:$M$122,MATCH(L177,LIBOR!$N$3:$N$122))</f>
        <v>3.2809699999999997E-2</v>
      </c>
      <c r="T177" s="400">
        <f t="shared" si="37"/>
        <v>8.1809699999999999E-2</v>
      </c>
    </row>
    <row r="178" spans="2:20">
      <c r="B178" s="396">
        <f t="shared" si="38"/>
        <v>51348</v>
      </c>
      <c r="C178" s="357">
        <f t="shared" si="39"/>
        <v>289</v>
      </c>
      <c r="D178" s="397" t="e">
        <f>INDEX('Monthly Cash Flow'!$L$160:$GT$160, MATCH(C178, 'Monthly Cash Flow'!$L$13:$GT$13, 0))</f>
        <v>#N/A</v>
      </c>
      <c r="E178" s="397">
        <f t="shared" ca="1" si="28"/>
        <v>0</v>
      </c>
      <c r="F178" s="397" t="e">
        <f t="shared" si="32"/>
        <v>#N/A</v>
      </c>
      <c r="G178" s="397" t="e">
        <f t="shared" ca="1" si="29"/>
        <v>#N/A</v>
      </c>
      <c r="H178" s="398" t="e">
        <f t="shared" ca="1" si="33"/>
        <v>#N/A</v>
      </c>
      <c r="I178" s="399">
        <f>MAX($J$5, INDEX(LIBOR!$M$3:$M$122,MATCH(B178,LIBOR!$N$3:$N$122)))</f>
        <v>5.1999999999999998E-2</v>
      </c>
      <c r="J178" s="400">
        <f t="shared" si="34"/>
        <v>0.10100000000000001</v>
      </c>
      <c r="L178" s="392">
        <f t="shared" si="40"/>
        <v>49552</v>
      </c>
      <c r="M178" s="357">
        <f t="shared" si="41"/>
        <v>230</v>
      </c>
      <c r="N178" s="397">
        <v>5499.4260090846319</v>
      </c>
      <c r="O178" s="397">
        <f t="shared" si="30"/>
        <v>0</v>
      </c>
      <c r="P178" s="397">
        <f t="shared" si="35"/>
        <v>37.492199331284247</v>
      </c>
      <c r="Q178" s="397">
        <f t="shared" si="31"/>
        <v>-37.492199331284247</v>
      </c>
      <c r="R178" s="398">
        <f t="shared" si="36"/>
        <v>5536.9182084159165</v>
      </c>
      <c r="S178" s="399">
        <f>INDEX(LIBOR!$M$3:$M$122,MATCH(L178,LIBOR!$N$3:$N$122))</f>
        <v>3.2809699999999997E-2</v>
      </c>
      <c r="T178" s="400">
        <f t="shared" si="37"/>
        <v>8.1809699999999999E-2</v>
      </c>
    </row>
    <row r="179" spans="2:20">
      <c r="B179" s="396">
        <f t="shared" si="38"/>
        <v>51379</v>
      </c>
      <c r="C179" s="357">
        <f t="shared" si="39"/>
        <v>290</v>
      </c>
      <c r="D179" s="397" t="e">
        <f>INDEX('Monthly Cash Flow'!$L$160:$GT$160, MATCH(C179, 'Monthly Cash Flow'!$L$13:$GT$13, 0))</f>
        <v>#N/A</v>
      </c>
      <c r="E179" s="397">
        <f t="shared" ca="1" si="28"/>
        <v>0</v>
      </c>
      <c r="F179" s="397" t="e">
        <f t="shared" si="32"/>
        <v>#N/A</v>
      </c>
      <c r="G179" s="397" t="e">
        <f t="shared" ca="1" si="29"/>
        <v>#N/A</v>
      </c>
      <c r="H179" s="398" t="e">
        <f t="shared" ca="1" si="33"/>
        <v>#N/A</v>
      </c>
      <c r="I179" s="399">
        <f>MAX($J$5, INDEX(LIBOR!$M$3:$M$122,MATCH(B179,LIBOR!$N$3:$N$122)))</f>
        <v>5.1999999999999998E-2</v>
      </c>
      <c r="J179" s="400">
        <f t="shared" si="34"/>
        <v>0.10100000000000001</v>
      </c>
      <c r="L179" s="392">
        <f t="shared" si="40"/>
        <v>49582</v>
      </c>
      <c r="M179" s="357">
        <f t="shared" si="41"/>
        <v>231</v>
      </c>
      <c r="N179" s="397">
        <v>5481.0887266302243</v>
      </c>
      <c r="O179" s="397">
        <f t="shared" si="30"/>
        <v>0</v>
      </c>
      <c r="P179" s="397">
        <f t="shared" si="35"/>
        <v>37.367185366583392</v>
      </c>
      <c r="Q179" s="397">
        <f t="shared" si="31"/>
        <v>-37.367185366583392</v>
      </c>
      <c r="R179" s="398">
        <f t="shared" si="36"/>
        <v>5518.455911996808</v>
      </c>
      <c r="S179" s="399">
        <f>INDEX(LIBOR!$M$3:$M$122,MATCH(L179,LIBOR!$N$3:$N$122))</f>
        <v>3.2809699999999997E-2</v>
      </c>
      <c r="T179" s="400">
        <f t="shared" si="37"/>
        <v>8.1809699999999999E-2</v>
      </c>
    </row>
    <row r="180" spans="2:20">
      <c r="B180" s="396">
        <f t="shared" si="38"/>
        <v>51409</v>
      </c>
      <c r="C180" s="357">
        <f t="shared" si="39"/>
        <v>291</v>
      </c>
      <c r="D180" s="397" t="e">
        <f>INDEX('Monthly Cash Flow'!$L$160:$GT$160, MATCH(C180, 'Monthly Cash Flow'!$L$13:$GT$13, 0))</f>
        <v>#N/A</v>
      </c>
      <c r="E180" s="397">
        <f t="shared" ca="1" si="28"/>
        <v>0</v>
      </c>
      <c r="F180" s="397" t="e">
        <f t="shared" si="32"/>
        <v>#N/A</v>
      </c>
      <c r="G180" s="397" t="e">
        <f t="shared" ca="1" si="29"/>
        <v>#N/A</v>
      </c>
      <c r="H180" s="398" t="e">
        <f t="shared" ca="1" si="33"/>
        <v>#N/A</v>
      </c>
      <c r="I180" s="399">
        <f>MAX($J$5, INDEX(LIBOR!$M$3:$M$122,MATCH(B180,LIBOR!$N$3:$N$122)))</f>
        <v>5.1999999999999998E-2</v>
      </c>
      <c r="J180" s="400">
        <f t="shared" si="34"/>
        <v>0.10100000000000001</v>
      </c>
      <c r="L180" s="392">
        <f t="shared" si="40"/>
        <v>49613</v>
      </c>
      <c r="M180" s="357">
        <f t="shared" si="41"/>
        <v>232</v>
      </c>
      <c r="N180" s="397">
        <v>5462.6679219801254</v>
      </c>
      <c r="O180" s="397">
        <f t="shared" si="30"/>
        <v>0</v>
      </c>
      <c r="P180" s="397">
        <f t="shared" si="35"/>
        <v>37.241601991401453</v>
      </c>
      <c r="Q180" s="397">
        <f t="shared" si="31"/>
        <v>-37.241601991401453</v>
      </c>
      <c r="R180" s="398">
        <f t="shared" si="36"/>
        <v>5499.9095239715271</v>
      </c>
      <c r="S180" s="399">
        <f>INDEX(LIBOR!$M$3:$M$122,MATCH(L180,LIBOR!$N$3:$N$122))</f>
        <v>3.2809699999999997E-2</v>
      </c>
      <c r="T180" s="400">
        <f t="shared" si="37"/>
        <v>8.1809699999999999E-2</v>
      </c>
    </row>
    <row r="181" spans="2:20">
      <c r="B181" s="396">
        <f t="shared" si="38"/>
        <v>51440</v>
      </c>
      <c r="C181" s="357">
        <f t="shared" si="39"/>
        <v>292</v>
      </c>
      <c r="D181" s="397" t="e">
        <f>INDEX('Monthly Cash Flow'!$L$160:$GT$160, MATCH(C181, 'Monthly Cash Flow'!$L$13:$GT$13, 0))</f>
        <v>#N/A</v>
      </c>
      <c r="E181" s="397">
        <f t="shared" ca="1" si="28"/>
        <v>0</v>
      </c>
      <c r="F181" s="397" t="e">
        <f t="shared" si="32"/>
        <v>#N/A</v>
      </c>
      <c r="G181" s="397" t="e">
        <f t="shared" ca="1" si="29"/>
        <v>#N/A</v>
      </c>
      <c r="H181" s="398" t="e">
        <f t="shared" ca="1" si="33"/>
        <v>#N/A</v>
      </c>
      <c r="I181" s="399">
        <f>MAX($J$5, INDEX(LIBOR!$M$3:$M$122,MATCH(B181,LIBOR!$N$3:$N$122)))</f>
        <v>5.1999999999999998E-2</v>
      </c>
      <c r="J181" s="400">
        <f t="shared" si="34"/>
        <v>0.10100000000000001</v>
      </c>
      <c r="L181" s="392">
        <f t="shared" si="40"/>
        <v>49643</v>
      </c>
      <c r="M181" s="357">
        <f t="shared" si="41"/>
        <v>233</v>
      </c>
      <c r="N181" s="397">
        <v>5444.163214709527</v>
      </c>
      <c r="O181" s="397">
        <f t="shared" si="30"/>
        <v>0</v>
      </c>
      <c r="P181" s="397">
        <f t="shared" si="35"/>
        <v>37.115446612201829</v>
      </c>
      <c r="Q181" s="397">
        <f t="shared" si="31"/>
        <v>-37.115446612201829</v>
      </c>
      <c r="R181" s="398">
        <f t="shared" si="36"/>
        <v>5481.2786613217286</v>
      </c>
      <c r="S181" s="399">
        <f>INDEX(LIBOR!$M$3:$M$122,MATCH(L181,LIBOR!$N$3:$N$122))</f>
        <v>3.2809699999999997E-2</v>
      </c>
      <c r="T181" s="400">
        <f t="shared" si="37"/>
        <v>8.1809699999999999E-2</v>
      </c>
    </row>
    <row r="182" spans="2:20">
      <c r="B182" s="396">
        <f t="shared" si="38"/>
        <v>51470</v>
      </c>
      <c r="C182" s="357">
        <f t="shared" si="39"/>
        <v>293</v>
      </c>
      <c r="D182" s="397" t="e">
        <f>INDEX('Monthly Cash Flow'!$L$160:$GT$160, MATCH(C182, 'Monthly Cash Flow'!$L$13:$GT$13, 0))</f>
        <v>#N/A</v>
      </c>
      <c r="E182" s="397">
        <f t="shared" ca="1" si="28"/>
        <v>0</v>
      </c>
      <c r="F182" s="397" t="e">
        <f t="shared" si="32"/>
        <v>#N/A</v>
      </c>
      <c r="G182" s="397" t="e">
        <f t="shared" ca="1" si="29"/>
        <v>#N/A</v>
      </c>
      <c r="H182" s="398" t="e">
        <f t="shared" ca="1" si="33"/>
        <v>#N/A</v>
      </c>
      <c r="I182" s="399">
        <f>MAX($J$5, INDEX(LIBOR!$M$3:$M$122,MATCH(B182,LIBOR!$N$3:$N$122)))</f>
        <v>5.1999999999999998E-2</v>
      </c>
      <c r="J182" s="400">
        <f t="shared" si="34"/>
        <v>0.10100000000000001</v>
      </c>
      <c r="L182" s="392">
        <f t="shared" si="40"/>
        <v>49674</v>
      </c>
      <c r="M182" s="357">
        <f t="shared" si="41"/>
        <v>234</v>
      </c>
      <c r="N182" s="397">
        <v>5425.57422266087</v>
      </c>
      <c r="O182" s="397">
        <f t="shared" si="30"/>
        <v>0</v>
      </c>
      <c r="P182" s="397">
        <f t="shared" si="35"/>
        <v>36.988716623634915</v>
      </c>
      <c r="Q182" s="397">
        <f t="shared" si="31"/>
        <v>-36.988716623634915</v>
      </c>
      <c r="R182" s="398">
        <f t="shared" si="36"/>
        <v>5462.5629392845049</v>
      </c>
      <c r="S182" s="399">
        <f>INDEX(LIBOR!$M$3:$M$122,MATCH(L182,LIBOR!$N$3:$N$122))</f>
        <v>3.2809699999999997E-2</v>
      </c>
      <c r="T182" s="400">
        <f t="shared" si="37"/>
        <v>8.1809699999999999E-2</v>
      </c>
    </row>
    <row r="183" spans="2:20">
      <c r="B183" s="396">
        <f t="shared" si="38"/>
        <v>51501</v>
      </c>
      <c r="C183" s="357">
        <f t="shared" si="39"/>
        <v>294</v>
      </c>
      <c r="D183" s="397" t="e">
        <f>INDEX('Monthly Cash Flow'!$L$160:$GT$160, MATCH(C183, 'Monthly Cash Flow'!$L$13:$GT$13, 0))</f>
        <v>#N/A</v>
      </c>
      <c r="E183" s="397">
        <f t="shared" ca="1" si="28"/>
        <v>0</v>
      </c>
      <c r="F183" s="397" t="e">
        <f t="shared" si="32"/>
        <v>#N/A</v>
      </c>
      <c r="G183" s="397" t="e">
        <f t="shared" ca="1" si="29"/>
        <v>#N/A</v>
      </c>
      <c r="H183" s="398" t="e">
        <f t="shared" ca="1" si="33"/>
        <v>#N/A</v>
      </c>
      <c r="I183" s="399">
        <f>MAX($J$5, INDEX(LIBOR!$M$3:$M$122,MATCH(B183,LIBOR!$N$3:$N$122)))</f>
        <v>5.1999999999999998E-2</v>
      </c>
      <c r="J183" s="400">
        <f t="shared" si="34"/>
        <v>0.10100000000000001</v>
      </c>
      <c r="L183" s="392">
        <f t="shared" si="40"/>
        <v>49705</v>
      </c>
      <c r="M183" s="357">
        <f t="shared" si="41"/>
        <v>235</v>
      </c>
      <c r="N183" s="397">
        <v>5406.9005619359541</v>
      </c>
      <c r="O183" s="397">
        <f t="shared" si="30"/>
        <v>0</v>
      </c>
      <c r="P183" s="397">
        <f t="shared" si="35"/>
        <v>36.86140940848432</v>
      </c>
      <c r="Q183" s="397">
        <f t="shared" si="31"/>
        <v>-36.86140940848432</v>
      </c>
      <c r="R183" s="398">
        <f t="shared" si="36"/>
        <v>5443.7619713444383</v>
      </c>
      <c r="S183" s="399">
        <f>INDEX(LIBOR!$M$3:$M$122,MATCH(L183,LIBOR!$N$3:$N$122))</f>
        <v>3.2809699999999997E-2</v>
      </c>
      <c r="T183" s="400">
        <f t="shared" si="37"/>
        <v>8.1809699999999999E-2</v>
      </c>
    </row>
    <row r="184" spans="2:20">
      <c r="B184" s="396">
        <f t="shared" si="38"/>
        <v>51532</v>
      </c>
      <c r="C184" s="357">
        <f t="shared" si="39"/>
        <v>295</v>
      </c>
      <c r="D184" s="397" t="e">
        <f>INDEX('Monthly Cash Flow'!$L$160:$GT$160, MATCH(C184, 'Monthly Cash Flow'!$L$13:$GT$13, 0))</f>
        <v>#N/A</v>
      </c>
      <c r="E184" s="397">
        <f t="shared" ca="1" si="28"/>
        <v>0</v>
      </c>
      <c r="F184" s="397" t="e">
        <f t="shared" si="32"/>
        <v>#N/A</v>
      </c>
      <c r="G184" s="397" t="e">
        <f t="shared" ca="1" si="29"/>
        <v>#N/A</v>
      </c>
      <c r="H184" s="398" t="e">
        <f t="shared" ca="1" si="33"/>
        <v>#N/A</v>
      </c>
      <c r="I184" s="399">
        <f>MAX($J$5, INDEX(LIBOR!$M$3:$M$122,MATCH(B184,LIBOR!$N$3:$N$122)))</f>
        <v>5.1999999999999998E-2</v>
      </c>
      <c r="J184" s="400">
        <f t="shared" si="34"/>
        <v>0.10100000000000001</v>
      </c>
      <c r="L184" s="392">
        <f t="shared" si="40"/>
        <v>49734</v>
      </c>
      <c r="M184" s="357">
        <f t="shared" si="41"/>
        <v>236</v>
      </c>
      <c r="N184" s="397">
        <v>5388.1418468880101</v>
      </c>
      <c r="O184" s="397">
        <f t="shared" si="30"/>
        <v>0</v>
      </c>
      <c r="P184" s="397">
        <f t="shared" si="35"/>
        <v>36.733522337612833</v>
      </c>
      <c r="Q184" s="397">
        <f t="shared" si="31"/>
        <v>-36.733522337612833</v>
      </c>
      <c r="R184" s="398">
        <f t="shared" si="36"/>
        <v>5424.8753692256232</v>
      </c>
      <c r="S184" s="399">
        <f>INDEX(LIBOR!$M$3:$M$122,MATCH(L184,LIBOR!$N$3:$N$122))</f>
        <v>3.2809699999999997E-2</v>
      </c>
      <c r="T184" s="400">
        <f t="shared" si="37"/>
        <v>8.1809699999999999E-2</v>
      </c>
    </row>
    <row r="185" spans="2:20">
      <c r="B185" s="396">
        <f t="shared" si="38"/>
        <v>51560</v>
      </c>
      <c r="C185" s="357">
        <f t="shared" si="39"/>
        <v>296</v>
      </c>
      <c r="D185" s="397" t="e">
        <f>INDEX('Monthly Cash Flow'!$L$160:$GT$160, MATCH(C185, 'Monthly Cash Flow'!$L$13:$GT$13, 0))</f>
        <v>#N/A</v>
      </c>
      <c r="E185" s="397">
        <f t="shared" ca="1" si="28"/>
        <v>0</v>
      </c>
      <c r="F185" s="397" t="e">
        <f t="shared" si="32"/>
        <v>#N/A</v>
      </c>
      <c r="G185" s="397" t="e">
        <f t="shared" ca="1" si="29"/>
        <v>#N/A</v>
      </c>
      <c r="H185" s="398" t="e">
        <f t="shared" ca="1" si="33"/>
        <v>#N/A</v>
      </c>
      <c r="I185" s="399">
        <f>MAX($J$5, INDEX(LIBOR!$M$3:$M$122,MATCH(B185,LIBOR!$N$3:$N$122)))</f>
        <v>5.1999999999999998E-2</v>
      </c>
      <c r="J185" s="400">
        <f t="shared" si="34"/>
        <v>0.10100000000000001</v>
      </c>
      <c r="L185" s="392">
        <f t="shared" si="40"/>
        <v>49765</v>
      </c>
      <c r="M185" s="357">
        <f t="shared" si="41"/>
        <v>237</v>
      </c>
      <c r="N185" s="397">
        <v>5369.2976901137336</v>
      </c>
      <c r="O185" s="397">
        <f t="shared" si="30"/>
        <v>0</v>
      </c>
      <c r="P185" s="397">
        <f t="shared" si="35"/>
        <v>36.605052769908127</v>
      </c>
      <c r="Q185" s="397">
        <f t="shared" si="31"/>
        <v>-36.605052769908127</v>
      </c>
      <c r="R185" s="398">
        <f t="shared" si="36"/>
        <v>5405.9027428836416</v>
      </c>
      <c r="S185" s="399">
        <f>INDEX(LIBOR!$M$3:$M$122,MATCH(L185,LIBOR!$N$3:$N$122))</f>
        <v>3.2809699999999997E-2</v>
      </c>
      <c r="T185" s="400">
        <f t="shared" si="37"/>
        <v>8.1809699999999999E-2</v>
      </c>
    </row>
    <row r="186" spans="2:20">
      <c r="B186" s="396">
        <f t="shared" si="38"/>
        <v>51591</v>
      </c>
      <c r="C186" s="357">
        <f t="shared" si="39"/>
        <v>297</v>
      </c>
      <c r="D186" s="397" t="e">
        <f>INDEX('Monthly Cash Flow'!$L$160:$GT$160, MATCH(C186, 'Monthly Cash Flow'!$L$13:$GT$13, 0))</f>
        <v>#N/A</v>
      </c>
      <c r="E186" s="397">
        <f t="shared" ca="1" si="28"/>
        <v>0</v>
      </c>
      <c r="F186" s="397" t="e">
        <f t="shared" si="32"/>
        <v>#N/A</v>
      </c>
      <c r="G186" s="397" t="e">
        <f t="shared" ca="1" si="29"/>
        <v>#N/A</v>
      </c>
      <c r="H186" s="398" t="e">
        <f t="shared" ca="1" si="33"/>
        <v>#N/A</v>
      </c>
      <c r="I186" s="399">
        <f>MAX($J$5, INDEX(LIBOR!$M$3:$M$122,MATCH(B186,LIBOR!$N$3:$N$122)))</f>
        <v>5.1999999999999998E-2</v>
      </c>
      <c r="J186" s="400">
        <f t="shared" si="34"/>
        <v>0.10100000000000001</v>
      </c>
      <c r="L186" s="392">
        <f t="shared" si="40"/>
        <v>49795</v>
      </c>
      <c r="M186" s="357">
        <f t="shared" si="41"/>
        <v>238</v>
      </c>
      <c r="N186" s="397">
        <v>5350.3677024452854</v>
      </c>
      <c r="O186" s="397">
        <f t="shared" si="30"/>
        <v>0</v>
      </c>
      <c r="P186" s="397">
        <f t="shared" si="35"/>
        <v>36.475998052228171</v>
      </c>
      <c r="Q186" s="397">
        <f t="shared" si="31"/>
        <v>-36.475998052228171</v>
      </c>
      <c r="R186" s="398">
        <f t="shared" si="36"/>
        <v>5386.843700497514</v>
      </c>
      <c r="S186" s="399">
        <f>INDEX(LIBOR!$M$3:$M$122,MATCH(L186,LIBOR!$N$3:$N$122))</f>
        <v>3.2809699999999997E-2</v>
      </c>
      <c r="T186" s="400">
        <f t="shared" si="37"/>
        <v>8.1809699999999999E-2</v>
      </c>
    </row>
    <row r="187" spans="2:20">
      <c r="B187" s="396">
        <f t="shared" si="38"/>
        <v>51621</v>
      </c>
      <c r="C187" s="357">
        <f t="shared" si="39"/>
        <v>298</v>
      </c>
      <c r="D187" s="397" t="e">
        <f>INDEX('Monthly Cash Flow'!$L$160:$GT$160, MATCH(C187, 'Monthly Cash Flow'!$L$13:$GT$13, 0))</f>
        <v>#N/A</v>
      </c>
      <c r="E187" s="397">
        <f t="shared" ca="1" si="28"/>
        <v>0</v>
      </c>
      <c r="F187" s="397" t="e">
        <f t="shared" si="32"/>
        <v>#N/A</v>
      </c>
      <c r="G187" s="397" t="e">
        <f t="shared" ca="1" si="29"/>
        <v>#N/A</v>
      </c>
      <c r="H187" s="398" t="e">
        <f t="shared" ca="1" si="33"/>
        <v>#N/A</v>
      </c>
      <c r="I187" s="399">
        <f>MAX($J$5, INDEX(LIBOR!$M$3:$M$122,MATCH(B187,LIBOR!$N$3:$N$122)))</f>
        <v>5.1999999999999998E-2</v>
      </c>
      <c r="J187" s="400">
        <f t="shared" si="34"/>
        <v>0.10100000000000001</v>
      </c>
      <c r="L187" s="392">
        <f t="shared" si="40"/>
        <v>49826</v>
      </c>
      <c r="M187" s="357">
        <f t="shared" si="41"/>
        <v>239</v>
      </c>
      <c r="N187" s="397">
        <v>5331.3514929422545</v>
      </c>
      <c r="O187" s="397">
        <f t="shared" si="30"/>
        <v>0</v>
      </c>
      <c r="P187" s="397">
        <f t="shared" si="35"/>
        <v>36.346355519346496</v>
      </c>
      <c r="Q187" s="397">
        <f t="shared" si="31"/>
        <v>-36.346355519346496</v>
      </c>
      <c r="R187" s="398">
        <f t="shared" si="36"/>
        <v>5367.6978484616011</v>
      </c>
      <c r="S187" s="399">
        <f>INDEX(LIBOR!$M$3:$M$122,MATCH(L187,LIBOR!$N$3:$N$122))</f>
        <v>3.2809699999999997E-2</v>
      </c>
      <c r="T187" s="400">
        <f t="shared" si="37"/>
        <v>8.1809699999999999E-2</v>
      </c>
    </row>
    <row r="188" spans="2:20">
      <c r="B188" s="396">
        <f t="shared" si="38"/>
        <v>51652</v>
      </c>
      <c r="C188" s="357">
        <f t="shared" si="39"/>
        <v>299</v>
      </c>
      <c r="D188" s="397" t="e">
        <f>INDEX('Monthly Cash Flow'!$L$160:$GT$160, MATCH(C188, 'Monthly Cash Flow'!$L$13:$GT$13, 0))</f>
        <v>#N/A</v>
      </c>
      <c r="E188" s="397">
        <f t="shared" ca="1" si="28"/>
        <v>0</v>
      </c>
      <c r="F188" s="397" t="e">
        <f t="shared" si="32"/>
        <v>#N/A</v>
      </c>
      <c r="G188" s="397" t="e">
        <f t="shared" ca="1" si="29"/>
        <v>#N/A</v>
      </c>
      <c r="H188" s="398" t="e">
        <f t="shared" ca="1" si="33"/>
        <v>#N/A</v>
      </c>
      <c r="I188" s="399">
        <f>MAX($J$5, INDEX(LIBOR!$M$3:$M$122,MATCH(B188,LIBOR!$N$3:$N$122)))</f>
        <v>5.1999999999999998E-2</v>
      </c>
      <c r="J188" s="400">
        <f t="shared" si="34"/>
        <v>0.10100000000000001</v>
      </c>
      <c r="L188" s="392">
        <f t="shared" si="40"/>
        <v>49856</v>
      </c>
      <c r="M188" s="357">
        <f t="shared" si="41"/>
        <v>240</v>
      </c>
      <c r="N188" s="397">
        <v>5312.2486688835843</v>
      </c>
      <c r="O188" s="397">
        <f t="shared" si="30"/>
        <v>0</v>
      </c>
      <c r="P188" s="397">
        <f t="shared" si="35"/>
        <v>36.21612249389711</v>
      </c>
      <c r="Q188" s="397">
        <f t="shared" si="31"/>
        <v>-36.21612249389711</v>
      </c>
      <c r="R188" s="398">
        <f t="shared" si="36"/>
        <v>5348.4647913774816</v>
      </c>
      <c r="S188" s="399">
        <f>INDEX(LIBOR!$M$3:$M$122,MATCH(L188,LIBOR!$N$3:$N$122))</f>
        <v>3.2809699999999997E-2</v>
      </c>
      <c r="T188" s="400">
        <f t="shared" si="37"/>
        <v>8.1809699999999999E-2</v>
      </c>
    </row>
    <row r="189" spans="2:20">
      <c r="B189" s="396">
        <f t="shared" si="38"/>
        <v>51682</v>
      </c>
      <c r="C189" s="357">
        <f t="shared" si="39"/>
        <v>300</v>
      </c>
      <c r="D189" s="397" t="e">
        <f>INDEX('Monthly Cash Flow'!$L$160:$GT$160, MATCH(C189, 'Monthly Cash Flow'!$L$13:$GT$13, 0))</f>
        <v>#N/A</v>
      </c>
      <c r="E189" s="397">
        <f t="shared" ca="1" si="28"/>
        <v>0</v>
      </c>
      <c r="F189" s="397" t="e">
        <f t="shared" si="32"/>
        <v>#N/A</v>
      </c>
      <c r="G189" s="397" t="e">
        <f t="shared" ca="1" si="29"/>
        <v>#N/A</v>
      </c>
      <c r="H189" s="398" t="e">
        <f t="shared" ca="1" si="33"/>
        <v>#N/A</v>
      </c>
      <c r="I189" s="399">
        <f>MAX($J$5, INDEX(LIBOR!$M$3:$M$122,MATCH(B189,LIBOR!$N$3:$N$122)))</f>
        <v>5.1999999999999998E-2</v>
      </c>
      <c r="J189" s="400">
        <f t="shared" si="34"/>
        <v>0.10100000000000001</v>
      </c>
      <c r="L189" s="392">
        <f t="shared" si="40"/>
        <v>49887</v>
      </c>
      <c r="M189" s="357">
        <f t="shared" si="41"/>
        <v>241</v>
      </c>
      <c r="N189" s="397">
        <v>5293.0588357594625</v>
      </c>
      <c r="O189" s="397">
        <f t="shared" si="30"/>
        <v>0</v>
      </c>
      <c r="P189" s="397">
        <f t="shared" si="35"/>
        <v>36.085296286319242</v>
      </c>
      <c r="Q189" s="397">
        <f t="shared" si="31"/>
        <v>-36.085296286319242</v>
      </c>
      <c r="R189" s="398">
        <f t="shared" si="36"/>
        <v>5329.1441320457816</v>
      </c>
      <c r="S189" s="399">
        <f>INDEX(LIBOR!$M$3:$M$122,MATCH(L189,LIBOR!$N$3:$N$122))</f>
        <v>3.2809699999999997E-2</v>
      </c>
      <c r="T189" s="400">
        <f t="shared" si="37"/>
        <v>8.1809699999999999E-2</v>
      </c>
    </row>
    <row r="190" spans="2:20">
      <c r="B190" s="396">
        <f t="shared" si="38"/>
        <v>51713</v>
      </c>
      <c r="C190" s="357">
        <f t="shared" si="39"/>
        <v>301</v>
      </c>
      <c r="D190" s="397" t="e">
        <f>INDEX('Monthly Cash Flow'!$L$160:$GT$160, MATCH(C190, 'Monthly Cash Flow'!$L$13:$GT$13, 0))</f>
        <v>#N/A</v>
      </c>
      <c r="E190" s="397">
        <f t="shared" ca="1" si="28"/>
        <v>0</v>
      </c>
      <c r="F190" s="397" t="e">
        <f t="shared" si="32"/>
        <v>#N/A</v>
      </c>
      <c r="G190" s="397" t="e">
        <f t="shared" ca="1" si="29"/>
        <v>#N/A</v>
      </c>
      <c r="H190" s="398" t="e">
        <f t="shared" ca="1" si="33"/>
        <v>#N/A</v>
      </c>
      <c r="I190" s="399">
        <f>MAX($J$5, INDEX(LIBOR!$M$3:$M$122,MATCH(B190,LIBOR!$N$3:$N$122)))</f>
        <v>5.1999999999999998E-2</v>
      </c>
      <c r="J190" s="400">
        <f t="shared" si="34"/>
        <v>0.10100000000000001</v>
      </c>
      <c r="L190" s="392">
        <f t="shared" si="40"/>
        <v>49918</v>
      </c>
      <c r="M190" s="357">
        <f t="shared" si="41"/>
        <v>242</v>
      </c>
      <c r="N190" s="397">
        <v>5273.7815972631734</v>
      </c>
      <c r="O190" s="397">
        <f t="shared" si="30"/>
        <v>0</v>
      </c>
      <c r="P190" s="397">
        <f t="shared" si="35"/>
        <v>35.953874194801749</v>
      </c>
      <c r="Q190" s="397">
        <f t="shared" si="31"/>
        <v>-35.953874194801749</v>
      </c>
      <c r="R190" s="398">
        <f t="shared" si="36"/>
        <v>5309.7354714579751</v>
      </c>
      <c r="S190" s="399">
        <f>INDEX(LIBOR!$M$3:$M$122,MATCH(L190,LIBOR!$N$3:$N$122))</f>
        <v>3.2809699999999997E-2</v>
      </c>
      <c r="T190" s="400">
        <f t="shared" si="37"/>
        <v>8.1809699999999999E-2</v>
      </c>
    </row>
    <row r="191" spans="2:20">
      <c r="B191" s="396">
        <f t="shared" si="38"/>
        <v>51744</v>
      </c>
      <c r="C191" s="357">
        <f t="shared" si="39"/>
        <v>302</v>
      </c>
      <c r="D191" s="397" t="e">
        <f>INDEX('Monthly Cash Flow'!$L$160:$GT$160, MATCH(C191, 'Monthly Cash Flow'!$L$13:$GT$13, 0))</f>
        <v>#N/A</v>
      </c>
      <c r="E191" s="397">
        <f t="shared" ca="1" si="28"/>
        <v>0</v>
      </c>
      <c r="F191" s="397" t="e">
        <f t="shared" si="32"/>
        <v>#N/A</v>
      </c>
      <c r="G191" s="397" t="e">
        <f t="shared" ca="1" si="29"/>
        <v>#N/A</v>
      </c>
      <c r="H191" s="398" t="e">
        <f t="shared" ca="1" si="33"/>
        <v>#N/A</v>
      </c>
      <c r="I191" s="399">
        <f>MAX($J$5, INDEX(LIBOR!$M$3:$M$122,MATCH(B191,LIBOR!$N$3:$N$122)))</f>
        <v>5.1999999999999998E-2</v>
      </c>
      <c r="J191" s="400">
        <f t="shared" si="34"/>
        <v>0.10100000000000001</v>
      </c>
      <c r="L191" s="392">
        <f t="shared" si="40"/>
        <v>49948</v>
      </c>
      <c r="M191" s="357">
        <f t="shared" si="41"/>
        <v>243</v>
      </c>
      <c r="N191" s="397">
        <v>5254.4165552829118</v>
      </c>
      <c r="O191" s="397">
        <f t="shared" si="30"/>
        <v>0</v>
      </c>
      <c r="P191" s="397">
        <f t="shared" si="35"/>
        <v>35.821853505227367</v>
      </c>
      <c r="Q191" s="397">
        <f t="shared" si="31"/>
        <v>-35.821853505227367</v>
      </c>
      <c r="R191" s="398">
        <f t="shared" si="36"/>
        <v>5290.2384087881392</v>
      </c>
      <c r="S191" s="399">
        <f>INDEX(LIBOR!$M$3:$M$122,MATCH(L191,LIBOR!$N$3:$N$122))</f>
        <v>3.2809699999999997E-2</v>
      </c>
      <c r="T191" s="400">
        <f t="shared" si="37"/>
        <v>8.1809699999999999E-2</v>
      </c>
    </row>
    <row r="192" spans="2:20">
      <c r="B192" s="396">
        <f t="shared" si="38"/>
        <v>51774</v>
      </c>
      <c r="C192" s="357">
        <f t="shared" si="39"/>
        <v>303</v>
      </c>
      <c r="D192" s="397" t="e">
        <f>INDEX('Monthly Cash Flow'!$L$160:$GT$160, MATCH(C192, 'Monthly Cash Flow'!$L$13:$GT$13, 0))</f>
        <v>#N/A</v>
      </c>
      <c r="E192" s="397">
        <f t="shared" ca="1" si="28"/>
        <v>0</v>
      </c>
      <c r="F192" s="397" t="e">
        <f t="shared" si="32"/>
        <v>#N/A</v>
      </c>
      <c r="G192" s="397" t="e">
        <f t="shared" ca="1" si="29"/>
        <v>#N/A</v>
      </c>
      <c r="H192" s="398" t="e">
        <f t="shared" ca="1" si="33"/>
        <v>#N/A</v>
      </c>
      <c r="I192" s="399">
        <f>MAX($J$5, INDEX(LIBOR!$M$3:$M$122,MATCH(B192,LIBOR!$N$3:$N$122)))</f>
        <v>5.1999999999999998E-2</v>
      </c>
      <c r="J192" s="400">
        <f t="shared" si="34"/>
        <v>0.10100000000000001</v>
      </c>
      <c r="L192" s="392">
        <f t="shared" si="40"/>
        <v>49979</v>
      </c>
      <c r="M192" s="357">
        <f t="shared" si="41"/>
        <v>244</v>
      </c>
      <c r="N192" s="397">
        <v>5234.9633098935647</v>
      </c>
      <c r="O192" s="397">
        <f t="shared" si="30"/>
        <v>0</v>
      </c>
      <c r="P192" s="397">
        <f t="shared" si="35"/>
        <v>35.68923149111663</v>
      </c>
      <c r="Q192" s="397">
        <f t="shared" si="31"/>
        <v>-35.68923149111663</v>
      </c>
      <c r="R192" s="398">
        <f t="shared" si="36"/>
        <v>5270.6525413846812</v>
      </c>
      <c r="S192" s="399">
        <f>INDEX(LIBOR!$M$3:$M$122,MATCH(L192,LIBOR!$N$3:$N$122))</f>
        <v>3.2809699999999997E-2</v>
      </c>
      <c r="T192" s="400">
        <f t="shared" si="37"/>
        <v>8.1809699999999999E-2</v>
      </c>
    </row>
    <row r="193" spans="2:20">
      <c r="B193" s="396">
        <f t="shared" si="38"/>
        <v>51805</v>
      </c>
      <c r="C193" s="357">
        <f t="shared" si="39"/>
        <v>304</v>
      </c>
      <c r="D193" s="397" t="e">
        <f>INDEX('Monthly Cash Flow'!$L$160:$GT$160, MATCH(C193, 'Monthly Cash Flow'!$L$13:$GT$13, 0))</f>
        <v>#N/A</v>
      </c>
      <c r="E193" s="397">
        <f t="shared" ca="1" si="28"/>
        <v>0</v>
      </c>
      <c r="F193" s="397" t="e">
        <f t="shared" si="32"/>
        <v>#N/A</v>
      </c>
      <c r="G193" s="397" t="e">
        <f t="shared" ca="1" si="29"/>
        <v>#N/A</v>
      </c>
      <c r="H193" s="398" t="e">
        <f t="shared" ca="1" si="33"/>
        <v>#N/A</v>
      </c>
      <c r="I193" s="399">
        <f>MAX($J$5, INDEX(LIBOR!$M$3:$M$122,MATCH(B193,LIBOR!$N$3:$N$122)))</f>
        <v>5.1999999999999998E-2</v>
      </c>
      <c r="J193" s="400">
        <f t="shared" si="34"/>
        <v>0.10100000000000001</v>
      </c>
      <c r="L193" s="392">
        <f t="shared" si="40"/>
        <v>50009</v>
      </c>
      <c r="M193" s="357">
        <f t="shared" si="41"/>
        <v>245</v>
      </c>
      <c r="N193" s="397">
        <v>5215.4214593484494</v>
      </c>
      <c r="O193" s="397">
        <f t="shared" si="30"/>
        <v>0</v>
      </c>
      <c r="P193" s="397">
        <f t="shared" si="35"/>
        <v>35.556005413571569</v>
      </c>
      <c r="Q193" s="397">
        <f t="shared" si="31"/>
        <v>-35.556005413571569</v>
      </c>
      <c r="R193" s="398">
        <f t="shared" si="36"/>
        <v>5250.9774647620206</v>
      </c>
      <c r="S193" s="399">
        <f>INDEX(LIBOR!$M$3:$M$122,MATCH(L193,LIBOR!$N$3:$N$122))</f>
        <v>3.2809699999999997E-2</v>
      </c>
      <c r="T193" s="400">
        <f t="shared" si="37"/>
        <v>8.1809699999999999E-2</v>
      </c>
    </row>
    <row r="194" spans="2:20">
      <c r="B194" s="396">
        <f t="shared" si="38"/>
        <v>51835</v>
      </c>
      <c r="C194" s="357">
        <f t="shared" si="39"/>
        <v>305</v>
      </c>
      <c r="D194" s="397" t="e">
        <f>INDEX('Monthly Cash Flow'!$L$160:$GT$160, MATCH(C194, 'Monthly Cash Flow'!$L$13:$GT$13, 0))</f>
        <v>#N/A</v>
      </c>
      <c r="E194" s="397">
        <f t="shared" ca="1" si="28"/>
        <v>0</v>
      </c>
      <c r="F194" s="397" t="e">
        <f t="shared" si="32"/>
        <v>#N/A</v>
      </c>
      <c r="G194" s="397" t="e">
        <f t="shared" ca="1" si="29"/>
        <v>#N/A</v>
      </c>
      <c r="H194" s="398" t="e">
        <f t="shared" ca="1" si="33"/>
        <v>#N/A</v>
      </c>
      <c r="I194" s="399">
        <f>MAX($J$5, INDEX(LIBOR!$M$3:$M$122,MATCH(B194,LIBOR!$N$3:$N$122)))</f>
        <v>5.1999999999999998E-2</v>
      </c>
      <c r="J194" s="400">
        <f t="shared" si="34"/>
        <v>0.10100000000000001</v>
      </c>
      <c r="L194" s="392">
        <f t="shared" si="40"/>
        <v>50040</v>
      </c>
      <c r="M194" s="357">
        <f t="shared" si="41"/>
        <v>246</v>
      </c>
      <c r="N194" s="397">
        <v>5195.7906000710173</v>
      </c>
      <c r="O194" s="397">
        <f t="shared" si="30"/>
        <v>0</v>
      </c>
      <c r="P194" s="397">
        <f t="shared" si="35"/>
        <v>35.42217252121916</v>
      </c>
      <c r="Q194" s="397">
        <f t="shared" si="31"/>
        <v>-35.42217252121916</v>
      </c>
      <c r="R194" s="398">
        <f t="shared" si="36"/>
        <v>5231.2127725922364</v>
      </c>
      <c r="S194" s="399">
        <f>INDEX(LIBOR!$M$3:$M$122,MATCH(L194,LIBOR!$N$3:$N$122))</f>
        <v>3.2809699999999997E-2</v>
      </c>
      <c r="T194" s="400">
        <f t="shared" si="37"/>
        <v>8.1809699999999999E-2</v>
      </c>
    </row>
    <row r="195" spans="2:20">
      <c r="B195" s="396">
        <f t="shared" si="38"/>
        <v>51866</v>
      </c>
      <c r="C195" s="357">
        <f t="shared" si="39"/>
        <v>306</v>
      </c>
      <c r="D195" s="397" t="e">
        <f>INDEX('Monthly Cash Flow'!$L$160:$GT$160, MATCH(C195, 'Monthly Cash Flow'!$L$13:$GT$13, 0))</f>
        <v>#N/A</v>
      </c>
      <c r="E195" s="397">
        <f t="shared" ca="1" si="28"/>
        <v>0</v>
      </c>
      <c r="F195" s="397" t="e">
        <f t="shared" si="32"/>
        <v>#N/A</v>
      </c>
      <c r="G195" s="397" t="e">
        <f t="shared" ca="1" si="29"/>
        <v>#N/A</v>
      </c>
      <c r="H195" s="398" t="e">
        <f t="shared" ca="1" si="33"/>
        <v>#N/A</v>
      </c>
      <c r="I195" s="399">
        <f>MAX($J$5, INDEX(LIBOR!$M$3:$M$122,MATCH(B195,LIBOR!$N$3:$N$122)))</f>
        <v>5.1999999999999998E-2</v>
      </c>
      <c r="J195" s="400">
        <f t="shared" si="34"/>
        <v>0.10100000000000001</v>
      </c>
      <c r="L195" s="392">
        <f t="shared" si="40"/>
        <v>50071</v>
      </c>
      <c r="M195" s="357">
        <f t="shared" si="41"/>
        <v>247</v>
      </c>
      <c r="N195" s="397">
        <v>5176.0703266465198</v>
      </c>
      <c r="O195" s="397">
        <f t="shared" si="30"/>
        <v>0</v>
      </c>
      <c r="P195" s="397">
        <f t="shared" si="35"/>
        <v>35.287730050154487</v>
      </c>
      <c r="Q195" s="397">
        <f t="shared" si="31"/>
        <v>-35.287730050154487</v>
      </c>
      <c r="R195" s="398">
        <f t="shared" si="36"/>
        <v>5211.3580566966739</v>
      </c>
      <c r="S195" s="399">
        <f>INDEX(LIBOR!$M$3:$M$122,MATCH(L195,LIBOR!$N$3:$N$122))</f>
        <v>3.2809699999999997E-2</v>
      </c>
      <c r="T195" s="400">
        <f t="shared" si="37"/>
        <v>8.1809699999999999E-2</v>
      </c>
    </row>
    <row r="196" spans="2:20">
      <c r="B196" s="396">
        <f t="shared" si="38"/>
        <v>51897</v>
      </c>
      <c r="C196" s="357">
        <f t="shared" si="39"/>
        <v>307</v>
      </c>
      <c r="D196" s="397" t="e">
        <f>INDEX('Monthly Cash Flow'!$L$160:$GT$160, MATCH(C196, 'Monthly Cash Flow'!$L$13:$GT$13, 0))</f>
        <v>#N/A</v>
      </c>
      <c r="E196" s="397">
        <f t="shared" ca="1" si="28"/>
        <v>0</v>
      </c>
      <c r="F196" s="397" t="e">
        <f t="shared" si="32"/>
        <v>#N/A</v>
      </c>
      <c r="G196" s="397" t="e">
        <f t="shared" ca="1" si="29"/>
        <v>#N/A</v>
      </c>
      <c r="H196" s="398" t="e">
        <f t="shared" ca="1" si="33"/>
        <v>#N/A</v>
      </c>
      <c r="I196" s="399">
        <f>MAX($J$5, INDEX(LIBOR!$M$3:$M$122,MATCH(B196,LIBOR!$N$3:$N$122)))</f>
        <v>5.1999999999999998E-2</v>
      </c>
      <c r="J196" s="400">
        <f t="shared" si="34"/>
        <v>0.10100000000000001</v>
      </c>
      <c r="L196" s="392">
        <f t="shared" si="40"/>
        <v>50099</v>
      </c>
      <c r="M196" s="357">
        <f t="shared" si="41"/>
        <v>248</v>
      </c>
      <c r="N196" s="397">
        <v>5156.2602318136351</v>
      </c>
      <c r="O196" s="397">
        <f t="shared" si="30"/>
        <v>0</v>
      </c>
      <c r="P196" s="397">
        <f t="shared" si="35"/>
        <v>35.152675223883662</v>
      </c>
      <c r="Q196" s="397">
        <f t="shared" si="31"/>
        <v>-35.152675223883662</v>
      </c>
      <c r="R196" s="398">
        <f t="shared" si="36"/>
        <v>5191.4129070375184</v>
      </c>
      <c r="S196" s="399">
        <f>INDEX(LIBOR!$M$3:$M$122,MATCH(L196,LIBOR!$N$3:$N$122))</f>
        <v>3.2809699999999997E-2</v>
      </c>
      <c r="T196" s="400">
        <f t="shared" si="37"/>
        <v>8.1809699999999999E-2</v>
      </c>
    </row>
    <row r="197" spans="2:20">
      <c r="B197" s="396">
        <f t="shared" si="38"/>
        <v>51925</v>
      </c>
      <c r="C197" s="357">
        <f t="shared" si="39"/>
        <v>308</v>
      </c>
      <c r="D197" s="397" t="e">
        <f>INDEX('Monthly Cash Flow'!$L$160:$GT$160, MATCH(C197, 'Monthly Cash Flow'!$L$13:$GT$13, 0))</f>
        <v>#N/A</v>
      </c>
      <c r="E197" s="397">
        <f t="shared" ca="1" si="28"/>
        <v>0</v>
      </c>
      <c r="F197" s="397" t="e">
        <f t="shared" si="32"/>
        <v>#N/A</v>
      </c>
      <c r="G197" s="397" t="e">
        <f t="shared" ca="1" si="29"/>
        <v>#N/A</v>
      </c>
      <c r="H197" s="398" t="e">
        <f t="shared" ca="1" si="33"/>
        <v>#N/A</v>
      </c>
      <c r="I197" s="399">
        <f>MAX($J$5, INDEX(LIBOR!$M$3:$M$122,MATCH(B197,LIBOR!$N$3:$N$122)))</f>
        <v>5.1999999999999998E-2</v>
      </c>
      <c r="J197" s="400">
        <f t="shared" si="34"/>
        <v>0.10100000000000001</v>
      </c>
      <c r="L197" s="392">
        <f t="shared" si="40"/>
        <v>50130</v>
      </c>
      <c r="M197" s="357">
        <f t="shared" si="41"/>
        <v>249</v>
      </c>
      <c r="N197" s="397">
        <v>5136.3599064560585</v>
      </c>
      <c r="O197" s="397">
        <f t="shared" si="30"/>
        <v>0</v>
      </c>
      <c r="P197" s="397">
        <f t="shared" si="35"/>
        <v>35.017005253266518</v>
      </c>
      <c r="Q197" s="397">
        <f t="shared" si="31"/>
        <v>-35.017005253266518</v>
      </c>
      <c r="R197" s="398">
        <f t="shared" si="36"/>
        <v>5171.3769117093252</v>
      </c>
      <c r="S197" s="399">
        <f>INDEX(LIBOR!$M$3:$M$122,MATCH(L197,LIBOR!$N$3:$N$122))</f>
        <v>3.2809699999999997E-2</v>
      </c>
      <c r="T197" s="400">
        <f t="shared" si="37"/>
        <v>8.1809699999999999E-2</v>
      </c>
    </row>
    <row r="198" spans="2:20">
      <c r="B198" s="396">
        <f t="shared" si="38"/>
        <v>51956</v>
      </c>
      <c r="C198" s="357">
        <f t="shared" si="39"/>
        <v>309</v>
      </c>
      <c r="D198" s="397" t="e">
        <f>INDEX('Monthly Cash Flow'!$L$160:$GT$160, MATCH(C198, 'Monthly Cash Flow'!$L$13:$GT$13, 0))</f>
        <v>#N/A</v>
      </c>
      <c r="E198" s="397">
        <f t="shared" ca="1" si="28"/>
        <v>0</v>
      </c>
      <c r="F198" s="397" t="e">
        <f t="shared" si="32"/>
        <v>#N/A</v>
      </c>
      <c r="G198" s="397" t="e">
        <f t="shared" ca="1" si="29"/>
        <v>#N/A</v>
      </c>
      <c r="H198" s="398" t="e">
        <f t="shared" ca="1" si="33"/>
        <v>#N/A</v>
      </c>
      <c r="I198" s="399">
        <f>MAX($J$5, INDEX(LIBOR!$M$3:$M$122,MATCH(B198,LIBOR!$N$3:$N$122)))</f>
        <v>5.1999999999999998E-2</v>
      </c>
      <c r="J198" s="400">
        <f t="shared" si="34"/>
        <v>0.10100000000000001</v>
      </c>
      <c r="L198" s="392">
        <f t="shared" si="40"/>
        <v>50160</v>
      </c>
      <c r="M198" s="357">
        <f t="shared" si="41"/>
        <v>250</v>
      </c>
      <c r="N198" s="397">
        <v>5116.368939594051</v>
      </c>
      <c r="O198" s="397">
        <f t="shared" si="30"/>
        <v>0</v>
      </c>
      <c r="P198" s="397">
        <f t="shared" si="35"/>
        <v>34.88071733645895</v>
      </c>
      <c r="Q198" s="397">
        <f t="shared" si="31"/>
        <v>-34.88071733645895</v>
      </c>
      <c r="R198" s="398">
        <f t="shared" si="36"/>
        <v>5151.2496569305104</v>
      </c>
      <c r="S198" s="399">
        <f>INDEX(LIBOR!$M$3:$M$122,MATCH(L198,LIBOR!$N$3:$N$122))</f>
        <v>3.2809699999999997E-2</v>
      </c>
      <c r="T198" s="400">
        <f t="shared" si="37"/>
        <v>8.1809699999999999E-2</v>
      </c>
    </row>
    <row r="199" spans="2:20">
      <c r="B199" s="396">
        <f t="shared" si="38"/>
        <v>51986</v>
      </c>
      <c r="C199" s="357">
        <f t="shared" si="39"/>
        <v>310</v>
      </c>
      <c r="D199" s="397" t="e">
        <f>INDEX('Monthly Cash Flow'!$L$160:$GT$160, MATCH(C199, 'Monthly Cash Flow'!$L$13:$GT$13, 0))</f>
        <v>#N/A</v>
      </c>
      <c r="E199" s="397">
        <f t="shared" ca="1" si="28"/>
        <v>0</v>
      </c>
      <c r="F199" s="397" t="e">
        <f t="shared" si="32"/>
        <v>#N/A</v>
      </c>
      <c r="G199" s="397" t="e">
        <f t="shared" ca="1" si="29"/>
        <v>#N/A</v>
      </c>
      <c r="H199" s="398" t="e">
        <f t="shared" ca="1" si="33"/>
        <v>#N/A</v>
      </c>
      <c r="I199" s="399">
        <f>MAX($J$5, INDEX(LIBOR!$M$3:$M$122,MATCH(B199,LIBOR!$N$3:$N$122)))</f>
        <v>5.1999999999999998E-2</v>
      </c>
      <c r="J199" s="400">
        <f t="shared" si="34"/>
        <v>0.10100000000000001</v>
      </c>
      <c r="L199" s="392">
        <f t="shared" si="40"/>
        <v>50191</v>
      </c>
      <c r="M199" s="357">
        <f t="shared" si="41"/>
        <v>251</v>
      </c>
      <c r="N199" s="397">
        <v>5096.2869183759549</v>
      </c>
      <c r="O199" s="397">
        <f t="shared" si="30"/>
        <v>0</v>
      </c>
      <c r="P199" s="397">
        <f t="shared" si="35"/>
        <v>34.743808658855109</v>
      </c>
      <c r="Q199" s="397">
        <f t="shared" si="31"/>
        <v>-34.743808658855109</v>
      </c>
      <c r="R199" s="398">
        <f t="shared" si="36"/>
        <v>5131.0307270348103</v>
      </c>
      <c r="S199" s="399">
        <f>INDEX(LIBOR!$M$3:$M$122,MATCH(L199,LIBOR!$N$3:$N$122))</f>
        <v>3.2809699999999997E-2</v>
      </c>
      <c r="T199" s="400">
        <f t="shared" si="37"/>
        <v>8.1809699999999999E-2</v>
      </c>
    </row>
    <row r="200" spans="2:20">
      <c r="B200" s="396">
        <f t="shared" si="38"/>
        <v>52017</v>
      </c>
      <c r="C200" s="357">
        <f t="shared" si="39"/>
        <v>311</v>
      </c>
      <c r="D200" s="397" t="e">
        <f>INDEX('Monthly Cash Flow'!$L$160:$GT$160, MATCH(C200, 'Monthly Cash Flow'!$L$13:$GT$13, 0))</f>
        <v>#N/A</v>
      </c>
      <c r="E200" s="397">
        <f t="shared" ca="1" si="28"/>
        <v>0</v>
      </c>
      <c r="F200" s="397" t="e">
        <f t="shared" si="32"/>
        <v>#N/A</v>
      </c>
      <c r="G200" s="397" t="e">
        <f t="shared" ca="1" si="29"/>
        <v>#N/A</v>
      </c>
      <c r="H200" s="398" t="e">
        <f t="shared" ca="1" si="33"/>
        <v>#N/A</v>
      </c>
      <c r="I200" s="399">
        <f>MAX($J$5, INDEX(LIBOR!$M$3:$M$122,MATCH(B200,LIBOR!$N$3:$N$122)))</f>
        <v>5.1999999999999998E-2</v>
      </c>
      <c r="J200" s="400">
        <f t="shared" si="34"/>
        <v>0.10100000000000001</v>
      </c>
      <c r="L200" s="392">
        <f t="shared" si="40"/>
        <v>50221</v>
      </c>
      <c r="M200" s="357">
        <f t="shared" si="41"/>
        <v>252</v>
      </c>
      <c r="N200" s="397">
        <v>5076.1134280696651</v>
      </c>
      <c r="O200" s="397">
        <f t="shared" si="30"/>
        <v>0</v>
      </c>
      <c r="P200" s="397">
        <f t="shared" si="35"/>
        <v>34.606276393029241</v>
      </c>
      <c r="Q200" s="397">
        <f t="shared" si="31"/>
        <v>-34.606276393029241</v>
      </c>
      <c r="R200" s="398">
        <f t="shared" si="36"/>
        <v>5110.7197044626946</v>
      </c>
      <c r="S200" s="399">
        <f>INDEX(LIBOR!$M$3:$M$122,MATCH(L200,LIBOR!$N$3:$N$122))</f>
        <v>3.2809699999999997E-2</v>
      </c>
      <c r="T200" s="400">
        <f t="shared" si="37"/>
        <v>8.1809699999999999E-2</v>
      </c>
    </row>
    <row r="201" spans="2:20">
      <c r="B201" s="396">
        <f t="shared" si="38"/>
        <v>52047</v>
      </c>
      <c r="C201" s="357">
        <f t="shared" si="39"/>
        <v>312</v>
      </c>
      <c r="D201" s="397" t="e">
        <f>INDEX('Monthly Cash Flow'!$L$160:$GT$160, MATCH(C201, 'Monthly Cash Flow'!$L$13:$GT$13, 0))</f>
        <v>#N/A</v>
      </c>
      <c r="E201" s="397">
        <f t="shared" ref="E201:E264" ca="1" si="42">-PMT(J201/12,$E$2*12,$D$9,)</f>
        <v>0</v>
      </c>
      <c r="F201" s="397" t="e">
        <f t="shared" si="32"/>
        <v>#N/A</v>
      </c>
      <c r="G201" s="397" t="e">
        <f t="shared" ref="G201:G264" ca="1" si="43">+E201-F201</f>
        <v>#N/A</v>
      </c>
      <c r="H201" s="398" t="e">
        <f t="shared" ca="1" si="33"/>
        <v>#N/A</v>
      </c>
      <c r="I201" s="399">
        <f>MAX($J$5, INDEX(LIBOR!$M$3:$M$122,MATCH(B201,LIBOR!$N$3:$N$122)))</f>
        <v>5.1999999999999998E-2</v>
      </c>
      <c r="J201" s="400">
        <f t="shared" si="34"/>
        <v>0.10100000000000001</v>
      </c>
      <c r="L201" s="392">
        <f t="shared" si="40"/>
        <v>50252</v>
      </c>
      <c r="M201" s="357">
        <f t="shared" si="41"/>
        <v>253</v>
      </c>
      <c r="N201" s="397">
        <v>5055.8480520540652</v>
      </c>
      <c r="O201" s="397">
        <f t="shared" ref="O201:O264" si="44">-PMT(T201/12,$O$2*12,$N$9,)</f>
        <v>0</v>
      </c>
      <c r="P201" s="397">
        <f t="shared" si="35"/>
        <v>34.46811769867729</v>
      </c>
      <c r="Q201" s="397">
        <f t="shared" ref="Q201:Q264" si="45">+O201-P201</f>
        <v>-34.46811769867729</v>
      </c>
      <c r="R201" s="398">
        <f t="shared" si="36"/>
        <v>5090.3161697527421</v>
      </c>
      <c r="S201" s="399">
        <f>INDEX(LIBOR!$M$3:$M$122,MATCH(L201,LIBOR!$N$3:$N$122))</f>
        <v>3.2809699999999997E-2</v>
      </c>
      <c r="T201" s="400">
        <f t="shared" si="37"/>
        <v>8.1809699999999999E-2</v>
      </c>
    </row>
    <row r="202" spans="2:20">
      <c r="B202" s="396">
        <f t="shared" si="38"/>
        <v>52078</v>
      </c>
      <c r="C202" s="357">
        <f t="shared" si="39"/>
        <v>313</v>
      </c>
      <c r="D202" s="397" t="e">
        <f>INDEX('Monthly Cash Flow'!$L$160:$GT$160, MATCH(C202, 'Monthly Cash Flow'!$L$13:$GT$13, 0))</f>
        <v>#N/A</v>
      </c>
      <c r="E202" s="397">
        <f t="shared" ca="1" si="42"/>
        <v>0</v>
      </c>
      <c r="F202" s="397" t="e">
        <f t="shared" ref="F202:F265" si="46">D202*J202/12</f>
        <v>#N/A</v>
      </c>
      <c r="G202" s="397" t="e">
        <f t="shared" ca="1" si="43"/>
        <v>#N/A</v>
      </c>
      <c r="H202" s="398" t="e">
        <f t="shared" ref="H202:H265" ca="1" si="47">+D202-G202</f>
        <v>#N/A</v>
      </c>
      <c r="I202" s="399">
        <f>MAX($J$5, INDEX(LIBOR!$M$3:$M$122,MATCH(B202,LIBOR!$N$3:$N$122)))</f>
        <v>5.1999999999999998E-2</v>
      </c>
      <c r="J202" s="400">
        <f t="shared" ref="J202:J265" si="48">IF($I$2=1,I202+$J$4/10000,$J$3)</f>
        <v>0.10100000000000001</v>
      </c>
      <c r="L202" s="392">
        <f t="shared" si="40"/>
        <v>50283</v>
      </c>
      <c r="M202" s="357">
        <f t="shared" si="41"/>
        <v>254</v>
      </c>
      <c r="N202" s="397">
        <v>5035.4903718104242</v>
      </c>
      <c r="O202" s="397">
        <f t="shared" si="44"/>
        <v>0</v>
      </c>
      <c r="P202" s="397">
        <f t="shared" ref="P202:P265" si="49">N202*T202/12</f>
        <v>34.329329722558271</v>
      </c>
      <c r="Q202" s="397">
        <f t="shared" si="45"/>
        <v>-34.329329722558271</v>
      </c>
      <c r="R202" s="398">
        <f t="shared" ref="R202:R265" si="50">+N202-Q202</f>
        <v>5069.8197015329824</v>
      </c>
      <c r="S202" s="399">
        <f>INDEX(LIBOR!$M$3:$M$122,MATCH(L202,LIBOR!$N$3:$N$122))</f>
        <v>3.2809699999999997E-2</v>
      </c>
      <c r="T202" s="400">
        <f t="shared" ref="T202:T265" si="51">IF($S$2=1,S202+$T$4/10000,$T$3)</f>
        <v>8.1809699999999999E-2</v>
      </c>
    </row>
    <row r="203" spans="2:20">
      <c r="B203" s="396">
        <f t="shared" ref="B203:B266" si="52">EOMONTH(B202,1)</f>
        <v>52109</v>
      </c>
      <c r="C203" s="357">
        <f t="shared" ref="C203:C266" si="53">+C202+1</f>
        <v>314</v>
      </c>
      <c r="D203" s="397" t="e">
        <f>INDEX('Monthly Cash Flow'!$L$160:$GT$160, MATCH(C203, 'Monthly Cash Flow'!$L$13:$GT$13, 0))</f>
        <v>#N/A</v>
      </c>
      <c r="E203" s="397">
        <f t="shared" ca="1" si="42"/>
        <v>0</v>
      </c>
      <c r="F203" s="397" t="e">
        <f t="shared" si="46"/>
        <v>#N/A</v>
      </c>
      <c r="G203" s="397" t="e">
        <f t="shared" ca="1" si="43"/>
        <v>#N/A</v>
      </c>
      <c r="H203" s="398" t="e">
        <f t="shared" ca="1" si="47"/>
        <v>#N/A</v>
      </c>
      <c r="I203" s="399">
        <f>MAX($J$5, INDEX(LIBOR!$M$3:$M$122,MATCH(B203,LIBOR!$N$3:$N$122)))</f>
        <v>5.1999999999999998E-2</v>
      </c>
      <c r="J203" s="400">
        <f t="shared" si="48"/>
        <v>0.10100000000000001</v>
      </c>
      <c r="L203" s="392">
        <f t="shared" ref="L203:L266" si="54">EOMONTH(L202,1)</f>
        <v>50313</v>
      </c>
      <c r="M203" s="357">
        <f t="shared" ref="M203:M266" si="55">+M202+1</f>
        <v>255</v>
      </c>
      <c r="N203" s="397">
        <v>5015.0399669137514</v>
      </c>
      <c r="O203" s="397">
        <f t="shared" si="44"/>
        <v>0</v>
      </c>
      <c r="P203" s="397">
        <f t="shared" si="49"/>
        <v>34.189909598435328</v>
      </c>
      <c r="Q203" s="397">
        <f t="shared" si="45"/>
        <v>-34.189909598435328</v>
      </c>
      <c r="R203" s="398">
        <f t="shared" si="50"/>
        <v>5049.2298765121868</v>
      </c>
      <c r="S203" s="399">
        <f>INDEX(LIBOR!$M$3:$M$122,MATCH(L203,LIBOR!$N$3:$N$122))</f>
        <v>3.2809699999999997E-2</v>
      </c>
      <c r="T203" s="400">
        <f t="shared" si="51"/>
        <v>8.1809699999999999E-2</v>
      </c>
    </row>
    <row r="204" spans="2:20">
      <c r="B204" s="396">
        <f t="shared" si="52"/>
        <v>52139</v>
      </c>
      <c r="C204" s="357">
        <f t="shared" si="53"/>
        <v>315</v>
      </c>
      <c r="D204" s="397" t="e">
        <f>INDEX('Monthly Cash Flow'!$L$160:$GT$160, MATCH(C204, 'Monthly Cash Flow'!$L$13:$GT$13, 0))</f>
        <v>#N/A</v>
      </c>
      <c r="E204" s="397">
        <f t="shared" ca="1" si="42"/>
        <v>0</v>
      </c>
      <c r="F204" s="397" t="e">
        <f t="shared" si="46"/>
        <v>#N/A</v>
      </c>
      <c r="G204" s="397" t="e">
        <f t="shared" ca="1" si="43"/>
        <v>#N/A</v>
      </c>
      <c r="H204" s="398" t="e">
        <f t="shared" ca="1" si="47"/>
        <v>#N/A</v>
      </c>
      <c r="I204" s="399">
        <f>MAX($J$5, INDEX(LIBOR!$M$3:$M$122,MATCH(B204,LIBOR!$N$3:$N$122)))</f>
        <v>5.1999999999999998E-2</v>
      </c>
      <c r="J204" s="400">
        <f t="shared" si="48"/>
        <v>0.10100000000000001</v>
      </c>
      <c r="L204" s="392">
        <f t="shared" si="54"/>
        <v>50344</v>
      </c>
      <c r="M204" s="357">
        <f t="shared" si="55"/>
        <v>256</v>
      </c>
      <c r="N204" s="397">
        <v>4994.4964150241149</v>
      </c>
      <c r="O204" s="397">
        <f t="shared" si="44"/>
        <v>0</v>
      </c>
      <c r="P204" s="397">
        <f t="shared" si="49"/>
        <v>34.049854447016529</v>
      </c>
      <c r="Q204" s="397">
        <f t="shared" si="45"/>
        <v>-34.049854447016529</v>
      </c>
      <c r="R204" s="398">
        <f t="shared" si="50"/>
        <v>5028.5462694711314</v>
      </c>
      <c r="S204" s="399">
        <f>INDEX(LIBOR!$M$3:$M$122,MATCH(L204,LIBOR!$N$3:$N$122))</f>
        <v>3.2809699999999997E-2</v>
      </c>
      <c r="T204" s="400">
        <f t="shared" si="51"/>
        <v>8.1809699999999999E-2</v>
      </c>
    </row>
    <row r="205" spans="2:20">
      <c r="B205" s="396">
        <f t="shared" si="52"/>
        <v>52170</v>
      </c>
      <c r="C205" s="357">
        <f t="shared" si="53"/>
        <v>316</v>
      </c>
      <c r="D205" s="397" t="e">
        <f>INDEX('Monthly Cash Flow'!$L$160:$GT$160, MATCH(C205, 'Monthly Cash Flow'!$L$13:$GT$13, 0))</f>
        <v>#N/A</v>
      </c>
      <c r="E205" s="397">
        <f t="shared" ca="1" si="42"/>
        <v>0</v>
      </c>
      <c r="F205" s="397" t="e">
        <f t="shared" si="46"/>
        <v>#N/A</v>
      </c>
      <c r="G205" s="397" t="e">
        <f t="shared" ca="1" si="43"/>
        <v>#N/A</v>
      </c>
      <c r="H205" s="398" t="e">
        <f t="shared" ca="1" si="47"/>
        <v>#N/A</v>
      </c>
      <c r="I205" s="399">
        <f>MAX($J$5, INDEX(LIBOR!$M$3:$M$122,MATCH(B205,LIBOR!$N$3:$N$122)))</f>
        <v>5.1999999999999998E-2</v>
      </c>
      <c r="J205" s="400">
        <f t="shared" si="48"/>
        <v>0.10100000000000001</v>
      </c>
      <c r="L205" s="392">
        <f t="shared" si="54"/>
        <v>50374</v>
      </c>
      <c r="M205" s="357">
        <f t="shared" si="55"/>
        <v>257</v>
      </c>
      <c r="N205" s="397">
        <v>4973.8592918779204</v>
      </c>
      <c r="O205" s="397">
        <f t="shared" si="44"/>
        <v>0</v>
      </c>
      <c r="P205" s="397">
        <f t="shared" si="49"/>
        <v>33.90916137589543</v>
      </c>
      <c r="Q205" s="397">
        <f t="shared" si="45"/>
        <v>-33.90916137589543</v>
      </c>
      <c r="R205" s="398">
        <f t="shared" si="50"/>
        <v>5007.768453253816</v>
      </c>
      <c r="S205" s="399">
        <f>INDEX(LIBOR!$M$3:$M$122,MATCH(L205,LIBOR!$N$3:$N$122))</f>
        <v>3.2809699999999997E-2</v>
      </c>
      <c r="T205" s="400">
        <f t="shared" si="51"/>
        <v>8.1809699999999999E-2</v>
      </c>
    </row>
    <row r="206" spans="2:20">
      <c r="B206" s="396">
        <f t="shared" si="52"/>
        <v>52200</v>
      </c>
      <c r="C206" s="357">
        <f t="shared" si="53"/>
        <v>317</v>
      </c>
      <c r="D206" s="397" t="e">
        <f>INDEX('Monthly Cash Flow'!$L$160:$GT$160, MATCH(C206, 'Monthly Cash Flow'!$L$13:$GT$13, 0))</f>
        <v>#N/A</v>
      </c>
      <c r="E206" s="397">
        <f t="shared" ca="1" si="42"/>
        <v>0</v>
      </c>
      <c r="F206" s="397" t="e">
        <f t="shared" si="46"/>
        <v>#N/A</v>
      </c>
      <c r="G206" s="397" t="e">
        <f t="shared" ca="1" si="43"/>
        <v>#N/A</v>
      </c>
      <c r="H206" s="398" t="e">
        <f t="shared" ca="1" si="47"/>
        <v>#N/A</v>
      </c>
      <c r="I206" s="399">
        <f>MAX($J$5, INDEX(LIBOR!$M$3:$M$122,MATCH(B206,LIBOR!$N$3:$N$122)))</f>
        <v>5.1999999999999998E-2</v>
      </c>
      <c r="J206" s="400">
        <f t="shared" si="48"/>
        <v>0.10100000000000001</v>
      </c>
      <c r="L206" s="392">
        <f t="shared" si="54"/>
        <v>50405</v>
      </c>
      <c r="M206" s="357">
        <f t="shared" si="55"/>
        <v>258</v>
      </c>
      <c r="N206" s="397">
        <v>4953.1281712791479</v>
      </c>
      <c r="O206" s="397">
        <f t="shared" si="44"/>
        <v>0</v>
      </c>
      <c r="P206" s="397">
        <f t="shared" si="49"/>
        <v>33.767827479491309</v>
      </c>
      <c r="Q206" s="397">
        <f t="shared" si="45"/>
        <v>-33.767827479491309</v>
      </c>
      <c r="R206" s="398">
        <f t="shared" si="50"/>
        <v>4986.8959987586395</v>
      </c>
      <c r="S206" s="399">
        <f>INDEX(LIBOR!$M$3:$M$122,MATCH(L206,LIBOR!$N$3:$N$122))</f>
        <v>3.2809699999999997E-2</v>
      </c>
      <c r="T206" s="400">
        <f t="shared" si="51"/>
        <v>8.1809699999999999E-2</v>
      </c>
    </row>
    <row r="207" spans="2:20">
      <c r="B207" s="396">
        <f t="shared" si="52"/>
        <v>52231</v>
      </c>
      <c r="C207" s="357">
        <f t="shared" si="53"/>
        <v>318</v>
      </c>
      <c r="D207" s="397" t="e">
        <f>INDEX('Monthly Cash Flow'!$L$160:$GT$160, MATCH(C207, 'Monthly Cash Flow'!$L$13:$GT$13, 0))</f>
        <v>#N/A</v>
      </c>
      <c r="E207" s="397">
        <f t="shared" ca="1" si="42"/>
        <v>0</v>
      </c>
      <c r="F207" s="397" t="e">
        <f t="shared" si="46"/>
        <v>#N/A</v>
      </c>
      <c r="G207" s="397" t="e">
        <f t="shared" ca="1" si="43"/>
        <v>#N/A</v>
      </c>
      <c r="H207" s="398" t="e">
        <f t="shared" ca="1" si="47"/>
        <v>#N/A</v>
      </c>
      <c r="I207" s="399">
        <f>MAX($J$5, INDEX(LIBOR!$M$3:$M$122,MATCH(B207,LIBOR!$N$3:$N$122)))</f>
        <v>5.1999999999999998E-2</v>
      </c>
      <c r="J207" s="400">
        <f t="shared" si="48"/>
        <v>0.10100000000000001</v>
      </c>
      <c r="L207" s="392">
        <f t="shared" si="54"/>
        <v>50436</v>
      </c>
      <c r="M207" s="357">
        <f t="shared" si="55"/>
        <v>259</v>
      </c>
      <c r="N207" s="397">
        <v>4932.3026250905505</v>
      </c>
      <c r="O207" s="397">
        <f t="shared" si="44"/>
        <v>0</v>
      </c>
      <c r="P207" s="397">
        <f t="shared" si="49"/>
        <v>33.625849838989204</v>
      </c>
      <c r="Q207" s="397">
        <f t="shared" si="45"/>
        <v>-33.625849838989204</v>
      </c>
      <c r="R207" s="398">
        <f t="shared" si="50"/>
        <v>4965.9284749295393</v>
      </c>
      <c r="S207" s="399">
        <f>INDEX(LIBOR!$M$3:$M$122,MATCH(L207,LIBOR!$N$3:$N$122))</f>
        <v>3.2809699999999997E-2</v>
      </c>
      <c r="T207" s="400">
        <f t="shared" si="51"/>
        <v>8.1809699999999999E-2</v>
      </c>
    </row>
    <row r="208" spans="2:20">
      <c r="B208" s="396">
        <f t="shared" si="52"/>
        <v>52262</v>
      </c>
      <c r="C208" s="357">
        <f t="shared" si="53"/>
        <v>319</v>
      </c>
      <c r="D208" s="397" t="e">
        <f>INDEX('Monthly Cash Flow'!$L$160:$GT$160, MATCH(C208, 'Monthly Cash Flow'!$L$13:$GT$13, 0))</f>
        <v>#N/A</v>
      </c>
      <c r="E208" s="397">
        <f t="shared" ca="1" si="42"/>
        <v>0</v>
      </c>
      <c r="F208" s="397" t="e">
        <f t="shared" si="46"/>
        <v>#N/A</v>
      </c>
      <c r="G208" s="397" t="e">
        <f t="shared" ca="1" si="43"/>
        <v>#N/A</v>
      </c>
      <c r="H208" s="398" t="e">
        <f t="shared" ca="1" si="47"/>
        <v>#N/A</v>
      </c>
      <c r="I208" s="399">
        <f>MAX($J$5, INDEX(LIBOR!$M$3:$M$122,MATCH(B208,LIBOR!$N$3:$N$122)))</f>
        <v>5.1999999999999998E-2</v>
      </c>
      <c r="J208" s="400">
        <f t="shared" si="48"/>
        <v>0.10100000000000001</v>
      </c>
      <c r="L208" s="392">
        <f t="shared" si="54"/>
        <v>50464</v>
      </c>
      <c r="M208" s="357">
        <f t="shared" si="55"/>
        <v>260</v>
      </c>
      <c r="N208" s="397">
        <v>4911.3822232248112</v>
      </c>
      <c r="O208" s="397">
        <f t="shared" si="44"/>
        <v>0</v>
      </c>
      <c r="P208" s="397">
        <f t="shared" si="49"/>
        <v>33.483225522279568</v>
      </c>
      <c r="Q208" s="397">
        <f t="shared" si="45"/>
        <v>-33.483225522279568</v>
      </c>
      <c r="R208" s="398">
        <f t="shared" si="50"/>
        <v>4944.8654487470912</v>
      </c>
      <c r="S208" s="399">
        <f>INDEX(LIBOR!$M$3:$M$122,MATCH(L208,LIBOR!$N$3:$N$122))</f>
        <v>3.2809699999999997E-2</v>
      </c>
      <c r="T208" s="400">
        <f t="shared" si="51"/>
        <v>8.1809699999999999E-2</v>
      </c>
    </row>
    <row r="209" spans="2:20">
      <c r="B209" s="396">
        <f t="shared" si="52"/>
        <v>52290</v>
      </c>
      <c r="C209" s="357">
        <f t="shared" si="53"/>
        <v>320</v>
      </c>
      <c r="D209" s="397" t="e">
        <f>INDEX('Monthly Cash Flow'!$L$160:$GT$160, MATCH(C209, 'Monthly Cash Flow'!$L$13:$GT$13, 0))</f>
        <v>#N/A</v>
      </c>
      <c r="E209" s="397">
        <f t="shared" ca="1" si="42"/>
        <v>0</v>
      </c>
      <c r="F209" s="397" t="e">
        <f t="shared" si="46"/>
        <v>#N/A</v>
      </c>
      <c r="G209" s="397" t="e">
        <f t="shared" ca="1" si="43"/>
        <v>#N/A</v>
      </c>
      <c r="H209" s="398" t="e">
        <f t="shared" ca="1" si="47"/>
        <v>#N/A</v>
      </c>
      <c r="I209" s="399">
        <f>MAX($J$5, INDEX(LIBOR!$M$3:$M$122,MATCH(B209,LIBOR!$N$3:$N$122)))</f>
        <v>5.1999999999999998E-2</v>
      </c>
      <c r="J209" s="400">
        <f t="shared" si="48"/>
        <v>0.10100000000000001</v>
      </c>
      <c r="L209" s="392">
        <f t="shared" si="54"/>
        <v>50495</v>
      </c>
      <c r="M209" s="357">
        <f t="shared" si="55"/>
        <v>261</v>
      </c>
      <c r="N209" s="397">
        <v>4890.3665336356644</v>
      </c>
      <c r="O209" s="397">
        <f t="shared" si="44"/>
        <v>0</v>
      </c>
      <c r="P209" s="397">
        <f t="shared" si="49"/>
        <v>33.3399515838978</v>
      </c>
      <c r="Q209" s="397">
        <f t="shared" si="45"/>
        <v>-33.3399515838978</v>
      </c>
      <c r="R209" s="398">
        <f t="shared" si="50"/>
        <v>4923.7064852195617</v>
      </c>
      <c r="S209" s="399">
        <f>INDEX(LIBOR!$M$3:$M$122,MATCH(L209,LIBOR!$N$3:$N$122))</f>
        <v>3.2809699999999997E-2</v>
      </c>
      <c r="T209" s="400">
        <f t="shared" si="51"/>
        <v>8.1809699999999999E-2</v>
      </c>
    </row>
    <row r="210" spans="2:20">
      <c r="B210" s="396">
        <f t="shared" si="52"/>
        <v>52321</v>
      </c>
      <c r="C210" s="357">
        <f t="shared" si="53"/>
        <v>321</v>
      </c>
      <c r="D210" s="397" t="e">
        <f>INDEX('Monthly Cash Flow'!$L$160:$GT$160, MATCH(C210, 'Monthly Cash Flow'!$L$13:$GT$13, 0))</f>
        <v>#N/A</v>
      </c>
      <c r="E210" s="397">
        <f t="shared" ca="1" si="42"/>
        <v>0</v>
      </c>
      <c r="F210" s="397" t="e">
        <f t="shared" si="46"/>
        <v>#N/A</v>
      </c>
      <c r="G210" s="397" t="e">
        <f t="shared" ca="1" si="43"/>
        <v>#N/A</v>
      </c>
      <c r="H210" s="398" t="e">
        <f t="shared" ca="1" si="47"/>
        <v>#N/A</v>
      </c>
      <c r="I210" s="399">
        <f>MAX($J$5, INDEX(LIBOR!$M$3:$M$122,MATCH(B210,LIBOR!$N$3:$N$122)))</f>
        <v>5.1999999999999998E-2</v>
      </c>
      <c r="J210" s="400">
        <f t="shared" si="48"/>
        <v>0.10100000000000001</v>
      </c>
      <c r="L210" s="392">
        <f t="shared" si="54"/>
        <v>50525</v>
      </c>
      <c r="M210" s="357">
        <f t="shared" si="55"/>
        <v>262</v>
      </c>
      <c r="N210" s="397">
        <v>4869.2551223089686</v>
      </c>
      <c r="O210" s="397">
        <f t="shared" si="44"/>
        <v>0</v>
      </c>
      <c r="P210" s="397">
        <f t="shared" si="49"/>
        <v>33.196025064963337</v>
      </c>
      <c r="Q210" s="397">
        <f t="shared" si="45"/>
        <v>-33.196025064963337</v>
      </c>
      <c r="R210" s="398">
        <f t="shared" si="50"/>
        <v>4902.4511473739321</v>
      </c>
      <c r="S210" s="399">
        <f>INDEX(LIBOR!$M$3:$M$122,MATCH(L210,LIBOR!$N$3:$N$122))</f>
        <v>3.2809699999999997E-2</v>
      </c>
      <c r="T210" s="400">
        <f t="shared" si="51"/>
        <v>8.1809699999999999E-2</v>
      </c>
    </row>
    <row r="211" spans="2:20">
      <c r="B211" s="396">
        <f t="shared" si="52"/>
        <v>52351</v>
      </c>
      <c r="C211" s="357">
        <f t="shared" si="53"/>
        <v>322</v>
      </c>
      <c r="D211" s="397" t="e">
        <f>INDEX('Monthly Cash Flow'!$L$160:$GT$160, MATCH(C211, 'Monthly Cash Flow'!$L$13:$GT$13, 0))</f>
        <v>#N/A</v>
      </c>
      <c r="E211" s="397">
        <f t="shared" ca="1" si="42"/>
        <v>0</v>
      </c>
      <c r="F211" s="397" t="e">
        <f t="shared" si="46"/>
        <v>#N/A</v>
      </c>
      <c r="G211" s="397" t="e">
        <f t="shared" ca="1" si="43"/>
        <v>#N/A</v>
      </c>
      <c r="H211" s="398" t="e">
        <f t="shared" ca="1" si="47"/>
        <v>#N/A</v>
      </c>
      <c r="I211" s="399">
        <f>MAX($J$5, INDEX(LIBOR!$M$3:$M$122,MATCH(B211,LIBOR!$N$3:$N$122)))</f>
        <v>5.1999999999999998E-2</v>
      </c>
      <c r="J211" s="400">
        <f t="shared" si="48"/>
        <v>0.10100000000000001</v>
      </c>
      <c r="L211" s="392">
        <f t="shared" si="54"/>
        <v>50556</v>
      </c>
      <c r="M211" s="357">
        <f t="shared" si="55"/>
        <v>263</v>
      </c>
      <c r="N211" s="397">
        <v>4848.0475532537475</v>
      </c>
      <c r="O211" s="397">
        <f t="shared" si="44"/>
        <v>0</v>
      </c>
      <c r="P211" s="397">
        <f t="shared" si="49"/>
        <v>33.051442993118592</v>
      </c>
      <c r="Q211" s="397">
        <f t="shared" si="45"/>
        <v>-33.051442993118592</v>
      </c>
      <c r="R211" s="398">
        <f t="shared" si="50"/>
        <v>4881.0989962468657</v>
      </c>
      <c r="S211" s="399">
        <f>INDEX(LIBOR!$M$3:$M$122,MATCH(L211,LIBOR!$N$3:$N$122))</f>
        <v>3.2809699999999997E-2</v>
      </c>
      <c r="T211" s="400">
        <f t="shared" si="51"/>
        <v>8.1809699999999999E-2</v>
      </c>
    </row>
    <row r="212" spans="2:20">
      <c r="B212" s="396">
        <f t="shared" si="52"/>
        <v>52382</v>
      </c>
      <c r="C212" s="357">
        <f t="shared" si="53"/>
        <v>323</v>
      </c>
      <c r="D212" s="397" t="e">
        <f>INDEX('Monthly Cash Flow'!$L$160:$GT$160, MATCH(C212, 'Monthly Cash Flow'!$L$13:$GT$13, 0))</f>
        <v>#N/A</v>
      </c>
      <c r="E212" s="397">
        <f t="shared" ca="1" si="42"/>
        <v>0</v>
      </c>
      <c r="F212" s="397" t="e">
        <f t="shared" si="46"/>
        <v>#N/A</v>
      </c>
      <c r="G212" s="397" t="e">
        <f t="shared" ca="1" si="43"/>
        <v>#N/A</v>
      </c>
      <c r="H212" s="398" t="e">
        <f t="shared" ca="1" si="47"/>
        <v>#N/A</v>
      </c>
      <c r="I212" s="399">
        <f>MAX($J$5, INDEX(LIBOR!$M$3:$M$122,MATCH(B212,LIBOR!$N$3:$N$122)))</f>
        <v>5.1999999999999998E-2</v>
      </c>
      <c r="J212" s="400">
        <f t="shared" si="48"/>
        <v>0.10100000000000001</v>
      </c>
      <c r="L212" s="392">
        <f t="shared" si="54"/>
        <v>50586</v>
      </c>
      <c r="M212" s="357">
        <f t="shared" si="55"/>
        <v>264</v>
      </c>
      <c r="N212" s="397">
        <v>4826.7433884931834</v>
      </c>
      <c r="O212" s="397">
        <f t="shared" si="44"/>
        <v>0</v>
      </c>
      <c r="P212" s="397">
        <f t="shared" si="49"/>
        <v>32.906202382467562</v>
      </c>
      <c r="Q212" s="397">
        <f t="shared" si="45"/>
        <v>-32.906202382467562</v>
      </c>
      <c r="R212" s="398">
        <f t="shared" si="50"/>
        <v>4859.6495908756506</v>
      </c>
      <c r="S212" s="399">
        <f>INDEX(LIBOR!$M$3:$M$122,MATCH(L212,LIBOR!$N$3:$N$122))</f>
        <v>3.2809699999999997E-2</v>
      </c>
      <c r="T212" s="400">
        <f t="shared" si="51"/>
        <v>8.1809699999999999E-2</v>
      </c>
    </row>
    <row r="213" spans="2:20">
      <c r="B213" s="396">
        <f t="shared" si="52"/>
        <v>52412</v>
      </c>
      <c r="C213" s="357">
        <f t="shared" si="53"/>
        <v>324</v>
      </c>
      <c r="D213" s="397" t="e">
        <f>INDEX('Monthly Cash Flow'!$L$160:$GT$160, MATCH(C213, 'Monthly Cash Flow'!$L$13:$GT$13, 0))</f>
        <v>#N/A</v>
      </c>
      <c r="E213" s="397">
        <f t="shared" ca="1" si="42"/>
        <v>0</v>
      </c>
      <c r="F213" s="397" t="e">
        <f t="shared" si="46"/>
        <v>#N/A</v>
      </c>
      <c r="G213" s="397" t="e">
        <f t="shared" ca="1" si="43"/>
        <v>#N/A</v>
      </c>
      <c r="H213" s="398" t="e">
        <f t="shared" ca="1" si="47"/>
        <v>#N/A</v>
      </c>
      <c r="I213" s="399">
        <f>MAX($J$5, INDEX(LIBOR!$M$3:$M$122,MATCH(B213,LIBOR!$N$3:$N$122)))</f>
        <v>5.1999999999999998E-2</v>
      </c>
      <c r="J213" s="400">
        <f t="shared" si="48"/>
        <v>0.10100000000000001</v>
      </c>
      <c r="L213" s="392">
        <f t="shared" si="54"/>
        <v>50617</v>
      </c>
      <c r="M213" s="357">
        <f t="shared" si="55"/>
        <v>265</v>
      </c>
      <c r="N213" s="397">
        <v>4805.3421880555716</v>
      </c>
      <c r="O213" s="397">
        <f t="shared" si="44"/>
        <v>0</v>
      </c>
      <c r="P213" s="397">
        <f t="shared" si="49"/>
        <v>32.760300233514158</v>
      </c>
      <c r="Q213" s="397">
        <f t="shared" si="45"/>
        <v>-32.760300233514158</v>
      </c>
      <c r="R213" s="398">
        <f t="shared" si="50"/>
        <v>4838.1024882890861</v>
      </c>
      <c r="S213" s="399">
        <f>INDEX(LIBOR!$M$3:$M$122,MATCH(L213,LIBOR!$N$3:$N$122))</f>
        <v>3.2809699999999997E-2</v>
      </c>
      <c r="T213" s="400">
        <f t="shared" si="51"/>
        <v>8.1809699999999999E-2</v>
      </c>
    </row>
    <row r="214" spans="2:20">
      <c r="B214" s="396">
        <f t="shared" si="52"/>
        <v>52443</v>
      </c>
      <c r="C214" s="357">
        <f t="shared" si="53"/>
        <v>325</v>
      </c>
      <c r="D214" s="397" t="e">
        <f>INDEX('Monthly Cash Flow'!$L$160:$GT$160, MATCH(C214, 'Monthly Cash Flow'!$L$13:$GT$13, 0))</f>
        <v>#N/A</v>
      </c>
      <c r="E214" s="397">
        <f t="shared" ca="1" si="42"/>
        <v>0</v>
      </c>
      <c r="F214" s="397" t="e">
        <f t="shared" si="46"/>
        <v>#N/A</v>
      </c>
      <c r="G214" s="397" t="e">
        <f t="shared" ca="1" si="43"/>
        <v>#N/A</v>
      </c>
      <c r="H214" s="398" t="e">
        <f t="shared" ca="1" si="47"/>
        <v>#N/A</v>
      </c>
      <c r="I214" s="399">
        <f>MAX($J$5, INDEX(LIBOR!$M$3:$M$122,MATCH(B214,LIBOR!$N$3:$N$122)))</f>
        <v>5.1999999999999998E-2</v>
      </c>
      <c r="J214" s="400">
        <f t="shared" si="48"/>
        <v>0.10100000000000001</v>
      </c>
      <c r="L214" s="392">
        <f t="shared" si="54"/>
        <v>50648</v>
      </c>
      <c r="M214" s="357">
        <f t="shared" si="55"/>
        <v>266</v>
      </c>
      <c r="N214" s="397">
        <v>4783.843509965237</v>
      </c>
      <c r="O214" s="397">
        <f t="shared" si="44"/>
        <v>0</v>
      </c>
      <c r="P214" s="397">
        <f t="shared" si="49"/>
        <v>32.613733533100252</v>
      </c>
      <c r="Q214" s="397">
        <f t="shared" si="45"/>
        <v>-32.613733533100252</v>
      </c>
      <c r="R214" s="398">
        <f t="shared" si="50"/>
        <v>4816.4572434983374</v>
      </c>
      <c r="S214" s="399">
        <f>INDEX(LIBOR!$M$3:$M$122,MATCH(L214,LIBOR!$N$3:$N$122))</f>
        <v>3.2809699999999997E-2</v>
      </c>
      <c r="T214" s="400">
        <f t="shared" si="51"/>
        <v>8.1809699999999999E-2</v>
      </c>
    </row>
    <row r="215" spans="2:20">
      <c r="B215" s="396">
        <f t="shared" si="52"/>
        <v>52474</v>
      </c>
      <c r="C215" s="357">
        <f t="shared" si="53"/>
        <v>326</v>
      </c>
      <c r="D215" s="397" t="e">
        <f>INDEX('Monthly Cash Flow'!$L$160:$GT$160, MATCH(C215, 'Monthly Cash Flow'!$L$13:$GT$13, 0))</f>
        <v>#N/A</v>
      </c>
      <c r="E215" s="397">
        <f t="shared" ca="1" si="42"/>
        <v>0</v>
      </c>
      <c r="F215" s="397" t="e">
        <f t="shared" si="46"/>
        <v>#N/A</v>
      </c>
      <c r="G215" s="397" t="e">
        <f t="shared" ca="1" si="43"/>
        <v>#N/A</v>
      </c>
      <c r="H215" s="398" t="e">
        <f t="shared" ca="1" si="47"/>
        <v>#N/A</v>
      </c>
      <c r="I215" s="399">
        <f>MAX($J$5, INDEX(LIBOR!$M$3:$M$122,MATCH(B215,LIBOR!$N$3:$N$122)))</f>
        <v>5.1999999999999998E-2</v>
      </c>
      <c r="J215" s="400">
        <f t="shared" si="48"/>
        <v>0.10100000000000001</v>
      </c>
      <c r="L215" s="392">
        <f t="shared" si="54"/>
        <v>50678</v>
      </c>
      <c r="M215" s="357">
        <f t="shared" si="55"/>
        <v>267</v>
      </c>
      <c r="N215" s="397">
        <v>4762.2469102334035</v>
      </c>
      <c r="O215" s="397">
        <f t="shared" si="44"/>
        <v>0</v>
      </c>
      <c r="P215" s="397">
        <f t="shared" si="49"/>
        <v>32.466499254343468</v>
      </c>
      <c r="Q215" s="397">
        <f t="shared" si="45"/>
        <v>-32.466499254343468</v>
      </c>
      <c r="R215" s="398">
        <f t="shared" si="50"/>
        <v>4794.7134094877465</v>
      </c>
      <c r="S215" s="399">
        <f>INDEX(LIBOR!$M$3:$M$122,MATCH(L215,LIBOR!$N$3:$N$122))</f>
        <v>3.2809699999999997E-2</v>
      </c>
      <c r="T215" s="400">
        <f t="shared" si="51"/>
        <v>8.1809699999999999E-2</v>
      </c>
    </row>
    <row r="216" spans="2:20">
      <c r="B216" s="396">
        <f t="shared" si="52"/>
        <v>52504</v>
      </c>
      <c r="C216" s="357">
        <f t="shared" si="53"/>
        <v>327</v>
      </c>
      <c r="D216" s="397" t="e">
        <f>INDEX('Monthly Cash Flow'!$L$160:$GT$160, MATCH(C216, 'Monthly Cash Flow'!$L$13:$GT$13, 0))</f>
        <v>#N/A</v>
      </c>
      <c r="E216" s="397">
        <f t="shared" ca="1" si="42"/>
        <v>0</v>
      </c>
      <c r="F216" s="397" t="e">
        <f t="shared" si="46"/>
        <v>#N/A</v>
      </c>
      <c r="G216" s="397" t="e">
        <f t="shared" ca="1" si="43"/>
        <v>#N/A</v>
      </c>
      <c r="H216" s="398" t="e">
        <f t="shared" ca="1" si="47"/>
        <v>#N/A</v>
      </c>
      <c r="I216" s="399">
        <f>MAX($J$5, INDEX(LIBOR!$M$3:$M$122,MATCH(B216,LIBOR!$N$3:$N$122)))</f>
        <v>5.1999999999999998E-2</v>
      </c>
      <c r="J216" s="400">
        <f t="shared" si="48"/>
        <v>0.10100000000000001</v>
      </c>
      <c r="L216" s="392">
        <f t="shared" si="54"/>
        <v>50709</v>
      </c>
      <c r="M216" s="357">
        <f t="shared" si="55"/>
        <v>268</v>
      </c>
      <c r="N216" s="397">
        <v>4740.5519428490261</v>
      </c>
      <c r="O216" s="397">
        <f t="shared" si="44"/>
        <v>0</v>
      </c>
      <c r="P216" s="397">
        <f t="shared" si="49"/>
        <v>32.318594356574664</v>
      </c>
      <c r="Q216" s="397">
        <f t="shared" si="45"/>
        <v>-32.318594356574664</v>
      </c>
      <c r="R216" s="398">
        <f t="shared" si="50"/>
        <v>4772.8705372056011</v>
      </c>
      <c r="S216" s="399">
        <f>INDEX(LIBOR!$M$3:$M$122,MATCH(L216,LIBOR!$N$3:$N$122))</f>
        <v>3.2809699999999997E-2</v>
      </c>
      <c r="T216" s="400">
        <f t="shared" si="51"/>
        <v>8.1809699999999999E-2</v>
      </c>
    </row>
    <row r="217" spans="2:20">
      <c r="B217" s="396">
        <f t="shared" si="52"/>
        <v>52535</v>
      </c>
      <c r="C217" s="357">
        <f t="shared" si="53"/>
        <v>328</v>
      </c>
      <c r="D217" s="397" t="e">
        <f>INDEX('Monthly Cash Flow'!$L$160:$GT$160, MATCH(C217, 'Monthly Cash Flow'!$L$13:$GT$13, 0))</f>
        <v>#N/A</v>
      </c>
      <c r="E217" s="397">
        <f t="shared" ca="1" si="42"/>
        <v>0</v>
      </c>
      <c r="F217" s="397" t="e">
        <f t="shared" si="46"/>
        <v>#N/A</v>
      </c>
      <c r="G217" s="397" t="e">
        <f t="shared" ca="1" si="43"/>
        <v>#N/A</v>
      </c>
      <c r="H217" s="398" t="e">
        <f t="shared" ca="1" si="47"/>
        <v>#N/A</v>
      </c>
      <c r="I217" s="399">
        <f>MAX($J$5, INDEX(LIBOR!$M$3:$M$122,MATCH(B217,LIBOR!$N$3:$N$122)))</f>
        <v>5.1999999999999998E-2</v>
      </c>
      <c r="J217" s="400">
        <f t="shared" si="48"/>
        <v>0.10100000000000001</v>
      </c>
      <c r="L217" s="392">
        <f t="shared" si="54"/>
        <v>50739</v>
      </c>
      <c r="M217" s="357">
        <f t="shared" si="55"/>
        <v>269</v>
      </c>
      <c r="N217" s="397">
        <v>4718.7581597695807</v>
      </c>
      <c r="O217" s="397">
        <f t="shared" si="44"/>
        <v>0</v>
      </c>
      <c r="P217" s="397">
        <f t="shared" si="49"/>
        <v>32.170015785275119</v>
      </c>
      <c r="Q217" s="397">
        <f t="shared" si="45"/>
        <v>-32.170015785275119</v>
      </c>
      <c r="R217" s="398">
        <f t="shared" si="50"/>
        <v>4750.9281755548554</v>
      </c>
      <c r="S217" s="399">
        <f>INDEX(LIBOR!$M$3:$M$122,MATCH(L217,LIBOR!$N$3:$N$122))</f>
        <v>3.2809699999999997E-2</v>
      </c>
      <c r="T217" s="400">
        <f t="shared" si="51"/>
        <v>8.1809699999999999E-2</v>
      </c>
    </row>
    <row r="218" spans="2:20">
      <c r="B218" s="396">
        <f t="shared" si="52"/>
        <v>52565</v>
      </c>
      <c r="C218" s="357">
        <f t="shared" si="53"/>
        <v>329</v>
      </c>
      <c r="D218" s="397" t="e">
        <f>INDEX('Monthly Cash Flow'!$L$160:$GT$160, MATCH(C218, 'Monthly Cash Flow'!$L$13:$GT$13, 0))</f>
        <v>#N/A</v>
      </c>
      <c r="E218" s="397">
        <f t="shared" ca="1" si="42"/>
        <v>0</v>
      </c>
      <c r="F218" s="397" t="e">
        <f t="shared" si="46"/>
        <v>#N/A</v>
      </c>
      <c r="G218" s="397" t="e">
        <f t="shared" ca="1" si="43"/>
        <v>#N/A</v>
      </c>
      <c r="H218" s="398" t="e">
        <f t="shared" ca="1" si="47"/>
        <v>#N/A</v>
      </c>
      <c r="I218" s="399">
        <f>MAX($J$5, INDEX(LIBOR!$M$3:$M$122,MATCH(B218,LIBOR!$N$3:$N$122)))</f>
        <v>5.1999999999999998E-2</v>
      </c>
      <c r="J218" s="400">
        <f t="shared" si="48"/>
        <v>0.10100000000000001</v>
      </c>
      <c r="L218" s="392">
        <f t="shared" si="54"/>
        <v>50770</v>
      </c>
      <c r="M218" s="357">
        <f t="shared" si="55"/>
        <v>270</v>
      </c>
      <c r="N218" s="397">
        <v>4696.8651109118091</v>
      </c>
      <c r="O218" s="397">
        <f t="shared" si="44"/>
        <v>0</v>
      </c>
      <c r="P218" s="397">
        <f t="shared" si="49"/>
        <v>32.020760472013485</v>
      </c>
      <c r="Q218" s="397">
        <f t="shared" si="45"/>
        <v>-32.020760472013485</v>
      </c>
      <c r="R218" s="398">
        <f t="shared" si="50"/>
        <v>4728.8858713838226</v>
      </c>
      <c r="S218" s="399">
        <f>INDEX(LIBOR!$M$3:$M$122,MATCH(L218,LIBOR!$N$3:$N$122))</f>
        <v>3.2809699999999997E-2</v>
      </c>
      <c r="T218" s="400">
        <f t="shared" si="51"/>
        <v>8.1809699999999999E-2</v>
      </c>
    </row>
    <row r="219" spans="2:20">
      <c r="B219" s="396">
        <f t="shared" si="52"/>
        <v>52596</v>
      </c>
      <c r="C219" s="357">
        <f t="shared" si="53"/>
        <v>330</v>
      </c>
      <c r="D219" s="397" t="e">
        <f>INDEX('Monthly Cash Flow'!$L$160:$GT$160, MATCH(C219, 'Monthly Cash Flow'!$L$13:$GT$13, 0))</f>
        <v>#N/A</v>
      </c>
      <c r="E219" s="397">
        <f t="shared" ca="1" si="42"/>
        <v>0</v>
      </c>
      <c r="F219" s="397" t="e">
        <f t="shared" si="46"/>
        <v>#N/A</v>
      </c>
      <c r="G219" s="397" t="e">
        <f t="shared" ca="1" si="43"/>
        <v>#N/A</v>
      </c>
      <c r="H219" s="398" t="e">
        <f t="shared" ca="1" si="47"/>
        <v>#N/A</v>
      </c>
      <c r="I219" s="399">
        <f>MAX($J$5, INDEX(LIBOR!$M$3:$M$122,MATCH(B219,LIBOR!$N$3:$N$122)))</f>
        <v>5.1999999999999998E-2</v>
      </c>
      <c r="J219" s="400">
        <f t="shared" si="48"/>
        <v>0.10100000000000001</v>
      </c>
      <c r="L219" s="392">
        <f t="shared" si="54"/>
        <v>50801</v>
      </c>
      <c r="M219" s="357">
        <f t="shared" si="55"/>
        <v>271</v>
      </c>
      <c r="N219" s="397">
        <v>4674.8723441424263</v>
      </c>
      <c r="O219" s="397">
        <f t="shared" si="44"/>
        <v>0</v>
      </c>
      <c r="P219" s="397">
        <f t="shared" si="49"/>
        <v>31.870825334382388</v>
      </c>
      <c r="Q219" s="397">
        <f t="shared" si="45"/>
        <v>-31.870825334382388</v>
      </c>
      <c r="R219" s="398">
        <f t="shared" si="50"/>
        <v>4706.7431694768084</v>
      </c>
      <c r="S219" s="399">
        <f>INDEX(LIBOR!$M$3:$M$122,MATCH(L219,LIBOR!$N$3:$N$122))</f>
        <v>3.2809699999999997E-2</v>
      </c>
      <c r="T219" s="400">
        <f t="shared" si="51"/>
        <v>8.1809699999999999E-2</v>
      </c>
    </row>
    <row r="220" spans="2:20">
      <c r="B220" s="396">
        <f t="shared" si="52"/>
        <v>52627</v>
      </c>
      <c r="C220" s="357">
        <f t="shared" si="53"/>
        <v>331</v>
      </c>
      <c r="D220" s="397" t="e">
        <f>INDEX('Monthly Cash Flow'!$L$160:$GT$160, MATCH(C220, 'Monthly Cash Flow'!$L$13:$GT$13, 0))</f>
        <v>#N/A</v>
      </c>
      <c r="E220" s="397">
        <f t="shared" ca="1" si="42"/>
        <v>0</v>
      </c>
      <c r="F220" s="397" t="e">
        <f t="shared" si="46"/>
        <v>#N/A</v>
      </c>
      <c r="G220" s="397" t="e">
        <f t="shared" ca="1" si="43"/>
        <v>#N/A</v>
      </c>
      <c r="H220" s="398" t="e">
        <f t="shared" ca="1" si="47"/>
        <v>#N/A</v>
      </c>
      <c r="I220" s="399">
        <f>MAX($J$5, INDEX(LIBOR!$M$3:$M$122,MATCH(B220,LIBOR!$N$3:$N$122)))</f>
        <v>5.1999999999999998E-2</v>
      </c>
      <c r="J220" s="400">
        <f t="shared" si="48"/>
        <v>0.10100000000000001</v>
      </c>
      <c r="L220" s="392">
        <f t="shared" si="54"/>
        <v>50829</v>
      </c>
      <c r="M220" s="357">
        <f t="shared" si="55"/>
        <v>272</v>
      </c>
      <c r="N220" s="397">
        <v>4652.7794052687814</v>
      </c>
      <c r="O220" s="397">
        <f t="shared" si="44"/>
        <v>0</v>
      </c>
      <c r="P220" s="397">
        <f t="shared" si="49"/>
        <v>31.720207275934783</v>
      </c>
      <c r="Q220" s="397">
        <f t="shared" si="45"/>
        <v>-31.720207275934783</v>
      </c>
      <c r="R220" s="398">
        <f t="shared" si="50"/>
        <v>4684.499612544716</v>
      </c>
      <c r="S220" s="399">
        <f>INDEX(LIBOR!$M$3:$M$122,MATCH(L220,LIBOR!$N$3:$N$122))</f>
        <v>3.2809699999999997E-2</v>
      </c>
      <c r="T220" s="400">
        <f t="shared" si="51"/>
        <v>8.1809699999999999E-2</v>
      </c>
    </row>
    <row r="221" spans="2:20">
      <c r="B221" s="396">
        <f t="shared" si="52"/>
        <v>52656</v>
      </c>
      <c r="C221" s="357">
        <f t="shared" si="53"/>
        <v>332</v>
      </c>
      <c r="D221" s="397" t="e">
        <f>INDEX('Monthly Cash Flow'!$L$160:$GT$160, MATCH(C221, 'Monthly Cash Flow'!$L$13:$GT$13, 0))</f>
        <v>#N/A</v>
      </c>
      <c r="E221" s="397">
        <f t="shared" ca="1" si="42"/>
        <v>0</v>
      </c>
      <c r="F221" s="397" t="e">
        <f t="shared" si="46"/>
        <v>#N/A</v>
      </c>
      <c r="G221" s="397" t="e">
        <f t="shared" ca="1" si="43"/>
        <v>#N/A</v>
      </c>
      <c r="H221" s="398" t="e">
        <f t="shared" ca="1" si="47"/>
        <v>#N/A</v>
      </c>
      <c r="I221" s="399">
        <f>MAX($J$5, INDEX(LIBOR!$M$3:$M$122,MATCH(B221,LIBOR!$N$3:$N$122)))</f>
        <v>5.1999999999999998E-2</v>
      </c>
      <c r="J221" s="400">
        <f t="shared" si="48"/>
        <v>0.10100000000000001</v>
      </c>
      <c r="L221" s="392">
        <f t="shared" si="54"/>
        <v>50860</v>
      </c>
      <c r="M221" s="357">
        <f t="shared" si="55"/>
        <v>273</v>
      </c>
      <c r="N221" s="397">
        <v>4630.5858380294785</v>
      </c>
      <c r="O221" s="397">
        <f t="shared" si="44"/>
        <v>0</v>
      </c>
      <c r="P221" s="397">
        <f t="shared" si="49"/>
        <v>31.568903186120021</v>
      </c>
      <c r="Q221" s="397">
        <f t="shared" si="45"/>
        <v>-31.568903186120021</v>
      </c>
      <c r="R221" s="398">
        <f t="shared" si="50"/>
        <v>4662.1547412155987</v>
      </c>
      <c r="S221" s="399">
        <f>INDEX(LIBOR!$M$3:$M$122,MATCH(L221,LIBOR!$N$3:$N$122))</f>
        <v>3.2809699999999997E-2</v>
      </c>
      <c r="T221" s="400">
        <f t="shared" si="51"/>
        <v>8.1809699999999999E-2</v>
      </c>
    </row>
    <row r="222" spans="2:20">
      <c r="B222" s="396">
        <f t="shared" si="52"/>
        <v>52687</v>
      </c>
      <c r="C222" s="357">
        <f t="shared" si="53"/>
        <v>333</v>
      </c>
      <c r="D222" s="397" t="e">
        <f>INDEX('Monthly Cash Flow'!$L$160:$GT$160, MATCH(C222, 'Monthly Cash Flow'!$L$13:$GT$13, 0))</f>
        <v>#N/A</v>
      </c>
      <c r="E222" s="397">
        <f t="shared" ca="1" si="42"/>
        <v>0</v>
      </c>
      <c r="F222" s="397" t="e">
        <f t="shared" si="46"/>
        <v>#N/A</v>
      </c>
      <c r="G222" s="397" t="e">
        <f t="shared" ca="1" si="43"/>
        <v>#N/A</v>
      </c>
      <c r="H222" s="398" t="e">
        <f t="shared" ca="1" si="47"/>
        <v>#N/A</v>
      </c>
      <c r="I222" s="399">
        <f>MAX($J$5, INDEX(LIBOR!$M$3:$M$122,MATCH(B222,LIBOR!$N$3:$N$122)))</f>
        <v>5.1999999999999998E-2</v>
      </c>
      <c r="J222" s="400">
        <f t="shared" si="48"/>
        <v>0.10100000000000001</v>
      </c>
      <c r="L222" s="392">
        <f t="shared" si="54"/>
        <v>50890</v>
      </c>
      <c r="M222" s="357">
        <f t="shared" si="55"/>
        <v>274</v>
      </c>
      <c r="N222" s="397">
        <v>4608.2911840849538</v>
      </c>
      <c r="O222" s="397">
        <f t="shared" si="44"/>
        <v>0</v>
      </c>
      <c r="P222" s="397">
        <f t="shared" si="49"/>
        <v>31.416909940219568</v>
      </c>
      <c r="Q222" s="397">
        <f t="shared" si="45"/>
        <v>-31.416909940219568</v>
      </c>
      <c r="R222" s="398">
        <f t="shared" si="50"/>
        <v>4639.7080940251735</v>
      </c>
      <c r="S222" s="399">
        <f>INDEX(LIBOR!$M$3:$M$122,MATCH(L222,LIBOR!$N$3:$N$122))</f>
        <v>3.2809699999999997E-2</v>
      </c>
      <c r="T222" s="400">
        <f t="shared" si="51"/>
        <v>8.1809699999999999E-2</v>
      </c>
    </row>
    <row r="223" spans="2:20">
      <c r="B223" s="396">
        <f t="shared" si="52"/>
        <v>52717</v>
      </c>
      <c r="C223" s="357">
        <f t="shared" si="53"/>
        <v>334</v>
      </c>
      <c r="D223" s="397" t="e">
        <f>INDEX('Monthly Cash Flow'!$L$160:$GT$160, MATCH(C223, 'Monthly Cash Flow'!$L$13:$GT$13, 0))</f>
        <v>#N/A</v>
      </c>
      <c r="E223" s="397">
        <f t="shared" ca="1" si="42"/>
        <v>0</v>
      </c>
      <c r="F223" s="397" t="e">
        <f t="shared" si="46"/>
        <v>#N/A</v>
      </c>
      <c r="G223" s="397" t="e">
        <f t="shared" ca="1" si="43"/>
        <v>#N/A</v>
      </c>
      <c r="H223" s="398" t="e">
        <f t="shared" ca="1" si="47"/>
        <v>#N/A</v>
      </c>
      <c r="I223" s="399">
        <f>MAX($J$5, INDEX(LIBOR!$M$3:$M$122,MATCH(B223,LIBOR!$N$3:$N$122)))</f>
        <v>5.1999999999999998E-2</v>
      </c>
      <c r="J223" s="400">
        <f t="shared" si="48"/>
        <v>0.10100000000000001</v>
      </c>
      <c r="L223" s="392">
        <f t="shared" si="54"/>
        <v>50921</v>
      </c>
      <c r="M223" s="357">
        <f t="shared" si="55"/>
        <v>275</v>
      </c>
      <c r="N223" s="397">
        <v>4585.8949830080082</v>
      </c>
      <c r="O223" s="397">
        <f t="shared" si="44"/>
        <v>0</v>
      </c>
      <c r="P223" s="397">
        <f t="shared" si="49"/>
        <v>31.264224399282522</v>
      </c>
      <c r="Q223" s="397">
        <f t="shared" si="45"/>
        <v>-31.264224399282522</v>
      </c>
      <c r="R223" s="398">
        <f t="shared" si="50"/>
        <v>4617.1592074072905</v>
      </c>
      <c r="S223" s="399">
        <f>INDEX(LIBOR!$M$3:$M$122,MATCH(L223,LIBOR!$N$3:$N$122))</f>
        <v>3.2809699999999997E-2</v>
      </c>
      <c r="T223" s="400">
        <f t="shared" si="51"/>
        <v>8.1809699999999999E-2</v>
      </c>
    </row>
    <row r="224" spans="2:20">
      <c r="B224" s="396">
        <f t="shared" si="52"/>
        <v>52748</v>
      </c>
      <c r="C224" s="357">
        <f t="shared" si="53"/>
        <v>335</v>
      </c>
      <c r="D224" s="397" t="e">
        <f>INDEX('Monthly Cash Flow'!$L$160:$GT$160, MATCH(C224, 'Monthly Cash Flow'!$L$13:$GT$13, 0))</f>
        <v>#N/A</v>
      </c>
      <c r="E224" s="397">
        <f t="shared" ca="1" si="42"/>
        <v>0</v>
      </c>
      <c r="F224" s="397" t="e">
        <f t="shared" si="46"/>
        <v>#N/A</v>
      </c>
      <c r="G224" s="397" t="e">
        <f t="shared" ca="1" si="43"/>
        <v>#N/A</v>
      </c>
      <c r="H224" s="398" t="e">
        <f t="shared" ca="1" si="47"/>
        <v>#N/A</v>
      </c>
      <c r="I224" s="399">
        <f>MAX($J$5, INDEX(LIBOR!$M$3:$M$122,MATCH(B224,LIBOR!$N$3:$N$122)))</f>
        <v>5.1999999999999998E-2</v>
      </c>
      <c r="J224" s="400">
        <f t="shared" si="48"/>
        <v>0.10100000000000001</v>
      </c>
      <c r="L224" s="392">
        <f t="shared" si="54"/>
        <v>50951</v>
      </c>
      <c r="M224" s="357">
        <f t="shared" si="55"/>
        <v>276</v>
      </c>
      <c r="N224" s="397">
        <v>4563.3967722743027</v>
      </c>
      <c r="O224" s="397">
        <f t="shared" si="44"/>
        <v>0</v>
      </c>
      <c r="P224" s="397">
        <f t="shared" si="49"/>
        <v>31.110843410060752</v>
      </c>
      <c r="Q224" s="397">
        <f t="shared" si="45"/>
        <v>-31.110843410060752</v>
      </c>
      <c r="R224" s="398">
        <f t="shared" si="50"/>
        <v>4594.5076156843634</v>
      </c>
      <c r="S224" s="399">
        <f>INDEX(LIBOR!$M$3:$M$122,MATCH(L224,LIBOR!$N$3:$N$122))</f>
        <v>3.2809699999999997E-2</v>
      </c>
      <c r="T224" s="400">
        <f t="shared" si="51"/>
        <v>8.1809699999999999E-2</v>
      </c>
    </row>
    <row r="225" spans="2:20">
      <c r="B225" s="396">
        <f t="shared" si="52"/>
        <v>52778</v>
      </c>
      <c r="C225" s="357">
        <f t="shared" si="53"/>
        <v>336</v>
      </c>
      <c r="D225" s="397" t="e">
        <f>INDEX('Monthly Cash Flow'!$L$160:$GT$160, MATCH(C225, 'Monthly Cash Flow'!$L$13:$GT$13, 0))</f>
        <v>#N/A</v>
      </c>
      <c r="E225" s="397">
        <f t="shared" ca="1" si="42"/>
        <v>0</v>
      </c>
      <c r="F225" s="397" t="e">
        <f t="shared" si="46"/>
        <v>#N/A</v>
      </c>
      <c r="G225" s="397" t="e">
        <f t="shared" ca="1" si="43"/>
        <v>#N/A</v>
      </c>
      <c r="H225" s="398" t="e">
        <f t="shared" ca="1" si="47"/>
        <v>#N/A</v>
      </c>
      <c r="I225" s="399">
        <f>MAX($J$5, INDEX(LIBOR!$M$3:$M$122,MATCH(B225,LIBOR!$N$3:$N$122)))</f>
        <v>5.1999999999999998E-2</v>
      </c>
      <c r="J225" s="400">
        <f t="shared" si="48"/>
        <v>0.10100000000000001</v>
      </c>
      <c r="L225" s="392">
        <f t="shared" si="54"/>
        <v>50982</v>
      </c>
      <c r="M225" s="357">
        <f t="shared" si="55"/>
        <v>277</v>
      </c>
      <c r="N225" s="397">
        <v>4540.7960872528029</v>
      </c>
      <c r="O225" s="397">
        <f t="shared" si="44"/>
        <v>0</v>
      </c>
      <c r="P225" s="397">
        <f t="shared" si="49"/>
        <v>30.956763804943801</v>
      </c>
      <c r="Q225" s="397">
        <f t="shared" si="45"/>
        <v>-30.956763804943801</v>
      </c>
      <c r="R225" s="398">
        <f t="shared" si="50"/>
        <v>4571.7528510577467</v>
      </c>
      <c r="S225" s="399">
        <f>INDEX(LIBOR!$M$3:$M$122,MATCH(L225,LIBOR!$N$3:$N$122))</f>
        <v>3.2809699999999997E-2</v>
      </c>
      <c r="T225" s="400">
        <f t="shared" si="51"/>
        <v>8.1809699999999999E-2</v>
      </c>
    </row>
    <row r="226" spans="2:20">
      <c r="B226" s="396">
        <f t="shared" si="52"/>
        <v>52809</v>
      </c>
      <c r="C226" s="357">
        <f t="shared" si="53"/>
        <v>337</v>
      </c>
      <c r="D226" s="397" t="e">
        <f>INDEX('Monthly Cash Flow'!$L$160:$GT$160, MATCH(C226, 'Monthly Cash Flow'!$L$13:$GT$13, 0))</f>
        <v>#N/A</v>
      </c>
      <c r="E226" s="397">
        <f t="shared" ca="1" si="42"/>
        <v>0</v>
      </c>
      <c r="F226" s="397" t="e">
        <f t="shared" si="46"/>
        <v>#N/A</v>
      </c>
      <c r="G226" s="397" t="e">
        <f t="shared" ca="1" si="43"/>
        <v>#N/A</v>
      </c>
      <c r="H226" s="398" t="e">
        <f t="shared" ca="1" si="47"/>
        <v>#N/A</v>
      </c>
      <c r="I226" s="399">
        <f>MAX($J$5, INDEX(LIBOR!$M$3:$M$122,MATCH(B226,LIBOR!$N$3:$N$122)))</f>
        <v>5.1999999999999998E-2</v>
      </c>
      <c r="J226" s="400">
        <f t="shared" si="48"/>
        <v>0.10100000000000001</v>
      </c>
      <c r="L226" s="392">
        <f t="shared" si="54"/>
        <v>51013</v>
      </c>
      <c r="M226" s="357">
        <f t="shared" si="55"/>
        <v>278</v>
      </c>
      <c r="N226" s="397">
        <v>4518.0924611961836</v>
      </c>
      <c r="O226" s="397">
        <f t="shared" si="44"/>
        <v>0</v>
      </c>
      <c r="P226" s="397">
        <f t="shared" si="49"/>
        <v>30.801982401893451</v>
      </c>
      <c r="Q226" s="397">
        <f t="shared" si="45"/>
        <v>-30.801982401893451</v>
      </c>
      <c r="R226" s="398">
        <f t="shared" si="50"/>
        <v>4548.8944435980775</v>
      </c>
      <c r="S226" s="399">
        <f>INDEX(LIBOR!$M$3:$M$122,MATCH(L226,LIBOR!$N$3:$N$122))</f>
        <v>3.2809699999999997E-2</v>
      </c>
      <c r="T226" s="400">
        <f t="shared" si="51"/>
        <v>8.1809699999999999E-2</v>
      </c>
    </row>
    <row r="227" spans="2:20">
      <c r="B227" s="396">
        <f t="shared" si="52"/>
        <v>52840</v>
      </c>
      <c r="C227" s="357">
        <f t="shared" si="53"/>
        <v>338</v>
      </c>
      <c r="D227" s="397" t="e">
        <f>INDEX('Monthly Cash Flow'!$L$160:$GT$160, MATCH(C227, 'Monthly Cash Flow'!$L$13:$GT$13, 0))</f>
        <v>#N/A</v>
      </c>
      <c r="E227" s="397">
        <f t="shared" ca="1" si="42"/>
        <v>0</v>
      </c>
      <c r="F227" s="397" t="e">
        <f t="shared" si="46"/>
        <v>#N/A</v>
      </c>
      <c r="G227" s="397" t="e">
        <f t="shared" ca="1" si="43"/>
        <v>#N/A</v>
      </c>
      <c r="H227" s="398" t="e">
        <f t="shared" ca="1" si="47"/>
        <v>#N/A</v>
      </c>
      <c r="I227" s="399">
        <f>MAX($J$5, INDEX(LIBOR!$M$3:$M$122,MATCH(B227,LIBOR!$N$3:$N$122)))</f>
        <v>5.1999999999999998E-2</v>
      </c>
      <c r="J227" s="400">
        <f t="shared" si="48"/>
        <v>0.10100000000000001</v>
      </c>
      <c r="L227" s="392">
        <f t="shared" si="54"/>
        <v>51043</v>
      </c>
      <c r="M227" s="357">
        <f t="shared" si="55"/>
        <v>279</v>
      </c>
      <c r="N227" s="397">
        <v>4495.2854252311927</v>
      </c>
      <c r="O227" s="397">
        <f t="shared" si="44"/>
        <v>0</v>
      </c>
      <c r="P227" s="397">
        <f t="shared" si="49"/>
        <v>30.646496004378026</v>
      </c>
      <c r="Q227" s="397">
        <f t="shared" si="45"/>
        <v>-30.646496004378026</v>
      </c>
      <c r="R227" s="398">
        <f t="shared" si="50"/>
        <v>4525.9319212355704</v>
      </c>
      <c r="S227" s="399">
        <f>INDEX(LIBOR!$M$3:$M$122,MATCH(L227,LIBOR!$N$3:$N$122))</f>
        <v>3.2809699999999997E-2</v>
      </c>
      <c r="T227" s="400">
        <f t="shared" si="51"/>
        <v>8.1809699999999999E-2</v>
      </c>
    </row>
    <row r="228" spans="2:20">
      <c r="B228" s="396">
        <f t="shared" si="52"/>
        <v>52870</v>
      </c>
      <c r="C228" s="357">
        <f t="shared" si="53"/>
        <v>339</v>
      </c>
      <c r="D228" s="397" t="e">
        <f>INDEX('Monthly Cash Flow'!$L$160:$GT$160, MATCH(C228, 'Monthly Cash Flow'!$L$13:$GT$13, 0))</f>
        <v>#N/A</v>
      </c>
      <c r="E228" s="397">
        <f t="shared" ca="1" si="42"/>
        <v>0</v>
      </c>
      <c r="F228" s="397" t="e">
        <f t="shared" si="46"/>
        <v>#N/A</v>
      </c>
      <c r="G228" s="397" t="e">
        <f t="shared" ca="1" si="43"/>
        <v>#N/A</v>
      </c>
      <c r="H228" s="398" t="e">
        <f t="shared" ca="1" si="47"/>
        <v>#N/A</v>
      </c>
      <c r="I228" s="399">
        <f>MAX($J$5, INDEX(LIBOR!$M$3:$M$122,MATCH(B228,LIBOR!$N$3:$N$122)))</f>
        <v>5.1999999999999998E-2</v>
      </c>
      <c r="J228" s="400">
        <f t="shared" si="48"/>
        <v>0.10100000000000001</v>
      </c>
      <c r="L228" s="392">
        <f t="shared" si="54"/>
        <v>51074</v>
      </c>
      <c r="M228" s="357">
        <f t="shared" si="55"/>
        <v>280</v>
      </c>
      <c r="N228" s="397">
        <v>4472.3745083489639</v>
      </c>
      <c r="O228" s="397">
        <f t="shared" si="44"/>
        <v>0</v>
      </c>
      <c r="P228" s="397">
        <f t="shared" si="49"/>
        <v>30.490301401306354</v>
      </c>
      <c r="Q228" s="397">
        <f t="shared" si="45"/>
        <v>-30.490301401306354</v>
      </c>
      <c r="R228" s="398">
        <f t="shared" si="50"/>
        <v>4502.8648097502701</v>
      </c>
      <c r="S228" s="399">
        <f>INDEX(LIBOR!$M$3:$M$122,MATCH(L228,LIBOR!$N$3:$N$122))</f>
        <v>3.2809699999999997E-2</v>
      </c>
      <c r="T228" s="400">
        <f t="shared" si="51"/>
        <v>8.1809699999999999E-2</v>
      </c>
    </row>
    <row r="229" spans="2:20">
      <c r="B229" s="396">
        <f t="shared" si="52"/>
        <v>52901</v>
      </c>
      <c r="C229" s="357">
        <f t="shared" si="53"/>
        <v>340</v>
      </c>
      <c r="D229" s="397" t="e">
        <f>INDEX('Monthly Cash Flow'!$L$160:$GT$160, MATCH(C229, 'Monthly Cash Flow'!$L$13:$GT$13, 0))</f>
        <v>#N/A</v>
      </c>
      <c r="E229" s="397">
        <f t="shared" ca="1" si="42"/>
        <v>0</v>
      </c>
      <c r="F229" s="397" t="e">
        <f t="shared" si="46"/>
        <v>#N/A</v>
      </c>
      <c r="G229" s="397" t="e">
        <f t="shared" ca="1" si="43"/>
        <v>#N/A</v>
      </c>
      <c r="H229" s="398" t="e">
        <f t="shared" ca="1" si="47"/>
        <v>#N/A</v>
      </c>
      <c r="I229" s="399">
        <f>MAX($J$5, INDEX(LIBOR!$M$3:$M$122,MATCH(B229,LIBOR!$N$3:$N$122)))</f>
        <v>5.1999999999999998E-2</v>
      </c>
      <c r="J229" s="400">
        <f t="shared" si="48"/>
        <v>0.10100000000000001</v>
      </c>
      <c r="L229" s="392">
        <f t="shared" si="54"/>
        <v>51104</v>
      </c>
      <c r="M229" s="357">
        <f t="shared" si="55"/>
        <v>281</v>
      </c>
      <c r="N229" s="397">
        <v>4449.3592373952933</v>
      </c>
      <c r="O229" s="397">
        <f t="shared" si="44"/>
        <v>0</v>
      </c>
      <c r="P229" s="397">
        <f t="shared" si="49"/>
        <v>30.333395366961479</v>
      </c>
      <c r="Q229" s="397">
        <f t="shared" si="45"/>
        <v>-30.333395366961479</v>
      </c>
      <c r="R229" s="398">
        <f t="shared" si="50"/>
        <v>4479.692632762255</v>
      </c>
      <c r="S229" s="399">
        <f>INDEX(LIBOR!$M$3:$M$122,MATCH(L229,LIBOR!$N$3:$N$122))</f>
        <v>3.2809699999999997E-2</v>
      </c>
      <c r="T229" s="400">
        <f t="shared" si="51"/>
        <v>8.1809699999999999E-2</v>
      </c>
    </row>
    <row r="230" spans="2:20">
      <c r="B230" s="396">
        <f t="shared" si="52"/>
        <v>52931</v>
      </c>
      <c r="C230" s="357">
        <f t="shared" si="53"/>
        <v>341</v>
      </c>
      <c r="D230" s="397" t="e">
        <f>INDEX('Monthly Cash Flow'!$L$160:$GT$160, MATCH(C230, 'Monthly Cash Flow'!$L$13:$GT$13, 0))</f>
        <v>#N/A</v>
      </c>
      <c r="E230" s="397">
        <f t="shared" ca="1" si="42"/>
        <v>0</v>
      </c>
      <c r="F230" s="397" t="e">
        <f t="shared" si="46"/>
        <v>#N/A</v>
      </c>
      <c r="G230" s="397" t="e">
        <f t="shared" ca="1" si="43"/>
        <v>#N/A</v>
      </c>
      <c r="H230" s="398" t="e">
        <f t="shared" ca="1" si="47"/>
        <v>#N/A</v>
      </c>
      <c r="I230" s="399">
        <f>MAX($J$5, INDEX(LIBOR!$M$3:$M$122,MATCH(B230,LIBOR!$N$3:$N$122)))</f>
        <v>5.1999999999999998E-2</v>
      </c>
      <c r="J230" s="400">
        <f t="shared" si="48"/>
        <v>0.10100000000000001</v>
      </c>
      <c r="L230" s="392">
        <f t="shared" si="54"/>
        <v>51135</v>
      </c>
      <c r="M230" s="357">
        <f t="shared" si="55"/>
        <v>282</v>
      </c>
      <c r="N230" s="397">
        <v>4426.2391370608648</v>
      </c>
      <c r="O230" s="397">
        <f t="shared" si="44"/>
        <v>0</v>
      </c>
      <c r="P230" s="397">
        <f t="shared" si="49"/>
        <v>30.175774660934021</v>
      </c>
      <c r="Q230" s="397">
        <f t="shared" si="45"/>
        <v>-30.175774660934021</v>
      </c>
      <c r="R230" s="398">
        <f t="shared" si="50"/>
        <v>4456.4149117217985</v>
      </c>
      <c r="S230" s="399">
        <f>INDEX(LIBOR!$M$3:$M$122,MATCH(L230,LIBOR!$N$3:$N$122))</f>
        <v>3.2809699999999997E-2</v>
      </c>
      <c r="T230" s="400">
        <f t="shared" si="51"/>
        <v>8.1809699999999999E-2</v>
      </c>
    </row>
    <row r="231" spans="2:20">
      <c r="B231" s="396">
        <f t="shared" si="52"/>
        <v>52962</v>
      </c>
      <c r="C231" s="357">
        <f t="shared" si="53"/>
        <v>342</v>
      </c>
      <c r="D231" s="397" t="e">
        <f>INDEX('Monthly Cash Flow'!$L$160:$GT$160, MATCH(C231, 'Monthly Cash Flow'!$L$13:$GT$13, 0))</f>
        <v>#N/A</v>
      </c>
      <c r="E231" s="397">
        <f t="shared" ca="1" si="42"/>
        <v>0</v>
      </c>
      <c r="F231" s="397" t="e">
        <f t="shared" si="46"/>
        <v>#N/A</v>
      </c>
      <c r="G231" s="397" t="e">
        <f t="shared" ca="1" si="43"/>
        <v>#N/A</v>
      </c>
      <c r="H231" s="398" t="e">
        <f t="shared" ca="1" si="47"/>
        <v>#N/A</v>
      </c>
      <c r="I231" s="399">
        <f>MAX($J$5, INDEX(LIBOR!$M$3:$M$122,MATCH(B231,LIBOR!$N$3:$N$122)))</f>
        <v>5.1999999999999998E-2</v>
      </c>
      <c r="J231" s="400">
        <f t="shared" si="48"/>
        <v>0.10100000000000001</v>
      </c>
      <c r="L231" s="392">
        <f t="shared" si="54"/>
        <v>51166</v>
      </c>
      <c r="M231" s="357">
        <f t="shared" si="55"/>
        <v>283</v>
      </c>
      <c r="N231" s="397">
        <v>4403.0137298714353</v>
      </c>
      <c r="O231" s="397">
        <f t="shared" si="44"/>
        <v>0</v>
      </c>
      <c r="P231" s="397">
        <f t="shared" si="49"/>
        <v>30.017436028055261</v>
      </c>
      <c r="Q231" s="397">
        <f t="shared" si="45"/>
        <v>-30.017436028055261</v>
      </c>
      <c r="R231" s="398">
        <f t="shared" si="50"/>
        <v>4433.0311658994906</v>
      </c>
      <c r="S231" s="399">
        <f>INDEX(LIBOR!$M$3:$M$122,MATCH(L231,LIBOR!$N$3:$N$122))</f>
        <v>3.2809699999999997E-2</v>
      </c>
      <c r="T231" s="400">
        <f t="shared" si="51"/>
        <v>8.1809699999999999E-2</v>
      </c>
    </row>
    <row r="232" spans="2:20">
      <c r="B232" s="396">
        <f t="shared" si="52"/>
        <v>52993</v>
      </c>
      <c r="C232" s="357">
        <f t="shared" si="53"/>
        <v>343</v>
      </c>
      <c r="D232" s="397" t="e">
        <f>INDEX('Monthly Cash Flow'!$L$160:$GT$160, MATCH(C232, 'Monthly Cash Flow'!$L$13:$GT$13, 0))</f>
        <v>#N/A</v>
      </c>
      <c r="E232" s="397">
        <f t="shared" ca="1" si="42"/>
        <v>0</v>
      </c>
      <c r="F232" s="397" t="e">
        <f t="shared" si="46"/>
        <v>#N/A</v>
      </c>
      <c r="G232" s="397" t="e">
        <f t="shared" ca="1" si="43"/>
        <v>#N/A</v>
      </c>
      <c r="H232" s="398" t="e">
        <f t="shared" ca="1" si="47"/>
        <v>#N/A</v>
      </c>
      <c r="I232" s="399">
        <f>MAX($J$5, INDEX(LIBOR!$M$3:$M$122,MATCH(B232,LIBOR!$N$3:$N$122)))</f>
        <v>5.1999999999999998E-2</v>
      </c>
      <c r="J232" s="400">
        <f t="shared" si="48"/>
        <v>0.10100000000000001</v>
      </c>
      <c r="L232" s="392">
        <f t="shared" si="54"/>
        <v>51195</v>
      </c>
      <c r="M232" s="357">
        <f t="shared" si="55"/>
        <v>284</v>
      </c>
      <c r="N232" s="397">
        <v>4379.6825361779747</v>
      </c>
      <c r="O232" s="397">
        <f t="shared" si="44"/>
        <v>0</v>
      </c>
      <c r="P232" s="397">
        <f t="shared" si="49"/>
        <v>29.858376198329939</v>
      </c>
      <c r="Q232" s="397">
        <f t="shared" si="45"/>
        <v>-29.858376198329939</v>
      </c>
      <c r="R232" s="398">
        <f t="shared" si="50"/>
        <v>4409.5409123763047</v>
      </c>
      <c r="S232" s="399">
        <f>INDEX(LIBOR!$M$3:$M$122,MATCH(L232,LIBOR!$N$3:$N$122))</f>
        <v>3.2809699999999997E-2</v>
      </c>
      <c r="T232" s="400">
        <f t="shared" si="51"/>
        <v>8.1809699999999999E-2</v>
      </c>
    </row>
    <row r="233" spans="2:20">
      <c r="B233" s="396">
        <f t="shared" si="52"/>
        <v>53021</v>
      </c>
      <c r="C233" s="357">
        <f t="shared" si="53"/>
        <v>344</v>
      </c>
      <c r="D233" s="397" t="e">
        <f>INDEX('Monthly Cash Flow'!$L$160:$GT$160, MATCH(C233, 'Monthly Cash Flow'!$L$13:$GT$13, 0))</f>
        <v>#N/A</v>
      </c>
      <c r="E233" s="397">
        <f t="shared" ca="1" si="42"/>
        <v>0</v>
      </c>
      <c r="F233" s="397" t="e">
        <f t="shared" si="46"/>
        <v>#N/A</v>
      </c>
      <c r="G233" s="397" t="e">
        <f t="shared" ca="1" si="43"/>
        <v>#N/A</v>
      </c>
      <c r="H233" s="398" t="e">
        <f t="shared" ca="1" si="47"/>
        <v>#N/A</v>
      </c>
      <c r="I233" s="399">
        <f>MAX($J$5, INDEX(LIBOR!$M$3:$M$122,MATCH(B233,LIBOR!$N$3:$N$122)))</f>
        <v>5.1999999999999998E-2</v>
      </c>
      <c r="J233" s="400">
        <f t="shared" si="48"/>
        <v>0.10100000000000001</v>
      </c>
      <c r="L233" s="392">
        <f t="shared" si="54"/>
        <v>51226</v>
      </c>
      <c r="M233" s="357">
        <f t="shared" si="55"/>
        <v>285</v>
      </c>
      <c r="N233" s="397">
        <v>4356.2450741467592</v>
      </c>
      <c r="O233" s="397">
        <f t="shared" si="44"/>
        <v>0</v>
      </c>
      <c r="P233" s="397">
        <f t="shared" si="49"/>
        <v>29.69859188686868</v>
      </c>
      <c r="Q233" s="397">
        <f t="shared" si="45"/>
        <v>-29.69859188686868</v>
      </c>
      <c r="R233" s="398">
        <f t="shared" si="50"/>
        <v>4385.9436660336278</v>
      </c>
      <c r="S233" s="399">
        <f>INDEX(LIBOR!$M$3:$M$122,MATCH(L233,LIBOR!$N$3:$N$122))</f>
        <v>3.2809699999999997E-2</v>
      </c>
      <c r="T233" s="400">
        <f t="shared" si="51"/>
        <v>8.1809699999999999E-2</v>
      </c>
    </row>
    <row r="234" spans="2:20">
      <c r="B234" s="396">
        <f t="shared" si="52"/>
        <v>53052</v>
      </c>
      <c r="C234" s="357">
        <f t="shared" si="53"/>
        <v>345</v>
      </c>
      <c r="D234" s="397" t="e">
        <f>INDEX('Monthly Cash Flow'!$L$160:$GT$160, MATCH(C234, 'Monthly Cash Flow'!$L$13:$GT$13, 0))</f>
        <v>#N/A</v>
      </c>
      <c r="E234" s="397">
        <f t="shared" ca="1" si="42"/>
        <v>0</v>
      </c>
      <c r="F234" s="397" t="e">
        <f t="shared" si="46"/>
        <v>#N/A</v>
      </c>
      <c r="G234" s="397" t="e">
        <f t="shared" ca="1" si="43"/>
        <v>#N/A</v>
      </c>
      <c r="H234" s="398" t="e">
        <f t="shared" ca="1" si="47"/>
        <v>#N/A</v>
      </c>
      <c r="I234" s="399">
        <f>MAX($J$5, INDEX(LIBOR!$M$3:$M$122,MATCH(B234,LIBOR!$N$3:$N$122)))</f>
        <v>5.1999999999999998E-2</v>
      </c>
      <c r="J234" s="400">
        <f t="shared" si="48"/>
        <v>0.10100000000000001</v>
      </c>
      <c r="L234" s="392">
        <f t="shared" si="54"/>
        <v>51256</v>
      </c>
      <c r="M234" s="357">
        <f t="shared" si="55"/>
        <v>286</v>
      </c>
      <c r="N234" s="397">
        <v>4332.7008597494205</v>
      </c>
      <c r="O234" s="397">
        <f t="shared" si="44"/>
        <v>0</v>
      </c>
      <c r="P234" s="397">
        <f t="shared" si="49"/>
        <v>29.538079793820177</v>
      </c>
      <c r="Q234" s="397">
        <f t="shared" si="45"/>
        <v>-29.538079793820177</v>
      </c>
      <c r="R234" s="398">
        <f t="shared" si="50"/>
        <v>4362.238939543241</v>
      </c>
      <c r="S234" s="399">
        <f>INDEX(LIBOR!$M$3:$M$122,MATCH(L234,LIBOR!$N$3:$N$122))</f>
        <v>3.2809699999999997E-2</v>
      </c>
      <c r="T234" s="400">
        <f t="shared" si="51"/>
        <v>8.1809699999999999E-2</v>
      </c>
    </row>
    <row r="235" spans="2:20">
      <c r="B235" s="396">
        <f t="shared" si="52"/>
        <v>53082</v>
      </c>
      <c r="C235" s="357">
        <f t="shared" si="53"/>
        <v>346</v>
      </c>
      <c r="D235" s="397" t="e">
        <f>INDEX('Monthly Cash Flow'!$L$160:$GT$160, MATCH(C235, 'Monthly Cash Flow'!$L$13:$GT$13, 0))</f>
        <v>#N/A</v>
      </c>
      <c r="E235" s="397">
        <f t="shared" ca="1" si="42"/>
        <v>0</v>
      </c>
      <c r="F235" s="397" t="e">
        <f t="shared" si="46"/>
        <v>#N/A</v>
      </c>
      <c r="G235" s="397" t="e">
        <f t="shared" ca="1" si="43"/>
        <v>#N/A</v>
      </c>
      <c r="H235" s="398" t="e">
        <f t="shared" ca="1" si="47"/>
        <v>#N/A</v>
      </c>
      <c r="I235" s="399">
        <f>MAX($J$5, INDEX(LIBOR!$M$3:$M$122,MATCH(B235,LIBOR!$N$3:$N$122)))</f>
        <v>5.1999999999999998E-2</v>
      </c>
      <c r="J235" s="400">
        <f t="shared" si="48"/>
        <v>0.10100000000000001</v>
      </c>
      <c r="L235" s="392">
        <f t="shared" si="54"/>
        <v>51287</v>
      </c>
      <c r="M235" s="357">
        <f t="shared" si="55"/>
        <v>287</v>
      </c>
      <c r="N235" s="397">
        <v>4309.0494067529498</v>
      </c>
      <c r="O235" s="397">
        <f t="shared" si="44"/>
        <v>0</v>
      </c>
      <c r="P235" s="397">
        <f t="shared" si="49"/>
        <v>29.376836604303065</v>
      </c>
      <c r="Q235" s="397">
        <f t="shared" si="45"/>
        <v>-29.376836604303065</v>
      </c>
      <c r="R235" s="398">
        <f t="shared" si="50"/>
        <v>4338.426243357253</v>
      </c>
      <c r="S235" s="399">
        <f>INDEX(LIBOR!$M$3:$M$122,MATCH(L235,LIBOR!$N$3:$N$122))</f>
        <v>3.2809699999999997E-2</v>
      </c>
      <c r="T235" s="400">
        <f t="shared" si="51"/>
        <v>8.1809699999999999E-2</v>
      </c>
    </row>
    <row r="236" spans="2:20">
      <c r="B236" s="396">
        <f t="shared" si="52"/>
        <v>53113</v>
      </c>
      <c r="C236" s="357">
        <f t="shared" si="53"/>
        <v>347</v>
      </c>
      <c r="D236" s="397" t="e">
        <f>INDEX('Monthly Cash Flow'!$L$160:$GT$160, MATCH(C236, 'Monthly Cash Flow'!$L$13:$GT$13, 0))</f>
        <v>#N/A</v>
      </c>
      <c r="E236" s="397">
        <f t="shared" ca="1" si="42"/>
        <v>0</v>
      </c>
      <c r="F236" s="397" t="e">
        <f t="shared" si="46"/>
        <v>#N/A</v>
      </c>
      <c r="G236" s="397" t="e">
        <f t="shared" ca="1" si="43"/>
        <v>#N/A</v>
      </c>
      <c r="H236" s="398" t="e">
        <f t="shared" ca="1" si="47"/>
        <v>#N/A</v>
      </c>
      <c r="I236" s="399">
        <f>MAX($J$5, INDEX(LIBOR!$M$3:$M$122,MATCH(B236,LIBOR!$N$3:$N$122)))</f>
        <v>5.1999999999999998E-2</v>
      </c>
      <c r="J236" s="400">
        <f t="shared" si="48"/>
        <v>0.10100000000000001</v>
      </c>
      <c r="L236" s="392">
        <f t="shared" si="54"/>
        <v>51317</v>
      </c>
      <c r="M236" s="357">
        <f t="shared" si="55"/>
        <v>288</v>
      </c>
      <c r="N236" s="397">
        <v>4285.290226709657</v>
      </c>
      <c r="O236" s="397">
        <f t="shared" si="44"/>
        <v>0</v>
      </c>
      <c r="P236" s="397">
        <f t="shared" si="49"/>
        <v>29.214858988337415</v>
      </c>
      <c r="Q236" s="397">
        <f t="shared" si="45"/>
        <v>-29.214858988337415</v>
      </c>
      <c r="R236" s="398">
        <f t="shared" si="50"/>
        <v>4314.5050856979942</v>
      </c>
      <c r="S236" s="399">
        <f>INDEX(LIBOR!$M$3:$M$122,MATCH(L236,LIBOR!$N$3:$N$122))</f>
        <v>3.2809699999999997E-2</v>
      </c>
      <c r="T236" s="400">
        <f t="shared" si="51"/>
        <v>8.1809699999999999E-2</v>
      </c>
    </row>
    <row r="237" spans="2:20">
      <c r="B237" s="396">
        <f t="shared" si="52"/>
        <v>53143</v>
      </c>
      <c r="C237" s="357">
        <f t="shared" si="53"/>
        <v>348</v>
      </c>
      <c r="D237" s="397" t="e">
        <f>INDEX('Monthly Cash Flow'!$L$160:$GT$160, MATCH(C237, 'Monthly Cash Flow'!$L$13:$GT$13, 0))</f>
        <v>#N/A</v>
      </c>
      <c r="E237" s="397">
        <f t="shared" ca="1" si="42"/>
        <v>0</v>
      </c>
      <c r="F237" s="397" t="e">
        <f t="shared" si="46"/>
        <v>#N/A</v>
      </c>
      <c r="G237" s="397" t="e">
        <f t="shared" ca="1" si="43"/>
        <v>#N/A</v>
      </c>
      <c r="H237" s="398" t="e">
        <f t="shared" ca="1" si="47"/>
        <v>#N/A</v>
      </c>
      <c r="I237" s="399">
        <f>MAX($J$5, INDEX(LIBOR!$M$3:$M$122,MATCH(B237,LIBOR!$N$3:$N$122)))</f>
        <v>5.1999999999999998E-2</v>
      </c>
      <c r="J237" s="400">
        <f t="shared" si="48"/>
        <v>0.10100000000000001</v>
      </c>
      <c r="L237" s="392">
        <f t="shared" si="54"/>
        <v>51348</v>
      </c>
      <c r="M237" s="357">
        <f t="shared" si="55"/>
        <v>289</v>
      </c>
      <c r="N237" s="397">
        <v>4261.422828947083</v>
      </c>
      <c r="O237" s="397">
        <f t="shared" si="44"/>
        <v>0</v>
      </c>
      <c r="P237" s="397">
        <f t="shared" si="49"/>
        <v>29.052143600776017</v>
      </c>
      <c r="Q237" s="397">
        <f t="shared" si="45"/>
        <v>-29.052143600776017</v>
      </c>
      <c r="R237" s="398">
        <f t="shared" si="50"/>
        <v>4290.4749725478587</v>
      </c>
      <c r="S237" s="399">
        <f>INDEX(LIBOR!$M$3:$M$122,MATCH(L237,LIBOR!$N$3:$N$122))</f>
        <v>3.2809699999999997E-2</v>
      </c>
      <c r="T237" s="400">
        <f t="shared" si="51"/>
        <v>8.1809699999999999E-2</v>
      </c>
    </row>
    <row r="238" spans="2:20">
      <c r="B238" s="396">
        <f t="shared" si="52"/>
        <v>53174</v>
      </c>
      <c r="C238" s="357">
        <f t="shared" si="53"/>
        <v>349</v>
      </c>
      <c r="D238" s="397" t="e">
        <f>INDEX('Monthly Cash Flow'!$L$160:$GT$160, MATCH(C238, 'Monthly Cash Flow'!$L$13:$GT$13, 0))</f>
        <v>#N/A</v>
      </c>
      <c r="E238" s="397">
        <f t="shared" ca="1" si="42"/>
        <v>0</v>
      </c>
      <c r="F238" s="397" t="e">
        <f t="shared" si="46"/>
        <v>#N/A</v>
      </c>
      <c r="G238" s="397" t="e">
        <f t="shared" ca="1" si="43"/>
        <v>#N/A</v>
      </c>
      <c r="H238" s="398" t="e">
        <f t="shared" ca="1" si="47"/>
        <v>#N/A</v>
      </c>
      <c r="I238" s="399">
        <f>MAX($J$5, INDEX(LIBOR!$M$3:$M$122,MATCH(B238,LIBOR!$N$3:$N$122)))</f>
        <v>5.1999999999999998E-2</v>
      </c>
      <c r="J238" s="400">
        <f t="shared" si="48"/>
        <v>0.10100000000000001</v>
      </c>
      <c r="L238" s="392">
        <f t="shared" si="54"/>
        <v>51379</v>
      </c>
      <c r="M238" s="357">
        <f t="shared" si="55"/>
        <v>290</v>
      </c>
      <c r="N238" s="397">
        <v>4237.4467205578649</v>
      </c>
      <c r="O238" s="397">
        <f t="shared" si="44"/>
        <v>0</v>
      </c>
      <c r="P238" s="397">
        <f t="shared" si="49"/>
        <v>28.888687081235229</v>
      </c>
      <c r="Q238" s="397">
        <f t="shared" si="45"/>
        <v>-28.888687081235229</v>
      </c>
      <c r="R238" s="398">
        <f t="shared" si="50"/>
        <v>4266.3354076390997</v>
      </c>
      <c r="S238" s="399">
        <f>INDEX(LIBOR!$M$3:$M$122,MATCH(L238,LIBOR!$N$3:$N$122))</f>
        <v>3.2809699999999997E-2</v>
      </c>
      <c r="T238" s="400">
        <f t="shared" si="51"/>
        <v>8.1809699999999999E-2</v>
      </c>
    </row>
    <row r="239" spans="2:20">
      <c r="B239" s="396">
        <f t="shared" si="52"/>
        <v>53205</v>
      </c>
      <c r="C239" s="357">
        <f t="shared" si="53"/>
        <v>350</v>
      </c>
      <c r="D239" s="397" t="e">
        <f>INDEX('Monthly Cash Flow'!$L$160:$GT$160, MATCH(C239, 'Monthly Cash Flow'!$L$13:$GT$13, 0))</f>
        <v>#N/A</v>
      </c>
      <c r="E239" s="397">
        <f t="shared" ca="1" si="42"/>
        <v>0</v>
      </c>
      <c r="F239" s="397" t="e">
        <f t="shared" si="46"/>
        <v>#N/A</v>
      </c>
      <c r="G239" s="397" t="e">
        <f t="shared" ca="1" si="43"/>
        <v>#N/A</v>
      </c>
      <c r="H239" s="398" t="e">
        <f t="shared" ca="1" si="47"/>
        <v>#N/A</v>
      </c>
      <c r="I239" s="399">
        <f>MAX($J$5, INDEX(LIBOR!$M$3:$M$122,MATCH(B239,LIBOR!$N$3:$N$122)))</f>
        <v>5.1999999999999998E-2</v>
      </c>
      <c r="J239" s="400">
        <f t="shared" si="48"/>
        <v>0.10100000000000001</v>
      </c>
      <c r="L239" s="392">
        <f t="shared" si="54"/>
        <v>51409</v>
      </c>
      <c r="M239" s="357">
        <f t="shared" si="55"/>
        <v>291</v>
      </c>
      <c r="N239" s="397">
        <v>4213.3614063895584</v>
      </c>
      <c r="O239" s="397">
        <f t="shared" si="44"/>
        <v>0</v>
      </c>
      <c r="P239" s="397">
        <f t="shared" si="49"/>
        <v>28.724486054025657</v>
      </c>
      <c r="Q239" s="397">
        <f t="shared" si="45"/>
        <v>-28.724486054025657</v>
      </c>
      <c r="R239" s="398">
        <f t="shared" si="50"/>
        <v>4242.0858924435843</v>
      </c>
      <c r="S239" s="399">
        <f>INDEX(LIBOR!$M$3:$M$122,MATCH(L239,LIBOR!$N$3:$N$122))</f>
        <v>3.2809699999999997E-2</v>
      </c>
      <c r="T239" s="400">
        <f t="shared" si="51"/>
        <v>8.1809699999999999E-2</v>
      </c>
    </row>
    <row r="240" spans="2:20">
      <c r="B240" s="396">
        <f t="shared" si="52"/>
        <v>53235</v>
      </c>
      <c r="C240" s="357">
        <f t="shared" si="53"/>
        <v>351</v>
      </c>
      <c r="D240" s="397" t="e">
        <f>INDEX('Monthly Cash Flow'!$L$160:$GT$160, MATCH(C240, 'Monthly Cash Flow'!$L$13:$GT$13, 0))</f>
        <v>#N/A</v>
      </c>
      <c r="E240" s="397">
        <f t="shared" ca="1" si="42"/>
        <v>0</v>
      </c>
      <c r="F240" s="397" t="e">
        <f t="shared" si="46"/>
        <v>#N/A</v>
      </c>
      <c r="G240" s="397" t="e">
        <f t="shared" ca="1" si="43"/>
        <v>#N/A</v>
      </c>
      <c r="H240" s="398" t="e">
        <f t="shared" ca="1" si="47"/>
        <v>#N/A</v>
      </c>
      <c r="I240" s="399">
        <f>MAX($J$5, INDEX(LIBOR!$M$3:$M$122,MATCH(B240,LIBOR!$N$3:$N$122)))</f>
        <v>5.1999999999999998E-2</v>
      </c>
      <c r="J240" s="400">
        <f t="shared" si="48"/>
        <v>0.10100000000000001</v>
      </c>
      <c r="L240" s="392">
        <f t="shared" si="54"/>
        <v>51440</v>
      </c>
      <c r="M240" s="357">
        <f t="shared" si="55"/>
        <v>292</v>
      </c>
      <c r="N240" s="397">
        <v>4189.1663890344107</v>
      </c>
      <c r="O240" s="397">
        <f t="shared" si="44"/>
        <v>0</v>
      </c>
      <c r="P240" s="397">
        <f t="shared" si="49"/>
        <v>28.559537128082368</v>
      </c>
      <c r="Q240" s="397">
        <f t="shared" si="45"/>
        <v>-28.559537128082368</v>
      </c>
      <c r="R240" s="398">
        <f t="shared" si="50"/>
        <v>4217.7259261624931</v>
      </c>
      <c r="S240" s="399">
        <f>INDEX(LIBOR!$M$3:$M$122,MATCH(L240,LIBOR!$N$3:$N$122))</f>
        <v>3.2809699999999997E-2</v>
      </c>
      <c r="T240" s="400">
        <f t="shared" si="51"/>
        <v>8.1809699999999999E-2</v>
      </c>
    </row>
    <row r="241" spans="2:20">
      <c r="B241" s="396">
        <f t="shared" si="52"/>
        <v>53266</v>
      </c>
      <c r="C241" s="357">
        <f t="shared" si="53"/>
        <v>352</v>
      </c>
      <c r="D241" s="397" t="e">
        <f>INDEX('Monthly Cash Flow'!$L$160:$GT$160, MATCH(C241, 'Monthly Cash Flow'!$L$13:$GT$13, 0))</f>
        <v>#N/A</v>
      </c>
      <c r="E241" s="397">
        <f t="shared" ca="1" si="42"/>
        <v>0</v>
      </c>
      <c r="F241" s="397" t="e">
        <f t="shared" si="46"/>
        <v>#N/A</v>
      </c>
      <c r="G241" s="397" t="e">
        <f t="shared" ca="1" si="43"/>
        <v>#N/A</v>
      </c>
      <c r="H241" s="398" t="e">
        <f t="shared" ca="1" si="47"/>
        <v>#N/A</v>
      </c>
      <c r="I241" s="399">
        <f>MAX($J$5, INDEX(LIBOR!$M$3:$M$122,MATCH(B241,LIBOR!$N$3:$N$122)))</f>
        <v>5.1999999999999998E-2</v>
      </c>
      <c r="J241" s="400">
        <f t="shared" si="48"/>
        <v>0.10100000000000001</v>
      </c>
      <c r="L241" s="392">
        <f t="shared" si="54"/>
        <v>51470</v>
      </c>
      <c r="M241" s="357">
        <f t="shared" si="55"/>
        <v>293</v>
      </c>
      <c r="N241" s="397">
        <v>4164.8611688190895</v>
      </c>
      <c r="O241" s="397">
        <f t="shared" si="44"/>
        <v>0</v>
      </c>
      <c r="P241" s="397">
        <f t="shared" si="49"/>
        <v>28.393836896894921</v>
      </c>
      <c r="Q241" s="397">
        <f t="shared" si="45"/>
        <v>-28.393836896894921</v>
      </c>
      <c r="R241" s="398">
        <f t="shared" si="50"/>
        <v>4193.2550057159842</v>
      </c>
      <c r="S241" s="399">
        <f>INDEX(LIBOR!$M$3:$M$122,MATCH(L241,LIBOR!$N$3:$N$122))</f>
        <v>3.2809699999999997E-2</v>
      </c>
      <c r="T241" s="400">
        <f t="shared" si="51"/>
        <v>8.1809699999999999E-2</v>
      </c>
    </row>
    <row r="242" spans="2:20">
      <c r="B242" s="396">
        <f t="shared" si="52"/>
        <v>53296</v>
      </c>
      <c r="C242" s="357">
        <f t="shared" si="53"/>
        <v>353</v>
      </c>
      <c r="D242" s="397" t="e">
        <f>INDEX('Monthly Cash Flow'!$L$160:$GT$160, MATCH(C242, 'Monthly Cash Flow'!$L$13:$GT$13, 0))</f>
        <v>#N/A</v>
      </c>
      <c r="E242" s="397">
        <f t="shared" ca="1" si="42"/>
        <v>0</v>
      </c>
      <c r="F242" s="397" t="e">
        <f t="shared" si="46"/>
        <v>#N/A</v>
      </c>
      <c r="G242" s="397" t="e">
        <f t="shared" ca="1" si="43"/>
        <v>#N/A</v>
      </c>
      <c r="H242" s="398" t="e">
        <f t="shared" ca="1" si="47"/>
        <v>#N/A</v>
      </c>
      <c r="I242" s="399">
        <f>MAX($J$5, INDEX(LIBOR!$M$3:$M$122,MATCH(B242,LIBOR!$N$3:$N$122)))</f>
        <v>5.1999999999999998E-2</v>
      </c>
      <c r="J242" s="400">
        <f t="shared" si="48"/>
        <v>0.10100000000000001</v>
      </c>
      <c r="L242" s="392">
        <f t="shared" si="54"/>
        <v>51501</v>
      </c>
      <c r="M242" s="357">
        <f t="shared" si="55"/>
        <v>294</v>
      </c>
      <c r="N242" s="397">
        <v>4140.4452437943619</v>
      </c>
      <c r="O242" s="397">
        <f t="shared" si="44"/>
        <v>0</v>
      </c>
      <c r="P242" s="397">
        <f t="shared" si="49"/>
        <v>28.227381938436967</v>
      </c>
      <c r="Q242" s="397">
        <f t="shared" si="45"/>
        <v>-28.227381938436967</v>
      </c>
      <c r="R242" s="398">
        <f t="shared" si="50"/>
        <v>4168.6726257327991</v>
      </c>
      <c r="S242" s="399">
        <f>INDEX(LIBOR!$M$3:$M$122,MATCH(L242,LIBOR!$N$3:$N$122))</f>
        <v>3.2809699999999997E-2</v>
      </c>
      <c r="T242" s="400">
        <f t="shared" si="51"/>
        <v>8.1809699999999999E-2</v>
      </c>
    </row>
    <row r="243" spans="2:20">
      <c r="B243" s="396">
        <f t="shared" si="52"/>
        <v>53327</v>
      </c>
      <c r="C243" s="357">
        <f t="shared" si="53"/>
        <v>354</v>
      </c>
      <c r="D243" s="397" t="e">
        <f>INDEX('Monthly Cash Flow'!$L$160:$GT$160, MATCH(C243, 'Monthly Cash Flow'!$L$13:$GT$13, 0))</f>
        <v>#N/A</v>
      </c>
      <c r="E243" s="397">
        <f t="shared" ca="1" si="42"/>
        <v>0</v>
      </c>
      <c r="F243" s="397" t="e">
        <f t="shared" si="46"/>
        <v>#N/A</v>
      </c>
      <c r="G243" s="397" t="e">
        <f t="shared" ca="1" si="43"/>
        <v>#N/A</v>
      </c>
      <c r="H243" s="398" t="e">
        <f t="shared" ca="1" si="47"/>
        <v>#N/A</v>
      </c>
      <c r="I243" s="399">
        <f>MAX($J$5, INDEX(LIBOR!$M$3:$M$122,MATCH(B243,LIBOR!$N$3:$N$122)))</f>
        <v>5.1999999999999998E-2</v>
      </c>
      <c r="J243" s="400">
        <f t="shared" si="48"/>
        <v>0.10100000000000001</v>
      </c>
      <c r="L243" s="392">
        <f t="shared" si="54"/>
        <v>51532</v>
      </c>
      <c r="M243" s="357">
        <f t="shared" si="55"/>
        <v>295</v>
      </c>
      <c r="N243" s="397">
        <v>4115.9181097247292</v>
      </c>
      <c r="O243" s="397">
        <f t="shared" si="44"/>
        <v>0</v>
      </c>
      <c r="P243" s="397">
        <f t="shared" si="49"/>
        <v>28.060168815095597</v>
      </c>
      <c r="Q243" s="397">
        <f t="shared" si="45"/>
        <v>-28.060168815095597</v>
      </c>
      <c r="R243" s="398">
        <f t="shared" si="50"/>
        <v>4143.9782785398247</v>
      </c>
      <c r="S243" s="399">
        <f>INDEX(LIBOR!$M$3:$M$122,MATCH(L243,LIBOR!$N$3:$N$122))</f>
        <v>3.2809699999999997E-2</v>
      </c>
      <c r="T243" s="400">
        <f t="shared" si="51"/>
        <v>8.1809699999999999E-2</v>
      </c>
    </row>
    <row r="244" spans="2:20">
      <c r="B244" s="396">
        <f t="shared" si="52"/>
        <v>53358</v>
      </c>
      <c r="C244" s="357">
        <f t="shared" si="53"/>
        <v>355</v>
      </c>
      <c r="D244" s="397" t="e">
        <f>INDEX('Monthly Cash Flow'!$L$160:$GT$160, MATCH(C244, 'Monthly Cash Flow'!$L$13:$GT$13, 0))</f>
        <v>#N/A</v>
      </c>
      <c r="E244" s="397">
        <f t="shared" ca="1" si="42"/>
        <v>0</v>
      </c>
      <c r="F244" s="397" t="e">
        <f t="shared" si="46"/>
        <v>#N/A</v>
      </c>
      <c r="G244" s="397" t="e">
        <f t="shared" ca="1" si="43"/>
        <v>#N/A</v>
      </c>
      <c r="H244" s="398" t="e">
        <f t="shared" ca="1" si="47"/>
        <v>#N/A</v>
      </c>
      <c r="I244" s="399">
        <f>MAX($J$5, INDEX(LIBOR!$M$3:$M$122,MATCH(B244,LIBOR!$N$3:$N$122)))</f>
        <v>5.1999999999999998E-2</v>
      </c>
      <c r="J244" s="400">
        <f t="shared" si="48"/>
        <v>0.10100000000000001</v>
      </c>
      <c r="L244" s="392">
        <f t="shared" si="54"/>
        <v>51560</v>
      </c>
      <c r="M244" s="357">
        <f t="shared" si="55"/>
        <v>296</v>
      </c>
      <c r="N244" s="397">
        <v>4091.2792600780149</v>
      </c>
      <c r="O244" s="397">
        <f t="shared" si="44"/>
        <v>0</v>
      </c>
      <c r="P244" s="397">
        <f t="shared" si="49"/>
        <v>27.892194073600365</v>
      </c>
      <c r="Q244" s="397">
        <f t="shared" si="45"/>
        <v>-27.892194073600365</v>
      </c>
      <c r="R244" s="398">
        <f t="shared" si="50"/>
        <v>4119.1714541516149</v>
      </c>
      <c r="S244" s="399">
        <f>INDEX(LIBOR!$M$3:$M$122,MATCH(L244,LIBOR!$N$3:$N$122))</f>
        <v>3.2809699999999997E-2</v>
      </c>
      <c r="T244" s="400">
        <f t="shared" si="51"/>
        <v>8.1809699999999999E-2</v>
      </c>
    </row>
    <row r="245" spans="2:20">
      <c r="B245" s="396">
        <f t="shared" si="52"/>
        <v>53386</v>
      </c>
      <c r="C245" s="357">
        <f t="shared" si="53"/>
        <v>356</v>
      </c>
      <c r="D245" s="397" t="e">
        <f>INDEX('Monthly Cash Flow'!$L$160:$GT$160, MATCH(C245, 'Monthly Cash Flow'!$L$13:$GT$13, 0))</f>
        <v>#N/A</v>
      </c>
      <c r="E245" s="397">
        <f t="shared" ca="1" si="42"/>
        <v>0</v>
      </c>
      <c r="F245" s="397" t="e">
        <f t="shared" si="46"/>
        <v>#N/A</v>
      </c>
      <c r="G245" s="397" t="e">
        <f t="shared" ca="1" si="43"/>
        <v>#N/A</v>
      </c>
      <c r="H245" s="398" t="e">
        <f t="shared" ca="1" si="47"/>
        <v>#N/A</v>
      </c>
      <c r="I245" s="399">
        <f>MAX($J$5, INDEX(LIBOR!$M$3:$M$122,MATCH(B245,LIBOR!$N$3:$N$122)))</f>
        <v>5.1999999999999998E-2</v>
      </c>
      <c r="J245" s="400">
        <f t="shared" si="48"/>
        <v>0.10100000000000001</v>
      </c>
      <c r="L245" s="392">
        <f t="shared" si="54"/>
        <v>51591</v>
      </c>
      <c r="M245" s="357">
        <f t="shared" si="55"/>
        <v>297</v>
      </c>
      <c r="N245" s="397">
        <v>4066.5281860149007</v>
      </c>
      <c r="O245" s="397">
        <f t="shared" si="44"/>
        <v>0</v>
      </c>
      <c r="P245" s="397">
        <f t="shared" si="49"/>
        <v>27.723454244951935</v>
      </c>
      <c r="Q245" s="397">
        <f t="shared" si="45"/>
        <v>-27.723454244951935</v>
      </c>
      <c r="R245" s="398">
        <f t="shared" si="50"/>
        <v>4094.2516402598526</v>
      </c>
      <c r="S245" s="399">
        <f>INDEX(LIBOR!$M$3:$M$122,MATCH(L245,LIBOR!$N$3:$N$122))</f>
        <v>3.2809699999999997E-2</v>
      </c>
      <c r="T245" s="400">
        <f t="shared" si="51"/>
        <v>8.1809699999999999E-2</v>
      </c>
    </row>
    <row r="246" spans="2:20">
      <c r="B246" s="396">
        <f t="shared" si="52"/>
        <v>53417</v>
      </c>
      <c r="C246" s="357">
        <f t="shared" si="53"/>
        <v>357</v>
      </c>
      <c r="D246" s="397" t="e">
        <f>INDEX('Monthly Cash Flow'!$L$160:$GT$160, MATCH(C246, 'Monthly Cash Flow'!$L$13:$GT$13, 0))</f>
        <v>#N/A</v>
      </c>
      <c r="E246" s="397">
        <f t="shared" ca="1" si="42"/>
        <v>0</v>
      </c>
      <c r="F246" s="397" t="e">
        <f t="shared" si="46"/>
        <v>#N/A</v>
      </c>
      <c r="G246" s="397" t="e">
        <f t="shared" ca="1" si="43"/>
        <v>#N/A</v>
      </c>
      <c r="H246" s="398" t="e">
        <f t="shared" ca="1" si="47"/>
        <v>#N/A</v>
      </c>
      <c r="I246" s="399">
        <f>MAX($J$5, INDEX(LIBOR!$M$3:$M$122,MATCH(B246,LIBOR!$N$3:$N$122)))</f>
        <v>5.1999999999999998E-2</v>
      </c>
      <c r="J246" s="400">
        <f t="shared" si="48"/>
        <v>0.10100000000000001</v>
      </c>
      <c r="L246" s="392">
        <f t="shared" si="54"/>
        <v>51621</v>
      </c>
      <c r="M246" s="357">
        <f t="shared" si="55"/>
        <v>298</v>
      </c>
      <c r="N246" s="397">
        <v>4041.6643763784209</v>
      </c>
      <c r="O246" s="397">
        <f t="shared" si="44"/>
        <v>0</v>
      </c>
      <c r="P246" s="397">
        <f t="shared" si="49"/>
        <v>27.553945844350476</v>
      </c>
      <c r="Q246" s="397">
        <f t="shared" si="45"/>
        <v>-27.553945844350476</v>
      </c>
      <c r="R246" s="398">
        <f t="shared" si="50"/>
        <v>4069.2183222227713</v>
      </c>
      <c r="S246" s="399">
        <f>INDEX(LIBOR!$M$3:$M$122,MATCH(L246,LIBOR!$N$3:$N$122))</f>
        <v>3.2809699999999997E-2</v>
      </c>
      <c r="T246" s="400">
        <f t="shared" si="51"/>
        <v>8.1809699999999999E-2</v>
      </c>
    </row>
    <row r="247" spans="2:20">
      <c r="B247" s="396">
        <f t="shared" si="52"/>
        <v>53447</v>
      </c>
      <c r="C247" s="357">
        <f t="shared" si="53"/>
        <v>358</v>
      </c>
      <c r="D247" s="397" t="e">
        <f>INDEX('Monthly Cash Flow'!$L$160:$GT$160, MATCH(C247, 'Monthly Cash Flow'!$L$13:$GT$13, 0))</f>
        <v>#N/A</v>
      </c>
      <c r="E247" s="397">
        <f t="shared" ca="1" si="42"/>
        <v>0</v>
      </c>
      <c r="F247" s="397" t="e">
        <f t="shared" si="46"/>
        <v>#N/A</v>
      </c>
      <c r="G247" s="397" t="e">
        <f t="shared" ca="1" si="43"/>
        <v>#N/A</v>
      </c>
      <c r="H247" s="398" t="e">
        <f t="shared" ca="1" si="47"/>
        <v>#N/A</v>
      </c>
      <c r="I247" s="399">
        <f>MAX($J$5, INDEX(LIBOR!$M$3:$M$122,MATCH(B247,LIBOR!$N$3:$N$122)))</f>
        <v>5.1999999999999998E-2</v>
      </c>
      <c r="J247" s="400">
        <f t="shared" si="48"/>
        <v>0.10100000000000001</v>
      </c>
      <c r="L247" s="392">
        <f t="shared" si="54"/>
        <v>51652</v>
      </c>
      <c r="M247" s="357">
        <f t="shared" si="55"/>
        <v>299</v>
      </c>
      <c r="N247" s="397">
        <v>4016.6873176834042</v>
      </c>
      <c r="O247" s="397">
        <f t="shared" si="44"/>
        <v>0</v>
      </c>
      <c r="P247" s="397">
        <f t="shared" si="49"/>
        <v>27.383665371123666</v>
      </c>
      <c r="Q247" s="397">
        <f t="shared" si="45"/>
        <v>-27.383665371123666</v>
      </c>
      <c r="R247" s="398">
        <f t="shared" si="50"/>
        <v>4044.0709830545279</v>
      </c>
      <c r="S247" s="399">
        <f>INDEX(LIBOR!$M$3:$M$122,MATCH(L247,LIBOR!$N$3:$N$122))</f>
        <v>3.2809699999999997E-2</v>
      </c>
      <c r="T247" s="400">
        <f t="shared" si="51"/>
        <v>8.1809699999999999E-2</v>
      </c>
    </row>
    <row r="248" spans="2:20">
      <c r="B248" s="396">
        <f t="shared" si="52"/>
        <v>53478</v>
      </c>
      <c r="C248" s="357">
        <f t="shared" si="53"/>
        <v>359</v>
      </c>
      <c r="D248" s="397" t="e">
        <f>INDEX('Monthly Cash Flow'!$L$160:$GT$160, MATCH(C248, 'Monthly Cash Flow'!$L$13:$GT$13, 0))</f>
        <v>#N/A</v>
      </c>
      <c r="E248" s="397">
        <f t="shared" ca="1" si="42"/>
        <v>0</v>
      </c>
      <c r="F248" s="397" t="e">
        <f t="shared" si="46"/>
        <v>#N/A</v>
      </c>
      <c r="G248" s="397" t="e">
        <f t="shared" ca="1" si="43"/>
        <v>#N/A</v>
      </c>
      <c r="H248" s="398" t="e">
        <f t="shared" ca="1" si="47"/>
        <v>#N/A</v>
      </c>
      <c r="I248" s="399">
        <f>MAX($J$5, INDEX(LIBOR!$M$3:$M$122,MATCH(B248,LIBOR!$N$3:$N$122)))</f>
        <v>5.1999999999999998E-2</v>
      </c>
      <c r="J248" s="400">
        <f t="shared" si="48"/>
        <v>0.10100000000000001</v>
      </c>
      <c r="L248" s="392">
        <f t="shared" si="54"/>
        <v>51682</v>
      </c>
      <c r="M248" s="357">
        <f t="shared" si="55"/>
        <v>300</v>
      </c>
      <c r="N248" s="397">
        <v>3991.5964941058696</v>
      </c>
      <c r="O248" s="397">
        <f t="shared" si="44"/>
        <v>0</v>
      </c>
      <c r="P248" s="397">
        <f t="shared" si="49"/>
        <v>27.212609308654411</v>
      </c>
      <c r="Q248" s="397">
        <f t="shared" si="45"/>
        <v>-27.212609308654411</v>
      </c>
      <c r="R248" s="398">
        <f t="shared" si="50"/>
        <v>4018.8091034145241</v>
      </c>
      <c r="S248" s="399">
        <f>INDEX(LIBOR!$M$3:$M$122,MATCH(L248,LIBOR!$N$3:$N$122))</f>
        <v>3.2809699999999997E-2</v>
      </c>
      <c r="T248" s="400">
        <f t="shared" si="51"/>
        <v>8.1809699999999999E-2</v>
      </c>
    </row>
    <row r="249" spans="2:20">
      <c r="B249" s="396">
        <f t="shared" si="52"/>
        <v>53508</v>
      </c>
      <c r="C249" s="357">
        <f t="shared" si="53"/>
        <v>360</v>
      </c>
      <c r="D249" s="397" t="e">
        <f>INDEX('Monthly Cash Flow'!$L$160:$GT$160, MATCH(C249, 'Monthly Cash Flow'!$L$13:$GT$13, 0))</f>
        <v>#N/A</v>
      </c>
      <c r="E249" s="397">
        <f t="shared" ca="1" si="42"/>
        <v>0</v>
      </c>
      <c r="F249" s="397" t="e">
        <f t="shared" si="46"/>
        <v>#N/A</v>
      </c>
      <c r="G249" s="397" t="e">
        <f t="shared" ca="1" si="43"/>
        <v>#N/A</v>
      </c>
      <c r="H249" s="398" t="e">
        <f t="shared" ca="1" si="47"/>
        <v>#N/A</v>
      </c>
      <c r="I249" s="399">
        <f>MAX($J$5, INDEX(LIBOR!$M$3:$M$122,MATCH(B249,LIBOR!$N$3:$N$122)))</f>
        <v>5.1999999999999998E-2</v>
      </c>
      <c r="J249" s="400">
        <f t="shared" si="48"/>
        <v>0.10100000000000001</v>
      </c>
      <c r="L249" s="392">
        <f t="shared" si="54"/>
        <v>51713</v>
      </c>
      <c r="M249" s="357">
        <f t="shared" si="55"/>
        <v>301</v>
      </c>
      <c r="N249" s="397">
        <v>3966.3913874723748</v>
      </c>
      <c r="O249" s="397">
        <f t="shared" si="44"/>
        <v>0</v>
      </c>
      <c r="P249" s="397">
        <f t="shared" si="49"/>
        <v>27.040774124308228</v>
      </c>
      <c r="Q249" s="397">
        <f t="shared" si="45"/>
        <v>-27.040774124308228</v>
      </c>
      <c r="R249" s="398">
        <f t="shared" si="50"/>
        <v>3993.4321615966833</v>
      </c>
      <c r="S249" s="399">
        <f>INDEX(LIBOR!$M$3:$M$122,MATCH(L249,LIBOR!$N$3:$N$122))</f>
        <v>3.2809699999999997E-2</v>
      </c>
      <c r="T249" s="400">
        <f t="shared" si="51"/>
        <v>8.1809699999999999E-2</v>
      </c>
    </row>
    <row r="250" spans="2:20">
      <c r="B250" s="396">
        <f t="shared" si="52"/>
        <v>53539</v>
      </c>
      <c r="C250" s="357">
        <f t="shared" si="53"/>
        <v>361</v>
      </c>
      <c r="D250" s="397" t="e">
        <f>INDEX('Monthly Cash Flow'!$L$160:$GT$160, MATCH(C250, 'Monthly Cash Flow'!$L$13:$GT$13, 0))</f>
        <v>#N/A</v>
      </c>
      <c r="E250" s="397">
        <f t="shared" ca="1" si="42"/>
        <v>0</v>
      </c>
      <c r="F250" s="397" t="e">
        <f t="shared" si="46"/>
        <v>#N/A</v>
      </c>
      <c r="G250" s="397" t="e">
        <f t="shared" ca="1" si="43"/>
        <v>#N/A</v>
      </c>
      <c r="H250" s="398" t="e">
        <f t="shared" ca="1" si="47"/>
        <v>#N/A</v>
      </c>
      <c r="I250" s="399">
        <f>MAX($J$5, INDEX(LIBOR!$M$3:$M$122,MATCH(B250,LIBOR!$N$3:$N$122)))</f>
        <v>5.1999999999999998E-2</v>
      </c>
      <c r="J250" s="400">
        <f t="shared" si="48"/>
        <v>0.10100000000000001</v>
      </c>
      <c r="L250" s="392">
        <f t="shared" si="54"/>
        <v>51744</v>
      </c>
      <c r="M250" s="357">
        <f t="shared" si="55"/>
        <v>302</v>
      </c>
      <c r="N250" s="397">
        <v>3941.0714772493134</v>
      </c>
      <c r="O250" s="397">
        <f t="shared" si="44"/>
        <v>0</v>
      </c>
      <c r="P250" s="397">
        <f t="shared" si="49"/>
        <v>26.868156269360259</v>
      </c>
      <c r="Q250" s="397">
        <f t="shared" si="45"/>
        <v>-26.868156269360259</v>
      </c>
      <c r="R250" s="398">
        <f t="shared" si="50"/>
        <v>3967.9396335186734</v>
      </c>
      <c r="S250" s="399">
        <f>INDEX(LIBOR!$M$3:$M$122,MATCH(L250,LIBOR!$N$3:$N$122))</f>
        <v>3.2809699999999997E-2</v>
      </c>
      <c r="T250" s="400">
        <f t="shared" si="51"/>
        <v>8.1809699999999999E-2</v>
      </c>
    </row>
    <row r="251" spans="2:20">
      <c r="B251" s="396">
        <f t="shared" si="52"/>
        <v>53570</v>
      </c>
      <c r="C251" s="357">
        <f t="shared" si="53"/>
        <v>362</v>
      </c>
      <c r="D251" s="397" t="e">
        <f>INDEX('Monthly Cash Flow'!$L$160:$GT$160, MATCH(C251, 'Monthly Cash Flow'!$L$13:$GT$13, 0))</f>
        <v>#N/A</v>
      </c>
      <c r="E251" s="397">
        <f t="shared" ca="1" si="42"/>
        <v>0</v>
      </c>
      <c r="F251" s="397" t="e">
        <f t="shared" si="46"/>
        <v>#N/A</v>
      </c>
      <c r="G251" s="397" t="e">
        <f t="shared" ca="1" si="43"/>
        <v>#N/A</v>
      </c>
      <c r="H251" s="398" t="e">
        <f t="shared" ca="1" si="47"/>
        <v>#N/A</v>
      </c>
      <c r="I251" s="399">
        <f>MAX($J$5, INDEX(LIBOR!$M$3:$M$122,MATCH(B251,LIBOR!$N$3:$N$122)))</f>
        <v>5.1999999999999998E-2</v>
      </c>
      <c r="J251" s="400">
        <f t="shared" si="48"/>
        <v>0.10100000000000001</v>
      </c>
      <c r="L251" s="392">
        <f t="shared" si="54"/>
        <v>51774</v>
      </c>
      <c r="M251" s="357">
        <f t="shared" si="55"/>
        <v>303</v>
      </c>
      <c r="N251" s="397">
        <v>3915.6362405321656</v>
      </c>
      <c r="O251" s="397">
        <f t="shared" si="44"/>
        <v>0</v>
      </c>
      <c r="P251" s="397">
        <f t="shared" si="49"/>
        <v>26.694752178922027</v>
      </c>
      <c r="Q251" s="397">
        <f t="shared" si="45"/>
        <v>-26.694752178922027</v>
      </c>
      <c r="R251" s="398">
        <f t="shared" si="50"/>
        <v>3942.3309927110877</v>
      </c>
      <c r="S251" s="399">
        <f>INDEX(LIBOR!$M$3:$M$122,MATCH(L251,LIBOR!$N$3:$N$122))</f>
        <v>3.2809699999999997E-2</v>
      </c>
      <c r="T251" s="400">
        <f t="shared" si="51"/>
        <v>8.1809699999999999E-2</v>
      </c>
    </row>
    <row r="252" spans="2:20">
      <c r="B252" s="396">
        <f t="shared" si="52"/>
        <v>53600</v>
      </c>
      <c r="C252" s="357">
        <f t="shared" si="53"/>
        <v>363</v>
      </c>
      <c r="D252" s="397" t="e">
        <f>INDEX('Monthly Cash Flow'!$L$160:$GT$160, MATCH(C252, 'Monthly Cash Flow'!$L$13:$GT$13, 0))</f>
        <v>#N/A</v>
      </c>
      <c r="E252" s="397">
        <f t="shared" ca="1" si="42"/>
        <v>0</v>
      </c>
      <c r="F252" s="397" t="e">
        <f t="shared" si="46"/>
        <v>#N/A</v>
      </c>
      <c r="G252" s="397" t="e">
        <f t="shared" ca="1" si="43"/>
        <v>#N/A</v>
      </c>
      <c r="H252" s="398" t="e">
        <f t="shared" ca="1" si="47"/>
        <v>#N/A</v>
      </c>
      <c r="I252" s="399">
        <f>MAX($J$5, INDEX(LIBOR!$M$3:$M$122,MATCH(B252,LIBOR!$N$3:$N$122)))</f>
        <v>5.1999999999999998E-2</v>
      </c>
      <c r="J252" s="400">
        <f t="shared" si="48"/>
        <v>0.10100000000000001</v>
      </c>
      <c r="L252" s="392">
        <f t="shared" si="54"/>
        <v>51805</v>
      </c>
      <c r="M252" s="357">
        <f t="shared" si="55"/>
        <v>304</v>
      </c>
      <c r="N252" s="397">
        <v>3890.0851520346996</v>
      </c>
      <c r="O252" s="397">
        <f t="shared" si="44"/>
        <v>0</v>
      </c>
      <c r="P252" s="397">
        <f t="shared" si="49"/>
        <v>26.520558271867767</v>
      </c>
      <c r="Q252" s="397">
        <f t="shared" si="45"/>
        <v>-26.520558271867767</v>
      </c>
      <c r="R252" s="398">
        <f t="shared" si="50"/>
        <v>3916.6057103065673</v>
      </c>
      <c r="S252" s="399">
        <f>INDEX(LIBOR!$M$3:$M$122,MATCH(L252,LIBOR!$N$3:$N$122))</f>
        <v>3.2809699999999997E-2</v>
      </c>
      <c r="T252" s="400">
        <f t="shared" si="51"/>
        <v>8.1809699999999999E-2</v>
      </c>
    </row>
    <row r="253" spans="2:20">
      <c r="B253" s="396">
        <f t="shared" si="52"/>
        <v>53631</v>
      </c>
      <c r="C253" s="357">
        <f t="shared" si="53"/>
        <v>364</v>
      </c>
      <c r="D253" s="397" t="e">
        <f>INDEX('Monthly Cash Flow'!$L$160:$GT$160, MATCH(C253, 'Monthly Cash Flow'!$L$13:$GT$13, 0))</f>
        <v>#N/A</v>
      </c>
      <c r="E253" s="397">
        <f t="shared" ca="1" si="42"/>
        <v>0</v>
      </c>
      <c r="F253" s="397" t="e">
        <f t="shared" si="46"/>
        <v>#N/A</v>
      </c>
      <c r="G253" s="397" t="e">
        <f t="shared" ca="1" si="43"/>
        <v>#N/A</v>
      </c>
      <c r="H253" s="398" t="e">
        <f t="shared" ca="1" si="47"/>
        <v>#N/A</v>
      </c>
      <c r="I253" s="399">
        <f>MAX($J$5, INDEX(LIBOR!$M$3:$M$122,MATCH(B253,LIBOR!$N$3:$N$122)))</f>
        <v>5.1999999999999998E-2</v>
      </c>
      <c r="J253" s="400">
        <f t="shared" si="48"/>
        <v>0.10100000000000001</v>
      </c>
      <c r="L253" s="392">
        <f t="shared" si="54"/>
        <v>51835</v>
      </c>
      <c r="M253" s="357">
        <f t="shared" si="55"/>
        <v>305</v>
      </c>
      <c r="N253" s="397">
        <v>3864.4176840781224</v>
      </c>
      <c r="O253" s="397">
        <f t="shared" si="44"/>
        <v>0</v>
      </c>
      <c r="P253" s="397">
        <f t="shared" si="49"/>
        <v>26.3455709507605</v>
      </c>
      <c r="Q253" s="397">
        <f t="shared" si="45"/>
        <v>-26.3455709507605</v>
      </c>
      <c r="R253" s="398">
        <f t="shared" si="50"/>
        <v>3890.7632550288831</v>
      </c>
      <c r="S253" s="399">
        <f>INDEX(LIBOR!$M$3:$M$122,MATCH(L253,LIBOR!$N$3:$N$122))</f>
        <v>3.2809699999999997E-2</v>
      </c>
      <c r="T253" s="400">
        <f t="shared" si="51"/>
        <v>8.1809699999999999E-2</v>
      </c>
    </row>
    <row r="254" spans="2:20">
      <c r="B254" s="396">
        <f t="shared" si="52"/>
        <v>53661</v>
      </c>
      <c r="C254" s="357">
        <f t="shared" si="53"/>
        <v>365</v>
      </c>
      <c r="D254" s="397" t="e">
        <f>INDEX('Monthly Cash Flow'!$L$160:$GT$160, MATCH(C254, 'Monthly Cash Flow'!$L$13:$GT$13, 0))</f>
        <v>#N/A</v>
      </c>
      <c r="E254" s="397">
        <f t="shared" ca="1" si="42"/>
        <v>0</v>
      </c>
      <c r="F254" s="397" t="e">
        <f t="shared" si="46"/>
        <v>#N/A</v>
      </c>
      <c r="G254" s="397" t="e">
        <f t="shared" ca="1" si="43"/>
        <v>#N/A</v>
      </c>
      <c r="H254" s="398" t="e">
        <f t="shared" ca="1" si="47"/>
        <v>#N/A</v>
      </c>
      <c r="I254" s="399">
        <f>MAX($J$5, INDEX(LIBOR!$M$3:$M$122,MATCH(B254,LIBOR!$N$3:$N$122)))</f>
        <v>5.1999999999999998E-2</v>
      </c>
      <c r="J254" s="400">
        <f t="shared" si="48"/>
        <v>0.10100000000000001</v>
      </c>
      <c r="L254" s="392">
        <f t="shared" si="54"/>
        <v>51866</v>
      </c>
      <c r="M254" s="357">
        <f t="shared" si="55"/>
        <v>306</v>
      </c>
      <c r="N254" s="397">
        <v>3838.6333065801837</v>
      </c>
      <c r="O254" s="397">
        <f t="shared" si="44"/>
        <v>0</v>
      </c>
      <c r="P254" s="397">
        <f t="shared" si="49"/>
        <v>26.169786601777741</v>
      </c>
      <c r="Q254" s="397">
        <f t="shared" si="45"/>
        <v>-26.169786601777741</v>
      </c>
      <c r="R254" s="398">
        <f t="shared" si="50"/>
        <v>3864.8030931819612</v>
      </c>
      <c r="S254" s="399">
        <f>INDEX(LIBOR!$M$3:$M$122,MATCH(L254,LIBOR!$N$3:$N$122))</f>
        <v>3.2809699999999997E-2</v>
      </c>
      <c r="T254" s="400">
        <f t="shared" si="51"/>
        <v>8.1809699999999999E-2</v>
      </c>
    </row>
    <row r="255" spans="2:20">
      <c r="B255" s="396">
        <f t="shared" si="52"/>
        <v>53692</v>
      </c>
      <c r="C255" s="357">
        <f t="shared" si="53"/>
        <v>366</v>
      </c>
      <c r="D255" s="397" t="e">
        <f>INDEX('Monthly Cash Flow'!$L$160:$GT$160, MATCH(C255, 'Monthly Cash Flow'!$L$13:$GT$13, 0))</f>
        <v>#N/A</v>
      </c>
      <c r="E255" s="397">
        <f t="shared" ca="1" si="42"/>
        <v>0</v>
      </c>
      <c r="F255" s="397" t="e">
        <f t="shared" si="46"/>
        <v>#N/A</v>
      </c>
      <c r="G255" s="397" t="e">
        <f t="shared" ca="1" si="43"/>
        <v>#N/A</v>
      </c>
      <c r="H255" s="398" t="e">
        <f t="shared" ca="1" si="47"/>
        <v>#N/A</v>
      </c>
      <c r="I255" s="399">
        <f>MAX($J$5, INDEX(LIBOR!$M$3:$M$122,MATCH(B255,LIBOR!$N$3:$N$122)))</f>
        <v>5.1999999999999998E-2</v>
      </c>
      <c r="J255" s="400">
        <f t="shared" si="48"/>
        <v>0.10100000000000001</v>
      </c>
      <c r="L255" s="392">
        <f t="shared" si="54"/>
        <v>51897</v>
      </c>
      <c r="M255" s="357">
        <f t="shared" si="55"/>
        <v>307</v>
      </c>
      <c r="N255" s="397">
        <v>3812.7314870442265</v>
      </c>
      <c r="O255" s="397">
        <f t="shared" si="44"/>
        <v>0</v>
      </c>
      <c r="P255" s="397">
        <f t="shared" si="49"/>
        <v>25.99320159463684</v>
      </c>
      <c r="Q255" s="397">
        <f t="shared" si="45"/>
        <v>-25.99320159463684</v>
      </c>
      <c r="R255" s="398">
        <f t="shared" si="50"/>
        <v>3838.7246886388634</v>
      </c>
      <c r="S255" s="399">
        <f>INDEX(LIBOR!$M$3:$M$122,MATCH(L255,LIBOR!$N$3:$N$122))</f>
        <v>3.2809699999999997E-2</v>
      </c>
      <c r="T255" s="400">
        <f t="shared" si="51"/>
        <v>8.1809699999999999E-2</v>
      </c>
    </row>
    <row r="256" spans="2:20">
      <c r="B256" s="396">
        <f t="shared" si="52"/>
        <v>53723</v>
      </c>
      <c r="C256" s="357">
        <f t="shared" si="53"/>
        <v>367</v>
      </c>
      <c r="D256" s="397" t="e">
        <f>INDEX('Monthly Cash Flow'!$L$160:$GT$160, MATCH(C256, 'Monthly Cash Flow'!$L$13:$GT$13, 0))</f>
        <v>#N/A</v>
      </c>
      <c r="E256" s="397">
        <f t="shared" ca="1" si="42"/>
        <v>0</v>
      </c>
      <c r="F256" s="397" t="e">
        <f t="shared" si="46"/>
        <v>#N/A</v>
      </c>
      <c r="G256" s="397" t="e">
        <f t="shared" ca="1" si="43"/>
        <v>#N/A</v>
      </c>
      <c r="H256" s="398" t="e">
        <f t="shared" ca="1" si="47"/>
        <v>#N/A</v>
      </c>
      <c r="I256" s="399">
        <f>MAX($J$5, INDEX(LIBOR!$M$3:$M$122,MATCH(B256,LIBOR!$N$3:$N$122)))</f>
        <v>5.1999999999999998E-2</v>
      </c>
      <c r="J256" s="400">
        <f t="shared" si="48"/>
        <v>0.10100000000000001</v>
      </c>
      <c r="L256" s="392">
        <f t="shared" si="54"/>
        <v>51925</v>
      </c>
      <c r="M256" s="357">
        <f t="shared" si="55"/>
        <v>308</v>
      </c>
      <c r="N256" s="397">
        <v>3786.7116905481926</v>
      </c>
      <c r="O256" s="397">
        <f t="shared" si="44"/>
        <v>0</v>
      </c>
      <c r="P256" s="397">
        <f t="shared" si="49"/>
        <v>25.815812282520039</v>
      </c>
      <c r="Q256" s="397">
        <f t="shared" si="45"/>
        <v>-25.815812282520039</v>
      </c>
      <c r="R256" s="398">
        <f t="shared" si="50"/>
        <v>3812.5275028307128</v>
      </c>
      <c r="S256" s="399">
        <f>INDEX(LIBOR!$M$3:$M$122,MATCH(L256,LIBOR!$N$3:$N$122))</f>
        <v>3.2809699999999997E-2</v>
      </c>
      <c r="T256" s="400">
        <f t="shared" si="51"/>
        <v>8.1809699999999999E-2</v>
      </c>
    </row>
    <row r="257" spans="2:20">
      <c r="B257" s="396">
        <f t="shared" si="52"/>
        <v>53751</v>
      </c>
      <c r="C257" s="357">
        <f t="shared" si="53"/>
        <v>368</v>
      </c>
      <c r="D257" s="397" t="e">
        <f>INDEX('Monthly Cash Flow'!$L$160:$GT$160, MATCH(C257, 'Monthly Cash Flow'!$L$13:$GT$13, 0))</f>
        <v>#N/A</v>
      </c>
      <c r="E257" s="397">
        <f t="shared" ca="1" si="42"/>
        <v>0</v>
      </c>
      <c r="F257" s="397" t="e">
        <f t="shared" si="46"/>
        <v>#N/A</v>
      </c>
      <c r="G257" s="397" t="e">
        <f t="shared" ca="1" si="43"/>
        <v>#N/A</v>
      </c>
      <c r="H257" s="398" t="e">
        <f t="shared" ca="1" si="47"/>
        <v>#N/A</v>
      </c>
      <c r="I257" s="399">
        <f>MAX($J$5, INDEX(LIBOR!$M$3:$M$122,MATCH(B257,LIBOR!$N$3:$N$122)))</f>
        <v>5.1999999999999998E-2</v>
      </c>
      <c r="J257" s="400">
        <f t="shared" si="48"/>
        <v>0.10100000000000001</v>
      </c>
      <c r="L257" s="392">
        <f t="shared" si="54"/>
        <v>51956</v>
      </c>
      <c r="M257" s="357">
        <f t="shared" si="55"/>
        <v>309</v>
      </c>
      <c r="N257" s="397">
        <v>3760.5733797335733</v>
      </c>
      <c r="O257" s="397">
        <f t="shared" si="44"/>
        <v>0</v>
      </c>
      <c r="P257" s="397">
        <f t="shared" si="49"/>
        <v>25.637615001999141</v>
      </c>
      <c r="Q257" s="397">
        <f t="shared" si="45"/>
        <v>-25.637615001999141</v>
      </c>
      <c r="R257" s="398">
        <f t="shared" si="50"/>
        <v>3786.2109947355725</v>
      </c>
      <c r="S257" s="399">
        <f>INDEX(LIBOR!$M$3:$M$122,MATCH(L257,LIBOR!$N$3:$N$122))</f>
        <v>3.2809699999999997E-2</v>
      </c>
      <c r="T257" s="400">
        <f t="shared" si="51"/>
        <v>8.1809699999999999E-2</v>
      </c>
    </row>
    <row r="258" spans="2:20">
      <c r="B258" s="396">
        <f t="shared" si="52"/>
        <v>53782</v>
      </c>
      <c r="C258" s="357">
        <f t="shared" si="53"/>
        <v>369</v>
      </c>
      <c r="D258" s="397" t="e">
        <f>INDEX('Monthly Cash Flow'!$L$160:$GT$160, MATCH(C258, 'Monthly Cash Flow'!$L$13:$GT$13, 0))</f>
        <v>#N/A</v>
      </c>
      <c r="E258" s="397">
        <f t="shared" ca="1" si="42"/>
        <v>0</v>
      </c>
      <c r="F258" s="397" t="e">
        <f t="shared" si="46"/>
        <v>#N/A</v>
      </c>
      <c r="G258" s="397" t="e">
        <f t="shared" ca="1" si="43"/>
        <v>#N/A</v>
      </c>
      <c r="H258" s="398" t="e">
        <f t="shared" ca="1" si="47"/>
        <v>#N/A</v>
      </c>
      <c r="I258" s="399">
        <f>MAX($J$5, INDEX(LIBOR!$M$3:$M$122,MATCH(B258,LIBOR!$N$3:$N$122)))</f>
        <v>5.1999999999999998E-2</v>
      </c>
      <c r="J258" s="400">
        <f t="shared" si="48"/>
        <v>0.10100000000000001</v>
      </c>
      <c r="L258" s="392">
        <f t="shared" si="54"/>
        <v>51986</v>
      </c>
      <c r="M258" s="357">
        <f t="shared" si="55"/>
        <v>310</v>
      </c>
      <c r="N258" s="397">
        <v>3734.3160147943136</v>
      </c>
      <c r="O258" s="397">
        <f t="shared" si="44"/>
        <v>0</v>
      </c>
      <c r="P258" s="397">
        <f t="shared" si="49"/>
        <v>25.458606072959864</v>
      </c>
      <c r="Q258" s="397">
        <f t="shared" si="45"/>
        <v>-25.458606072959864</v>
      </c>
      <c r="R258" s="398">
        <f t="shared" si="50"/>
        <v>3759.7746208672734</v>
      </c>
      <c r="S258" s="399">
        <f>INDEX(LIBOR!$M$3:$M$122,MATCH(L258,LIBOR!$N$3:$N$122))</f>
        <v>3.2809699999999997E-2</v>
      </c>
      <c r="T258" s="400">
        <f t="shared" si="51"/>
        <v>8.1809699999999999E-2</v>
      </c>
    </row>
    <row r="259" spans="2:20">
      <c r="B259" s="396">
        <f t="shared" si="52"/>
        <v>53812</v>
      </c>
      <c r="C259" s="357">
        <f t="shared" si="53"/>
        <v>370</v>
      </c>
      <c r="D259" s="397" t="e">
        <f>INDEX('Monthly Cash Flow'!$L$160:$GT$160, MATCH(C259, 'Monthly Cash Flow'!$L$13:$GT$13, 0))</f>
        <v>#N/A</v>
      </c>
      <c r="E259" s="397">
        <f t="shared" ca="1" si="42"/>
        <v>0</v>
      </c>
      <c r="F259" s="397" t="e">
        <f t="shared" si="46"/>
        <v>#N/A</v>
      </c>
      <c r="G259" s="397" t="e">
        <f t="shared" ca="1" si="43"/>
        <v>#N/A</v>
      </c>
      <c r="H259" s="398" t="e">
        <f t="shared" ca="1" si="47"/>
        <v>#N/A</v>
      </c>
      <c r="I259" s="399">
        <f>MAX($J$5, INDEX(LIBOR!$M$3:$M$122,MATCH(B259,LIBOR!$N$3:$N$122)))</f>
        <v>5.1999999999999998E-2</v>
      </c>
      <c r="J259" s="400">
        <f t="shared" si="48"/>
        <v>0.10100000000000001</v>
      </c>
      <c r="L259" s="392">
        <f t="shared" si="54"/>
        <v>52017</v>
      </c>
      <c r="M259" s="357">
        <f t="shared" si="55"/>
        <v>311</v>
      </c>
      <c r="N259" s="397">
        <v>3707.9390534656627</v>
      </c>
      <c r="O259" s="397">
        <f t="shared" si="44"/>
        <v>0</v>
      </c>
      <c r="P259" s="397">
        <f t="shared" si="49"/>
        <v>25.278781798525817</v>
      </c>
      <c r="Q259" s="397">
        <f t="shared" si="45"/>
        <v>-25.278781798525817</v>
      </c>
      <c r="R259" s="398">
        <f t="shared" si="50"/>
        <v>3733.2178352641886</v>
      </c>
      <c r="S259" s="399">
        <f>INDEX(LIBOR!$M$3:$M$122,MATCH(L259,LIBOR!$N$3:$N$122))</f>
        <v>3.2809699999999997E-2</v>
      </c>
      <c r="T259" s="400">
        <f t="shared" si="51"/>
        <v>8.1809699999999999E-2</v>
      </c>
    </row>
    <row r="260" spans="2:20">
      <c r="B260" s="396">
        <f t="shared" si="52"/>
        <v>53843</v>
      </c>
      <c r="C260" s="357">
        <f t="shared" si="53"/>
        <v>371</v>
      </c>
      <c r="D260" s="397" t="e">
        <f>INDEX('Monthly Cash Flow'!$L$160:$GT$160, MATCH(C260, 'Monthly Cash Flow'!$L$13:$GT$13, 0))</f>
        <v>#N/A</v>
      </c>
      <c r="E260" s="397">
        <f t="shared" ca="1" si="42"/>
        <v>0</v>
      </c>
      <c r="F260" s="397" t="e">
        <f t="shared" si="46"/>
        <v>#N/A</v>
      </c>
      <c r="G260" s="397" t="e">
        <f t="shared" ca="1" si="43"/>
        <v>#N/A</v>
      </c>
      <c r="H260" s="398" t="e">
        <f t="shared" ca="1" si="47"/>
        <v>#N/A</v>
      </c>
      <c r="I260" s="399">
        <f>MAX($J$5, INDEX(LIBOR!$M$3:$M$122,MATCH(B260,LIBOR!$N$3:$N$122)))</f>
        <v>5.1999999999999998E-2</v>
      </c>
      <c r="J260" s="400">
        <f t="shared" si="48"/>
        <v>0.10100000000000001</v>
      </c>
      <c r="L260" s="392">
        <f t="shared" si="54"/>
        <v>52047</v>
      </c>
      <c r="M260" s="357">
        <f t="shared" si="55"/>
        <v>312</v>
      </c>
      <c r="N260" s="397">
        <v>3681.441951012976</v>
      </c>
      <c r="O260" s="397">
        <f t="shared" si="44"/>
        <v>0</v>
      </c>
      <c r="P260" s="397">
        <f t="shared" si="49"/>
        <v>25.098138464982188</v>
      </c>
      <c r="Q260" s="397">
        <f t="shared" si="45"/>
        <v>-25.098138464982188</v>
      </c>
      <c r="R260" s="398">
        <f t="shared" si="50"/>
        <v>3706.5400894779582</v>
      </c>
      <c r="S260" s="399">
        <f>INDEX(LIBOR!$M$3:$M$122,MATCH(L260,LIBOR!$N$3:$N$122))</f>
        <v>3.2809699999999997E-2</v>
      </c>
      <c r="T260" s="400">
        <f t="shared" si="51"/>
        <v>8.1809699999999999E-2</v>
      </c>
    </row>
    <row r="261" spans="2:20">
      <c r="B261" s="396">
        <f t="shared" si="52"/>
        <v>53873</v>
      </c>
      <c r="C261" s="357">
        <f t="shared" si="53"/>
        <v>372</v>
      </c>
      <c r="D261" s="397" t="e">
        <f>INDEX('Monthly Cash Flow'!$L$160:$GT$160, MATCH(C261, 'Monthly Cash Flow'!$L$13:$GT$13, 0))</f>
        <v>#N/A</v>
      </c>
      <c r="E261" s="397">
        <f t="shared" ca="1" si="42"/>
        <v>0</v>
      </c>
      <c r="F261" s="397" t="e">
        <f t="shared" si="46"/>
        <v>#N/A</v>
      </c>
      <c r="G261" s="397" t="e">
        <f t="shared" ca="1" si="43"/>
        <v>#N/A</v>
      </c>
      <c r="H261" s="398" t="e">
        <f t="shared" ca="1" si="47"/>
        <v>#N/A</v>
      </c>
      <c r="I261" s="399">
        <f>MAX($J$5, INDEX(LIBOR!$M$3:$M$122,MATCH(B261,LIBOR!$N$3:$N$122)))</f>
        <v>5.1999999999999998E-2</v>
      </c>
      <c r="J261" s="400">
        <f t="shared" si="48"/>
        <v>0.10100000000000001</v>
      </c>
      <c r="L261" s="392">
        <f t="shared" si="54"/>
        <v>52078</v>
      </c>
      <c r="M261" s="357">
        <f t="shared" si="55"/>
        <v>313</v>
      </c>
      <c r="N261" s="397">
        <v>3654.8241602204653</v>
      </c>
      <c r="O261" s="397">
        <f t="shared" si="44"/>
        <v>0</v>
      </c>
      <c r="P261" s="397">
        <f t="shared" si="49"/>
        <v>24.916672341699016</v>
      </c>
      <c r="Q261" s="397">
        <f t="shared" si="45"/>
        <v>-24.916672341699016</v>
      </c>
      <c r="R261" s="398">
        <f t="shared" si="50"/>
        <v>3679.7408325621641</v>
      </c>
      <c r="S261" s="399">
        <f>INDEX(LIBOR!$M$3:$M$122,MATCH(L261,LIBOR!$N$3:$N$122))</f>
        <v>3.2809699999999997E-2</v>
      </c>
      <c r="T261" s="400">
        <f t="shared" si="51"/>
        <v>8.1809699999999999E-2</v>
      </c>
    </row>
    <row r="262" spans="2:20">
      <c r="B262" s="396">
        <f t="shared" si="52"/>
        <v>53904</v>
      </c>
      <c r="C262" s="357">
        <f t="shared" si="53"/>
        <v>373</v>
      </c>
      <c r="D262" s="397" t="e">
        <f>INDEX('Monthly Cash Flow'!$L$160:$GT$160, MATCH(C262, 'Monthly Cash Flow'!$L$13:$GT$13, 0))</f>
        <v>#N/A</v>
      </c>
      <c r="E262" s="397">
        <f t="shared" ca="1" si="42"/>
        <v>0</v>
      </c>
      <c r="F262" s="397" t="e">
        <f t="shared" si="46"/>
        <v>#N/A</v>
      </c>
      <c r="G262" s="397" t="e">
        <f t="shared" ca="1" si="43"/>
        <v>#N/A</v>
      </c>
      <c r="H262" s="398" t="e">
        <f t="shared" ca="1" si="47"/>
        <v>#N/A</v>
      </c>
      <c r="I262" s="399">
        <f>MAX($J$5, INDEX(LIBOR!$M$3:$M$122,MATCH(B262,LIBOR!$N$3:$N$122)))</f>
        <v>5.1999999999999998E-2</v>
      </c>
      <c r="J262" s="400">
        <f t="shared" si="48"/>
        <v>0.10100000000000001</v>
      </c>
      <c r="L262" s="392">
        <f t="shared" si="54"/>
        <v>52109</v>
      </c>
      <c r="M262" s="357">
        <f t="shared" si="55"/>
        <v>314</v>
      </c>
      <c r="N262" s="397">
        <v>3628.0851313798976</v>
      </c>
      <c r="O262" s="397">
        <f t="shared" si="44"/>
        <v>0</v>
      </c>
      <c r="P262" s="397">
        <f t="shared" si="49"/>
        <v>24.734379681054165</v>
      </c>
      <c r="Q262" s="397">
        <f t="shared" si="45"/>
        <v>-24.734379681054165</v>
      </c>
      <c r="R262" s="398">
        <f t="shared" si="50"/>
        <v>3652.8195110609518</v>
      </c>
      <c r="S262" s="399">
        <f>INDEX(LIBOR!$M$3:$M$122,MATCH(L262,LIBOR!$N$3:$N$122))</f>
        <v>3.2809699999999997E-2</v>
      </c>
      <c r="T262" s="400">
        <f t="shared" si="51"/>
        <v>8.1809699999999999E-2</v>
      </c>
    </row>
    <row r="263" spans="2:20">
      <c r="B263" s="396">
        <f t="shared" si="52"/>
        <v>53935</v>
      </c>
      <c r="C263" s="357">
        <f t="shared" si="53"/>
        <v>374</v>
      </c>
      <c r="D263" s="397" t="e">
        <f>INDEX('Monthly Cash Flow'!$L$160:$GT$160, MATCH(C263, 'Monthly Cash Flow'!$L$13:$GT$13, 0))</f>
        <v>#N/A</v>
      </c>
      <c r="E263" s="397">
        <f t="shared" ca="1" si="42"/>
        <v>0</v>
      </c>
      <c r="F263" s="397" t="e">
        <f t="shared" si="46"/>
        <v>#N/A</v>
      </c>
      <c r="G263" s="397" t="e">
        <f t="shared" ca="1" si="43"/>
        <v>#N/A</v>
      </c>
      <c r="H263" s="398" t="e">
        <f t="shared" ca="1" si="47"/>
        <v>#N/A</v>
      </c>
      <c r="I263" s="399">
        <f>MAX($J$5, INDEX(LIBOR!$M$3:$M$122,MATCH(B263,LIBOR!$N$3:$N$122)))</f>
        <v>5.1999999999999998E-2</v>
      </c>
      <c r="J263" s="400">
        <f t="shared" si="48"/>
        <v>0.10100000000000001</v>
      </c>
      <c r="L263" s="392">
        <f t="shared" si="54"/>
        <v>52139</v>
      </c>
      <c r="M263" s="357">
        <f t="shared" si="55"/>
        <v>315</v>
      </c>
      <c r="N263" s="397">
        <v>3601.2243122792424</v>
      </c>
      <c r="O263" s="397">
        <f t="shared" si="44"/>
        <v>0</v>
      </c>
      <c r="P263" s="397">
        <f t="shared" si="49"/>
        <v>24.55125671835593</v>
      </c>
      <c r="Q263" s="397">
        <f t="shared" si="45"/>
        <v>-24.55125671835593</v>
      </c>
      <c r="R263" s="398">
        <f t="shared" si="50"/>
        <v>3625.7755689975984</v>
      </c>
      <c r="S263" s="399">
        <f>INDEX(LIBOR!$M$3:$M$122,MATCH(L263,LIBOR!$N$3:$N$122))</f>
        <v>3.2809699999999997E-2</v>
      </c>
      <c r="T263" s="400">
        <f t="shared" si="51"/>
        <v>8.1809699999999999E-2</v>
      </c>
    </row>
    <row r="264" spans="2:20">
      <c r="B264" s="396">
        <f t="shared" si="52"/>
        <v>53965</v>
      </c>
      <c r="C264" s="357">
        <f t="shared" si="53"/>
        <v>375</v>
      </c>
      <c r="D264" s="397" t="e">
        <f>INDEX('Monthly Cash Flow'!$L$160:$GT$160, MATCH(C264, 'Monthly Cash Flow'!$L$13:$GT$13, 0))</f>
        <v>#N/A</v>
      </c>
      <c r="E264" s="397">
        <f t="shared" ca="1" si="42"/>
        <v>0</v>
      </c>
      <c r="F264" s="397" t="e">
        <f t="shared" si="46"/>
        <v>#N/A</v>
      </c>
      <c r="G264" s="397" t="e">
        <f t="shared" ca="1" si="43"/>
        <v>#N/A</v>
      </c>
      <c r="H264" s="398" t="e">
        <f t="shared" ca="1" si="47"/>
        <v>#N/A</v>
      </c>
      <c r="I264" s="399">
        <f>MAX($J$5, INDEX(LIBOR!$M$3:$M$122,MATCH(B264,LIBOR!$N$3:$N$122)))</f>
        <v>5.1999999999999998E-2</v>
      </c>
      <c r="J264" s="400">
        <f t="shared" si="48"/>
        <v>0.10100000000000001</v>
      </c>
      <c r="L264" s="392">
        <f t="shared" si="54"/>
        <v>52170</v>
      </c>
      <c r="M264" s="357">
        <f t="shared" si="55"/>
        <v>316</v>
      </c>
      <c r="N264" s="397">
        <v>3574.2411481912682</v>
      </c>
      <c r="O264" s="397">
        <f t="shared" si="44"/>
        <v>0</v>
      </c>
      <c r="P264" s="397">
        <f t="shared" si="49"/>
        <v>24.367299671765267</v>
      </c>
      <c r="Q264" s="397">
        <f t="shared" si="45"/>
        <v>-24.367299671765267</v>
      </c>
      <c r="R264" s="398">
        <f t="shared" si="50"/>
        <v>3598.6084478630332</v>
      </c>
      <c r="S264" s="399">
        <f>INDEX(LIBOR!$M$3:$M$122,MATCH(L264,LIBOR!$N$3:$N$122))</f>
        <v>3.2809699999999997E-2</v>
      </c>
      <c r="T264" s="400">
        <f t="shared" si="51"/>
        <v>8.1809699999999999E-2</v>
      </c>
    </row>
    <row r="265" spans="2:20">
      <c r="B265" s="396">
        <f t="shared" si="52"/>
        <v>53996</v>
      </c>
      <c r="C265" s="357">
        <f t="shared" si="53"/>
        <v>376</v>
      </c>
      <c r="D265" s="397" t="e">
        <f>INDEX('Monthly Cash Flow'!$L$160:$GT$160, MATCH(C265, 'Monthly Cash Flow'!$L$13:$GT$13, 0))</f>
        <v>#N/A</v>
      </c>
      <c r="E265" s="397">
        <f t="shared" ref="E265:E328" ca="1" si="56">-PMT(J265/12,$E$2*12,$D$9,)</f>
        <v>0</v>
      </c>
      <c r="F265" s="397" t="e">
        <f t="shared" si="46"/>
        <v>#N/A</v>
      </c>
      <c r="G265" s="397" t="e">
        <f t="shared" ref="G265:G328" ca="1" si="57">+E265-F265</f>
        <v>#N/A</v>
      </c>
      <c r="H265" s="398" t="e">
        <f t="shared" ca="1" si="47"/>
        <v>#N/A</v>
      </c>
      <c r="I265" s="399">
        <f>MAX($J$5, INDEX(LIBOR!$M$3:$M$122,MATCH(B265,LIBOR!$N$3:$N$122)))</f>
        <v>5.1999999999999998E-2</v>
      </c>
      <c r="J265" s="400">
        <f t="shared" si="48"/>
        <v>0.10100000000000001</v>
      </c>
      <c r="L265" s="392">
        <f t="shared" si="54"/>
        <v>52200</v>
      </c>
      <c r="M265" s="357">
        <f t="shared" si="55"/>
        <v>317</v>
      </c>
      <c r="N265" s="397">
        <v>3547.1350818620854</v>
      </c>
      <c r="O265" s="397">
        <f t="shared" ref="O265:O328" si="58">-PMT(T265/12,$O$2*12,$N$9,)</f>
        <v>0</v>
      </c>
      <c r="P265" s="397">
        <f t="shared" si="49"/>
        <v>24.18250474221772</v>
      </c>
      <c r="Q265" s="397">
        <f t="shared" ref="Q265:Q328" si="59">+O265-P265</f>
        <v>-24.18250474221772</v>
      </c>
      <c r="R265" s="398">
        <f t="shared" si="50"/>
        <v>3571.317586604303</v>
      </c>
      <c r="S265" s="399">
        <f>INDEX(LIBOR!$M$3:$M$122,MATCH(L265,LIBOR!$N$3:$N$122))</f>
        <v>3.2809699999999997E-2</v>
      </c>
      <c r="T265" s="400">
        <f t="shared" si="51"/>
        <v>8.1809699999999999E-2</v>
      </c>
    </row>
    <row r="266" spans="2:20">
      <c r="B266" s="396">
        <f t="shared" si="52"/>
        <v>54026</v>
      </c>
      <c r="C266" s="357">
        <f t="shared" si="53"/>
        <v>377</v>
      </c>
      <c r="D266" s="397" t="e">
        <f>INDEX('Monthly Cash Flow'!$L$160:$GT$160, MATCH(C266, 'Monthly Cash Flow'!$L$13:$GT$13, 0))</f>
        <v>#N/A</v>
      </c>
      <c r="E266" s="397">
        <f t="shared" ca="1" si="56"/>
        <v>0</v>
      </c>
      <c r="F266" s="397" t="e">
        <f t="shared" ref="F266:F329" si="60">D266*J266/12</f>
        <v>#N/A</v>
      </c>
      <c r="G266" s="397" t="e">
        <f t="shared" ca="1" si="57"/>
        <v>#N/A</v>
      </c>
      <c r="H266" s="398" t="e">
        <f t="shared" ref="H266:H329" ca="1" si="61">+D266-G266</f>
        <v>#N/A</v>
      </c>
      <c r="I266" s="399">
        <f>MAX($J$5, INDEX(LIBOR!$M$3:$M$122,MATCH(B266,LIBOR!$N$3:$N$122)))</f>
        <v>5.1999999999999998E-2</v>
      </c>
      <c r="J266" s="400">
        <f t="shared" ref="J266:J329" si="62">IF($I$2=1,I266+$J$4/10000,$J$3)</f>
        <v>0.10100000000000001</v>
      </c>
      <c r="L266" s="392">
        <f t="shared" si="54"/>
        <v>52231</v>
      </c>
      <c r="M266" s="357">
        <f t="shared" si="55"/>
        <v>318</v>
      </c>
      <c r="N266" s="397">
        <v>3519.9055534996378</v>
      </c>
      <c r="O266" s="397">
        <f t="shared" si="58"/>
        <v>0</v>
      </c>
      <c r="P266" s="397">
        <f t="shared" ref="P266:P329" si="63">N266*T266/12</f>
        <v>23.996868113344945</v>
      </c>
      <c r="Q266" s="397">
        <f t="shared" si="59"/>
        <v>-23.996868113344945</v>
      </c>
      <c r="R266" s="398">
        <f t="shared" ref="R266:R329" si="64">+N266-Q266</f>
        <v>3543.9024216129828</v>
      </c>
      <c r="S266" s="399">
        <f>INDEX(LIBOR!$M$3:$M$122,MATCH(L266,LIBOR!$N$3:$N$122))</f>
        <v>3.2809699999999997E-2</v>
      </c>
      <c r="T266" s="400">
        <f t="shared" ref="T266:T329" si="65">IF($S$2=1,S266+$T$4/10000,$T$3)</f>
        <v>8.1809699999999999E-2</v>
      </c>
    </row>
    <row r="267" spans="2:20">
      <c r="B267" s="396">
        <f t="shared" ref="B267:B330" si="66">EOMONTH(B266,1)</f>
        <v>54057</v>
      </c>
      <c r="C267" s="357">
        <f t="shared" ref="C267:C330" si="67">+C266+1</f>
        <v>378</v>
      </c>
      <c r="D267" s="397" t="e">
        <f>INDEX('Monthly Cash Flow'!$L$160:$GT$160, MATCH(C267, 'Monthly Cash Flow'!$L$13:$GT$13, 0))</f>
        <v>#N/A</v>
      </c>
      <c r="E267" s="397">
        <f t="shared" ca="1" si="56"/>
        <v>0</v>
      </c>
      <c r="F267" s="397" t="e">
        <f t="shared" si="60"/>
        <v>#N/A</v>
      </c>
      <c r="G267" s="397" t="e">
        <f t="shared" ca="1" si="57"/>
        <v>#N/A</v>
      </c>
      <c r="H267" s="398" t="e">
        <f t="shared" ca="1" si="61"/>
        <v>#N/A</v>
      </c>
      <c r="I267" s="399">
        <f>MAX($J$5, INDEX(LIBOR!$M$3:$M$122,MATCH(B267,LIBOR!$N$3:$N$122)))</f>
        <v>5.1999999999999998E-2</v>
      </c>
      <c r="J267" s="400">
        <f t="shared" si="62"/>
        <v>0.10100000000000001</v>
      </c>
      <c r="L267" s="392">
        <f t="shared" ref="L267:L330" si="68">EOMONTH(L266,1)</f>
        <v>52262</v>
      </c>
      <c r="M267" s="357">
        <f t="shared" ref="M267:M330" si="69">+M266+1</f>
        <v>319</v>
      </c>
      <c r="N267" s="397">
        <v>3492.5520007621431</v>
      </c>
      <c r="O267" s="397">
        <f t="shared" si="58"/>
        <v>0</v>
      </c>
      <c r="P267" s="397">
        <f t="shared" si="63"/>
        <v>23.81038595139589</v>
      </c>
      <c r="Q267" s="397">
        <f t="shared" si="59"/>
        <v>-23.81038595139589</v>
      </c>
      <c r="R267" s="398">
        <f t="shared" si="64"/>
        <v>3516.3623867135389</v>
      </c>
      <c r="S267" s="399">
        <f>INDEX(LIBOR!$M$3:$M$122,MATCH(L267,LIBOR!$N$3:$N$122))</f>
        <v>3.2809699999999997E-2</v>
      </c>
      <c r="T267" s="400">
        <f t="shared" si="65"/>
        <v>8.1809699999999999E-2</v>
      </c>
    </row>
    <row r="268" spans="2:20">
      <c r="B268" s="396">
        <f t="shared" si="66"/>
        <v>54088</v>
      </c>
      <c r="C268" s="357">
        <f t="shared" si="67"/>
        <v>379</v>
      </c>
      <c r="D268" s="397" t="e">
        <f>INDEX('Monthly Cash Flow'!$L$160:$GT$160, MATCH(C268, 'Monthly Cash Flow'!$L$13:$GT$13, 0))</f>
        <v>#N/A</v>
      </c>
      <c r="E268" s="397">
        <f t="shared" ca="1" si="56"/>
        <v>0</v>
      </c>
      <c r="F268" s="397" t="e">
        <f t="shared" si="60"/>
        <v>#N/A</v>
      </c>
      <c r="G268" s="397" t="e">
        <f t="shared" ca="1" si="57"/>
        <v>#N/A</v>
      </c>
      <c r="H268" s="398" t="e">
        <f t="shared" ca="1" si="61"/>
        <v>#N/A</v>
      </c>
      <c r="I268" s="399">
        <f>MAX($J$5, INDEX(LIBOR!$M$3:$M$122,MATCH(B268,LIBOR!$N$3:$N$122)))</f>
        <v>5.1999999999999998E-2</v>
      </c>
      <c r="J268" s="400">
        <f t="shared" si="62"/>
        <v>0.10100000000000001</v>
      </c>
      <c r="L268" s="392">
        <f t="shared" si="68"/>
        <v>52290</v>
      </c>
      <c r="M268" s="357">
        <f t="shared" si="69"/>
        <v>320</v>
      </c>
      <c r="N268" s="397">
        <v>3465.0738587464784</v>
      </c>
      <c r="O268" s="397">
        <f t="shared" si="58"/>
        <v>0</v>
      </c>
      <c r="P268" s="397">
        <f t="shared" si="63"/>
        <v>23.623054405157646</v>
      </c>
      <c r="Q268" s="397">
        <f t="shared" si="59"/>
        <v>-23.623054405157646</v>
      </c>
      <c r="R268" s="398">
        <f t="shared" si="64"/>
        <v>3488.6969131516362</v>
      </c>
      <c r="S268" s="399">
        <f>INDEX(LIBOR!$M$3:$M$122,MATCH(L268,LIBOR!$N$3:$N$122))</f>
        <v>3.2809699999999997E-2</v>
      </c>
      <c r="T268" s="400">
        <f t="shared" si="65"/>
        <v>8.1809699999999999E-2</v>
      </c>
    </row>
    <row r="269" spans="2:20">
      <c r="B269" s="396">
        <f t="shared" si="66"/>
        <v>54117</v>
      </c>
      <c r="C269" s="357">
        <f t="shared" si="67"/>
        <v>380</v>
      </c>
      <c r="D269" s="397" t="e">
        <f>INDEX('Monthly Cash Flow'!$L$160:$GT$160, MATCH(C269, 'Monthly Cash Flow'!$L$13:$GT$13, 0))</f>
        <v>#N/A</v>
      </c>
      <c r="E269" s="397">
        <f t="shared" ca="1" si="56"/>
        <v>0</v>
      </c>
      <c r="F269" s="397" t="e">
        <f t="shared" si="60"/>
        <v>#N/A</v>
      </c>
      <c r="G269" s="397" t="e">
        <f t="shared" ca="1" si="57"/>
        <v>#N/A</v>
      </c>
      <c r="H269" s="398" t="e">
        <f t="shared" ca="1" si="61"/>
        <v>#N/A</v>
      </c>
      <c r="I269" s="399">
        <f>MAX($J$5, INDEX(LIBOR!$M$3:$M$122,MATCH(B269,LIBOR!$N$3:$N$122)))</f>
        <v>5.1999999999999998E-2</v>
      </c>
      <c r="J269" s="400">
        <f t="shared" si="62"/>
        <v>0.10100000000000001</v>
      </c>
      <c r="L269" s="392">
        <f t="shared" si="68"/>
        <v>52321</v>
      </c>
      <c r="M269" s="357">
        <f t="shared" si="69"/>
        <v>321</v>
      </c>
      <c r="N269" s="397">
        <v>3437.4705599765148</v>
      </c>
      <c r="O269" s="397">
        <f t="shared" si="58"/>
        <v>0</v>
      </c>
      <c r="P269" s="397">
        <f t="shared" si="63"/>
        <v>23.434869605875889</v>
      </c>
      <c r="Q269" s="397">
        <f t="shared" si="59"/>
        <v>-23.434869605875889</v>
      </c>
      <c r="R269" s="398">
        <f t="shared" si="64"/>
        <v>3460.9054295823908</v>
      </c>
      <c r="S269" s="399">
        <f>INDEX(LIBOR!$M$3:$M$122,MATCH(L269,LIBOR!$N$3:$N$122))</f>
        <v>3.2809699999999997E-2</v>
      </c>
      <c r="T269" s="400">
        <f t="shared" si="65"/>
        <v>8.1809699999999999E-2</v>
      </c>
    </row>
    <row r="270" spans="2:20">
      <c r="B270" s="396">
        <f t="shared" si="66"/>
        <v>54148</v>
      </c>
      <c r="C270" s="357">
        <f t="shared" si="67"/>
        <v>381</v>
      </c>
      <c r="D270" s="397" t="e">
        <f>INDEX('Monthly Cash Flow'!$L$160:$GT$160, MATCH(C270, 'Monthly Cash Flow'!$L$13:$GT$13, 0))</f>
        <v>#N/A</v>
      </c>
      <c r="E270" s="397">
        <f t="shared" ca="1" si="56"/>
        <v>0</v>
      </c>
      <c r="F270" s="397" t="e">
        <f t="shared" si="60"/>
        <v>#N/A</v>
      </c>
      <c r="G270" s="397" t="e">
        <f t="shared" ca="1" si="57"/>
        <v>#N/A</v>
      </c>
      <c r="H270" s="398" t="e">
        <f t="shared" ca="1" si="61"/>
        <v>#N/A</v>
      </c>
      <c r="I270" s="399">
        <f>MAX($J$5, INDEX(LIBOR!$M$3:$M$122,MATCH(B270,LIBOR!$N$3:$N$122)))</f>
        <v>5.1999999999999998E-2</v>
      </c>
      <c r="J270" s="400">
        <f t="shared" si="62"/>
        <v>0.10100000000000001</v>
      </c>
      <c r="L270" s="392">
        <f t="shared" si="68"/>
        <v>52351</v>
      </c>
      <c r="M270" s="357">
        <f t="shared" si="69"/>
        <v>322</v>
      </c>
      <c r="N270" s="397">
        <v>3409.7415343913958</v>
      </c>
      <c r="O270" s="397">
        <f t="shared" si="58"/>
        <v>0</v>
      </c>
      <c r="P270" s="397">
        <f t="shared" si="63"/>
        <v>23.245827667174979</v>
      </c>
      <c r="Q270" s="397">
        <f t="shared" si="59"/>
        <v>-23.245827667174979</v>
      </c>
      <c r="R270" s="398">
        <f t="shared" si="64"/>
        <v>3432.9873620585709</v>
      </c>
      <c r="S270" s="399">
        <f>INDEX(LIBOR!$M$3:$M$122,MATCH(L270,LIBOR!$N$3:$N$122))</f>
        <v>3.2809699999999997E-2</v>
      </c>
      <c r="T270" s="400">
        <f t="shared" si="65"/>
        <v>8.1809699999999999E-2</v>
      </c>
    </row>
    <row r="271" spans="2:20">
      <c r="B271" s="396">
        <f t="shared" si="66"/>
        <v>54178</v>
      </c>
      <c r="C271" s="357">
        <f t="shared" si="67"/>
        <v>382</v>
      </c>
      <c r="D271" s="397" t="e">
        <f>INDEX('Monthly Cash Flow'!$L$160:$GT$160, MATCH(C271, 'Monthly Cash Flow'!$L$13:$GT$13, 0))</f>
        <v>#N/A</v>
      </c>
      <c r="E271" s="397">
        <f t="shared" ca="1" si="56"/>
        <v>0</v>
      </c>
      <c r="F271" s="397" t="e">
        <f t="shared" si="60"/>
        <v>#N/A</v>
      </c>
      <c r="G271" s="397" t="e">
        <f t="shared" ca="1" si="57"/>
        <v>#N/A</v>
      </c>
      <c r="H271" s="398" t="e">
        <f t="shared" ca="1" si="61"/>
        <v>#N/A</v>
      </c>
      <c r="I271" s="399">
        <f>MAX($J$5, INDEX(LIBOR!$M$3:$M$122,MATCH(B271,LIBOR!$N$3:$N$122)))</f>
        <v>5.1999999999999998E-2</v>
      </c>
      <c r="J271" s="400">
        <f t="shared" si="62"/>
        <v>0.10100000000000001</v>
      </c>
      <c r="L271" s="392">
        <f t="shared" si="68"/>
        <v>52382</v>
      </c>
      <c r="M271" s="357">
        <f t="shared" si="69"/>
        <v>323</v>
      </c>
      <c r="N271" s="397">
        <v>3381.8862093337675</v>
      </c>
      <c r="O271" s="397">
        <f t="shared" si="58"/>
        <v>0</v>
      </c>
      <c r="P271" s="397">
        <f t="shared" si="63"/>
        <v>23.055924684977725</v>
      </c>
      <c r="Q271" s="397">
        <f t="shared" si="59"/>
        <v>-23.055924684977725</v>
      </c>
      <c r="R271" s="398">
        <f t="shared" si="64"/>
        <v>3404.942134018745</v>
      </c>
      <c r="S271" s="399">
        <f>INDEX(LIBOR!$M$3:$M$122,MATCH(L271,LIBOR!$N$3:$N$122))</f>
        <v>3.2809699999999997E-2</v>
      </c>
      <c r="T271" s="400">
        <f t="shared" si="65"/>
        <v>8.1809699999999999E-2</v>
      </c>
    </row>
    <row r="272" spans="2:20">
      <c r="B272" s="396">
        <f t="shared" si="66"/>
        <v>54209</v>
      </c>
      <c r="C272" s="357">
        <f t="shared" si="67"/>
        <v>383</v>
      </c>
      <c r="D272" s="397" t="e">
        <f>INDEX('Monthly Cash Flow'!$L$160:$GT$160, MATCH(C272, 'Monthly Cash Flow'!$L$13:$GT$13, 0))</f>
        <v>#N/A</v>
      </c>
      <c r="E272" s="397">
        <f t="shared" ca="1" si="56"/>
        <v>0</v>
      </c>
      <c r="F272" s="397" t="e">
        <f t="shared" si="60"/>
        <v>#N/A</v>
      </c>
      <c r="G272" s="397" t="e">
        <f t="shared" ca="1" si="57"/>
        <v>#N/A</v>
      </c>
      <c r="H272" s="398" t="e">
        <f t="shared" ca="1" si="61"/>
        <v>#N/A</v>
      </c>
      <c r="I272" s="399">
        <f>MAX($J$5, INDEX(LIBOR!$M$3:$M$122,MATCH(B272,LIBOR!$N$3:$N$122)))</f>
        <v>5.1999999999999998E-2</v>
      </c>
      <c r="J272" s="400">
        <f t="shared" si="62"/>
        <v>0.10100000000000001</v>
      </c>
      <c r="L272" s="392">
        <f t="shared" si="68"/>
        <v>52412</v>
      </c>
      <c r="M272" s="357">
        <f t="shared" si="69"/>
        <v>324</v>
      </c>
      <c r="N272" s="397">
        <v>3353.9040095379501</v>
      </c>
      <c r="O272" s="397">
        <f t="shared" si="58"/>
        <v>0</v>
      </c>
      <c r="P272" s="397">
        <f t="shared" si="63"/>
        <v>22.865156737424737</v>
      </c>
      <c r="Q272" s="397">
        <f t="shared" si="59"/>
        <v>-22.865156737424737</v>
      </c>
      <c r="R272" s="398">
        <f t="shared" si="64"/>
        <v>3376.7691662753746</v>
      </c>
      <c r="S272" s="399">
        <f>INDEX(LIBOR!$M$3:$M$122,MATCH(L272,LIBOR!$N$3:$N$122))</f>
        <v>3.2809699999999997E-2</v>
      </c>
      <c r="T272" s="400">
        <f t="shared" si="65"/>
        <v>8.1809699999999999E-2</v>
      </c>
    </row>
    <row r="273" spans="2:20">
      <c r="B273" s="396">
        <f t="shared" si="66"/>
        <v>54239</v>
      </c>
      <c r="C273" s="357">
        <f t="shared" si="67"/>
        <v>384</v>
      </c>
      <c r="D273" s="397" t="e">
        <f>INDEX('Monthly Cash Flow'!$L$160:$GT$160, MATCH(C273, 'Monthly Cash Flow'!$L$13:$GT$13, 0))</f>
        <v>#N/A</v>
      </c>
      <c r="E273" s="397">
        <f t="shared" ca="1" si="56"/>
        <v>0</v>
      </c>
      <c r="F273" s="397" t="e">
        <f t="shared" si="60"/>
        <v>#N/A</v>
      </c>
      <c r="G273" s="397" t="e">
        <f t="shared" ca="1" si="57"/>
        <v>#N/A</v>
      </c>
      <c r="H273" s="398" t="e">
        <f t="shared" ca="1" si="61"/>
        <v>#N/A</v>
      </c>
      <c r="I273" s="399">
        <f>MAX($J$5, INDEX(LIBOR!$M$3:$M$122,MATCH(B273,LIBOR!$N$3:$N$122)))</f>
        <v>5.1999999999999998E-2</v>
      </c>
      <c r="J273" s="400">
        <f t="shared" si="62"/>
        <v>0.10100000000000001</v>
      </c>
      <c r="L273" s="392">
        <f t="shared" si="68"/>
        <v>52443</v>
      </c>
      <c r="M273" s="357">
        <f t="shared" si="69"/>
        <v>325</v>
      </c>
      <c r="N273" s="397">
        <v>3325.7943571180576</v>
      </c>
      <c r="O273" s="397">
        <f t="shared" si="58"/>
        <v>0</v>
      </c>
      <c r="P273" s="397">
        <f t="shared" si="63"/>
        <v>22.673519884793432</v>
      </c>
      <c r="Q273" s="397">
        <f t="shared" si="59"/>
        <v>-22.673519884793432</v>
      </c>
      <c r="R273" s="398">
        <f t="shared" si="64"/>
        <v>3348.4678770028509</v>
      </c>
      <c r="S273" s="399">
        <f>INDEX(LIBOR!$M$3:$M$122,MATCH(L273,LIBOR!$N$3:$N$122))</f>
        <v>3.2809699999999997E-2</v>
      </c>
      <c r="T273" s="400">
        <f t="shared" si="65"/>
        <v>8.1809699999999999E-2</v>
      </c>
    </row>
    <row r="274" spans="2:20">
      <c r="B274" s="396">
        <f t="shared" si="66"/>
        <v>54270</v>
      </c>
      <c r="C274" s="357">
        <f t="shared" si="67"/>
        <v>385</v>
      </c>
      <c r="D274" s="397" t="e">
        <f>INDEX('Monthly Cash Flow'!$L$160:$GT$160, MATCH(C274, 'Monthly Cash Flow'!$L$13:$GT$13, 0))</f>
        <v>#N/A</v>
      </c>
      <c r="E274" s="397">
        <f t="shared" ca="1" si="56"/>
        <v>0</v>
      </c>
      <c r="F274" s="397" t="e">
        <f t="shared" si="60"/>
        <v>#N/A</v>
      </c>
      <c r="G274" s="397" t="e">
        <f t="shared" ca="1" si="57"/>
        <v>#N/A</v>
      </c>
      <c r="H274" s="398" t="e">
        <f t="shared" ca="1" si="61"/>
        <v>#N/A</v>
      </c>
      <c r="I274" s="399">
        <f>MAX($J$5, INDEX(LIBOR!$M$3:$M$122,MATCH(B274,LIBOR!$N$3:$N$122)))</f>
        <v>5.1999999999999998E-2</v>
      </c>
      <c r="J274" s="400">
        <f t="shared" si="62"/>
        <v>0.10100000000000001</v>
      </c>
      <c r="L274" s="392">
        <f t="shared" si="68"/>
        <v>52474</v>
      </c>
      <c r="M274" s="357">
        <f t="shared" si="69"/>
        <v>326</v>
      </c>
      <c r="N274" s="397">
        <v>3297.5566715560644</v>
      </c>
      <c r="O274" s="397">
        <f t="shared" si="58"/>
        <v>0</v>
      </c>
      <c r="P274" s="397">
        <f t="shared" si="63"/>
        <v>22.481010169416681</v>
      </c>
      <c r="Q274" s="397">
        <f t="shared" si="59"/>
        <v>-22.481010169416681</v>
      </c>
      <c r="R274" s="398">
        <f t="shared" si="64"/>
        <v>3320.037681725481</v>
      </c>
      <c r="S274" s="399">
        <f>INDEX(LIBOR!$M$3:$M$122,MATCH(L274,LIBOR!$N$3:$N$122))</f>
        <v>3.2809699999999997E-2</v>
      </c>
      <c r="T274" s="400">
        <f t="shared" si="65"/>
        <v>8.1809699999999999E-2</v>
      </c>
    </row>
    <row r="275" spans="2:20">
      <c r="B275" s="396">
        <f t="shared" si="66"/>
        <v>54301</v>
      </c>
      <c r="C275" s="357">
        <f t="shared" si="67"/>
        <v>386</v>
      </c>
      <c r="D275" s="397" t="e">
        <f>INDEX('Monthly Cash Flow'!$L$160:$GT$160, MATCH(C275, 'Monthly Cash Flow'!$L$13:$GT$13, 0))</f>
        <v>#N/A</v>
      </c>
      <c r="E275" s="397">
        <f t="shared" ca="1" si="56"/>
        <v>0</v>
      </c>
      <c r="F275" s="397" t="e">
        <f t="shared" si="60"/>
        <v>#N/A</v>
      </c>
      <c r="G275" s="397" t="e">
        <f t="shared" ca="1" si="57"/>
        <v>#N/A</v>
      </c>
      <c r="H275" s="398" t="e">
        <f t="shared" ca="1" si="61"/>
        <v>#N/A</v>
      </c>
      <c r="I275" s="399">
        <f>MAX($J$5, INDEX(LIBOR!$M$3:$M$122,MATCH(B275,LIBOR!$N$3:$N$122)))</f>
        <v>5.1999999999999998E-2</v>
      </c>
      <c r="J275" s="400">
        <f t="shared" si="62"/>
        <v>0.10100000000000001</v>
      </c>
      <c r="L275" s="392">
        <f t="shared" si="68"/>
        <v>52504</v>
      </c>
      <c r="M275" s="357">
        <f t="shared" si="69"/>
        <v>327</v>
      </c>
      <c r="N275" s="397">
        <v>3269.1903696898153</v>
      </c>
      <c r="O275" s="397">
        <f t="shared" si="58"/>
        <v>0</v>
      </c>
      <c r="P275" s="397">
        <f t="shared" si="63"/>
        <v>22.287623615601074</v>
      </c>
      <c r="Q275" s="397">
        <f t="shared" si="59"/>
        <v>-22.287623615601074</v>
      </c>
      <c r="R275" s="398">
        <f t="shared" si="64"/>
        <v>3291.4779933054165</v>
      </c>
      <c r="S275" s="399">
        <f>INDEX(LIBOR!$M$3:$M$122,MATCH(L275,LIBOR!$N$3:$N$122))</f>
        <v>3.2809699999999997E-2</v>
      </c>
      <c r="T275" s="400">
        <f t="shared" si="65"/>
        <v>8.1809699999999999E-2</v>
      </c>
    </row>
    <row r="276" spans="2:20">
      <c r="B276" s="396">
        <f t="shared" si="66"/>
        <v>54331</v>
      </c>
      <c r="C276" s="357">
        <f t="shared" si="67"/>
        <v>387</v>
      </c>
      <c r="D276" s="397" t="e">
        <f>INDEX('Monthly Cash Flow'!$L$160:$GT$160, MATCH(C276, 'Monthly Cash Flow'!$L$13:$GT$13, 0))</f>
        <v>#N/A</v>
      </c>
      <c r="E276" s="397">
        <f t="shared" ca="1" si="56"/>
        <v>0</v>
      </c>
      <c r="F276" s="397" t="e">
        <f t="shared" si="60"/>
        <v>#N/A</v>
      </c>
      <c r="G276" s="397" t="e">
        <f t="shared" ca="1" si="57"/>
        <v>#N/A</v>
      </c>
      <c r="H276" s="398" t="e">
        <f t="shared" ca="1" si="61"/>
        <v>#N/A</v>
      </c>
      <c r="I276" s="399">
        <f>MAX($J$5, INDEX(LIBOR!$M$3:$M$122,MATCH(B276,LIBOR!$N$3:$N$122)))</f>
        <v>5.1999999999999998E-2</v>
      </c>
      <c r="J276" s="400">
        <f t="shared" si="62"/>
        <v>0.10100000000000001</v>
      </c>
      <c r="L276" s="392">
        <f t="shared" si="68"/>
        <v>52535</v>
      </c>
      <c r="M276" s="357">
        <f t="shared" si="69"/>
        <v>328</v>
      </c>
      <c r="N276" s="397">
        <v>3240.6948657009834</v>
      </c>
      <c r="O276" s="397">
        <f t="shared" si="58"/>
        <v>0</v>
      </c>
      <c r="P276" s="397">
        <f t="shared" si="63"/>
        <v>22.09335622954481</v>
      </c>
      <c r="Q276" s="397">
        <f t="shared" si="59"/>
        <v>-22.09335622954481</v>
      </c>
      <c r="R276" s="398">
        <f t="shared" si="64"/>
        <v>3262.7882219305284</v>
      </c>
      <c r="S276" s="399">
        <f>INDEX(LIBOR!$M$3:$M$122,MATCH(L276,LIBOR!$N$3:$N$122))</f>
        <v>3.2809699999999997E-2</v>
      </c>
      <c r="T276" s="400">
        <f t="shared" si="65"/>
        <v>8.1809699999999999E-2</v>
      </c>
    </row>
    <row r="277" spans="2:20">
      <c r="B277" s="396">
        <f t="shared" si="66"/>
        <v>54362</v>
      </c>
      <c r="C277" s="357">
        <f t="shared" si="67"/>
        <v>388</v>
      </c>
      <c r="D277" s="397" t="e">
        <f>INDEX('Monthly Cash Flow'!$L$160:$GT$160, MATCH(C277, 'Monthly Cash Flow'!$L$13:$GT$13, 0))</f>
        <v>#N/A</v>
      </c>
      <c r="E277" s="397">
        <f t="shared" ca="1" si="56"/>
        <v>0</v>
      </c>
      <c r="F277" s="397" t="e">
        <f t="shared" si="60"/>
        <v>#N/A</v>
      </c>
      <c r="G277" s="397" t="e">
        <f t="shared" ca="1" si="57"/>
        <v>#N/A</v>
      </c>
      <c r="H277" s="398" t="e">
        <f t="shared" ca="1" si="61"/>
        <v>#N/A</v>
      </c>
      <c r="I277" s="399">
        <f>MAX($J$5, INDEX(LIBOR!$M$3:$M$122,MATCH(B277,LIBOR!$N$3:$N$122)))</f>
        <v>5.1999999999999998E-2</v>
      </c>
      <c r="J277" s="400">
        <f t="shared" si="62"/>
        <v>0.10100000000000001</v>
      </c>
      <c r="L277" s="392">
        <f t="shared" si="68"/>
        <v>52565</v>
      </c>
      <c r="M277" s="357">
        <f t="shared" si="69"/>
        <v>329</v>
      </c>
      <c r="N277" s="397">
        <v>3212.0695711029707</v>
      </c>
      <c r="O277" s="397">
        <f t="shared" si="58"/>
        <v>0</v>
      </c>
      <c r="P277" s="397">
        <f t="shared" si="63"/>
        <v>21.898203999255227</v>
      </c>
      <c r="Q277" s="397">
        <f t="shared" si="59"/>
        <v>-21.898203999255227</v>
      </c>
      <c r="R277" s="398">
        <f t="shared" si="64"/>
        <v>3233.9677751022259</v>
      </c>
      <c r="S277" s="399">
        <f>INDEX(LIBOR!$M$3:$M$122,MATCH(L277,LIBOR!$N$3:$N$122))</f>
        <v>3.2809699999999997E-2</v>
      </c>
      <c r="T277" s="400">
        <f t="shared" si="65"/>
        <v>8.1809699999999999E-2</v>
      </c>
    </row>
    <row r="278" spans="2:20">
      <c r="B278" s="396">
        <f t="shared" si="66"/>
        <v>54392</v>
      </c>
      <c r="C278" s="357">
        <f t="shared" si="67"/>
        <v>389</v>
      </c>
      <c r="D278" s="397" t="e">
        <f>INDEX('Monthly Cash Flow'!$L$160:$GT$160, MATCH(C278, 'Monthly Cash Flow'!$L$13:$GT$13, 0))</f>
        <v>#N/A</v>
      </c>
      <c r="E278" s="397">
        <f t="shared" ca="1" si="56"/>
        <v>0</v>
      </c>
      <c r="F278" s="397" t="e">
        <f t="shared" si="60"/>
        <v>#N/A</v>
      </c>
      <c r="G278" s="397" t="e">
        <f t="shared" ca="1" si="57"/>
        <v>#N/A</v>
      </c>
      <c r="H278" s="398" t="e">
        <f t="shared" ca="1" si="61"/>
        <v>#N/A</v>
      </c>
      <c r="I278" s="399">
        <f>MAX($J$5, INDEX(LIBOR!$M$3:$M$122,MATCH(B278,LIBOR!$N$3:$N$122)))</f>
        <v>5.1999999999999998E-2</v>
      </c>
      <c r="J278" s="400">
        <f t="shared" si="62"/>
        <v>0.10100000000000001</v>
      </c>
      <c r="L278" s="392">
        <f t="shared" si="68"/>
        <v>52596</v>
      </c>
      <c r="M278" s="357">
        <f t="shared" si="69"/>
        <v>330</v>
      </c>
      <c r="N278" s="397">
        <v>3183.3138947287553</v>
      </c>
      <c r="O278" s="397">
        <f t="shared" si="58"/>
        <v>0</v>
      </c>
      <c r="P278" s="397">
        <f t="shared" si="63"/>
        <v>21.702162894465918</v>
      </c>
      <c r="Q278" s="397">
        <f t="shared" si="59"/>
        <v>-21.702162894465918</v>
      </c>
      <c r="R278" s="398">
        <f t="shared" si="64"/>
        <v>3205.0160576232211</v>
      </c>
      <c r="S278" s="399">
        <f>INDEX(LIBOR!$M$3:$M$122,MATCH(L278,LIBOR!$N$3:$N$122))</f>
        <v>3.2809699999999997E-2</v>
      </c>
      <c r="T278" s="400">
        <f t="shared" si="65"/>
        <v>8.1809699999999999E-2</v>
      </c>
    </row>
    <row r="279" spans="2:20">
      <c r="B279" s="396">
        <f t="shared" si="66"/>
        <v>54423</v>
      </c>
      <c r="C279" s="357">
        <f t="shared" si="67"/>
        <v>390</v>
      </c>
      <c r="D279" s="397" t="e">
        <f>INDEX('Monthly Cash Flow'!$L$160:$GT$160, MATCH(C279, 'Monthly Cash Flow'!$L$13:$GT$13, 0))</f>
        <v>#N/A</v>
      </c>
      <c r="E279" s="397">
        <f t="shared" ca="1" si="56"/>
        <v>0</v>
      </c>
      <c r="F279" s="397" t="e">
        <f t="shared" si="60"/>
        <v>#N/A</v>
      </c>
      <c r="G279" s="397" t="e">
        <f t="shared" ca="1" si="57"/>
        <v>#N/A</v>
      </c>
      <c r="H279" s="398" t="e">
        <f t="shared" ca="1" si="61"/>
        <v>#N/A</v>
      </c>
      <c r="I279" s="399">
        <f>MAX($J$5, INDEX(LIBOR!$M$3:$M$122,MATCH(B279,LIBOR!$N$3:$N$122)))</f>
        <v>5.1999999999999998E-2</v>
      </c>
      <c r="J279" s="400">
        <f t="shared" si="62"/>
        <v>0.10100000000000001</v>
      </c>
      <c r="L279" s="392">
        <f t="shared" si="68"/>
        <v>52627</v>
      </c>
      <c r="M279" s="357">
        <f t="shared" si="69"/>
        <v>331</v>
      </c>
      <c r="N279" s="397">
        <v>3154.4272427186825</v>
      </c>
      <c r="O279" s="397">
        <f t="shared" si="58"/>
        <v>0</v>
      </c>
      <c r="P279" s="397">
        <f t="shared" si="63"/>
        <v>21.505228866553551</v>
      </c>
      <c r="Q279" s="397">
        <f t="shared" si="59"/>
        <v>-21.505228866553551</v>
      </c>
      <c r="R279" s="398">
        <f t="shared" si="64"/>
        <v>3175.9324715852358</v>
      </c>
      <c r="S279" s="399">
        <f>INDEX(LIBOR!$M$3:$M$122,MATCH(L279,LIBOR!$N$3:$N$122))</f>
        <v>3.2809699999999997E-2</v>
      </c>
      <c r="T279" s="400">
        <f t="shared" si="65"/>
        <v>8.1809699999999999E-2</v>
      </c>
    </row>
    <row r="280" spans="2:20">
      <c r="B280" s="396">
        <f t="shared" si="66"/>
        <v>54454</v>
      </c>
      <c r="C280" s="357">
        <f t="shared" si="67"/>
        <v>391</v>
      </c>
      <c r="D280" s="397" t="e">
        <f>INDEX('Monthly Cash Flow'!$L$160:$GT$160, MATCH(C280, 'Monthly Cash Flow'!$L$13:$GT$13, 0))</f>
        <v>#N/A</v>
      </c>
      <c r="E280" s="397">
        <f t="shared" ca="1" si="56"/>
        <v>0</v>
      </c>
      <c r="F280" s="397" t="e">
        <f t="shared" si="60"/>
        <v>#N/A</v>
      </c>
      <c r="G280" s="397" t="e">
        <f t="shared" ca="1" si="57"/>
        <v>#N/A</v>
      </c>
      <c r="H280" s="398" t="e">
        <f t="shared" ca="1" si="61"/>
        <v>#N/A</v>
      </c>
      <c r="I280" s="399">
        <f>MAX($J$5, INDEX(LIBOR!$M$3:$M$122,MATCH(B280,LIBOR!$N$3:$N$122)))</f>
        <v>5.1999999999999998E-2</v>
      </c>
      <c r="J280" s="400">
        <f t="shared" si="62"/>
        <v>0.10100000000000001</v>
      </c>
      <c r="L280" s="392">
        <f t="shared" si="68"/>
        <v>52656</v>
      </c>
      <c r="M280" s="357">
        <f t="shared" si="69"/>
        <v>332</v>
      </c>
      <c r="N280" s="397">
        <v>3125.4090185082005</v>
      </c>
      <c r="O280" s="397">
        <f t="shared" si="58"/>
        <v>0</v>
      </c>
      <c r="P280" s="397">
        <f t="shared" si="63"/>
        <v>21.307397848454194</v>
      </c>
      <c r="Q280" s="397">
        <f t="shared" si="59"/>
        <v>-21.307397848454194</v>
      </c>
      <c r="R280" s="398">
        <f t="shared" si="64"/>
        <v>3146.7164163566545</v>
      </c>
      <c r="S280" s="399">
        <f>INDEX(LIBOR!$M$3:$M$122,MATCH(L280,LIBOR!$N$3:$N$122))</f>
        <v>3.2809699999999997E-2</v>
      </c>
      <c r="T280" s="400">
        <f t="shared" si="65"/>
        <v>8.1809699999999999E-2</v>
      </c>
    </row>
    <row r="281" spans="2:20">
      <c r="B281" s="396">
        <f t="shared" si="66"/>
        <v>54482</v>
      </c>
      <c r="C281" s="357">
        <f t="shared" si="67"/>
        <v>392</v>
      </c>
      <c r="D281" s="397" t="e">
        <f>INDEX('Monthly Cash Flow'!$L$160:$GT$160, MATCH(C281, 'Monthly Cash Flow'!$L$13:$GT$13, 0))</f>
        <v>#N/A</v>
      </c>
      <c r="E281" s="397">
        <f t="shared" ca="1" si="56"/>
        <v>0</v>
      </c>
      <c r="F281" s="397" t="e">
        <f t="shared" si="60"/>
        <v>#N/A</v>
      </c>
      <c r="G281" s="397" t="e">
        <f t="shared" ca="1" si="57"/>
        <v>#N/A</v>
      </c>
      <c r="H281" s="398" t="e">
        <f t="shared" ca="1" si="61"/>
        <v>#N/A</v>
      </c>
      <c r="I281" s="399">
        <f>MAX($J$5, INDEX(LIBOR!$M$3:$M$122,MATCH(B281,LIBOR!$N$3:$N$122)))</f>
        <v>5.1999999999999998E-2</v>
      </c>
      <c r="J281" s="400">
        <f t="shared" si="62"/>
        <v>0.10100000000000001</v>
      </c>
      <c r="L281" s="392">
        <f t="shared" si="68"/>
        <v>52687</v>
      </c>
      <c r="M281" s="357">
        <f t="shared" si="69"/>
        <v>333</v>
      </c>
      <c r="N281" s="397">
        <v>3096.2586228155401</v>
      </c>
      <c r="O281" s="397">
        <f t="shared" si="58"/>
        <v>0</v>
      </c>
      <c r="P281" s="397">
        <f t="shared" si="63"/>
        <v>21.108665754579373</v>
      </c>
      <c r="Q281" s="397">
        <f t="shared" si="59"/>
        <v>-21.108665754579373</v>
      </c>
      <c r="R281" s="398">
        <f t="shared" si="64"/>
        <v>3117.3672885701194</v>
      </c>
      <c r="S281" s="399">
        <f>INDEX(LIBOR!$M$3:$M$122,MATCH(L281,LIBOR!$N$3:$N$122))</f>
        <v>3.2809699999999997E-2</v>
      </c>
      <c r="T281" s="400">
        <f t="shared" si="65"/>
        <v>8.1809699999999999E-2</v>
      </c>
    </row>
    <row r="282" spans="2:20">
      <c r="B282" s="396">
        <f t="shared" si="66"/>
        <v>54513</v>
      </c>
      <c r="C282" s="357">
        <f t="shared" si="67"/>
        <v>393</v>
      </c>
      <c r="D282" s="397" t="e">
        <f>INDEX('Monthly Cash Flow'!$L$160:$GT$160, MATCH(C282, 'Monthly Cash Flow'!$L$13:$GT$13, 0))</f>
        <v>#N/A</v>
      </c>
      <c r="E282" s="397">
        <f t="shared" ca="1" si="56"/>
        <v>0</v>
      </c>
      <c r="F282" s="397" t="e">
        <f t="shared" si="60"/>
        <v>#N/A</v>
      </c>
      <c r="G282" s="397" t="e">
        <f t="shared" ca="1" si="57"/>
        <v>#N/A</v>
      </c>
      <c r="H282" s="398" t="e">
        <f t="shared" ca="1" si="61"/>
        <v>#N/A</v>
      </c>
      <c r="I282" s="399">
        <f>MAX($J$5, INDEX(LIBOR!$M$3:$M$122,MATCH(B282,LIBOR!$N$3:$N$122)))</f>
        <v>5.1999999999999998E-2</v>
      </c>
      <c r="J282" s="400">
        <f t="shared" si="62"/>
        <v>0.10100000000000001</v>
      </c>
      <c r="L282" s="392">
        <f t="shared" si="68"/>
        <v>52717</v>
      </c>
      <c r="M282" s="357">
        <f t="shared" si="69"/>
        <v>334</v>
      </c>
      <c r="N282" s="397">
        <v>3066.975453629339</v>
      </c>
      <c r="O282" s="397">
        <f t="shared" si="58"/>
        <v>0</v>
      </c>
      <c r="P282" s="397">
        <f t="shared" si="63"/>
        <v>20.909028480731678</v>
      </c>
      <c r="Q282" s="397">
        <f t="shared" si="59"/>
        <v>-20.909028480731678</v>
      </c>
      <c r="R282" s="398">
        <f t="shared" si="64"/>
        <v>3087.8844821100706</v>
      </c>
      <c r="S282" s="399">
        <f>INDEX(LIBOR!$M$3:$M$122,MATCH(L282,LIBOR!$N$3:$N$122))</f>
        <v>3.2809699999999997E-2</v>
      </c>
      <c r="T282" s="400">
        <f t="shared" si="65"/>
        <v>8.1809699999999999E-2</v>
      </c>
    </row>
    <row r="283" spans="2:20">
      <c r="B283" s="396">
        <f t="shared" si="66"/>
        <v>54543</v>
      </c>
      <c r="C283" s="357">
        <f t="shared" si="67"/>
        <v>394</v>
      </c>
      <c r="D283" s="397" t="e">
        <f>INDEX('Monthly Cash Flow'!$L$160:$GT$160, MATCH(C283, 'Monthly Cash Flow'!$L$13:$GT$13, 0))</f>
        <v>#N/A</v>
      </c>
      <c r="E283" s="397">
        <f t="shared" ca="1" si="56"/>
        <v>0</v>
      </c>
      <c r="F283" s="397" t="e">
        <f t="shared" si="60"/>
        <v>#N/A</v>
      </c>
      <c r="G283" s="397" t="e">
        <f t="shared" ca="1" si="57"/>
        <v>#N/A</v>
      </c>
      <c r="H283" s="398" t="e">
        <f t="shared" ca="1" si="61"/>
        <v>#N/A</v>
      </c>
      <c r="I283" s="399">
        <f>MAX($J$5, INDEX(LIBOR!$M$3:$M$122,MATCH(B283,LIBOR!$N$3:$N$122)))</f>
        <v>5.1999999999999998E-2</v>
      </c>
      <c r="J283" s="400">
        <f t="shared" si="62"/>
        <v>0.10100000000000001</v>
      </c>
      <c r="L283" s="392">
        <f t="shared" si="68"/>
        <v>52748</v>
      </c>
      <c r="M283" s="357">
        <f t="shared" si="69"/>
        <v>335</v>
      </c>
      <c r="N283" s="397">
        <v>3037.5589061962078</v>
      </c>
      <c r="O283" s="397">
        <f t="shared" si="58"/>
        <v>0</v>
      </c>
      <c r="P283" s="397">
        <f t="shared" si="63"/>
        <v>20.70848190401999</v>
      </c>
      <c r="Q283" s="397">
        <f t="shared" si="59"/>
        <v>-20.70848190401999</v>
      </c>
      <c r="R283" s="398">
        <f t="shared" si="64"/>
        <v>3058.2673881002279</v>
      </c>
      <c r="S283" s="399">
        <f>INDEX(LIBOR!$M$3:$M$122,MATCH(L283,LIBOR!$N$3:$N$122))</f>
        <v>3.2809699999999997E-2</v>
      </c>
      <c r="T283" s="400">
        <f t="shared" si="65"/>
        <v>8.1809699999999999E-2</v>
      </c>
    </row>
    <row r="284" spans="2:20">
      <c r="B284" s="396">
        <f t="shared" si="66"/>
        <v>54574</v>
      </c>
      <c r="C284" s="357">
        <f t="shared" si="67"/>
        <v>395</v>
      </c>
      <c r="D284" s="397" t="e">
        <f>INDEX('Monthly Cash Flow'!$L$160:$GT$160, MATCH(C284, 'Monthly Cash Flow'!$L$13:$GT$13, 0))</f>
        <v>#N/A</v>
      </c>
      <c r="E284" s="397">
        <f t="shared" ca="1" si="56"/>
        <v>0</v>
      </c>
      <c r="F284" s="397" t="e">
        <f t="shared" si="60"/>
        <v>#N/A</v>
      </c>
      <c r="G284" s="397" t="e">
        <f t="shared" ca="1" si="57"/>
        <v>#N/A</v>
      </c>
      <c r="H284" s="398" t="e">
        <f t="shared" ca="1" si="61"/>
        <v>#N/A</v>
      </c>
      <c r="I284" s="399">
        <f>MAX($J$5, INDEX(LIBOR!$M$3:$M$122,MATCH(B284,LIBOR!$N$3:$N$122)))</f>
        <v>5.1999999999999998E-2</v>
      </c>
      <c r="J284" s="400">
        <f t="shared" si="62"/>
        <v>0.10100000000000001</v>
      </c>
      <c r="L284" s="392">
        <f t="shared" si="68"/>
        <v>52778</v>
      </c>
      <c r="M284" s="357">
        <f t="shared" si="69"/>
        <v>336</v>
      </c>
      <c r="N284" s="397">
        <v>3008.008373008242</v>
      </c>
      <c r="O284" s="397">
        <f t="shared" si="58"/>
        <v>0</v>
      </c>
      <c r="P284" s="397">
        <f t="shared" si="63"/>
        <v>20.507021882774364</v>
      </c>
      <c r="Q284" s="397">
        <f t="shared" si="59"/>
        <v>-20.507021882774364</v>
      </c>
      <c r="R284" s="398">
        <f t="shared" si="64"/>
        <v>3028.5153948910165</v>
      </c>
      <c r="S284" s="399">
        <f>INDEX(LIBOR!$M$3:$M$122,MATCH(L284,LIBOR!$N$3:$N$122))</f>
        <v>3.2809699999999997E-2</v>
      </c>
      <c r="T284" s="400">
        <f t="shared" si="65"/>
        <v>8.1809699999999999E-2</v>
      </c>
    </row>
    <row r="285" spans="2:20">
      <c r="B285" s="396">
        <f t="shared" si="66"/>
        <v>54604</v>
      </c>
      <c r="C285" s="357">
        <f t="shared" si="67"/>
        <v>396</v>
      </c>
      <c r="D285" s="397" t="e">
        <f>INDEX('Monthly Cash Flow'!$L$160:$GT$160, MATCH(C285, 'Monthly Cash Flow'!$L$13:$GT$13, 0))</f>
        <v>#N/A</v>
      </c>
      <c r="E285" s="397">
        <f t="shared" ca="1" si="56"/>
        <v>0</v>
      </c>
      <c r="F285" s="397" t="e">
        <f t="shared" si="60"/>
        <v>#N/A</v>
      </c>
      <c r="G285" s="397" t="e">
        <f t="shared" ca="1" si="57"/>
        <v>#N/A</v>
      </c>
      <c r="H285" s="398" t="e">
        <f t="shared" ca="1" si="61"/>
        <v>#N/A</v>
      </c>
      <c r="I285" s="399">
        <f>MAX($J$5, INDEX(LIBOR!$M$3:$M$122,MATCH(B285,LIBOR!$N$3:$N$122)))</f>
        <v>5.1999999999999998E-2</v>
      </c>
      <c r="J285" s="400">
        <f t="shared" si="62"/>
        <v>0.10100000000000001</v>
      </c>
      <c r="L285" s="392">
        <f t="shared" si="68"/>
        <v>52809</v>
      </c>
      <c r="M285" s="357">
        <f t="shared" si="69"/>
        <v>337</v>
      </c>
      <c r="N285" s="397">
        <v>2978.3232437904749</v>
      </c>
      <c r="O285" s="397">
        <f t="shared" si="58"/>
        <v>0</v>
      </c>
      <c r="P285" s="397">
        <f t="shared" si="63"/>
        <v>20.304644256460467</v>
      </c>
      <c r="Q285" s="397">
        <f t="shared" si="59"/>
        <v>-20.304644256460467</v>
      </c>
      <c r="R285" s="398">
        <f t="shared" si="64"/>
        <v>2998.6278880469354</v>
      </c>
      <c r="S285" s="399">
        <f>INDEX(LIBOR!$M$3:$M$122,MATCH(L285,LIBOR!$N$3:$N$122))</f>
        <v>3.2809699999999997E-2</v>
      </c>
      <c r="T285" s="400">
        <f t="shared" si="65"/>
        <v>8.1809699999999999E-2</v>
      </c>
    </row>
    <row r="286" spans="2:20">
      <c r="B286" s="396">
        <f t="shared" si="66"/>
        <v>54635</v>
      </c>
      <c r="C286" s="357">
        <f t="shared" si="67"/>
        <v>397</v>
      </c>
      <c r="D286" s="397" t="e">
        <f>INDEX('Monthly Cash Flow'!$L$160:$GT$160, MATCH(C286, 'Monthly Cash Flow'!$L$13:$GT$13, 0))</f>
        <v>#N/A</v>
      </c>
      <c r="E286" s="397">
        <f t="shared" ca="1" si="56"/>
        <v>0</v>
      </c>
      <c r="F286" s="397" t="e">
        <f t="shared" si="60"/>
        <v>#N/A</v>
      </c>
      <c r="G286" s="397" t="e">
        <f t="shared" ca="1" si="57"/>
        <v>#N/A</v>
      </c>
      <c r="H286" s="398" t="e">
        <f t="shared" ca="1" si="61"/>
        <v>#N/A</v>
      </c>
      <c r="I286" s="399">
        <f>MAX($J$5, INDEX(LIBOR!$M$3:$M$122,MATCH(B286,LIBOR!$N$3:$N$122)))</f>
        <v>5.1999999999999998E-2</v>
      </c>
      <c r="J286" s="400">
        <f t="shared" si="62"/>
        <v>0.10100000000000001</v>
      </c>
      <c r="L286" s="392">
        <f t="shared" si="68"/>
        <v>52840</v>
      </c>
      <c r="M286" s="357">
        <f t="shared" si="69"/>
        <v>338</v>
      </c>
      <c r="N286" s="397">
        <v>2948.5029054882748</v>
      </c>
      <c r="O286" s="397">
        <f t="shared" si="58"/>
        <v>0</v>
      </c>
      <c r="P286" s="397">
        <f t="shared" si="63"/>
        <v>20.101344845593676</v>
      </c>
      <c r="Q286" s="397">
        <f t="shared" si="59"/>
        <v>-20.101344845593676</v>
      </c>
      <c r="R286" s="398">
        <f t="shared" si="64"/>
        <v>2968.6042503338685</v>
      </c>
      <c r="S286" s="399">
        <f>INDEX(LIBOR!$M$3:$M$122,MATCH(L286,LIBOR!$N$3:$N$122))</f>
        <v>3.2809699999999997E-2</v>
      </c>
      <c r="T286" s="400">
        <f t="shared" si="65"/>
        <v>8.1809699999999999E-2</v>
      </c>
    </row>
    <row r="287" spans="2:20">
      <c r="B287" s="396">
        <f t="shared" si="66"/>
        <v>54666</v>
      </c>
      <c r="C287" s="357">
        <f t="shared" si="67"/>
        <v>398</v>
      </c>
      <c r="D287" s="397" t="e">
        <f>INDEX('Monthly Cash Flow'!$L$160:$GT$160, MATCH(C287, 'Monthly Cash Flow'!$L$13:$GT$13, 0))</f>
        <v>#N/A</v>
      </c>
      <c r="E287" s="397">
        <f t="shared" ca="1" si="56"/>
        <v>0</v>
      </c>
      <c r="F287" s="397" t="e">
        <f t="shared" si="60"/>
        <v>#N/A</v>
      </c>
      <c r="G287" s="397" t="e">
        <f t="shared" ca="1" si="57"/>
        <v>#N/A</v>
      </c>
      <c r="H287" s="398" t="e">
        <f t="shared" ca="1" si="61"/>
        <v>#N/A</v>
      </c>
      <c r="I287" s="399">
        <f>MAX($J$5, INDEX(LIBOR!$M$3:$M$122,MATCH(B287,LIBOR!$N$3:$N$122)))</f>
        <v>5.1999999999999998E-2</v>
      </c>
      <c r="J287" s="400">
        <f t="shared" si="62"/>
        <v>0.10100000000000001</v>
      </c>
      <c r="L287" s="392">
        <f t="shared" si="68"/>
        <v>52870</v>
      </c>
      <c r="M287" s="357">
        <f t="shared" si="69"/>
        <v>339</v>
      </c>
      <c r="N287" s="397">
        <v>2918.5467422546844</v>
      </c>
      <c r="O287" s="397">
        <f t="shared" si="58"/>
        <v>0</v>
      </c>
      <c r="P287" s="397">
        <f t="shared" si="63"/>
        <v>19.897119451652753</v>
      </c>
      <c r="Q287" s="397">
        <f t="shared" si="59"/>
        <v>-19.897119451652753</v>
      </c>
      <c r="R287" s="398">
        <f t="shared" si="64"/>
        <v>2938.443861706337</v>
      </c>
      <c r="S287" s="399">
        <f>INDEX(LIBOR!$M$3:$M$122,MATCH(L287,LIBOR!$N$3:$N$122))</f>
        <v>3.2809699999999997E-2</v>
      </c>
      <c r="T287" s="400">
        <f t="shared" si="65"/>
        <v>8.1809699999999999E-2</v>
      </c>
    </row>
    <row r="288" spans="2:20">
      <c r="B288" s="396">
        <f t="shared" si="66"/>
        <v>54696</v>
      </c>
      <c r="C288" s="357">
        <f t="shared" si="67"/>
        <v>399</v>
      </c>
      <c r="D288" s="397" t="e">
        <f>INDEX('Monthly Cash Flow'!$L$160:$GT$160, MATCH(C288, 'Monthly Cash Flow'!$L$13:$GT$13, 0))</f>
        <v>#N/A</v>
      </c>
      <c r="E288" s="397">
        <f t="shared" ca="1" si="56"/>
        <v>0</v>
      </c>
      <c r="F288" s="397" t="e">
        <f t="shared" si="60"/>
        <v>#N/A</v>
      </c>
      <c r="G288" s="397" t="e">
        <f t="shared" ca="1" si="57"/>
        <v>#N/A</v>
      </c>
      <c r="H288" s="398" t="e">
        <f t="shared" ca="1" si="61"/>
        <v>#N/A</v>
      </c>
      <c r="I288" s="399">
        <f>MAX($J$5, INDEX(LIBOR!$M$3:$M$122,MATCH(B288,LIBOR!$N$3:$N$122)))</f>
        <v>5.1999999999999998E-2</v>
      </c>
      <c r="J288" s="400">
        <f t="shared" si="62"/>
        <v>0.10100000000000001</v>
      </c>
      <c r="L288" s="392">
        <f t="shared" si="68"/>
        <v>52901</v>
      </c>
      <c r="M288" s="357">
        <f t="shared" si="69"/>
        <v>340</v>
      </c>
      <c r="N288" s="397">
        <v>2888.4541354377016</v>
      </c>
      <c r="O288" s="397">
        <f t="shared" si="58"/>
        <v>0</v>
      </c>
      <c r="P288" s="397">
        <f t="shared" si="63"/>
        <v>19.691963856993144</v>
      </c>
      <c r="Q288" s="397">
        <f t="shared" si="59"/>
        <v>-19.691963856993144</v>
      </c>
      <c r="R288" s="398">
        <f t="shared" si="64"/>
        <v>2908.1460992946945</v>
      </c>
      <c r="S288" s="399">
        <f>INDEX(LIBOR!$M$3:$M$122,MATCH(L288,LIBOR!$N$3:$N$122))</f>
        <v>3.2809699999999997E-2</v>
      </c>
      <c r="T288" s="400">
        <f t="shared" si="65"/>
        <v>8.1809699999999999E-2</v>
      </c>
    </row>
    <row r="289" spans="2:20">
      <c r="B289" s="396">
        <f t="shared" si="66"/>
        <v>54727</v>
      </c>
      <c r="C289" s="357">
        <f t="shared" si="67"/>
        <v>400</v>
      </c>
      <c r="D289" s="397" t="e">
        <f>INDEX('Monthly Cash Flow'!$L$160:$GT$160, MATCH(C289, 'Monthly Cash Flow'!$L$13:$GT$13, 0))</f>
        <v>#N/A</v>
      </c>
      <c r="E289" s="397">
        <f t="shared" ca="1" si="56"/>
        <v>0</v>
      </c>
      <c r="F289" s="397" t="e">
        <f t="shared" si="60"/>
        <v>#N/A</v>
      </c>
      <c r="G289" s="397" t="e">
        <f t="shared" ca="1" si="57"/>
        <v>#N/A</v>
      </c>
      <c r="H289" s="398" t="e">
        <f t="shared" ca="1" si="61"/>
        <v>#N/A</v>
      </c>
      <c r="I289" s="399">
        <f>MAX($J$5, INDEX(LIBOR!$M$3:$M$122,MATCH(B289,LIBOR!$N$3:$N$122)))</f>
        <v>5.1999999999999998E-2</v>
      </c>
      <c r="J289" s="400">
        <f t="shared" si="62"/>
        <v>0.10100000000000001</v>
      </c>
      <c r="L289" s="392">
        <f t="shared" si="68"/>
        <v>52931</v>
      </c>
      <c r="M289" s="357">
        <f t="shared" si="69"/>
        <v>341</v>
      </c>
      <c r="N289" s="397">
        <v>2858.2244635675038</v>
      </c>
      <c r="O289" s="397">
        <f t="shared" si="58"/>
        <v>0</v>
      </c>
      <c r="P289" s="397">
        <f t="shared" si="63"/>
        <v>19.485873824759867</v>
      </c>
      <c r="Q289" s="397">
        <f t="shared" si="59"/>
        <v>-19.485873824759867</v>
      </c>
      <c r="R289" s="398">
        <f t="shared" si="64"/>
        <v>2877.7103373922637</v>
      </c>
      <c r="S289" s="399">
        <f>INDEX(LIBOR!$M$3:$M$122,MATCH(L289,LIBOR!$N$3:$N$122))</f>
        <v>3.2809699999999997E-2</v>
      </c>
      <c r="T289" s="400">
        <f t="shared" si="65"/>
        <v>8.1809699999999999E-2</v>
      </c>
    </row>
    <row r="290" spans="2:20">
      <c r="B290" s="396">
        <f t="shared" si="66"/>
        <v>54757</v>
      </c>
      <c r="C290" s="357">
        <f t="shared" si="67"/>
        <v>401</v>
      </c>
      <c r="D290" s="397" t="e">
        <f>INDEX('Monthly Cash Flow'!$L$160:$GT$160, MATCH(C290, 'Monthly Cash Flow'!$L$13:$GT$13, 0))</f>
        <v>#N/A</v>
      </c>
      <c r="E290" s="397">
        <f t="shared" ca="1" si="56"/>
        <v>0</v>
      </c>
      <c r="F290" s="397" t="e">
        <f t="shared" si="60"/>
        <v>#N/A</v>
      </c>
      <c r="G290" s="397" t="e">
        <f t="shared" ca="1" si="57"/>
        <v>#N/A</v>
      </c>
      <c r="H290" s="398" t="e">
        <f t="shared" ca="1" si="61"/>
        <v>#N/A</v>
      </c>
      <c r="I290" s="399">
        <f>MAX($J$5, INDEX(LIBOR!$M$3:$M$122,MATCH(B290,LIBOR!$N$3:$N$122)))</f>
        <v>5.1999999999999998E-2</v>
      </c>
      <c r="J290" s="400">
        <f t="shared" si="62"/>
        <v>0.10100000000000001</v>
      </c>
      <c r="L290" s="392">
        <f t="shared" si="68"/>
        <v>52962</v>
      </c>
      <c r="M290" s="357">
        <f t="shared" si="69"/>
        <v>342</v>
      </c>
      <c r="N290" s="397">
        <v>2827.8571023436134</v>
      </c>
      <c r="O290" s="397">
        <f t="shared" si="58"/>
        <v>0</v>
      </c>
      <c r="P290" s="397">
        <f t="shared" si="63"/>
        <v>19.278845098800026</v>
      </c>
      <c r="Q290" s="397">
        <f t="shared" si="59"/>
        <v>-19.278845098800026</v>
      </c>
      <c r="R290" s="398">
        <f t="shared" si="64"/>
        <v>2847.1359474424135</v>
      </c>
      <c r="S290" s="399">
        <f>INDEX(LIBOR!$M$3:$M$122,MATCH(L290,LIBOR!$N$3:$N$122))</f>
        <v>3.2809699999999997E-2</v>
      </c>
      <c r="T290" s="400">
        <f t="shared" si="65"/>
        <v>8.1809699999999999E-2</v>
      </c>
    </row>
    <row r="291" spans="2:20">
      <c r="B291" s="396">
        <f t="shared" si="66"/>
        <v>54788</v>
      </c>
      <c r="C291" s="357">
        <f t="shared" si="67"/>
        <v>402</v>
      </c>
      <c r="D291" s="397" t="e">
        <f>INDEX('Monthly Cash Flow'!$L$160:$GT$160, MATCH(C291, 'Monthly Cash Flow'!$L$13:$GT$13, 0))</f>
        <v>#N/A</v>
      </c>
      <c r="E291" s="397">
        <f t="shared" ca="1" si="56"/>
        <v>0</v>
      </c>
      <c r="F291" s="397" t="e">
        <f t="shared" si="60"/>
        <v>#N/A</v>
      </c>
      <c r="G291" s="397" t="e">
        <f t="shared" ca="1" si="57"/>
        <v>#N/A</v>
      </c>
      <c r="H291" s="398" t="e">
        <f t="shared" ca="1" si="61"/>
        <v>#N/A</v>
      </c>
      <c r="I291" s="399">
        <f>MAX($J$5, INDEX(LIBOR!$M$3:$M$122,MATCH(B291,LIBOR!$N$3:$N$122)))</f>
        <v>5.1999999999999998E-2</v>
      </c>
      <c r="J291" s="400">
        <f t="shared" si="62"/>
        <v>0.10100000000000001</v>
      </c>
      <c r="L291" s="392">
        <f t="shared" si="68"/>
        <v>52993</v>
      </c>
      <c r="M291" s="357">
        <f t="shared" si="69"/>
        <v>343</v>
      </c>
      <c r="N291" s="397">
        <v>2797.3514246220047</v>
      </c>
      <c r="O291" s="397">
        <f t="shared" si="58"/>
        <v>0</v>
      </c>
      <c r="P291" s="397">
        <f t="shared" si="63"/>
        <v>19.070873403574904</v>
      </c>
      <c r="Q291" s="397">
        <f t="shared" si="59"/>
        <v>-19.070873403574904</v>
      </c>
      <c r="R291" s="398">
        <f t="shared" si="64"/>
        <v>2816.4222980255795</v>
      </c>
      <c r="S291" s="399">
        <f>INDEX(LIBOR!$M$3:$M$122,MATCH(L291,LIBOR!$N$3:$N$122))</f>
        <v>3.2809699999999997E-2</v>
      </c>
      <c r="T291" s="400">
        <f t="shared" si="65"/>
        <v>8.1809699999999999E-2</v>
      </c>
    </row>
    <row r="292" spans="2:20">
      <c r="B292" s="396">
        <f t="shared" si="66"/>
        <v>54819</v>
      </c>
      <c r="C292" s="357">
        <f t="shared" si="67"/>
        <v>403</v>
      </c>
      <c r="D292" s="397" t="e">
        <f>INDEX('Monthly Cash Flow'!$L$160:$GT$160, MATCH(C292, 'Monthly Cash Flow'!$L$13:$GT$13, 0))</f>
        <v>#N/A</v>
      </c>
      <c r="E292" s="397">
        <f t="shared" ca="1" si="56"/>
        <v>0</v>
      </c>
      <c r="F292" s="397" t="e">
        <f t="shared" si="60"/>
        <v>#N/A</v>
      </c>
      <c r="G292" s="397" t="e">
        <f t="shared" ca="1" si="57"/>
        <v>#N/A</v>
      </c>
      <c r="H292" s="398" t="e">
        <f t="shared" ca="1" si="61"/>
        <v>#N/A</v>
      </c>
      <c r="I292" s="399">
        <f>MAX($J$5, INDEX(LIBOR!$M$3:$M$122,MATCH(B292,LIBOR!$N$3:$N$122)))</f>
        <v>5.1999999999999998E-2</v>
      </c>
      <c r="J292" s="400">
        <f t="shared" si="62"/>
        <v>0.10100000000000001</v>
      </c>
      <c r="L292" s="392">
        <f t="shared" si="68"/>
        <v>53021</v>
      </c>
      <c r="M292" s="357">
        <f t="shared" si="69"/>
        <v>344</v>
      </c>
      <c r="N292" s="397">
        <v>2766.7068004021517</v>
      </c>
      <c r="O292" s="397">
        <f t="shared" si="58"/>
        <v>0</v>
      </c>
      <c r="P292" s="397">
        <f t="shared" si="63"/>
        <v>18.86195444407166</v>
      </c>
      <c r="Q292" s="397">
        <f t="shared" si="59"/>
        <v>-18.86195444407166</v>
      </c>
      <c r="R292" s="398">
        <f t="shared" si="64"/>
        <v>2785.5687548462233</v>
      </c>
      <c r="S292" s="399">
        <f>INDEX(LIBOR!$M$3:$M$122,MATCH(L292,LIBOR!$N$3:$N$122))</f>
        <v>3.2809699999999997E-2</v>
      </c>
      <c r="T292" s="400">
        <f t="shared" si="65"/>
        <v>8.1809699999999999E-2</v>
      </c>
    </row>
    <row r="293" spans="2:20">
      <c r="B293" s="396">
        <f t="shared" si="66"/>
        <v>54847</v>
      </c>
      <c r="C293" s="357">
        <f t="shared" si="67"/>
        <v>404</v>
      </c>
      <c r="D293" s="397" t="e">
        <f>INDEX('Monthly Cash Flow'!$L$160:$GT$160, MATCH(C293, 'Monthly Cash Flow'!$L$13:$GT$13, 0))</f>
        <v>#N/A</v>
      </c>
      <c r="E293" s="397">
        <f t="shared" ca="1" si="56"/>
        <v>0</v>
      </c>
      <c r="F293" s="397" t="e">
        <f t="shared" si="60"/>
        <v>#N/A</v>
      </c>
      <c r="G293" s="397" t="e">
        <f t="shared" ca="1" si="57"/>
        <v>#N/A</v>
      </c>
      <c r="H293" s="398" t="e">
        <f t="shared" ca="1" si="61"/>
        <v>#N/A</v>
      </c>
      <c r="I293" s="399">
        <f>MAX($J$5, INDEX(LIBOR!$M$3:$M$122,MATCH(B293,LIBOR!$N$3:$N$122)))</f>
        <v>5.1999999999999998E-2</v>
      </c>
      <c r="J293" s="400">
        <f t="shared" si="62"/>
        <v>0.10100000000000001</v>
      </c>
      <c r="L293" s="392">
        <f t="shared" si="68"/>
        <v>53052</v>
      </c>
      <c r="M293" s="357">
        <f t="shared" si="69"/>
        <v>345</v>
      </c>
      <c r="N293" s="397">
        <v>2735.9225968140177</v>
      </c>
      <c r="O293" s="397">
        <f t="shared" si="58"/>
        <v>0</v>
      </c>
      <c r="P293" s="397">
        <f t="shared" si="63"/>
        <v>18.652083905714644</v>
      </c>
      <c r="Q293" s="397">
        <f t="shared" si="59"/>
        <v>-18.652083905714644</v>
      </c>
      <c r="R293" s="398">
        <f t="shared" si="64"/>
        <v>2754.5746807197324</v>
      </c>
      <c r="S293" s="399">
        <f>INDEX(LIBOR!$M$3:$M$122,MATCH(L293,LIBOR!$N$3:$N$122))</f>
        <v>3.2809699999999997E-2</v>
      </c>
      <c r="T293" s="400">
        <f t="shared" si="65"/>
        <v>8.1809699999999999E-2</v>
      </c>
    </row>
    <row r="294" spans="2:20">
      <c r="B294" s="396">
        <f t="shared" si="66"/>
        <v>54878</v>
      </c>
      <c r="C294" s="357">
        <f t="shared" si="67"/>
        <v>405</v>
      </c>
      <c r="D294" s="397" t="e">
        <f>INDEX('Monthly Cash Flow'!$L$160:$GT$160, MATCH(C294, 'Monthly Cash Flow'!$L$13:$GT$13, 0))</f>
        <v>#N/A</v>
      </c>
      <c r="E294" s="397">
        <f t="shared" ca="1" si="56"/>
        <v>0</v>
      </c>
      <c r="F294" s="397" t="e">
        <f t="shared" si="60"/>
        <v>#N/A</v>
      </c>
      <c r="G294" s="397" t="e">
        <f t="shared" ca="1" si="57"/>
        <v>#N/A</v>
      </c>
      <c r="H294" s="398" t="e">
        <f t="shared" ca="1" si="61"/>
        <v>#N/A</v>
      </c>
      <c r="I294" s="399">
        <f>MAX($J$5, INDEX(LIBOR!$M$3:$M$122,MATCH(B294,LIBOR!$N$3:$N$122)))</f>
        <v>5.1999999999999998E-2</v>
      </c>
      <c r="J294" s="400">
        <f t="shared" si="62"/>
        <v>0.10100000000000001</v>
      </c>
      <c r="L294" s="392">
        <f t="shared" si="68"/>
        <v>53082</v>
      </c>
      <c r="M294" s="357">
        <f t="shared" si="69"/>
        <v>346</v>
      </c>
      <c r="N294" s="397">
        <v>2704.9981781049855</v>
      </c>
      <c r="O294" s="397">
        <f t="shared" si="58"/>
        <v>0</v>
      </c>
      <c r="P294" s="397">
        <f t="shared" si="63"/>
        <v>18.441257454276286</v>
      </c>
      <c r="Q294" s="397">
        <f t="shared" si="59"/>
        <v>-18.441257454276286</v>
      </c>
      <c r="R294" s="398">
        <f t="shared" si="64"/>
        <v>2723.4394355592617</v>
      </c>
      <c r="S294" s="399">
        <f>INDEX(LIBOR!$M$3:$M$122,MATCH(L294,LIBOR!$N$3:$N$122))</f>
        <v>3.2809699999999997E-2</v>
      </c>
      <c r="T294" s="400">
        <f t="shared" si="65"/>
        <v>8.1809699999999999E-2</v>
      </c>
    </row>
    <row r="295" spans="2:20">
      <c r="B295" s="396">
        <f t="shared" si="66"/>
        <v>54908</v>
      </c>
      <c r="C295" s="357">
        <f t="shared" si="67"/>
        <v>406</v>
      </c>
      <c r="D295" s="397" t="e">
        <f>INDEX('Monthly Cash Flow'!$L$160:$GT$160, MATCH(C295, 'Monthly Cash Flow'!$L$13:$GT$13, 0))</f>
        <v>#N/A</v>
      </c>
      <c r="E295" s="397">
        <f t="shared" ca="1" si="56"/>
        <v>0</v>
      </c>
      <c r="F295" s="397" t="e">
        <f t="shared" si="60"/>
        <v>#N/A</v>
      </c>
      <c r="G295" s="397" t="e">
        <f t="shared" ca="1" si="57"/>
        <v>#N/A</v>
      </c>
      <c r="H295" s="398" t="e">
        <f t="shared" ca="1" si="61"/>
        <v>#N/A</v>
      </c>
      <c r="I295" s="399">
        <f>MAX($J$5, INDEX(LIBOR!$M$3:$M$122,MATCH(B295,LIBOR!$N$3:$N$122)))</f>
        <v>5.1999999999999998E-2</v>
      </c>
      <c r="J295" s="400">
        <f t="shared" si="62"/>
        <v>0.10100000000000001</v>
      </c>
      <c r="L295" s="392">
        <f t="shared" si="68"/>
        <v>53113</v>
      </c>
      <c r="M295" s="357">
        <f t="shared" si="69"/>
        <v>347</v>
      </c>
      <c r="N295" s="397">
        <v>2673.9329056267279</v>
      </c>
      <c r="O295" s="397">
        <f t="shared" si="58"/>
        <v>0</v>
      </c>
      <c r="P295" s="397">
        <f t="shared" si="63"/>
        <v>18.229470735787576</v>
      </c>
      <c r="Q295" s="397">
        <f t="shared" si="59"/>
        <v>-18.229470735787576</v>
      </c>
      <c r="R295" s="398">
        <f t="shared" si="64"/>
        <v>2692.1623763625157</v>
      </c>
      <c r="S295" s="399">
        <f>INDEX(LIBOR!$M$3:$M$122,MATCH(L295,LIBOR!$N$3:$N$122))</f>
        <v>3.2809699999999997E-2</v>
      </c>
      <c r="T295" s="400">
        <f t="shared" si="65"/>
        <v>8.1809699999999999E-2</v>
      </c>
    </row>
    <row r="296" spans="2:20">
      <c r="B296" s="396">
        <f t="shared" si="66"/>
        <v>54939</v>
      </c>
      <c r="C296" s="357">
        <f t="shared" si="67"/>
        <v>407</v>
      </c>
      <c r="D296" s="397" t="e">
        <f>INDEX('Monthly Cash Flow'!$L$160:$GT$160, MATCH(C296, 'Monthly Cash Flow'!$L$13:$GT$13, 0))</f>
        <v>#N/A</v>
      </c>
      <c r="E296" s="397">
        <f t="shared" ca="1" si="56"/>
        <v>0</v>
      </c>
      <c r="F296" s="397" t="e">
        <f t="shared" si="60"/>
        <v>#N/A</v>
      </c>
      <c r="G296" s="397" t="e">
        <f t="shared" ca="1" si="57"/>
        <v>#N/A</v>
      </c>
      <c r="H296" s="398" t="e">
        <f t="shared" ca="1" si="61"/>
        <v>#N/A</v>
      </c>
      <c r="I296" s="399">
        <f>MAX($J$5, INDEX(LIBOR!$M$3:$M$122,MATCH(B296,LIBOR!$N$3:$N$122)))</f>
        <v>5.1999999999999998E-2</v>
      </c>
      <c r="J296" s="400">
        <f t="shared" si="62"/>
        <v>0.10100000000000001</v>
      </c>
      <c r="L296" s="392">
        <f t="shared" si="68"/>
        <v>53143</v>
      </c>
      <c r="M296" s="357">
        <f t="shared" si="69"/>
        <v>348</v>
      </c>
      <c r="N296" s="397">
        <v>2642.7261378220182</v>
      </c>
      <c r="O296" s="397">
        <f t="shared" si="58"/>
        <v>0</v>
      </c>
      <c r="P296" s="397">
        <f t="shared" si="63"/>
        <v>18.016719376448162</v>
      </c>
      <c r="Q296" s="397">
        <f t="shared" si="59"/>
        <v>-18.016719376448162</v>
      </c>
      <c r="R296" s="398">
        <f t="shared" si="64"/>
        <v>2660.7428571984665</v>
      </c>
      <c r="S296" s="399">
        <f>INDEX(LIBOR!$M$3:$M$122,MATCH(L296,LIBOR!$N$3:$N$122))</f>
        <v>3.2809699999999997E-2</v>
      </c>
      <c r="T296" s="400">
        <f t="shared" si="65"/>
        <v>8.1809699999999999E-2</v>
      </c>
    </row>
    <row r="297" spans="2:20">
      <c r="B297" s="396">
        <f t="shared" si="66"/>
        <v>54969</v>
      </c>
      <c r="C297" s="357">
        <f t="shared" si="67"/>
        <v>408</v>
      </c>
      <c r="D297" s="397" t="e">
        <f>INDEX('Monthly Cash Flow'!$L$160:$GT$160, MATCH(C297, 'Monthly Cash Flow'!$L$13:$GT$13, 0))</f>
        <v>#N/A</v>
      </c>
      <c r="E297" s="397">
        <f t="shared" ca="1" si="56"/>
        <v>0</v>
      </c>
      <c r="F297" s="397" t="e">
        <f t="shared" si="60"/>
        <v>#N/A</v>
      </c>
      <c r="G297" s="397" t="e">
        <f t="shared" ca="1" si="57"/>
        <v>#N/A</v>
      </c>
      <c r="H297" s="398" t="e">
        <f t="shared" ca="1" si="61"/>
        <v>#N/A</v>
      </c>
      <c r="I297" s="399">
        <f>MAX($J$5, INDEX(LIBOR!$M$3:$M$122,MATCH(B297,LIBOR!$N$3:$N$122)))</f>
        <v>5.1999999999999998E-2</v>
      </c>
      <c r="J297" s="400">
        <f t="shared" si="62"/>
        <v>0.10100000000000001</v>
      </c>
      <c r="L297" s="392">
        <f t="shared" si="68"/>
        <v>53174</v>
      </c>
      <c r="M297" s="357">
        <f t="shared" si="69"/>
        <v>349</v>
      </c>
      <c r="N297" s="397">
        <v>2611.3772302114808</v>
      </c>
      <c r="O297" s="397">
        <f t="shared" si="58"/>
        <v>0</v>
      </c>
      <c r="P297" s="397">
        <f t="shared" si="63"/>
        <v>17.802998982536014</v>
      </c>
      <c r="Q297" s="397">
        <f t="shared" si="59"/>
        <v>-17.802998982536014</v>
      </c>
      <c r="R297" s="398">
        <f t="shared" si="64"/>
        <v>2629.1802291940166</v>
      </c>
      <c r="S297" s="399">
        <f>INDEX(LIBOR!$M$3:$M$122,MATCH(L297,LIBOR!$N$3:$N$122))</f>
        <v>3.2809699999999997E-2</v>
      </c>
      <c r="T297" s="400">
        <f t="shared" si="65"/>
        <v>8.1809699999999999E-2</v>
      </c>
    </row>
    <row r="298" spans="2:20">
      <c r="B298" s="396">
        <f t="shared" si="66"/>
        <v>55000</v>
      </c>
      <c r="C298" s="357">
        <f t="shared" si="67"/>
        <v>409</v>
      </c>
      <c r="D298" s="397" t="e">
        <f>INDEX('Monthly Cash Flow'!$L$160:$GT$160, MATCH(C298, 'Monthly Cash Flow'!$L$13:$GT$13, 0))</f>
        <v>#N/A</v>
      </c>
      <c r="E298" s="397">
        <f t="shared" ca="1" si="56"/>
        <v>0</v>
      </c>
      <c r="F298" s="397" t="e">
        <f t="shared" si="60"/>
        <v>#N/A</v>
      </c>
      <c r="G298" s="397" t="e">
        <f t="shared" ca="1" si="57"/>
        <v>#N/A</v>
      </c>
      <c r="H298" s="398" t="e">
        <f t="shared" ca="1" si="61"/>
        <v>#N/A</v>
      </c>
      <c r="I298" s="399">
        <f>MAX($J$5, INDEX(LIBOR!$M$3:$M$122,MATCH(B298,LIBOR!$N$3:$N$122)))</f>
        <v>5.1999999999999998E-2</v>
      </c>
      <c r="J298" s="400">
        <f t="shared" si="62"/>
        <v>0.10100000000000001</v>
      </c>
      <c r="L298" s="392">
        <f t="shared" si="68"/>
        <v>53205</v>
      </c>
      <c r="M298" s="357">
        <f t="shared" si="69"/>
        <v>350</v>
      </c>
      <c r="N298" s="397">
        <v>2579.8855353802815</v>
      </c>
      <c r="O298" s="397">
        <f t="shared" si="58"/>
        <v>0</v>
      </c>
      <c r="P298" s="397">
        <f t="shared" si="63"/>
        <v>17.588305140316685</v>
      </c>
      <c r="Q298" s="397">
        <f t="shared" si="59"/>
        <v>-17.588305140316685</v>
      </c>
      <c r="R298" s="398">
        <f t="shared" si="64"/>
        <v>2597.4738405205981</v>
      </c>
      <c r="S298" s="399">
        <f>INDEX(LIBOR!$M$3:$M$122,MATCH(L298,LIBOR!$N$3:$N$122))</f>
        <v>3.2809699999999997E-2</v>
      </c>
      <c r="T298" s="400">
        <f t="shared" si="65"/>
        <v>8.1809699999999999E-2</v>
      </c>
    </row>
    <row r="299" spans="2:20">
      <c r="B299" s="396">
        <f t="shared" si="66"/>
        <v>55031</v>
      </c>
      <c r="C299" s="357">
        <f t="shared" si="67"/>
        <v>410</v>
      </c>
      <c r="D299" s="397" t="e">
        <f>INDEX('Monthly Cash Flow'!$L$160:$GT$160, MATCH(C299, 'Monthly Cash Flow'!$L$13:$GT$13, 0))</f>
        <v>#N/A</v>
      </c>
      <c r="E299" s="397">
        <f t="shared" ca="1" si="56"/>
        <v>0</v>
      </c>
      <c r="F299" s="397" t="e">
        <f t="shared" si="60"/>
        <v>#N/A</v>
      </c>
      <c r="G299" s="397" t="e">
        <f t="shared" ca="1" si="57"/>
        <v>#N/A</v>
      </c>
      <c r="H299" s="398" t="e">
        <f t="shared" ca="1" si="61"/>
        <v>#N/A</v>
      </c>
      <c r="I299" s="399">
        <f>MAX($J$5, INDEX(LIBOR!$M$3:$M$122,MATCH(B299,LIBOR!$N$3:$N$122)))</f>
        <v>5.1999999999999998E-2</v>
      </c>
      <c r="J299" s="400">
        <f t="shared" si="62"/>
        <v>0.10100000000000001</v>
      </c>
      <c r="L299" s="392">
        <f t="shared" si="68"/>
        <v>53235</v>
      </c>
      <c r="M299" s="357">
        <f t="shared" si="69"/>
        <v>351</v>
      </c>
      <c r="N299" s="397">
        <v>2548.2504029647575</v>
      </c>
      <c r="O299" s="397">
        <f t="shared" si="58"/>
        <v>0</v>
      </c>
      <c r="P299" s="397">
        <f t="shared" si="63"/>
        <v>17.372633415952162</v>
      </c>
      <c r="Q299" s="397">
        <f t="shared" si="59"/>
        <v>-17.372633415952162</v>
      </c>
      <c r="R299" s="398">
        <f t="shared" si="64"/>
        <v>2565.6230363807099</v>
      </c>
      <c r="S299" s="399">
        <f>INDEX(LIBOR!$M$3:$M$122,MATCH(L299,LIBOR!$N$3:$N$122))</f>
        <v>3.2809699999999997E-2</v>
      </c>
      <c r="T299" s="400">
        <f t="shared" si="65"/>
        <v>8.1809699999999999E-2</v>
      </c>
    </row>
    <row r="300" spans="2:20">
      <c r="B300" s="396">
        <f t="shared" si="66"/>
        <v>55061</v>
      </c>
      <c r="C300" s="357">
        <f t="shared" si="67"/>
        <v>411</v>
      </c>
      <c r="D300" s="397" t="e">
        <f>INDEX('Monthly Cash Flow'!$L$160:$GT$160, MATCH(C300, 'Monthly Cash Flow'!$L$13:$GT$13, 0))</f>
        <v>#N/A</v>
      </c>
      <c r="E300" s="397">
        <f t="shared" ca="1" si="56"/>
        <v>0</v>
      </c>
      <c r="F300" s="397" t="e">
        <f t="shared" si="60"/>
        <v>#N/A</v>
      </c>
      <c r="G300" s="397" t="e">
        <f t="shared" ca="1" si="57"/>
        <v>#N/A</v>
      </c>
      <c r="H300" s="398" t="e">
        <f t="shared" ca="1" si="61"/>
        <v>#N/A</v>
      </c>
      <c r="I300" s="399">
        <f>MAX($J$5, INDEX(LIBOR!$M$3:$M$122,MATCH(B300,LIBOR!$N$3:$N$122)))</f>
        <v>5.1999999999999998E-2</v>
      </c>
      <c r="J300" s="400">
        <f t="shared" si="62"/>
        <v>0.10100000000000001</v>
      </c>
      <c r="L300" s="392">
        <f t="shared" si="68"/>
        <v>53266</v>
      </c>
      <c r="M300" s="357">
        <f t="shared" si="69"/>
        <v>352</v>
      </c>
      <c r="N300" s="397">
        <v>2516.4711796389856</v>
      </c>
      <c r="O300" s="397">
        <f t="shared" si="58"/>
        <v>0</v>
      </c>
      <c r="P300" s="397">
        <f t="shared" si="63"/>
        <v>17.155979355409293</v>
      </c>
      <c r="Q300" s="397">
        <f t="shared" si="59"/>
        <v>-17.155979355409293</v>
      </c>
      <c r="R300" s="398">
        <f t="shared" si="64"/>
        <v>2533.6271589943949</v>
      </c>
      <c r="S300" s="399">
        <f>INDEX(LIBOR!$M$3:$M$122,MATCH(L300,LIBOR!$N$3:$N$122))</f>
        <v>3.2809699999999997E-2</v>
      </c>
      <c r="T300" s="400">
        <f t="shared" si="65"/>
        <v>8.1809699999999999E-2</v>
      </c>
    </row>
    <row r="301" spans="2:20">
      <c r="B301" s="396">
        <f t="shared" si="66"/>
        <v>55092</v>
      </c>
      <c r="C301" s="357">
        <f t="shared" si="67"/>
        <v>412</v>
      </c>
      <c r="D301" s="397" t="e">
        <f>INDEX('Monthly Cash Flow'!$L$160:$GT$160, MATCH(C301, 'Monthly Cash Flow'!$L$13:$GT$13, 0))</f>
        <v>#N/A</v>
      </c>
      <c r="E301" s="397">
        <f t="shared" ca="1" si="56"/>
        <v>0</v>
      </c>
      <c r="F301" s="397" t="e">
        <f t="shared" si="60"/>
        <v>#N/A</v>
      </c>
      <c r="G301" s="397" t="e">
        <f t="shared" ca="1" si="57"/>
        <v>#N/A</v>
      </c>
      <c r="H301" s="398" t="e">
        <f t="shared" ca="1" si="61"/>
        <v>#N/A</v>
      </c>
      <c r="I301" s="399">
        <f>MAX($J$5, INDEX(LIBOR!$M$3:$M$122,MATCH(B301,LIBOR!$N$3:$N$122)))</f>
        <v>5.1999999999999998E-2</v>
      </c>
      <c r="J301" s="400">
        <f t="shared" si="62"/>
        <v>0.10100000000000001</v>
      </c>
      <c r="L301" s="392">
        <f t="shared" si="68"/>
        <v>53296</v>
      </c>
      <c r="M301" s="357">
        <f t="shared" si="69"/>
        <v>353</v>
      </c>
      <c r="N301" s="397">
        <v>2484.5472091012898</v>
      </c>
      <c r="O301" s="397">
        <f t="shared" si="58"/>
        <v>0</v>
      </c>
      <c r="P301" s="397">
        <f t="shared" si="63"/>
        <v>16.938338484367815</v>
      </c>
      <c r="Q301" s="397">
        <f t="shared" si="59"/>
        <v>-16.938338484367815</v>
      </c>
      <c r="R301" s="398">
        <f t="shared" si="64"/>
        <v>2501.4855475856575</v>
      </c>
      <c r="S301" s="399">
        <f>INDEX(LIBOR!$M$3:$M$122,MATCH(L301,LIBOR!$N$3:$N$122))</f>
        <v>3.2809699999999997E-2</v>
      </c>
      <c r="T301" s="400">
        <f t="shared" si="65"/>
        <v>8.1809699999999999E-2</v>
      </c>
    </row>
    <row r="302" spans="2:20">
      <c r="B302" s="396">
        <f t="shared" si="66"/>
        <v>55122</v>
      </c>
      <c r="C302" s="357">
        <f t="shared" si="67"/>
        <v>413</v>
      </c>
      <c r="D302" s="397" t="e">
        <f>INDEX('Monthly Cash Flow'!$L$160:$GT$160, MATCH(C302, 'Monthly Cash Flow'!$L$13:$GT$13, 0))</f>
        <v>#N/A</v>
      </c>
      <c r="E302" s="397">
        <f t="shared" ca="1" si="56"/>
        <v>0</v>
      </c>
      <c r="F302" s="397" t="e">
        <f t="shared" si="60"/>
        <v>#N/A</v>
      </c>
      <c r="G302" s="397" t="e">
        <f t="shared" ca="1" si="57"/>
        <v>#N/A</v>
      </c>
      <c r="H302" s="398" t="e">
        <f t="shared" ca="1" si="61"/>
        <v>#N/A</v>
      </c>
      <c r="I302" s="399">
        <f>MAX($J$5, INDEX(LIBOR!$M$3:$M$122,MATCH(B302,LIBOR!$N$3:$N$122)))</f>
        <v>5.1999999999999998E-2</v>
      </c>
      <c r="J302" s="400">
        <f t="shared" si="62"/>
        <v>0.10100000000000001</v>
      </c>
      <c r="L302" s="392">
        <f t="shared" si="68"/>
        <v>53327</v>
      </c>
      <c r="M302" s="357">
        <f t="shared" si="69"/>
        <v>354</v>
      </c>
      <c r="N302" s="397">
        <v>2452.4778320606883</v>
      </c>
      <c r="O302" s="397">
        <f t="shared" si="58"/>
        <v>0</v>
      </c>
      <c r="P302" s="397">
        <f t="shared" si="63"/>
        <v>16.719706308127943</v>
      </c>
      <c r="Q302" s="397">
        <f t="shared" si="59"/>
        <v>-16.719706308127943</v>
      </c>
      <c r="R302" s="398">
        <f t="shared" si="64"/>
        <v>2469.1975383688164</v>
      </c>
      <c r="S302" s="399">
        <f>INDEX(LIBOR!$M$3:$M$122,MATCH(L302,LIBOR!$N$3:$N$122))</f>
        <v>3.2809699999999997E-2</v>
      </c>
      <c r="T302" s="400">
        <f t="shared" si="65"/>
        <v>8.1809699999999999E-2</v>
      </c>
    </row>
    <row r="303" spans="2:20">
      <c r="B303" s="396">
        <f t="shared" si="66"/>
        <v>55153</v>
      </c>
      <c r="C303" s="357">
        <f t="shared" si="67"/>
        <v>414</v>
      </c>
      <c r="D303" s="397" t="e">
        <f>INDEX('Monthly Cash Flow'!$L$160:$GT$160, MATCH(C303, 'Monthly Cash Flow'!$L$13:$GT$13, 0))</f>
        <v>#N/A</v>
      </c>
      <c r="E303" s="397">
        <f t="shared" ca="1" si="56"/>
        <v>0</v>
      </c>
      <c r="F303" s="397" t="e">
        <f t="shared" si="60"/>
        <v>#N/A</v>
      </c>
      <c r="G303" s="397" t="e">
        <f t="shared" ca="1" si="57"/>
        <v>#N/A</v>
      </c>
      <c r="H303" s="398" t="e">
        <f t="shared" ca="1" si="61"/>
        <v>#N/A</v>
      </c>
      <c r="I303" s="399">
        <f>MAX($J$5, INDEX(LIBOR!$M$3:$M$122,MATCH(B303,LIBOR!$N$3:$N$122)))</f>
        <v>5.1999999999999998E-2</v>
      </c>
      <c r="J303" s="400">
        <f t="shared" si="62"/>
        <v>0.10100000000000001</v>
      </c>
      <c r="L303" s="392">
        <f t="shared" si="68"/>
        <v>53358</v>
      </c>
      <c r="M303" s="357">
        <f t="shared" si="69"/>
        <v>355</v>
      </c>
      <c r="N303" s="397">
        <v>2420.2623862232767</v>
      </c>
      <c r="O303" s="397">
        <f t="shared" si="58"/>
        <v>0</v>
      </c>
      <c r="P303" s="397">
        <f t="shared" si="63"/>
        <v>16.500078311517534</v>
      </c>
      <c r="Q303" s="397">
        <f t="shared" si="59"/>
        <v>-16.500078311517534</v>
      </c>
      <c r="R303" s="398">
        <f t="shared" si="64"/>
        <v>2436.7624645347942</v>
      </c>
      <c r="S303" s="399">
        <f>INDEX(LIBOR!$M$3:$M$122,MATCH(L303,LIBOR!$N$3:$N$122))</f>
        <v>3.2809699999999997E-2</v>
      </c>
      <c r="T303" s="400">
        <f t="shared" si="65"/>
        <v>8.1809699999999999E-2</v>
      </c>
    </row>
    <row r="304" spans="2:20">
      <c r="B304" s="396">
        <f t="shared" si="66"/>
        <v>55184</v>
      </c>
      <c r="C304" s="357">
        <f t="shared" si="67"/>
        <v>415</v>
      </c>
      <c r="D304" s="397" t="e">
        <f>INDEX('Monthly Cash Flow'!$L$160:$GT$160, MATCH(C304, 'Monthly Cash Flow'!$L$13:$GT$13, 0))</f>
        <v>#N/A</v>
      </c>
      <c r="E304" s="397">
        <f t="shared" ca="1" si="56"/>
        <v>0</v>
      </c>
      <c r="F304" s="397" t="e">
        <f t="shared" si="60"/>
        <v>#N/A</v>
      </c>
      <c r="G304" s="397" t="e">
        <f t="shared" ca="1" si="57"/>
        <v>#N/A</v>
      </c>
      <c r="H304" s="398" t="e">
        <f t="shared" ca="1" si="61"/>
        <v>#N/A</v>
      </c>
      <c r="I304" s="399">
        <f>MAX($J$5, INDEX(LIBOR!$M$3:$M$122,MATCH(B304,LIBOR!$N$3:$N$122)))</f>
        <v>5.1999999999999998E-2</v>
      </c>
      <c r="J304" s="400">
        <f t="shared" si="62"/>
        <v>0.10100000000000001</v>
      </c>
      <c r="L304" s="392">
        <f t="shared" si="68"/>
        <v>53386</v>
      </c>
      <c r="M304" s="357">
        <f t="shared" si="69"/>
        <v>356</v>
      </c>
      <c r="N304" s="397">
        <v>2387.9002062785512</v>
      </c>
      <c r="O304" s="397">
        <f t="shared" si="58"/>
        <v>0</v>
      </c>
      <c r="P304" s="397">
        <f t="shared" si="63"/>
        <v>16.279449958798867</v>
      </c>
      <c r="Q304" s="397">
        <f t="shared" si="59"/>
        <v>-16.279449958798867</v>
      </c>
      <c r="R304" s="398">
        <f t="shared" si="64"/>
        <v>2404.1796562373502</v>
      </c>
      <c r="S304" s="399">
        <f>INDEX(LIBOR!$M$3:$M$122,MATCH(L304,LIBOR!$N$3:$N$122))</f>
        <v>3.2809699999999997E-2</v>
      </c>
      <c r="T304" s="400">
        <f t="shared" si="65"/>
        <v>8.1809699999999999E-2</v>
      </c>
    </row>
    <row r="305" spans="2:20">
      <c r="B305" s="396">
        <f t="shared" si="66"/>
        <v>55212</v>
      </c>
      <c r="C305" s="357">
        <f t="shared" si="67"/>
        <v>416</v>
      </c>
      <c r="D305" s="397" t="e">
        <f>INDEX('Monthly Cash Flow'!$L$160:$GT$160, MATCH(C305, 'Monthly Cash Flow'!$L$13:$GT$13, 0))</f>
        <v>#N/A</v>
      </c>
      <c r="E305" s="397">
        <f t="shared" ca="1" si="56"/>
        <v>0</v>
      </c>
      <c r="F305" s="397" t="e">
        <f t="shared" si="60"/>
        <v>#N/A</v>
      </c>
      <c r="G305" s="397" t="e">
        <f t="shared" ca="1" si="57"/>
        <v>#N/A</v>
      </c>
      <c r="H305" s="398" t="e">
        <f t="shared" ca="1" si="61"/>
        <v>#N/A</v>
      </c>
      <c r="I305" s="399">
        <f>MAX($J$5, INDEX(LIBOR!$M$3:$M$122,MATCH(B305,LIBOR!$N$3:$N$122)))</f>
        <v>5.1999999999999998E-2</v>
      </c>
      <c r="J305" s="400">
        <f t="shared" si="62"/>
        <v>0.10100000000000001</v>
      </c>
      <c r="L305" s="392">
        <f t="shared" si="68"/>
        <v>53417</v>
      </c>
      <c r="M305" s="357">
        <f t="shared" si="69"/>
        <v>357</v>
      </c>
      <c r="N305" s="397">
        <v>2355.3906238856675</v>
      </c>
      <c r="O305" s="397">
        <f t="shared" si="58"/>
        <v>0</v>
      </c>
      <c r="P305" s="397">
        <f t="shared" si="63"/>
        <v>16.057816693574942</v>
      </c>
      <c r="Q305" s="397">
        <f t="shared" si="59"/>
        <v>-16.057816693574942</v>
      </c>
      <c r="R305" s="398">
        <f t="shared" si="64"/>
        <v>2371.4484405792423</v>
      </c>
      <c r="S305" s="399">
        <f>INDEX(LIBOR!$M$3:$M$122,MATCH(L305,LIBOR!$N$3:$N$122))</f>
        <v>3.2809699999999997E-2</v>
      </c>
      <c r="T305" s="400">
        <f t="shared" si="65"/>
        <v>8.1809699999999999E-2</v>
      </c>
    </row>
    <row r="306" spans="2:20">
      <c r="B306" s="396">
        <f t="shared" si="66"/>
        <v>55243</v>
      </c>
      <c r="C306" s="357">
        <f t="shared" si="67"/>
        <v>417</v>
      </c>
      <c r="D306" s="397" t="e">
        <f>INDEX('Monthly Cash Flow'!$L$160:$GT$160, MATCH(C306, 'Monthly Cash Flow'!$L$13:$GT$13, 0))</f>
        <v>#N/A</v>
      </c>
      <c r="E306" s="397">
        <f t="shared" ca="1" si="56"/>
        <v>0</v>
      </c>
      <c r="F306" s="397" t="e">
        <f t="shared" si="60"/>
        <v>#N/A</v>
      </c>
      <c r="G306" s="397" t="e">
        <f t="shared" ca="1" si="57"/>
        <v>#N/A</v>
      </c>
      <c r="H306" s="398" t="e">
        <f t="shared" ca="1" si="61"/>
        <v>#N/A</v>
      </c>
      <c r="I306" s="399">
        <f>MAX($J$5, INDEX(LIBOR!$M$3:$M$122,MATCH(B306,LIBOR!$N$3:$N$122)))</f>
        <v>5.1999999999999998E-2</v>
      </c>
      <c r="J306" s="400">
        <f t="shared" si="62"/>
        <v>0.10100000000000001</v>
      </c>
      <c r="L306" s="392">
        <f t="shared" si="68"/>
        <v>53447</v>
      </c>
      <c r="M306" s="357">
        <f t="shared" si="69"/>
        <v>358</v>
      </c>
      <c r="N306" s="397">
        <v>2322.7329676596405</v>
      </c>
      <c r="O306" s="397">
        <f t="shared" si="58"/>
        <v>0</v>
      </c>
      <c r="P306" s="397">
        <f t="shared" si="63"/>
        <v>15.835173938695407</v>
      </c>
      <c r="Q306" s="397">
        <f t="shared" si="59"/>
        <v>-15.835173938695407</v>
      </c>
      <c r="R306" s="398">
        <f t="shared" si="64"/>
        <v>2338.5681415983358</v>
      </c>
      <c r="S306" s="399">
        <f>INDEX(LIBOR!$M$3:$M$122,MATCH(L306,LIBOR!$N$3:$N$122))</f>
        <v>3.2809699999999997E-2</v>
      </c>
      <c r="T306" s="400">
        <f t="shared" si="65"/>
        <v>8.1809699999999999E-2</v>
      </c>
    </row>
    <row r="307" spans="2:20">
      <c r="B307" s="396">
        <f t="shared" si="66"/>
        <v>55273</v>
      </c>
      <c r="C307" s="357">
        <f t="shared" si="67"/>
        <v>418</v>
      </c>
      <c r="D307" s="397" t="e">
        <f>INDEX('Monthly Cash Flow'!$L$160:$GT$160, MATCH(C307, 'Monthly Cash Flow'!$L$13:$GT$13, 0))</f>
        <v>#N/A</v>
      </c>
      <c r="E307" s="397">
        <f t="shared" ca="1" si="56"/>
        <v>0</v>
      </c>
      <c r="F307" s="397" t="e">
        <f t="shared" si="60"/>
        <v>#N/A</v>
      </c>
      <c r="G307" s="397" t="e">
        <f t="shared" ca="1" si="57"/>
        <v>#N/A</v>
      </c>
      <c r="H307" s="398" t="e">
        <f t="shared" ca="1" si="61"/>
        <v>#N/A</v>
      </c>
      <c r="I307" s="399">
        <f>MAX($J$5, INDEX(LIBOR!$M$3:$M$122,MATCH(B307,LIBOR!$N$3:$N$122)))</f>
        <v>5.1999999999999998E-2</v>
      </c>
      <c r="J307" s="400">
        <f t="shared" si="62"/>
        <v>0.10100000000000001</v>
      </c>
      <c r="L307" s="392">
        <f t="shared" si="68"/>
        <v>53478</v>
      </c>
      <c r="M307" s="357">
        <f t="shared" si="69"/>
        <v>359</v>
      </c>
      <c r="N307" s="397">
        <v>2289.9265631574767</v>
      </c>
      <c r="O307" s="397">
        <f t="shared" si="58"/>
        <v>0</v>
      </c>
      <c r="P307" s="397">
        <f t="shared" si="63"/>
        <v>15.611517096162018</v>
      </c>
      <c r="Q307" s="397">
        <f t="shared" si="59"/>
        <v>-15.611517096162018</v>
      </c>
      <c r="R307" s="398">
        <f t="shared" si="64"/>
        <v>2305.5380802536388</v>
      </c>
      <c r="S307" s="399">
        <f>INDEX(LIBOR!$M$3:$M$122,MATCH(L307,LIBOR!$N$3:$N$122))</f>
        <v>3.2809699999999997E-2</v>
      </c>
      <c r="T307" s="400">
        <f t="shared" si="65"/>
        <v>8.1809699999999999E-2</v>
      </c>
    </row>
    <row r="308" spans="2:20">
      <c r="B308" s="396">
        <f t="shared" si="66"/>
        <v>55304</v>
      </c>
      <c r="C308" s="357">
        <f t="shared" si="67"/>
        <v>419</v>
      </c>
      <c r="D308" s="397" t="e">
        <f>INDEX('Monthly Cash Flow'!$L$160:$GT$160, MATCH(C308, 'Monthly Cash Flow'!$L$13:$GT$13, 0))</f>
        <v>#N/A</v>
      </c>
      <c r="E308" s="397">
        <f t="shared" ca="1" si="56"/>
        <v>0</v>
      </c>
      <c r="F308" s="397" t="e">
        <f t="shared" si="60"/>
        <v>#N/A</v>
      </c>
      <c r="G308" s="397" t="e">
        <f t="shared" ca="1" si="57"/>
        <v>#N/A</v>
      </c>
      <c r="H308" s="398" t="e">
        <f t="shared" ca="1" si="61"/>
        <v>#N/A</v>
      </c>
      <c r="I308" s="399">
        <f>MAX($J$5, INDEX(LIBOR!$M$3:$M$122,MATCH(B308,LIBOR!$N$3:$N$122)))</f>
        <v>5.1999999999999998E-2</v>
      </c>
      <c r="J308" s="400">
        <f t="shared" si="62"/>
        <v>0.10100000000000001</v>
      </c>
      <c r="L308" s="392">
        <f t="shared" si="68"/>
        <v>53508</v>
      </c>
      <c r="M308" s="357">
        <f t="shared" si="69"/>
        <v>360</v>
      </c>
      <c r="N308" s="397">
        <v>2256.9707328642467</v>
      </c>
      <c r="O308" s="397">
        <f t="shared" si="58"/>
        <v>0</v>
      </c>
      <c r="P308" s="397">
        <f t="shared" si="63"/>
        <v>15.386841547033681</v>
      </c>
      <c r="Q308" s="397">
        <f t="shared" si="59"/>
        <v>-15.386841547033681</v>
      </c>
      <c r="R308" s="398">
        <f t="shared" si="64"/>
        <v>2272.3575744112804</v>
      </c>
      <c r="S308" s="399">
        <f>INDEX(LIBOR!$M$3:$M$122,MATCH(L308,LIBOR!$N$3:$N$122))</f>
        <v>3.2809699999999997E-2</v>
      </c>
      <c r="T308" s="400">
        <f t="shared" si="65"/>
        <v>8.1809699999999999E-2</v>
      </c>
    </row>
    <row r="309" spans="2:20">
      <c r="B309" s="396">
        <f t="shared" si="66"/>
        <v>55334</v>
      </c>
      <c r="C309" s="357">
        <f t="shared" si="67"/>
        <v>420</v>
      </c>
      <c r="D309" s="397" t="e">
        <f>INDEX('Monthly Cash Flow'!$L$160:$GT$160, MATCH(C309, 'Monthly Cash Flow'!$L$13:$GT$13, 0))</f>
        <v>#N/A</v>
      </c>
      <c r="E309" s="397">
        <f t="shared" ca="1" si="56"/>
        <v>0</v>
      </c>
      <c r="F309" s="397" t="e">
        <f t="shared" si="60"/>
        <v>#N/A</v>
      </c>
      <c r="G309" s="397" t="e">
        <f t="shared" ca="1" si="57"/>
        <v>#N/A</v>
      </c>
      <c r="H309" s="398" t="e">
        <f t="shared" ca="1" si="61"/>
        <v>#N/A</v>
      </c>
      <c r="I309" s="399">
        <f>MAX($J$5, INDEX(LIBOR!$M$3:$M$122,MATCH(B309,LIBOR!$N$3:$N$122)))</f>
        <v>5.1999999999999998E-2</v>
      </c>
      <c r="J309" s="400">
        <f t="shared" si="62"/>
        <v>0.10100000000000001</v>
      </c>
      <c r="L309" s="392">
        <f t="shared" si="68"/>
        <v>53539</v>
      </c>
      <c r="M309" s="357">
        <f t="shared" si="69"/>
        <v>361</v>
      </c>
      <c r="N309" s="397">
        <v>2223.8647961790925</v>
      </c>
      <c r="O309" s="397">
        <f t="shared" si="58"/>
        <v>0</v>
      </c>
      <c r="P309" s="397">
        <f t="shared" si="63"/>
        <v>15.16114265133106</v>
      </c>
      <c r="Q309" s="397">
        <f t="shared" si="59"/>
        <v>-15.16114265133106</v>
      </c>
      <c r="R309" s="398">
        <f t="shared" si="64"/>
        <v>2239.0259388304235</v>
      </c>
      <c r="S309" s="399">
        <f>INDEX(LIBOR!$M$3:$M$122,MATCH(L309,LIBOR!$N$3:$N$122))</f>
        <v>3.2809699999999997E-2</v>
      </c>
      <c r="T309" s="400">
        <f t="shared" si="65"/>
        <v>8.1809699999999999E-2</v>
      </c>
    </row>
    <row r="310" spans="2:20">
      <c r="B310" s="396">
        <f t="shared" si="66"/>
        <v>55365</v>
      </c>
      <c r="C310" s="357">
        <f t="shared" si="67"/>
        <v>421</v>
      </c>
      <c r="D310" s="397" t="e">
        <f>INDEX('Monthly Cash Flow'!$L$160:$GT$160, MATCH(C310, 'Monthly Cash Flow'!$L$13:$GT$13, 0))</f>
        <v>#N/A</v>
      </c>
      <c r="E310" s="397">
        <f t="shared" ca="1" si="56"/>
        <v>0</v>
      </c>
      <c r="F310" s="397" t="e">
        <f t="shared" si="60"/>
        <v>#N/A</v>
      </c>
      <c r="G310" s="397" t="e">
        <f t="shared" ca="1" si="57"/>
        <v>#N/A</v>
      </c>
      <c r="H310" s="398" t="e">
        <f t="shared" ca="1" si="61"/>
        <v>#N/A</v>
      </c>
      <c r="I310" s="399">
        <f>MAX($J$5, INDEX(LIBOR!$M$3:$M$122,MATCH(B310,LIBOR!$N$3:$N$122)))</f>
        <v>5.1999999999999998E-2</v>
      </c>
      <c r="J310" s="400">
        <f t="shared" si="62"/>
        <v>0.10100000000000001</v>
      </c>
      <c r="L310" s="392">
        <f t="shared" si="68"/>
        <v>53570</v>
      </c>
      <c r="M310" s="357">
        <f t="shared" si="69"/>
        <v>362</v>
      </c>
      <c r="N310" s="397">
        <v>2190.6080694011735</v>
      </c>
      <c r="O310" s="397">
        <f t="shared" si="58"/>
        <v>0</v>
      </c>
      <c r="P310" s="397">
        <f t="shared" si="63"/>
        <v>14.934415747940763</v>
      </c>
      <c r="Q310" s="397">
        <f t="shared" si="59"/>
        <v>-14.934415747940763</v>
      </c>
      <c r="R310" s="398">
        <f t="shared" si="64"/>
        <v>2205.5424851491143</v>
      </c>
      <c r="S310" s="399">
        <f>INDEX(LIBOR!$M$3:$M$122,MATCH(L310,LIBOR!$N$3:$N$122))</f>
        <v>3.2809699999999997E-2</v>
      </c>
      <c r="T310" s="400">
        <f t="shared" si="65"/>
        <v>8.1809699999999999E-2</v>
      </c>
    </row>
    <row r="311" spans="2:20">
      <c r="B311" s="396">
        <f t="shared" si="66"/>
        <v>55396</v>
      </c>
      <c r="C311" s="357">
        <f t="shared" si="67"/>
        <v>422</v>
      </c>
      <c r="D311" s="397" t="e">
        <f>INDEX('Monthly Cash Flow'!$L$160:$GT$160, MATCH(C311, 'Monthly Cash Flow'!$L$13:$GT$13, 0))</f>
        <v>#N/A</v>
      </c>
      <c r="E311" s="397">
        <f t="shared" ca="1" si="56"/>
        <v>0</v>
      </c>
      <c r="F311" s="397" t="e">
        <f t="shared" si="60"/>
        <v>#N/A</v>
      </c>
      <c r="G311" s="397" t="e">
        <f t="shared" ca="1" si="57"/>
        <v>#N/A</v>
      </c>
      <c r="H311" s="398" t="e">
        <f t="shared" ca="1" si="61"/>
        <v>#N/A</v>
      </c>
      <c r="I311" s="399">
        <f>MAX($J$5, INDEX(LIBOR!$M$3:$M$122,MATCH(B311,LIBOR!$N$3:$N$122)))</f>
        <v>5.1999999999999998E-2</v>
      </c>
      <c r="J311" s="400">
        <f t="shared" si="62"/>
        <v>0.10100000000000001</v>
      </c>
      <c r="L311" s="392">
        <f t="shared" si="68"/>
        <v>53600</v>
      </c>
      <c r="M311" s="357">
        <f t="shared" si="69"/>
        <v>363</v>
      </c>
      <c r="N311" s="397">
        <v>2157.1998657155445</v>
      </c>
      <c r="O311" s="397">
        <f t="shared" si="58"/>
        <v>0</v>
      </c>
      <c r="P311" s="397">
        <f t="shared" si="63"/>
        <v>14.706656154519081</v>
      </c>
      <c r="Q311" s="397">
        <f t="shared" si="59"/>
        <v>-14.706656154519081</v>
      </c>
      <c r="R311" s="398">
        <f t="shared" si="64"/>
        <v>2171.9065218700634</v>
      </c>
      <c r="S311" s="399">
        <f>INDEX(LIBOR!$M$3:$M$122,MATCH(L311,LIBOR!$N$3:$N$122))</f>
        <v>3.2809699999999997E-2</v>
      </c>
      <c r="T311" s="400">
        <f t="shared" si="65"/>
        <v>8.1809699999999999E-2</v>
      </c>
    </row>
    <row r="312" spans="2:20">
      <c r="B312" s="396">
        <f t="shared" si="66"/>
        <v>55426</v>
      </c>
      <c r="C312" s="357">
        <f t="shared" si="67"/>
        <v>423</v>
      </c>
      <c r="D312" s="397" t="e">
        <f>INDEX('Monthly Cash Flow'!$L$160:$GT$160, MATCH(C312, 'Monthly Cash Flow'!$L$13:$GT$13, 0))</f>
        <v>#N/A</v>
      </c>
      <c r="E312" s="397">
        <f t="shared" ca="1" si="56"/>
        <v>0</v>
      </c>
      <c r="F312" s="397" t="e">
        <f t="shared" si="60"/>
        <v>#N/A</v>
      </c>
      <c r="G312" s="397" t="e">
        <f t="shared" ca="1" si="57"/>
        <v>#N/A</v>
      </c>
      <c r="H312" s="398" t="e">
        <f t="shared" ca="1" si="61"/>
        <v>#N/A</v>
      </c>
      <c r="I312" s="399">
        <f>MAX($J$5, INDEX(LIBOR!$M$3:$M$122,MATCH(B312,LIBOR!$N$3:$N$122)))</f>
        <v>5.1999999999999998E-2</v>
      </c>
      <c r="J312" s="400">
        <f t="shared" si="62"/>
        <v>0.10100000000000001</v>
      </c>
      <c r="L312" s="392">
        <f t="shared" si="68"/>
        <v>53631</v>
      </c>
      <c r="M312" s="357">
        <f t="shared" si="69"/>
        <v>364</v>
      </c>
      <c r="N312" s="397">
        <v>2123.6394951789734</v>
      </c>
      <c r="O312" s="397">
        <f t="shared" si="58"/>
        <v>0</v>
      </c>
      <c r="P312" s="397">
        <f t="shared" si="63"/>
        <v>14.477859167395271</v>
      </c>
      <c r="Q312" s="397">
        <f t="shared" si="59"/>
        <v>-14.477859167395271</v>
      </c>
      <c r="R312" s="398">
        <f t="shared" si="64"/>
        <v>2138.1173543463688</v>
      </c>
      <c r="S312" s="399">
        <f>INDEX(LIBOR!$M$3:$M$122,MATCH(L312,LIBOR!$N$3:$N$122))</f>
        <v>3.2809699999999997E-2</v>
      </c>
      <c r="T312" s="400">
        <f t="shared" si="65"/>
        <v>8.1809699999999999E-2</v>
      </c>
    </row>
    <row r="313" spans="2:20">
      <c r="B313" s="396">
        <f t="shared" si="66"/>
        <v>55457</v>
      </c>
      <c r="C313" s="357">
        <f t="shared" si="67"/>
        <v>424</v>
      </c>
      <c r="D313" s="397" t="e">
        <f>INDEX('Monthly Cash Flow'!$L$160:$GT$160, MATCH(C313, 'Monthly Cash Flow'!$L$13:$GT$13, 0))</f>
        <v>#N/A</v>
      </c>
      <c r="E313" s="397">
        <f t="shared" ca="1" si="56"/>
        <v>0</v>
      </c>
      <c r="F313" s="397" t="e">
        <f t="shared" si="60"/>
        <v>#N/A</v>
      </c>
      <c r="G313" s="397" t="e">
        <f t="shared" ca="1" si="57"/>
        <v>#N/A</v>
      </c>
      <c r="H313" s="398" t="e">
        <f t="shared" ca="1" si="61"/>
        <v>#N/A</v>
      </c>
      <c r="I313" s="399">
        <f>MAX($J$5, INDEX(LIBOR!$M$3:$M$122,MATCH(B313,LIBOR!$N$3:$N$122)))</f>
        <v>5.1999999999999998E-2</v>
      </c>
      <c r="J313" s="400">
        <f t="shared" si="62"/>
        <v>0.10100000000000001</v>
      </c>
      <c r="L313" s="392">
        <f t="shared" si="68"/>
        <v>53661</v>
      </c>
      <c r="M313" s="357">
        <f t="shared" si="69"/>
        <v>365</v>
      </c>
      <c r="N313" s="397">
        <v>2089.9262647056912</v>
      </c>
      <c r="O313" s="397">
        <f t="shared" si="58"/>
        <v>0</v>
      </c>
      <c r="P313" s="397">
        <f t="shared" si="63"/>
        <v>14.248020061474433</v>
      </c>
      <c r="Q313" s="397">
        <f t="shared" si="59"/>
        <v>-14.248020061474433</v>
      </c>
      <c r="R313" s="398">
        <f t="shared" si="64"/>
        <v>2104.1742847671658</v>
      </c>
      <c r="S313" s="399">
        <f>INDEX(LIBOR!$M$3:$M$122,MATCH(L313,LIBOR!$N$3:$N$122))</f>
        <v>3.2809699999999997E-2</v>
      </c>
      <c r="T313" s="400">
        <f t="shared" si="65"/>
        <v>8.1809699999999999E-2</v>
      </c>
    </row>
    <row r="314" spans="2:20">
      <c r="B314" s="396">
        <f t="shared" si="66"/>
        <v>55487</v>
      </c>
      <c r="C314" s="357">
        <f t="shared" si="67"/>
        <v>425</v>
      </c>
      <c r="D314" s="397" t="e">
        <f>INDEX('Monthly Cash Flow'!$L$160:$GT$160, MATCH(C314, 'Monthly Cash Flow'!$L$13:$GT$13, 0))</f>
        <v>#N/A</v>
      </c>
      <c r="E314" s="397">
        <f t="shared" ca="1" si="56"/>
        <v>0</v>
      </c>
      <c r="F314" s="397" t="e">
        <f t="shared" si="60"/>
        <v>#N/A</v>
      </c>
      <c r="G314" s="397" t="e">
        <f t="shared" ca="1" si="57"/>
        <v>#N/A</v>
      </c>
      <c r="H314" s="398" t="e">
        <f t="shared" ca="1" si="61"/>
        <v>#N/A</v>
      </c>
      <c r="I314" s="399">
        <f>MAX($J$5, INDEX(LIBOR!$M$3:$M$122,MATCH(B314,LIBOR!$N$3:$N$122)))</f>
        <v>5.1999999999999998E-2</v>
      </c>
      <c r="J314" s="400">
        <f t="shared" si="62"/>
        <v>0.10100000000000001</v>
      </c>
      <c r="L314" s="392">
        <f t="shared" si="68"/>
        <v>53692</v>
      </c>
      <c r="M314" s="357">
        <f t="shared" si="69"/>
        <v>366</v>
      </c>
      <c r="N314" s="397">
        <v>2056.0594780530801</v>
      </c>
      <c r="O314" s="397">
        <f t="shared" si="58"/>
        <v>0</v>
      </c>
      <c r="P314" s="397">
        <f t="shared" si="63"/>
        <v>14.017134090139921</v>
      </c>
      <c r="Q314" s="397">
        <f t="shared" si="59"/>
        <v>-14.017134090139921</v>
      </c>
      <c r="R314" s="398">
        <f t="shared" si="64"/>
        <v>2070.0766121432198</v>
      </c>
      <c r="S314" s="399">
        <f>INDEX(LIBOR!$M$3:$M$122,MATCH(L314,LIBOR!$N$3:$N$122))</f>
        <v>3.2809699999999997E-2</v>
      </c>
      <c r="T314" s="400">
        <f t="shared" si="65"/>
        <v>8.1809699999999999E-2</v>
      </c>
    </row>
    <row r="315" spans="2:20">
      <c r="B315" s="396">
        <f t="shared" si="66"/>
        <v>55518</v>
      </c>
      <c r="C315" s="357">
        <f t="shared" si="67"/>
        <v>426</v>
      </c>
      <c r="D315" s="397" t="e">
        <f>INDEX('Monthly Cash Flow'!$L$160:$GT$160, MATCH(C315, 'Monthly Cash Flow'!$L$13:$GT$13, 0))</f>
        <v>#N/A</v>
      </c>
      <c r="E315" s="397">
        <f t="shared" ca="1" si="56"/>
        <v>0</v>
      </c>
      <c r="F315" s="397" t="e">
        <f t="shared" si="60"/>
        <v>#N/A</v>
      </c>
      <c r="G315" s="397" t="e">
        <f t="shared" ca="1" si="57"/>
        <v>#N/A</v>
      </c>
      <c r="H315" s="398" t="e">
        <f t="shared" ca="1" si="61"/>
        <v>#N/A</v>
      </c>
      <c r="I315" s="399">
        <f>MAX($J$5, INDEX(LIBOR!$M$3:$M$122,MATCH(B315,LIBOR!$N$3:$N$122)))</f>
        <v>5.1999999999999998E-2</v>
      </c>
      <c r="J315" s="400">
        <f t="shared" si="62"/>
        <v>0.10100000000000001</v>
      </c>
      <c r="L315" s="392">
        <f t="shared" si="68"/>
        <v>53723</v>
      </c>
      <c r="M315" s="357">
        <f t="shared" si="69"/>
        <v>367</v>
      </c>
      <c r="N315" s="397">
        <v>2022.0384358072934</v>
      </c>
      <c r="O315" s="397">
        <f t="shared" si="58"/>
        <v>0</v>
      </c>
      <c r="P315" s="397">
        <f t="shared" si="63"/>
        <v>13.785196485155327</v>
      </c>
      <c r="Q315" s="397">
        <f t="shared" si="59"/>
        <v>-13.785196485155327</v>
      </c>
      <c r="R315" s="398">
        <f t="shared" si="64"/>
        <v>2035.8236322924488</v>
      </c>
      <c r="S315" s="399">
        <f>INDEX(LIBOR!$M$3:$M$122,MATCH(L315,LIBOR!$N$3:$N$122))</f>
        <v>3.2809699999999997E-2</v>
      </c>
      <c r="T315" s="400">
        <f t="shared" si="65"/>
        <v>8.1809699999999999E-2</v>
      </c>
    </row>
    <row r="316" spans="2:20">
      <c r="B316" s="396">
        <f t="shared" si="66"/>
        <v>55549</v>
      </c>
      <c r="C316" s="357">
        <f t="shared" si="67"/>
        <v>427</v>
      </c>
      <c r="D316" s="397" t="e">
        <f>INDEX('Monthly Cash Flow'!$L$160:$GT$160, MATCH(C316, 'Monthly Cash Flow'!$L$13:$GT$13, 0))</f>
        <v>#N/A</v>
      </c>
      <c r="E316" s="397">
        <f t="shared" ca="1" si="56"/>
        <v>0</v>
      </c>
      <c r="F316" s="397" t="e">
        <f t="shared" si="60"/>
        <v>#N/A</v>
      </c>
      <c r="G316" s="397" t="e">
        <f t="shared" ca="1" si="57"/>
        <v>#N/A</v>
      </c>
      <c r="H316" s="398" t="e">
        <f t="shared" ca="1" si="61"/>
        <v>#N/A</v>
      </c>
      <c r="I316" s="399">
        <f>MAX($J$5, INDEX(LIBOR!$M$3:$M$122,MATCH(B316,LIBOR!$N$3:$N$122)))</f>
        <v>5.1999999999999998E-2</v>
      </c>
      <c r="J316" s="400">
        <f t="shared" si="62"/>
        <v>0.10100000000000001</v>
      </c>
      <c r="L316" s="392">
        <f t="shared" si="68"/>
        <v>53751</v>
      </c>
      <c r="M316" s="357">
        <f t="shared" si="69"/>
        <v>368</v>
      </c>
      <c r="N316" s="397">
        <v>1987.8624353688117</v>
      </c>
      <c r="O316" s="397">
        <f t="shared" si="58"/>
        <v>0</v>
      </c>
      <c r="P316" s="397">
        <f t="shared" si="63"/>
        <v>13.552202456565988</v>
      </c>
      <c r="Q316" s="397">
        <f t="shared" si="59"/>
        <v>-13.552202456565988</v>
      </c>
      <c r="R316" s="398">
        <f t="shared" si="64"/>
        <v>2001.4146378253777</v>
      </c>
      <c r="S316" s="399">
        <f>INDEX(LIBOR!$M$3:$M$122,MATCH(L316,LIBOR!$N$3:$N$122))</f>
        <v>3.2809699999999997E-2</v>
      </c>
      <c r="T316" s="400">
        <f t="shared" si="65"/>
        <v>8.1809699999999999E-2</v>
      </c>
    </row>
    <row r="317" spans="2:20">
      <c r="B317" s="396">
        <f t="shared" si="66"/>
        <v>55578</v>
      </c>
      <c r="C317" s="357">
        <f t="shared" si="67"/>
        <v>428</v>
      </c>
      <c r="D317" s="397" t="e">
        <f>INDEX('Monthly Cash Flow'!$L$160:$GT$160, MATCH(C317, 'Monthly Cash Flow'!$L$13:$GT$13, 0))</f>
        <v>#N/A</v>
      </c>
      <c r="E317" s="397">
        <f t="shared" ca="1" si="56"/>
        <v>0</v>
      </c>
      <c r="F317" s="397" t="e">
        <f t="shared" si="60"/>
        <v>#N/A</v>
      </c>
      <c r="G317" s="397" t="e">
        <f t="shared" ca="1" si="57"/>
        <v>#N/A</v>
      </c>
      <c r="H317" s="398" t="e">
        <f t="shared" ca="1" si="61"/>
        <v>#N/A</v>
      </c>
      <c r="I317" s="399">
        <f>MAX($J$5, INDEX(LIBOR!$M$3:$M$122,MATCH(B317,LIBOR!$N$3:$N$122)))</f>
        <v>5.1999999999999998E-2</v>
      </c>
      <c r="J317" s="400">
        <f t="shared" si="62"/>
        <v>0.10100000000000001</v>
      </c>
      <c r="L317" s="392">
        <f t="shared" si="68"/>
        <v>53782</v>
      </c>
      <c r="M317" s="357">
        <f t="shared" si="69"/>
        <v>369</v>
      </c>
      <c r="N317" s="397">
        <v>1953.5307709379329</v>
      </c>
      <c r="O317" s="397">
        <f t="shared" si="58"/>
        <v>0</v>
      </c>
      <c r="P317" s="397">
        <f t="shared" si="63"/>
        <v>13.318147192600085</v>
      </c>
      <c r="Q317" s="397">
        <f t="shared" si="59"/>
        <v>-13.318147192600085</v>
      </c>
      <c r="R317" s="398">
        <f t="shared" si="64"/>
        <v>1966.8489181305329</v>
      </c>
      <c r="S317" s="399">
        <f>INDEX(LIBOR!$M$3:$M$122,MATCH(L317,LIBOR!$N$3:$N$122))</f>
        <v>3.2809699999999997E-2</v>
      </c>
      <c r="T317" s="400">
        <f t="shared" si="65"/>
        <v>8.1809699999999999E-2</v>
      </c>
    </row>
    <row r="318" spans="2:20">
      <c r="B318" s="396">
        <f t="shared" si="66"/>
        <v>55609</v>
      </c>
      <c r="C318" s="357">
        <f t="shared" si="67"/>
        <v>429</v>
      </c>
      <c r="D318" s="397" t="e">
        <f>INDEX('Monthly Cash Flow'!$L$160:$GT$160, MATCH(C318, 'Monthly Cash Flow'!$L$13:$GT$13, 0))</f>
        <v>#N/A</v>
      </c>
      <c r="E318" s="397">
        <f t="shared" ca="1" si="56"/>
        <v>0</v>
      </c>
      <c r="F318" s="397" t="e">
        <f t="shared" si="60"/>
        <v>#N/A</v>
      </c>
      <c r="G318" s="397" t="e">
        <f t="shared" ca="1" si="57"/>
        <v>#N/A</v>
      </c>
      <c r="H318" s="398" t="e">
        <f t="shared" ca="1" si="61"/>
        <v>#N/A</v>
      </c>
      <c r="I318" s="399">
        <f>MAX($J$5, INDEX(LIBOR!$M$3:$M$122,MATCH(B318,LIBOR!$N$3:$N$122)))</f>
        <v>5.1999999999999998E-2</v>
      </c>
      <c r="J318" s="400">
        <f t="shared" si="62"/>
        <v>0.10100000000000001</v>
      </c>
      <c r="L318" s="392">
        <f t="shared" si="68"/>
        <v>53812</v>
      </c>
      <c r="M318" s="357">
        <f t="shared" si="69"/>
        <v>370</v>
      </c>
      <c r="N318" s="397">
        <v>1919.0427335001959</v>
      </c>
      <c r="O318" s="397">
        <f t="shared" si="58"/>
        <v>0</v>
      </c>
      <c r="P318" s="397">
        <f t="shared" si="63"/>
        <v>13.083025859569247</v>
      </c>
      <c r="Q318" s="397">
        <f t="shared" si="59"/>
        <v>-13.083025859569247</v>
      </c>
      <c r="R318" s="398">
        <f t="shared" si="64"/>
        <v>1932.1257593597652</v>
      </c>
      <c r="S318" s="399">
        <f>INDEX(LIBOR!$M$3:$M$122,MATCH(L318,LIBOR!$N$3:$N$122))</f>
        <v>3.2809699999999997E-2</v>
      </c>
      <c r="T318" s="400">
        <f t="shared" si="65"/>
        <v>8.1809699999999999E-2</v>
      </c>
    </row>
    <row r="319" spans="2:20">
      <c r="B319" s="396">
        <f t="shared" si="66"/>
        <v>55639</v>
      </c>
      <c r="C319" s="357">
        <f t="shared" si="67"/>
        <v>430</v>
      </c>
      <c r="D319" s="397" t="e">
        <f>INDEX('Monthly Cash Flow'!$L$160:$GT$160, MATCH(C319, 'Monthly Cash Flow'!$L$13:$GT$13, 0))</f>
        <v>#N/A</v>
      </c>
      <c r="E319" s="397">
        <f t="shared" ca="1" si="56"/>
        <v>0</v>
      </c>
      <c r="F319" s="397" t="e">
        <f t="shared" si="60"/>
        <v>#N/A</v>
      </c>
      <c r="G319" s="397" t="e">
        <f t="shared" ca="1" si="57"/>
        <v>#N/A</v>
      </c>
      <c r="H319" s="398" t="e">
        <f t="shared" ca="1" si="61"/>
        <v>#N/A</v>
      </c>
      <c r="I319" s="399">
        <f>MAX($J$5, INDEX(LIBOR!$M$3:$M$122,MATCH(B319,LIBOR!$N$3:$N$122)))</f>
        <v>5.1999999999999998E-2</v>
      </c>
      <c r="J319" s="400">
        <f t="shared" si="62"/>
        <v>0.10100000000000001</v>
      </c>
      <c r="L319" s="392">
        <f t="shared" si="68"/>
        <v>53843</v>
      </c>
      <c r="M319" s="357">
        <f t="shared" si="69"/>
        <v>371</v>
      </c>
      <c r="N319" s="397">
        <v>1884.3976108117386</v>
      </c>
      <c r="O319" s="397">
        <f t="shared" si="58"/>
        <v>0</v>
      </c>
      <c r="P319" s="397">
        <f t="shared" si="63"/>
        <v>12.846833601768758</v>
      </c>
      <c r="Q319" s="397">
        <f t="shared" si="59"/>
        <v>-12.846833601768758</v>
      </c>
      <c r="R319" s="398">
        <f t="shared" si="64"/>
        <v>1897.2444444135074</v>
      </c>
      <c r="S319" s="399">
        <f>INDEX(LIBOR!$M$3:$M$122,MATCH(L319,LIBOR!$N$3:$N$122))</f>
        <v>3.2809699999999997E-2</v>
      </c>
      <c r="T319" s="400">
        <f t="shared" si="65"/>
        <v>8.1809699999999999E-2</v>
      </c>
    </row>
    <row r="320" spans="2:20">
      <c r="B320" s="396">
        <f t="shared" si="66"/>
        <v>55670</v>
      </c>
      <c r="C320" s="357">
        <f t="shared" si="67"/>
        <v>431</v>
      </c>
      <c r="D320" s="397" t="e">
        <f>INDEX('Monthly Cash Flow'!$L$160:$GT$160, MATCH(C320, 'Monthly Cash Flow'!$L$13:$GT$13, 0))</f>
        <v>#N/A</v>
      </c>
      <c r="E320" s="397">
        <f t="shared" ca="1" si="56"/>
        <v>0</v>
      </c>
      <c r="F320" s="397" t="e">
        <f t="shared" si="60"/>
        <v>#N/A</v>
      </c>
      <c r="G320" s="397" t="e">
        <f t="shared" ca="1" si="57"/>
        <v>#N/A</v>
      </c>
      <c r="H320" s="398" t="e">
        <f t="shared" ca="1" si="61"/>
        <v>#N/A</v>
      </c>
      <c r="I320" s="399">
        <f>MAX($J$5, INDEX(LIBOR!$M$3:$M$122,MATCH(B320,LIBOR!$N$3:$N$122)))</f>
        <v>5.1999999999999998E-2</v>
      </c>
      <c r="J320" s="400">
        <f t="shared" si="62"/>
        <v>0.10100000000000001</v>
      </c>
      <c r="L320" s="392">
        <f t="shared" si="68"/>
        <v>53873</v>
      </c>
      <c r="M320" s="357">
        <f t="shared" si="69"/>
        <v>372</v>
      </c>
      <c r="N320" s="397">
        <v>1849.5946873845878</v>
      </c>
      <c r="O320" s="397">
        <f t="shared" si="58"/>
        <v>0</v>
      </c>
      <c r="P320" s="397">
        <f t="shared" si="63"/>
        <v>12.609565541377243</v>
      </c>
      <c r="Q320" s="397">
        <f t="shared" si="59"/>
        <v>-12.609565541377243</v>
      </c>
      <c r="R320" s="398">
        <f t="shared" si="64"/>
        <v>1862.204252925965</v>
      </c>
      <c r="S320" s="399">
        <f>INDEX(LIBOR!$M$3:$M$122,MATCH(L320,LIBOR!$N$3:$N$122))</f>
        <v>3.2809699999999997E-2</v>
      </c>
      <c r="T320" s="400">
        <f t="shared" si="65"/>
        <v>8.1809699999999999E-2</v>
      </c>
    </row>
    <row r="321" spans="2:20">
      <c r="B321" s="396">
        <f t="shared" si="66"/>
        <v>55700</v>
      </c>
      <c r="C321" s="357">
        <f t="shared" si="67"/>
        <v>432</v>
      </c>
      <c r="D321" s="397" t="e">
        <f>INDEX('Monthly Cash Flow'!$L$160:$GT$160, MATCH(C321, 'Monthly Cash Flow'!$L$13:$GT$13, 0))</f>
        <v>#N/A</v>
      </c>
      <c r="E321" s="397">
        <f t="shared" ca="1" si="56"/>
        <v>0</v>
      </c>
      <c r="F321" s="397" t="e">
        <f t="shared" si="60"/>
        <v>#N/A</v>
      </c>
      <c r="G321" s="397" t="e">
        <f t="shared" ca="1" si="57"/>
        <v>#N/A</v>
      </c>
      <c r="H321" s="398" t="e">
        <f t="shared" ca="1" si="61"/>
        <v>#N/A</v>
      </c>
      <c r="I321" s="399">
        <f>MAX($J$5, INDEX(LIBOR!$M$3:$M$122,MATCH(B321,LIBOR!$N$3:$N$122)))</f>
        <v>5.1999999999999998E-2</v>
      </c>
      <c r="J321" s="400">
        <f t="shared" si="62"/>
        <v>0.10100000000000001</v>
      </c>
      <c r="L321" s="392">
        <f t="shared" si="68"/>
        <v>53904</v>
      </c>
      <c r="M321" s="357">
        <f t="shared" si="69"/>
        <v>373</v>
      </c>
      <c r="N321" s="397">
        <v>1814.6332444718842</v>
      </c>
      <c r="O321" s="397">
        <f t="shared" si="58"/>
        <v>0</v>
      </c>
      <c r="P321" s="397">
        <f t="shared" si="63"/>
        <v>12.371216778355958</v>
      </c>
      <c r="Q321" s="397">
        <f t="shared" si="59"/>
        <v>-12.371216778355958</v>
      </c>
      <c r="R321" s="398">
        <f t="shared" si="64"/>
        <v>1827.0044612502402</v>
      </c>
      <c r="S321" s="399">
        <f>INDEX(LIBOR!$M$3:$M$122,MATCH(L321,LIBOR!$N$3:$N$122))</f>
        <v>3.2809699999999997E-2</v>
      </c>
      <c r="T321" s="400">
        <f t="shared" si="65"/>
        <v>8.1809699999999999E-2</v>
      </c>
    </row>
    <row r="322" spans="2:20">
      <c r="B322" s="396">
        <f t="shared" si="66"/>
        <v>55731</v>
      </c>
      <c r="C322" s="357">
        <f t="shared" si="67"/>
        <v>433</v>
      </c>
      <c r="D322" s="397" t="e">
        <f>INDEX('Monthly Cash Flow'!$L$160:$GT$160, MATCH(C322, 'Monthly Cash Flow'!$L$13:$GT$13, 0))</f>
        <v>#N/A</v>
      </c>
      <c r="E322" s="397">
        <f t="shared" ca="1" si="56"/>
        <v>0</v>
      </c>
      <c r="F322" s="397" t="e">
        <f t="shared" si="60"/>
        <v>#N/A</v>
      </c>
      <c r="G322" s="397" t="e">
        <f t="shared" ca="1" si="57"/>
        <v>#N/A</v>
      </c>
      <c r="H322" s="398" t="e">
        <f t="shared" ca="1" si="61"/>
        <v>#N/A</v>
      </c>
      <c r="I322" s="399">
        <f>MAX($J$5, INDEX(LIBOR!$M$3:$M$122,MATCH(B322,LIBOR!$N$3:$N$122)))</f>
        <v>5.1999999999999998E-2</v>
      </c>
      <c r="J322" s="400">
        <f t="shared" si="62"/>
        <v>0.10100000000000001</v>
      </c>
      <c r="L322" s="392">
        <f t="shared" si="68"/>
        <v>53935</v>
      </c>
      <c r="M322" s="357">
        <f t="shared" si="69"/>
        <v>374</v>
      </c>
      <c r="N322" s="397">
        <v>1779.5125600530378</v>
      </c>
      <c r="O322" s="397">
        <f t="shared" si="58"/>
        <v>0</v>
      </c>
      <c r="P322" s="397">
        <f t="shared" si="63"/>
        <v>12.131782390347583</v>
      </c>
      <c r="Q322" s="397">
        <f t="shared" si="59"/>
        <v>-12.131782390347583</v>
      </c>
      <c r="R322" s="398">
        <f t="shared" si="64"/>
        <v>1791.6443424433853</v>
      </c>
      <c r="S322" s="399">
        <f>INDEX(LIBOR!$M$3:$M$122,MATCH(L322,LIBOR!$N$3:$N$122))</f>
        <v>3.2809699999999997E-2</v>
      </c>
      <c r="T322" s="400">
        <f t="shared" si="65"/>
        <v>8.1809699999999999E-2</v>
      </c>
    </row>
    <row r="323" spans="2:20">
      <c r="B323" s="396">
        <f t="shared" si="66"/>
        <v>55762</v>
      </c>
      <c r="C323" s="357">
        <f t="shared" si="67"/>
        <v>434</v>
      </c>
      <c r="D323" s="397" t="e">
        <f>INDEX('Monthly Cash Flow'!$L$160:$GT$160, MATCH(C323, 'Monthly Cash Flow'!$L$13:$GT$13, 0))</f>
        <v>#N/A</v>
      </c>
      <c r="E323" s="397">
        <f t="shared" ca="1" si="56"/>
        <v>0</v>
      </c>
      <c r="F323" s="397" t="e">
        <f t="shared" si="60"/>
        <v>#N/A</v>
      </c>
      <c r="G323" s="397" t="e">
        <f t="shared" ca="1" si="57"/>
        <v>#N/A</v>
      </c>
      <c r="H323" s="398" t="e">
        <f t="shared" ca="1" si="61"/>
        <v>#N/A</v>
      </c>
      <c r="I323" s="399">
        <f>MAX($J$5, INDEX(LIBOR!$M$3:$M$122,MATCH(B323,LIBOR!$N$3:$N$122)))</f>
        <v>5.1999999999999998E-2</v>
      </c>
      <c r="J323" s="400">
        <f t="shared" si="62"/>
        <v>0.10100000000000001</v>
      </c>
      <c r="L323" s="392">
        <f t="shared" si="68"/>
        <v>53965</v>
      </c>
      <c r="M323" s="357">
        <f t="shared" si="69"/>
        <v>375</v>
      </c>
      <c r="N323" s="397">
        <v>1744.2319088188176</v>
      </c>
      <c r="O323" s="397">
        <f t="shared" si="58"/>
        <v>0</v>
      </c>
      <c r="P323" s="397">
        <f t="shared" si="63"/>
        <v>11.891257432574569</v>
      </c>
      <c r="Q323" s="397">
        <f t="shared" si="59"/>
        <v>-11.891257432574569</v>
      </c>
      <c r="R323" s="398">
        <f t="shared" si="64"/>
        <v>1756.1231662513921</v>
      </c>
      <c r="S323" s="399">
        <f>INDEX(LIBOR!$M$3:$M$122,MATCH(L323,LIBOR!$N$3:$N$122))</f>
        <v>3.2809699999999997E-2</v>
      </c>
      <c r="T323" s="400">
        <f t="shared" si="65"/>
        <v>8.1809699999999999E-2</v>
      </c>
    </row>
    <row r="324" spans="2:20">
      <c r="B324" s="396">
        <f t="shared" si="66"/>
        <v>55792</v>
      </c>
      <c r="C324" s="357">
        <f t="shared" si="67"/>
        <v>435</v>
      </c>
      <c r="D324" s="397" t="e">
        <f>INDEX('Monthly Cash Flow'!$L$160:$GT$160, MATCH(C324, 'Monthly Cash Flow'!$L$13:$GT$13, 0))</f>
        <v>#N/A</v>
      </c>
      <c r="E324" s="397">
        <f t="shared" ca="1" si="56"/>
        <v>0</v>
      </c>
      <c r="F324" s="397" t="e">
        <f t="shared" si="60"/>
        <v>#N/A</v>
      </c>
      <c r="G324" s="397" t="e">
        <f t="shared" ca="1" si="57"/>
        <v>#N/A</v>
      </c>
      <c r="H324" s="398" t="e">
        <f t="shared" ca="1" si="61"/>
        <v>#N/A</v>
      </c>
      <c r="I324" s="399">
        <f>MAX($J$5, INDEX(LIBOR!$M$3:$M$122,MATCH(B324,LIBOR!$N$3:$N$122)))</f>
        <v>5.1999999999999998E-2</v>
      </c>
      <c r="J324" s="400">
        <f t="shared" si="62"/>
        <v>0.10100000000000001</v>
      </c>
      <c r="L324" s="392">
        <f t="shared" si="68"/>
        <v>53996</v>
      </c>
      <c r="M324" s="357">
        <f t="shared" si="69"/>
        <v>376</v>
      </c>
      <c r="N324" s="397">
        <v>1708.7905621563721</v>
      </c>
      <c r="O324" s="397">
        <f t="shared" si="58"/>
        <v>0</v>
      </c>
      <c r="P324" s="397">
        <f t="shared" si="63"/>
        <v>11.649636937737013</v>
      </c>
      <c r="Q324" s="397">
        <f t="shared" si="59"/>
        <v>-11.649636937737013</v>
      </c>
      <c r="R324" s="398">
        <f t="shared" si="64"/>
        <v>1720.4401990941092</v>
      </c>
      <c r="S324" s="399">
        <f>INDEX(LIBOR!$M$3:$M$122,MATCH(L324,LIBOR!$N$3:$N$122))</f>
        <v>3.2809699999999997E-2</v>
      </c>
      <c r="T324" s="400">
        <f t="shared" si="65"/>
        <v>8.1809699999999999E-2</v>
      </c>
    </row>
    <row r="325" spans="2:20">
      <c r="B325" s="396">
        <f t="shared" si="66"/>
        <v>55823</v>
      </c>
      <c r="C325" s="357">
        <f t="shared" si="67"/>
        <v>436</v>
      </c>
      <c r="D325" s="397" t="e">
        <f>INDEX('Monthly Cash Flow'!$L$160:$GT$160, MATCH(C325, 'Monthly Cash Flow'!$L$13:$GT$13, 0))</f>
        <v>#N/A</v>
      </c>
      <c r="E325" s="397">
        <f t="shared" ca="1" si="56"/>
        <v>0</v>
      </c>
      <c r="F325" s="397" t="e">
        <f t="shared" si="60"/>
        <v>#N/A</v>
      </c>
      <c r="G325" s="397" t="e">
        <f t="shared" ca="1" si="57"/>
        <v>#N/A</v>
      </c>
      <c r="H325" s="398" t="e">
        <f t="shared" ca="1" si="61"/>
        <v>#N/A</v>
      </c>
      <c r="I325" s="399">
        <f>MAX($J$5, INDEX(LIBOR!$M$3:$M$122,MATCH(B325,LIBOR!$N$3:$N$122)))</f>
        <v>5.1999999999999998E-2</v>
      </c>
      <c r="J325" s="400">
        <f t="shared" si="62"/>
        <v>0.10100000000000001</v>
      </c>
      <c r="L325" s="392">
        <f t="shared" si="68"/>
        <v>54026</v>
      </c>
      <c r="M325" s="357">
        <f t="shared" si="69"/>
        <v>377</v>
      </c>
      <c r="N325" s="397">
        <v>1673.187788134182</v>
      </c>
      <c r="O325" s="397">
        <f t="shared" si="58"/>
        <v>0</v>
      </c>
      <c r="P325" s="397">
        <f t="shared" si="63"/>
        <v>11.406915915910083</v>
      </c>
      <c r="Q325" s="397">
        <f t="shared" si="59"/>
        <v>-11.406915915910083</v>
      </c>
      <c r="R325" s="398">
        <f t="shared" si="64"/>
        <v>1684.5947040500921</v>
      </c>
      <c r="S325" s="399">
        <f>INDEX(LIBOR!$M$3:$M$122,MATCH(L325,LIBOR!$N$3:$N$122))</f>
        <v>3.2809699999999997E-2</v>
      </c>
      <c r="T325" s="400">
        <f t="shared" si="65"/>
        <v>8.1809699999999999E-2</v>
      </c>
    </row>
    <row r="326" spans="2:20">
      <c r="B326" s="396">
        <f t="shared" si="66"/>
        <v>55853</v>
      </c>
      <c r="C326" s="357">
        <f t="shared" si="67"/>
        <v>437</v>
      </c>
      <c r="D326" s="397" t="e">
        <f>INDEX('Monthly Cash Flow'!$L$160:$GT$160, MATCH(C326, 'Monthly Cash Flow'!$L$13:$GT$13, 0))</f>
        <v>#N/A</v>
      </c>
      <c r="E326" s="397">
        <f t="shared" ca="1" si="56"/>
        <v>0</v>
      </c>
      <c r="F326" s="397" t="e">
        <f t="shared" si="60"/>
        <v>#N/A</v>
      </c>
      <c r="G326" s="397" t="e">
        <f t="shared" ca="1" si="57"/>
        <v>#N/A</v>
      </c>
      <c r="H326" s="398" t="e">
        <f t="shared" ca="1" si="61"/>
        <v>#N/A</v>
      </c>
      <c r="I326" s="399">
        <f>MAX($J$5, INDEX(LIBOR!$M$3:$M$122,MATCH(B326,LIBOR!$N$3:$N$122)))</f>
        <v>5.1999999999999998E-2</v>
      </c>
      <c r="J326" s="400">
        <f t="shared" si="62"/>
        <v>0.10100000000000001</v>
      </c>
      <c r="L326" s="392">
        <f t="shared" si="68"/>
        <v>54057</v>
      </c>
      <c r="M326" s="357">
        <f t="shared" si="69"/>
        <v>378</v>
      </c>
      <c r="N326" s="397">
        <v>1637.4228514869451</v>
      </c>
      <c r="O326" s="397">
        <f t="shared" si="58"/>
        <v>0</v>
      </c>
      <c r="P326" s="397">
        <f t="shared" si="63"/>
        <v>11.163089354440961</v>
      </c>
      <c r="Q326" s="397">
        <f t="shared" si="59"/>
        <v>-11.163089354440961</v>
      </c>
      <c r="R326" s="398">
        <f t="shared" si="64"/>
        <v>1648.585940841386</v>
      </c>
      <c r="S326" s="399">
        <f>INDEX(LIBOR!$M$3:$M$122,MATCH(L326,LIBOR!$N$3:$N$122))</f>
        <v>3.2809699999999997E-2</v>
      </c>
      <c r="T326" s="400">
        <f t="shared" si="65"/>
        <v>8.1809699999999999E-2</v>
      </c>
    </row>
    <row r="327" spans="2:20">
      <c r="B327" s="396">
        <f t="shared" si="66"/>
        <v>55884</v>
      </c>
      <c r="C327" s="357">
        <f t="shared" si="67"/>
        <v>438</v>
      </c>
      <c r="D327" s="397" t="e">
        <f>INDEX('Monthly Cash Flow'!$L$160:$GT$160, MATCH(C327, 'Monthly Cash Flow'!$L$13:$GT$13, 0))</f>
        <v>#N/A</v>
      </c>
      <c r="E327" s="397">
        <f t="shared" ca="1" si="56"/>
        <v>0</v>
      </c>
      <c r="F327" s="397" t="e">
        <f t="shared" si="60"/>
        <v>#N/A</v>
      </c>
      <c r="G327" s="397" t="e">
        <f t="shared" ca="1" si="57"/>
        <v>#N/A</v>
      </c>
      <c r="H327" s="398" t="e">
        <f t="shared" ca="1" si="61"/>
        <v>#N/A</v>
      </c>
      <c r="I327" s="399">
        <f>MAX($J$5, INDEX(LIBOR!$M$3:$M$122,MATCH(B327,LIBOR!$N$3:$N$122)))</f>
        <v>5.1999999999999998E-2</v>
      </c>
      <c r="J327" s="400">
        <f t="shared" si="62"/>
        <v>0.10100000000000001</v>
      </c>
      <c r="L327" s="392">
        <f t="shared" si="68"/>
        <v>54088</v>
      </c>
      <c r="M327" s="357">
        <f t="shared" si="69"/>
        <v>379</v>
      </c>
      <c r="N327" s="397">
        <v>1601.4950136003906</v>
      </c>
      <c r="O327" s="397">
        <f t="shared" si="58"/>
        <v>0</v>
      </c>
      <c r="P327" s="397">
        <f t="shared" si="63"/>
        <v>10.918152217845323</v>
      </c>
      <c r="Q327" s="397">
        <f t="shared" si="59"/>
        <v>-10.918152217845323</v>
      </c>
      <c r="R327" s="398">
        <f t="shared" si="64"/>
        <v>1612.4131658182359</v>
      </c>
      <c r="S327" s="399">
        <f>INDEX(LIBOR!$M$3:$M$122,MATCH(L327,LIBOR!$N$3:$N$122))</f>
        <v>3.2809699999999997E-2</v>
      </c>
      <c r="T327" s="400">
        <f t="shared" si="65"/>
        <v>8.1809699999999999E-2</v>
      </c>
    </row>
    <row r="328" spans="2:20">
      <c r="B328" s="396">
        <f t="shared" si="66"/>
        <v>55915</v>
      </c>
      <c r="C328" s="357">
        <f t="shared" si="67"/>
        <v>439</v>
      </c>
      <c r="D328" s="397" t="e">
        <f>INDEX('Monthly Cash Flow'!$L$160:$GT$160, MATCH(C328, 'Monthly Cash Flow'!$L$13:$GT$13, 0))</f>
        <v>#N/A</v>
      </c>
      <c r="E328" s="397">
        <f t="shared" ca="1" si="56"/>
        <v>0</v>
      </c>
      <c r="F328" s="397" t="e">
        <f t="shared" si="60"/>
        <v>#N/A</v>
      </c>
      <c r="G328" s="397" t="e">
        <f t="shared" ca="1" si="57"/>
        <v>#N/A</v>
      </c>
      <c r="H328" s="398" t="e">
        <f t="shared" ca="1" si="61"/>
        <v>#N/A</v>
      </c>
      <c r="I328" s="399">
        <f>MAX($J$5, INDEX(LIBOR!$M$3:$M$122,MATCH(B328,LIBOR!$N$3:$N$122)))</f>
        <v>5.1999999999999998E-2</v>
      </c>
      <c r="J328" s="400">
        <f t="shared" si="62"/>
        <v>0.10100000000000001</v>
      </c>
      <c r="L328" s="392">
        <f t="shared" si="68"/>
        <v>54117</v>
      </c>
      <c r="M328" s="357">
        <f t="shared" si="69"/>
        <v>380</v>
      </c>
      <c r="N328" s="397">
        <v>1565.4035324960264</v>
      </c>
      <c r="O328" s="397">
        <f t="shared" si="58"/>
        <v>0</v>
      </c>
      <c r="P328" s="397">
        <f t="shared" si="63"/>
        <v>10.672099447703348</v>
      </c>
      <c r="Q328" s="397">
        <f t="shared" si="59"/>
        <v>-10.672099447703348</v>
      </c>
      <c r="R328" s="398">
        <f t="shared" si="64"/>
        <v>1576.0756319437298</v>
      </c>
      <c r="S328" s="399">
        <f>INDEX(LIBOR!$M$3:$M$122,MATCH(L328,LIBOR!$N$3:$N$122))</f>
        <v>3.2809699999999997E-2</v>
      </c>
      <c r="T328" s="400">
        <f t="shared" si="65"/>
        <v>8.1809699999999999E-2</v>
      </c>
    </row>
    <row r="329" spans="2:20">
      <c r="B329" s="396">
        <f t="shared" si="66"/>
        <v>55943</v>
      </c>
      <c r="C329" s="357">
        <f t="shared" si="67"/>
        <v>440</v>
      </c>
      <c r="D329" s="397" t="e">
        <f>INDEX('Monthly Cash Flow'!$L$160:$GT$160, MATCH(C329, 'Monthly Cash Flow'!$L$13:$GT$13, 0))</f>
        <v>#N/A</v>
      </c>
      <c r="E329" s="397">
        <f t="shared" ref="E329:E366" ca="1" si="70">-PMT(J329/12,$E$2*12,$D$9,)</f>
        <v>0</v>
      </c>
      <c r="F329" s="397" t="e">
        <f t="shared" si="60"/>
        <v>#N/A</v>
      </c>
      <c r="G329" s="397" t="e">
        <f t="shared" ref="G329:G366" ca="1" si="71">+E329-F329</f>
        <v>#N/A</v>
      </c>
      <c r="H329" s="398" t="e">
        <f t="shared" ca="1" si="61"/>
        <v>#N/A</v>
      </c>
      <c r="I329" s="399">
        <f>MAX($J$5, INDEX(LIBOR!$M$3:$M$122,MATCH(B329,LIBOR!$N$3:$N$122)))</f>
        <v>5.1999999999999998E-2</v>
      </c>
      <c r="J329" s="400">
        <f t="shared" si="62"/>
        <v>0.10100000000000001</v>
      </c>
      <c r="L329" s="392">
        <f t="shared" si="68"/>
        <v>54148</v>
      </c>
      <c r="M329" s="357">
        <f t="shared" si="69"/>
        <v>381</v>
      </c>
      <c r="N329" s="397">
        <v>1529.1476628158152</v>
      </c>
      <c r="O329" s="397">
        <f t="shared" ref="O329:O366" si="72">-PMT(T329/12,$O$2*12,$N$9,)</f>
        <v>0</v>
      </c>
      <c r="P329" s="397">
        <f t="shared" si="63"/>
        <v>10.42492596255525</v>
      </c>
      <c r="Q329" s="397">
        <f t="shared" ref="Q329:Q366" si="73">+O329-P329</f>
        <v>-10.42492596255525</v>
      </c>
      <c r="R329" s="398">
        <f t="shared" si="64"/>
        <v>1539.5725887783706</v>
      </c>
      <c r="S329" s="399">
        <f>INDEX(LIBOR!$M$3:$M$122,MATCH(L329,LIBOR!$N$3:$N$122))</f>
        <v>3.2809699999999997E-2</v>
      </c>
      <c r="T329" s="400">
        <f t="shared" si="65"/>
        <v>8.1809699999999999E-2</v>
      </c>
    </row>
    <row r="330" spans="2:20">
      <c r="B330" s="396">
        <f t="shared" si="66"/>
        <v>55974</v>
      </c>
      <c r="C330" s="357">
        <f t="shared" si="67"/>
        <v>441</v>
      </c>
      <c r="D330" s="397" t="e">
        <f>INDEX('Monthly Cash Flow'!$L$160:$GT$160, MATCH(C330, 'Monthly Cash Flow'!$L$13:$GT$13, 0))</f>
        <v>#N/A</v>
      </c>
      <c r="E330" s="397">
        <f t="shared" ca="1" si="70"/>
        <v>0</v>
      </c>
      <c r="F330" s="397" t="e">
        <f t="shared" ref="F330:F366" si="74">D330*J330/12</f>
        <v>#N/A</v>
      </c>
      <c r="G330" s="397" t="e">
        <f t="shared" ca="1" si="71"/>
        <v>#N/A</v>
      </c>
      <c r="H330" s="398" t="e">
        <f t="shared" ref="H330:H366" ca="1" si="75">+D330-G330</f>
        <v>#N/A</v>
      </c>
      <c r="I330" s="399">
        <f>MAX($J$5, INDEX(LIBOR!$M$3:$M$122,MATCH(B330,LIBOR!$N$3:$N$122)))</f>
        <v>5.1999999999999998E-2</v>
      </c>
      <c r="J330" s="400">
        <f t="shared" ref="J330:J366" si="76">IF($I$2=1,I330+$J$4/10000,$J$3)</f>
        <v>0.10100000000000001</v>
      </c>
      <c r="L330" s="392">
        <f t="shared" si="68"/>
        <v>54178</v>
      </c>
      <c r="M330" s="357">
        <f t="shared" si="69"/>
        <v>382</v>
      </c>
      <c r="N330" s="397">
        <v>1492.7266558067813</v>
      </c>
      <c r="O330" s="397">
        <f t="shared" si="72"/>
        <v>0</v>
      </c>
      <c r="P330" s="397">
        <f t="shared" ref="P330:P366" si="77">N330*T330/12</f>
        <v>10.176626657796335</v>
      </c>
      <c r="Q330" s="397">
        <f t="shared" si="73"/>
        <v>-10.176626657796335</v>
      </c>
      <c r="R330" s="398">
        <f t="shared" ref="R330:R366" si="78">+N330-Q330</f>
        <v>1502.9032824645776</v>
      </c>
      <c r="S330" s="399">
        <f>INDEX(LIBOR!$M$3:$M$122,MATCH(L330,LIBOR!$N$3:$N$122))</f>
        <v>3.2809699999999997E-2</v>
      </c>
      <c r="T330" s="400">
        <f t="shared" ref="T330:T366" si="79">IF($S$2=1,S330+$T$4/10000,$T$3)</f>
        <v>8.1809699999999999E-2</v>
      </c>
    </row>
    <row r="331" spans="2:20">
      <c r="B331" s="396">
        <f t="shared" ref="B331:B366" si="80">EOMONTH(B330,1)</f>
        <v>56004</v>
      </c>
      <c r="C331" s="357">
        <f t="shared" ref="C331:C366" si="81">+C330+1</f>
        <v>442</v>
      </c>
      <c r="D331" s="397" t="e">
        <f>INDEX('Monthly Cash Flow'!$L$160:$GT$160, MATCH(C331, 'Monthly Cash Flow'!$L$13:$GT$13, 0))</f>
        <v>#N/A</v>
      </c>
      <c r="E331" s="397">
        <f t="shared" ca="1" si="70"/>
        <v>0</v>
      </c>
      <c r="F331" s="397" t="e">
        <f t="shared" si="74"/>
        <v>#N/A</v>
      </c>
      <c r="G331" s="397" t="e">
        <f t="shared" ca="1" si="71"/>
        <v>#N/A</v>
      </c>
      <c r="H331" s="398" t="e">
        <f t="shared" ca="1" si="75"/>
        <v>#N/A</v>
      </c>
      <c r="I331" s="399">
        <f>MAX($J$5, INDEX(LIBOR!$M$3:$M$122,MATCH(B331,LIBOR!$N$3:$N$122)))</f>
        <v>5.1999999999999998E-2</v>
      </c>
      <c r="J331" s="400">
        <f t="shared" si="76"/>
        <v>0.10100000000000001</v>
      </c>
      <c r="L331" s="392">
        <f t="shared" ref="L331:L366" si="82">EOMONTH(L330,1)</f>
        <v>54209</v>
      </c>
      <c r="M331" s="357">
        <f t="shared" ref="M331:M366" si="83">+M330+1</f>
        <v>383</v>
      </c>
      <c r="N331" s="397">
        <v>1456.1397593055478</v>
      </c>
      <c r="O331" s="397">
        <f t="shared" si="72"/>
        <v>0</v>
      </c>
      <c r="P331" s="397">
        <f t="shared" si="77"/>
        <v>9.9271964055715891</v>
      </c>
      <c r="Q331" s="397">
        <f t="shared" si="73"/>
        <v>-9.9271964055715891</v>
      </c>
      <c r="R331" s="398">
        <f t="shared" si="78"/>
        <v>1466.0669557111194</v>
      </c>
      <c r="S331" s="399">
        <f>INDEX(LIBOR!$M$3:$M$122,MATCH(L331,LIBOR!$N$3:$N$122))</f>
        <v>3.2809699999999997E-2</v>
      </c>
      <c r="T331" s="400">
        <f t="shared" si="79"/>
        <v>8.1809699999999999E-2</v>
      </c>
    </row>
    <row r="332" spans="2:20">
      <c r="B332" s="396">
        <f t="shared" si="80"/>
        <v>56035</v>
      </c>
      <c r="C332" s="357">
        <f t="shared" si="81"/>
        <v>443</v>
      </c>
      <c r="D332" s="397" t="e">
        <f>INDEX('Monthly Cash Flow'!$L$160:$GT$160, MATCH(C332, 'Monthly Cash Flow'!$L$13:$GT$13, 0))</f>
        <v>#N/A</v>
      </c>
      <c r="E332" s="397">
        <f t="shared" ca="1" si="70"/>
        <v>0</v>
      </c>
      <c r="F332" s="397" t="e">
        <f t="shared" si="74"/>
        <v>#N/A</v>
      </c>
      <c r="G332" s="397" t="e">
        <f t="shared" ca="1" si="71"/>
        <v>#N/A</v>
      </c>
      <c r="H332" s="398" t="e">
        <f t="shared" ca="1" si="75"/>
        <v>#N/A</v>
      </c>
      <c r="I332" s="399">
        <f>MAX($J$5, INDEX(LIBOR!$M$3:$M$122,MATCH(B332,LIBOR!$N$3:$N$122)))</f>
        <v>5.1999999999999998E-2</v>
      </c>
      <c r="J332" s="400">
        <f t="shared" si="76"/>
        <v>0.10100000000000001</v>
      </c>
      <c r="L332" s="392">
        <f t="shared" si="82"/>
        <v>54239</v>
      </c>
      <c r="M332" s="357">
        <f t="shared" si="83"/>
        <v>384</v>
      </c>
      <c r="N332" s="397">
        <v>1419.3862177228029</v>
      </c>
      <c r="O332" s="397">
        <f t="shared" si="72"/>
        <v>0</v>
      </c>
      <c r="P332" s="397">
        <f t="shared" si="77"/>
        <v>9.6766300546697668</v>
      </c>
      <c r="Q332" s="397">
        <f t="shared" si="73"/>
        <v>-9.6766300546697668</v>
      </c>
      <c r="R332" s="398">
        <f t="shared" si="78"/>
        <v>1429.0628477774726</v>
      </c>
      <c r="S332" s="399">
        <f>INDEX(LIBOR!$M$3:$M$122,MATCH(L332,LIBOR!$N$3:$N$122))</f>
        <v>3.2809699999999997E-2</v>
      </c>
      <c r="T332" s="400">
        <f t="shared" si="79"/>
        <v>8.1809699999999999E-2</v>
      </c>
    </row>
    <row r="333" spans="2:20">
      <c r="B333" s="396">
        <f t="shared" si="80"/>
        <v>56065</v>
      </c>
      <c r="C333" s="357">
        <f t="shared" si="81"/>
        <v>444</v>
      </c>
      <c r="D333" s="397" t="e">
        <f>INDEX('Monthly Cash Flow'!$L$160:$GT$160, MATCH(C333, 'Monthly Cash Flow'!$L$13:$GT$13, 0))</f>
        <v>#N/A</v>
      </c>
      <c r="E333" s="397">
        <f t="shared" ca="1" si="70"/>
        <v>0</v>
      </c>
      <c r="F333" s="397" t="e">
        <f t="shared" si="74"/>
        <v>#N/A</v>
      </c>
      <c r="G333" s="397" t="e">
        <f t="shared" ca="1" si="71"/>
        <v>#N/A</v>
      </c>
      <c r="H333" s="398" t="e">
        <f t="shared" ca="1" si="75"/>
        <v>#N/A</v>
      </c>
      <c r="I333" s="399">
        <f>MAX($J$5, INDEX(LIBOR!$M$3:$M$122,MATCH(B333,LIBOR!$N$3:$N$122)))</f>
        <v>5.1999999999999998E-2</v>
      </c>
      <c r="J333" s="400">
        <f t="shared" si="76"/>
        <v>0.10100000000000001</v>
      </c>
      <c r="L333" s="392">
        <f t="shared" si="82"/>
        <v>54270</v>
      </c>
      <c r="M333" s="357">
        <f t="shared" si="83"/>
        <v>385</v>
      </c>
      <c r="N333" s="397">
        <v>1382.4652720276954</v>
      </c>
      <c r="O333" s="397">
        <f t="shared" si="72"/>
        <v>0</v>
      </c>
      <c r="P333" s="397">
        <f t="shared" si="77"/>
        <v>9.4249224304170127</v>
      </c>
      <c r="Q333" s="397">
        <f t="shared" si="73"/>
        <v>-9.4249224304170127</v>
      </c>
      <c r="R333" s="398">
        <f t="shared" si="78"/>
        <v>1391.8901944581123</v>
      </c>
      <c r="S333" s="399">
        <f>INDEX(LIBOR!$M$3:$M$122,MATCH(L333,LIBOR!$N$3:$N$122))</f>
        <v>3.2809699999999997E-2</v>
      </c>
      <c r="T333" s="400">
        <f t="shared" si="79"/>
        <v>8.1809699999999999E-2</v>
      </c>
    </row>
    <row r="334" spans="2:20">
      <c r="B334" s="396">
        <f t="shared" si="80"/>
        <v>56096</v>
      </c>
      <c r="C334" s="357">
        <f t="shared" si="81"/>
        <v>445</v>
      </c>
      <c r="D334" s="397" t="e">
        <f>INDEX('Monthly Cash Flow'!$L$160:$GT$160, MATCH(C334, 'Monthly Cash Flow'!$L$13:$GT$13, 0))</f>
        <v>#N/A</v>
      </c>
      <c r="E334" s="397">
        <f t="shared" ca="1" si="70"/>
        <v>0</v>
      </c>
      <c r="F334" s="397" t="e">
        <f t="shared" si="74"/>
        <v>#N/A</v>
      </c>
      <c r="G334" s="397" t="e">
        <f t="shared" ca="1" si="71"/>
        <v>#N/A</v>
      </c>
      <c r="H334" s="398" t="e">
        <f t="shared" ca="1" si="75"/>
        <v>#N/A</v>
      </c>
      <c r="I334" s="399">
        <f>MAX($J$5, INDEX(LIBOR!$M$3:$M$122,MATCH(B334,LIBOR!$N$3:$N$122)))</f>
        <v>5.1999999999999998E-2</v>
      </c>
      <c r="J334" s="400">
        <f t="shared" si="76"/>
        <v>0.10100000000000001</v>
      </c>
      <c r="L334" s="392">
        <f t="shared" si="82"/>
        <v>54301</v>
      </c>
      <c r="M334" s="357">
        <f t="shared" si="83"/>
        <v>386</v>
      </c>
      <c r="N334" s="397">
        <v>1345.3761597321595</v>
      </c>
      <c r="O334" s="397">
        <f t="shared" si="72"/>
        <v>0</v>
      </c>
      <c r="P334" s="397">
        <f t="shared" si="77"/>
        <v>9.1720683345700049</v>
      </c>
      <c r="Q334" s="397">
        <f t="shared" si="73"/>
        <v>-9.1720683345700049</v>
      </c>
      <c r="R334" s="398">
        <f t="shared" si="78"/>
        <v>1354.5482280667295</v>
      </c>
      <c r="S334" s="399">
        <f>INDEX(LIBOR!$M$3:$M$122,MATCH(L334,LIBOR!$N$3:$N$122))</f>
        <v>3.2809699999999997E-2</v>
      </c>
      <c r="T334" s="400">
        <f t="shared" si="79"/>
        <v>8.1809699999999999E-2</v>
      </c>
    </row>
    <row r="335" spans="2:20">
      <c r="B335" s="396">
        <f t="shared" si="80"/>
        <v>56127</v>
      </c>
      <c r="C335" s="357">
        <f t="shared" si="81"/>
        <v>446</v>
      </c>
      <c r="D335" s="397" t="e">
        <f>INDEX('Monthly Cash Flow'!$L$160:$GT$160, MATCH(C335, 'Monthly Cash Flow'!$L$13:$GT$13, 0))</f>
        <v>#N/A</v>
      </c>
      <c r="E335" s="397">
        <f t="shared" ca="1" si="70"/>
        <v>0</v>
      </c>
      <c r="F335" s="397" t="e">
        <f t="shared" si="74"/>
        <v>#N/A</v>
      </c>
      <c r="G335" s="397" t="e">
        <f t="shared" ca="1" si="71"/>
        <v>#N/A</v>
      </c>
      <c r="H335" s="398" t="e">
        <f t="shared" ca="1" si="75"/>
        <v>#N/A</v>
      </c>
      <c r="I335" s="399">
        <f>MAX($J$5, INDEX(LIBOR!$M$3:$M$122,MATCH(B335,LIBOR!$N$3:$N$122)))</f>
        <v>5.1999999999999998E-2</v>
      </c>
      <c r="J335" s="400">
        <f t="shared" si="76"/>
        <v>0.10100000000000001</v>
      </c>
      <c r="L335" s="392">
        <f t="shared" si="82"/>
        <v>54331</v>
      </c>
      <c r="M335" s="357">
        <f t="shared" si="83"/>
        <v>387</v>
      </c>
      <c r="N335" s="397">
        <v>1308.1181148751677</v>
      </c>
      <c r="O335" s="397">
        <f t="shared" si="72"/>
        <v>0</v>
      </c>
      <c r="P335" s="397">
        <f t="shared" si="77"/>
        <v>8.9180625452085831</v>
      </c>
      <c r="Q335" s="397">
        <f t="shared" si="73"/>
        <v>-8.9180625452085831</v>
      </c>
      <c r="R335" s="398">
        <f t="shared" si="78"/>
        <v>1317.0361774203764</v>
      </c>
      <c r="S335" s="399">
        <f>INDEX(LIBOR!$M$3:$M$122,MATCH(L335,LIBOR!$N$3:$N$122))</f>
        <v>3.2809699999999997E-2</v>
      </c>
      <c r="T335" s="400">
        <f t="shared" si="79"/>
        <v>8.1809699999999999E-2</v>
      </c>
    </row>
    <row r="336" spans="2:20">
      <c r="B336" s="396">
        <f t="shared" si="80"/>
        <v>56157</v>
      </c>
      <c r="C336" s="357">
        <f t="shared" si="81"/>
        <v>447</v>
      </c>
      <c r="D336" s="397" t="e">
        <f>INDEX('Monthly Cash Flow'!$L$160:$GT$160, MATCH(C336, 'Monthly Cash Flow'!$L$13:$GT$13, 0))</f>
        <v>#N/A</v>
      </c>
      <c r="E336" s="397">
        <f t="shared" ca="1" si="70"/>
        <v>0</v>
      </c>
      <c r="F336" s="397" t="e">
        <f t="shared" si="74"/>
        <v>#N/A</v>
      </c>
      <c r="G336" s="397" t="e">
        <f t="shared" ca="1" si="71"/>
        <v>#N/A</v>
      </c>
      <c r="H336" s="398" t="e">
        <f t="shared" ca="1" si="75"/>
        <v>#N/A</v>
      </c>
      <c r="I336" s="399">
        <f>MAX($J$5, INDEX(LIBOR!$M$3:$M$122,MATCH(B336,LIBOR!$N$3:$N$122)))</f>
        <v>5.1999999999999998E-2</v>
      </c>
      <c r="J336" s="400">
        <f t="shared" si="76"/>
        <v>0.10100000000000001</v>
      </c>
      <c r="L336" s="392">
        <f t="shared" si="82"/>
        <v>54362</v>
      </c>
      <c r="M336" s="357">
        <f t="shared" si="83"/>
        <v>388</v>
      </c>
      <c r="N336" s="397">
        <v>1270.6903680069124</v>
      </c>
      <c r="O336" s="397">
        <f t="shared" si="72"/>
        <v>0</v>
      </c>
      <c r="P336" s="397">
        <f t="shared" si="77"/>
        <v>8.6628998166279256</v>
      </c>
      <c r="Q336" s="397">
        <f t="shared" si="73"/>
        <v>-8.6628998166279256</v>
      </c>
      <c r="R336" s="398">
        <f t="shared" si="78"/>
        <v>1279.3532678235404</v>
      </c>
      <c r="S336" s="399">
        <f>INDEX(LIBOR!$M$3:$M$122,MATCH(L336,LIBOR!$N$3:$N$122))</f>
        <v>3.2809699999999997E-2</v>
      </c>
      <c r="T336" s="400">
        <f t="shared" si="79"/>
        <v>8.1809699999999999E-2</v>
      </c>
    </row>
    <row r="337" spans="2:20">
      <c r="B337" s="396">
        <f t="shared" si="80"/>
        <v>56188</v>
      </c>
      <c r="C337" s="357">
        <f t="shared" si="81"/>
        <v>448</v>
      </c>
      <c r="D337" s="397" t="e">
        <f>INDEX('Monthly Cash Flow'!$L$160:$GT$160, MATCH(C337, 'Monthly Cash Flow'!$L$13:$GT$13, 0))</f>
        <v>#N/A</v>
      </c>
      <c r="E337" s="397">
        <f t="shared" ca="1" si="70"/>
        <v>0</v>
      </c>
      <c r="F337" s="397" t="e">
        <f t="shared" si="74"/>
        <v>#N/A</v>
      </c>
      <c r="G337" s="397" t="e">
        <f t="shared" ca="1" si="71"/>
        <v>#N/A</v>
      </c>
      <c r="H337" s="398" t="e">
        <f t="shared" ca="1" si="75"/>
        <v>#N/A</v>
      </c>
      <c r="I337" s="399">
        <f>MAX($J$5, INDEX(LIBOR!$M$3:$M$122,MATCH(B337,LIBOR!$N$3:$N$122)))</f>
        <v>5.1999999999999998E-2</v>
      </c>
      <c r="J337" s="400">
        <f t="shared" si="76"/>
        <v>0.10100000000000001</v>
      </c>
      <c r="L337" s="392">
        <f t="shared" si="82"/>
        <v>54392</v>
      </c>
      <c r="M337" s="357">
        <f t="shared" si="83"/>
        <v>389</v>
      </c>
      <c r="N337" s="397">
        <v>1233.0921461729154</v>
      </c>
      <c r="O337" s="397">
        <f t="shared" si="72"/>
        <v>0</v>
      </c>
      <c r="P337" s="397">
        <f t="shared" si="77"/>
        <v>8.4065748792301971</v>
      </c>
      <c r="Q337" s="397">
        <f t="shared" si="73"/>
        <v>-8.4065748792301971</v>
      </c>
      <c r="R337" s="398">
        <f t="shared" si="78"/>
        <v>1241.4987210521456</v>
      </c>
      <c r="S337" s="399">
        <f>INDEX(LIBOR!$M$3:$M$122,MATCH(L337,LIBOR!$N$3:$N$122))</f>
        <v>3.2809699999999997E-2</v>
      </c>
      <c r="T337" s="400">
        <f t="shared" si="79"/>
        <v>8.1809699999999999E-2</v>
      </c>
    </row>
    <row r="338" spans="2:20">
      <c r="B338" s="396">
        <f t="shared" si="80"/>
        <v>56218</v>
      </c>
      <c r="C338" s="357">
        <f t="shared" si="81"/>
        <v>449</v>
      </c>
      <c r="D338" s="397" t="e">
        <f>INDEX('Monthly Cash Flow'!$L$160:$GT$160, MATCH(C338, 'Monthly Cash Flow'!$L$13:$GT$13, 0))</f>
        <v>#N/A</v>
      </c>
      <c r="E338" s="397">
        <f t="shared" ca="1" si="70"/>
        <v>0</v>
      </c>
      <c r="F338" s="397" t="e">
        <f t="shared" si="74"/>
        <v>#N/A</v>
      </c>
      <c r="G338" s="397" t="e">
        <f t="shared" ca="1" si="71"/>
        <v>#N/A</v>
      </c>
      <c r="H338" s="398" t="e">
        <f t="shared" ca="1" si="75"/>
        <v>#N/A</v>
      </c>
      <c r="I338" s="399">
        <f>MAX($J$5, INDEX(LIBOR!$M$3:$M$122,MATCH(B338,LIBOR!$N$3:$N$122)))</f>
        <v>5.1999999999999998E-2</v>
      </c>
      <c r="J338" s="400">
        <f t="shared" si="76"/>
        <v>0.10100000000000001</v>
      </c>
      <c r="L338" s="392">
        <f t="shared" si="82"/>
        <v>54423</v>
      </c>
      <c r="M338" s="357">
        <f t="shared" si="83"/>
        <v>390</v>
      </c>
      <c r="N338" s="397">
        <v>1195.3226728980642</v>
      </c>
      <c r="O338" s="397">
        <f t="shared" si="72"/>
        <v>0</v>
      </c>
      <c r="P338" s="397">
        <f t="shared" si="77"/>
        <v>8.1490824394157304</v>
      </c>
      <c r="Q338" s="397">
        <f t="shared" si="73"/>
        <v>-8.1490824394157304</v>
      </c>
      <c r="R338" s="398">
        <f t="shared" si="78"/>
        <v>1203.4717553374799</v>
      </c>
      <c r="S338" s="399">
        <f>INDEX(LIBOR!$M$3:$M$122,MATCH(L338,LIBOR!$N$3:$N$122))</f>
        <v>3.2809699999999997E-2</v>
      </c>
      <c r="T338" s="400">
        <f t="shared" si="79"/>
        <v>8.1809699999999999E-2</v>
      </c>
    </row>
    <row r="339" spans="2:20">
      <c r="B339" s="396">
        <f t="shared" si="80"/>
        <v>56249</v>
      </c>
      <c r="C339" s="357">
        <f t="shared" si="81"/>
        <v>450</v>
      </c>
      <c r="D339" s="397" t="e">
        <f>INDEX('Monthly Cash Flow'!$L$160:$GT$160, MATCH(C339, 'Monthly Cash Flow'!$L$13:$GT$13, 0))</f>
        <v>#N/A</v>
      </c>
      <c r="E339" s="397">
        <f t="shared" ca="1" si="70"/>
        <v>0</v>
      </c>
      <c r="F339" s="397" t="e">
        <f t="shared" si="74"/>
        <v>#N/A</v>
      </c>
      <c r="G339" s="397" t="e">
        <f t="shared" ca="1" si="71"/>
        <v>#N/A</v>
      </c>
      <c r="H339" s="398" t="e">
        <f t="shared" ca="1" si="75"/>
        <v>#N/A</v>
      </c>
      <c r="I339" s="399">
        <f>MAX($J$5, INDEX(LIBOR!$M$3:$M$122,MATCH(B339,LIBOR!$N$3:$N$122)))</f>
        <v>5.1999999999999998E-2</v>
      </c>
      <c r="J339" s="400">
        <f t="shared" si="76"/>
        <v>0.10100000000000001</v>
      </c>
      <c r="L339" s="392">
        <f t="shared" si="82"/>
        <v>54454</v>
      </c>
      <c r="M339" s="357">
        <f t="shared" si="83"/>
        <v>391</v>
      </c>
      <c r="N339" s="397">
        <v>1157.3811681705777</v>
      </c>
      <c r="O339" s="397">
        <f t="shared" si="72"/>
        <v>0</v>
      </c>
      <c r="P339" s="397">
        <f t="shared" si="77"/>
        <v>7.890417179473709</v>
      </c>
      <c r="Q339" s="397">
        <f t="shared" si="73"/>
        <v>-7.890417179473709</v>
      </c>
      <c r="R339" s="398">
        <f t="shared" si="78"/>
        <v>1165.2715853500513</v>
      </c>
      <c r="S339" s="399">
        <f>INDEX(LIBOR!$M$3:$M$122,MATCH(L339,LIBOR!$N$3:$N$122))</f>
        <v>3.2809699999999997E-2</v>
      </c>
      <c r="T339" s="400">
        <f t="shared" si="79"/>
        <v>8.1809699999999999E-2</v>
      </c>
    </row>
    <row r="340" spans="2:20">
      <c r="B340" s="396">
        <f t="shared" si="80"/>
        <v>56280</v>
      </c>
      <c r="C340" s="357">
        <f t="shared" si="81"/>
        <v>451</v>
      </c>
      <c r="D340" s="397" t="e">
        <f>INDEX('Monthly Cash Flow'!$L$160:$GT$160, MATCH(C340, 'Monthly Cash Flow'!$L$13:$GT$13, 0))</f>
        <v>#N/A</v>
      </c>
      <c r="E340" s="397">
        <f t="shared" ca="1" si="70"/>
        <v>0</v>
      </c>
      <c r="F340" s="397" t="e">
        <f t="shared" si="74"/>
        <v>#N/A</v>
      </c>
      <c r="G340" s="397" t="e">
        <f t="shared" ca="1" si="71"/>
        <v>#N/A</v>
      </c>
      <c r="H340" s="398" t="e">
        <f t="shared" ca="1" si="75"/>
        <v>#N/A</v>
      </c>
      <c r="I340" s="399">
        <f>MAX($J$5, INDEX(LIBOR!$M$3:$M$122,MATCH(B340,LIBOR!$N$3:$N$122)))</f>
        <v>5.1999999999999998E-2</v>
      </c>
      <c r="J340" s="400">
        <f t="shared" si="76"/>
        <v>0.10100000000000001</v>
      </c>
      <c r="L340" s="392">
        <f t="shared" si="82"/>
        <v>54482</v>
      </c>
      <c r="M340" s="357">
        <f t="shared" si="83"/>
        <v>392</v>
      </c>
      <c r="N340" s="397">
        <v>1119.2668484258959</v>
      </c>
      <c r="O340" s="397">
        <f t="shared" si="72"/>
        <v>0</v>
      </c>
      <c r="P340" s="397">
        <f t="shared" si="77"/>
        <v>7.6305737574723347</v>
      </c>
      <c r="Q340" s="397">
        <f t="shared" si="73"/>
        <v>-7.6305737574723347</v>
      </c>
      <c r="R340" s="398">
        <f t="shared" si="78"/>
        <v>1126.8974221833682</v>
      </c>
      <c r="S340" s="399">
        <f>INDEX(LIBOR!$M$3:$M$122,MATCH(L340,LIBOR!$N$3:$N$122))</f>
        <v>3.2809699999999997E-2</v>
      </c>
      <c r="T340" s="400">
        <f t="shared" si="79"/>
        <v>8.1809699999999999E-2</v>
      </c>
    </row>
    <row r="341" spans="2:20">
      <c r="B341" s="396">
        <f t="shared" si="80"/>
        <v>56308</v>
      </c>
      <c r="C341" s="357">
        <f t="shared" si="81"/>
        <v>452</v>
      </c>
      <c r="D341" s="397" t="e">
        <f>INDEX('Monthly Cash Flow'!$L$160:$GT$160, MATCH(C341, 'Monthly Cash Flow'!$L$13:$GT$13, 0))</f>
        <v>#N/A</v>
      </c>
      <c r="E341" s="397">
        <f t="shared" ca="1" si="70"/>
        <v>0</v>
      </c>
      <c r="F341" s="397" t="e">
        <f t="shared" si="74"/>
        <v>#N/A</v>
      </c>
      <c r="G341" s="397" t="e">
        <f t="shared" ca="1" si="71"/>
        <v>#N/A</v>
      </c>
      <c r="H341" s="398" t="e">
        <f t="shared" ca="1" si="75"/>
        <v>#N/A</v>
      </c>
      <c r="I341" s="399">
        <f>MAX($J$5, INDEX(LIBOR!$M$3:$M$122,MATCH(B341,LIBOR!$N$3:$N$122)))</f>
        <v>5.1999999999999998E-2</v>
      </c>
      <c r="J341" s="400">
        <f t="shared" si="76"/>
        <v>0.10100000000000001</v>
      </c>
      <c r="L341" s="392">
        <f t="shared" si="82"/>
        <v>54513</v>
      </c>
      <c r="M341" s="357">
        <f t="shared" si="83"/>
        <v>393</v>
      </c>
      <c r="N341" s="397">
        <v>1080.9789265304992</v>
      </c>
      <c r="O341" s="397">
        <f t="shared" si="72"/>
        <v>0</v>
      </c>
      <c r="P341" s="397">
        <f t="shared" si="77"/>
        <v>7.369546807148514</v>
      </c>
      <c r="Q341" s="397">
        <f t="shared" si="73"/>
        <v>-7.369546807148514</v>
      </c>
      <c r="R341" s="398">
        <f t="shared" si="78"/>
        <v>1088.3484733376476</v>
      </c>
      <c r="S341" s="399">
        <f>INDEX(LIBOR!$M$3:$M$122,MATCH(L341,LIBOR!$N$3:$N$122))</f>
        <v>3.2809699999999997E-2</v>
      </c>
      <c r="T341" s="400">
        <f t="shared" si="79"/>
        <v>8.1809699999999999E-2</v>
      </c>
    </row>
    <row r="342" spans="2:20">
      <c r="B342" s="396">
        <f t="shared" si="80"/>
        <v>56339</v>
      </c>
      <c r="C342" s="357">
        <f t="shared" si="81"/>
        <v>453</v>
      </c>
      <c r="D342" s="397" t="e">
        <f>INDEX('Monthly Cash Flow'!$L$160:$GT$160, MATCH(C342, 'Monthly Cash Flow'!$L$13:$GT$13, 0))</f>
        <v>#N/A</v>
      </c>
      <c r="E342" s="397">
        <f t="shared" ca="1" si="70"/>
        <v>0</v>
      </c>
      <c r="F342" s="397" t="e">
        <f t="shared" si="74"/>
        <v>#N/A</v>
      </c>
      <c r="G342" s="397" t="e">
        <f t="shared" ca="1" si="71"/>
        <v>#N/A</v>
      </c>
      <c r="H342" s="398" t="e">
        <f t="shared" ca="1" si="75"/>
        <v>#N/A</v>
      </c>
      <c r="I342" s="399">
        <f>MAX($J$5, INDEX(LIBOR!$M$3:$M$122,MATCH(B342,LIBOR!$N$3:$N$122)))</f>
        <v>5.1999999999999998E-2</v>
      </c>
      <c r="J342" s="400">
        <f t="shared" si="76"/>
        <v>0.10100000000000001</v>
      </c>
      <c r="L342" s="392">
        <f t="shared" si="82"/>
        <v>54543</v>
      </c>
      <c r="M342" s="357">
        <f t="shared" si="83"/>
        <v>394</v>
      </c>
      <c r="N342" s="397">
        <v>1042.5166117656513</v>
      </c>
      <c r="O342" s="397">
        <f t="shared" si="72"/>
        <v>0</v>
      </c>
      <c r="P342" s="397">
        <f t="shared" si="77"/>
        <v>7.107330937797034</v>
      </c>
      <c r="Q342" s="397">
        <f t="shared" si="73"/>
        <v>-7.107330937797034</v>
      </c>
      <c r="R342" s="398">
        <f t="shared" si="78"/>
        <v>1049.6239427034484</v>
      </c>
      <c r="S342" s="399">
        <f>INDEX(LIBOR!$M$3:$M$122,MATCH(L342,LIBOR!$N$3:$N$122))</f>
        <v>3.2809699999999997E-2</v>
      </c>
      <c r="T342" s="400">
        <f t="shared" si="79"/>
        <v>8.1809699999999999E-2</v>
      </c>
    </row>
    <row r="343" spans="2:20">
      <c r="B343" s="396">
        <f t="shared" si="80"/>
        <v>56369</v>
      </c>
      <c r="C343" s="357">
        <f t="shared" si="81"/>
        <v>454</v>
      </c>
      <c r="D343" s="397" t="e">
        <f>INDEX('Monthly Cash Flow'!$L$160:$GT$160, MATCH(C343, 'Monthly Cash Flow'!$L$13:$GT$13, 0))</f>
        <v>#N/A</v>
      </c>
      <c r="E343" s="397">
        <f t="shared" ca="1" si="70"/>
        <v>0</v>
      </c>
      <c r="F343" s="397" t="e">
        <f t="shared" si="74"/>
        <v>#N/A</v>
      </c>
      <c r="G343" s="397" t="e">
        <f t="shared" ca="1" si="71"/>
        <v>#N/A</v>
      </c>
      <c r="H343" s="398" t="e">
        <f t="shared" ca="1" si="75"/>
        <v>#N/A</v>
      </c>
      <c r="I343" s="399">
        <f>MAX($J$5, INDEX(LIBOR!$M$3:$M$122,MATCH(B343,LIBOR!$N$3:$N$122)))</f>
        <v>5.1999999999999998E-2</v>
      </c>
      <c r="J343" s="400">
        <f t="shared" si="76"/>
        <v>0.10100000000000001</v>
      </c>
      <c r="L343" s="392">
        <f t="shared" si="82"/>
        <v>54574</v>
      </c>
      <c r="M343" s="357">
        <f t="shared" si="83"/>
        <v>395</v>
      </c>
      <c r="N343" s="397">
        <v>1003.8791098110704</v>
      </c>
      <c r="O343" s="397">
        <f t="shared" si="72"/>
        <v>0</v>
      </c>
      <c r="P343" s="397">
        <f t="shared" si="77"/>
        <v>6.8439207341592274</v>
      </c>
      <c r="Q343" s="397">
        <f t="shared" si="73"/>
        <v>-6.8439207341592274</v>
      </c>
      <c r="R343" s="398">
        <f t="shared" si="78"/>
        <v>1010.7230305452297</v>
      </c>
      <c r="S343" s="399">
        <f>INDEX(LIBOR!$M$3:$M$122,MATCH(L343,LIBOR!$N$3:$N$122))</f>
        <v>3.2809699999999997E-2</v>
      </c>
      <c r="T343" s="400">
        <f t="shared" si="79"/>
        <v>8.1809699999999999E-2</v>
      </c>
    </row>
    <row r="344" spans="2:20">
      <c r="B344" s="396">
        <f t="shared" si="80"/>
        <v>56400</v>
      </c>
      <c r="C344" s="357">
        <f t="shared" si="81"/>
        <v>455</v>
      </c>
      <c r="D344" s="397" t="e">
        <f>INDEX('Monthly Cash Flow'!$L$160:$GT$160, MATCH(C344, 'Monthly Cash Flow'!$L$13:$GT$13, 0))</f>
        <v>#N/A</v>
      </c>
      <c r="E344" s="397">
        <f t="shared" ca="1" si="70"/>
        <v>0</v>
      </c>
      <c r="F344" s="397" t="e">
        <f t="shared" si="74"/>
        <v>#N/A</v>
      </c>
      <c r="G344" s="397" t="e">
        <f t="shared" ca="1" si="71"/>
        <v>#N/A</v>
      </c>
      <c r="H344" s="398" t="e">
        <f t="shared" ca="1" si="75"/>
        <v>#N/A</v>
      </c>
      <c r="I344" s="399">
        <f>MAX($J$5, INDEX(LIBOR!$M$3:$M$122,MATCH(B344,LIBOR!$N$3:$N$122)))</f>
        <v>5.1999999999999998E-2</v>
      </c>
      <c r="J344" s="400">
        <f t="shared" si="76"/>
        <v>0.10100000000000001</v>
      </c>
      <c r="L344" s="392">
        <f t="shared" si="82"/>
        <v>54604</v>
      </c>
      <c r="M344" s="357">
        <f t="shared" si="83"/>
        <v>396</v>
      </c>
      <c r="N344" s="397">
        <v>965.06562272852432</v>
      </c>
      <c r="O344" s="397">
        <f t="shared" si="72"/>
        <v>0</v>
      </c>
      <c r="P344" s="397">
        <f t="shared" si="77"/>
        <v>6.5793107563111457</v>
      </c>
      <c r="Q344" s="397">
        <f t="shared" si="73"/>
        <v>-6.5793107563111457</v>
      </c>
      <c r="R344" s="398">
        <f t="shared" si="78"/>
        <v>971.64493348483552</v>
      </c>
      <c r="S344" s="399">
        <f>INDEX(LIBOR!$M$3:$M$122,MATCH(L344,LIBOR!$N$3:$N$122))</f>
        <v>3.2809699999999997E-2</v>
      </c>
      <c r="T344" s="400">
        <f t="shared" si="79"/>
        <v>8.1809699999999999E-2</v>
      </c>
    </row>
    <row r="345" spans="2:20">
      <c r="B345" s="396">
        <f t="shared" si="80"/>
        <v>56430</v>
      </c>
      <c r="C345" s="357">
        <f t="shared" si="81"/>
        <v>456</v>
      </c>
      <c r="D345" s="397" t="e">
        <f>INDEX('Monthly Cash Flow'!$L$160:$GT$160, MATCH(C345, 'Monthly Cash Flow'!$L$13:$GT$13, 0))</f>
        <v>#N/A</v>
      </c>
      <c r="E345" s="397">
        <f t="shared" ca="1" si="70"/>
        <v>0</v>
      </c>
      <c r="F345" s="397" t="e">
        <f t="shared" si="74"/>
        <v>#N/A</v>
      </c>
      <c r="G345" s="397" t="e">
        <f t="shared" ca="1" si="71"/>
        <v>#N/A</v>
      </c>
      <c r="H345" s="398" t="e">
        <f t="shared" ca="1" si="75"/>
        <v>#N/A</v>
      </c>
      <c r="I345" s="399">
        <f>MAX($J$5, INDEX(LIBOR!$M$3:$M$122,MATCH(B345,LIBOR!$N$3:$N$122)))</f>
        <v>5.1999999999999998E-2</v>
      </c>
      <c r="J345" s="400">
        <f t="shared" si="76"/>
        <v>0.10100000000000001</v>
      </c>
      <c r="L345" s="392">
        <f t="shared" si="82"/>
        <v>54635</v>
      </c>
      <c r="M345" s="357">
        <f t="shared" si="83"/>
        <v>397</v>
      </c>
      <c r="N345" s="397">
        <v>926.07534894535183</v>
      </c>
      <c r="O345" s="397">
        <f t="shared" si="72"/>
        <v>0</v>
      </c>
      <c r="P345" s="397">
        <f t="shared" si="77"/>
        <v>6.3134955395512122</v>
      </c>
      <c r="Q345" s="397">
        <f t="shared" si="73"/>
        <v>-6.3134955395512122</v>
      </c>
      <c r="R345" s="398">
        <f t="shared" si="78"/>
        <v>932.38884448490307</v>
      </c>
      <c r="S345" s="399">
        <f>INDEX(LIBOR!$M$3:$M$122,MATCH(L345,LIBOR!$N$3:$N$122))</f>
        <v>3.2809699999999997E-2</v>
      </c>
      <c r="T345" s="400">
        <f t="shared" si="79"/>
        <v>8.1809699999999999E-2</v>
      </c>
    </row>
    <row r="346" spans="2:20">
      <c r="B346" s="396">
        <f t="shared" si="80"/>
        <v>56461</v>
      </c>
      <c r="C346" s="357">
        <f t="shared" si="81"/>
        <v>457</v>
      </c>
      <c r="D346" s="397" t="e">
        <f>INDEX('Monthly Cash Flow'!$L$160:$GT$160, MATCH(C346, 'Monthly Cash Flow'!$L$13:$GT$13, 0))</f>
        <v>#N/A</v>
      </c>
      <c r="E346" s="397">
        <f t="shared" ca="1" si="70"/>
        <v>0</v>
      </c>
      <c r="F346" s="397" t="e">
        <f t="shared" si="74"/>
        <v>#N/A</v>
      </c>
      <c r="G346" s="397" t="e">
        <f t="shared" ca="1" si="71"/>
        <v>#N/A</v>
      </c>
      <c r="H346" s="398" t="e">
        <f t="shared" ca="1" si="75"/>
        <v>#N/A</v>
      </c>
      <c r="I346" s="399">
        <f>MAX($J$5, INDEX(LIBOR!$M$3:$M$122,MATCH(B346,LIBOR!$N$3:$N$122)))</f>
        <v>5.1999999999999998E-2</v>
      </c>
      <c r="J346" s="400">
        <f t="shared" si="76"/>
        <v>0.10100000000000001</v>
      </c>
      <c r="L346" s="392">
        <f t="shared" si="82"/>
        <v>54666</v>
      </c>
      <c r="M346" s="357">
        <f t="shared" si="83"/>
        <v>398</v>
      </c>
      <c r="N346" s="397">
        <v>886.90748323790854</v>
      </c>
      <c r="O346" s="397">
        <f t="shared" si="72"/>
        <v>0</v>
      </c>
      <c r="P346" s="397">
        <f t="shared" si="77"/>
        <v>6.0464695942873599</v>
      </c>
      <c r="Q346" s="397">
        <f t="shared" si="73"/>
        <v>-6.0464695942873599</v>
      </c>
      <c r="R346" s="398">
        <f t="shared" si="78"/>
        <v>892.95395283219591</v>
      </c>
      <c r="S346" s="399">
        <f>INDEX(LIBOR!$M$3:$M$122,MATCH(L346,LIBOR!$N$3:$N$122))</f>
        <v>3.2809699999999997E-2</v>
      </c>
      <c r="T346" s="400">
        <f t="shared" si="79"/>
        <v>8.1809699999999999E-2</v>
      </c>
    </row>
    <row r="347" spans="2:20">
      <c r="B347" s="396">
        <f t="shared" si="80"/>
        <v>56492</v>
      </c>
      <c r="C347" s="357">
        <f t="shared" si="81"/>
        <v>458</v>
      </c>
      <c r="D347" s="397" t="e">
        <f>INDEX('Monthly Cash Flow'!$L$160:$GT$160, MATCH(C347, 'Monthly Cash Flow'!$L$13:$GT$13, 0))</f>
        <v>#N/A</v>
      </c>
      <c r="E347" s="397">
        <f t="shared" ca="1" si="70"/>
        <v>0</v>
      </c>
      <c r="F347" s="397" t="e">
        <f t="shared" si="74"/>
        <v>#N/A</v>
      </c>
      <c r="G347" s="397" t="e">
        <f t="shared" ca="1" si="71"/>
        <v>#N/A</v>
      </c>
      <c r="H347" s="398" t="e">
        <f t="shared" ca="1" si="75"/>
        <v>#N/A</v>
      </c>
      <c r="I347" s="399">
        <f>MAX($J$5, INDEX(LIBOR!$M$3:$M$122,MATCH(B347,LIBOR!$N$3:$N$122)))</f>
        <v>5.1999999999999998E-2</v>
      </c>
      <c r="J347" s="400">
        <f t="shared" si="76"/>
        <v>0.10100000000000001</v>
      </c>
      <c r="L347" s="392">
        <f t="shared" si="82"/>
        <v>54696</v>
      </c>
      <c r="M347" s="357">
        <f t="shared" si="83"/>
        <v>399</v>
      </c>
      <c r="N347" s="397">
        <v>847.5612167149377</v>
      </c>
      <c r="O347" s="397">
        <f t="shared" si="72"/>
        <v>0</v>
      </c>
      <c r="P347" s="397">
        <f t="shared" si="77"/>
        <v>5.77822740592367</v>
      </c>
      <c r="Q347" s="397">
        <f t="shared" si="73"/>
        <v>-5.77822740592367</v>
      </c>
      <c r="R347" s="398">
        <f t="shared" si="78"/>
        <v>853.33944412086134</v>
      </c>
      <c r="S347" s="399">
        <f>INDEX(LIBOR!$M$3:$M$122,MATCH(L347,LIBOR!$N$3:$N$122))</f>
        <v>3.2809699999999997E-2</v>
      </c>
      <c r="T347" s="400">
        <f t="shared" si="79"/>
        <v>8.1809699999999999E-2</v>
      </c>
    </row>
    <row r="348" spans="2:20">
      <c r="B348" s="396">
        <f t="shared" si="80"/>
        <v>56522</v>
      </c>
      <c r="C348" s="357">
        <f t="shared" si="81"/>
        <v>459</v>
      </c>
      <c r="D348" s="397" t="e">
        <f>INDEX('Monthly Cash Flow'!$L$160:$GT$160, MATCH(C348, 'Monthly Cash Flow'!$L$13:$GT$13, 0))</f>
        <v>#N/A</v>
      </c>
      <c r="E348" s="397">
        <f t="shared" ca="1" si="70"/>
        <v>0</v>
      </c>
      <c r="F348" s="397" t="e">
        <f t="shared" si="74"/>
        <v>#N/A</v>
      </c>
      <c r="G348" s="397" t="e">
        <f t="shared" ca="1" si="71"/>
        <v>#N/A</v>
      </c>
      <c r="H348" s="398" t="e">
        <f t="shared" ca="1" si="75"/>
        <v>#N/A</v>
      </c>
      <c r="I348" s="399">
        <f>MAX($J$5, INDEX(LIBOR!$M$3:$M$122,MATCH(B348,LIBOR!$N$3:$N$122)))</f>
        <v>5.1999999999999998E-2</v>
      </c>
      <c r="J348" s="400">
        <f t="shared" si="76"/>
        <v>0.10100000000000001</v>
      </c>
      <c r="L348" s="392">
        <f t="shared" si="82"/>
        <v>54727</v>
      </c>
      <c r="M348" s="357">
        <f t="shared" si="83"/>
        <v>400</v>
      </c>
      <c r="N348" s="397">
        <v>808.0357368008647</v>
      </c>
      <c r="O348" s="397">
        <f t="shared" si="72"/>
        <v>0</v>
      </c>
      <c r="P348" s="397">
        <f t="shared" si="77"/>
        <v>5.5087634347464745</v>
      </c>
      <c r="Q348" s="397">
        <f t="shared" si="73"/>
        <v>-5.5087634347464745</v>
      </c>
      <c r="R348" s="398">
        <f t="shared" si="78"/>
        <v>813.54450023561117</v>
      </c>
      <c r="S348" s="399">
        <f>INDEX(LIBOR!$M$3:$M$122,MATCH(L348,LIBOR!$N$3:$N$122))</f>
        <v>3.2809699999999997E-2</v>
      </c>
      <c r="T348" s="400">
        <f t="shared" si="79"/>
        <v>8.1809699999999999E-2</v>
      </c>
    </row>
    <row r="349" spans="2:20">
      <c r="B349" s="396">
        <f t="shared" si="80"/>
        <v>56553</v>
      </c>
      <c r="C349" s="357">
        <f t="shared" si="81"/>
        <v>460</v>
      </c>
      <c r="D349" s="397" t="e">
        <f>INDEX('Monthly Cash Flow'!$L$160:$GT$160, MATCH(C349, 'Monthly Cash Flow'!$L$13:$GT$13, 0))</f>
        <v>#N/A</v>
      </c>
      <c r="E349" s="397">
        <f t="shared" ca="1" si="70"/>
        <v>0</v>
      </c>
      <c r="F349" s="397" t="e">
        <f t="shared" si="74"/>
        <v>#N/A</v>
      </c>
      <c r="G349" s="397" t="e">
        <f t="shared" ca="1" si="71"/>
        <v>#N/A</v>
      </c>
      <c r="H349" s="398" t="e">
        <f t="shared" ca="1" si="75"/>
        <v>#N/A</v>
      </c>
      <c r="I349" s="399">
        <f>MAX($J$5, INDEX(LIBOR!$M$3:$M$122,MATCH(B349,LIBOR!$N$3:$N$122)))</f>
        <v>5.1999999999999998E-2</v>
      </c>
      <c r="J349" s="400">
        <f t="shared" si="76"/>
        <v>0.10100000000000001</v>
      </c>
      <c r="L349" s="392">
        <f t="shared" si="82"/>
        <v>54757</v>
      </c>
      <c r="M349" s="357">
        <f t="shared" si="83"/>
        <v>401</v>
      </c>
      <c r="N349" s="397">
        <v>768.33022721901602</v>
      </c>
      <c r="O349" s="397">
        <f t="shared" si="72"/>
        <v>0</v>
      </c>
      <c r="P349" s="397">
        <f t="shared" si="77"/>
        <v>5.2380721158099615</v>
      </c>
      <c r="Q349" s="397">
        <f t="shared" si="73"/>
        <v>-5.2380721158099615</v>
      </c>
      <c r="R349" s="398">
        <f t="shared" si="78"/>
        <v>773.56829933482595</v>
      </c>
      <c r="S349" s="399">
        <f>INDEX(LIBOR!$M$3:$M$122,MATCH(L349,LIBOR!$N$3:$N$122))</f>
        <v>3.2809699999999997E-2</v>
      </c>
      <c r="T349" s="400">
        <f t="shared" si="79"/>
        <v>8.1809699999999999E-2</v>
      </c>
    </row>
    <row r="350" spans="2:20">
      <c r="B350" s="396">
        <f t="shared" si="80"/>
        <v>56583</v>
      </c>
      <c r="C350" s="357">
        <f t="shared" si="81"/>
        <v>461</v>
      </c>
      <c r="D350" s="397" t="e">
        <f>INDEX('Monthly Cash Flow'!$L$160:$GT$160, MATCH(C350, 'Monthly Cash Flow'!$L$13:$GT$13, 0))</f>
        <v>#N/A</v>
      </c>
      <c r="E350" s="397">
        <f t="shared" ca="1" si="70"/>
        <v>0</v>
      </c>
      <c r="F350" s="397" t="e">
        <f t="shared" si="74"/>
        <v>#N/A</v>
      </c>
      <c r="G350" s="397" t="e">
        <f t="shared" ca="1" si="71"/>
        <v>#N/A</v>
      </c>
      <c r="H350" s="398" t="e">
        <f t="shared" ca="1" si="75"/>
        <v>#N/A</v>
      </c>
      <c r="I350" s="399">
        <f>MAX($J$5, INDEX(LIBOR!$M$3:$M$122,MATCH(B350,LIBOR!$N$3:$N$122)))</f>
        <v>5.1999999999999998E-2</v>
      </c>
      <c r="J350" s="400">
        <f t="shared" si="76"/>
        <v>0.10100000000000001</v>
      </c>
      <c r="L350" s="392">
        <f t="shared" si="82"/>
        <v>54788</v>
      </c>
      <c r="M350" s="357">
        <f t="shared" si="83"/>
        <v>402</v>
      </c>
      <c r="N350" s="397">
        <v>728.4438679747617</v>
      </c>
      <c r="O350" s="397">
        <f t="shared" si="72"/>
        <v>0</v>
      </c>
      <c r="P350" s="397">
        <f t="shared" si="77"/>
        <v>4.9661478588212384</v>
      </c>
      <c r="Q350" s="397">
        <f t="shared" si="73"/>
        <v>-4.9661478588212384</v>
      </c>
      <c r="R350" s="398">
        <f t="shared" si="78"/>
        <v>733.41001583358297</v>
      </c>
      <c r="S350" s="399">
        <f>INDEX(LIBOR!$M$3:$M$122,MATCH(L350,LIBOR!$N$3:$N$122))</f>
        <v>3.2809699999999997E-2</v>
      </c>
      <c r="T350" s="400">
        <f t="shared" si="79"/>
        <v>8.1809699999999999E-2</v>
      </c>
    </row>
    <row r="351" spans="2:20">
      <c r="B351" s="396">
        <f t="shared" si="80"/>
        <v>56614</v>
      </c>
      <c r="C351" s="357">
        <f t="shared" si="81"/>
        <v>462</v>
      </c>
      <c r="D351" s="397" t="e">
        <f>INDEX('Monthly Cash Flow'!$L$160:$GT$160, MATCH(C351, 'Monthly Cash Flow'!$L$13:$GT$13, 0))</f>
        <v>#N/A</v>
      </c>
      <c r="E351" s="397">
        <f t="shared" ca="1" si="70"/>
        <v>0</v>
      </c>
      <c r="F351" s="397" t="e">
        <f t="shared" si="74"/>
        <v>#N/A</v>
      </c>
      <c r="G351" s="397" t="e">
        <f t="shared" ca="1" si="71"/>
        <v>#N/A</v>
      </c>
      <c r="H351" s="398" t="e">
        <f t="shared" ca="1" si="75"/>
        <v>#N/A</v>
      </c>
      <c r="I351" s="399">
        <f>MAX($J$5, INDEX(LIBOR!$M$3:$M$122,MATCH(B351,LIBOR!$N$3:$N$122)))</f>
        <v>5.1999999999999998E-2</v>
      </c>
      <c r="J351" s="400">
        <f t="shared" si="76"/>
        <v>0.10100000000000001</v>
      </c>
      <c r="L351" s="392">
        <f t="shared" si="82"/>
        <v>54819</v>
      </c>
      <c r="M351" s="357">
        <f t="shared" si="83"/>
        <v>403</v>
      </c>
      <c r="N351" s="397">
        <v>688.3758353385806</v>
      </c>
      <c r="O351" s="397">
        <f t="shared" si="72"/>
        <v>0</v>
      </c>
      <c r="P351" s="397">
        <f t="shared" si="77"/>
        <v>4.69298504802489</v>
      </c>
      <c r="Q351" s="397">
        <f t="shared" si="73"/>
        <v>-4.69298504802489</v>
      </c>
      <c r="R351" s="398">
        <f t="shared" si="78"/>
        <v>693.06882038660547</v>
      </c>
      <c r="S351" s="399">
        <f>INDEX(LIBOR!$M$3:$M$122,MATCH(L351,LIBOR!$N$3:$N$122))</f>
        <v>3.2809699999999997E-2</v>
      </c>
      <c r="T351" s="400">
        <f t="shared" si="79"/>
        <v>8.1809699999999999E-2</v>
      </c>
    </row>
    <row r="352" spans="2:20">
      <c r="B352" s="396">
        <f t="shared" si="80"/>
        <v>56645</v>
      </c>
      <c r="C352" s="357">
        <f t="shared" si="81"/>
        <v>463</v>
      </c>
      <c r="D352" s="397" t="e">
        <f>INDEX('Monthly Cash Flow'!$L$160:$GT$160, MATCH(C352, 'Monthly Cash Flow'!$L$13:$GT$13, 0))</f>
        <v>#N/A</v>
      </c>
      <c r="E352" s="397">
        <f t="shared" ca="1" si="70"/>
        <v>0</v>
      </c>
      <c r="F352" s="397" t="e">
        <f t="shared" si="74"/>
        <v>#N/A</v>
      </c>
      <c r="G352" s="397" t="e">
        <f t="shared" ca="1" si="71"/>
        <v>#N/A</v>
      </c>
      <c r="H352" s="398" t="e">
        <f t="shared" ca="1" si="75"/>
        <v>#N/A</v>
      </c>
      <c r="I352" s="399">
        <f>MAX($J$5, INDEX(LIBOR!$M$3:$M$122,MATCH(B352,LIBOR!$N$3:$N$122)))</f>
        <v>5.1999999999999998E-2</v>
      </c>
      <c r="J352" s="400">
        <f t="shared" si="76"/>
        <v>0.10100000000000001</v>
      </c>
      <c r="L352" s="392">
        <f t="shared" si="82"/>
        <v>54847</v>
      </c>
      <c r="M352" s="357">
        <f t="shared" si="83"/>
        <v>404</v>
      </c>
      <c r="N352" s="397">
        <v>648.12530182904902</v>
      </c>
      <c r="O352" s="397">
        <f t="shared" si="72"/>
        <v>0</v>
      </c>
      <c r="P352" s="397">
        <f t="shared" si="77"/>
        <v>4.4185780420869962</v>
      </c>
      <c r="Q352" s="397">
        <f t="shared" si="73"/>
        <v>-4.4185780420869962</v>
      </c>
      <c r="R352" s="398">
        <f t="shared" si="78"/>
        <v>652.54387987113603</v>
      </c>
      <c r="S352" s="399">
        <f>INDEX(LIBOR!$M$3:$M$122,MATCH(L352,LIBOR!$N$3:$N$122))</f>
        <v>3.2809699999999997E-2</v>
      </c>
      <c r="T352" s="400">
        <f t="shared" si="79"/>
        <v>8.1809699999999999E-2</v>
      </c>
    </row>
    <row r="353" spans="2:20">
      <c r="B353" s="396">
        <f t="shared" si="80"/>
        <v>56673</v>
      </c>
      <c r="C353" s="357">
        <f t="shared" si="81"/>
        <v>464</v>
      </c>
      <c r="D353" s="397" t="e">
        <f>INDEX('Monthly Cash Flow'!$L$160:$GT$160, MATCH(C353, 'Monthly Cash Flow'!$L$13:$GT$13, 0))</f>
        <v>#N/A</v>
      </c>
      <c r="E353" s="397">
        <f t="shared" ca="1" si="70"/>
        <v>0</v>
      </c>
      <c r="F353" s="397" t="e">
        <f t="shared" si="74"/>
        <v>#N/A</v>
      </c>
      <c r="G353" s="397" t="e">
        <f t="shared" ca="1" si="71"/>
        <v>#N/A</v>
      </c>
      <c r="H353" s="398" t="e">
        <f t="shared" ca="1" si="75"/>
        <v>#N/A</v>
      </c>
      <c r="I353" s="399">
        <f>MAX($J$5, INDEX(LIBOR!$M$3:$M$122,MATCH(B353,LIBOR!$N$3:$N$122)))</f>
        <v>5.1999999999999998E-2</v>
      </c>
      <c r="J353" s="400">
        <f t="shared" si="76"/>
        <v>0.10100000000000001</v>
      </c>
      <c r="L353" s="392">
        <f t="shared" si="82"/>
        <v>54878</v>
      </c>
      <c r="M353" s="357">
        <f t="shared" si="83"/>
        <v>405</v>
      </c>
      <c r="N353" s="397">
        <v>607.69143619575163</v>
      </c>
      <c r="O353" s="397">
        <f t="shared" si="72"/>
        <v>0</v>
      </c>
      <c r="P353" s="397">
        <f t="shared" si="77"/>
        <v>4.1429211739786318</v>
      </c>
      <c r="Q353" s="397">
        <f t="shared" si="73"/>
        <v>-4.1429211739786318</v>
      </c>
      <c r="R353" s="398">
        <f t="shared" si="78"/>
        <v>611.83435736973024</v>
      </c>
      <c r="S353" s="399">
        <f>INDEX(LIBOR!$M$3:$M$122,MATCH(L353,LIBOR!$N$3:$N$122))</f>
        <v>3.2809699999999997E-2</v>
      </c>
      <c r="T353" s="400">
        <f t="shared" si="79"/>
        <v>8.1809699999999999E-2</v>
      </c>
    </row>
    <row r="354" spans="2:20">
      <c r="B354" s="396">
        <f t="shared" si="80"/>
        <v>56704</v>
      </c>
      <c r="C354" s="357">
        <f t="shared" si="81"/>
        <v>465</v>
      </c>
      <c r="D354" s="397" t="e">
        <f>INDEX('Monthly Cash Flow'!$L$160:$GT$160, MATCH(C354, 'Monthly Cash Flow'!$L$13:$GT$13, 0))</f>
        <v>#N/A</v>
      </c>
      <c r="E354" s="397">
        <f t="shared" ca="1" si="70"/>
        <v>0</v>
      </c>
      <c r="F354" s="397" t="e">
        <f t="shared" si="74"/>
        <v>#N/A</v>
      </c>
      <c r="G354" s="397" t="e">
        <f t="shared" ca="1" si="71"/>
        <v>#N/A</v>
      </c>
      <c r="H354" s="398" t="e">
        <f t="shared" ca="1" si="75"/>
        <v>#N/A</v>
      </c>
      <c r="I354" s="399">
        <f>MAX($J$5, INDEX(LIBOR!$M$3:$M$122,MATCH(B354,LIBOR!$N$3:$N$122)))</f>
        <v>5.1999999999999998E-2</v>
      </c>
      <c r="J354" s="400">
        <f t="shared" si="76"/>
        <v>0.10100000000000001</v>
      </c>
      <c r="L354" s="392">
        <f t="shared" si="82"/>
        <v>54908</v>
      </c>
      <c r="M354" s="357">
        <f t="shared" si="83"/>
        <v>406</v>
      </c>
      <c r="N354" s="397">
        <v>567.07340340211431</v>
      </c>
      <c r="O354" s="397">
        <f t="shared" si="72"/>
        <v>0</v>
      </c>
      <c r="P354" s="397">
        <f t="shared" si="77"/>
        <v>3.8660087508588288</v>
      </c>
      <c r="Q354" s="397">
        <f t="shared" si="73"/>
        <v>-3.8660087508588288</v>
      </c>
      <c r="R354" s="398">
        <f t="shared" si="78"/>
        <v>570.93941215297309</v>
      </c>
      <c r="S354" s="399">
        <f>INDEX(LIBOR!$M$3:$M$122,MATCH(L354,LIBOR!$N$3:$N$122))</f>
        <v>3.2809699999999997E-2</v>
      </c>
      <c r="T354" s="400">
        <f t="shared" si="79"/>
        <v>8.1809699999999999E-2</v>
      </c>
    </row>
    <row r="355" spans="2:20">
      <c r="B355" s="396">
        <f t="shared" si="80"/>
        <v>56734</v>
      </c>
      <c r="C355" s="357">
        <f t="shared" si="81"/>
        <v>466</v>
      </c>
      <c r="D355" s="397" t="e">
        <f>INDEX('Monthly Cash Flow'!$L$160:$GT$160, MATCH(C355, 'Monthly Cash Flow'!$L$13:$GT$13, 0))</f>
        <v>#N/A</v>
      </c>
      <c r="E355" s="397">
        <f t="shared" ca="1" si="70"/>
        <v>0</v>
      </c>
      <c r="F355" s="397" t="e">
        <f t="shared" si="74"/>
        <v>#N/A</v>
      </c>
      <c r="G355" s="397" t="e">
        <f t="shared" ca="1" si="71"/>
        <v>#N/A</v>
      </c>
      <c r="H355" s="398" t="e">
        <f t="shared" ca="1" si="75"/>
        <v>#N/A</v>
      </c>
      <c r="I355" s="399">
        <f>MAX($J$5, INDEX(LIBOR!$M$3:$M$122,MATCH(B355,LIBOR!$N$3:$N$122)))</f>
        <v>5.1999999999999998E-2</v>
      </c>
      <c r="J355" s="400">
        <f t="shared" si="76"/>
        <v>0.10100000000000001</v>
      </c>
      <c r="L355" s="392">
        <f t="shared" si="82"/>
        <v>54939</v>
      </c>
      <c r="M355" s="357">
        <f t="shared" si="83"/>
        <v>407</v>
      </c>
      <c r="N355" s="397">
        <v>526.2703646081593</v>
      </c>
      <c r="O355" s="397">
        <f t="shared" si="72"/>
        <v>0</v>
      </c>
      <c r="P355" s="397">
        <f t="shared" si="77"/>
        <v>3.587835053957011</v>
      </c>
      <c r="Q355" s="397">
        <f t="shared" si="73"/>
        <v>-3.587835053957011</v>
      </c>
      <c r="R355" s="398">
        <f t="shared" si="78"/>
        <v>529.85819966211636</v>
      </c>
      <c r="S355" s="399">
        <f>INDEX(LIBOR!$M$3:$M$122,MATCH(L355,LIBOR!$N$3:$N$122))</f>
        <v>3.2809699999999997E-2</v>
      </c>
      <c r="T355" s="400">
        <f t="shared" si="79"/>
        <v>8.1809699999999999E-2</v>
      </c>
    </row>
    <row r="356" spans="2:20">
      <c r="B356" s="396">
        <f t="shared" si="80"/>
        <v>56765</v>
      </c>
      <c r="C356" s="357">
        <f t="shared" si="81"/>
        <v>467</v>
      </c>
      <c r="D356" s="397" t="e">
        <f>INDEX('Monthly Cash Flow'!$L$160:$GT$160, MATCH(C356, 'Monthly Cash Flow'!$L$13:$GT$13, 0))</f>
        <v>#N/A</v>
      </c>
      <c r="E356" s="397">
        <f t="shared" ca="1" si="70"/>
        <v>0</v>
      </c>
      <c r="F356" s="397" t="e">
        <f t="shared" si="74"/>
        <v>#N/A</v>
      </c>
      <c r="G356" s="397" t="e">
        <f t="shared" ca="1" si="71"/>
        <v>#N/A</v>
      </c>
      <c r="H356" s="398" t="e">
        <f t="shared" ca="1" si="75"/>
        <v>#N/A</v>
      </c>
      <c r="I356" s="399">
        <f>MAX($J$5, INDEX(LIBOR!$M$3:$M$122,MATCH(B356,LIBOR!$N$3:$N$122)))</f>
        <v>5.1999999999999998E-2</v>
      </c>
      <c r="J356" s="400">
        <f t="shared" si="76"/>
        <v>0.10100000000000001</v>
      </c>
      <c r="L356" s="392">
        <f t="shared" si="82"/>
        <v>54969</v>
      </c>
      <c r="M356" s="357">
        <f t="shared" si="83"/>
        <v>408</v>
      </c>
      <c r="N356" s="397">
        <v>485.28147715318158</v>
      </c>
      <c r="O356" s="397">
        <f t="shared" si="72"/>
        <v>0</v>
      </c>
      <c r="P356" s="397">
        <f t="shared" si="77"/>
        <v>3.3083943384548866</v>
      </c>
      <c r="Q356" s="397">
        <f t="shared" si="73"/>
        <v>-3.3083943384548866</v>
      </c>
      <c r="R356" s="398">
        <f t="shared" si="78"/>
        <v>488.58987149163647</v>
      </c>
      <c r="S356" s="399">
        <f>INDEX(LIBOR!$M$3:$M$122,MATCH(L356,LIBOR!$N$3:$N$122))</f>
        <v>3.2809699999999997E-2</v>
      </c>
      <c r="T356" s="400">
        <f t="shared" si="79"/>
        <v>8.1809699999999999E-2</v>
      </c>
    </row>
    <row r="357" spans="2:20">
      <c r="B357" s="396">
        <f t="shared" si="80"/>
        <v>56795</v>
      </c>
      <c r="C357" s="357">
        <f t="shared" si="81"/>
        <v>468</v>
      </c>
      <c r="D357" s="397" t="e">
        <f>INDEX('Monthly Cash Flow'!$L$160:$GT$160, MATCH(C357, 'Monthly Cash Flow'!$L$13:$GT$13, 0))</f>
        <v>#N/A</v>
      </c>
      <c r="E357" s="397">
        <f t="shared" ca="1" si="70"/>
        <v>0</v>
      </c>
      <c r="F357" s="397" t="e">
        <f t="shared" si="74"/>
        <v>#N/A</v>
      </c>
      <c r="G357" s="397" t="e">
        <f t="shared" ca="1" si="71"/>
        <v>#N/A</v>
      </c>
      <c r="H357" s="398" t="e">
        <f t="shared" ca="1" si="75"/>
        <v>#N/A</v>
      </c>
      <c r="I357" s="399">
        <f>MAX($J$5, INDEX(LIBOR!$M$3:$M$122,MATCH(B357,LIBOR!$N$3:$N$122)))</f>
        <v>5.1999999999999998E-2</v>
      </c>
      <c r="J357" s="400">
        <f t="shared" si="76"/>
        <v>0.10100000000000001</v>
      </c>
      <c r="L357" s="392">
        <f t="shared" si="82"/>
        <v>55000</v>
      </c>
      <c r="M357" s="357">
        <f t="shared" si="83"/>
        <v>409</v>
      </c>
      <c r="N357" s="397">
        <v>444.10589453834615</v>
      </c>
      <c r="O357" s="397">
        <f t="shared" si="72"/>
        <v>0</v>
      </c>
      <c r="P357" s="397">
        <f t="shared" si="77"/>
        <v>3.0276808333678118</v>
      </c>
      <c r="Q357" s="397">
        <f t="shared" si="73"/>
        <v>-3.0276808333678118</v>
      </c>
      <c r="R357" s="398">
        <f t="shared" si="78"/>
        <v>447.13357537171396</v>
      </c>
      <c r="S357" s="399">
        <f>INDEX(LIBOR!$M$3:$M$122,MATCH(L357,LIBOR!$N$3:$N$122))</f>
        <v>3.2809699999999997E-2</v>
      </c>
      <c r="T357" s="400">
        <f t="shared" si="79"/>
        <v>8.1809699999999999E-2</v>
      </c>
    </row>
    <row r="358" spans="2:20">
      <c r="B358" s="396">
        <f t="shared" si="80"/>
        <v>56826</v>
      </c>
      <c r="C358" s="357">
        <f t="shared" si="81"/>
        <v>469</v>
      </c>
      <c r="D358" s="397" t="e">
        <f>INDEX('Monthly Cash Flow'!$L$160:$GT$160, MATCH(C358, 'Monthly Cash Flow'!$L$13:$GT$13, 0))</f>
        <v>#N/A</v>
      </c>
      <c r="E358" s="397">
        <f t="shared" ca="1" si="70"/>
        <v>0</v>
      </c>
      <c r="F358" s="397" t="e">
        <f t="shared" si="74"/>
        <v>#N/A</v>
      </c>
      <c r="G358" s="397" t="e">
        <f t="shared" ca="1" si="71"/>
        <v>#N/A</v>
      </c>
      <c r="H358" s="398" t="e">
        <f t="shared" ca="1" si="75"/>
        <v>#N/A</v>
      </c>
      <c r="I358" s="399">
        <f>MAX($J$5, INDEX(LIBOR!$M$3:$M$122,MATCH(B358,LIBOR!$N$3:$N$122)))</f>
        <v>5.1999999999999998E-2</v>
      </c>
      <c r="J358" s="400">
        <f t="shared" si="76"/>
        <v>0.10100000000000001</v>
      </c>
      <c r="L358" s="392">
        <f t="shared" si="82"/>
        <v>55031</v>
      </c>
      <c r="M358" s="357">
        <f t="shared" si="83"/>
        <v>410</v>
      </c>
      <c r="N358" s="397">
        <v>402.74276640920618</v>
      </c>
      <c r="O358" s="397">
        <f t="shared" si="72"/>
        <v>0</v>
      </c>
      <c r="P358" s="397">
        <f t="shared" si="77"/>
        <v>2.745688741425603</v>
      </c>
      <c r="Q358" s="397">
        <f t="shared" si="73"/>
        <v>-2.745688741425603</v>
      </c>
      <c r="R358" s="398">
        <f t="shared" si="78"/>
        <v>405.48845515063181</v>
      </c>
      <c r="S358" s="399">
        <f>INDEX(LIBOR!$M$3:$M$122,MATCH(L358,LIBOR!$N$3:$N$122))</f>
        <v>3.2809699999999997E-2</v>
      </c>
      <c r="T358" s="400">
        <f t="shared" si="79"/>
        <v>8.1809699999999999E-2</v>
      </c>
    </row>
    <row r="359" spans="2:20">
      <c r="B359" s="396">
        <f t="shared" si="80"/>
        <v>56857</v>
      </c>
      <c r="C359" s="357">
        <f t="shared" si="81"/>
        <v>470</v>
      </c>
      <c r="D359" s="397" t="e">
        <f>INDEX('Monthly Cash Flow'!$L$160:$GT$160, MATCH(C359, 'Monthly Cash Flow'!$L$13:$GT$13, 0))</f>
        <v>#N/A</v>
      </c>
      <c r="E359" s="397">
        <f t="shared" ca="1" si="70"/>
        <v>0</v>
      </c>
      <c r="F359" s="397" t="e">
        <f t="shared" si="74"/>
        <v>#N/A</v>
      </c>
      <c r="G359" s="397" t="e">
        <f t="shared" ca="1" si="71"/>
        <v>#N/A</v>
      </c>
      <c r="H359" s="398" t="e">
        <f t="shared" ca="1" si="75"/>
        <v>#N/A</v>
      </c>
      <c r="I359" s="399">
        <f>MAX($J$5, INDEX(LIBOR!$M$3:$M$122,MATCH(B359,LIBOR!$N$3:$N$122)))</f>
        <v>5.1999999999999998E-2</v>
      </c>
      <c r="J359" s="400">
        <f t="shared" si="76"/>
        <v>0.10100000000000001</v>
      </c>
      <c r="L359" s="392">
        <f t="shared" si="82"/>
        <v>55061</v>
      </c>
      <c r="M359" s="357">
        <f t="shared" si="83"/>
        <v>411</v>
      </c>
      <c r="N359" s="397">
        <v>361.19123853814187</v>
      </c>
      <c r="O359" s="397">
        <f t="shared" si="72"/>
        <v>0</v>
      </c>
      <c r="P359" s="397">
        <f t="shared" si="77"/>
        <v>2.4624122389528185</v>
      </c>
      <c r="Q359" s="397">
        <f t="shared" si="73"/>
        <v>-2.4624122389528185</v>
      </c>
      <c r="R359" s="398">
        <f t="shared" si="78"/>
        <v>363.6536507770947</v>
      </c>
      <c r="S359" s="399">
        <f>INDEX(LIBOR!$M$3:$M$122,MATCH(L359,LIBOR!$N$3:$N$122))</f>
        <v>3.2809699999999997E-2</v>
      </c>
      <c r="T359" s="400">
        <f t="shared" si="79"/>
        <v>8.1809699999999999E-2</v>
      </c>
    </row>
    <row r="360" spans="2:20">
      <c r="B360" s="396">
        <f t="shared" si="80"/>
        <v>56887</v>
      </c>
      <c r="C360" s="357">
        <f t="shared" si="81"/>
        <v>471</v>
      </c>
      <c r="D360" s="397" t="e">
        <f>INDEX('Monthly Cash Flow'!$L$160:$GT$160, MATCH(C360, 'Monthly Cash Flow'!$L$13:$GT$13, 0))</f>
        <v>#N/A</v>
      </c>
      <c r="E360" s="397">
        <f t="shared" ca="1" si="70"/>
        <v>0</v>
      </c>
      <c r="F360" s="397" t="e">
        <f t="shared" si="74"/>
        <v>#N/A</v>
      </c>
      <c r="G360" s="397" t="e">
        <f t="shared" ca="1" si="71"/>
        <v>#N/A</v>
      </c>
      <c r="H360" s="398" t="e">
        <f t="shared" ca="1" si="75"/>
        <v>#N/A</v>
      </c>
      <c r="I360" s="399">
        <f>MAX($J$5, INDEX(LIBOR!$M$3:$M$122,MATCH(B360,LIBOR!$N$3:$N$122)))</f>
        <v>5.1999999999999998E-2</v>
      </c>
      <c r="J360" s="400">
        <f t="shared" si="76"/>
        <v>0.10100000000000001</v>
      </c>
      <c r="L360" s="392">
        <f t="shared" si="82"/>
        <v>55092</v>
      </c>
      <c r="M360" s="357">
        <f t="shared" si="83"/>
        <v>412</v>
      </c>
      <c r="N360" s="397">
        <v>319.4504528067186</v>
      </c>
      <c r="O360" s="397">
        <f t="shared" si="72"/>
        <v>0</v>
      </c>
      <c r="P360" s="397">
        <f t="shared" si="77"/>
        <v>2.1778454757484838</v>
      </c>
      <c r="Q360" s="397">
        <f t="shared" si="73"/>
        <v>-2.1778454757484838</v>
      </c>
      <c r="R360" s="398">
        <f t="shared" si="78"/>
        <v>321.62829828246709</v>
      </c>
      <c r="S360" s="399">
        <f>INDEX(LIBOR!$M$3:$M$122,MATCH(L360,LIBOR!$N$3:$N$122))</f>
        <v>3.2809699999999997E-2</v>
      </c>
      <c r="T360" s="400">
        <f t="shared" si="79"/>
        <v>8.1809699999999999E-2</v>
      </c>
    </row>
    <row r="361" spans="2:20">
      <c r="B361" s="396">
        <f t="shared" si="80"/>
        <v>56918</v>
      </c>
      <c r="C361" s="357">
        <f t="shared" si="81"/>
        <v>472</v>
      </c>
      <c r="D361" s="397" t="e">
        <f>INDEX('Monthly Cash Flow'!$L$160:$GT$160, MATCH(C361, 'Monthly Cash Flow'!$L$13:$GT$13, 0))</f>
        <v>#N/A</v>
      </c>
      <c r="E361" s="397">
        <f t="shared" ca="1" si="70"/>
        <v>0</v>
      </c>
      <c r="F361" s="397" t="e">
        <f t="shared" si="74"/>
        <v>#N/A</v>
      </c>
      <c r="G361" s="397" t="e">
        <f t="shared" ca="1" si="71"/>
        <v>#N/A</v>
      </c>
      <c r="H361" s="398" t="e">
        <f t="shared" ca="1" si="75"/>
        <v>#N/A</v>
      </c>
      <c r="I361" s="399">
        <f>MAX($J$5, INDEX(LIBOR!$M$3:$M$122,MATCH(B361,LIBOR!$N$3:$N$122)))</f>
        <v>5.1999999999999998E-2</v>
      </c>
      <c r="J361" s="400">
        <f t="shared" si="76"/>
        <v>0.10100000000000001</v>
      </c>
      <c r="L361" s="392">
        <f t="shared" si="82"/>
        <v>55122</v>
      </c>
      <c r="M361" s="357">
        <f t="shared" si="83"/>
        <v>413</v>
      </c>
      <c r="N361" s="397">
        <v>277.51954718796549</v>
      </c>
      <c r="O361" s="397">
        <f t="shared" si="72"/>
        <v>0</v>
      </c>
      <c r="P361" s="397">
        <f t="shared" si="77"/>
        <v>1.891982574965275</v>
      </c>
      <c r="Q361" s="397">
        <f t="shared" si="73"/>
        <v>-1.891982574965275</v>
      </c>
      <c r="R361" s="398">
        <f t="shared" si="78"/>
        <v>279.41152976293074</v>
      </c>
      <c r="S361" s="399">
        <f>INDEX(LIBOR!$M$3:$M$122,MATCH(L361,LIBOR!$N$3:$N$122))</f>
        <v>3.2809699999999997E-2</v>
      </c>
      <c r="T361" s="400">
        <f t="shared" si="79"/>
        <v>8.1809699999999999E-2</v>
      </c>
    </row>
    <row r="362" spans="2:20">
      <c r="B362" s="396">
        <f t="shared" si="80"/>
        <v>56948</v>
      </c>
      <c r="C362" s="357">
        <f t="shared" si="81"/>
        <v>473</v>
      </c>
      <c r="D362" s="397" t="e">
        <f>INDEX('Monthly Cash Flow'!$L$160:$GT$160, MATCH(C362, 'Monthly Cash Flow'!$L$13:$GT$13, 0))</f>
        <v>#N/A</v>
      </c>
      <c r="E362" s="397">
        <f t="shared" ca="1" si="70"/>
        <v>0</v>
      </c>
      <c r="F362" s="397" t="e">
        <f t="shared" si="74"/>
        <v>#N/A</v>
      </c>
      <c r="G362" s="397" t="e">
        <f t="shared" ca="1" si="71"/>
        <v>#N/A</v>
      </c>
      <c r="H362" s="398" t="e">
        <f t="shared" ca="1" si="75"/>
        <v>#N/A</v>
      </c>
      <c r="I362" s="399">
        <f>MAX($J$5, INDEX(LIBOR!$M$3:$M$122,MATCH(B362,LIBOR!$N$3:$N$122)))</f>
        <v>5.1999999999999998E-2</v>
      </c>
      <c r="J362" s="400">
        <f t="shared" si="76"/>
        <v>0.10100000000000001</v>
      </c>
      <c r="L362" s="392">
        <f t="shared" si="82"/>
        <v>55153</v>
      </c>
      <c r="M362" s="357">
        <f t="shared" si="83"/>
        <v>414</v>
      </c>
      <c r="N362" s="397">
        <v>235.39765572857272</v>
      </c>
      <c r="O362" s="397">
        <f t="shared" si="72"/>
        <v>0</v>
      </c>
      <c r="P362" s="397">
        <f t="shared" si="77"/>
        <v>1.6048176329881514</v>
      </c>
      <c r="Q362" s="397">
        <f t="shared" si="73"/>
        <v>-1.6048176329881514</v>
      </c>
      <c r="R362" s="398">
        <f t="shared" si="78"/>
        <v>237.00247336156087</v>
      </c>
      <c r="S362" s="399">
        <f>INDEX(LIBOR!$M$3:$M$122,MATCH(L362,LIBOR!$N$3:$N$122))</f>
        <v>3.2809699999999997E-2</v>
      </c>
      <c r="T362" s="400">
        <f t="shared" si="79"/>
        <v>8.1809699999999999E-2</v>
      </c>
    </row>
    <row r="363" spans="2:20">
      <c r="B363" s="396">
        <f t="shared" si="80"/>
        <v>56979</v>
      </c>
      <c r="C363" s="357">
        <f t="shared" si="81"/>
        <v>474</v>
      </c>
      <c r="D363" s="397" t="e">
        <f>INDEX('Monthly Cash Flow'!$L$160:$GT$160, MATCH(C363, 'Monthly Cash Flow'!$L$13:$GT$13, 0))</f>
        <v>#N/A</v>
      </c>
      <c r="E363" s="397">
        <f t="shared" ca="1" si="70"/>
        <v>0</v>
      </c>
      <c r="F363" s="397" t="e">
        <f t="shared" si="74"/>
        <v>#N/A</v>
      </c>
      <c r="G363" s="397" t="e">
        <f t="shared" ca="1" si="71"/>
        <v>#N/A</v>
      </c>
      <c r="H363" s="398" t="e">
        <f t="shared" ca="1" si="75"/>
        <v>#N/A</v>
      </c>
      <c r="I363" s="399">
        <f>MAX($J$5, INDEX(LIBOR!$M$3:$M$122,MATCH(B363,LIBOR!$N$3:$N$122)))</f>
        <v>5.1999999999999998E-2</v>
      </c>
      <c r="J363" s="400">
        <f t="shared" si="76"/>
        <v>0.10100000000000001</v>
      </c>
      <c r="L363" s="392">
        <f t="shared" si="82"/>
        <v>55184</v>
      </c>
      <c r="M363" s="357">
        <f t="shared" si="83"/>
        <v>415</v>
      </c>
      <c r="N363" s="397">
        <v>193.08390853100798</v>
      </c>
      <c r="O363" s="397">
        <f t="shared" si="72"/>
        <v>0</v>
      </c>
      <c r="P363" s="397">
        <f t="shared" si="77"/>
        <v>1.3163447193124336</v>
      </c>
      <c r="Q363" s="397">
        <f t="shared" si="73"/>
        <v>-1.3163447193124336</v>
      </c>
      <c r="R363" s="398">
        <f t="shared" si="78"/>
        <v>194.40025325032042</v>
      </c>
      <c r="S363" s="399">
        <f>INDEX(LIBOR!$M$3:$M$122,MATCH(L363,LIBOR!$N$3:$N$122))</f>
        <v>3.2809699999999997E-2</v>
      </c>
      <c r="T363" s="400">
        <f t="shared" si="79"/>
        <v>8.1809699999999999E-2</v>
      </c>
    </row>
    <row r="364" spans="2:20">
      <c r="B364" s="396">
        <f t="shared" si="80"/>
        <v>57010</v>
      </c>
      <c r="C364" s="357">
        <f t="shared" si="81"/>
        <v>475</v>
      </c>
      <c r="D364" s="397" t="e">
        <f>INDEX('Monthly Cash Flow'!$L$160:$GT$160, MATCH(C364, 'Monthly Cash Flow'!$L$13:$GT$13, 0))</f>
        <v>#N/A</v>
      </c>
      <c r="E364" s="397">
        <f t="shared" ca="1" si="70"/>
        <v>0</v>
      </c>
      <c r="F364" s="397" t="e">
        <f t="shared" si="74"/>
        <v>#N/A</v>
      </c>
      <c r="G364" s="397" t="e">
        <f t="shared" ca="1" si="71"/>
        <v>#N/A</v>
      </c>
      <c r="H364" s="398" t="e">
        <f t="shared" ca="1" si="75"/>
        <v>#N/A</v>
      </c>
      <c r="I364" s="399">
        <f>MAX($J$5, INDEX(LIBOR!$M$3:$M$122,MATCH(B364,LIBOR!$N$3:$N$122)))</f>
        <v>5.1999999999999998E-2</v>
      </c>
      <c r="J364" s="400">
        <f t="shared" si="76"/>
        <v>0.10100000000000001</v>
      </c>
      <c r="L364" s="392">
        <f t="shared" si="82"/>
        <v>55212</v>
      </c>
      <c r="M364" s="357">
        <f t="shared" si="83"/>
        <v>416</v>
      </c>
      <c r="N364" s="397">
        <v>150.57743173555147</v>
      </c>
      <c r="O364" s="397">
        <f t="shared" si="72"/>
        <v>0</v>
      </c>
      <c r="P364" s="397">
        <f t="shared" si="77"/>
        <v>1.0265578764213288</v>
      </c>
      <c r="Q364" s="397">
        <f t="shared" si="73"/>
        <v>-1.0265578764213288</v>
      </c>
      <c r="R364" s="398">
        <f t="shared" si="78"/>
        <v>151.60398961197279</v>
      </c>
      <c r="S364" s="399">
        <f>INDEX(LIBOR!$M$3:$M$122,MATCH(L364,LIBOR!$N$3:$N$122))</f>
        <v>3.2809699999999997E-2</v>
      </c>
      <c r="T364" s="400">
        <f t="shared" si="79"/>
        <v>8.1809699999999999E-2</v>
      </c>
    </row>
    <row r="365" spans="2:20">
      <c r="B365" s="396">
        <f t="shared" si="80"/>
        <v>57039</v>
      </c>
      <c r="C365" s="357">
        <f t="shared" si="81"/>
        <v>476</v>
      </c>
      <c r="D365" s="397" t="e">
        <f>INDEX('Monthly Cash Flow'!$L$160:$GT$160, MATCH(C365, 'Monthly Cash Flow'!$L$13:$GT$13, 0))</f>
        <v>#N/A</v>
      </c>
      <c r="E365" s="397">
        <f t="shared" ca="1" si="70"/>
        <v>0</v>
      </c>
      <c r="F365" s="397" t="e">
        <f t="shared" si="74"/>
        <v>#N/A</v>
      </c>
      <c r="G365" s="397" t="e">
        <f t="shared" ca="1" si="71"/>
        <v>#N/A</v>
      </c>
      <c r="H365" s="398" t="e">
        <f t="shared" ca="1" si="75"/>
        <v>#N/A</v>
      </c>
      <c r="I365" s="399">
        <f>MAX($J$5, INDEX(LIBOR!$M$3:$M$122,MATCH(B365,LIBOR!$N$3:$N$122)))</f>
        <v>5.1999999999999998E-2</v>
      </c>
      <c r="J365" s="400">
        <f t="shared" si="76"/>
        <v>0.10100000000000001</v>
      </c>
      <c r="L365" s="392">
        <f t="shared" si="82"/>
        <v>55243</v>
      </c>
      <c r="M365" s="357">
        <f t="shared" si="83"/>
        <v>417</v>
      </c>
      <c r="N365" s="397">
        <v>107.87734750224894</v>
      </c>
      <c r="O365" s="397">
        <f t="shared" si="72"/>
        <v>0</v>
      </c>
      <c r="P365" s="397">
        <f t="shared" si="77"/>
        <v>0.73545111966289456</v>
      </c>
      <c r="Q365" s="397">
        <f t="shared" si="73"/>
        <v>-0.73545111966289456</v>
      </c>
      <c r="R365" s="398">
        <f t="shared" si="78"/>
        <v>108.61279862191184</v>
      </c>
      <c r="S365" s="399">
        <f>INDEX(LIBOR!$M$3:$M$122,MATCH(L365,LIBOR!$N$3:$N$122))</f>
        <v>3.2809699999999997E-2</v>
      </c>
      <c r="T365" s="400">
        <f t="shared" si="79"/>
        <v>8.1809699999999999E-2</v>
      </c>
    </row>
    <row r="366" spans="2:20">
      <c r="B366" s="396">
        <f t="shared" si="80"/>
        <v>57070</v>
      </c>
      <c r="C366" s="357">
        <f t="shared" si="81"/>
        <v>477</v>
      </c>
      <c r="D366" s="397" t="e">
        <f>INDEX('Monthly Cash Flow'!$L$160:$GT$160, MATCH(C366, 'Monthly Cash Flow'!$L$13:$GT$13, 0))</f>
        <v>#N/A</v>
      </c>
      <c r="E366" s="397">
        <f t="shared" ca="1" si="70"/>
        <v>0</v>
      </c>
      <c r="F366" s="397" t="e">
        <f t="shared" si="74"/>
        <v>#N/A</v>
      </c>
      <c r="G366" s="397" t="e">
        <f t="shared" ca="1" si="71"/>
        <v>#N/A</v>
      </c>
      <c r="H366" s="398" t="e">
        <f t="shared" ca="1" si="75"/>
        <v>#N/A</v>
      </c>
      <c r="I366" s="399">
        <f>MAX($J$5, INDEX(LIBOR!$M$3:$M$122,MATCH(B366,LIBOR!$N$3:$N$122)))</f>
        <v>5.1999999999999998E-2</v>
      </c>
      <c r="J366" s="400">
        <f t="shared" si="76"/>
        <v>0.10100000000000001</v>
      </c>
      <c r="L366" s="392">
        <f t="shared" si="82"/>
        <v>55273</v>
      </c>
      <c r="M366" s="357">
        <f t="shared" si="83"/>
        <v>418</v>
      </c>
      <c r="N366" s="397">
        <v>64.982773992782654</v>
      </c>
      <c r="O366" s="397">
        <f t="shared" si="72"/>
        <v>0</v>
      </c>
      <c r="P366" s="397">
        <f t="shared" si="77"/>
        <v>0.4430184371264459</v>
      </c>
      <c r="Q366" s="397">
        <f t="shared" si="73"/>
        <v>-0.4430184371264459</v>
      </c>
      <c r="R366" s="398">
        <f t="shared" si="78"/>
        <v>65.425792429909094</v>
      </c>
      <c r="S366" s="399">
        <f>INDEX(LIBOR!$M$3:$M$122,MATCH(L366,LIBOR!$N$3:$N$122))</f>
        <v>3.2809699999999997E-2</v>
      </c>
      <c r="T366" s="400">
        <f t="shared" si="79"/>
        <v>8.1809699999999999E-2</v>
      </c>
    </row>
    <row r="367" spans="2:20">
      <c r="B367" s="392"/>
      <c r="C367" s="347"/>
      <c r="D367" s="18"/>
      <c r="E367" s="18"/>
      <c r="F367" s="18"/>
      <c r="G367" s="18"/>
      <c r="H367" s="393"/>
      <c r="I367" s="388"/>
      <c r="J367" s="394"/>
    </row>
    <row r="368" spans="2:20">
      <c r="B368" s="392"/>
      <c r="C368" s="347"/>
      <c r="D368" s="18"/>
      <c r="E368" s="18"/>
      <c r="F368" s="18"/>
      <c r="G368" s="18"/>
      <c r="H368" s="393"/>
      <c r="I368" s="388"/>
      <c r="J368" s="394"/>
    </row>
    <row r="369" spans="2:10">
      <c r="B369" s="392"/>
      <c r="C369" s="347"/>
      <c r="D369" s="18"/>
      <c r="E369" s="18"/>
      <c r="F369" s="18"/>
      <c r="G369" s="18"/>
      <c r="H369" s="393"/>
      <c r="I369" s="388"/>
      <c r="J369" s="394"/>
    </row>
    <row r="370" spans="2:10">
      <c r="B370" s="392"/>
      <c r="C370" s="347"/>
      <c r="D370" s="18"/>
      <c r="E370" s="18"/>
      <c r="F370" s="18"/>
      <c r="G370" s="18"/>
      <c r="H370" s="393"/>
      <c r="I370" s="388"/>
      <c r="J370" s="394"/>
    </row>
    <row r="371" spans="2:10">
      <c r="B371" s="392"/>
      <c r="C371" s="347"/>
      <c r="D371" s="18"/>
      <c r="E371" s="18"/>
      <c r="F371" s="18"/>
      <c r="G371" s="18"/>
      <c r="H371" s="393"/>
      <c r="I371" s="388"/>
      <c r="J371" s="394"/>
    </row>
    <row r="372" spans="2:10">
      <c r="B372" s="392"/>
      <c r="C372" s="347"/>
      <c r="D372" s="18"/>
      <c r="E372" s="18"/>
      <c r="F372" s="18"/>
      <c r="G372" s="18"/>
      <c r="H372" s="393"/>
      <c r="I372" s="388"/>
      <c r="J372" s="394"/>
    </row>
    <row r="373" spans="2:10">
      <c r="B373" s="392"/>
      <c r="C373" s="347"/>
      <c r="D373" s="18"/>
      <c r="E373" s="18"/>
      <c r="F373" s="18"/>
      <c r="G373" s="18"/>
      <c r="H373" s="393"/>
      <c r="I373" s="388"/>
      <c r="J373" s="394"/>
    </row>
    <row r="374" spans="2:10">
      <c r="B374" s="392"/>
      <c r="C374" s="347"/>
      <c r="D374" s="18"/>
      <c r="E374" s="18"/>
      <c r="F374" s="18"/>
      <c r="G374" s="18"/>
      <c r="H374" s="393"/>
      <c r="I374" s="388"/>
      <c r="J374" s="394"/>
    </row>
    <row r="375" spans="2:10">
      <c r="B375" s="392"/>
      <c r="C375" s="347"/>
      <c r="D375" s="18"/>
      <c r="E375" s="18"/>
      <c r="F375" s="18"/>
      <c r="G375" s="18"/>
      <c r="H375" s="393"/>
      <c r="I375" s="388"/>
      <c r="J375" s="394"/>
    </row>
    <row r="376" spans="2:10">
      <c r="B376" s="392"/>
      <c r="C376" s="347"/>
      <c r="D376" s="18"/>
      <c r="E376" s="18"/>
      <c r="F376" s="18"/>
      <c r="G376" s="18"/>
      <c r="H376" s="393"/>
      <c r="I376" s="388"/>
      <c r="J376" s="394"/>
    </row>
    <row r="377" spans="2:10">
      <c r="B377" s="392"/>
      <c r="C377" s="347"/>
      <c r="D377" s="18"/>
      <c r="E377" s="18"/>
      <c r="F377" s="18"/>
      <c r="G377" s="18"/>
      <c r="H377" s="393"/>
      <c r="I377" s="388"/>
      <c r="J377" s="394"/>
    </row>
    <row r="378" spans="2:10">
      <c r="B378" s="392"/>
      <c r="C378" s="347"/>
      <c r="D378" s="18"/>
      <c r="E378" s="18"/>
      <c r="F378" s="18"/>
      <c r="G378" s="18"/>
      <c r="H378" s="393"/>
      <c r="I378" s="388"/>
      <c r="J378" s="394"/>
    </row>
    <row r="379" spans="2:10">
      <c r="B379" s="392"/>
      <c r="C379" s="347"/>
      <c r="D379" s="18"/>
      <c r="E379" s="18"/>
      <c r="F379" s="18"/>
      <c r="G379" s="18"/>
      <c r="H379" s="393"/>
      <c r="I379" s="388"/>
      <c r="J379" s="394"/>
    </row>
    <row r="380" spans="2:10">
      <c r="B380" s="392"/>
      <c r="C380" s="347"/>
      <c r="D380" s="18"/>
      <c r="E380" s="18"/>
      <c r="F380" s="18"/>
      <c r="G380" s="18"/>
      <c r="H380" s="393"/>
      <c r="I380" s="388"/>
      <c r="J380" s="394"/>
    </row>
    <row r="381" spans="2:10">
      <c r="B381" s="392"/>
      <c r="C381" s="347"/>
      <c r="D381" s="18"/>
      <c r="E381" s="18"/>
      <c r="F381" s="18"/>
      <c r="G381" s="18"/>
      <c r="H381" s="393"/>
      <c r="I381" s="388"/>
      <c r="J381" s="394"/>
    </row>
    <row r="382" spans="2:10">
      <c r="B382" s="392"/>
      <c r="C382" s="347"/>
      <c r="D382" s="18"/>
      <c r="E382" s="18"/>
      <c r="F382" s="18"/>
      <c r="G382" s="18"/>
      <c r="H382" s="393"/>
      <c r="I382" s="388"/>
      <c r="J382" s="394"/>
    </row>
    <row r="383" spans="2:10">
      <c r="B383" s="392"/>
      <c r="C383" s="347"/>
      <c r="D383" s="18"/>
      <c r="E383" s="18"/>
      <c r="F383" s="18"/>
      <c r="G383" s="18"/>
      <c r="H383" s="393"/>
      <c r="I383" s="388"/>
      <c r="J383" s="394"/>
    </row>
    <row r="384" spans="2:10">
      <c r="B384" s="392"/>
      <c r="C384" s="347"/>
      <c r="D384" s="18"/>
      <c r="E384" s="18"/>
      <c r="F384" s="18"/>
      <c r="G384" s="18"/>
      <c r="H384" s="393"/>
      <c r="I384" s="388"/>
      <c r="J384" s="394"/>
    </row>
    <row r="385" spans="2:10">
      <c r="B385" s="392"/>
      <c r="C385" s="347"/>
      <c r="D385" s="18"/>
      <c r="E385" s="18"/>
      <c r="F385" s="18"/>
      <c r="G385" s="18"/>
      <c r="H385" s="393"/>
      <c r="I385" s="388"/>
      <c r="J385" s="394"/>
    </row>
    <row r="386" spans="2:10">
      <c r="B386" s="392"/>
      <c r="C386" s="347"/>
      <c r="D386" s="18"/>
      <c r="E386" s="18"/>
      <c r="F386" s="18"/>
      <c r="G386" s="18"/>
      <c r="H386" s="393"/>
      <c r="I386" s="388"/>
      <c r="J386" s="394"/>
    </row>
    <row r="387" spans="2:10">
      <c r="B387" s="392"/>
      <c r="C387" s="347"/>
      <c r="D387" s="18"/>
      <c r="E387" s="18"/>
      <c r="F387" s="18"/>
      <c r="G387" s="18"/>
      <c r="H387" s="393"/>
      <c r="I387" s="388"/>
      <c r="J387" s="394"/>
    </row>
    <row r="388" spans="2:10">
      <c r="B388" s="392"/>
      <c r="C388" s="347"/>
      <c r="D388" s="18"/>
      <c r="E388" s="18"/>
      <c r="F388" s="18"/>
      <c r="G388" s="18"/>
      <c r="H388" s="393"/>
      <c r="I388" s="388"/>
      <c r="J388" s="394"/>
    </row>
    <row r="389" spans="2:10">
      <c r="B389" s="392"/>
      <c r="C389" s="347"/>
      <c r="D389" s="18"/>
      <c r="E389" s="18"/>
      <c r="F389" s="18"/>
      <c r="G389" s="18"/>
      <c r="H389" s="393"/>
      <c r="I389" s="388"/>
      <c r="J389" s="394"/>
    </row>
    <row r="390" spans="2:10">
      <c r="B390" s="392"/>
      <c r="C390" s="347"/>
      <c r="D390" s="18"/>
      <c r="E390" s="18"/>
      <c r="F390" s="18"/>
      <c r="G390" s="18"/>
      <c r="H390" s="393"/>
      <c r="I390" s="388"/>
      <c r="J390" s="394"/>
    </row>
    <row r="391" spans="2:10">
      <c r="B391" s="392"/>
      <c r="C391" s="347"/>
      <c r="D391" s="18"/>
      <c r="E391" s="18"/>
      <c r="F391" s="18"/>
      <c r="G391" s="18"/>
      <c r="H391" s="393"/>
      <c r="I391" s="388"/>
      <c r="J391" s="394"/>
    </row>
    <row r="392" spans="2:10">
      <c r="B392" s="392"/>
      <c r="C392" s="347"/>
      <c r="D392" s="18"/>
      <c r="E392" s="18"/>
      <c r="F392" s="18"/>
      <c r="G392" s="18"/>
      <c r="H392" s="393"/>
      <c r="I392" s="388"/>
      <c r="J392" s="394"/>
    </row>
    <row r="393" spans="2:10">
      <c r="B393" s="392"/>
      <c r="C393" s="347"/>
      <c r="D393" s="18"/>
      <c r="E393" s="18"/>
      <c r="F393" s="18"/>
      <c r="G393" s="18"/>
      <c r="H393" s="393"/>
      <c r="I393" s="388"/>
      <c r="J393" s="394"/>
    </row>
    <row r="394" spans="2:10">
      <c r="B394" s="392"/>
      <c r="C394" s="347"/>
      <c r="D394" s="18"/>
      <c r="E394" s="18"/>
      <c r="F394" s="18"/>
      <c r="G394" s="18"/>
      <c r="H394" s="393"/>
      <c r="I394" s="388"/>
      <c r="J394" s="394"/>
    </row>
    <row r="395" spans="2:10">
      <c r="B395" s="392"/>
      <c r="C395" s="347"/>
      <c r="D395" s="18"/>
      <c r="E395" s="18"/>
      <c r="F395" s="18"/>
      <c r="G395" s="18"/>
      <c r="H395" s="393"/>
      <c r="I395" s="388"/>
      <c r="J395" s="394"/>
    </row>
    <row r="396" spans="2:10">
      <c r="B396" s="392"/>
      <c r="C396" s="347"/>
      <c r="D396" s="18"/>
      <c r="E396" s="18"/>
      <c r="F396" s="18"/>
      <c r="G396" s="18"/>
      <c r="H396" s="393"/>
      <c r="I396" s="388"/>
      <c r="J396" s="394"/>
    </row>
    <row r="397" spans="2:10">
      <c r="B397" s="392"/>
      <c r="C397" s="347"/>
      <c r="D397" s="18"/>
      <c r="E397" s="18"/>
      <c r="F397" s="18"/>
      <c r="G397" s="18"/>
      <c r="H397" s="393"/>
      <c r="I397" s="388"/>
      <c r="J397" s="394"/>
    </row>
    <row r="398" spans="2:10">
      <c r="B398" s="392"/>
      <c r="C398" s="347"/>
      <c r="D398" s="18"/>
      <c r="E398" s="18"/>
      <c r="F398" s="18"/>
      <c r="G398" s="18"/>
      <c r="H398" s="393"/>
      <c r="I398" s="388"/>
      <c r="J398" s="394"/>
    </row>
    <row r="399" spans="2:10">
      <c r="B399" s="392"/>
      <c r="C399" s="347"/>
      <c r="D399" s="18"/>
      <c r="E399" s="18"/>
      <c r="F399" s="18"/>
      <c r="G399" s="18"/>
      <c r="H399" s="393"/>
      <c r="I399" s="388"/>
      <c r="J399" s="394"/>
    </row>
    <row r="400" spans="2:10">
      <c r="B400" s="392"/>
      <c r="C400" s="347"/>
      <c r="D400" s="18"/>
      <c r="E400" s="18"/>
      <c r="F400" s="18"/>
      <c r="G400" s="18"/>
      <c r="H400" s="393"/>
      <c r="I400" s="388"/>
      <c r="J400" s="394"/>
    </row>
    <row r="401" spans="2:10">
      <c r="B401" s="392"/>
      <c r="C401" s="347"/>
      <c r="D401" s="18"/>
      <c r="E401" s="18"/>
      <c r="F401" s="18"/>
      <c r="G401" s="18"/>
      <c r="H401" s="393"/>
      <c r="I401" s="388"/>
      <c r="J401" s="394"/>
    </row>
    <row r="402" spans="2:10">
      <c r="B402" s="392"/>
      <c r="C402" s="347"/>
      <c r="D402" s="18"/>
      <c r="E402" s="18"/>
      <c r="F402" s="18"/>
      <c r="G402" s="18"/>
      <c r="H402" s="393"/>
      <c r="I402" s="388"/>
      <c r="J402" s="394"/>
    </row>
    <row r="403" spans="2:10">
      <c r="B403" s="392"/>
      <c r="C403" s="347"/>
      <c r="D403" s="18"/>
      <c r="E403" s="18"/>
      <c r="F403" s="18"/>
      <c r="G403" s="18"/>
      <c r="H403" s="393"/>
      <c r="I403" s="388"/>
      <c r="J403" s="394"/>
    </row>
    <row r="404" spans="2:10">
      <c r="B404" s="392"/>
      <c r="C404" s="347"/>
      <c r="D404" s="18"/>
      <c r="E404" s="18"/>
      <c r="F404" s="18"/>
      <c r="G404" s="18"/>
      <c r="H404" s="393"/>
      <c r="I404" s="388"/>
      <c r="J404" s="394"/>
    </row>
    <row r="405" spans="2:10">
      <c r="B405" s="392"/>
      <c r="C405" s="347"/>
      <c r="D405" s="18"/>
      <c r="E405" s="18"/>
      <c r="F405" s="18"/>
      <c r="G405" s="18"/>
      <c r="H405" s="393"/>
      <c r="I405" s="388"/>
      <c r="J405" s="394"/>
    </row>
    <row r="406" spans="2:10">
      <c r="B406" s="392"/>
      <c r="C406" s="347"/>
      <c r="D406" s="18"/>
      <c r="E406" s="18"/>
      <c r="F406" s="18"/>
      <c r="G406" s="18"/>
      <c r="H406" s="393"/>
      <c r="I406" s="388"/>
      <c r="J406" s="394"/>
    </row>
    <row r="407" spans="2:10">
      <c r="B407" s="392"/>
      <c r="C407" s="347"/>
      <c r="D407" s="18"/>
      <c r="E407" s="18"/>
      <c r="F407" s="18"/>
      <c r="G407" s="18"/>
      <c r="H407" s="393"/>
      <c r="I407" s="388"/>
      <c r="J407" s="394"/>
    </row>
    <row r="408" spans="2:10">
      <c r="B408" s="392"/>
      <c r="C408" s="347"/>
      <c r="D408" s="18"/>
      <c r="E408" s="18"/>
      <c r="F408" s="18"/>
      <c r="G408" s="18"/>
      <c r="H408" s="393"/>
      <c r="I408" s="388"/>
      <c r="J408" s="394"/>
    </row>
    <row r="409" spans="2:10">
      <c r="B409" s="392"/>
      <c r="C409" s="347"/>
      <c r="D409" s="18"/>
      <c r="E409" s="18"/>
      <c r="F409" s="18"/>
      <c r="G409" s="18"/>
      <c r="H409" s="393"/>
      <c r="I409" s="388"/>
      <c r="J409" s="394"/>
    </row>
    <row r="410" spans="2:10">
      <c r="B410" s="392"/>
      <c r="C410" s="347"/>
      <c r="D410" s="18"/>
      <c r="E410" s="18"/>
      <c r="F410" s="18"/>
      <c r="G410" s="18"/>
      <c r="H410" s="393"/>
      <c r="I410" s="388"/>
      <c r="J410" s="394"/>
    </row>
    <row r="411" spans="2:10">
      <c r="B411" s="392"/>
      <c r="C411" s="347"/>
      <c r="D411" s="18"/>
      <c r="E411" s="18"/>
      <c r="F411" s="18"/>
      <c r="G411" s="18"/>
      <c r="H411" s="393"/>
      <c r="I411" s="388"/>
      <c r="J411" s="394"/>
    </row>
    <row r="412" spans="2:10">
      <c r="B412" s="392"/>
      <c r="C412" s="347"/>
      <c r="D412" s="18"/>
      <c r="E412" s="18"/>
      <c r="F412" s="18"/>
      <c r="G412" s="18"/>
      <c r="H412" s="393"/>
      <c r="I412" s="388"/>
      <c r="J412" s="394"/>
    </row>
    <row r="413" spans="2:10">
      <c r="B413" s="392"/>
      <c r="C413" s="347"/>
      <c r="D413" s="18"/>
      <c r="E413" s="18"/>
      <c r="F413" s="18"/>
      <c r="G413" s="18"/>
      <c r="H413" s="393"/>
      <c r="I413" s="388"/>
      <c r="J413" s="394"/>
    </row>
    <row r="414" spans="2:10">
      <c r="B414" s="392"/>
      <c r="C414" s="347"/>
      <c r="D414" s="18"/>
      <c r="E414" s="18"/>
      <c r="F414" s="18"/>
      <c r="G414" s="18"/>
      <c r="H414" s="393"/>
      <c r="I414" s="388"/>
      <c r="J414" s="394"/>
    </row>
    <row r="415" spans="2:10">
      <c r="B415" s="392"/>
      <c r="C415" s="347"/>
      <c r="D415" s="18"/>
      <c r="E415" s="18"/>
      <c r="F415" s="18"/>
      <c r="G415" s="18"/>
      <c r="H415" s="393"/>
      <c r="I415" s="388"/>
      <c r="J415" s="394"/>
    </row>
    <row r="416" spans="2:10">
      <c r="B416" s="392"/>
      <c r="C416" s="347"/>
      <c r="D416" s="18"/>
      <c r="E416" s="18"/>
      <c r="F416" s="18"/>
      <c r="G416" s="18"/>
      <c r="H416" s="393"/>
      <c r="I416" s="388"/>
      <c r="J416" s="394"/>
    </row>
    <row r="417" spans="2:10">
      <c r="B417" s="392"/>
      <c r="C417" s="347"/>
      <c r="D417" s="18"/>
      <c r="E417" s="18"/>
      <c r="F417" s="18"/>
      <c r="G417" s="18"/>
      <c r="H417" s="393"/>
      <c r="I417" s="388"/>
      <c r="J417" s="394"/>
    </row>
    <row r="418" spans="2:10">
      <c r="B418" s="392"/>
      <c r="C418" s="347"/>
      <c r="D418" s="18"/>
      <c r="E418" s="18"/>
      <c r="F418" s="18"/>
      <c r="G418" s="18"/>
      <c r="H418" s="393"/>
      <c r="I418" s="388"/>
      <c r="J418" s="394"/>
    </row>
    <row r="419" spans="2:10">
      <c r="B419" s="392"/>
      <c r="C419" s="347"/>
      <c r="D419" s="18"/>
      <c r="E419" s="18"/>
      <c r="F419" s="18"/>
      <c r="G419" s="18"/>
      <c r="H419" s="393"/>
      <c r="I419" s="388"/>
      <c r="J419" s="394"/>
    </row>
    <row r="420" spans="2:10">
      <c r="B420" s="392"/>
      <c r="C420" s="347"/>
      <c r="D420" s="18"/>
      <c r="E420" s="18"/>
      <c r="F420" s="18"/>
      <c r="G420" s="18"/>
      <c r="H420" s="393"/>
      <c r="I420" s="388"/>
      <c r="J420" s="394"/>
    </row>
    <row r="421" spans="2:10">
      <c r="B421" s="392"/>
      <c r="C421" s="347"/>
      <c r="D421" s="18"/>
      <c r="E421" s="18"/>
      <c r="F421" s="18"/>
      <c r="G421" s="18"/>
      <c r="H421" s="393"/>
      <c r="I421" s="388"/>
      <c r="J421" s="394"/>
    </row>
    <row r="422" spans="2:10">
      <c r="B422" s="392"/>
      <c r="C422" s="347"/>
      <c r="D422" s="18"/>
      <c r="E422" s="18"/>
      <c r="F422" s="18"/>
      <c r="G422" s="18"/>
      <c r="H422" s="393"/>
      <c r="I422" s="388"/>
      <c r="J422" s="394"/>
    </row>
    <row r="423" spans="2:10">
      <c r="B423" s="392"/>
      <c r="C423" s="347"/>
      <c r="D423" s="18"/>
      <c r="E423" s="18"/>
      <c r="F423" s="18"/>
      <c r="G423" s="18"/>
      <c r="H423" s="393"/>
      <c r="I423" s="388"/>
      <c r="J423" s="394"/>
    </row>
    <row r="424" spans="2:10">
      <c r="B424" s="392"/>
      <c r="C424" s="347"/>
      <c r="D424" s="18"/>
      <c r="E424" s="18"/>
      <c r="F424" s="18"/>
      <c r="G424" s="18"/>
      <c r="H424" s="393"/>
      <c r="I424" s="388"/>
      <c r="J424" s="394"/>
    </row>
    <row r="425" spans="2:10">
      <c r="B425" s="392"/>
      <c r="C425" s="347"/>
      <c r="D425" s="18"/>
      <c r="E425" s="18"/>
      <c r="F425" s="18"/>
      <c r="G425" s="18"/>
      <c r="H425" s="393"/>
      <c r="I425" s="388"/>
      <c r="J425" s="394"/>
    </row>
    <row r="426" spans="2:10">
      <c r="B426" s="392"/>
      <c r="C426" s="347"/>
      <c r="D426" s="18"/>
      <c r="E426" s="18"/>
      <c r="F426" s="18"/>
      <c r="G426" s="18"/>
      <c r="H426" s="393"/>
      <c r="I426" s="388"/>
      <c r="J426" s="394"/>
    </row>
    <row r="427" spans="2:10">
      <c r="B427" s="392"/>
      <c r="C427" s="347"/>
      <c r="D427" s="18"/>
      <c r="E427" s="18"/>
      <c r="F427" s="18"/>
      <c r="G427" s="18"/>
      <c r="H427" s="393"/>
      <c r="I427" s="388"/>
      <c r="J427" s="394"/>
    </row>
    <row r="428" spans="2:10">
      <c r="B428" s="392"/>
      <c r="C428" s="347"/>
      <c r="D428" s="18"/>
      <c r="E428" s="18"/>
      <c r="F428" s="18"/>
      <c r="G428" s="18"/>
      <c r="H428" s="393"/>
      <c r="I428" s="388"/>
      <c r="J428" s="394"/>
    </row>
    <row r="429" spans="2:10">
      <c r="B429" s="392"/>
      <c r="C429" s="347"/>
      <c r="D429" s="18"/>
      <c r="E429" s="18"/>
      <c r="F429" s="18"/>
      <c r="G429" s="18"/>
      <c r="H429" s="393"/>
      <c r="I429" s="388"/>
      <c r="J429" s="394"/>
    </row>
    <row r="430" spans="2:10">
      <c r="B430" s="392"/>
      <c r="C430" s="347"/>
      <c r="D430" s="18"/>
      <c r="E430" s="18"/>
      <c r="F430" s="18"/>
      <c r="G430" s="18"/>
      <c r="H430" s="393"/>
      <c r="I430" s="388"/>
      <c r="J430" s="394"/>
    </row>
    <row r="431" spans="2:10">
      <c r="B431" s="392"/>
      <c r="C431" s="347"/>
      <c r="D431" s="18"/>
      <c r="E431" s="18"/>
      <c r="F431" s="18"/>
      <c r="G431" s="18"/>
      <c r="H431" s="393"/>
      <c r="I431" s="388"/>
      <c r="J431" s="394"/>
    </row>
    <row r="432" spans="2:10">
      <c r="B432" s="392"/>
      <c r="C432" s="347"/>
      <c r="D432" s="18"/>
      <c r="E432" s="18"/>
      <c r="F432" s="18"/>
      <c r="G432" s="18"/>
      <c r="H432" s="393"/>
      <c r="I432" s="388"/>
      <c r="J432" s="394"/>
    </row>
    <row r="433" spans="2:10">
      <c r="B433" s="392"/>
      <c r="C433" s="347"/>
      <c r="D433" s="18"/>
      <c r="E433" s="18"/>
      <c r="F433" s="18"/>
      <c r="G433" s="18"/>
      <c r="H433" s="393"/>
      <c r="I433" s="388"/>
      <c r="J433" s="394"/>
    </row>
    <row r="434" spans="2:10">
      <c r="B434" s="392"/>
      <c r="C434" s="347"/>
      <c r="D434" s="18"/>
      <c r="E434" s="18"/>
      <c r="F434" s="18"/>
      <c r="G434" s="18"/>
      <c r="H434" s="393"/>
      <c r="I434" s="388"/>
      <c r="J434" s="394"/>
    </row>
    <row r="435" spans="2:10">
      <c r="B435" s="392"/>
      <c r="C435" s="347"/>
      <c r="D435" s="18"/>
      <c r="E435" s="18"/>
      <c r="F435" s="18"/>
      <c r="G435" s="18"/>
      <c r="H435" s="393"/>
      <c r="I435" s="388"/>
      <c r="J435" s="394"/>
    </row>
    <row r="436" spans="2:10">
      <c r="B436" s="392"/>
      <c r="C436" s="347"/>
      <c r="D436" s="18"/>
      <c r="E436" s="18"/>
      <c r="F436" s="18"/>
      <c r="G436" s="18"/>
      <c r="H436" s="393"/>
      <c r="I436" s="388"/>
      <c r="J436" s="394"/>
    </row>
    <row r="437" spans="2:10">
      <c r="B437" s="392"/>
      <c r="C437" s="347"/>
      <c r="D437" s="18"/>
      <c r="E437" s="18"/>
      <c r="F437" s="18"/>
      <c r="G437" s="18"/>
      <c r="H437" s="393"/>
      <c r="I437" s="388"/>
      <c r="J437" s="394"/>
    </row>
    <row r="438" spans="2:10">
      <c r="B438" s="392"/>
      <c r="C438" s="347"/>
      <c r="D438" s="18"/>
      <c r="E438" s="18"/>
      <c r="F438" s="18"/>
      <c r="G438" s="18"/>
      <c r="H438" s="393"/>
      <c r="I438" s="388"/>
      <c r="J438" s="394"/>
    </row>
    <row r="439" spans="2:10">
      <c r="B439" s="392"/>
      <c r="C439" s="347"/>
      <c r="D439" s="18"/>
      <c r="E439" s="18"/>
      <c r="F439" s="18"/>
      <c r="G439" s="18"/>
      <c r="H439" s="393"/>
      <c r="I439" s="388"/>
      <c r="J439" s="394"/>
    </row>
    <row r="440" spans="2:10">
      <c r="B440" s="392"/>
      <c r="C440" s="347"/>
      <c r="D440" s="18"/>
      <c r="E440" s="18"/>
      <c r="F440" s="18"/>
      <c r="G440" s="18"/>
      <c r="H440" s="393"/>
      <c r="I440" s="388"/>
      <c r="J440" s="394"/>
    </row>
    <row r="441" spans="2:10">
      <c r="B441" s="392"/>
      <c r="C441" s="347"/>
      <c r="D441" s="18"/>
      <c r="E441" s="18"/>
      <c r="F441" s="18"/>
      <c r="G441" s="18"/>
      <c r="H441" s="393"/>
      <c r="I441" s="388"/>
      <c r="J441" s="394"/>
    </row>
    <row r="442" spans="2:10">
      <c r="B442" s="392"/>
      <c r="C442" s="347"/>
      <c r="D442" s="18"/>
      <c r="E442" s="18"/>
      <c r="F442" s="18"/>
      <c r="G442" s="18"/>
      <c r="H442" s="393"/>
      <c r="I442" s="388"/>
      <c r="J442" s="394"/>
    </row>
    <row r="443" spans="2:10">
      <c r="B443" s="392"/>
      <c r="C443" s="347"/>
      <c r="D443" s="18"/>
      <c r="E443" s="18"/>
      <c r="F443" s="18"/>
      <c r="G443" s="18"/>
      <c r="H443" s="393"/>
      <c r="I443" s="388"/>
      <c r="J443" s="394"/>
    </row>
    <row r="444" spans="2:10">
      <c r="B444" s="392"/>
      <c r="C444" s="347"/>
      <c r="D444" s="18"/>
      <c r="E444" s="18"/>
      <c r="F444" s="18"/>
      <c r="G444" s="18"/>
      <c r="H444" s="393"/>
      <c r="I444" s="388"/>
      <c r="J444" s="394"/>
    </row>
    <row r="445" spans="2:10">
      <c r="B445" s="392"/>
      <c r="C445" s="347"/>
      <c r="D445" s="18"/>
      <c r="E445" s="18"/>
      <c r="F445" s="18"/>
      <c r="G445" s="18"/>
      <c r="H445" s="393"/>
      <c r="I445" s="388"/>
      <c r="J445" s="394"/>
    </row>
    <row r="446" spans="2:10">
      <c r="B446" s="392"/>
      <c r="C446" s="347"/>
      <c r="D446" s="18"/>
      <c r="E446" s="18"/>
      <c r="F446" s="18"/>
      <c r="G446" s="18"/>
      <c r="H446" s="393"/>
      <c r="I446" s="388"/>
      <c r="J446" s="394"/>
    </row>
    <row r="447" spans="2:10">
      <c r="B447" s="392"/>
      <c r="C447" s="347"/>
      <c r="D447" s="18"/>
      <c r="E447" s="18"/>
      <c r="F447" s="18"/>
      <c r="G447" s="18"/>
      <c r="H447" s="393"/>
      <c r="I447" s="388"/>
      <c r="J447" s="394"/>
    </row>
    <row r="448" spans="2:10">
      <c r="B448" s="392"/>
      <c r="C448" s="347"/>
      <c r="D448" s="18"/>
      <c r="E448" s="18"/>
      <c r="F448" s="18"/>
      <c r="G448" s="18"/>
      <c r="H448" s="393"/>
      <c r="I448" s="388"/>
      <c r="J448" s="394"/>
    </row>
    <row r="449" spans="2:10">
      <c r="B449" s="392"/>
      <c r="C449" s="347"/>
      <c r="D449" s="18"/>
      <c r="E449" s="18"/>
      <c r="F449" s="18"/>
      <c r="G449" s="18"/>
      <c r="H449" s="393"/>
      <c r="I449" s="388"/>
      <c r="J449" s="394"/>
    </row>
    <row r="450" spans="2:10">
      <c r="B450" s="392"/>
      <c r="C450" s="347"/>
      <c r="D450" s="18"/>
      <c r="E450" s="18"/>
      <c r="F450" s="18"/>
      <c r="G450" s="18"/>
      <c r="H450" s="393"/>
      <c r="I450" s="388"/>
      <c r="J450" s="394"/>
    </row>
    <row r="451" spans="2:10">
      <c r="B451" s="392"/>
      <c r="C451" s="347"/>
      <c r="D451" s="18"/>
      <c r="E451" s="18"/>
      <c r="F451" s="18"/>
      <c r="G451" s="18"/>
      <c r="H451" s="393"/>
      <c r="I451" s="388"/>
      <c r="J451" s="394"/>
    </row>
    <row r="452" spans="2:10">
      <c r="B452" s="392"/>
      <c r="C452" s="347"/>
      <c r="D452" s="18"/>
      <c r="E452" s="18"/>
      <c r="F452" s="18"/>
      <c r="G452" s="18"/>
      <c r="H452" s="393"/>
      <c r="I452" s="388"/>
      <c r="J452" s="394"/>
    </row>
    <row r="453" spans="2:10">
      <c r="B453" s="392"/>
      <c r="C453" s="347"/>
      <c r="D453" s="18"/>
      <c r="E453" s="18"/>
      <c r="F453" s="18"/>
      <c r="G453" s="18"/>
      <c r="H453" s="393"/>
      <c r="I453" s="388"/>
      <c r="J453" s="394"/>
    </row>
    <row r="454" spans="2:10">
      <c r="B454" s="392"/>
      <c r="C454" s="347"/>
      <c r="D454" s="18"/>
      <c r="E454" s="18"/>
      <c r="F454" s="18"/>
      <c r="G454" s="18"/>
      <c r="H454" s="393"/>
      <c r="I454" s="388"/>
      <c r="J454" s="394"/>
    </row>
    <row r="455" spans="2:10">
      <c r="B455" s="392"/>
      <c r="C455" s="347"/>
      <c r="D455" s="18"/>
      <c r="E455" s="18"/>
      <c r="F455" s="18"/>
      <c r="G455" s="18"/>
      <c r="H455" s="393"/>
      <c r="I455" s="388"/>
      <c r="J455" s="394"/>
    </row>
    <row r="456" spans="2:10">
      <c r="B456" s="392"/>
      <c r="C456" s="347"/>
      <c r="D456" s="18"/>
      <c r="E456" s="18"/>
      <c r="F456" s="18"/>
      <c r="G456" s="18"/>
      <c r="H456" s="393"/>
      <c r="I456" s="388"/>
      <c r="J456" s="394"/>
    </row>
    <row r="457" spans="2:10">
      <c r="B457" s="392"/>
      <c r="C457" s="347"/>
      <c r="D457" s="18"/>
      <c r="E457" s="18"/>
      <c r="F457" s="18"/>
      <c r="G457" s="18"/>
      <c r="H457" s="393"/>
      <c r="I457" s="388"/>
      <c r="J457" s="394"/>
    </row>
    <row r="458" spans="2:10">
      <c r="B458" s="392"/>
      <c r="C458" s="347"/>
      <c r="D458" s="18"/>
      <c r="E458" s="18"/>
      <c r="F458" s="18"/>
      <c r="G458" s="18"/>
      <c r="H458" s="393"/>
      <c r="I458" s="388"/>
      <c r="J458" s="394"/>
    </row>
    <row r="459" spans="2:10">
      <c r="B459" s="392"/>
      <c r="C459" s="347"/>
      <c r="D459" s="18"/>
      <c r="E459" s="18"/>
      <c r="F459" s="18"/>
      <c r="G459" s="18"/>
      <c r="H459" s="393"/>
      <c r="I459" s="388"/>
      <c r="J459" s="394"/>
    </row>
    <row r="460" spans="2:10">
      <c r="B460" s="392"/>
      <c r="C460" s="347"/>
      <c r="D460" s="18"/>
      <c r="E460" s="18"/>
      <c r="F460" s="18"/>
      <c r="G460" s="18"/>
      <c r="H460" s="393"/>
      <c r="I460" s="388"/>
      <c r="J460" s="394"/>
    </row>
    <row r="461" spans="2:10">
      <c r="B461" s="392"/>
      <c r="C461" s="347"/>
      <c r="D461" s="18"/>
      <c r="E461" s="18"/>
      <c r="F461" s="18"/>
      <c r="G461" s="18"/>
      <c r="H461" s="393"/>
      <c r="I461" s="388"/>
      <c r="J461" s="394"/>
    </row>
    <row r="462" spans="2:10">
      <c r="B462" s="392"/>
      <c r="C462" s="347"/>
      <c r="D462" s="18"/>
      <c r="E462" s="18"/>
      <c r="F462" s="18"/>
      <c r="G462" s="18"/>
      <c r="H462" s="393"/>
      <c r="I462" s="388"/>
      <c r="J462" s="394"/>
    </row>
    <row r="463" spans="2:10">
      <c r="B463" s="392"/>
      <c r="C463" s="347"/>
      <c r="D463" s="18"/>
      <c r="E463" s="18"/>
      <c r="F463" s="18"/>
      <c r="G463" s="18"/>
      <c r="H463" s="393"/>
      <c r="I463" s="388"/>
      <c r="J463" s="394"/>
    </row>
    <row r="464" spans="2:10">
      <c r="B464" s="392"/>
      <c r="C464" s="347"/>
      <c r="D464" s="18"/>
      <c r="E464" s="18"/>
      <c r="F464" s="18"/>
      <c r="G464" s="18"/>
      <c r="H464" s="393"/>
      <c r="I464" s="388"/>
      <c r="J464" s="394"/>
    </row>
    <row r="465" spans="2:10">
      <c r="B465" s="392"/>
      <c r="C465" s="347"/>
      <c r="D465" s="18"/>
      <c r="E465" s="18"/>
      <c r="F465" s="18"/>
      <c r="G465" s="18"/>
      <c r="H465" s="393"/>
      <c r="I465" s="388"/>
      <c r="J465" s="394"/>
    </row>
    <row r="466" spans="2:10">
      <c r="B466" s="392"/>
      <c r="C466" s="347"/>
      <c r="D466" s="18"/>
      <c r="E466" s="18"/>
      <c r="F466" s="18"/>
      <c r="G466" s="18"/>
      <c r="H466" s="393"/>
      <c r="I466" s="388"/>
      <c r="J466" s="394"/>
    </row>
    <row r="467" spans="2:10">
      <c r="B467" s="392"/>
      <c r="C467" s="347"/>
      <c r="D467" s="18"/>
      <c r="E467" s="18"/>
      <c r="F467" s="18"/>
      <c r="G467" s="18"/>
      <c r="H467" s="393"/>
      <c r="I467" s="388"/>
      <c r="J467" s="394"/>
    </row>
    <row r="468" spans="2:10">
      <c r="B468" s="392"/>
      <c r="C468" s="347"/>
      <c r="D468" s="18"/>
      <c r="E468" s="18"/>
      <c r="F468" s="18"/>
      <c r="G468" s="18"/>
      <c r="H468" s="393"/>
      <c r="I468" s="388"/>
      <c r="J468" s="394"/>
    </row>
    <row r="469" spans="2:10">
      <c r="B469" s="392"/>
      <c r="C469" s="347"/>
      <c r="D469" s="18"/>
      <c r="E469" s="18"/>
      <c r="F469" s="18"/>
      <c r="G469" s="18"/>
      <c r="H469" s="393"/>
      <c r="I469" s="388"/>
      <c r="J469" s="394"/>
    </row>
    <row r="470" spans="2:10">
      <c r="B470" s="392"/>
      <c r="C470" s="347"/>
      <c r="D470" s="18"/>
      <c r="E470" s="18"/>
      <c r="F470" s="18"/>
      <c r="G470" s="18"/>
      <c r="H470" s="393"/>
      <c r="I470" s="388"/>
      <c r="J470" s="394"/>
    </row>
    <row r="471" spans="2:10">
      <c r="B471" s="392"/>
      <c r="C471" s="347"/>
      <c r="D471" s="18"/>
      <c r="E471" s="18"/>
      <c r="F471" s="18"/>
      <c r="G471" s="18"/>
      <c r="H471" s="393"/>
      <c r="I471" s="388"/>
      <c r="J471" s="394"/>
    </row>
    <row r="472" spans="2:10">
      <c r="B472" s="392"/>
      <c r="C472" s="347"/>
      <c r="D472" s="18"/>
      <c r="E472" s="18"/>
      <c r="F472" s="18"/>
      <c r="G472" s="18"/>
      <c r="H472" s="393"/>
      <c r="I472" s="388"/>
      <c r="J472" s="394"/>
    </row>
    <row r="473" spans="2:10">
      <c r="B473" s="392"/>
      <c r="C473" s="347"/>
      <c r="D473" s="18"/>
      <c r="E473" s="18"/>
      <c r="F473" s="18"/>
      <c r="G473" s="18"/>
      <c r="H473" s="393"/>
      <c r="I473" s="388"/>
      <c r="J473" s="394"/>
    </row>
    <row r="474" spans="2:10">
      <c r="B474" s="392"/>
      <c r="C474" s="347"/>
      <c r="D474" s="18"/>
      <c r="E474" s="18"/>
      <c r="F474" s="18"/>
      <c r="G474" s="18"/>
      <c r="H474" s="393"/>
      <c r="I474" s="388"/>
      <c r="J474" s="394"/>
    </row>
    <row r="475" spans="2:10">
      <c r="B475" s="392"/>
      <c r="C475" s="347"/>
      <c r="D475" s="18"/>
      <c r="E475" s="18"/>
      <c r="F475" s="18"/>
      <c r="G475" s="18"/>
      <c r="H475" s="393"/>
      <c r="I475" s="388"/>
      <c r="J475" s="394"/>
    </row>
    <row r="476" spans="2:10">
      <c r="B476" s="392"/>
      <c r="C476" s="347"/>
      <c r="D476" s="18"/>
      <c r="E476" s="18"/>
      <c r="F476" s="18"/>
      <c r="G476" s="18"/>
      <c r="H476" s="393"/>
      <c r="I476" s="388"/>
      <c r="J476" s="394"/>
    </row>
    <row r="477" spans="2:10">
      <c r="B477" s="392"/>
      <c r="C477" s="347"/>
      <c r="D477" s="18"/>
      <c r="E477" s="18"/>
      <c r="F477" s="18"/>
      <c r="G477" s="18"/>
      <c r="H477" s="393"/>
      <c r="I477" s="388"/>
      <c r="J477" s="394"/>
    </row>
    <row r="478" spans="2:10">
      <c r="B478" s="392"/>
      <c r="C478" s="347"/>
      <c r="D478" s="18"/>
      <c r="E478" s="18"/>
      <c r="F478" s="18"/>
      <c r="G478" s="18"/>
      <c r="H478" s="393"/>
      <c r="I478" s="388"/>
      <c r="J478" s="394"/>
    </row>
    <row r="479" spans="2:10">
      <c r="B479" s="392"/>
      <c r="C479" s="347"/>
      <c r="D479" s="18"/>
      <c r="E479" s="18"/>
      <c r="F479" s="18"/>
      <c r="G479" s="18"/>
      <c r="H479" s="393"/>
      <c r="I479" s="388"/>
      <c r="J479" s="394"/>
    </row>
    <row r="480" spans="2:10">
      <c r="B480" s="392"/>
      <c r="C480" s="347"/>
      <c r="D480" s="18"/>
      <c r="E480" s="18"/>
      <c r="F480" s="18"/>
      <c r="G480" s="18"/>
      <c r="H480" s="393"/>
      <c r="I480" s="388"/>
      <c r="J480" s="394"/>
    </row>
    <row r="481" spans="2:10">
      <c r="B481" s="392"/>
      <c r="C481" s="347"/>
      <c r="D481" s="18"/>
      <c r="E481" s="18"/>
      <c r="F481" s="18"/>
      <c r="G481" s="18"/>
      <c r="H481" s="393"/>
      <c r="I481" s="388"/>
      <c r="J481" s="394"/>
    </row>
    <row r="482" spans="2:10">
      <c r="B482" s="392"/>
      <c r="C482" s="347"/>
      <c r="D482" s="18"/>
      <c r="E482" s="18"/>
      <c r="F482" s="18"/>
      <c r="G482" s="18"/>
      <c r="H482" s="393"/>
      <c r="I482" s="388"/>
      <c r="J482" s="394"/>
    </row>
    <row r="483" spans="2:10">
      <c r="B483" s="392"/>
      <c r="C483" s="347"/>
      <c r="D483" s="18"/>
      <c r="E483" s="18"/>
      <c r="F483" s="18"/>
      <c r="G483" s="18"/>
      <c r="H483" s="393"/>
      <c r="I483" s="388"/>
      <c r="J483" s="394"/>
    </row>
    <row r="484" spans="2:10">
      <c r="B484" s="392"/>
      <c r="C484" s="347"/>
      <c r="D484" s="18"/>
      <c r="E484" s="18"/>
      <c r="F484" s="18"/>
      <c r="G484" s="18"/>
      <c r="H484" s="393"/>
      <c r="I484" s="388"/>
      <c r="J484" s="394"/>
    </row>
    <row r="485" spans="2:10">
      <c r="B485" s="392"/>
      <c r="C485" s="347"/>
      <c r="D485" s="18"/>
      <c r="E485" s="18"/>
      <c r="F485" s="18"/>
      <c r="G485" s="18"/>
      <c r="H485" s="393"/>
      <c r="I485" s="388"/>
      <c r="J485" s="394"/>
    </row>
    <row r="486" spans="2:10">
      <c r="B486" s="392"/>
      <c r="C486" s="347"/>
      <c r="D486" s="18"/>
      <c r="E486" s="18"/>
      <c r="F486" s="18"/>
      <c r="G486" s="18"/>
      <c r="H486" s="393"/>
      <c r="I486" s="388"/>
      <c r="J486" s="394"/>
    </row>
    <row r="487" spans="2:10">
      <c r="B487" s="392"/>
      <c r="C487" s="347"/>
      <c r="D487" s="18"/>
      <c r="E487" s="18"/>
      <c r="F487" s="18"/>
      <c r="G487" s="18"/>
      <c r="H487" s="393"/>
      <c r="I487" s="388"/>
      <c r="J487" s="394"/>
    </row>
    <row r="488" spans="2:10">
      <c r="B488" s="392"/>
      <c r="C488" s="347"/>
      <c r="D488" s="18"/>
      <c r="E488" s="18"/>
      <c r="F488" s="18"/>
      <c r="G488" s="18"/>
      <c r="H488" s="393"/>
      <c r="I488" s="388"/>
      <c r="J488" s="394"/>
    </row>
    <row r="489" spans="2:10">
      <c r="B489" s="392"/>
      <c r="C489" s="347"/>
      <c r="D489" s="18"/>
      <c r="E489" s="18"/>
      <c r="F489" s="18"/>
      <c r="G489" s="18"/>
      <c r="H489" s="393"/>
      <c r="I489" s="388"/>
      <c r="J489" s="394"/>
    </row>
    <row r="490" spans="2:10">
      <c r="B490" s="392"/>
      <c r="C490" s="347"/>
      <c r="D490" s="18"/>
      <c r="E490" s="18"/>
      <c r="F490" s="18"/>
      <c r="G490" s="18"/>
      <c r="H490" s="393"/>
      <c r="I490" s="388"/>
      <c r="J490" s="394"/>
    </row>
    <row r="491" spans="2:10">
      <c r="B491" s="392"/>
      <c r="C491" s="347"/>
      <c r="D491" s="18"/>
      <c r="E491" s="18"/>
      <c r="F491" s="18"/>
      <c r="G491" s="18"/>
      <c r="H491" s="393"/>
      <c r="I491" s="388"/>
      <c r="J491" s="394"/>
    </row>
    <row r="492" spans="2:10">
      <c r="B492" s="392"/>
      <c r="C492" s="347"/>
      <c r="D492" s="18"/>
      <c r="E492" s="18"/>
      <c r="F492" s="18"/>
      <c r="G492" s="18"/>
      <c r="H492" s="393"/>
      <c r="I492" s="388"/>
      <c r="J492" s="394"/>
    </row>
    <row r="493" spans="2:10">
      <c r="B493" s="392"/>
      <c r="C493" s="347"/>
      <c r="D493" s="18"/>
      <c r="E493" s="18"/>
      <c r="F493" s="18"/>
      <c r="G493" s="18"/>
      <c r="H493" s="393"/>
      <c r="I493" s="388"/>
      <c r="J493" s="394"/>
    </row>
    <row r="494" spans="2:10">
      <c r="B494" s="392"/>
      <c r="C494" s="347"/>
      <c r="D494" s="18"/>
      <c r="E494" s="18"/>
      <c r="F494" s="18"/>
      <c r="G494" s="18"/>
      <c r="H494" s="393"/>
      <c r="I494" s="388"/>
      <c r="J494" s="394"/>
    </row>
    <row r="495" spans="2:10">
      <c r="B495" s="392"/>
      <c r="C495" s="347"/>
      <c r="D495" s="18"/>
      <c r="E495" s="18"/>
      <c r="F495" s="18"/>
      <c r="G495" s="18"/>
      <c r="H495" s="393"/>
      <c r="I495" s="388"/>
      <c r="J495" s="394"/>
    </row>
    <row r="496" spans="2:10">
      <c r="B496" s="392"/>
      <c r="C496" s="347"/>
      <c r="D496" s="18"/>
      <c r="E496" s="18"/>
      <c r="F496" s="18"/>
      <c r="G496" s="18"/>
      <c r="H496" s="393"/>
      <c r="I496" s="388"/>
      <c r="J496" s="394"/>
    </row>
    <row r="497" spans="2:10">
      <c r="B497" s="392"/>
      <c r="C497" s="347"/>
      <c r="D497" s="18"/>
      <c r="E497" s="18"/>
      <c r="F497" s="18"/>
      <c r="G497" s="18"/>
      <c r="H497" s="393"/>
      <c r="I497" s="388"/>
      <c r="J497" s="394"/>
    </row>
    <row r="498" spans="2:10">
      <c r="B498" s="392"/>
      <c r="C498" s="347"/>
      <c r="D498" s="18"/>
      <c r="E498" s="18"/>
      <c r="F498" s="18"/>
      <c r="G498" s="18"/>
      <c r="H498" s="393"/>
      <c r="I498" s="388"/>
      <c r="J498" s="394"/>
    </row>
    <row r="499" spans="2:10">
      <c r="B499" s="392"/>
      <c r="C499" s="347"/>
      <c r="D499" s="18"/>
      <c r="E499" s="18"/>
      <c r="F499" s="18"/>
      <c r="G499" s="18"/>
      <c r="H499" s="393"/>
      <c r="I499" s="388"/>
      <c r="J499" s="394"/>
    </row>
    <row r="500" spans="2:10">
      <c r="B500" s="392"/>
      <c r="C500" s="347"/>
      <c r="D500" s="18"/>
      <c r="E500" s="18"/>
      <c r="F500" s="18"/>
      <c r="G500" s="18"/>
      <c r="H500" s="393"/>
      <c r="I500" s="388"/>
      <c r="J500" s="394"/>
    </row>
    <row r="501" spans="2:10">
      <c r="B501" s="392"/>
      <c r="C501" s="347"/>
      <c r="D501" s="18"/>
      <c r="E501" s="18"/>
      <c r="F501" s="18"/>
      <c r="G501" s="18"/>
      <c r="H501" s="393"/>
      <c r="I501" s="388"/>
      <c r="J501" s="394"/>
    </row>
    <row r="502" spans="2:10">
      <c r="B502" s="392"/>
      <c r="C502" s="347"/>
      <c r="D502" s="18"/>
      <c r="E502" s="18"/>
      <c r="F502" s="18"/>
      <c r="G502" s="18"/>
      <c r="H502" s="393"/>
      <c r="I502" s="388"/>
      <c r="J502" s="394"/>
    </row>
    <row r="503" spans="2:10">
      <c r="B503" s="392"/>
      <c r="C503" s="347"/>
      <c r="D503" s="18"/>
      <c r="E503" s="18"/>
      <c r="F503" s="18"/>
      <c r="G503" s="18"/>
      <c r="H503" s="393"/>
      <c r="I503" s="388"/>
      <c r="J503" s="394"/>
    </row>
    <row r="504" spans="2:10">
      <c r="B504" s="392"/>
      <c r="C504" s="347"/>
      <c r="D504" s="18"/>
      <c r="E504" s="18"/>
      <c r="F504" s="18"/>
      <c r="G504" s="18"/>
      <c r="H504" s="393"/>
      <c r="I504" s="388"/>
      <c r="J504" s="394"/>
    </row>
    <row r="505" spans="2:10">
      <c r="B505" s="392"/>
      <c r="C505" s="347"/>
      <c r="D505" s="18"/>
      <c r="E505" s="18"/>
      <c r="F505" s="18"/>
      <c r="G505" s="18"/>
      <c r="H505" s="393"/>
      <c r="I505" s="388"/>
      <c r="J505" s="394"/>
    </row>
    <row r="506" spans="2:10">
      <c r="B506" s="392"/>
      <c r="C506" s="347"/>
      <c r="D506" s="18"/>
      <c r="E506" s="18"/>
      <c r="F506" s="18"/>
      <c r="G506" s="18"/>
      <c r="H506" s="393"/>
      <c r="I506" s="388"/>
      <c r="J506" s="394"/>
    </row>
    <row r="507" spans="2:10">
      <c r="B507" s="392"/>
      <c r="C507" s="347"/>
      <c r="D507" s="18"/>
      <c r="E507" s="18"/>
      <c r="F507" s="18"/>
      <c r="G507" s="18"/>
      <c r="H507" s="393"/>
      <c r="I507" s="388"/>
      <c r="J507" s="394"/>
    </row>
    <row r="508" spans="2:10">
      <c r="B508" s="392"/>
      <c r="C508" s="347"/>
      <c r="D508" s="18"/>
      <c r="E508" s="18"/>
      <c r="F508" s="18"/>
      <c r="G508" s="18"/>
      <c r="H508" s="393"/>
      <c r="I508" s="388"/>
      <c r="J508" s="394"/>
    </row>
    <row r="509" spans="2:10">
      <c r="B509" s="392"/>
      <c r="C509" s="347"/>
      <c r="D509" s="18"/>
      <c r="E509" s="18"/>
      <c r="F509" s="18"/>
      <c r="G509" s="18"/>
      <c r="H509" s="393"/>
      <c r="I509" s="388"/>
      <c r="J509" s="394"/>
    </row>
    <row r="510" spans="2:10">
      <c r="B510" s="392"/>
      <c r="C510" s="347"/>
      <c r="D510" s="18"/>
      <c r="E510" s="18"/>
      <c r="F510" s="18"/>
      <c r="G510" s="18"/>
      <c r="H510" s="393"/>
      <c r="I510" s="388"/>
      <c r="J510" s="394"/>
    </row>
    <row r="511" spans="2:10">
      <c r="B511" s="392"/>
      <c r="C511" s="347"/>
      <c r="D511" s="18"/>
      <c r="E511" s="18"/>
      <c r="F511" s="18"/>
      <c r="G511" s="18"/>
      <c r="H511" s="393"/>
      <c r="I511" s="388"/>
      <c r="J511" s="394"/>
    </row>
    <row r="512" spans="2:10">
      <c r="B512" s="392"/>
      <c r="C512" s="347"/>
      <c r="D512" s="18"/>
      <c r="E512" s="18"/>
      <c r="F512" s="18"/>
      <c r="G512" s="18"/>
      <c r="H512" s="393"/>
      <c r="I512" s="388"/>
      <c r="J512" s="394"/>
    </row>
    <row r="513" spans="2:10">
      <c r="B513" s="392"/>
      <c r="C513" s="347"/>
      <c r="D513" s="18"/>
      <c r="E513" s="18"/>
      <c r="F513" s="18"/>
      <c r="G513" s="18"/>
      <c r="H513" s="393"/>
      <c r="I513" s="388"/>
      <c r="J513" s="394"/>
    </row>
    <row r="514" spans="2:10">
      <c r="B514" s="392"/>
      <c r="C514" s="347"/>
      <c r="D514" s="18"/>
      <c r="E514" s="18"/>
      <c r="F514" s="18"/>
      <c r="G514" s="18"/>
      <c r="H514" s="393"/>
      <c r="I514" s="388"/>
      <c r="J514" s="394"/>
    </row>
    <row r="515" spans="2:10">
      <c r="B515" s="392"/>
      <c r="C515" s="347"/>
      <c r="D515" s="18"/>
      <c r="E515" s="18"/>
      <c r="F515" s="18"/>
      <c r="G515" s="18"/>
      <c r="H515" s="393"/>
      <c r="I515" s="388"/>
      <c r="J515" s="394"/>
    </row>
    <row r="516" spans="2:10">
      <c r="B516" s="392"/>
      <c r="C516" s="347"/>
      <c r="D516" s="18"/>
      <c r="E516" s="18"/>
      <c r="F516" s="18"/>
      <c r="G516" s="18"/>
      <c r="H516" s="393"/>
      <c r="I516" s="388"/>
      <c r="J516" s="394"/>
    </row>
    <row r="517" spans="2:10">
      <c r="B517" s="392"/>
      <c r="C517" s="347"/>
      <c r="D517" s="18"/>
      <c r="E517" s="18"/>
      <c r="F517" s="18"/>
      <c r="G517" s="18"/>
      <c r="H517" s="393"/>
      <c r="I517" s="388"/>
      <c r="J517" s="394"/>
    </row>
    <row r="518" spans="2:10">
      <c r="B518" s="392"/>
      <c r="C518" s="347"/>
      <c r="D518" s="18"/>
      <c r="E518" s="18"/>
      <c r="F518" s="18"/>
      <c r="G518" s="18"/>
      <c r="H518" s="393"/>
      <c r="I518" s="388"/>
      <c r="J518" s="394"/>
    </row>
    <row r="519" spans="2:10">
      <c r="B519" s="392"/>
      <c r="C519" s="347"/>
      <c r="D519" s="18"/>
      <c r="E519" s="18"/>
      <c r="F519" s="18"/>
      <c r="G519" s="18"/>
      <c r="H519" s="393"/>
      <c r="I519" s="388"/>
      <c r="J519" s="394"/>
    </row>
    <row r="520" spans="2:10">
      <c r="B520" s="392"/>
      <c r="C520" s="347"/>
      <c r="D520" s="18"/>
      <c r="E520" s="18"/>
      <c r="F520" s="18"/>
      <c r="G520" s="18"/>
      <c r="H520" s="393"/>
      <c r="I520" s="388"/>
      <c r="J520" s="394"/>
    </row>
    <row r="521" spans="2:10">
      <c r="B521" s="392"/>
      <c r="C521" s="347"/>
      <c r="D521" s="18"/>
      <c r="E521" s="18"/>
      <c r="F521" s="18"/>
      <c r="G521" s="18"/>
      <c r="H521" s="393"/>
      <c r="I521" s="388"/>
      <c r="J521" s="394"/>
    </row>
    <row r="522" spans="2:10">
      <c r="B522" s="392"/>
      <c r="C522" s="347"/>
      <c r="D522" s="18"/>
      <c r="E522" s="18"/>
      <c r="F522" s="18"/>
      <c r="G522" s="18"/>
      <c r="H522" s="393"/>
      <c r="I522" s="388"/>
      <c r="J522" s="394"/>
    </row>
    <row r="523" spans="2:10">
      <c r="B523" s="392"/>
      <c r="C523" s="347"/>
      <c r="D523" s="18"/>
      <c r="E523" s="18"/>
      <c r="F523" s="18"/>
      <c r="G523" s="18"/>
      <c r="H523" s="393"/>
      <c r="I523" s="388"/>
      <c r="J523" s="394"/>
    </row>
    <row r="524" spans="2:10">
      <c r="B524" s="392"/>
      <c r="C524" s="347"/>
      <c r="D524" s="18"/>
      <c r="E524" s="18"/>
      <c r="F524" s="18"/>
      <c r="G524" s="18"/>
      <c r="H524" s="393"/>
      <c r="I524" s="388"/>
      <c r="J524" s="394"/>
    </row>
    <row r="525" spans="2:10">
      <c r="B525" s="392"/>
      <c r="C525" s="347"/>
      <c r="D525" s="18"/>
      <c r="E525" s="18"/>
      <c r="F525" s="18"/>
      <c r="G525" s="18"/>
      <c r="H525" s="393"/>
      <c r="I525" s="388"/>
      <c r="J525" s="394"/>
    </row>
    <row r="526" spans="2:10">
      <c r="B526" s="392"/>
      <c r="C526" s="347"/>
      <c r="D526" s="18"/>
      <c r="E526" s="18"/>
      <c r="F526" s="18"/>
      <c r="G526" s="18"/>
      <c r="H526" s="393"/>
      <c r="I526" s="388"/>
      <c r="J526" s="394"/>
    </row>
    <row r="527" spans="2:10">
      <c r="B527" s="392"/>
      <c r="C527" s="347"/>
      <c r="D527" s="18"/>
      <c r="E527" s="18"/>
      <c r="F527" s="18"/>
      <c r="G527" s="18"/>
      <c r="H527" s="393"/>
      <c r="I527" s="388"/>
      <c r="J527" s="394"/>
    </row>
    <row r="528" spans="2:10">
      <c r="B528" s="392"/>
      <c r="C528" s="347"/>
      <c r="D528" s="18"/>
      <c r="E528" s="18"/>
      <c r="F528" s="18"/>
      <c r="G528" s="18"/>
      <c r="H528" s="393"/>
      <c r="I528" s="388"/>
      <c r="J528" s="394"/>
    </row>
    <row r="529" spans="2:10">
      <c r="B529" s="392"/>
      <c r="C529" s="347"/>
      <c r="D529" s="18"/>
      <c r="E529" s="18"/>
      <c r="F529" s="18"/>
      <c r="G529" s="18"/>
      <c r="H529" s="393"/>
      <c r="I529" s="388"/>
      <c r="J529" s="394"/>
    </row>
    <row r="530" spans="2:10">
      <c r="B530" s="392"/>
      <c r="C530" s="347"/>
      <c r="D530" s="18"/>
      <c r="E530" s="18"/>
      <c r="F530" s="18"/>
      <c r="G530" s="18"/>
      <c r="H530" s="393"/>
      <c r="I530" s="388"/>
      <c r="J530" s="394"/>
    </row>
    <row r="531" spans="2:10">
      <c r="B531" s="392"/>
      <c r="C531" s="347"/>
      <c r="D531" s="18"/>
      <c r="E531" s="18"/>
      <c r="F531" s="18"/>
      <c r="G531" s="18"/>
      <c r="H531" s="393"/>
      <c r="I531" s="388"/>
      <c r="J531" s="394"/>
    </row>
    <row r="532" spans="2:10">
      <c r="B532" s="392"/>
      <c r="C532" s="347"/>
      <c r="D532" s="18"/>
      <c r="E532" s="18"/>
      <c r="F532" s="18"/>
      <c r="G532" s="18"/>
      <c r="H532" s="393"/>
      <c r="I532" s="388"/>
      <c r="J532" s="394"/>
    </row>
    <row r="533" spans="2:10">
      <c r="B533" s="392"/>
      <c r="C533" s="347"/>
      <c r="D533" s="18"/>
      <c r="E533" s="18"/>
      <c r="F533" s="18"/>
      <c r="G533" s="18"/>
      <c r="H533" s="393"/>
      <c r="I533" s="388"/>
      <c r="J533" s="394"/>
    </row>
    <row r="534" spans="2:10">
      <c r="B534" s="392"/>
      <c r="C534" s="347"/>
      <c r="D534" s="18"/>
      <c r="E534" s="18"/>
      <c r="F534" s="18"/>
      <c r="G534" s="18"/>
      <c r="H534" s="393"/>
      <c r="I534" s="388"/>
      <c r="J534" s="394"/>
    </row>
    <row r="535" spans="2:10">
      <c r="B535" s="392"/>
      <c r="C535" s="347"/>
      <c r="D535" s="18"/>
      <c r="E535" s="18"/>
      <c r="F535" s="18"/>
      <c r="G535" s="18"/>
      <c r="H535" s="393"/>
      <c r="I535" s="388"/>
      <c r="J535" s="394"/>
    </row>
    <row r="536" spans="2:10">
      <c r="B536" s="392"/>
      <c r="C536" s="347"/>
      <c r="D536" s="18"/>
      <c r="E536" s="18"/>
      <c r="F536" s="18"/>
      <c r="G536" s="18"/>
      <c r="H536" s="393"/>
      <c r="I536" s="388"/>
      <c r="J536" s="394"/>
    </row>
    <row r="537" spans="2:10">
      <c r="B537" s="392"/>
      <c r="C537" s="347"/>
      <c r="D537" s="18"/>
      <c r="E537" s="18"/>
      <c r="F537" s="18"/>
      <c r="G537" s="18"/>
      <c r="H537" s="393"/>
      <c r="I537" s="388"/>
      <c r="J537" s="394"/>
    </row>
    <row r="538" spans="2:10">
      <c r="B538" s="392"/>
      <c r="C538" s="347"/>
      <c r="D538" s="18"/>
      <c r="E538" s="18"/>
      <c r="F538" s="18"/>
      <c r="G538" s="18"/>
      <c r="H538" s="393"/>
      <c r="I538" s="388"/>
      <c r="J538" s="394"/>
    </row>
    <row r="539" spans="2:10">
      <c r="B539" s="392"/>
      <c r="C539" s="347"/>
      <c r="D539" s="18"/>
      <c r="E539" s="18"/>
      <c r="F539" s="18"/>
      <c r="G539" s="18"/>
      <c r="H539" s="393"/>
      <c r="I539" s="388"/>
      <c r="J539" s="394"/>
    </row>
    <row r="540" spans="2:10">
      <c r="B540" s="392"/>
      <c r="C540" s="347"/>
      <c r="D540" s="18"/>
      <c r="E540" s="18"/>
      <c r="F540" s="18"/>
      <c r="G540" s="18"/>
      <c r="H540" s="393"/>
      <c r="I540" s="388"/>
      <c r="J540" s="394"/>
    </row>
    <row r="541" spans="2:10">
      <c r="B541" s="392"/>
      <c r="C541" s="347"/>
      <c r="D541" s="18"/>
      <c r="E541" s="18"/>
      <c r="F541" s="18"/>
      <c r="G541" s="18"/>
      <c r="H541" s="393"/>
      <c r="I541" s="388"/>
      <c r="J541" s="394"/>
    </row>
    <row r="542" spans="2:10">
      <c r="B542" s="392"/>
      <c r="C542" s="347"/>
      <c r="D542" s="18"/>
      <c r="E542" s="18"/>
      <c r="F542" s="18"/>
      <c r="G542" s="18"/>
      <c r="H542" s="393"/>
      <c r="I542" s="388"/>
      <c r="J542" s="394"/>
    </row>
    <row r="543" spans="2:10">
      <c r="B543" s="392"/>
      <c r="C543" s="347"/>
      <c r="D543" s="18"/>
      <c r="E543" s="18"/>
      <c r="F543" s="18"/>
      <c r="G543" s="18"/>
      <c r="H543" s="393"/>
      <c r="I543" s="388"/>
      <c r="J543" s="394"/>
    </row>
    <row r="544" spans="2:10">
      <c r="B544" s="392"/>
      <c r="C544" s="347"/>
      <c r="D544" s="18"/>
      <c r="E544" s="18"/>
      <c r="F544" s="18"/>
      <c r="G544" s="18"/>
      <c r="H544" s="393"/>
      <c r="I544" s="388"/>
      <c r="J544" s="394"/>
    </row>
    <row r="545" spans="2:10">
      <c r="B545" s="392"/>
      <c r="C545" s="347"/>
      <c r="D545" s="18"/>
      <c r="E545" s="18"/>
      <c r="F545" s="18"/>
      <c r="G545" s="18"/>
      <c r="H545" s="393"/>
      <c r="I545" s="388"/>
      <c r="J545" s="394"/>
    </row>
    <row r="546" spans="2:10">
      <c r="B546" s="392"/>
      <c r="C546" s="347"/>
      <c r="D546" s="18"/>
      <c r="E546" s="18"/>
      <c r="F546" s="18"/>
      <c r="G546" s="18"/>
      <c r="H546" s="393"/>
      <c r="I546" s="388"/>
      <c r="J546" s="394"/>
    </row>
    <row r="547" spans="2:10">
      <c r="B547" s="392"/>
      <c r="C547" s="347"/>
      <c r="D547" s="18"/>
      <c r="E547" s="18"/>
      <c r="F547" s="18"/>
      <c r="G547" s="18"/>
      <c r="H547" s="393"/>
      <c r="I547" s="388"/>
      <c r="J547" s="394"/>
    </row>
    <row r="548" spans="2:10">
      <c r="B548" s="392"/>
      <c r="C548" s="347"/>
      <c r="D548" s="18"/>
      <c r="E548" s="18"/>
      <c r="F548" s="18"/>
      <c r="G548" s="18"/>
      <c r="H548" s="393"/>
      <c r="I548" s="388"/>
      <c r="J548" s="394"/>
    </row>
    <row r="549" spans="2:10">
      <c r="B549" s="392"/>
      <c r="C549" s="347"/>
      <c r="D549" s="18"/>
      <c r="E549" s="18"/>
      <c r="F549" s="18"/>
      <c r="G549" s="18"/>
      <c r="H549" s="393"/>
      <c r="I549" s="388"/>
      <c r="J549" s="394"/>
    </row>
    <row r="550" spans="2:10">
      <c r="B550" s="392"/>
      <c r="C550" s="347"/>
      <c r="D550" s="18"/>
      <c r="E550" s="18"/>
      <c r="F550" s="18"/>
      <c r="G550" s="18"/>
      <c r="H550" s="393"/>
      <c r="I550" s="388"/>
      <c r="J550" s="394"/>
    </row>
    <row r="551" spans="2:10">
      <c r="B551" s="392"/>
      <c r="C551" s="347"/>
      <c r="D551" s="18"/>
      <c r="E551" s="18"/>
      <c r="F551" s="18"/>
      <c r="G551" s="18"/>
      <c r="H551" s="393"/>
      <c r="I551" s="388"/>
      <c r="J551" s="394"/>
    </row>
    <row r="552" spans="2:10">
      <c r="B552" s="392"/>
      <c r="C552" s="347"/>
      <c r="D552" s="18"/>
      <c r="E552" s="18"/>
      <c r="F552" s="18"/>
      <c r="G552" s="18"/>
      <c r="H552" s="393"/>
      <c r="I552" s="388"/>
      <c r="J552" s="394"/>
    </row>
    <row r="553" spans="2:10">
      <c r="B553" s="392"/>
      <c r="C553" s="347"/>
      <c r="D553" s="18"/>
      <c r="E553" s="18"/>
      <c r="F553" s="18"/>
      <c r="G553" s="18"/>
      <c r="H553" s="393"/>
      <c r="I553" s="388"/>
      <c r="J553" s="394"/>
    </row>
    <row r="554" spans="2:10">
      <c r="B554" s="392"/>
      <c r="C554" s="347"/>
      <c r="D554" s="18"/>
      <c r="E554" s="18"/>
      <c r="F554" s="18"/>
      <c r="G554" s="18"/>
      <c r="H554" s="393"/>
      <c r="I554" s="388"/>
      <c r="J554" s="394"/>
    </row>
    <row r="555" spans="2:10">
      <c r="B555" s="392"/>
      <c r="C555" s="347"/>
      <c r="D555" s="18"/>
      <c r="E555" s="18"/>
      <c r="F555" s="18"/>
      <c r="G555" s="18"/>
      <c r="H555" s="393"/>
      <c r="I555" s="388"/>
      <c r="J555" s="394"/>
    </row>
    <row r="556" spans="2:10">
      <c r="B556" s="392"/>
      <c r="C556" s="347"/>
      <c r="D556" s="18"/>
      <c r="E556" s="18"/>
      <c r="F556" s="18"/>
      <c r="G556" s="18"/>
      <c r="H556" s="393"/>
      <c r="I556" s="388"/>
      <c r="J556" s="394"/>
    </row>
    <row r="557" spans="2:10">
      <c r="B557" s="392"/>
      <c r="C557" s="347"/>
      <c r="D557" s="18"/>
      <c r="E557" s="18"/>
      <c r="F557" s="18"/>
      <c r="G557" s="18"/>
      <c r="H557" s="393"/>
      <c r="I557" s="388"/>
      <c r="J557" s="394"/>
    </row>
    <row r="558" spans="2:10">
      <c r="B558" s="392"/>
      <c r="C558" s="347"/>
      <c r="D558" s="18"/>
      <c r="E558" s="18"/>
      <c r="F558" s="18"/>
      <c r="G558" s="18"/>
      <c r="H558" s="393"/>
      <c r="I558" s="388"/>
      <c r="J558" s="394"/>
    </row>
    <row r="559" spans="2:10">
      <c r="B559" s="392"/>
      <c r="C559" s="347"/>
      <c r="D559" s="18"/>
      <c r="E559" s="18"/>
      <c r="F559" s="18"/>
      <c r="G559" s="18"/>
      <c r="H559" s="393"/>
      <c r="I559" s="388"/>
      <c r="J559" s="394"/>
    </row>
    <row r="560" spans="2:10">
      <c r="B560" s="392"/>
      <c r="C560" s="347"/>
      <c r="D560" s="18"/>
      <c r="E560" s="18"/>
      <c r="F560" s="18"/>
      <c r="G560" s="18"/>
      <c r="H560" s="393"/>
      <c r="I560" s="388"/>
      <c r="J560" s="394"/>
    </row>
    <row r="561" spans="2:10">
      <c r="B561" s="392"/>
      <c r="C561" s="347"/>
      <c r="D561" s="18"/>
      <c r="E561" s="18"/>
      <c r="F561" s="18"/>
      <c r="G561" s="18"/>
      <c r="H561" s="393"/>
      <c r="I561" s="388"/>
      <c r="J561" s="394"/>
    </row>
    <row r="562" spans="2:10">
      <c r="B562" s="392"/>
      <c r="C562" s="347"/>
      <c r="D562" s="18"/>
      <c r="E562" s="18"/>
      <c r="F562" s="18"/>
      <c r="G562" s="18"/>
      <c r="H562" s="393"/>
      <c r="I562" s="388"/>
      <c r="J562" s="394"/>
    </row>
    <row r="563" spans="2:10">
      <c r="B563" s="392"/>
      <c r="C563" s="347"/>
      <c r="D563" s="18"/>
      <c r="E563" s="18"/>
      <c r="F563" s="18"/>
      <c r="G563" s="18"/>
      <c r="H563" s="393"/>
      <c r="I563" s="388"/>
      <c r="J563" s="394"/>
    </row>
    <row r="564" spans="2:10">
      <c r="B564" s="392"/>
      <c r="C564" s="347"/>
      <c r="D564" s="18"/>
      <c r="E564" s="18"/>
      <c r="F564" s="18"/>
      <c r="G564" s="18"/>
      <c r="H564" s="393"/>
      <c r="I564" s="388"/>
      <c r="J564" s="394"/>
    </row>
    <row r="565" spans="2:10">
      <c r="B565" s="392"/>
      <c r="C565" s="347"/>
      <c r="D565" s="18"/>
      <c r="E565" s="18"/>
      <c r="F565" s="18"/>
      <c r="G565" s="18"/>
      <c r="H565" s="393"/>
      <c r="I565" s="388"/>
      <c r="J565" s="394"/>
    </row>
    <row r="566" spans="2:10">
      <c r="B566" s="392"/>
      <c r="C566" s="347"/>
      <c r="D566" s="18"/>
      <c r="E566" s="18"/>
      <c r="F566" s="18"/>
      <c r="G566" s="18"/>
      <c r="H566" s="393"/>
      <c r="I566" s="388"/>
      <c r="J566" s="394"/>
    </row>
    <row r="567" spans="2:10">
      <c r="B567" s="392"/>
      <c r="C567" s="347"/>
      <c r="D567" s="18"/>
      <c r="E567" s="18"/>
      <c r="F567" s="18"/>
      <c r="G567" s="18"/>
      <c r="H567" s="393"/>
      <c r="I567" s="388"/>
      <c r="J567" s="394"/>
    </row>
    <row r="568" spans="2:10">
      <c r="B568" s="392"/>
      <c r="C568" s="347"/>
      <c r="D568" s="18"/>
      <c r="E568" s="18"/>
      <c r="F568" s="18"/>
      <c r="G568" s="18"/>
      <c r="H568" s="393"/>
      <c r="I568" s="388"/>
      <c r="J568" s="394"/>
    </row>
    <row r="569" spans="2:10">
      <c r="B569" s="392"/>
      <c r="C569" s="347"/>
      <c r="D569" s="18"/>
      <c r="E569" s="18"/>
      <c r="F569" s="18"/>
      <c r="G569" s="18"/>
      <c r="H569" s="393"/>
      <c r="I569" s="388"/>
      <c r="J569" s="394"/>
    </row>
    <row r="570" spans="2:10">
      <c r="B570" s="392"/>
      <c r="C570" s="347"/>
      <c r="D570" s="18"/>
      <c r="E570" s="18"/>
      <c r="F570" s="18"/>
      <c r="G570" s="18"/>
      <c r="H570" s="393"/>
      <c r="I570" s="388"/>
      <c r="J570" s="394"/>
    </row>
    <row r="571" spans="2:10">
      <c r="B571" s="392"/>
      <c r="C571" s="347"/>
      <c r="D571" s="18"/>
      <c r="E571" s="18"/>
      <c r="F571" s="18"/>
      <c r="G571" s="18"/>
      <c r="H571" s="393"/>
      <c r="I571" s="388"/>
      <c r="J571" s="394"/>
    </row>
    <row r="572" spans="2:10">
      <c r="B572" s="392"/>
      <c r="C572" s="347"/>
      <c r="D572" s="18"/>
      <c r="E572" s="18"/>
      <c r="F572" s="18"/>
      <c r="G572" s="18"/>
      <c r="H572" s="393"/>
      <c r="I572" s="388"/>
      <c r="J572" s="394"/>
    </row>
    <row r="573" spans="2:10">
      <c r="B573" s="392"/>
      <c r="C573" s="347"/>
      <c r="D573" s="18"/>
      <c r="E573" s="18"/>
      <c r="F573" s="18"/>
      <c r="G573" s="18"/>
      <c r="H573" s="393"/>
      <c r="I573" s="388"/>
      <c r="J573" s="394"/>
    </row>
    <row r="574" spans="2:10">
      <c r="B574" s="392"/>
      <c r="C574" s="347"/>
      <c r="D574" s="18"/>
      <c r="E574" s="18"/>
      <c r="F574" s="18"/>
      <c r="G574" s="18"/>
      <c r="H574" s="393"/>
      <c r="I574" s="388"/>
      <c r="J574" s="394"/>
    </row>
    <row r="575" spans="2:10">
      <c r="B575" s="392"/>
      <c r="C575" s="347"/>
      <c r="D575" s="18"/>
      <c r="E575" s="18"/>
      <c r="F575" s="18"/>
      <c r="G575" s="18"/>
      <c r="H575" s="393"/>
      <c r="I575" s="388"/>
      <c r="J575" s="394"/>
    </row>
    <row r="576" spans="2:10">
      <c r="B576" s="392"/>
      <c r="C576" s="347"/>
      <c r="D576" s="18"/>
      <c r="E576" s="18"/>
      <c r="F576" s="18"/>
      <c r="G576" s="18"/>
      <c r="H576" s="393"/>
      <c r="I576" s="388"/>
      <c r="J576" s="394"/>
    </row>
    <row r="577" spans="2:10">
      <c r="B577" s="392"/>
      <c r="C577" s="347"/>
      <c r="D577" s="18"/>
      <c r="E577" s="18"/>
      <c r="F577" s="18"/>
      <c r="G577" s="18"/>
      <c r="H577" s="393"/>
      <c r="I577" s="388"/>
      <c r="J577" s="394"/>
    </row>
    <row r="578" spans="2:10">
      <c r="B578" s="392"/>
      <c r="C578" s="347"/>
      <c r="D578" s="18"/>
      <c r="E578" s="18"/>
      <c r="F578" s="18"/>
      <c r="G578" s="18"/>
      <c r="H578" s="393"/>
      <c r="I578" s="388"/>
      <c r="J578" s="394"/>
    </row>
    <row r="579" spans="2:10">
      <c r="B579" s="392"/>
      <c r="C579" s="347"/>
      <c r="D579" s="18"/>
      <c r="E579" s="18"/>
      <c r="F579" s="18"/>
      <c r="G579" s="18"/>
      <c r="H579" s="393"/>
      <c r="I579" s="388"/>
      <c r="J579" s="394"/>
    </row>
    <row r="580" spans="2:10">
      <c r="B580" s="392"/>
      <c r="C580" s="347"/>
      <c r="D580" s="18"/>
      <c r="E580" s="18"/>
      <c r="F580" s="18"/>
      <c r="G580" s="18"/>
      <c r="H580" s="393"/>
      <c r="I580" s="388"/>
      <c r="J580" s="394"/>
    </row>
    <row r="581" spans="2:10">
      <c r="B581" s="392"/>
      <c r="C581" s="347"/>
      <c r="D581" s="18"/>
      <c r="E581" s="18"/>
      <c r="F581" s="18"/>
      <c r="G581" s="18"/>
      <c r="H581" s="393"/>
      <c r="I581" s="388"/>
      <c r="J581" s="394"/>
    </row>
    <row r="582" spans="2:10">
      <c r="B582" s="392"/>
      <c r="C582" s="347"/>
      <c r="D582" s="18"/>
      <c r="E582" s="18"/>
      <c r="F582" s="18"/>
      <c r="G582" s="18"/>
      <c r="H582" s="393"/>
      <c r="I582" s="388"/>
      <c r="J582" s="394"/>
    </row>
    <row r="583" spans="2:10">
      <c r="B583" s="392"/>
      <c r="C583" s="347"/>
      <c r="D583" s="18"/>
      <c r="E583" s="18"/>
      <c r="F583" s="18"/>
      <c r="G583" s="18"/>
      <c r="H583" s="393"/>
      <c r="I583" s="388"/>
      <c r="J583" s="394"/>
    </row>
    <row r="584" spans="2:10">
      <c r="B584" s="392"/>
      <c r="C584" s="347"/>
      <c r="D584" s="18"/>
      <c r="E584" s="18"/>
      <c r="F584" s="18"/>
      <c r="G584" s="18"/>
      <c r="H584" s="393"/>
      <c r="I584" s="388"/>
      <c r="J584" s="394"/>
    </row>
    <row r="585" spans="2:10">
      <c r="B585" s="392"/>
      <c r="C585" s="347"/>
      <c r="D585" s="18"/>
      <c r="E585" s="18"/>
      <c r="F585" s="18"/>
      <c r="G585" s="18"/>
      <c r="H585" s="393"/>
      <c r="I585" s="388"/>
      <c r="J585" s="394"/>
    </row>
    <row r="586" spans="2:10">
      <c r="B586" s="392"/>
      <c r="C586" s="347"/>
      <c r="D586" s="18"/>
      <c r="E586" s="18"/>
      <c r="F586" s="18"/>
      <c r="G586" s="18"/>
      <c r="H586" s="393"/>
      <c r="I586" s="388"/>
      <c r="J586" s="394"/>
    </row>
    <row r="587" spans="2:10">
      <c r="B587" s="392"/>
      <c r="C587" s="347"/>
      <c r="D587" s="18"/>
      <c r="E587" s="18"/>
      <c r="F587" s="18"/>
      <c r="G587" s="18"/>
      <c r="H587" s="393"/>
      <c r="I587" s="388"/>
      <c r="J587" s="394"/>
    </row>
    <row r="588" spans="2:10">
      <c r="B588" s="392"/>
      <c r="C588" s="347"/>
      <c r="D588" s="18"/>
      <c r="E588" s="18"/>
      <c r="F588" s="18"/>
      <c r="G588" s="18"/>
      <c r="H588" s="393"/>
      <c r="I588" s="388"/>
      <c r="J588" s="394"/>
    </row>
    <row r="589" spans="2:10">
      <c r="B589" s="392"/>
      <c r="C589" s="347"/>
      <c r="D589" s="18"/>
      <c r="E589" s="18"/>
      <c r="F589" s="18"/>
      <c r="G589" s="18"/>
      <c r="H589" s="393"/>
      <c r="I589" s="388"/>
      <c r="J589" s="394"/>
    </row>
    <row r="590" spans="2:10">
      <c r="B590" s="392"/>
      <c r="C590" s="347"/>
      <c r="D590" s="18"/>
      <c r="E590" s="18"/>
      <c r="F590" s="18"/>
      <c r="G590" s="18"/>
      <c r="H590" s="393"/>
      <c r="I590" s="388"/>
      <c r="J590" s="394"/>
    </row>
    <row r="591" spans="2:10">
      <c r="B591" s="392"/>
      <c r="C591" s="347"/>
      <c r="D591" s="18"/>
      <c r="E591" s="18"/>
      <c r="F591" s="18"/>
      <c r="G591" s="18"/>
      <c r="H591" s="393"/>
      <c r="I591" s="388"/>
      <c r="J591" s="394"/>
    </row>
    <row r="592" spans="2:10">
      <c r="B592" s="392"/>
      <c r="C592" s="347"/>
      <c r="D592" s="18"/>
      <c r="E592" s="18"/>
      <c r="F592" s="18"/>
      <c r="G592" s="18"/>
      <c r="H592" s="393"/>
      <c r="I592" s="388"/>
      <c r="J592" s="394"/>
    </row>
    <row r="593" spans="2:10">
      <c r="B593" s="392"/>
      <c r="C593" s="347"/>
      <c r="D593" s="18"/>
      <c r="E593" s="18"/>
      <c r="F593" s="18"/>
      <c r="G593" s="18"/>
      <c r="H593" s="393"/>
      <c r="I593" s="388"/>
      <c r="J593" s="394"/>
    </row>
    <row r="594" spans="2:10">
      <c r="B594" s="392"/>
      <c r="C594" s="347"/>
      <c r="D594" s="18"/>
      <c r="E594" s="18"/>
      <c r="F594" s="18"/>
      <c r="G594" s="18"/>
      <c r="H594" s="393"/>
      <c r="I594" s="388"/>
      <c r="J594" s="394"/>
    </row>
    <row r="595" spans="2:10">
      <c r="B595" s="392"/>
      <c r="C595" s="347"/>
      <c r="D595" s="18"/>
      <c r="E595" s="18"/>
      <c r="F595" s="18"/>
      <c r="G595" s="18"/>
      <c r="H595" s="393"/>
      <c r="I595" s="388"/>
      <c r="J595" s="394"/>
    </row>
    <row r="596" spans="2:10">
      <c r="B596" s="392"/>
      <c r="C596" s="347"/>
      <c r="D596" s="18"/>
      <c r="E596" s="18"/>
      <c r="F596" s="18"/>
      <c r="G596" s="18"/>
      <c r="H596" s="393"/>
      <c r="I596" s="388"/>
      <c r="J596" s="394"/>
    </row>
    <row r="597" spans="2:10">
      <c r="B597" s="392"/>
      <c r="C597" s="347"/>
      <c r="D597" s="18"/>
      <c r="E597" s="18"/>
      <c r="F597" s="18"/>
      <c r="G597" s="18"/>
      <c r="H597" s="393"/>
      <c r="I597" s="388"/>
      <c r="J597" s="394"/>
    </row>
    <row r="598" spans="2:10">
      <c r="B598" s="392"/>
      <c r="C598" s="347"/>
      <c r="D598" s="18"/>
      <c r="E598" s="18"/>
      <c r="F598" s="18"/>
      <c r="G598" s="18"/>
      <c r="H598" s="393"/>
      <c r="I598" s="388"/>
      <c r="J598" s="394"/>
    </row>
    <row r="599" spans="2:10">
      <c r="B599" s="392"/>
      <c r="C599" s="347"/>
      <c r="D599" s="18"/>
      <c r="E599" s="18"/>
      <c r="F599" s="18"/>
      <c r="G599" s="18"/>
      <c r="H599" s="393"/>
      <c r="I599" s="388"/>
      <c r="J599" s="394"/>
    </row>
    <row r="600" spans="2:10">
      <c r="B600" s="392"/>
      <c r="C600" s="347"/>
      <c r="D600" s="18"/>
      <c r="E600" s="18"/>
      <c r="F600" s="18"/>
      <c r="G600" s="18"/>
      <c r="H600" s="393"/>
      <c r="I600" s="388"/>
      <c r="J600" s="394"/>
    </row>
    <row r="601" spans="2:10">
      <c r="B601" s="392"/>
      <c r="C601" s="347"/>
      <c r="D601" s="18"/>
      <c r="E601" s="18"/>
      <c r="F601" s="18"/>
      <c r="G601" s="18"/>
      <c r="H601" s="393"/>
      <c r="I601" s="388"/>
      <c r="J601" s="394"/>
    </row>
    <row r="602" spans="2:10">
      <c r="B602" s="392"/>
      <c r="C602" s="347"/>
      <c r="D602" s="18"/>
      <c r="E602" s="18"/>
      <c r="F602" s="18"/>
      <c r="G602" s="18"/>
      <c r="H602" s="393"/>
      <c r="I602" s="388"/>
      <c r="J602" s="394"/>
    </row>
    <row r="603" spans="2:10">
      <c r="B603" s="392"/>
      <c r="C603" s="347"/>
      <c r="D603" s="18"/>
      <c r="E603" s="18"/>
      <c r="F603" s="18"/>
      <c r="G603" s="18"/>
      <c r="H603" s="393"/>
      <c r="I603" s="388"/>
      <c r="J603" s="394"/>
    </row>
    <row r="604" spans="2:10">
      <c r="B604" s="392"/>
      <c r="C604" s="347"/>
      <c r="D604" s="18"/>
      <c r="E604" s="18"/>
      <c r="F604" s="18"/>
      <c r="G604" s="18"/>
      <c r="H604" s="393"/>
      <c r="I604" s="388"/>
      <c r="J604" s="394"/>
    </row>
    <row r="605" spans="2:10">
      <c r="B605" s="392"/>
      <c r="C605" s="347"/>
      <c r="D605" s="18"/>
      <c r="E605" s="18"/>
      <c r="F605" s="18"/>
      <c r="G605" s="18"/>
      <c r="H605" s="393"/>
      <c r="I605" s="388"/>
      <c r="J605" s="394"/>
    </row>
    <row r="606" spans="2:10">
      <c r="B606" s="392"/>
      <c r="C606" s="347"/>
      <c r="D606" s="18"/>
      <c r="E606" s="18"/>
      <c r="F606" s="18"/>
      <c r="G606" s="18"/>
      <c r="H606" s="393"/>
      <c r="I606" s="388"/>
      <c r="J606" s="394"/>
    </row>
    <row r="607" spans="2:10">
      <c r="B607" s="392"/>
      <c r="C607" s="347"/>
      <c r="D607" s="18"/>
      <c r="E607" s="18"/>
      <c r="F607" s="18"/>
      <c r="G607" s="18"/>
      <c r="H607" s="393"/>
      <c r="I607" s="388"/>
      <c r="J607" s="394"/>
    </row>
    <row r="608" spans="2:10">
      <c r="B608" s="392"/>
      <c r="C608" s="347"/>
      <c r="D608" s="18"/>
      <c r="E608" s="18"/>
      <c r="F608" s="18"/>
      <c r="G608" s="18"/>
      <c r="H608" s="393"/>
      <c r="I608" s="388"/>
      <c r="J608" s="394"/>
    </row>
    <row r="609" spans="2:10">
      <c r="B609" s="392"/>
      <c r="C609" s="347"/>
      <c r="D609" s="18"/>
      <c r="E609" s="18"/>
      <c r="F609" s="18"/>
      <c r="G609" s="18"/>
      <c r="H609" s="393"/>
      <c r="I609" s="388"/>
      <c r="J609" s="394"/>
    </row>
    <row r="610" spans="2:10">
      <c r="B610" s="392"/>
      <c r="C610" s="347"/>
      <c r="D610" s="18"/>
      <c r="E610" s="18"/>
      <c r="F610" s="18"/>
      <c r="G610" s="18"/>
      <c r="H610" s="393"/>
      <c r="I610" s="388"/>
      <c r="J610" s="394"/>
    </row>
    <row r="611" spans="2:10">
      <c r="B611" s="392"/>
      <c r="C611" s="347"/>
      <c r="D611" s="18"/>
      <c r="E611" s="18"/>
      <c r="F611" s="18"/>
      <c r="G611" s="18"/>
      <c r="H611" s="393"/>
      <c r="I611" s="388"/>
      <c r="J611" s="394"/>
    </row>
    <row r="612" spans="2:10">
      <c r="B612" s="392"/>
      <c r="C612" s="347"/>
      <c r="D612" s="18"/>
      <c r="E612" s="18"/>
      <c r="F612" s="18"/>
      <c r="G612" s="18"/>
      <c r="H612" s="393"/>
      <c r="I612" s="388"/>
      <c r="J612" s="394"/>
    </row>
    <row r="613" spans="2:10">
      <c r="B613" s="392"/>
      <c r="C613" s="347"/>
      <c r="D613" s="18"/>
      <c r="E613" s="18"/>
      <c r="F613" s="18"/>
      <c r="G613" s="18"/>
      <c r="H613" s="393"/>
      <c r="I613" s="388"/>
      <c r="J613" s="394"/>
    </row>
    <row r="614" spans="2:10">
      <c r="B614" s="392"/>
      <c r="C614" s="347"/>
      <c r="D614" s="18"/>
      <c r="E614" s="18"/>
      <c r="F614" s="18"/>
      <c r="G614" s="18"/>
      <c r="H614" s="393"/>
      <c r="I614" s="388"/>
      <c r="J614" s="394"/>
    </row>
    <row r="615" spans="2:10">
      <c r="B615" s="392"/>
      <c r="C615" s="347"/>
      <c r="D615" s="18"/>
      <c r="E615" s="18"/>
      <c r="F615" s="18"/>
      <c r="G615" s="18"/>
      <c r="H615" s="393"/>
      <c r="I615" s="388"/>
      <c r="J615" s="394"/>
    </row>
    <row r="616" spans="2:10">
      <c r="B616" s="392"/>
      <c r="C616" s="347"/>
      <c r="D616" s="18"/>
      <c r="E616" s="18"/>
      <c r="F616" s="18"/>
      <c r="G616" s="18"/>
      <c r="H616" s="393"/>
      <c r="I616" s="388"/>
      <c r="J616" s="394"/>
    </row>
    <row r="617" spans="2:10">
      <c r="B617" s="392"/>
      <c r="C617" s="347"/>
      <c r="D617" s="18"/>
      <c r="E617" s="18"/>
      <c r="F617" s="18"/>
      <c r="G617" s="18"/>
      <c r="H617" s="393"/>
      <c r="I617" s="388"/>
      <c r="J617" s="394"/>
    </row>
    <row r="618" spans="2:10">
      <c r="B618" s="392"/>
      <c r="C618" s="347"/>
      <c r="D618" s="18"/>
      <c r="E618" s="18"/>
      <c r="F618" s="18"/>
      <c r="G618" s="18"/>
      <c r="H618" s="393"/>
      <c r="I618" s="388"/>
      <c r="J618" s="394"/>
    </row>
    <row r="619" spans="2:10">
      <c r="B619" s="392"/>
      <c r="C619" s="347"/>
      <c r="D619" s="18"/>
      <c r="E619" s="18"/>
      <c r="F619" s="18"/>
      <c r="G619" s="18"/>
      <c r="H619" s="393"/>
      <c r="I619" s="388"/>
      <c r="J619" s="394"/>
    </row>
    <row r="620" spans="2:10">
      <c r="B620" s="392"/>
      <c r="C620" s="347"/>
      <c r="D620" s="18"/>
      <c r="E620" s="18"/>
      <c r="F620" s="18"/>
      <c r="G620" s="18"/>
      <c r="H620" s="393"/>
      <c r="I620" s="388"/>
      <c r="J620" s="394"/>
    </row>
    <row r="621" spans="2:10">
      <c r="B621" s="392"/>
      <c r="C621" s="347"/>
      <c r="D621" s="18"/>
      <c r="E621" s="18"/>
      <c r="F621" s="18"/>
      <c r="G621" s="18"/>
      <c r="H621" s="393"/>
      <c r="I621" s="388"/>
      <c r="J621" s="394"/>
    </row>
    <row r="622" spans="2:10">
      <c r="B622" s="392"/>
      <c r="C622" s="347"/>
      <c r="D622" s="18"/>
      <c r="E622" s="18"/>
      <c r="F622" s="18"/>
      <c r="G622" s="18"/>
      <c r="H622" s="393"/>
      <c r="I622" s="388"/>
      <c r="J622" s="394"/>
    </row>
    <row r="623" spans="2:10">
      <c r="B623" s="392"/>
      <c r="C623" s="347"/>
      <c r="D623" s="18"/>
      <c r="E623" s="18"/>
      <c r="F623" s="18"/>
      <c r="G623" s="18"/>
      <c r="H623" s="393"/>
      <c r="I623" s="388"/>
      <c r="J623" s="394"/>
    </row>
    <row r="624" spans="2:10">
      <c r="B624" s="392"/>
      <c r="C624" s="347"/>
      <c r="D624" s="18"/>
      <c r="E624" s="18"/>
      <c r="F624" s="18"/>
      <c r="G624" s="18"/>
      <c r="H624" s="393"/>
      <c r="I624" s="388"/>
      <c r="J624" s="394"/>
    </row>
    <row r="625" spans="2:10">
      <c r="B625" s="392"/>
      <c r="C625" s="347"/>
      <c r="D625" s="18"/>
      <c r="E625" s="18"/>
      <c r="F625" s="18"/>
      <c r="G625" s="18"/>
      <c r="H625" s="393"/>
      <c r="I625" s="388"/>
      <c r="J625" s="394"/>
    </row>
    <row r="626" spans="2:10">
      <c r="B626" s="392"/>
      <c r="C626" s="347"/>
      <c r="D626" s="18"/>
      <c r="E626" s="18"/>
      <c r="F626" s="18"/>
      <c r="G626" s="18"/>
      <c r="H626" s="393"/>
      <c r="I626" s="388"/>
      <c r="J626" s="394"/>
    </row>
    <row r="627" spans="2:10">
      <c r="B627" s="392"/>
      <c r="C627" s="347"/>
      <c r="D627" s="18"/>
      <c r="E627" s="18"/>
      <c r="F627" s="18"/>
      <c r="G627" s="18"/>
      <c r="H627" s="393"/>
      <c r="I627" s="388"/>
      <c r="J627" s="394"/>
    </row>
    <row r="628" spans="2:10">
      <c r="B628" s="392"/>
      <c r="C628" s="347"/>
      <c r="D628" s="18"/>
      <c r="E628" s="18"/>
      <c r="F628" s="18"/>
      <c r="G628" s="18"/>
      <c r="H628" s="393"/>
      <c r="I628" s="388"/>
      <c r="J628" s="394"/>
    </row>
    <row r="629" spans="2:10">
      <c r="B629" s="392"/>
      <c r="C629" s="347"/>
      <c r="D629" s="18"/>
      <c r="E629" s="18"/>
      <c r="F629" s="18"/>
      <c r="G629" s="18"/>
      <c r="H629" s="393"/>
      <c r="I629" s="388"/>
      <c r="J629" s="394"/>
    </row>
    <row r="630" spans="2:10">
      <c r="B630" s="392"/>
      <c r="C630" s="347"/>
      <c r="D630" s="18"/>
      <c r="E630" s="18"/>
      <c r="F630" s="18"/>
      <c r="G630" s="18"/>
      <c r="H630" s="393"/>
      <c r="I630" s="388"/>
      <c r="J630" s="394"/>
    </row>
    <row r="631" spans="2:10">
      <c r="B631" s="392"/>
      <c r="C631" s="347"/>
      <c r="D631" s="18"/>
      <c r="E631" s="18"/>
      <c r="F631" s="18"/>
      <c r="G631" s="18"/>
      <c r="H631" s="393"/>
      <c r="I631" s="388"/>
      <c r="J631" s="394"/>
    </row>
    <row r="632" spans="2:10">
      <c r="B632" s="392"/>
      <c r="C632" s="347"/>
      <c r="D632" s="18"/>
      <c r="E632" s="18"/>
      <c r="F632" s="18"/>
      <c r="G632" s="18"/>
      <c r="H632" s="393"/>
      <c r="I632" s="388"/>
      <c r="J632" s="394"/>
    </row>
    <row r="633" spans="2:10">
      <c r="B633" s="392"/>
      <c r="C633" s="347"/>
      <c r="D633" s="18"/>
      <c r="E633" s="18"/>
      <c r="F633" s="18"/>
      <c r="G633" s="18"/>
      <c r="H633" s="393"/>
      <c r="I633" s="388"/>
      <c r="J633" s="394"/>
    </row>
    <row r="634" spans="2:10">
      <c r="B634" s="392"/>
      <c r="C634" s="347"/>
      <c r="D634" s="18"/>
      <c r="E634" s="18"/>
      <c r="F634" s="18"/>
      <c r="G634" s="18"/>
      <c r="H634" s="393"/>
      <c r="I634" s="388"/>
      <c r="J634" s="394"/>
    </row>
    <row r="635" spans="2:10">
      <c r="B635" s="392"/>
      <c r="C635" s="347"/>
      <c r="D635" s="18"/>
      <c r="E635" s="18"/>
      <c r="F635" s="18"/>
      <c r="G635" s="18"/>
      <c r="H635" s="393"/>
      <c r="I635" s="388"/>
      <c r="J635" s="394"/>
    </row>
    <row r="636" spans="2:10">
      <c r="B636" s="392"/>
      <c r="C636" s="347"/>
      <c r="D636" s="18"/>
      <c r="E636" s="18"/>
      <c r="F636" s="18"/>
      <c r="G636" s="18"/>
      <c r="H636" s="393"/>
      <c r="I636" s="388"/>
      <c r="J636" s="394"/>
    </row>
    <row r="637" spans="2:10">
      <c r="B637" s="392"/>
      <c r="C637" s="347"/>
      <c r="D637" s="18"/>
      <c r="E637" s="18"/>
      <c r="F637" s="18"/>
      <c r="G637" s="18"/>
      <c r="H637" s="393"/>
      <c r="I637" s="388"/>
      <c r="J637" s="394"/>
    </row>
    <row r="638" spans="2:10">
      <c r="B638" s="392"/>
      <c r="C638" s="347"/>
      <c r="D638" s="18"/>
      <c r="E638" s="18"/>
      <c r="F638" s="18"/>
      <c r="G638" s="18"/>
      <c r="H638" s="393"/>
      <c r="I638" s="388"/>
      <c r="J638" s="394"/>
    </row>
    <row r="639" spans="2:10">
      <c r="B639" s="392"/>
      <c r="C639" s="347"/>
      <c r="D639" s="18"/>
      <c r="E639" s="18"/>
      <c r="F639" s="18"/>
      <c r="G639" s="18"/>
      <c r="H639" s="393"/>
      <c r="I639" s="388"/>
      <c r="J639" s="394"/>
    </row>
    <row r="640" spans="2:10">
      <c r="B640" s="392"/>
      <c r="C640" s="347"/>
      <c r="D640" s="18"/>
      <c r="E640" s="18"/>
      <c r="F640" s="18"/>
      <c r="G640" s="18"/>
      <c r="H640" s="393"/>
      <c r="I640" s="388"/>
      <c r="J640" s="394"/>
    </row>
    <row r="641" spans="2:10">
      <c r="B641" s="392"/>
      <c r="C641" s="347"/>
      <c r="D641" s="18"/>
      <c r="E641" s="18"/>
      <c r="F641" s="18"/>
      <c r="G641" s="18"/>
      <c r="H641" s="393"/>
      <c r="I641" s="388"/>
      <c r="J641" s="394"/>
    </row>
    <row r="642" spans="2:10">
      <c r="B642" s="392"/>
      <c r="C642" s="347"/>
      <c r="D642" s="18"/>
      <c r="E642" s="18"/>
      <c r="F642" s="18"/>
      <c r="G642" s="18"/>
      <c r="H642" s="393"/>
      <c r="I642" s="388"/>
      <c r="J642" s="394"/>
    </row>
    <row r="643" spans="2:10">
      <c r="B643" s="392"/>
      <c r="C643" s="347"/>
      <c r="D643" s="18"/>
      <c r="E643" s="18"/>
      <c r="F643" s="18"/>
      <c r="G643" s="18"/>
      <c r="H643" s="393"/>
      <c r="I643" s="388"/>
      <c r="J643" s="394"/>
    </row>
    <row r="644" spans="2:10">
      <c r="B644" s="392"/>
      <c r="C644" s="347"/>
      <c r="D644" s="18"/>
      <c r="E644" s="18"/>
      <c r="F644" s="18"/>
      <c r="G644" s="18"/>
      <c r="H644" s="393"/>
      <c r="I644" s="388"/>
      <c r="J644" s="394"/>
    </row>
    <row r="645" spans="2:10">
      <c r="B645" s="392"/>
      <c r="C645" s="347"/>
      <c r="D645" s="18"/>
      <c r="E645" s="18"/>
      <c r="F645" s="18"/>
      <c r="G645" s="18"/>
      <c r="H645" s="393"/>
      <c r="I645" s="388"/>
      <c r="J645" s="394"/>
    </row>
    <row r="646" spans="2:10">
      <c r="B646" s="392"/>
      <c r="C646" s="347"/>
      <c r="D646" s="18"/>
      <c r="E646" s="18"/>
      <c r="F646" s="18"/>
      <c r="G646" s="18"/>
      <c r="H646" s="393"/>
      <c r="I646" s="388"/>
      <c r="J646" s="394"/>
    </row>
    <row r="647" spans="2:10">
      <c r="B647" s="392"/>
      <c r="C647" s="347"/>
      <c r="D647" s="18"/>
      <c r="E647" s="18"/>
      <c r="F647" s="18"/>
      <c r="G647" s="18"/>
      <c r="H647" s="393"/>
      <c r="I647" s="388"/>
      <c r="J647" s="394"/>
    </row>
    <row r="648" spans="2:10">
      <c r="B648" s="392"/>
      <c r="C648" s="347"/>
      <c r="D648" s="18"/>
      <c r="E648" s="18"/>
      <c r="F648" s="18"/>
      <c r="G648" s="18"/>
      <c r="H648" s="393"/>
      <c r="I648" s="388"/>
      <c r="J648" s="394"/>
    </row>
    <row r="649" spans="2:10">
      <c r="B649" s="392"/>
      <c r="C649" s="347"/>
      <c r="D649" s="18"/>
      <c r="E649" s="18"/>
      <c r="F649" s="18"/>
      <c r="G649" s="18"/>
      <c r="H649" s="393"/>
      <c r="I649" s="388"/>
      <c r="J649" s="394"/>
    </row>
    <row r="650" spans="2:10">
      <c r="B650" s="392"/>
      <c r="C650" s="347"/>
      <c r="D650" s="18"/>
      <c r="E650" s="18"/>
      <c r="F650" s="18"/>
      <c r="G650" s="18"/>
      <c r="H650" s="393"/>
      <c r="I650" s="388"/>
      <c r="J650" s="394"/>
    </row>
    <row r="651" spans="2:10">
      <c r="B651" s="392"/>
      <c r="C651" s="347"/>
      <c r="D651" s="18"/>
      <c r="E651" s="18"/>
      <c r="F651" s="18"/>
      <c r="G651" s="18"/>
      <c r="H651" s="393"/>
      <c r="I651" s="388"/>
      <c r="J651" s="394"/>
    </row>
    <row r="652" spans="2:10">
      <c r="B652" s="392"/>
      <c r="C652" s="347"/>
      <c r="D652" s="18"/>
      <c r="E652" s="18"/>
      <c r="F652" s="18"/>
      <c r="G652" s="18"/>
      <c r="H652" s="393"/>
      <c r="I652" s="388"/>
      <c r="J652" s="394"/>
    </row>
    <row r="653" spans="2:10">
      <c r="B653" s="392"/>
      <c r="C653" s="347"/>
      <c r="D653" s="18"/>
      <c r="E653" s="18"/>
      <c r="F653" s="18"/>
      <c r="G653" s="18"/>
      <c r="H653" s="393"/>
      <c r="I653" s="388"/>
      <c r="J653" s="394"/>
    </row>
    <row r="1067" spans="3:3">
      <c r="C1067" s="1">
        <v>0</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C0D3E-9ABF-49A4-9F7D-6F0D7E41BE69}">
  <sheetPr>
    <pageSetUpPr fitToPage="1"/>
  </sheetPr>
  <dimension ref="B1:O116"/>
  <sheetViews>
    <sheetView showGridLines="0" topLeftCell="A92" zoomScale="85" zoomScaleNormal="85" workbookViewId="0">
      <selection activeCell="C179" sqref="C179"/>
    </sheetView>
  </sheetViews>
  <sheetFormatPr baseColWidth="10" defaultColWidth="8.5" defaultRowHeight="13"/>
  <cols>
    <col min="1" max="1" width="8.5" style="1006"/>
    <col min="2" max="2" width="26.5" style="1006" customWidth="1"/>
    <col min="3" max="3" width="19.33203125" style="1006" customWidth="1"/>
    <col min="4" max="4" width="19.5" style="1006" bestFit="1" customWidth="1"/>
    <col min="5" max="5" width="21" style="1006" bestFit="1" customWidth="1"/>
    <col min="6" max="6" width="18.5" style="1006" bestFit="1" customWidth="1"/>
    <col min="7" max="7" width="9.33203125" style="1006" customWidth="1"/>
    <col min="8" max="8" width="16.33203125" style="1006" bestFit="1" customWidth="1"/>
    <col min="9" max="9" width="16.5" style="1006" customWidth="1"/>
    <col min="10" max="11" width="18.5" style="1006" customWidth="1"/>
    <col min="12" max="12" width="13.5" style="1006" customWidth="1"/>
    <col min="13" max="13" width="14.5" style="1006" customWidth="1"/>
    <col min="14" max="14" width="54.5" style="1006" customWidth="1"/>
    <col min="15" max="257" width="8.5" style="1006"/>
    <col min="258" max="258" width="26.5" style="1006" customWidth="1"/>
    <col min="259" max="259" width="19.33203125" style="1006" customWidth="1"/>
    <col min="260" max="260" width="19.5" style="1006" bestFit="1" customWidth="1"/>
    <col min="261" max="261" width="21" style="1006" bestFit="1" customWidth="1"/>
    <col min="262" max="262" width="18.5" style="1006" bestFit="1" customWidth="1"/>
    <col min="263" max="263" width="9.33203125" style="1006" customWidth="1"/>
    <col min="264" max="264" width="11.5" style="1006" customWidth="1"/>
    <col min="265" max="265" width="13.5" style="1006" customWidth="1"/>
    <col min="266" max="267" width="18.5" style="1006" customWidth="1"/>
    <col min="268" max="268" width="11.5" style="1006" customWidth="1"/>
    <col min="269" max="269" width="14.5" style="1006" customWidth="1"/>
    <col min="270" max="270" width="54.5" style="1006" customWidth="1"/>
    <col min="271" max="513" width="8.5" style="1006"/>
    <col min="514" max="514" width="26.5" style="1006" customWidth="1"/>
    <col min="515" max="515" width="19.33203125" style="1006" customWidth="1"/>
    <col min="516" max="516" width="19.5" style="1006" bestFit="1" customWidth="1"/>
    <col min="517" max="517" width="21" style="1006" bestFit="1" customWidth="1"/>
    <col min="518" max="518" width="18.5" style="1006" bestFit="1" customWidth="1"/>
    <col min="519" max="519" width="9.33203125" style="1006" customWidth="1"/>
    <col min="520" max="520" width="11.5" style="1006" customWidth="1"/>
    <col min="521" max="521" width="13.5" style="1006" customWidth="1"/>
    <col min="522" max="523" width="18.5" style="1006" customWidth="1"/>
    <col min="524" max="524" width="11.5" style="1006" customWidth="1"/>
    <col min="525" max="525" width="14.5" style="1006" customWidth="1"/>
    <col min="526" max="526" width="54.5" style="1006" customWidth="1"/>
    <col min="527" max="769" width="8.5" style="1006"/>
    <col min="770" max="770" width="26.5" style="1006" customWidth="1"/>
    <col min="771" max="771" width="19.33203125" style="1006" customWidth="1"/>
    <col min="772" max="772" width="19.5" style="1006" bestFit="1" customWidth="1"/>
    <col min="773" max="773" width="21" style="1006" bestFit="1" customWidth="1"/>
    <col min="774" max="774" width="18.5" style="1006" bestFit="1" customWidth="1"/>
    <col min="775" max="775" width="9.33203125" style="1006" customWidth="1"/>
    <col min="776" max="776" width="11.5" style="1006" customWidth="1"/>
    <col min="777" max="777" width="13.5" style="1006" customWidth="1"/>
    <col min="778" max="779" width="18.5" style="1006" customWidth="1"/>
    <col min="780" max="780" width="11.5" style="1006" customWidth="1"/>
    <col min="781" max="781" width="14.5" style="1006" customWidth="1"/>
    <col min="782" max="782" width="54.5" style="1006" customWidth="1"/>
    <col min="783" max="1025" width="8.5" style="1006"/>
    <col min="1026" max="1026" width="26.5" style="1006" customWidth="1"/>
    <col min="1027" max="1027" width="19.33203125" style="1006" customWidth="1"/>
    <col min="1028" max="1028" width="19.5" style="1006" bestFit="1" customWidth="1"/>
    <col min="1029" max="1029" width="21" style="1006" bestFit="1" customWidth="1"/>
    <col min="1030" max="1030" width="18.5" style="1006" bestFit="1" customWidth="1"/>
    <col min="1031" max="1031" width="9.33203125" style="1006" customWidth="1"/>
    <col min="1032" max="1032" width="11.5" style="1006" customWidth="1"/>
    <col min="1033" max="1033" width="13.5" style="1006" customWidth="1"/>
    <col min="1034" max="1035" width="18.5" style="1006" customWidth="1"/>
    <col min="1036" max="1036" width="11.5" style="1006" customWidth="1"/>
    <col min="1037" max="1037" width="14.5" style="1006" customWidth="1"/>
    <col min="1038" max="1038" width="54.5" style="1006" customWidth="1"/>
    <col min="1039" max="1281" width="8.5" style="1006"/>
    <col min="1282" max="1282" width="26.5" style="1006" customWidth="1"/>
    <col min="1283" max="1283" width="19.33203125" style="1006" customWidth="1"/>
    <col min="1284" max="1284" width="19.5" style="1006" bestFit="1" customWidth="1"/>
    <col min="1285" max="1285" width="21" style="1006" bestFit="1" customWidth="1"/>
    <col min="1286" max="1286" width="18.5" style="1006" bestFit="1" customWidth="1"/>
    <col min="1287" max="1287" width="9.33203125" style="1006" customWidth="1"/>
    <col min="1288" max="1288" width="11.5" style="1006" customWidth="1"/>
    <col min="1289" max="1289" width="13.5" style="1006" customWidth="1"/>
    <col min="1290" max="1291" width="18.5" style="1006" customWidth="1"/>
    <col min="1292" max="1292" width="11.5" style="1006" customWidth="1"/>
    <col min="1293" max="1293" width="14.5" style="1006" customWidth="1"/>
    <col min="1294" max="1294" width="54.5" style="1006" customWidth="1"/>
    <col min="1295" max="1537" width="8.5" style="1006"/>
    <col min="1538" max="1538" width="26.5" style="1006" customWidth="1"/>
    <col min="1539" max="1539" width="19.33203125" style="1006" customWidth="1"/>
    <col min="1540" max="1540" width="19.5" style="1006" bestFit="1" customWidth="1"/>
    <col min="1541" max="1541" width="21" style="1006" bestFit="1" customWidth="1"/>
    <col min="1542" max="1542" width="18.5" style="1006" bestFit="1" customWidth="1"/>
    <col min="1543" max="1543" width="9.33203125" style="1006" customWidth="1"/>
    <col min="1544" max="1544" width="11.5" style="1006" customWidth="1"/>
    <col min="1545" max="1545" width="13.5" style="1006" customWidth="1"/>
    <col min="1546" max="1547" width="18.5" style="1006" customWidth="1"/>
    <col min="1548" max="1548" width="11.5" style="1006" customWidth="1"/>
    <col min="1549" max="1549" width="14.5" style="1006" customWidth="1"/>
    <col min="1550" max="1550" width="54.5" style="1006" customWidth="1"/>
    <col min="1551" max="1793" width="8.5" style="1006"/>
    <col min="1794" max="1794" width="26.5" style="1006" customWidth="1"/>
    <col min="1795" max="1795" width="19.33203125" style="1006" customWidth="1"/>
    <col min="1796" max="1796" width="19.5" style="1006" bestFit="1" customWidth="1"/>
    <col min="1797" max="1797" width="21" style="1006" bestFit="1" customWidth="1"/>
    <col min="1798" max="1798" width="18.5" style="1006" bestFit="1" customWidth="1"/>
    <col min="1799" max="1799" width="9.33203125" style="1006" customWidth="1"/>
    <col min="1800" max="1800" width="11.5" style="1006" customWidth="1"/>
    <col min="1801" max="1801" width="13.5" style="1006" customWidth="1"/>
    <col min="1802" max="1803" width="18.5" style="1006" customWidth="1"/>
    <col min="1804" max="1804" width="11.5" style="1006" customWidth="1"/>
    <col min="1805" max="1805" width="14.5" style="1006" customWidth="1"/>
    <col min="1806" max="1806" width="54.5" style="1006" customWidth="1"/>
    <col min="1807" max="2049" width="8.5" style="1006"/>
    <col min="2050" max="2050" width="26.5" style="1006" customWidth="1"/>
    <col min="2051" max="2051" width="19.33203125" style="1006" customWidth="1"/>
    <col min="2052" max="2052" width="19.5" style="1006" bestFit="1" customWidth="1"/>
    <col min="2053" max="2053" width="21" style="1006" bestFit="1" customWidth="1"/>
    <col min="2054" max="2054" width="18.5" style="1006" bestFit="1" customWidth="1"/>
    <col min="2055" max="2055" width="9.33203125" style="1006" customWidth="1"/>
    <col min="2056" max="2056" width="11.5" style="1006" customWidth="1"/>
    <col min="2057" max="2057" width="13.5" style="1006" customWidth="1"/>
    <col min="2058" max="2059" width="18.5" style="1006" customWidth="1"/>
    <col min="2060" max="2060" width="11.5" style="1006" customWidth="1"/>
    <col min="2061" max="2061" width="14.5" style="1006" customWidth="1"/>
    <col min="2062" max="2062" width="54.5" style="1006" customWidth="1"/>
    <col min="2063" max="2305" width="8.5" style="1006"/>
    <col min="2306" max="2306" width="26.5" style="1006" customWidth="1"/>
    <col min="2307" max="2307" width="19.33203125" style="1006" customWidth="1"/>
    <col min="2308" max="2308" width="19.5" style="1006" bestFit="1" customWidth="1"/>
    <col min="2309" max="2309" width="21" style="1006" bestFit="1" customWidth="1"/>
    <col min="2310" max="2310" width="18.5" style="1006" bestFit="1" customWidth="1"/>
    <col min="2311" max="2311" width="9.33203125" style="1006" customWidth="1"/>
    <col min="2312" max="2312" width="11.5" style="1006" customWidth="1"/>
    <col min="2313" max="2313" width="13.5" style="1006" customWidth="1"/>
    <col min="2314" max="2315" width="18.5" style="1006" customWidth="1"/>
    <col min="2316" max="2316" width="11.5" style="1006" customWidth="1"/>
    <col min="2317" max="2317" width="14.5" style="1006" customWidth="1"/>
    <col min="2318" max="2318" width="54.5" style="1006" customWidth="1"/>
    <col min="2319" max="2561" width="8.5" style="1006"/>
    <col min="2562" max="2562" width="26.5" style="1006" customWidth="1"/>
    <col min="2563" max="2563" width="19.33203125" style="1006" customWidth="1"/>
    <col min="2564" max="2564" width="19.5" style="1006" bestFit="1" customWidth="1"/>
    <col min="2565" max="2565" width="21" style="1006" bestFit="1" customWidth="1"/>
    <col min="2566" max="2566" width="18.5" style="1006" bestFit="1" customWidth="1"/>
    <col min="2567" max="2567" width="9.33203125" style="1006" customWidth="1"/>
    <col min="2568" max="2568" width="11.5" style="1006" customWidth="1"/>
    <col min="2569" max="2569" width="13.5" style="1006" customWidth="1"/>
    <col min="2570" max="2571" width="18.5" style="1006" customWidth="1"/>
    <col min="2572" max="2572" width="11.5" style="1006" customWidth="1"/>
    <col min="2573" max="2573" width="14.5" style="1006" customWidth="1"/>
    <col min="2574" max="2574" width="54.5" style="1006" customWidth="1"/>
    <col min="2575" max="2817" width="8.5" style="1006"/>
    <col min="2818" max="2818" width="26.5" style="1006" customWidth="1"/>
    <col min="2819" max="2819" width="19.33203125" style="1006" customWidth="1"/>
    <col min="2820" max="2820" width="19.5" style="1006" bestFit="1" customWidth="1"/>
    <col min="2821" max="2821" width="21" style="1006" bestFit="1" customWidth="1"/>
    <col min="2822" max="2822" width="18.5" style="1006" bestFit="1" customWidth="1"/>
    <col min="2823" max="2823" width="9.33203125" style="1006" customWidth="1"/>
    <col min="2824" max="2824" width="11.5" style="1006" customWidth="1"/>
    <col min="2825" max="2825" width="13.5" style="1006" customWidth="1"/>
    <col min="2826" max="2827" width="18.5" style="1006" customWidth="1"/>
    <col min="2828" max="2828" width="11.5" style="1006" customWidth="1"/>
    <col min="2829" max="2829" width="14.5" style="1006" customWidth="1"/>
    <col min="2830" max="2830" width="54.5" style="1006" customWidth="1"/>
    <col min="2831" max="3073" width="8.5" style="1006"/>
    <col min="3074" max="3074" width="26.5" style="1006" customWidth="1"/>
    <col min="3075" max="3075" width="19.33203125" style="1006" customWidth="1"/>
    <col min="3076" max="3076" width="19.5" style="1006" bestFit="1" customWidth="1"/>
    <col min="3077" max="3077" width="21" style="1006" bestFit="1" customWidth="1"/>
    <col min="3078" max="3078" width="18.5" style="1006" bestFit="1" customWidth="1"/>
    <col min="3079" max="3079" width="9.33203125" style="1006" customWidth="1"/>
    <col min="3080" max="3080" width="11.5" style="1006" customWidth="1"/>
    <col min="3081" max="3081" width="13.5" style="1006" customWidth="1"/>
    <col min="3082" max="3083" width="18.5" style="1006" customWidth="1"/>
    <col min="3084" max="3084" width="11.5" style="1006" customWidth="1"/>
    <col min="3085" max="3085" width="14.5" style="1006" customWidth="1"/>
    <col min="3086" max="3086" width="54.5" style="1006" customWidth="1"/>
    <col min="3087" max="3329" width="8.5" style="1006"/>
    <col min="3330" max="3330" width="26.5" style="1006" customWidth="1"/>
    <col min="3331" max="3331" width="19.33203125" style="1006" customWidth="1"/>
    <col min="3332" max="3332" width="19.5" style="1006" bestFit="1" customWidth="1"/>
    <col min="3333" max="3333" width="21" style="1006" bestFit="1" customWidth="1"/>
    <col min="3334" max="3334" width="18.5" style="1006" bestFit="1" customWidth="1"/>
    <col min="3335" max="3335" width="9.33203125" style="1006" customWidth="1"/>
    <col min="3336" max="3336" width="11.5" style="1006" customWidth="1"/>
    <col min="3337" max="3337" width="13.5" style="1006" customWidth="1"/>
    <col min="3338" max="3339" width="18.5" style="1006" customWidth="1"/>
    <col min="3340" max="3340" width="11.5" style="1006" customWidth="1"/>
    <col min="3341" max="3341" width="14.5" style="1006" customWidth="1"/>
    <col min="3342" max="3342" width="54.5" style="1006" customWidth="1"/>
    <col min="3343" max="3585" width="8.5" style="1006"/>
    <col min="3586" max="3586" width="26.5" style="1006" customWidth="1"/>
    <col min="3587" max="3587" width="19.33203125" style="1006" customWidth="1"/>
    <col min="3588" max="3588" width="19.5" style="1006" bestFit="1" customWidth="1"/>
    <col min="3589" max="3589" width="21" style="1006" bestFit="1" customWidth="1"/>
    <col min="3590" max="3590" width="18.5" style="1006" bestFit="1" customWidth="1"/>
    <col min="3591" max="3591" width="9.33203125" style="1006" customWidth="1"/>
    <col min="3592" max="3592" width="11.5" style="1006" customWidth="1"/>
    <col min="3593" max="3593" width="13.5" style="1006" customWidth="1"/>
    <col min="3594" max="3595" width="18.5" style="1006" customWidth="1"/>
    <col min="3596" max="3596" width="11.5" style="1006" customWidth="1"/>
    <col min="3597" max="3597" width="14.5" style="1006" customWidth="1"/>
    <col min="3598" max="3598" width="54.5" style="1006" customWidth="1"/>
    <col min="3599" max="3841" width="8.5" style="1006"/>
    <col min="3842" max="3842" width="26.5" style="1006" customWidth="1"/>
    <col min="3843" max="3843" width="19.33203125" style="1006" customWidth="1"/>
    <col min="3844" max="3844" width="19.5" style="1006" bestFit="1" customWidth="1"/>
    <col min="3845" max="3845" width="21" style="1006" bestFit="1" customWidth="1"/>
    <col min="3846" max="3846" width="18.5" style="1006" bestFit="1" customWidth="1"/>
    <col min="3847" max="3847" width="9.33203125" style="1006" customWidth="1"/>
    <col min="3848" max="3848" width="11.5" style="1006" customWidth="1"/>
    <col min="3849" max="3849" width="13.5" style="1006" customWidth="1"/>
    <col min="3850" max="3851" width="18.5" style="1006" customWidth="1"/>
    <col min="3852" max="3852" width="11.5" style="1006" customWidth="1"/>
    <col min="3853" max="3853" width="14.5" style="1006" customWidth="1"/>
    <col min="3854" max="3854" width="54.5" style="1006" customWidth="1"/>
    <col min="3855" max="4097" width="8.5" style="1006"/>
    <col min="4098" max="4098" width="26.5" style="1006" customWidth="1"/>
    <col min="4099" max="4099" width="19.33203125" style="1006" customWidth="1"/>
    <col min="4100" max="4100" width="19.5" style="1006" bestFit="1" customWidth="1"/>
    <col min="4101" max="4101" width="21" style="1006" bestFit="1" customWidth="1"/>
    <col min="4102" max="4102" width="18.5" style="1006" bestFit="1" customWidth="1"/>
    <col min="4103" max="4103" width="9.33203125" style="1006" customWidth="1"/>
    <col min="4104" max="4104" width="11.5" style="1006" customWidth="1"/>
    <col min="4105" max="4105" width="13.5" style="1006" customWidth="1"/>
    <col min="4106" max="4107" width="18.5" style="1006" customWidth="1"/>
    <col min="4108" max="4108" width="11.5" style="1006" customWidth="1"/>
    <col min="4109" max="4109" width="14.5" style="1006" customWidth="1"/>
    <col min="4110" max="4110" width="54.5" style="1006" customWidth="1"/>
    <col min="4111" max="4353" width="8.5" style="1006"/>
    <col min="4354" max="4354" width="26.5" style="1006" customWidth="1"/>
    <col min="4355" max="4355" width="19.33203125" style="1006" customWidth="1"/>
    <col min="4356" max="4356" width="19.5" style="1006" bestFit="1" customWidth="1"/>
    <col min="4357" max="4357" width="21" style="1006" bestFit="1" customWidth="1"/>
    <col min="4358" max="4358" width="18.5" style="1006" bestFit="1" customWidth="1"/>
    <col min="4359" max="4359" width="9.33203125" style="1006" customWidth="1"/>
    <col min="4360" max="4360" width="11.5" style="1006" customWidth="1"/>
    <col min="4361" max="4361" width="13.5" style="1006" customWidth="1"/>
    <col min="4362" max="4363" width="18.5" style="1006" customWidth="1"/>
    <col min="4364" max="4364" width="11.5" style="1006" customWidth="1"/>
    <col min="4365" max="4365" width="14.5" style="1006" customWidth="1"/>
    <col min="4366" max="4366" width="54.5" style="1006" customWidth="1"/>
    <col min="4367" max="4609" width="8.5" style="1006"/>
    <col min="4610" max="4610" width="26.5" style="1006" customWidth="1"/>
    <col min="4611" max="4611" width="19.33203125" style="1006" customWidth="1"/>
    <col min="4612" max="4612" width="19.5" style="1006" bestFit="1" customWidth="1"/>
    <col min="4613" max="4613" width="21" style="1006" bestFit="1" customWidth="1"/>
    <col min="4614" max="4614" width="18.5" style="1006" bestFit="1" customWidth="1"/>
    <col min="4615" max="4615" width="9.33203125" style="1006" customWidth="1"/>
    <col min="4616" max="4616" width="11.5" style="1006" customWidth="1"/>
    <col min="4617" max="4617" width="13.5" style="1006" customWidth="1"/>
    <col min="4618" max="4619" width="18.5" style="1006" customWidth="1"/>
    <col min="4620" max="4620" width="11.5" style="1006" customWidth="1"/>
    <col min="4621" max="4621" width="14.5" style="1006" customWidth="1"/>
    <col min="4622" max="4622" width="54.5" style="1006" customWidth="1"/>
    <col min="4623" max="4865" width="8.5" style="1006"/>
    <col min="4866" max="4866" width="26.5" style="1006" customWidth="1"/>
    <col min="4867" max="4867" width="19.33203125" style="1006" customWidth="1"/>
    <col min="4868" max="4868" width="19.5" style="1006" bestFit="1" customWidth="1"/>
    <col min="4869" max="4869" width="21" style="1006" bestFit="1" customWidth="1"/>
    <col min="4870" max="4870" width="18.5" style="1006" bestFit="1" customWidth="1"/>
    <col min="4871" max="4871" width="9.33203125" style="1006" customWidth="1"/>
    <col min="4872" max="4872" width="11.5" style="1006" customWidth="1"/>
    <col min="4873" max="4873" width="13.5" style="1006" customWidth="1"/>
    <col min="4874" max="4875" width="18.5" style="1006" customWidth="1"/>
    <col min="4876" max="4876" width="11.5" style="1006" customWidth="1"/>
    <col min="4877" max="4877" width="14.5" style="1006" customWidth="1"/>
    <col min="4878" max="4878" width="54.5" style="1006" customWidth="1"/>
    <col min="4879" max="5121" width="8.5" style="1006"/>
    <col min="5122" max="5122" width="26.5" style="1006" customWidth="1"/>
    <col min="5123" max="5123" width="19.33203125" style="1006" customWidth="1"/>
    <col min="5124" max="5124" width="19.5" style="1006" bestFit="1" customWidth="1"/>
    <col min="5125" max="5125" width="21" style="1006" bestFit="1" customWidth="1"/>
    <col min="5126" max="5126" width="18.5" style="1006" bestFit="1" customWidth="1"/>
    <col min="5127" max="5127" width="9.33203125" style="1006" customWidth="1"/>
    <col min="5128" max="5128" width="11.5" style="1006" customWidth="1"/>
    <col min="5129" max="5129" width="13.5" style="1006" customWidth="1"/>
    <col min="5130" max="5131" width="18.5" style="1006" customWidth="1"/>
    <col min="5132" max="5132" width="11.5" style="1006" customWidth="1"/>
    <col min="5133" max="5133" width="14.5" style="1006" customWidth="1"/>
    <col min="5134" max="5134" width="54.5" style="1006" customWidth="1"/>
    <col min="5135" max="5377" width="8.5" style="1006"/>
    <col min="5378" max="5378" width="26.5" style="1006" customWidth="1"/>
    <col min="5379" max="5379" width="19.33203125" style="1006" customWidth="1"/>
    <col min="5380" max="5380" width="19.5" style="1006" bestFit="1" customWidth="1"/>
    <col min="5381" max="5381" width="21" style="1006" bestFit="1" customWidth="1"/>
    <col min="5382" max="5382" width="18.5" style="1006" bestFit="1" customWidth="1"/>
    <col min="5383" max="5383" width="9.33203125" style="1006" customWidth="1"/>
    <col min="5384" max="5384" width="11.5" style="1006" customWidth="1"/>
    <col min="5385" max="5385" width="13.5" style="1006" customWidth="1"/>
    <col min="5386" max="5387" width="18.5" style="1006" customWidth="1"/>
    <col min="5388" max="5388" width="11.5" style="1006" customWidth="1"/>
    <col min="5389" max="5389" width="14.5" style="1006" customWidth="1"/>
    <col min="5390" max="5390" width="54.5" style="1006" customWidth="1"/>
    <col min="5391" max="5633" width="8.5" style="1006"/>
    <col min="5634" max="5634" width="26.5" style="1006" customWidth="1"/>
    <col min="5635" max="5635" width="19.33203125" style="1006" customWidth="1"/>
    <col min="5636" max="5636" width="19.5" style="1006" bestFit="1" customWidth="1"/>
    <col min="5637" max="5637" width="21" style="1006" bestFit="1" customWidth="1"/>
    <col min="5638" max="5638" width="18.5" style="1006" bestFit="1" customWidth="1"/>
    <col min="5639" max="5639" width="9.33203125" style="1006" customWidth="1"/>
    <col min="5640" max="5640" width="11.5" style="1006" customWidth="1"/>
    <col min="5641" max="5641" width="13.5" style="1006" customWidth="1"/>
    <col min="5642" max="5643" width="18.5" style="1006" customWidth="1"/>
    <col min="5644" max="5644" width="11.5" style="1006" customWidth="1"/>
    <col min="5645" max="5645" width="14.5" style="1006" customWidth="1"/>
    <col min="5646" max="5646" width="54.5" style="1006" customWidth="1"/>
    <col min="5647" max="5889" width="8.5" style="1006"/>
    <col min="5890" max="5890" width="26.5" style="1006" customWidth="1"/>
    <col min="5891" max="5891" width="19.33203125" style="1006" customWidth="1"/>
    <col min="5892" max="5892" width="19.5" style="1006" bestFit="1" customWidth="1"/>
    <col min="5893" max="5893" width="21" style="1006" bestFit="1" customWidth="1"/>
    <col min="5894" max="5894" width="18.5" style="1006" bestFit="1" customWidth="1"/>
    <col min="5895" max="5895" width="9.33203125" style="1006" customWidth="1"/>
    <col min="5896" max="5896" width="11.5" style="1006" customWidth="1"/>
    <col min="5897" max="5897" width="13.5" style="1006" customWidth="1"/>
    <col min="5898" max="5899" width="18.5" style="1006" customWidth="1"/>
    <col min="5900" max="5900" width="11.5" style="1006" customWidth="1"/>
    <col min="5901" max="5901" width="14.5" style="1006" customWidth="1"/>
    <col min="5902" max="5902" width="54.5" style="1006" customWidth="1"/>
    <col min="5903" max="6145" width="8.5" style="1006"/>
    <col min="6146" max="6146" width="26.5" style="1006" customWidth="1"/>
    <col min="6147" max="6147" width="19.33203125" style="1006" customWidth="1"/>
    <col min="6148" max="6148" width="19.5" style="1006" bestFit="1" customWidth="1"/>
    <col min="6149" max="6149" width="21" style="1006" bestFit="1" customWidth="1"/>
    <col min="6150" max="6150" width="18.5" style="1006" bestFit="1" customWidth="1"/>
    <col min="6151" max="6151" width="9.33203125" style="1006" customWidth="1"/>
    <col min="6152" max="6152" width="11.5" style="1006" customWidth="1"/>
    <col min="6153" max="6153" width="13.5" style="1006" customWidth="1"/>
    <col min="6154" max="6155" width="18.5" style="1006" customWidth="1"/>
    <col min="6156" max="6156" width="11.5" style="1006" customWidth="1"/>
    <col min="6157" max="6157" width="14.5" style="1006" customWidth="1"/>
    <col min="6158" max="6158" width="54.5" style="1006" customWidth="1"/>
    <col min="6159" max="6401" width="8.5" style="1006"/>
    <col min="6402" max="6402" width="26.5" style="1006" customWidth="1"/>
    <col min="6403" max="6403" width="19.33203125" style="1006" customWidth="1"/>
    <col min="6404" max="6404" width="19.5" style="1006" bestFit="1" customWidth="1"/>
    <col min="6405" max="6405" width="21" style="1006" bestFit="1" customWidth="1"/>
    <col min="6406" max="6406" width="18.5" style="1006" bestFit="1" customWidth="1"/>
    <col min="6407" max="6407" width="9.33203125" style="1006" customWidth="1"/>
    <col min="6408" max="6408" width="11.5" style="1006" customWidth="1"/>
    <col min="6409" max="6409" width="13.5" style="1006" customWidth="1"/>
    <col min="6410" max="6411" width="18.5" style="1006" customWidth="1"/>
    <col min="6412" max="6412" width="11.5" style="1006" customWidth="1"/>
    <col min="6413" max="6413" width="14.5" style="1006" customWidth="1"/>
    <col min="6414" max="6414" width="54.5" style="1006" customWidth="1"/>
    <col min="6415" max="6657" width="8.5" style="1006"/>
    <col min="6658" max="6658" width="26.5" style="1006" customWidth="1"/>
    <col min="6659" max="6659" width="19.33203125" style="1006" customWidth="1"/>
    <col min="6660" max="6660" width="19.5" style="1006" bestFit="1" customWidth="1"/>
    <col min="6661" max="6661" width="21" style="1006" bestFit="1" customWidth="1"/>
    <col min="6662" max="6662" width="18.5" style="1006" bestFit="1" customWidth="1"/>
    <col min="6663" max="6663" width="9.33203125" style="1006" customWidth="1"/>
    <col min="6664" max="6664" width="11.5" style="1006" customWidth="1"/>
    <col min="6665" max="6665" width="13.5" style="1006" customWidth="1"/>
    <col min="6666" max="6667" width="18.5" style="1006" customWidth="1"/>
    <col min="6668" max="6668" width="11.5" style="1006" customWidth="1"/>
    <col min="6669" max="6669" width="14.5" style="1006" customWidth="1"/>
    <col min="6670" max="6670" width="54.5" style="1006" customWidth="1"/>
    <col min="6671" max="6913" width="8.5" style="1006"/>
    <col min="6914" max="6914" width="26.5" style="1006" customWidth="1"/>
    <col min="6915" max="6915" width="19.33203125" style="1006" customWidth="1"/>
    <col min="6916" max="6916" width="19.5" style="1006" bestFit="1" customWidth="1"/>
    <col min="6917" max="6917" width="21" style="1006" bestFit="1" customWidth="1"/>
    <col min="6918" max="6918" width="18.5" style="1006" bestFit="1" customWidth="1"/>
    <col min="6919" max="6919" width="9.33203125" style="1006" customWidth="1"/>
    <col min="6920" max="6920" width="11.5" style="1006" customWidth="1"/>
    <col min="6921" max="6921" width="13.5" style="1006" customWidth="1"/>
    <col min="6922" max="6923" width="18.5" style="1006" customWidth="1"/>
    <col min="6924" max="6924" width="11.5" style="1006" customWidth="1"/>
    <col min="6925" max="6925" width="14.5" style="1006" customWidth="1"/>
    <col min="6926" max="6926" width="54.5" style="1006" customWidth="1"/>
    <col min="6927" max="7169" width="8.5" style="1006"/>
    <col min="7170" max="7170" width="26.5" style="1006" customWidth="1"/>
    <col min="7171" max="7171" width="19.33203125" style="1006" customWidth="1"/>
    <col min="7172" max="7172" width="19.5" style="1006" bestFit="1" customWidth="1"/>
    <col min="7173" max="7173" width="21" style="1006" bestFit="1" customWidth="1"/>
    <col min="7174" max="7174" width="18.5" style="1006" bestFit="1" customWidth="1"/>
    <col min="7175" max="7175" width="9.33203125" style="1006" customWidth="1"/>
    <col min="7176" max="7176" width="11.5" style="1006" customWidth="1"/>
    <col min="7177" max="7177" width="13.5" style="1006" customWidth="1"/>
    <col min="7178" max="7179" width="18.5" style="1006" customWidth="1"/>
    <col min="7180" max="7180" width="11.5" style="1006" customWidth="1"/>
    <col min="7181" max="7181" width="14.5" style="1006" customWidth="1"/>
    <col min="7182" max="7182" width="54.5" style="1006" customWidth="1"/>
    <col min="7183" max="7425" width="8.5" style="1006"/>
    <col min="7426" max="7426" width="26.5" style="1006" customWidth="1"/>
    <col min="7427" max="7427" width="19.33203125" style="1006" customWidth="1"/>
    <col min="7428" max="7428" width="19.5" style="1006" bestFit="1" customWidth="1"/>
    <col min="7429" max="7429" width="21" style="1006" bestFit="1" customWidth="1"/>
    <col min="7430" max="7430" width="18.5" style="1006" bestFit="1" customWidth="1"/>
    <col min="7431" max="7431" width="9.33203125" style="1006" customWidth="1"/>
    <col min="7432" max="7432" width="11.5" style="1006" customWidth="1"/>
    <col min="7433" max="7433" width="13.5" style="1006" customWidth="1"/>
    <col min="7434" max="7435" width="18.5" style="1006" customWidth="1"/>
    <col min="7436" max="7436" width="11.5" style="1006" customWidth="1"/>
    <col min="7437" max="7437" width="14.5" style="1006" customWidth="1"/>
    <col min="7438" max="7438" width="54.5" style="1006" customWidth="1"/>
    <col min="7439" max="7681" width="8.5" style="1006"/>
    <col min="7682" max="7682" width="26.5" style="1006" customWidth="1"/>
    <col min="7683" max="7683" width="19.33203125" style="1006" customWidth="1"/>
    <col min="7684" max="7684" width="19.5" style="1006" bestFit="1" customWidth="1"/>
    <col min="7685" max="7685" width="21" style="1006" bestFit="1" customWidth="1"/>
    <col min="7686" max="7686" width="18.5" style="1006" bestFit="1" customWidth="1"/>
    <col min="7687" max="7687" width="9.33203125" style="1006" customWidth="1"/>
    <col min="7688" max="7688" width="11.5" style="1006" customWidth="1"/>
    <col min="7689" max="7689" width="13.5" style="1006" customWidth="1"/>
    <col min="7690" max="7691" width="18.5" style="1006" customWidth="1"/>
    <col min="7692" max="7692" width="11.5" style="1006" customWidth="1"/>
    <col min="7693" max="7693" width="14.5" style="1006" customWidth="1"/>
    <col min="7694" max="7694" width="54.5" style="1006" customWidth="1"/>
    <col min="7695" max="7937" width="8.5" style="1006"/>
    <col min="7938" max="7938" width="26.5" style="1006" customWidth="1"/>
    <col min="7939" max="7939" width="19.33203125" style="1006" customWidth="1"/>
    <col min="7940" max="7940" width="19.5" style="1006" bestFit="1" customWidth="1"/>
    <col min="7941" max="7941" width="21" style="1006" bestFit="1" customWidth="1"/>
    <col min="7942" max="7942" width="18.5" style="1006" bestFit="1" customWidth="1"/>
    <col min="7943" max="7943" width="9.33203125" style="1006" customWidth="1"/>
    <col min="7944" max="7944" width="11.5" style="1006" customWidth="1"/>
    <col min="7945" max="7945" width="13.5" style="1006" customWidth="1"/>
    <col min="7946" max="7947" width="18.5" style="1006" customWidth="1"/>
    <col min="7948" max="7948" width="11.5" style="1006" customWidth="1"/>
    <col min="7949" max="7949" width="14.5" style="1006" customWidth="1"/>
    <col min="7950" max="7950" width="54.5" style="1006" customWidth="1"/>
    <col min="7951" max="8193" width="8.5" style="1006"/>
    <col min="8194" max="8194" width="26.5" style="1006" customWidth="1"/>
    <col min="8195" max="8195" width="19.33203125" style="1006" customWidth="1"/>
    <col min="8196" max="8196" width="19.5" style="1006" bestFit="1" customWidth="1"/>
    <col min="8197" max="8197" width="21" style="1006" bestFit="1" customWidth="1"/>
    <col min="8198" max="8198" width="18.5" style="1006" bestFit="1" customWidth="1"/>
    <col min="8199" max="8199" width="9.33203125" style="1006" customWidth="1"/>
    <col min="8200" max="8200" width="11.5" style="1006" customWidth="1"/>
    <col min="8201" max="8201" width="13.5" style="1006" customWidth="1"/>
    <col min="8202" max="8203" width="18.5" style="1006" customWidth="1"/>
    <col min="8204" max="8204" width="11.5" style="1006" customWidth="1"/>
    <col min="8205" max="8205" width="14.5" style="1006" customWidth="1"/>
    <col min="8206" max="8206" width="54.5" style="1006" customWidth="1"/>
    <col min="8207" max="8449" width="8.5" style="1006"/>
    <col min="8450" max="8450" width="26.5" style="1006" customWidth="1"/>
    <col min="8451" max="8451" width="19.33203125" style="1006" customWidth="1"/>
    <col min="8452" max="8452" width="19.5" style="1006" bestFit="1" customWidth="1"/>
    <col min="8453" max="8453" width="21" style="1006" bestFit="1" customWidth="1"/>
    <col min="8454" max="8454" width="18.5" style="1006" bestFit="1" customWidth="1"/>
    <col min="8455" max="8455" width="9.33203125" style="1006" customWidth="1"/>
    <col min="8456" max="8456" width="11.5" style="1006" customWidth="1"/>
    <col min="8457" max="8457" width="13.5" style="1006" customWidth="1"/>
    <col min="8458" max="8459" width="18.5" style="1006" customWidth="1"/>
    <col min="8460" max="8460" width="11.5" style="1006" customWidth="1"/>
    <col min="8461" max="8461" width="14.5" style="1006" customWidth="1"/>
    <col min="8462" max="8462" width="54.5" style="1006" customWidth="1"/>
    <col min="8463" max="8705" width="8.5" style="1006"/>
    <col min="8706" max="8706" width="26.5" style="1006" customWidth="1"/>
    <col min="8707" max="8707" width="19.33203125" style="1006" customWidth="1"/>
    <col min="8708" max="8708" width="19.5" style="1006" bestFit="1" customWidth="1"/>
    <col min="8709" max="8709" width="21" style="1006" bestFit="1" customWidth="1"/>
    <col min="8710" max="8710" width="18.5" style="1006" bestFit="1" customWidth="1"/>
    <col min="8711" max="8711" width="9.33203125" style="1006" customWidth="1"/>
    <col min="8712" max="8712" width="11.5" style="1006" customWidth="1"/>
    <col min="8713" max="8713" width="13.5" style="1006" customWidth="1"/>
    <col min="8714" max="8715" width="18.5" style="1006" customWidth="1"/>
    <col min="8716" max="8716" width="11.5" style="1006" customWidth="1"/>
    <col min="8717" max="8717" width="14.5" style="1006" customWidth="1"/>
    <col min="8718" max="8718" width="54.5" style="1006" customWidth="1"/>
    <col min="8719" max="8961" width="8.5" style="1006"/>
    <col min="8962" max="8962" width="26.5" style="1006" customWidth="1"/>
    <col min="8963" max="8963" width="19.33203125" style="1006" customWidth="1"/>
    <col min="8964" max="8964" width="19.5" style="1006" bestFit="1" customWidth="1"/>
    <col min="8965" max="8965" width="21" style="1006" bestFit="1" customWidth="1"/>
    <col min="8966" max="8966" width="18.5" style="1006" bestFit="1" customWidth="1"/>
    <col min="8967" max="8967" width="9.33203125" style="1006" customWidth="1"/>
    <col min="8968" max="8968" width="11.5" style="1006" customWidth="1"/>
    <col min="8969" max="8969" width="13.5" style="1006" customWidth="1"/>
    <col min="8970" max="8971" width="18.5" style="1006" customWidth="1"/>
    <col min="8972" max="8972" width="11.5" style="1006" customWidth="1"/>
    <col min="8973" max="8973" width="14.5" style="1006" customWidth="1"/>
    <col min="8974" max="8974" width="54.5" style="1006" customWidth="1"/>
    <col min="8975" max="9217" width="8.5" style="1006"/>
    <col min="9218" max="9218" width="26.5" style="1006" customWidth="1"/>
    <col min="9219" max="9219" width="19.33203125" style="1006" customWidth="1"/>
    <col min="9220" max="9220" width="19.5" style="1006" bestFit="1" customWidth="1"/>
    <col min="9221" max="9221" width="21" style="1006" bestFit="1" customWidth="1"/>
    <col min="9222" max="9222" width="18.5" style="1006" bestFit="1" customWidth="1"/>
    <col min="9223" max="9223" width="9.33203125" style="1006" customWidth="1"/>
    <col min="9224" max="9224" width="11.5" style="1006" customWidth="1"/>
    <col min="9225" max="9225" width="13.5" style="1006" customWidth="1"/>
    <col min="9226" max="9227" width="18.5" style="1006" customWidth="1"/>
    <col min="9228" max="9228" width="11.5" style="1006" customWidth="1"/>
    <col min="9229" max="9229" width="14.5" style="1006" customWidth="1"/>
    <col min="9230" max="9230" width="54.5" style="1006" customWidth="1"/>
    <col min="9231" max="9473" width="8.5" style="1006"/>
    <col min="9474" max="9474" width="26.5" style="1006" customWidth="1"/>
    <col min="9475" max="9475" width="19.33203125" style="1006" customWidth="1"/>
    <col min="9476" max="9476" width="19.5" style="1006" bestFit="1" customWidth="1"/>
    <col min="9477" max="9477" width="21" style="1006" bestFit="1" customWidth="1"/>
    <col min="9478" max="9478" width="18.5" style="1006" bestFit="1" customWidth="1"/>
    <col min="9479" max="9479" width="9.33203125" style="1006" customWidth="1"/>
    <col min="9480" max="9480" width="11.5" style="1006" customWidth="1"/>
    <col min="9481" max="9481" width="13.5" style="1006" customWidth="1"/>
    <col min="9482" max="9483" width="18.5" style="1006" customWidth="1"/>
    <col min="9484" max="9484" width="11.5" style="1006" customWidth="1"/>
    <col min="9485" max="9485" width="14.5" style="1006" customWidth="1"/>
    <col min="9486" max="9486" width="54.5" style="1006" customWidth="1"/>
    <col min="9487" max="9729" width="8.5" style="1006"/>
    <col min="9730" max="9730" width="26.5" style="1006" customWidth="1"/>
    <col min="9731" max="9731" width="19.33203125" style="1006" customWidth="1"/>
    <col min="9732" max="9732" width="19.5" style="1006" bestFit="1" customWidth="1"/>
    <col min="9733" max="9733" width="21" style="1006" bestFit="1" customWidth="1"/>
    <col min="9734" max="9734" width="18.5" style="1006" bestFit="1" customWidth="1"/>
    <col min="9735" max="9735" width="9.33203125" style="1006" customWidth="1"/>
    <col min="9736" max="9736" width="11.5" style="1006" customWidth="1"/>
    <col min="9737" max="9737" width="13.5" style="1006" customWidth="1"/>
    <col min="9738" max="9739" width="18.5" style="1006" customWidth="1"/>
    <col min="9740" max="9740" width="11.5" style="1006" customWidth="1"/>
    <col min="9741" max="9741" width="14.5" style="1006" customWidth="1"/>
    <col min="9742" max="9742" width="54.5" style="1006" customWidth="1"/>
    <col min="9743" max="9985" width="8.5" style="1006"/>
    <col min="9986" max="9986" width="26.5" style="1006" customWidth="1"/>
    <col min="9987" max="9987" width="19.33203125" style="1006" customWidth="1"/>
    <col min="9988" max="9988" width="19.5" style="1006" bestFit="1" customWidth="1"/>
    <col min="9989" max="9989" width="21" style="1006" bestFit="1" customWidth="1"/>
    <col min="9990" max="9990" width="18.5" style="1006" bestFit="1" customWidth="1"/>
    <col min="9991" max="9991" width="9.33203125" style="1006" customWidth="1"/>
    <col min="9992" max="9992" width="11.5" style="1006" customWidth="1"/>
    <col min="9993" max="9993" width="13.5" style="1006" customWidth="1"/>
    <col min="9994" max="9995" width="18.5" style="1006" customWidth="1"/>
    <col min="9996" max="9996" width="11.5" style="1006" customWidth="1"/>
    <col min="9997" max="9997" width="14.5" style="1006" customWidth="1"/>
    <col min="9998" max="9998" width="54.5" style="1006" customWidth="1"/>
    <col min="9999" max="10241" width="8.5" style="1006"/>
    <col min="10242" max="10242" width="26.5" style="1006" customWidth="1"/>
    <col min="10243" max="10243" width="19.33203125" style="1006" customWidth="1"/>
    <col min="10244" max="10244" width="19.5" style="1006" bestFit="1" customWidth="1"/>
    <col min="10245" max="10245" width="21" style="1006" bestFit="1" customWidth="1"/>
    <col min="10246" max="10246" width="18.5" style="1006" bestFit="1" customWidth="1"/>
    <col min="10247" max="10247" width="9.33203125" style="1006" customWidth="1"/>
    <col min="10248" max="10248" width="11.5" style="1006" customWidth="1"/>
    <col min="10249" max="10249" width="13.5" style="1006" customWidth="1"/>
    <col min="10250" max="10251" width="18.5" style="1006" customWidth="1"/>
    <col min="10252" max="10252" width="11.5" style="1006" customWidth="1"/>
    <col min="10253" max="10253" width="14.5" style="1006" customWidth="1"/>
    <col min="10254" max="10254" width="54.5" style="1006" customWidth="1"/>
    <col min="10255" max="10497" width="8.5" style="1006"/>
    <col min="10498" max="10498" width="26.5" style="1006" customWidth="1"/>
    <col min="10499" max="10499" width="19.33203125" style="1006" customWidth="1"/>
    <col min="10500" max="10500" width="19.5" style="1006" bestFit="1" customWidth="1"/>
    <col min="10501" max="10501" width="21" style="1006" bestFit="1" customWidth="1"/>
    <col min="10502" max="10502" width="18.5" style="1006" bestFit="1" customWidth="1"/>
    <col min="10503" max="10503" width="9.33203125" style="1006" customWidth="1"/>
    <col min="10504" max="10504" width="11.5" style="1006" customWidth="1"/>
    <col min="10505" max="10505" width="13.5" style="1006" customWidth="1"/>
    <col min="10506" max="10507" width="18.5" style="1006" customWidth="1"/>
    <col min="10508" max="10508" width="11.5" style="1006" customWidth="1"/>
    <col min="10509" max="10509" width="14.5" style="1006" customWidth="1"/>
    <col min="10510" max="10510" width="54.5" style="1006" customWidth="1"/>
    <col min="10511" max="10753" width="8.5" style="1006"/>
    <col min="10754" max="10754" width="26.5" style="1006" customWidth="1"/>
    <col min="10755" max="10755" width="19.33203125" style="1006" customWidth="1"/>
    <col min="10756" max="10756" width="19.5" style="1006" bestFit="1" customWidth="1"/>
    <col min="10757" max="10757" width="21" style="1006" bestFit="1" customWidth="1"/>
    <col min="10758" max="10758" width="18.5" style="1006" bestFit="1" customWidth="1"/>
    <col min="10759" max="10759" width="9.33203125" style="1006" customWidth="1"/>
    <col min="10760" max="10760" width="11.5" style="1006" customWidth="1"/>
    <col min="10761" max="10761" width="13.5" style="1006" customWidth="1"/>
    <col min="10762" max="10763" width="18.5" style="1006" customWidth="1"/>
    <col min="10764" max="10764" width="11.5" style="1006" customWidth="1"/>
    <col min="10765" max="10765" width="14.5" style="1006" customWidth="1"/>
    <col min="10766" max="10766" width="54.5" style="1006" customWidth="1"/>
    <col min="10767" max="11009" width="8.5" style="1006"/>
    <col min="11010" max="11010" width="26.5" style="1006" customWidth="1"/>
    <col min="11011" max="11011" width="19.33203125" style="1006" customWidth="1"/>
    <col min="11012" max="11012" width="19.5" style="1006" bestFit="1" customWidth="1"/>
    <col min="11013" max="11013" width="21" style="1006" bestFit="1" customWidth="1"/>
    <col min="11014" max="11014" width="18.5" style="1006" bestFit="1" customWidth="1"/>
    <col min="11015" max="11015" width="9.33203125" style="1006" customWidth="1"/>
    <col min="11016" max="11016" width="11.5" style="1006" customWidth="1"/>
    <col min="11017" max="11017" width="13.5" style="1006" customWidth="1"/>
    <col min="11018" max="11019" width="18.5" style="1006" customWidth="1"/>
    <col min="11020" max="11020" width="11.5" style="1006" customWidth="1"/>
    <col min="11021" max="11021" width="14.5" style="1006" customWidth="1"/>
    <col min="11022" max="11022" width="54.5" style="1006" customWidth="1"/>
    <col min="11023" max="11265" width="8.5" style="1006"/>
    <col min="11266" max="11266" width="26.5" style="1006" customWidth="1"/>
    <col min="11267" max="11267" width="19.33203125" style="1006" customWidth="1"/>
    <col min="11268" max="11268" width="19.5" style="1006" bestFit="1" customWidth="1"/>
    <col min="11269" max="11269" width="21" style="1006" bestFit="1" customWidth="1"/>
    <col min="11270" max="11270" width="18.5" style="1006" bestFit="1" customWidth="1"/>
    <col min="11271" max="11271" width="9.33203125" style="1006" customWidth="1"/>
    <col min="11272" max="11272" width="11.5" style="1006" customWidth="1"/>
    <col min="11273" max="11273" width="13.5" style="1006" customWidth="1"/>
    <col min="11274" max="11275" width="18.5" style="1006" customWidth="1"/>
    <col min="11276" max="11276" width="11.5" style="1006" customWidth="1"/>
    <col min="11277" max="11277" width="14.5" style="1006" customWidth="1"/>
    <col min="11278" max="11278" width="54.5" style="1006" customWidth="1"/>
    <col min="11279" max="11521" width="8.5" style="1006"/>
    <col min="11522" max="11522" width="26.5" style="1006" customWidth="1"/>
    <col min="11523" max="11523" width="19.33203125" style="1006" customWidth="1"/>
    <col min="11524" max="11524" width="19.5" style="1006" bestFit="1" customWidth="1"/>
    <col min="11525" max="11525" width="21" style="1006" bestFit="1" customWidth="1"/>
    <col min="11526" max="11526" width="18.5" style="1006" bestFit="1" customWidth="1"/>
    <col min="11527" max="11527" width="9.33203125" style="1006" customWidth="1"/>
    <col min="11528" max="11528" width="11.5" style="1006" customWidth="1"/>
    <col min="11529" max="11529" width="13.5" style="1006" customWidth="1"/>
    <col min="11530" max="11531" width="18.5" style="1006" customWidth="1"/>
    <col min="11532" max="11532" width="11.5" style="1006" customWidth="1"/>
    <col min="11533" max="11533" width="14.5" style="1006" customWidth="1"/>
    <col min="11534" max="11534" width="54.5" style="1006" customWidth="1"/>
    <col min="11535" max="11777" width="8.5" style="1006"/>
    <col min="11778" max="11778" width="26.5" style="1006" customWidth="1"/>
    <col min="11779" max="11779" width="19.33203125" style="1006" customWidth="1"/>
    <col min="11780" max="11780" width="19.5" style="1006" bestFit="1" customWidth="1"/>
    <col min="11781" max="11781" width="21" style="1006" bestFit="1" customWidth="1"/>
    <col min="11782" max="11782" width="18.5" style="1006" bestFit="1" customWidth="1"/>
    <col min="11783" max="11783" width="9.33203125" style="1006" customWidth="1"/>
    <col min="11784" max="11784" width="11.5" style="1006" customWidth="1"/>
    <col min="11785" max="11785" width="13.5" style="1006" customWidth="1"/>
    <col min="11786" max="11787" width="18.5" style="1006" customWidth="1"/>
    <col min="11788" max="11788" width="11.5" style="1006" customWidth="1"/>
    <col min="11789" max="11789" width="14.5" style="1006" customWidth="1"/>
    <col min="11790" max="11790" width="54.5" style="1006" customWidth="1"/>
    <col min="11791" max="12033" width="8.5" style="1006"/>
    <col min="12034" max="12034" width="26.5" style="1006" customWidth="1"/>
    <col min="12035" max="12035" width="19.33203125" style="1006" customWidth="1"/>
    <col min="12036" max="12036" width="19.5" style="1006" bestFit="1" customWidth="1"/>
    <col min="12037" max="12037" width="21" style="1006" bestFit="1" customWidth="1"/>
    <col min="12038" max="12038" width="18.5" style="1006" bestFit="1" customWidth="1"/>
    <col min="12039" max="12039" width="9.33203125" style="1006" customWidth="1"/>
    <col min="12040" max="12040" width="11.5" style="1006" customWidth="1"/>
    <col min="12041" max="12041" width="13.5" style="1006" customWidth="1"/>
    <col min="12042" max="12043" width="18.5" style="1006" customWidth="1"/>
    <col min="12044" max="12044" width="11.5" style="1006" customWidth="1"/>
    <col min="12045" max="12045" width="14.5" style="1006" customWidth="1"/>
    <col min="12046" max="12046" width="54.5" style="1006" customWidth="1"/>
    <col min="12047" max="12289" width="8.5" style="1006"/>
    <col min="12290" max="12290" width="26.5" style="1006" customWidth="1"/>
    <col min="12291" max="12291" width="19.33203125" style="1006" customWidth="1"/>
    <col min="12292" max="12292" width="19.5" style="1006" bestFit="1" customWidth="1"/>
    <col min="12293" max="12293" width="21" style="1006" bestFit="1" customWidth="1"/>
    <col min="12294" max="12294" width="18.5" style="1006" bestFit="1" customWidth="1"/>
    <col min="12295" max="12295" width="9.33203125" style="1006" customWidth="1"/>
    <col min="12296" max="12296" width="11.5" style="1006" customWidth="1"/>
    <col min="12297" max="12297" width="13.5" style="1006" customWidth="1"/>
    <col min="12298" max="12299" width="18.5" style="1006" customWidth="1"/>
    <col min="12300" max="12300" width="11.5" style="1006" customWidth="1"/>
    <col min="12301" max="12301" width="14.5" style="1006" customWidth="1"/>
    <col min="12302" max="12302" width="54.5" style="1006" customWidth="1"/>
    <col min="12303" max="12545" width="8.5" style="1006"/>
    <col min="12546" max="12546" width="26.5" style="1006" customWidth="1"/>
    <col min="12547" max="12547" width="19.33203125" style="1006" customWidth="1"/>
    <col min="12548" max="12548" width="19.5" style="1006" bestFit="1" customWidth="1"/>
    <col min="12549" max="12549" width="21" style="1006" bestFit="1" customWidth="1"/>
    <col min="12550" max="12550" width="18.5" style="1006" bestFit="1" customWidth="1"/>
    <col min="12551" max="12551" width="9.33203125" style="1006" customWidth="1"/>
    <col min="12552" max="12552" width="11.5" style="1006" customWidth="1"/>
    <col min="12553" max="12553" width="13.5" style="1006" customWidth="1"/>
    <col min="12554" max="12555" width="18.5" style="1006" customWidth="1"/>
    <col min="12556" max="12556" width="11.5" style="1006" customWidth="1"/>
    <col min="12557" max="12557" width="14.5" style="1006" customWidth="1"/>
    <col min="12558" max="12558" width="54.5" style="1006" customWidth="1"/>
    <col min="12559" max="12801" width="8.5" style="1006"/>
    <col min="12802" max="12802" width="26.5" style="1006" customWidth="1"/>
    <col min="12803" max="12803" width="19.33203125" style="1006" customWidth="1"/>
    <col min="12804" max="12804" width="19.5" style="1006" bestFit="1" customWidth="1"/>
    <col min="12805" max="12805" width="21" style="1006" bestFit="1" customWidth="1"/>
    <col min="12806" max="12806" width="18.5" style="1006" bestFit="1" customWidth="1"/>
    <col min="12807" max="12807" width="9.33203125" style="1006" customWidth="1"/>
    <col min="12808" max="12808" width="11.5" style="1006" customWidth="1"/>
    <col min="12809" max="12809" width="13.5" style="1006" customWidth="1"/>
    <col min="12810" max="12811" width="18.5" style="1006" customWidth="1"/>
    <col min="12812" max="12812" width="11.5" style="1006" customWidth="1"/>
    <col min="12813" max="12813" width="14.5" style="1006" customWidth="1"/>
    <col min="12814" max="12814" width="54.5" style="1006" customWidth="1"/>
    <col min="12815" max="13057" width="8.5" style="1006"/>
    <col min="13058" max="13058" width="26.5" style="1006" customWidth="1"/>
    <col min="13059" max="13059" width="19.33203125" style="1006" customWidth="1"/>
    <col min="13060" max="13060" width="19.5" style="1006" bestFit="1" customWidth="1"/>
    <col min="13061" max="13061" width="21" style="1006" bestFit="1" customWidth="1"/>
    <col min="13062" max="13062" width="18.5" style="1006" bestFit="1" customWidth="1"/>
    <col min="13063" max="13063" width="9.33203125" style="1006" customWidth="1"/>
    <col min="13064" max="13064" width="11.5" style="1006" customWidth="1"/>
    <col min="13065" max="13065" width="13.5" style="1006" customWidth="1"/>
    <col min="13066" max="13067" width="18.5" style="1006" customWidth="1"/>
    <col min="13068" max="13068" width="11.5" style="1006" customWidth="1"/>
    <col min="13069" max="13069" width="14.5" style="1006" customWidth="1"/>
    <col min="13070" max="13070" width="54.5" style="1006" customWidth="1"/>
    <col min="13071" max="13313" width="8.5" style="1006"/>
    <col min="13314" max="13314" width="26.5" style="1006" customWidth="1"/>
    <col min="13315" max="13315" width="19.33203125" style="1006" customWidth="1"/>
    <col min="13316" max="13316" width="19.5" style="1006" bestFit="1" customWidth="1"/>
    <col min="13317" max="13317" width="21" style="1006" bestFit="1" customWidth="1"/>
    <col min="13318" max="13318" width="18.5" style="1006" bestFit="1" customWidth="1"/>
    <col min="13319" max="13319" width="9.33203125" style="1006" customWidth="1"/>
    <col min="13320" max="13320" width="11.5" style="1006" customWidth="1"/>
    <col min="13321" max="13321" width="13.5" style="1006" customWidth="1"/>
    <col min="13322" max="13323" width="18.5" style="1006" customWidth="1"/>
    <col min="13324" max="13324" width="11.5" style="1006" customWidth="1"/>
    <col min="13325" max="13325" width="14.5" style="1006" customWidth="1"/>
    <col min="13326" max="13326" width="54.5" style="1006" customWidth="1"/>
    <col min="13327" max="13569" width="8.5" style="1006"/>
    <col min="13570" max="13570" width="26.5" style="1006" customWidth="1"/>
    <col min="13571" max="13571" width="19.33203125" style="1006" customWidth="1"/>
    <col min="13572" max="13572" width="19.5" style="1006" bestFit="1" customWidth="1"/>
    <col min="13573" max="13573" width="21" style="1006" bestFit="1" customWidth="1"/>
    <col min="13574" max="13574" width="18.5" style="1006" bestFit="1" customWidth="1"/>
    <col min="13575" max="13575" width="9.33203125" style="1006" customWidth="1"/>
    <col min="13576" max="13576" width="11.5" style="1006" customWidth="1"/>
    <col min="13577" max="13577" width="13.5" style="1006" customWidth="1"/>
    <col min="13578" max="13579" width="18.5" style="1006" customWidth="1"/>
    <col min="13580" max="13580" width="11.5" style="1006" customWidth="1"/>
    <col min="13581" max="13581" width="14.5" style="1006" customWidth="1"/>
    <col min="13582" max="13582" width="54.5" style="1006" customWidth="1"/>
    <col min="13583" max="13825" width="8.5" style="1006"/>
    <col min="13826" max="13826" width="26.5" style="1006" customWidth="1"/>
    <col min="13827" max="13827" width="19.33203125" style="1006" customWidth="1"/>
    <col min="13828" max="13828" width="19.5" style="1006" bestFit="1" customWidth="1"/>
    <col min="13829" max="13829" width="21" style="1006" bestFit="1" customWidth="1"/>
    <col min="13830" max="13830" width="18.5" style="1006" bestFit="1" customWidth="1"/>
    <col min="13831" max="13831" width="9.33203125" style="1006" customWidth="1"/>
    <col min="13832" max="13832" width="11.5" style="1006" customWidth="1"/>
    <col min="13833" max="13833" width="13.5" style="1006" customWidth="1"/>
    <col min="13834" max="13835" width="18.5" style="1006" customWidth="1"/>
    <col min="13836" max="13836" width="11.5" style="1006" customWidth="1"/>
    <col min="13837" max="13837" width="14.5" style="1006" customWidth="1"/>
    <col min="13838" max="13838" width="54.5" style="1006" customWidth="1"/>
    <col min="13839" max="14081" width="8.5" style="1006"/>
    <col min="14082" max="14082" width="26.5" style="1006" customWidth="1"/>
    <col min="14083" max="14083" width="19.33203125" style="1006" customWidth="1"/>
    <col min="14084" max="14084" width="19.5" style="1006" bestFit="1" customWidth="1"/>
    <col min="14085" max="14085" width="21" style="1006" bestFit="1" customWidth="1"/>
    <col min="14086" max="14086" width="18.5" style="1006" bestFit="1" customWidth="1"/>
    <col min="14087" max="14087" width="9.33203125" style="1006" customWidth="1"/>
    <col min="14088" max="14088" width="11.5" style="1006" customWidth="1"/>
    <col min="14089" max="14089" width="13.5" style="1006" customWidth="1"/>
    <col min="14090" max="14091" width="18.5" style="1006" customWidth="1"/>
    <col min="14092" max="14092" width="11.5" style="1006" customWidth="1"/>
    <col min="14093" max="14093" width="14.5" style="1006" customWidth="1"/>
    <col min="14094" max="14094" width="54.5" style="1006" customWidth="1"/>
    <col min="14095" max="14337" width="8.5" style="1006"/>
    <col min="14338" max="14338" width="26.5" style="1006" customWidth="1"/>
    <col min="14339" max="14339" width="19.33203125" style="1006" customWidth="1"/>
    <col min="14340" max="14340" width="19.5" style="1006" bestFit="1" customWidth="1"/>
    <col min="14341" max="14341" width="21" style="1006" bestFit="1" customWidth="1"/>
    <col min="14342" max="14342" width="18.5" style="1006" bestFit="1" customWidth="1"/>
    <col min="14343" max="14343" width="9.33203125" style="1006" customWidth="1"/>
    <col min="14344" max="14344" width="11.5" style="1006" customWidth="1"/>
    <col min="14345" max="14345" width="13.5" style="1006" customWidth="1"/>
    <col min="14346" max="14347" width="18.5" style="1006" customWidth="1"/>
    <col min="14348" max="14348" width="11.5" style="1006" customWidth="1"/>
    <col min="14349" max="14349" width="14.5" style="1006" customWidth="1"/>
    <col min="14350" max="14350" width="54.5" style="1006" customWidth="1"/>
    <col min="14351" max="14593" width="8.5" style="1006"/>
    <col min="14594" max="14594" width="26.5" style="1006" customWidth="1"/>
    <col min="14595" max="14595" width="19.33203125" style="1006" customWidth="1"/>
    <col min="14596" max="14596" width="19.5" style="1006" bestFit="1" customWidth="1"/>
    <col min="14597" max="14597" width="21" style="1006" bestFit="1" customWidth="1"/>
    <col min="14598" max="14598" width="18.5" style="1006" bestFit="1" customWidth="1"/>
    <col min="14599" max="14599" width="9.33203125" style="1006" customWidth="1"/>
    <col min="14600" max="14600" width="11.5" style="1006" customWidth="1"/>
    <col min="14601" max="14601" width="13.5" style="1006" customWidth="1"/>
    <col min="14602" max="14603" width="18.5" style="1006" customWidth="1"/>
    <col min="14604" max="14604" width="11.5" style="1006" customWidth="1"/>
    <col min="14605" max="14605" width="14.5" style="1006" customWidth="1"/>
    <col min="14606" max="14606" width="54.5" style="1006" customWidth="1"/>
    <col min="14607" max="14849" width="8.5" style="1006"/>
    <col min="14850" max="14850" width="26.5" style="1006" customWidth="1"/>
    <col min="14851" max="14851" width="19.33203125" style="1006" customWidth="1"/>
    <col min="14852" max="14852" width="19.5" style="1006" bestFit="1" customWidth="1"/>
    <col min="14853" max="14853" width="21" style="1006" bestFit="1" customWidth="1"/>
    <col min="14854" max="14854" width="18.5" style="1006" bestFit="1" customWidth="1"/>
    <col min="14855" max="14855" width="9.33203125" style="1006" customWidth="1"/>
    <col min="14856" max="14856" width="11.5" style="1006" customWidth="1"/>
    <col min="14857" max="14857" width="13.5" style="1006" customWidth="1"/>
    <col min="14858" max="14859" width="18.5" style="1006" customWidth="1"/>
    <col min="14860" max="14860" width="11.5" style="1006" customWidth="1"/>
    <col min="14861" max="14861" width="14.5" style="1006" customWidth="1"/>
    <col min="14862" max="14862" width="54.5" style="1006" customWidth="1"/>
    <col min="14863" max="15105" width="8.5" style="1006"/>
    <col min="15106" max="15106" width="26.5" style="1006" customWidth="1"/>
    <col min="15107" max="15107" width="19.33203125" style="1006" customWidth="1"/>
    <col min="15108" max="15108" width="19.5" style="1006" bestFit="1" customWidth="1"/>
    <col min="15109" max="15109" width="21" style="1006" bestFit="1" customWidth="1"/>
    <col min="15110" max="15110" width="18.5" style="1006" bestFit="1" customWidth="1"/>
    <col min="15111" max="15111" width="9.33203125" style="1006" customWidth="1"/>
    <col min="15112" max="15112" width="11.5" style="1006" customWidth="1"/>
    <col min="15113" max="15113" width="13.5" style="1006" customWidth="1"/>
    <col min="15114" max="15115" width="18.5" style="1006" customWidth="1"/>
    <col min="15116" max="15116" width="11.5" style="1006" customWidth="1"/>
    <col min="15117" max="15117" width="14.5" style="1006" customWidth="1"/>
    <col min="15118" max="15118" width="54.5" style="1006" customWidth="1"/>
    <col min="15119" max="15361" width="8.5" style="1006"/>
    <col min="15362" max="15362" width="26.5" style="1006" customWidth="1"/>
    <col min="15363" max="15363" width="19.33203125" style="1006" customWidth="1"/>
    <col min="15364" max="15364" width="19.5" style="1006" bestFit="1" customWidth="1"/>
    <col min="15365" max="15365" width="21" style="1006" bestFit="1" customWidth="1"/>
    <col min="15366" max="15366" width="18.5" style="1006" bestFit="1" customWidth="1"/>
    <col min="15367" max="15367" width="9.33203125" style="1006" customWidth="1"/>
    <col min="15368" max="15368" width="11.5" style="1006" customWidth="1"/>
    <col min="15369" max="15369" width="13.5" style="1006" customWidth="1"/>
    <col min="15370" max="15371" width="18.5" style="1006" customWidth="1"/>
    <col min="15372" max="15372" width="11.5" style="1006" customWidth="1"/>
    <col min="15373" max="15373" width="14.5" style="1006" customWidth="1"/>
    <col min="15374" max="15374" width="54.5" style="1006" customWidth="1"/>
    <col min="15375" max="15617" width="8.5" style="1006"/>
    <col min="15618" max="15618" width="26.5" style="1006" customWidth="1"/>
    <col min="15619" max="15619" width="19.33203125" style="1006" customWidth="1"/>
    <col min="15620" max="15620" width="19.5" style="1006" bestFit="1" customWidth="1"/>
    <col min="15621" max="15621" width="21" style="1006" bestFit="1" customWidth="1"/>
    <col min="15622" max="15622" width="18.5" style="1006" bestFit="1" customWidth="1"/>
    <col min="15623" max="15623" width="9.33203125" style="1006" customWidth="1"/>
    <col min="15624" max="15624" width="11.5" style="1006" customWidth="1"/>
    <col min="15625" max="15625" width="13.5" style="1006" customWidth="1"/>
    <col min="15626" max="15627" width="18.5" style="1006" customWidth="1"/>
    <col min="15628" max="15628" width="11.5" style="1006" customWidth="1"/>
    <col min="15629" max="15629" width="14.5" style="1006" customWidth="1"/>
    <col min="15630" max="15630" width="54.5" style="1006" customWidth="1"/>
    <col min="15631" max="15873" width="8.5" style="1006"/>
    <col min="15874" max="15874" width="26.5" style="1006" customWidth="1"/>
    <col min="15875" max="15875" width="19.33203125" style="1006" customWidth="1"/>
    <col min="15876" max="15876" width="19.5" style="1006" bestFit="1" customWidth="1"/>
    <col min="15877" max="15877" width="21" style="1006" bestFit="1" customWidth="1"/>
    <col min="15878" max="15878" width="18.5" style="1006" bestFit="1" customWidth="1"/>
    <col min="15879" max="15879" width="9.33203125" style="1006" customWidth="1"/>
    <col min="15880" max="15880" width="11.5" style="1006" customWidth="1"/>
    <col min="15881" max="15881" width="13.5" style="1006" customWidth="1"/>
    <col min="15882" max="15883" width="18.5" style="1006" customWidth="1"/>
    <col min="15884" max="15884" width="11.5" style="1006" customWidth="1"/>
    <col min="15885" max="15885" width="14.5" style="1006" customWidth="1"/>
    <col min="15886" max="15886" width="54.5" style="1006" customWidth="1"/>
    <col min="15887" max="16129" width="8.5" style="1006"/>
    <col min="16130" max="16130" width="26.5" style="1006" customWidth="1"/>
    <col min="16131" max="16131" width="19.33203125" style="1006" customWidth="1"/>
    <col min="16132" max="16132" width="19.5" style="1006" bestFit="1" customWidth="1"/>
    <col min="16133" max="16133" width="21" style="1006" bestFit="1" customWidth="1"/>
    <col min="16134" max="16134" width="18.5" style="1006" bestFit="1" customWidth="1"/>
    <col min="16135" max="16135" width="9.33203125" style="1006" customWidth="1"/>
    <col min="16136" max="16136" width="11.5" style="1006" customWidth="1"/>
    <col min="16137" max="16137" width="13.5" style="1006" customWidth="1"/>
    <col min="16138" max="16139" width="18.5" style="1006" customWidth="1"/>
    <col min="16140" max="16140" width="11.5" style="1006" customWidth="1"/>
    <col min="16141" max="16141" width="14.5" style="1006" customWidth="1"/>
    <col min="16142" max="16142" width="54.5" style="1006" customWidth="1"/>
    <col min="16143" max="16384" width="8.5" style="1006"/>
  </cols>
  <sheetData>
    <row r="1" spans="2:15" ht="15" customHeight="1">
      <c r="B1" s="1645" t="s">
        <v>1398</v>
      </c>
      <c r="C1" s="1645"/>
      <c r="D1" s="1645"/>
      <c r="E1" s="1645"/>
      <c r="F1" s="1645"/>
      <c r="G1" s="1645"/>
      <c r="H1" s="1645"/>
      <c r="I1" s="1645"/>
      <c r="J1" s="1645"/>
      <c r="K1" s="1645"/>
      <c r="L1" s="1645"/>
      <c r="M1" s="1645"/>
      <c r="N1" s="1645"/>
    </row>
    <row r="2" spans="2:15" ht="15.75" customHeight="1">
      <c r="B2" s="1644" t="s">
        <v>1405</v>
      </c>
      <c r="C2" s="1644"/>
      <c r="D2" s="1644"/>
      <c r="E2" s="1644"/>
      <c r="F2" s="1644"/>
      <c r="G2" s="1644"/>
      <c r="H2" s="1644"/>
      <c r="I2" s="1644"/>
      <c r="J2" s="1644"/>
      <c r="K2" s="1644"/>
      <c r="L2" s="1644"/>
      <c r="M2" s="1644"/>
      <c r="N2" s="1644"/>
    </row>
    <row r="3" spans="2:15" ht="15" customHeight="1">
      <c r="B3" s="1645" t="s">
        <v>1406</v>
      </c>
      <c r="C3" s="1645"/>
      <c r="D3" s="1645"/>
      <c r="E3" s="1645"/>
      <c r="F3" s="1645"/>
      <c r="G3" s="1645"/>
      <c r="H3" s="1645"/>
      <c r="I3" s="1645"/>
      <c r="J3" s="1645"/>
      <c r="K3" s="1645"/>
      <c r="L3" s="1645"/>
      <c r="M3" s="1645"/>
      <c r="N3" s="1645"/>
    </row>
    <row r="4" spans="2:15" ht="15" customHeight="1">
      <c r="B4" s="1645" t="s">
        <v>1407</v>
      </c>
      <c r="C4" s="1645"/>
      <c r="D4" s="1645"/>
      <c r="E4" s="1645"/>
      <c r="F4" s="1645"/>
      <c r="G4" s="1645"/>
      <c r="H4" s="1645"/>
      <c r="I4" s="1645"/>
      <c r="J4" s="1645"/>
      <c r="K4" s="1645"/>
      <c r="L4" s="1645"/>
      <c r="M4" s="1645"/>
      <c r="N4" s="1645"/>
    </row>
    <row r="5" spans="2:15" ht="15" customHeight="1">
      <c r="B5" s="1645" t="s">
        <v>1408</v>
      </c>
      <c r="C5" s="1645"/>
      <c r="D5" s="1645"/>
      <c r="E5" s="1645"/>
      <c r="F5" s="1645"/>
      <c r="G5" s="1645"/>
      <c r="H5" s="1645"/>
      <c r="I5" s="1645"/>
      <c r="J5" s="1645"/>
      <c r="K5" s="1645"/>
      <c r="L5" s="1645"/>
      <c r="M5" s="1645"/>
      <c r="N5" s="1645"/>
    </row>
    <row r="6" spans="2:15" s="1010" customFormat="1" ht="15" customHeight="1">
      <c r="B6" s="1007" t="s">
        <v>475</v>
      </c>
      <c r="C6" s="1007" t="s">
        <v>454</v>
      </c>
      <c r="D6" s="1007" t="s">
        <v>138</v>
      </c>
      <c r="E6" s="1007" t="s">
        <v>1409</v>
      </c>
      <c r="F6" s="1007" t="s">
        <v>1410</v>
      </c>
      <c r="G6" s="1007" t="s">
        <v>1411</v>
      </c>
      <c r="H6" s="1007" t="s">
        <v>1412</v>
      </c>
      <c r="I6" s="1008" t="s">
        <v>749</v>
      </c>
      <c r="J6" s="1009" t="s">
        <v>1413</v>
      </c>
      <c r="K6" s="1009" t="s">
        <v>1414</v>
      </c>
      <c r="L6" s="1008" t="s">
        <v>750</v>
      </c>
      <c r="M6" s="1008" t="s">
        <v>1415</v>
      </c>
      <c r="N6" s="1007" t="s">
        <v>1416</v>
      </c>
    </row>
    <row r="7" spans="2:15" s="1016" customFormat="1" ht="15" customHeight="1">
      <c r="B7" s="1011" t="s">
        <v>1417</v>
      </c>
      <c r="C7" s="1012"/>
      <c r="D7" s="1012"/>
      <c r="E7" s="1012"/>
      <c r="F7" s="1011" t="s">
        <v>1418</v>
      </c>
      <c r="G7" s="1012"/>
      <c r="H7" s="1012"/>
      <c r="I7" s="1013"/>
      <c r="J7" s="1014"/>
      <c r="K7" s="1014"/>
      <c r="L7" s="1013"/>
      <c r="M7" s="1015">
        <v>0</v>
      </c>
      <c r="N7" s="1011" t="s">
        <v>1419</v>
      </c>
    </row>
    <row r="8" spans="2:15" s="1016" customFormat="1" ht="15" customHeight="1">
      <c r="B8" s="1017" t="s">
        <v>1420</v>
      </c>
      <c r="C8" s="1017" t="s">
        <v>1421</v>
      </c>
      <c r="D8" s="1018">
        <v>42552</v>
      </c>
      <c r="E8" s="1019">
        <v>42552</v>
      </c>
      <c r="F8" s="1017" t="s">
        <v>1422</v>
      </c>
      <c r="G8" s="1017" t="s">
        <v>1423</v>
      </c>
      <c r="H8" s="1017"/>
      <c r="I8" s="1020">
        <v>150</v>
      </c>
      <c r="J8" s="1021">
        <v>150</v>
      </c>
      <c r="K8" s="1021">
        <f>+I8-J8</f>
        <v>0</v>
      </c>
      <c r="L8" s="1020">
        <v>0</v>
      </c>
      <c r="M8" s="1020">
        <v>150</v>
      </c>
      <c r="N8" s="1022" t="s">
        <v>1424</v>
      </c>
    </row>
    <row r="9" spans="2:15" s="1016" customFormat="1" ht="15" customHeight="1">
      <c r="B9" s="1017" t="s">
        <v>1420</v>
      </c>
      <c r="C9" s="1017" t="s">
        <v>1421</v>
      </c>
      <c r="D9" s="1018">
        <v>42552</v>
      </c>
      <c r="E9" s="1019">
        <v>42552</v>
      </c>
      <c r="F9" s="1017" t="s">
        <v>1422</v>
      </c>
      <c r="G9" s="1017" t="s">
        <v>1423</v>
      </c>
      <c r="H9" s="1017"/>
      <c r="I9" s="1020">
        <v>43000</v>
      </c>
      <c r="J9" s="1021">
        <v>43000</v>
      </c>
      <c r="K9" s="1021">
        <f t="shared" ref="K9:K48" si="0">+I9-J9</f>
        <v>0</v>
      </c>
      <c r="L9" s="1020">
        <v>0</v>
      </c>
      <c r="M9" s="1020">
        <v>43150</v>
      </c>
      <c r="N9" s="1022" t="s">
        <v>1425</v>
      </c>
    </row>
    <row r="10" spans="2:15" s="1016" customFormat="1" ht="15" customHeight="1">
      <c r="B10" s="1017" t="s">
        <v>1420</v>
      </c>
      <c r="C10" s="1017" t="s">
        <v>1421</v>
      </c>
      <c r="D10" s="1018">
        <v>42552</v>
      </c>
      <c r="E10" s="1019">
        <v>42552</v>
      </c>
      <c r="F10" s="1017" t="s">
        <v>1422</v>
      </c>
      <c r="G10" s="1017" t="s">
        <v>1423</v>
      </c>
      <c r="H10" s="1017"/>
      <c r="I10" s="1020">
        <v>10000</v>
      </c>
      <c r="J10" s="1021">
        <f t="shared" ref="J10:J17" si="1">+I10</f>
        <v>10000</v>
      </c>
      <c r="K10" s="1021">
        <f t="shared" si="0"/>
        <v>0</v>
      </c>
      <c r="L10" s="1020">
        <v>0</v>
      </c>
      <c r="M10" s="1020">
        <v>53150</v>
      </c>
      <c r="N10" s="1022" t="s">
        <v>1426</v>
      </c>
    </row>
    <row r="11" spans="2:15" s="1016" customFormat="1" ht="15" customHeight="1">
      <c r="B11" s="1017" t="s">
        <v>1420</v>
      </c>
      <c r="C11" s="1017" t="s">
        <v>1421</v>
      </c>
      <c r="D11" s="1018">
        <v>42552</v>
      </c>
      <c r="E11" s="1019">
        <v>42552</v>
      </c>
      <c r="F11" s="1017" t="s">
        <v>1422</v>
      </c>
      <c r="G11" s="1017" t="s">
        <v>1423</v>
      </c>
      <c r="H11" s="1017"/>
      <c r="I11" s="1020">
        <v>5000</v>
      </c>
      <c r="J11" s="1021">
        <f t="shared" si="1"/>
        <v>5000</v>
      </c>
      <c r="K11" s="1021">
        <f t="shared" si="0"/>
        <v>0</v>
      </c>
      <c r="L11" s="1020">
        <v>0</v>
      </c>
      <c r="M11" s="1020">
        <v>58150</v>
      </c>
      <c r="N11" s="1022" t="s">
        <v>1427</v>
      </c>
    </row>
    <row r="12" spans="2:15" s="1016" customFormat="1" ht="15" customHeight="1">
      <c r="B12" s="1017" t="s">
        <v>1420</v>
      </c>
      <c r="C12" s="1017" t="s">
        <v>1421</v>
      </c>
      <c r="D12" s="1018">
        <v>42552</v>
      </c>
      <c r="E12" s="1019">
        <v>42552</v>
      </c>
      <c r="F12" s="1017" t="s">
        <v>1422</v>
      </c>
      <c r="G12" s="1017" t="s">
        <v>1423</v>
      </c>
      <c r="H12" s="1017"/>
      <c r="I12" s="1020">
        <v>5000</v>
      </c>
      <c r="J12" s="1021">
        <f t="shared" si="1"/>
        <v>5000</v>
      </c>
      <c r="K12" s="1021">
        <f t="shared" si="0"/>
        <v>0</v>
      </c>
      <c r="L12" s="1020">
        <v>0</v>
      </c>
      <c r="M12" s="1020">
        <v>63150</v>
      </c>
      <c r="N12" s="1022" t="s">
        <v>1428</v>
      </c>
    </row>
    <row r="13" spans="2:15" s="1016" customFormat="1" ht="15" customHeight="1">
      <c r="B13" s="1017" t="s">
        <v>1420</v>
      </c>
      <c r="C13" s="1017" t="s">
        <v>1421</v>
      </c>
      <c r="D13" s="1018">
        <v>42552</v>
      </c>
      <c r="E13" s="1019">
        <v>42552</v>
      </c>
      <c r="F13" s="1017" t="s">
        <v>1422</v>
      </c>
      <c r="G13" s="1017" t="s">
        <v>1423</v>
      </c>
      <c r="H13" s="1017"/>
      <c r="I13" s="1020">
        <v>5000</v>
      </c>
      <c r="J13" s="1021">
        <f t="shared" si="1"/>
        <v>5000</v>
      </c>
      <c r="K13" s="1021">
        <f t="shared" si="0"/>
        <v>0</v>
      </c>
      <c r="L13" s="1020">
        <v>0</v>
      </c>
      <c r="M13" s="1020">
        <v>68150</v>
      </c>
      <c r="N13" s="1022" t="s">
        <v>1429</v>
      </c>
    </row>
    <row r="14" spans="2:15" s="1029" customFormat="1" ht="15" customHeight="1">
      <c r="B14" s="1023" t="s">
        <v>1420</v>
      </c>
      <c r="C14" s="1023" t="s">
        <v>1421</v>
      </c>
      <c r="D14" s="1024">
        <v>42552</v>
      </c>
      <c r="E14" s="1025">
        <v>42552</v>
      </c>
      <c r="F14" s="1023" t="s">
        <v>1422</v>
      </c>
      <c r="G14" s="1023" t="s">
        <v>1423</v>
      </c>
      <c r="H14" s="1023"/>
      <c r="I14" s="1026">
        <v>10945</v>
      </c>
      <c r="J14" s="1027">
        <f t="shared" si="1"/>
        <v>10945</v>
      </c>
      <c r="K14" s="1027">
        <f t="shared" si="0"/>
        <v>0</v>
      </c>
      <c r="L14" s="1026">
        <v>0</v>
      </c>
      <c r="M14" s="1026">
        <v>79095</v>
      </c>
      <c r="N14" s="1028" t="s">
        <v>1430</v>
      </c>
      <c r="O14" s="1029" t="s">
        <v>1431</v>
      </c>
    </row>
    <row r="15" spans="2:15" s="1016" customFormat="1" ht="15" customHeight="1">
      <c r="B15" s="1017" t="s">
        <v>1420</v>
      </c>
      <c r="C15" s="1017" t="s">
        <v>1421</v>
      </c>
      <c r="D15" s="1018">
        <v>42552</v>
      </c>
      <c r="E15" s="1019">
        <v>42552</v>
      </c>
      <c r="F15" s="1017" t="s">
        <v>1422</v>
      </c>
      <c r="G15" s="1017" t="s">
        <v>1423</v>
      </c>
      <c r="H15" s="1017"/>
      <c r="I15" s="1020">
        <v>11974.5</v>
      </c>
      <c r="J15" s="1021">
        <f t="shared" si="1"/>
        <v>11974.5</v>
      </c>
      <c r="K15" s="1021">
        <f t="shared" si="0"/>
        <v>0</v>
      </c>
      <c r="L15" s="1020">
        <v>0</v>
      </c>
      <c r="M15" s="1020">
        <v>91069.5</v>
      </c>
      <c r="N15" s="1022" t="s">
        <v>1432</v>
      </c>
    </row>
    <row r="16" spans="2:15" s="1016" customFormat="1" ht="15" customHeight="1">
      <c r="B16" s="1017" t="s">
        <v>1420</v>
      </c>
      <c r="C16" s="1017" t="s">
        <v>1421</v>
      </c>
      <c r="D16" s="1018">
        <v>42552</v>
      </c>
      <c r="E16" s="1019">
        <v>42552</v>
      </c>
      <c r="F16" s="1017" t="s">
        <v>1422</v>
      </c>
      <c r="G16" s="1017" t="s">
        <v>1423</v>
      </c>
      <c r="H16" s="1017"/>
      <c r="I16" s="1020">
        <v>12961.73</v>
      </c>
      <c r="J16" s="1021">
        <f t="shared" si="1"/>
        <v>12961.73</v>
      </c>
      <c r="K16" s="1021">
        <f t="shared" si="0"/>
        <v>0</v>
      </c>
      <c r="L16" s="1020">
        <v>0</v>
      </c>
      <c r="M16" s="1020">
        <v>104031.23</v>
      </c>
      <c r="N16" s="1022" t="s">
        <v>1433</v>
      </c>
    </row>
    <row r="17" spans="2:15" s="1016" customFormat="1" ht="15" customHeight="1">
      <c r="B17" s="1017" t="s">
        <v>1420</v>
      </c>
      <c r="C17" s="1017" t="s">
        <v>1421</v>
      </c>
      <c r="D17" s="1018">
        <v>42552</v>
      </c>
      <c r="E17" s="1019">
        <v>42552</v>
      </c>
      <c r="F17" s="1017" t="s">
        <v>1422</v>
      </c>
      <c r="G17" s="1017" t="s">
        <v>1423</v>
      </c>
      <c r="H17" s="1017"/>
      <c r="I17" s="1020">
        <v>1330</v>
      </c>
      <c r="J17" s="1021">
        <f t="shared" si="1"/>
        <v>1330</v>
      </c>
      <c r="K17" s="1021">
        <f t="shared" si="0"/>
        <v>0</v>
      </c>
      <c r="L17" s="1020">
        <v>0</v>
      </c>
      <c r="M17" s="1020">
        <v>105361.23</v>
      </c>
      <c r="N17" s="1022" t="s">
        <v>1434</v>
      </c>
    </row>
    <row r="18" spans="2:15" s="1029" customFormat="1" ht="15" customHeight="1">
      <c r="B18" s="1023" t="s">
        <v>1420</v>
      </c>
      <c r="C18" s="1023" t="s">
        <v>1421</v>
      </c>
      <c r="D18" s="1024">
        <v>42552</v>
      </c>
      <c r="E18" s="1025">
        <v>42552</v>
      </c>
      <c r="F18" s="1023" t="s">
        <v>1422</v>
      </c>
      <c r="G18" s="1023" t="s">
        <v>1423</v>
      </c>
      <c r="H18" s="1023"/>
      <c r="I18" s="1026">
        <f>4387.5+3288.82</f>
        <v>7676.32</v>
      </c>
      <c r="J18" s="1027">
        <f>10227.6-J75</f>
        <v>7676.32</v>
      </c>
      <c r="K18" s="1027">
        <f t="shared" si="0"/>
        <v>0</v>
      </c>
      <c r="L18" s="1026">
        <v>0</v>
      </c>
      <c r="M18" s="1026">
        <v>109748.73</v>
      </c>
      <c r="N18" s="1028" t="s">
        <v>1435</v>
      </c>
      <c r="O18" s="1029" t="s">
        <v>1436</v>
      </c>
    </row>
    <row r="19" spans="2:15" s="1016" customFormat="1" ht="15" customHeight="1">
      <c r="B19" s="1017" t="s">
        <v>1420</v>
      </c>
      <c r="C19" s="1017" t="s">
        <v>1421</v>
      </c>
      <c r="D19" s="1018">
        <v>42552</v>
      </c>
      <c r="E19" s="1019">
        <v>42552</v>
      </c>
      <c r="F19" s="1017" t="s">
        <v>1422</v>
      </c>
      <c r="G19" s="1017" t="s">
        <v>1423</v>
      </c>
      <c r="H19" s="1017"/>
      <c r="I19" s="1020">
        <v>6850</v>
      </c>
      <c r="J19" s="1021">
        <f>+I19</f>
        <v>6850</v>
      </c>
      <c r="K19" s="1021">
        <f t="shared" si="0"/>
        <v>0</v>
      </c>
      <c r="L19" s="1020">
        <v>0</v>
      </c>
      <c r="M19" s="1020">
        <v>116598.73</v>
      </c>
      <c r="N19" s="1022" t="s">
        <v>1437</v>
      </c>
    </row>
    <row r="20" spans="2:15" s="1016" customFormat="1" ht="15" customHeight="1">
      <c r="B20" s="1017" t="s">
        <v>1420</v>
      </c>
      <c r="C20" s="1017" t="s">
        <v>1421</v>
      </c>
      <c r="D20" s="1018">
        <v>42552</v>
      </c>
      <c r="E20" s="1019">
        <v>42552</v>
      </c>
      <c r="F20" s="1017" t="s">
        <v>1422</v>
      </c>
      <c r="G20" s="1017" t="s">
        <v>1423</v>
      </c>
      <c r="H20" s="1017"/>
      <c r="I20" s="1020">
        <v>3979</v>
      </c>
      <c r="J20" s="1021">
        <f t="shared" ref="J20:J47" si="2">+I20</f>
        <v>3979</v>
      </c>
      <c r="K20" s="1021">
        <f t="shared" si="0"/>
        <v>0</v>
      </c>
      <c r="L20" s="1020">
        <v>0</v>
      </c>
      <c r="M20" s="1020">
        <v>120577.73</v>
      </c>
      <c r="N20" s="1022" t="s">
        <v>1438</v>
      </c>
    </row>
    <row r="21" spans="2:15" s="1016" customFormat="1" ht="15" customHeight="1">
      <c r="B21" s="1017" t="s">
        <v>1420</v>
      </c>
      <c r="C21" s="1017" t="s">
        <v>1421</v>
      </c>
      <c r="D21" s="1018">
        <v>42552</v>
      </c>
      <c r="E21" s="1019">
        <v>42552</v>
      </c>
      <c r="F21" s="1017" t="s">
        <v>1422</v>
      </c>
      <c r="G21" s="1017" t="s">
        <v>1423</v>
      </c>
      <c r="H21" s="1017"/>
      <c r="I21" s="1020">
        <v>62.5</v>
      </c>
      <c r="J21" s="1021">
        <f t="shared" si="2"/>
        <v>62.5</v>
      </c>
      <c r="K21" s="1021">
        <f t="shared" si="0"/>
        <v>0</v>
      </c>
      <c r="L21" s="1020">
        <v>0</v>
      </c>
      <c r="M21" s="1020">
        <v>120640.23</v>
      </c>
      <c r="N21" s="1022" t="s">
        <v>1439</v>
      </c>
    </row>
    <row r="22" spans="2:15" s="1016" customFormat="1" ht="15" customHeight="1">
      <c r="B22" s="1017" t="s">
        <v>1420</v>
      </c>
      <c r="C22" s="1017" t="s">
        <v>1421</v>
      </c>
      <c r="D22" s="1018">
        <v>42552</v>
      </c>
      <c r="E22" s="1019">
        <v>42552</v>
      </c>
      <c r="F22" s="1017" t="s">
        <v>1422</v>
      </c>
      <c r="G22" s="1017" t="s">
        <v>1423</v>
      </c>
      <c r="H22" s="1017"/>
      <c r="I22" s="1020">
        <v>13</v>
      </c>
      <c r="J22" s="1021">
        <f t="shared" si="2"/>
        <v>13</v>
      </c>
      <c r="K22" s="1021">
        <f t="shared" si="0"/>
        <v>0</v>
      </c>
      <c r="L22" s="1020">
        <v>0</v>
      </c>
      <c r="M22" s="1020">
        <v>120653.23</v>
      </c>
      <c r="N22" s="1022" t="s">
        <v>1440</v>
      </c>
    </row>
    <row r="23" spans="2:15" s="1016" customFormat="1" ht="15" customHeight="1">
      <c r="B23" s="1017" t="s">
        <v>1420</v>
      </c>
      <c r="C23" s="1017" t="s">
        <v>1421</v>
      </c>
      <c r="D23" s="1018">
        <v>42552</v>
      </c>
      <c r="E23" s="1019">
        <v>42552</v>
      </c>
      <c r="F23" s="1017" t="s">
        <v>1422</v>
      </c>
      <c r="G23" s="1017" t="s">
        <v>1423</v>
      </c>
      <c r="H23" s="1017"/>
      <c r="I23" s="1020">
        <v>85</v>
      </c>
      <c r="J23" s="1021">
        <f t="shared" si="2"/>
        <v>85</v>
      </c>
      <c r="K23" s="1021">
        <f t="shared" si="0"/>
        <v>0</v>
      </c>
      <c r="L23" s="1020">
        <v>0</v>
      </c>
      <c r="M23" s="1020">
        <v>120738.23</v>
      </c>
      <c r="N23" s="1022" t="s">
        <v>1441</v>
      </c>
    </row>
    <row r="24" spans="2:15" s="1016" customFormat="1" ht="15" customHeight="1">
      <c r="B24" s="1017" t="s">
        <v>1420</v>
      </c>
      <c r="C24" s="1017" t="s">
        <v>1421</v>
      </c>
      <c r="D24" s="1018">
        <v>42552</v>
      </c>
      <c r="E24" s="1019">
        <v>42552</v>
      </c>
      <c r="F24" s="1017" t="s">
        <v>1422</v>
      </c>
      <c r="G24" s="1017" t="s">
        <v>1423</v>
      </c>
      <c r="H24" s="1017"/>
      <c r="I24" s="1020">
        <v>50</v>
      </c>
      <c r="J24" s="1021">
        <f t="shared" si="2"/>
        <v>50</v>
      </c>
      <c r="K24" s="1021">
        <f t="shared" si="0"/>
        <v>0</v>
      </c>
      <c r="L24" s="1020">
        <v>0</v>
      </c>
      <c r="M24" s="1020">
        <v>120788.23</v>
      </c>
      <c r="N24" s="1022" t="s">
        <v>1442</v>
      </c>
    </row>
    <row r="25" spans="2:15" s="1016" customFormat="1" ht="15" customHeight="1">
      <c r="B25" s="1017" t="s">
        <v>1420</v>
      </c>
      <c r="C25" s="1017" t="s">
        <v>1421</v>
      </c>
      <c r="D25" s="1018">
        <v>42552</v>
      </c>
      <c r="E25" s="1019">
        <v>42552</v>
      </c>
      <c r="F25" s="1017" t="s">
        <v>1422</v>
      </c>
      <c r="G25" s="1017" t="s">
        <v>1423</v>
      </c>
      <c r="H25" s="1017"/>
      <c r="I25" s="1020">
        <v>3934</v>
      </c>
      <c r="J25" s="1021">
        <f t="shared" si="2"/>
        <v>3934</v>
      </c>
      <c r="K25" s="1021">
        <f t="shared" si="0"/>
        <v>0</v>
      </c>
      <c r="L25" s="1020">
        <v>0</v>
      </c>
      <c r="M25" s="1020">
        <v>124722.23</v>
      </c>
      <c r="N25" s="1022" t="s">
        <v>1443</v>
      </c>
    </row>
    <row r="26" spans="2:15" s="1016" customFormat="1" ht="15" customHeight="1">
      <c r="B26" s="1017" t="s">
        <v>1420</v>
      </c>
      <c r="C26" s="1017" t="s">
        <v>1421</v>
      </c>
      <c r="D26" s="1018">
        <v>42552</v>
      </c>
      <c r="E26" s="1019">
        <v>42552</v>
      </c>
      <c r="F26" s="1017" t="s">
        <v>1422</v>
      </c>
      <c r="G26" s="1017" t="s">
        <v>1423</v>
      </c>
      <c r="H26" s="1017"/>
      <c r="I26" s="1020">
        <v>3934</v>
      </c>
      <c r="J26" s="1021">
        <f t="shared" si="2"/>
        <v>3934</v>
      </c>
      <c r="K26" s="1021">
        <f t="shared" si="0"/>
        <v>0</v>
      </c>
      <c r="L26" s="1020">
        <v>0</v>
      </c>
      <c r="M26" s="1020">
        <v>128656.23</v>
      </c>
      <c r="N26" s="1022" t="s">
        <v>1444</v>
      </c>
    </row>
    <row r="27" spans="2:15" s="1016" customFormat="1" ht="15" customHeight="1">
      <c r="B27" s="1017" t="s">
        <v>1420</v>
      </c>
      <c r="C27" s="1017" t="s">
        <v>1421</v>
      </c>
      <c r="D27" s="1018">
        <v>42552</v>
      </c>
      <c r="E27" s="1019">
        <v>42552</v>
      </c>
      <c r="F27" s="1017" t="s">
        <v>1422</v>
      </c>
      <c r="G27" s="1017" t="s">
        <v>1423</v>
      </c>
      <c r="H27" s="1017"/>
      <c r="I27" s="1020">
        <v>500</v>
      </c>
      <c r="J27" s="1021">
        <f t="shared" si="2"/>
        <v>500</v>
      </c>
      <c r="K27" s="1021">
        <f t="shared" si="0"/>
        <v>0</v>
      </c>
      <c r="L27" s="1020">
        <v>0</v>
      </c>
      <c r="M27" s="1020">
        <v>129156.23</v>
      </c>
      <c r="N27" s="1022" t="s">
        <v>1445</v>
      </c>
    </row>
    <row r="28" spans="2:15" s="1016" customFormat="1" ht="15" customHeight="1">
      <c r="B28" s="1017" t="s">
        <v>1420</v>
      </c>
      <c r="C28" s="1017" t="s">
        <v>1421</v>
      </c>
      <c r="D28" s="1018">
        <v>42552</v>
      </c>
      <c r="E28" s="1019">
        <v>42552</v>
      </c>
      <c r="F28" s="1017" t="s">
        <v>1422</v>
      </c>
      <c r="G28" s="1017" t="s">
        <v>1423</v>
      </c>
      <c r="H28" s="1017"/>
      <c r="I28" s="1020">
        <v>500</v>
      </c>
      <c r="J28" s="1021">
        <f t="shared" si="2"/>
        <v>500</v>
      </c>
      <c r="K28" s="1021">
        <f t="shared" si="0"/>
        <v>0</v>
      </c>
      <c r="L28" s="1020">
        <v>0</v>
      </c>
      <c r="M28" s="1020">
        <v>129656.23</v>
      </c>
      <c r="N28" s="1022" t="s">
        <v>1446</v>
      </c>
    </row>
    <row r="29" spans="2:15" s="1016" customFormat="1" ht="15" customHeight="1">
      <c r="B29" s="1017" t="s">
        <v>1420</v>
      </c>
      <c r="C29" s="1017" t="s">
        <v>1421</v>
      </c>
      <c r="D29" s="1018">
        <v>42552</v>
      </c>
      <c r="E29" s="1019">
        <v>42552</v>
      </c>
      <c r="F29" s="1017" t="s">
        <v>1422</v>
      </c>
      <c r="G29" s="1017" t="s">
        <v>1423</v>
      </c>
      <c r="H29" s="1017"/>
      <c r="I29" s="1020">
        <v>150</v>
      </c>
      <c r="J29" s="1021">
        <f t="shared" si="2"/>
        <v>150</v>
      </c>
      <c r="K29" s="1021">
        <f t="shared" si="0"/>
        <v>0</v>
      </c>
      <c r="L29" s="1020">
        <v>0</v>
      </c>
      <c r="M29" s="1020">
        <v>129806.23</v>
      </c>
      <c r="N29" s="1022" t="s">
        <v>1447</v>
      </c>
    </row>
    <row r="30" spans="2:15" s="1016" customFormat="1" ht="15" customHeight="1">
      <c r="B30" s="1017" t="s">
        <v>1420</v>
      </c>
      <c r="C30" s="1017" t="s">
        <v>1421</v>
      </c>
      <c r="D30" s="1018">
        <v>42552</v>
      </c>
      <c r="E30" s="1019">
        <v>42552</v>
      </c>
      <c r="F30" s="1017" t="s">
        <v>1422</v>
      </c>
      <c r="G30" s="1017" t="s">
        <v>1423</v>
      </c>
      <c r="H30" s="1017"/>
      <c r="I30" s="1020">
        <v>100</v>
      </c>
      <c r="J30" s="1021">
        <f t="shared" si="2"/>
        <v>100</v>
      </c>
      <c r="K30" s="1021">
        <f t="shared" si="0"/>
        <v>0</v>
      </c>
      <c r="L30" s="1020">
        <v>0</v>
      </c>
      <c r="M30" s="1020">
        <v>129906.23</v>
      </c>
      <c r="N30" s="1022" t="s">
        <v>1448</v>
      </c>
    </row>
    <row r="31" spans="2:15" s="1016" customFormat="1" ht="15" customHeight="1">
      <c r="B31" s="1017" t="s">
        <v>1420</v>
      </c>
      <c r="C31" s="1017" t="s">
        <v>1421</v>
      </c>
      <c r="D31" s="1018">
        <v>42552</v>
      </c>
      <c r="E31" s="1019">
        <v>42552</v>
      </c>
      <c r="F31" s="1017" t="s">
        <v>1422</v>
      </c>
      <c r="G31" s="1017" t="s">
        <v>1423</v>
      </c>
      <c r="H31" s="1017"/>
      <c r="I31" s="1020">
        <v>100</v>
      </c>
      <c r="J31" s="1021">
        <f t="shared" si="2"/>
        <v>100</v>
      </c>
      <c r="K31" s="1021">
        <f t="shared" si="0"/>
        <v>0</v>
      </c>
      <c r="L31" s="1020">
        <v>0</v>
      </c>
      <c r="M31" s="1020">
        <v>130006.23</v>
      </c>
      <c r="N31" s="1022" t="s">
        <v>1449</v>
      </c>
    </row>
    <row r="32" spans="2:15" s="1016" customFormat="1" ht="15" customHeight="1">
      <c r="B32" s="1017" t="s">
        <v>1420</v>
      </c>
      <c r="C32" s="1017" t="s">
        <v>1421</v>
      </c>
      <c r="D32" s="1018">
        <v>42552</v>
      </c>
      <c r="E32" s="1019">
        <v>42552</v>
      </c>
      <c r="F32" s="1017" t="s">
        <v>1422</v>
      </c>
      <c r="G32" s="1017" t="s">
        <v>1423</v>
      </c>
      <c r="H32" s="1017"/>
      <c r="I32" s="1020">
        <v>100</v>
      </c>
      <c r="J32" s="1021">
        <f t="shared" si="2"/>
        <v>100</v>
      </c>
      <c r="K32" s="1021">
        <f t="shared" si="0"/>
        <v>0</v>
      </c>
      <c r="L32" s="1020">
        <v>0</v>
      </c>
      <c r="M32" s="1020">
        <v>130106.23</v>
      </c>
      <c r="N32" s="1022" t="s">
        <v>1450</v>
      </c>
    </row>
    <row r="33" spans="2:15" s="1016" customFormat="1" ht="15" customHeight="1">
      <c r="B33" s="1017" t="s">
        <v>1420</v>
      </c>
      <c r="C33" s="1017" t="s">
        <v>1421</v>
      </c>
      <c r="D33" s="1018">
        <v>42552</v>
      </c>
      <c r="E33" s="1019">
        <v>42552</v>
      </c>
      <c r="F33" s="1017" t="s">
        <v>1422</v>
      </c>
      <c r="G33" s="1017" t="s">
        <v>1423</v>
      </c>
      <c r="H33" s="1017"/>
      <c r="I33" s="1020">
        <v>75</v>
      </c>
      <c r="J33" s="1021">
        <f t="shared" si="2"/>
        <v>75</v>
      </c>
      <c r="K33" s="1021">
        <f t="shared" si="0"/>
        <v>0</v>
      </c>
      <c r="L33" s="1020">
        <v>0</v>
      </c>
      <c r="M33" s="1020">
        <v>130181.23</v>
      </c>
      <c r="N33" s="1022" t="s">
        <v>1451</v>
      </c>
    </row>
    <row r="34" spans="2:15" s="1016" customFormat="1" ht="15" customHeight="1">
      <c r="B34" s="1017" t="s">
        <v>1420</v>
      </c>
      <c r="C34" s="1017" t="s">
        <v>1421</v>
      </c>
      <c r="D34" s="1018">
        <v>42552</v>
      </c>
      <c r="E34" s="1019">
        <v>42552</v>
      </c>
      <c r="F34" s="1017" t="s">
        <v>1422</v>
      </c>
      <c r="G34" s="1017" t="s">
        <v>1423</v>
      </c>
      <c r="H34" s="1017"/>
      <c r="I34" s="1020">
        <v>50</v>
      </c>
      <c r="J34" s="1021">
        <f t="shared" si="2"/>
        <v>50</v>
      </c>
      <c r="K34" s="1021">
        <f t="shared" si="0"/>
        <v>0</v>
      </c>
      <c r="L34" s="1020">
        <v>0</v>
      </c>
      <c r="M34" s="1020">
        <v>130231.23</v>
      </c>
      <c r="N34" s="1022" t="s">
        <v>1452</v>
      </c>
    </row>
    <row r="35" spans="2:15" s="1016" customFormat="1" ht="15" customHeight="1">
      <c r="B35" s="1017" t="s">
        <v>1420</v>
      </c>
      <c r="C35" s="1017" t="s">
        <v>1421</v>
      </c>
      <c r="D35" s="1018">
        <v>42552</v>
      </c>
      <c r="E35" s="1019">
        <v>42552</v>
      </c>
      <c r="F35" s="1017" t="s">
        <v>1422</v>
      </c>
      <c r="G35" s="1017" t="s">
        <v>1423</v>
      </c>
      <c r="H35" s="1017"/>
      <c r="I35" s="1020">
        <v>25</v>
      </c>
      <c r="J35" s="1021">
        <f t="shared" si="2"/>
        <v>25</v>
      </c>
      <c r="K35" s="1021">
        <f t="shared" si="0"/>
        <v>0</v>
      </c>
      <c r="L35" s="1020">
        <v>0</v>
      </c>
      <c r="M35" s="1020">
        <v>130256.23</v>
      </c>
      <c r="N35" s="1022" t="s">
        <v>1453</v>
      </c>
    </row>
    <row r="36" spans="2:15" s="1016" customFormat="1" ht="15" customHeight="1">
      <c r="B36" s="1017" t="s">
        <v>1420</v>
      </c>
      <c r="C36" s="1017" t="s">
        <v>1421</v>
      </c>
      <c r="D36" s="1018">
        <v>42552</v>
      </c>
      <c r="E36" s="1019">
        <v>42552</v>
      </c>
      <c r="F36" s="1017" t="s">
        <v>1422</v>
      </c>
      <c r="G36" s="1017" t="s">
        <v>1423</v>
      </c>
      <c r="H36" s="1017"/>
      <c r="I36" s="1020">
        <v>25</v>
      </c>
      <c r="J36" s="1021">
        <f t="shared" si="2"/>
        <v>25</v>
      </c>
      <c r="K36" s="1021">
        <f t="shared" si="0"/>
        <v>0</v>
      </c>
      <c r="L36" s="1020">
        <v>0</v>
      </c>
      <c r="M36" s="1020">
        <v>130281.23</v>
      </c>
      <c r="N36" s="1022" t="s">
        <v>1454</v>
      </c>
    </row>
    <row r="37" spans="2:15" s="1029" customFormat="1" ht="15" customHeight="1">
      <c r="B37" s="1023" t="s">
        <v>1420</v>
      </c>
      <c r="C37" s="1023" t="s">
        <v>1421</v>
      </c>
      <c r="D37" s="1024">
        <v>42552</v>
      </c>
      <c r="E37" s="1025">
        <v>42552</v>
      </c>
      <c r="F37" s="1023" t="s">
        <v>1422</v>
      </c>
      <c r="G37" s="1023" t="s">
        <v>1423</v>
      </c>
      <c r="H37" s="1023"/>
      <c r="I37" s="1026">
        <v>31</v>
      </c>
      <c r="J37" s="1027">
        <f t="shared" si="2"/>
        <v>31</v>
      </c>
      <c r="K37" s="1027">
        <f t="shared" si="0"/>
        <v>0</v>
      </c>
      <c r="L37" s="1026">
        <v>0</v>
      </c>
      <c r="M37" s="1026">
        <v>130312.23</v>
      </c>
      <c r="N37" s="1028" t="s">
        <v>1455</v>
      </c>
      <c r="O37" s="1029" t="s">
        <v>1431</v>
      </c>
    </row>
    <row r="38" spans="2:15" s="1029" customFormat="1" ht="15" customHeight="1">
      <c r="B38" s="1023" t="s">
        <v>1420</v>
      </c>
      <c r="C38" s="1023" t="s">
        <v>1421</v>
      </c>
      <c r="D38" s="1024">
        <v>42552</v>
      </c>
      <c r="E38" s="1025">
        <v>42552</v>
      </c>
      <c r="F38" s="1023" t="s">
        <v>1422</v>
      </c>
      <c r="G38" s="1023" t="s">
        <v>1423</v>
      </c>
      <c r="H38" s="1023"/>
      <c r="I38" s="1026">
        <v>169</v>
      </c>
      <c r="J38" s="1027">
        <f t="shared" si="2"/>
        <v>169</v>
      </c>
      <c r="K38" s="1027">
        <f t="shared" si="0"/>
        <v>0</v>
      </c>
      <c r="L38" s="1026">
        <v>0</v>
      </c>
      <c r="M38" s="1026">
        <v>130481.23</v>
      </c>
      <c r="N38" s="1028" t="s">
        <v>1456</v>
      </c>
      <c r="O38" s="1029" t="s">
        <v>1431</v>
      </c>
    </row>
    <row r="39" spans="2:15" s="1029" customFormat="1" ht="15" customHeight="1">
      <c r="B39" s="1023" t="s">
        <v>1420</v>
      </c>
      <c r="C39" s="1023" t="s">
        <v>1421</v>
      </c>
      <c r="D39" s="1024">
        <v>42552</v>
      </c>
      <c r="E39" s="1025">
        <v>42552</v>
      </c>
      <c r="F39" s="1023" t="s">
        <v>1422</v>
      </c>
      <c r="G39" s="1023" t="s">
        <v>1423</v>
      </c>
      <c r="H39" s="1023"/>
      <c r="I39" s="1026">
        <v>66</v>
      </c>
      <c r="J39" s="1027">
        <f t="shared" si="2"/>
        <v>66</v>
      </c>
      <c r="K39" s="1027">
        <f t="shared" si="0"/>
        <v>0</v>
      </c>
      <c r="L39" s="1026">
        <v>0</v>
      </c>
      <c r="M39" s="1026">
        <v>130547.23</v>
      </c>
      <c r="N39" s="1028" t="s">
        <v>1457</v>
      </c>
      <c r="O39" s="1029" t="s">
        <v>1431</v>
      </c>
    </row>
    <row r="40" spans="2:15" s="1029" customFormat="1" ht="15" customHeight="1">
      <c r="B40" s="1023" t="s">
        <v>1420</v>
      </c>
      <c r="C40" s="1023" t="s">
        <v>1421</v>
      </c>
      <c r="D40" s="1024">
        <v>42552</v>
      </c>
      <c r="E40" s="1025">
        <v>42552</v>
      </c>
      <c r="F40" s="1023" t="s">
        <v>1422</v>
      </c>
      <c r="G40" s="1023" t="s">
        <v>1423</v>
      </c>
      <c r="H40" s="1023"/>
      <c r="I40" s="1026">
        <v>45</v>
      </c>
      <c r="J40" s="1027">
        <f t="shared" si="2"/>
        <v>45</v>
      </c>
      <c r="K40" s="1027">
        <f t="shared" si="0"/>
        <v>0</v>
      </c>
      <c r="L40" s="1026">
        <v>0</v>
      </c>
      <c r="M40" s="1026">
        <v>130592.23</v>
      </c>
      <c r="N40" s="1028" t="s">
        <v>1458</v>
      </c>
      <c r="O40" s="1029" t="s">
        <v>1431</v>
      </c>
    </row>
    <row r="41" spans="2:15" s="1029" customFormat="1" ht="15" customHeight="1">
      <c r="B41" s="1023" t="s">
        <v>1420</v>
      </c>
      <c r="C41" s="1023" t="s">
        <v>1421</v>
      </c>
      <c r="D41" s="1024">
        <v>42552</v>
      </c>
      <c r="E41" s="1025">
        <v>42552</v>
      </c>
      <c r="F41" s="1023" t="s">
        <v>1422</v>
      </c>
      <c r="G41" s="1023" t="s">
        <v>1423</v>
      </c>
      <c r="H41" s="1023"/>
      <c r="I41" s="1026">
        <v>66</v>
      </c>
      <c r="J41" s="1027">
        <f t="shared" si="2"/>
        <v>66</v>
      </c>
      <c r="K41" s="1027">
        <f t="shared" si="0"/>
        <v>0</v>
      </c>
      <c r="L41" s="1026">
        <v>0</v>
      </c>
      <c r="M41" s="1026">
        <v>130658.23</v>
      </c>
      <c r="N41" s="1028" t="s">
        <v>1459</v>
      </c>
      <c r="O41" s="1029" t="s">
        <v>1431</v>
      </c>
    </row>
    <row r="42" spans="2:15" s="1029" customFormat="1" ht="15" customHeight="1">
      <c r="B42" s="1023" t="s">
        <v>1420</v>
      </c>
      <c r="C42" s="1023" t="s">
        <v>1421</v>
      </c>
      <c r="D42" s="1024">
        <v>42552</v>
      </c>
      <c r="E42" s="1025">
        <v>42552</v>
      </c>
      <c r="F42" s="1023" t="s">
        <v>1422</v>
      </c>
      <c r="G42" s="1023" t="s">
        <v>1423</v>
      </c>
      <c r="H42" s="1023"/>
      <c r="I42" s="1026">
        <v>25</v>
      </c>
      <c r="J42" s="1027">
        <f t="shared" si="2"/>
        <v>25</v>
      </c>
      <c r="K42" s="1027">
        <f t="shared" si="0"/>
        <v>0</v>
      </c>
      <c r="L42" s="1026">
        <v>0</v>
      </c>
      <c r="M42" s="1026">
        <v>130683.23</v>
      </c>
      <c r="N42" s="1028" t="s">
        <v>1460</v>
      </c>
      <c r="O42" s="1029" t="s">
        <v>1431</v>
      </c>
    </row>
    <row r="43" spans="2:15" s="1029" customFormat="1" ht="15" customHeight="1">
      <c r="B43" s="1023" t="s">
        <v>1420</v>
      </c>
      <c r="C43" s="1023" t="s">
        <v>1421</v>
      </c>
      <c r="D43" s="1024">
        <v>42552</v>
      </c>
      <c r="E43" s="1025">
        <v>42552</v>
      </c>
      <c r="F43" s="1023" t="s">
        <v>1422</v>
      </c>
      <c r="G43" s="1023" t="s">
        <v>1423</v>
      </c>
      <c r="H43" s="1023"/>
      <c r="I43" s="1026">
        <v>25</v>
      </c>
      <c r="J43" s="1027">
        <f t="shared" si="2"/>
        <v>25</v>
      </c>
      <c r="K43" s="1027">
        <f t="shared" si="0"/>
        <v>0</v>
      </c>
      <c r="L43" s="1026">
        <v>0</v>
      </c>
      <c r="M43" s="1026">
        <v>130708.23</v>
      </c>
      <c r="N43" s="1028" t="s">
        <v>1461</v>
      </c>
      <c r="O43" s="1029" t="s">
        <v>1431</v>
      </c>
    </row>
    <row r="44" spans="2:15" s="1016" customFormat="1" ht="15" customHeight="1">
      <c r="B44" s="1017" t="s">
        <v>1420</v>
      </c>
      <c r="C44" s="1017" t="s">
        <v>1421</v>
      </c>
      <c r="D44" s="1018">
        <v>42552</v>
      </c>
      <c r="E44" s="1019">
        <v>42552</v>
      </c>
      <c r="F44" s="1017" t="s">
        <v>1422</v>
      </c>
      <c r="G44" s="1017" t="s">
        <v>1423</v>
      </c>
      <c r="H44" s="1017"/>
      <c r="I44" s="1020">
        <v>22700</v>
      </c>
      <c r="J44" s="1021">
        <f t="shared" si="2"/>
        <v>22700</v>
      </c>
      <c r="K44" s="1021">
        <f t="shared" si="0"/>
        <v>0</v>
      </c>
      <c r="L44" s="1020">
        <v>0</v>
      </c>
      <c r="M44" s="1020">
        <v>153408.23000000001</v>
      </c>
      <c r="N44" s="1022" t="s">
        <v>1462</v>
      </c>
    </row>
    <row r="45" spans="2:15" s="1016" customFormat="1" ht="15" customHeight="1">
      <c r="B45" s="1017" t="s">
        <v>1420</v>
      </c>
      <c r="C45" s="1017" t="s">
        <v>1421</v>
      </c>
      <c r="D45" s="1018">
        <v>42552</v>
      </c>
      <c r="E45" s="1019">
        <v>42552</v>
      </c>
      <c r="F45" s="1017" t="s">
        <v>1422</v>
      </c>
      <c r="G45" s="1017" t="s">
        <v>1423</v>
      </c>
      <c r="H45" s="1017"/>
      <c r="I45" s="1020">
        <v>1050</v>
      </c>
      <c r="J45" s="1021">
        <f t="shared" si="2"/>
        <v>1050</v>
      </c>
      <c r="K45" s="1021">
        <f t="shared" si="0"/>
        <v>0</v>
      </c>
      <c r="L45" s="1020">
        <v>0</v>
      </c>
      <c r="M45" s="1020">
        <v>154458.23000000001</v>
      </c>
      <c r="N45" s="1022" t="s">
        <v>1463</v>
      </c>
    </row>
    <row r="46" spans="2:15" s="1016" customFormat="1" ht="15" customHeight="1">
      <c r="B46" s="1017" t="s">
        <v>1420</v>
      </c>
      <c r="C46" s="1017" t="s">
        <v>1421</v>
      </c>
      <c r="D46" s="1018">
        <v>42552</v>
      </c>
      <c r="E46" s="1019">
        <v>42552</v>
      </c>
      <c r="F46" s="1017" t="s">
        <v>1422</v>
      </c>
      <c r="G46" s="1017" t="s">
        <v>1423</v>
      </c>
      <c r="H46" s="1017"/>
      <c r="I46" s="1020">
        <v>350</v>
      </c>
      <c r="J46" s="1021">
        <f t="shared" si="2"/>
        <v>350</v>
      </c>
      <c r="K46" s="1021">
        <f t="shared" si="0"/>
        <v>0</v>
      </c>
      <c r="L46" s="1020">
        <v>0</v>
      </c>
      <c r="M46" s="1020">
        <v>154808.23000000001</v>
      </c>
      <c r="N46" s="1022" t="s">
        <v>1464</v>
      </c>
    </row>
    <row r="47" spans="2:15" s="1029" customFormat="1" ht="15" customHeight="1">
      <c r="B47" s="1023" t="s">
        <v>1420</v>
      </c>
      <c r="C47" s="1023" t="s">
        <v>1421</v>
      </c>
      <c r="D47" s="1024">
        <v>42552</v>
      </c>
      <c r="E47" s="1025">
        <v>42552</v>
      </c>
      <c r="F47" s="1023" t="s">
        <v>1422</v>
      </c>
      <c r="G47" s="1023" t="s">
        <v>1423</v>
      </c>
      <c r="H47" s="1023"/>
      <c r="I47" s="1026">
        <v>47955.07</v>
      </c>
      <c r="J47" s="1027">
        <f t="shared" si="2"/>
        <v>47955.07</v>
      </c>
      <c r="K47" s="1027">
        <f t="shared" si="0"/>
        <v>0</v>
      </c>
      <c r="L47" s="1026">
        <v>0</v>
      </c>
      <c r="M47" s="1026">
        <v>202763.3</v>
      </c>
      <c r="N47" s="1028" t="s">
        <v>1465</v>
      </c>
      <c r="O47" s="1029" t="s">
        <v>1466</v>
      </c>
    </row>
    <row r="48" spans="2:15" s="1016" customFormat="1" ht="15" customHeight="1">
      <c r="B48" s="1030"/>
      <c r="C48" s="1030"/>
      <c r="D48" s="1031"/>
      <c r="E48" s="1031"/>
      <c r="F48" s="1032" t="s">
        <v>1467</v>
      </c>
      <c r="G48" s="1030"/>
      <c r="H48" s="1030"/>
      <c r="I48" s="1033">
        <f>SUM(I8:I47)</f>
        <v>206052.12</v>
      </c>
      <c r="J48" s="1034">
        <f>SUM(J8:J47)</f>
        <v>206052.12</v>
      </c>
      <c r="K48" s="1034">
        <f t="shared" si="0"/>
        <v>0</v>
      </c>
      <c r="L48" s="1035" t="s">
        <v>1468</v>
      </c>
      <c r="M48" s="1035" t="s">
        <v>1469</v>
      </c>
      <c r="N48" s="1032" t="s">
        <v>1470</v>
      </c>
    </row>
    <row r="49" spans="2:14" ht="15" customHeight="1">
      <c r="B49" s="1017"/>
      <c r="C49" s="1017"/>
      <c r="D49" s="1017"/>
      <c r="E49" s="1017"/>
      <c r="F49" s="1017"/>
      <c r="G49" s="1017"/>
      <c r="H49" s="1017"/>
      <c r="I49" s="1036"/>
      <c r="J49" s="1036"/>
      <c r="K49" s="1036"/>
      <c r="L49" s="1036"/>
      <c r="M49" s="1037"/>
      <c r="N49" s="1017"/>
    </row>
    <row r="50" spans="2:14" ht="15" customHeight="1">
      <c r="B50" s="1022"/>
      <c r="C50" s="1022"/>
      <c r="D50" s="1022"/>
      <c r="E50" s="1022"/>
      <c r="F50" s="1022"/>
      <c r="G50" s="1022"/>
      <c r="H50" s="1022"/>
      <c r="I50" s="1038">
        <v>202763.3</v>
      </c>
      <c r="J50" s="1038"/>
      <c r="K50" s="1038"/>
      <c r="L50" s="1038">
        <v>0</v>
      </c>
      <c r="M50" s="1039"/>
      <c r="N50" s="1022"/>
    </row>
    <row r="54" spans="2:14">
      <c r="I54" s="1040">
        <f>+I75+I18</f>
        <v>10227.6</v>
      </c>
      <c r="J54" s="1006" t="s">
        <v>1471</v>
      </c>
    </row>
    <row r="58" spans="2:14">
      <c r="B58" s="1645" t="s">
        <v>1398</v>
      </c>
      <c r="C58" s="1645"/>
      <c r="D58" s="1645"/>
      <c r="E58" s="1645"/>
      <c r="F58" s="1645"/>
      <c r="G58" s="1645"/>
      <c r="H58" s="1645"/>
      <c r="I58" s="1645"/>
      <c r="J58" s="1645"/>
      <c r="K58" s="1645"/>
      <c r="L58" s="1645"/>
    </row>
    <row r="59" spans="2:14" ht="15">
      <c r="B59" s="1644" t="s">
        <v>1405</v>
      </c>
      <c r="C59" s="1644"/>
      <c r="D59" s="1644"/>
      <c r="E59" s="1644"/>
      <c r="F59" s="1644"/>
      <c r="G59" s="1644"/>
      <c r="H59" s="1644"/>
      <c r="I59" s="1644"/>
      <c r="J59" s="1644"/>
      <c r="K59" s="1644"/>
      <c r="L59" s="1644"/>
    </row>
    <row r="60" spans="2:14">
      <c r="B60" s="1645" t="s">
        <v>1406</v>
      </c>
      <c r="C60" s="1645"/>
      <c r="D60" s="1645"/>
      <c r="E60" s="1645"/>
      <c r="F60" s="1645"/>
      <c r="G60" s="1645"/>
      <c r="H60" s="1645"/>
      <c r="I60" s="1645"/>
      <c r="J60" s="1645"/>
      <c r="K60" s="1645"/>
      <c r="L60" s="1645"/>
    </row>
    <row r="61" spans="2:14">
      <c r="B61" s="1645" t="s">
        <v>1472</v>
      </c>
      <c r="C61" s="1645"/>
      <c r="D61" s="1645"/>
      <c r="E61" s="1645"/>
      <c r="F61" s="1645"/>
      <c r="G61" s="1645"/>
      <c r="H61" s="1645"/>
      <c r="I61" s="1645"/>
      <c r="J61" s="1645"/>
      <c r="K61" s="1645"/>
      <c r="L61" s="1645"/>
    </row>
    <row r="62" spans="2:14">
      <c r="B62" s="1645" t="s">
        <v>1408</v>
      </c>
      <c r="C62" s="1645"/>
      <c r="D62" s="1645"/>
      <c r="E62" s="1645"/>
      <c r="F62" s="1645"/>
      <c r="G62" s="1645"/>
      <c r="H62" s="1645"/>
      <c r="I62" s="1645"/>
      <c r="J62" s="1645"/>
      <c r="K62" s="1645"/>
      <c r="L62" s="1645"/>
    </row>
    <row r="63" spans="2:14" s="1010" customFormat="1" ht="15" customHeight="1">
      <c r="B63" s="1007" t="s">
        <v>475</v>
      </c>
      <c r="C63" s="1007" t="s">
        <v>454</v>
      </c>
      <c r="D63" s="1007" t="s">
        <v>138</v>
      </c>
      <c r="E63" s="1007" t="s">
        <v>1409</v>
      </c>
      <c r="F63" s="1007" t="s">
        <v>1410</v>
      </c>
      <c r="G63" s="1007" t="s">
        <v>1411</v>
      </c>
      <c r="H63" s="1007" t="s">
        <v>1412</v>
      </c>
      <c r="I63" s="1008" t="s">
        <v>749</v>
      </c>
      <c r="J63" s="1009" t="s">
        <v>1413</v>
      </c>
      <c r="K63" s="1009" t="s">
        <v>1414</v>
      </c>
      <c r="L63" s="1008" t="s">
        <v>750</v>
      </c>
      <c r="M63" s="1008" t="s">
        <v>1415</v>
      </c>
      <c r="N63" s="1007" t="s">
        <v>1416</v>
      </c>
    </row>
    <row r="64" spans="2:14" s="1016" customFormat="1" ht="15" customHeight="1">
      <c r="B64" s="1011" t="s">
        <v>1473</v>
      </c>
      <c r="C64" s="1012"/>
      <c r="D64" s="1012"/>
      <c r="E64" s="1012"/>
      <c r="F64" s="1011" t="s">
        <v>1474</v>
      </c>
      <c r="G64" s="1012"/>
      <c r="H64" s="1012"/>
      <c r="I64" s="1013"/>
      <c r="J64" s="1014"/>
      <c r="K64" s="1014"/>
      <c r="L64" s="1013"/>
      <c r="M64" s="1015">
        <v>0</v>
      </c>
      <c r="N64" s="1011" t="s">
        <v>1419</v>
      </c>
    </row>
    <row r="65" spans="2:15" s="1029" customFormat="1" ht="15" customHeight="1">
      <c r="B65" s="1023" t="s">
        <v>1420</v>
      </c>
      <c r="C65" s="1023" t="s">
        <v>1421</v>
      </c>
      <c r="D65" s="1024">
        <v>42537</v>
      </c>
      <c r="E65" s="1025">
        <v>42522</v>
      </c>
      <c r="F65" s="1023" t="s">
        <v>1475</v>
      </c>
      <c r="G65" s="1023" t="s">
        <v>1476</v>
      </c>
      <c r="H65" s="1023"/>
      <c r="I65" s="1026">
        <v>45000</v>
      </c>
      <c r="J65" s="1027">
        <f>+I65</f>
        <v>45000</v>
      </c>
      <c r="K65" s="1027">
        <f t="shared" ref="K65:K79" si="3">+I65-J65</f>
        <v>0</v>
      </c>
      <c r="L65" s="1026">
        <v>0</v>
      </c>
      <c r="M65" s="1026">
        <v>45000</v>
      </c>
      <c r="N65" s="1028" t="s">
        <v>1477</v>
      </c>
      <c r="O65" s="1029" t="s">
        <v>1478</v>
      </c>
    </row>
    <row r="66" spans="2:15" s="1016" customFormat="1" ht="15" customHeight="1">
      <c r="B66" s="1017" t="s">
        <v>1420</v>
      </c>
      <c r="C66" s="1017" t="s">
        <v>1421</v>
      </c>
      <c r="D66" s="1018">
        <v>42552</v>
      </c>
      <c r="E66" s="1019">
        <v>42552</v>
      </c>
      <c r="F66" s="1017" t="s">
        <v>1422</v>
      </c>
      <c r="G66" s="1017" t="s">
        <v>1423</v>
      </c>
      <c r="H66" s="1017"/>
      <c r="I66" s="1020">
        <v>0</v>
      </c>
      <c r="J66" s="1021">
        <f>+I66</f>
        <v>0</v>
      </c>
      <c r="K66" s="1021">
        <f t="shared" si="3"/>
        <v>0</v>
      </c>
      <c r="L66" s="1020">
        <v>4450</v>
      </c>
      <c r="M66" s="1020">
        <v>40550</v>
      </c>
      <c r="N66" s="1022" t="s">
        <v>1479</v>
      </c>
    </row>
    <row r="67" spans="2:15" s="1016" customFormat="1" ht="15" customHeight="1">
      <c r="B67" s="1017" t="s">
        <v>1420</v>
      </c>
      <c r="C67" s="1017" t="s">
        <v>1421</v>
      </c>
      <c r="D67" s="1018">
        <v>42552</v>
      </c>
      <c r="E67" s="1019">
        <v>42552</v>
      </c>
      <c r="F67" s="1017" t="s">
        <v>1422</v>
      </c>
      <c r="G67" s="1017" t="s">
        <v>1423</v>
      </c>
      <c r="H67" s="1017"/>
      <c r="I67" s="1020">
        <v>172500</v>
      </c>
      <c r="J67" s="1021">
        <f t="shared" ref="J67:J75" si="4">+I67</f>
        <v>172500</v>
      </c>
      <c r="K67" s="1021">
        <f t="shared" si="3"/>
        <v>0</v>
      </c>
      <c r="L67" s="1020">
        <v>0</v>
      </c>
      <c r="M67" s="1020">
        <v>213050</v>
      </c>
      <c r="N67" s="1022" t="s">
        <v>1480</v>
      </c>
    </row>
    <row r="68" spans="2:15" s="1016" customFormat="1" ht="15" customHeight="1">
      <c r="B68" s="1017" t="s">
        <v>1420</v>
      </c>
      <c r="C68" s="1017" t="s">
        <v>1421</v>
      </c>
      <c r="D68" s="1018">
        <v>42552</v>
      </c>
      <c r="E68" s="1019">
        <v>42552</v>
      </c>
      <c r="F68" s="1017" t="s">
        <v>1422</v>
      </c>
      <c r="G68" s="1017" t="s">
        <v>1423</v>
      </c>
      <c r="H68" s="1017"/>
      <c r="I68" s="1020">
        <v>172500</v>
      </c>
      <c r="J68" s="1021">
        <f t="shared" si="4"/>
        <v>172500</v>
      </c>
      <c r="K68" s="1021">
        <f t="shared" si="3"/>
        <v>0</v>
      </c>
      <c r="L68" s="1020">
        <v>0</v>
      </c>
      <c r="M68" s="1020">
        <v>385550</v>
      </c>
      <c r="N68" s="1022" t="s">
        <v>1481</v>
      </c>
    </row>
    <row r="69" spans="2:15" s="1016" customFormat="1" ht="15" customHeight="1">
      <c r="B69" s="1017" t="s">
        <v>1420</v>
      </c>
      <c r="C69" s="1017" t="s">
        <v>1421</v>
      </c>
      <c r="D69" s="1018">
        <v>42552</v>
      </c>
      <c r="E69" s="1019">
        <v>42552</v>
      </c>
      <c r="F69" s="1017" t="s">
        <v>1422</v>
      </c>
      <c r="G69" s="1017" t="s">
        <v>1423</v>
      </c>
      <c r="H69" s="1017"/>
      <c r="I69" s="1020">
        <v>5000</v>
      </c>
      <c r="J69" s="1021">
        <f t="shared" si="4"/>
        <v>5000</v>
      </c>
      <c r="K69" s="1021">
        <f t="shared" si="3"/>
        <v>0</v>
      </c>
      <c r="L69" s="1020">
        <v>0</v>
      </c>
      <c r="M69" s="1020">
        <v>390550</v>
      </c>
      <c r="N69" s="1022" t="s">
        <v>1482</v>
      </c>
    </row>
    <row r="70" spans="2:15" s="1016" customFormat="1" ht="15" customHeight="1">
      <c r="B70" s="1017" t="s">
        <v>1420</v>
      </c>
      <c r="C70" s="1017" t="s">
        <v>1421</v>
      </c>
      <c r="D70" s="1018">
        <v>42552</v>
      </c>
      <c r="E70" s="1019">
        <v>42552</v>
      </c>
      <c r="F70" s="1017" t="s">
        <v>1422</v>
      </c>
      <c r="G70" s="1017" t="s">
        <v>1423</v>
      </c>
      <c r="H70" s="1017"/>
      <c r="I70" s="1020">
        <v>90000</v>
      </c>
      <c r="J70" s="1021">
        <f t="shared" si="4"/>
        <v>90000</v>
      </c>
      <c r="K70" s="1021">
        <f t="shared" si="3"/>
        <v>0</v>
      </c>
      <c r="L70" s="1020">
        <v>0</v>
      </c>
      <c r="M70" s="1020">
        <v>480550</v>
      </c>
      <c r="N70" s="1022" t="s">
        <v>1483</v>
      </c>
    </row>
    <row r="71" spans="2:15" s="1016" customFormat="1" ht="15" customHeight="1">
      <c r="B71" s="1017" t="s">
        <v>1420</v>
      </c>
      <c r="C71" s="1017" t="s">
        <v>1421</v>
      </c>
      <c r="D71" s="1018">
        <v>42552</v>
      </c>
      <c r="E71" s="1019">
        <v>42552</v>
      </c>
      <c r="F71" s="1017" t="s">
        <v>1422</v>
      </c>
      <c r="G71" s="1017" t="s">
        <v>1423</v>
      </c>
      <c r="H71" s="1017"/>
      <c r="I71" s="1020">
        <v>2995</v>
      </c>
      <c r="J71" s="1021">
        <f t="shared" si="4"/>
        <v>2995</v>
      </c>
      <c r="K71" s="1021">
        <f t="shared" si="3"/>
        <v>0</v>
      </c>
      <c r="L71" s="1020">
        <v>0</v>
      </c>
      <c r="M71" s="1020">
        <v>483545</v>
      </c>
      <c r="N71" s="1022" t="s">
        <v>1484</v>
      </c>
    </row>
    <row r="72" spans="2:15" s="1016" customFormat="1" ht="15" customHeight="1">
      <c r="B72" s="1017" t="s">
        <v>1420</v>
      </c>
      <c r="C72" s="1017" t="s">
        <v>1421</v>
      </c>
      <c r="D72" s="1018">
        <v>42552</v>
      </c>
      <c r="E72" s="1019">
        <v>42552</v>
      </c>
      <c r="F72" s="1017" t="s">
        <v>1422</v>
      </c>
      <c r="G72" s="1017" t="s">
        <v>1423</v>
      </c>
      <c r="H72" s="1017"/>
      <c r="I72" s="1020">
        <v>3000</v>
      </c>
      <c r="J72" s="1021">
        <f t="shared" si="4"/>
        <v>3000</v>
      </c>
      <c r="K72" s="1021">
        <f t="shared" si="3"/>
        <v>0</v>
      </c>
      <c r="L72" s="1020">
        <v>0</v>
      </c>
      <c r="M72" s="1020">
        <v>486545</v>
      </c>
      <c r="N72" s="1022" t="s">
        <v>1485</v>
      </c>
    </row>
    <row r="73" spans="2:15" s="1016" customFormat="1" ht="15" customHeight="1">
      <c r="B73" s="1017" t="s">
        <v>1420</v>
      </c>
      <c r="C73" s="1017" t="s">
        <v>1421</v>
      </c>
      <c r="D73" s="1018">
        <v>42552</v>
      </c>
      <c r="E73" s="1019">
        <v>42552</v>
      </c>
      <c r="F73" s="1017" t="s">
        <v>1422</v>
      </c>
      <c r="G73" s="1017" t="s">
        <v>1423</v>
      </c>
      <c r="H73" s="1017"/>
      <c r="I73" s="1020">
        <v>43000</v>
      </c>
      <c r="J73" s="1021">
        <f t="shared" si="4"/>
        <v>43000</v>
      </c>
      <c r="K73" s="1021">
        <f t="shared" si="3"/>
        <v>0</v>
      </c>
      <c r="L73" s="1020">
        <v>0</v>
      </c>
      <c r="M73" s="1020">
        <v>529545</v>
      </c>
      <c r="N73" s="1022" t="s">
        <v>1425</v>
      </c>
    </row>
    <row r="74" spans="2:15" s="1016" customFormat="1" ht="15" customHeight="1">
      <c r="B74" s="1017" t="s">
        <v>1420</v>
      </c>
      <c r="C74" s="1017" t="s">
        <v>1421</v>
      </c>
      <c r="D74" s="1018">
        <v>42552</v>
      </c>
      <c r="E74" s="1019">
        <v>42552</v>
      </c>
      <c r="F74" s="1017" t="s">
        <v>1422</v>
      </c>
      <c r="G74" s="1017" t="s">
        <v>1423</v>
      </c>
      <c r="H74" s="1017"/>
      <c r="I74" s="1020">
        <v>20000</v>
      </c>
      <c r="J74" s="1021">
        <f t="shared" si="4"/>
        <v>20000</v>
      </c>
      <c r="K74" s="1021">
        <f t="shared" si="3"/>
        <v>0</v>
      </c>
      <c r="L74" s="1020">
        <v>0</v>
      </c>
      <c r="M74" s="1020">
        <v>549545</v>
      </c>
      <c r="N74" s="1022" t="s">
        <v>1486</v>
      </c>
    </row>
    <row r="75" spans="2:15" s="1016" customFormat="1" ht="15" customHeight="1">
      <c r="B75" s="1017" t="s">
        <v>1420</v>
      </c>
      <c r="C75" s="1017" t="s">
        <v>1421</v>
      </c>
      <c r="D75" s="1018">
        <v>42552</v>
      </c>
      <c r="E75" s="1019">
        <v>42552</v>
      </c>
      <c r="F75" s="1017" t="s">
        <v>1422</v>
      </c>
      <c r="G75" s="1017" t="s">
        <v>1423</v>
      </c>
      <c r="H75" s="1017"/>
      <c r="I75" s="1020">
        <v>2551.2800000000002</v>
      </c>
      <c r="J75" s="1021">
        <f t="shared" si="4"/>
        <v>2551.2800000000002</v>
      </c>
      <c r="K75" s="1021">
        <f t="shared" si="3"/>
        <v>0</v>
      </c>
      <c r="L75" s="1020">
        <v>0</v>
      </c>
      <c r="M75" s="1020">
        <v>552096.28</v>
      </c>
      <c r="N75" s="1022" t="s">
        <v>1487</v>
      </c>
    </row>
    <row r="76" spans="2:15" s="1029" customFormat="1" ht="15" customHeight="1">
      <c r="B76" s="1023" t="s">
        <v>1420</v>
      </c>
      <c r="C76" s="1023" t="s">
        <v>1421</v>
      </c>
      <c r="D76" s="1024">
        <v>42552</v>
      </c>
      <c r="E76" s="1025">
        <v>42552</v>
      </c>
      <c r="F76" s="1023" t="s">
        <v>1422</v>
      </c>
      <c r="G76" s="1023" t="s">
        <v>1423</v>
      </c>
      <c r="H76" s="1023"/>
      <c r="I76" s="1026">
        <v>4450</v>
      </c>
      <c r="J76" s="1027">
        <f>+I76</f>
        <v>4450</v>
      </c>
      <c r="K76" s="1027">
        <f t="shared" si="3"/>
        <v>0</v>
      </c>
      <c r="L76" s="1026">
        <v>0</v>
      </c>
      <c r="M76" s="1026">
        <v>556546.28</v>
      </c>
      <c r="N76" s="1028" t="s">
        <v>1488</v>
      </c>
      <c r="O76" s="1029" t="s">
        <v>1431</v>
      </c>
    </row>
    <row r="77" spans="2:15" s="1029" customFormat="1" ht="15" customHeight="1">
      <c r="B77" s="1023" t="s">
        <v>1420</v>
      </c>
      <c r="C77" s="1023" t="s">
        <v>1421</v>
      </c>
      <c r="D77" s="1024">
        <v>42614</v>
      </c>
      <c r="E77" s="1025">
        <v>42614</v>
      </c>
      <c r="F77" s="1023" t="s">
        <v>1489</v>
      </c>
      <c r="G77" s="1023" t="s">
        <v>1490</v>
      </c>
      <c r="H77" s="1023"/>
      <c r="I77" s="1026">
        <v>0</v>
      </c>
      <c r="J77" s="1027">
        <f>+-L77</f>
        <v>-3518.36</v>
      </c>
      <c r="K77" s="1027">
        <f>+L77+J77</f>
        <v>0</v>
      </c>
      <c r="L77" s="1026">
        <v>3518.36</v>
      </c>
      <c r="M77" s="1026">
        <v>553027.92000000004</v>
      </c>
      <c r="N77" s="1028" t="s">
        <v>1491</v>
      </c>
      <c r="O77" s="1029" t="s">
        <v>1492</v>
      </c>
    </row>
    <row r="78" spans="2:15" s="1016" customFormat="1" ht="15" customHeight="1">
      <c r="B78" s="1017"/>
      <c r="C78" s="1017"/>
      <c r="D78" s="1018"/>
      <c r="E78" s="1019"/>
      <c r="F78" s="1017"/>
      <c r="G78" s="1017"/>
      <c r="H78" s="1017"/>
      <c r="I78" s="1020">
        <v>3121.13</v>
      </c>
      <c r="J78" s="1021"/>
      <c r="K78" s="1021"/>
      <c r="L78" s="1020"/>
      <c r="M78" s="1020"/>
      <c r="N78" s="1022" t="s">
        <v>967</v>
      </c>
    </row>
    <row r="79" spans="2:15" s="1016" customFormat="1" ht="15" customHeight="1">
      <c r="B79" s="1017"/>
      <c r="C79" s="1017"/>
      <c r="D79" s="1018"/>
      <c r="E79" s="1019"/>
      <c r="F79" s="1017"/>
      <c r="G79" s="1017"/>
      <c r="H79" s="1017"/>
      <c r="I79" s="1020">
        <f>+J79</f>
        <v>10450</v>
      </c>
      <c r="J79" s="1021">
        <v>10450</v>
      </c>
      <c r="K79" s="1021">
        <f t="shared" si="3"/>
        <v>0</v>
      </c>
      <c r="L79" s="1020"/>
      <c r="M79" s="1020"/>
      <c r="N79" s="1022" t="s">
        <v>1493</v>
      </c>
    </row>
    <row r="80" spans="2:15" s="1016" customFormat="1" ht="15" customHeight="1">
      <c r="B80" s="1030"/>
      <c r="C80" s="1030"/>
      <c r="D80" s="1031"/>
      <c r="E80" s="1031"/>
      <c r="F80" s="1032" t="s">
        <v>1494</v>
      </c>
      <c r="G80" s="1030"/>
      <c r="H80" s="1030"/>
      <c r="I80" s="1033">
        <f>SUM(I65:I79)</f>
        <v>574567.41</v>
      </c>
      <c r="J80" s="1034">
        <f>SUM(J65:J79)</f>
        <v>567927.92000000004</v>
      </c>
      <c r="K80" s="1034">
        <f>SUM(K65:K77)</f>
        <v>0</v>
      </c>
      <c r="L80" s="1035" t="s">
        <v>1495</v>
      </c>
      <c r="M80" s="1035" t="s">
        <v>1496</v>
      </c>
      <c r="N80" s="1032" t="s">
        <v>1470</v>
      </c>
    </row>
    <row r="81" spans="2:14">
      <c r="B81" s="1017"/>
      <c r="C81" s="1017"/>
      <c r="D81" s="1017"/>
      <c r="E81" s="1017"/>
      <c r="F81" s="1017"/>
      <c r="G81" s="1017"/>
      <c r="H81" s="1017"/>
      <c r="I81" s="1036"/>
      <c r="L81" s="1036"/>
      <c r="M81" s="1037"/>
      <c r="N81" s="1017"/>
    </row>
    <row r="82" spans="2:14">
      <c r="B82" s="1022"/>
      <c r="C82" s="1022"/>
      <c r="D82" s="1022"/>
      <c r="E82" s="1022"/>
      <c r="F82" s="1022"/>
      <c r="G82" s="1022"/>
      <c r="H82" s="1022"/>
      <c r="I82" s="1038">
        <f>+I80-L80+L77</f>
        <v>570117.41</v>
      </c>
      <c r="L82" s="1038">
        <v>7968.36</v>
      </c>
      <c r="M82" s="1039"/>
      <c r="N82" s="1022"/>
    </row>
    <row r="84" spans="2:14">
      <c r="H84" s="1006" t="s">
        <v>15</v>
      </c>
      <c r="I84" s="1040">
        <f>+I80+I48-L80+L77</f>
        <v>776169.53</v>
      </c>
    </row>
    <row r="86" spans="2:14" ht="16">
      <c r="B86" s="1041" t="s">
        <v>1497</v>
      </c>
      <c r="C86" s="1041"/>
      <c r="D86" s="1042"/>
      <c r="E86" s="1042"/>
      <c r="F86" s="1043"/>
    </row>
    <row r="87" spans="2:14" ht="14">
      <c r="B87" s="1044"/>
      <c r="C87" s="1044"/>
      <c r="D87" s="1045" t="s">
        <v>738</v>
      </c>
      <c r="E87" s="1046" t="s">
        <v>1498</v>
      </c>
      <c r="F87" s="1047" t="s">
        <v>27</v>
      </c>
    </row>
    <row r="88" spans="2:14" ht="14">
      <c r="B88" s="1044" t="s">
        <v>19</v>
      </c>
      <c r="C88" s="1044"/>
      <c r="D88" s="1048">
        <v>30000000</v>
      </c>
      <c r="E88" s="1048">
        <v>30000000</v>
      </c>
      <c r="F88" s="1049">
        <v>30000000</v>
      </c>
    </row>
    <row r="89" spans="2:14" ht="14">
      <c r="B89" s="1050" t="s">
        <v>1499</v>
      </c>
      <c r="C89" s="1050"/>
      <c r="D89" s="1051">
        <f>I84</f>
        <v>776169.53</v>
      </c>
      <c r="E89" s="1052">
        <v>1335952.6963597799</v>
      </c>
      <c r="F89" s="1053">
        <f>+I84</f>
        <v>776169.53</v>
      </c>
    </row>
    <row r="90" spans="2:14" ht="15">
      <c r="B90" s="1054" t="s">
        <v>1500</v>
      </c>
      <c r="C90" s="1054"/>
      <c r="D90" s="1048">
        <v>30776169.530000001</v>
      </c>
      <c r="E90" s="1048">
        <v>31335952.69635978</v>
      </c>
      <c r="F90" s="1049">
        <v>30776169.530000001</v>
      </c>
    </row>
    <row r="91" spans="2:14" ht="14">
      <c r="B91" s="1044" t="s">
        <v>1501</v>
      </c>
      <c r="C91" s="1044"/>
      <c r="D91" s="1055">
        <v>63676.32</v>
      </c>
      <c r="E91" s="1056">
        <v>4795817.2600904424</v>
      </c>
      <c r="F91" s="1057">
        <v>0</v>
      </c>
    </row>
    <row r="92" spans="2:14" ht="14">
      <c r="B92" s="1044" t="s">
        <v>1502</v>
      </c>
      <c r="C92" s="1044"/>
      <c r="D92" s="1058">
        <v>0</v>
      </c>
      <c r="E92" s="1056">
        <v>2939127.0000000005</v>
      </c>
      <c r="F92" s="1059">
        <v>0</v>
      </c>
    </row>
    <row r="93" spans="2:14" ht="14">
      <c r="B93" s="1044" t="s">
        <v>1503</v>
      </c>
      <c r="C93" s="1044"/>
      <c r="D93" s="1058">
        <v>2478072.12</v>
      </c>
      <c r="E93" s="1056">
        <v>0</v>
      </c>
      <c r="F93" s="1059">
        <v>2472738.38</v>
      </c>
    </row>
    <row r="94" spans="2:14" ht="14">
      <c r="B94" s="1050" t="s">
        <v>1504</v>
      </c>
      <c r="C94" s="1050"/>
      <c r="D94" s="1060">
        <v>0</v>
      </c>
      <c r="E94" s="1052">
        <v>0</v>
      </c>
      <c r="F94" s="1053">
        <v>0</v>
      </c>
    </row>
    <row r="95" spans="2:14" ht="15">
      <c r="B95" s="1054" t="s">
        <v>59</v>
      </c>
      <c r="C95" s="1061">
        <v>0.2499999962747097</v>
      </c>
      <c r="D95" s="1062">
        <v>33317917.970000003</v>
      </c>
      <c r="E95" s="1062">
        <v>39070896.956450224</v>
      </c>
      <c r="F95" s="1063">
        <v>33248907.91</v>
      </c>
      <c r="G95" s="1064">
        <f>+F102-F95</f>
        <v>0.25</v>
      </c>
    </row>
    <row r="96" spans="2:14" ht="16">
      <c r="B96" s="1041" t="s">
        <v>1505</v>
      </c>
      <c r="C96" s="1065"/>
      <c r="D96" s="1066"/>
      <c r="E96" s="1066"/>
      <c r="F96" s="1067"/>
    </row>
    <row r="97" spans="2:13" ht="14">
      <c r="B97" s="1044"/>
      <c r="C97" s="1044"/>
      <c r="D97" s="1045" t="s">
        <v>738</v>
      </c>
      <c r="E97" s="1046" t="s">
        <v>1498</v>
      </c>
      <c r="F97" s="1047" t="s">
        <v>27</v>
      </c>
    </row>
    <row r="98" spans="2:13" ht="14">
      <c r="B98" s="1044" t="s">
        <v>1506</v>
      </c>
      <c r="C98" s="1068"/>
      <c r="D98" s="1069">
        <v>19541000</v>
      </c>
      <c r="E98" s="1070">
        <v>22944671.692076743</v>
      </c>
      <c r="F98" s="1071">
        <v>19541000</v>
      </c>
    </row>
    <row r="99" spans="2:13" ht="14">
      <c r="B99" s="1044" t="s">
        <v>1507</v>
      </c>
      <c r="C99" s="1044"/>
      <c r="D99" s="1069">
        <v>0</v>
      </c>
      <c r="E99" s="1056">
        <v>0</v>
      </c>
      <c r="F99" s="1059">
        <v>0</v>
      </c>
    </row>
    <row r="100" spans="2:13" ht="14">
      <c r="B100" s="1044" t="s">
        <v>78</v>
      </c>
      <c r="C100" s="1072"/>
      <c r="D100" s="1058">
        <v>13707908.16</v>
      </c>
      <c r="E100" s="1056">
        <v>15462246.4193787</v>
      </c>
      <c r="F100" s="1059">
        <v>13707908.16</v>
      </c>
    </row>
    <row r="101" spans="2:13" ht="14">
      <c r="B101" s="1050" t="s">
        <v>65</v>
      </c>
      <c r="C101" s="1073"/>
      <c r="D101" s="1060">
        <v>69010.06</v>
      </c>
      <c r="E101" s="1052">
        <v>663978.84499478596</v>
      </c>
      <c r="F101" s="1053">
        <v>0</v>
      </c>
    </row>
    <row r="102" spans="2:13" ht="15">
      <c r="B102" s="1054" t="s">
        <v>67</v>
      </c>
      <c r="C102" s="1054"/>
      <c r="D102" s="1062">
        <v>33317918.219999999</v>
      </c>
      <c r="E102" s="1062">
        <v>39070896.956450224</v>
      </c>
      <c r="F102" s="1062">
        <v>33248908.16</v>
      </c>
    </row>
    <row r="105" spans="2:13">
      <c r="C105" s="1074" t="s">
        <v>1508</v>
      </c>
      <c r="D105" s="1074" t="s">
        <v>1509</v>
      </c>
      <c r="E105" s="1074"/>
    </row>
    <row r="106" spans="2:13">
      <c r="B106" s="1010"/>
      <c r="C106" s="1010"/>
      <c r="D106" s="1075">
        <v>3732.6599999999962</v>
      </c>
      <c r="E106" s="1010"/>
      <c r="F106" s="1010"/>
      <c r="G106" s="1010"/>
      <c r="H106" s="1010"/>
      <c r="I106" s="1010"/>
      <c r="J106" s="1010"/>
      <c r="K106" s="1010"/>
    </row>
    <row r="107" spans="2:13" ht="15">
      <c r="B107" s="1076"/>
      <c r="C107" s="1077" t="s">
        <v>1510</v>
      </c>
      <c r="D107" s="1077" t="s">
        <v>1511</v>
      </c>
      <c r="E107" s="1077" t="s">
        <v>1512</v>
      </c>
      <c r="F107" s="1077" t="s">
        <v>1513</v>
      </c>
      <c r="G107" s="1077"/>
      <c r="H107" s="1077" t="s">
        <v>1514</v>
      </c>
      <c r="I107" s="1077" t="s">
        <v>1515</v>
      </c>
      <c r="J107" s="1077" t="s">
        <v>1516</v>
      </c>
      <c r="K107" s="1077" t="s">
        <v>1517</v>
      </c>
    </row>
    <row r="108" spans="2:13" ht="14">
      <c r="B108" s="1078"/>
      <c r="C108" s="1078"/>
      <c r="D108" s="1078"/>
      <c r="E108" s="1078"/>
      <c r="F108" s="1078"/>
      <c r="G108" s="1078"/>
      <c r="H108" s="1078"/>
      <c r="I108" s="1078"/>
      <c r="J108" s="1078"/>
      <c r="K108" s="1078"/>
    </row>
    <row r="109" spans="2:13" ht="14">
      <c r="B109" s="1078" t="s">
        <v>15</v>
      </c>
      <c r="C109" s="1075">
        <f>34338.72+116081.29+34214.19</f>
        <v>184634.2</v>
      </c>
      <c r="D109" s="1075">
        <f>37946.85-34214.19+49040+40226.27</f>
        <v>92998.93</v>
      </c>
      <c r="E109" s="1075">
        <f>5000+5000</f>
        <v>10000</v>
      </c>
      <c r="F109" s="1075">
        <v>16761.25</v>
      </c>
      <c r="G109" s="1075"/>
      <c r="H109" s="1075">
        <v>500000</v>
      </c>
      <c r="I109" s="1075">
        <v>1507960</v>
      </c>
      <c r="J109" s="1075">
        <v>160384</v>
      </c>
      <c r="K109" s="1075">
        <f>+SUM(C109:J109)</f>
        <v>2472738.38</v>
      </c>
    </row>
    <row r="110" spans="2:13">
      <c r="B110" s="1010" t="s">
        <v>1518</v>
      </c>
      <c r="C110" s="1075">
        <f>+C111-C109</f>
        <v>112194.56</v>
      </c>
      <c r="D110" s="1075">
        <f>+D111-D109</f>
        <v>-70575.189999999988</v>
      </c>
      <c r="E110" s="1075">
        <v>0</v>
      </c>
      <c r="F110" s="1075">
        <v>0</v>
      </c>
      <c r="G110" s="1075"/>
      <c r="H110" s="1075">
        <f>-(+H109-308954.62)</f>
        <v>-191045.38</v>
      </c>
      <c r="I110" s="1075">
        <v>49040</v>
      </c>
      <c r="J110" s="1079">
        <f>-(J109-92939)</f>
        <v>-67445</v>
      </c>
      <c r="K110" s="1075">
        <f>+SUM(C110:J110)</f>
        <v>-167831.01</v>
      </c>
      <c r="L110" s="1080">
        <f>+-K110+K109</f>
        <v>2640569.3899999997</v>
      </c>
      <c r="M110" s="1080">
        <f>+L110-50000</f>
        <v>2590569.3899999997</v>
      </c>
    </row>
    <row r="111" spans="2:13" ht="15">
      <c r="B111" s="1081" t="s">
        <v>1517</v>
      </c>
      <c r="C111" s="1082">
        <v>296828.76</v>
      </c>
      <c r="D111" s="1082">
        <v>22423.74</v>
      </c>
      <c r="E111" s="1082">
        <f>SUM(E109:E110)</f>
        <v>10000</v>
      </c>
      <c r="F111" s="1082">
        <f>SUM(F109:F110)</f>
        <v>16761.25</v>
      </c>
      <c r="G111" s="1082"/>
      <c r="H111" s="1082">
        <f>SUM(H109:H110)</f>
        <v>308954.62</v>
      </c>
      <c r="I111" s="1082">
        <f>SUM(I109:I110)</f>
        <v>1557000</v>
      </c>
      <c r="J111" s="1082">
        <f>SUM(J109:J110)</f>
        <v>92939</v>
      </c>
      <c r="K111" s="1082">
        <f>+SUM(C111:J111)</f>
        <v>2304907.37</v>
      </c>
    </row>
    <row r="112" spans="2:13" ht="14">
      <c r="B112" s="1010"/>
      <c r="C112" s="1010"/>
      <c r="D112" s="1010"/>
      <c r="E112" s="1010"/>
      <c r="F112" s="1010"/>
      <c r="G112" s="1010"/>
      <c r="H112" s="1078"/>
      <c r="I112" s="1078"/>
      <c r="J112" s="1078"/>
      <c r="K112" s="1010"/>
    </row>
    <row r="113" spans="2:11" ht="14">
      <c r="B113" s="1010"/>
      <c r="C113" s="1010"/>
      <c r="D113" s="1010"/>
      <c r="E113" s="1010"/>
      <c r="F113" s="1010"/>
      <c r="G113" s="1010"/>
      <c r="H113" s="1078"/>
      <c r="I113" s="1078"/>
      <c r="J113" s="1078"/>
      <c r="K113" s="1075">
        <v>553027.92000000004</v>
      </c>
    </row>
    <row r="114" spans="2:11" ht="14">
      <c r="B114" s="1083"/>
      <c r="C114" s="1010"/>
      <c r="D114" s="1010"/>
      <c r="E114" s="1010"/>
      <c r="F114" s="1010"/>
      <c r="G114" s="1010"/>
      <c r="H114" s="1078"/>
      <c r="I114" s="1084">
        <f>+SUM(C109,D109,E109,F109)</f>
        <v>304394.38</v>
      </c>
      <c r="J114" s="1078"/>
      <c r="K114" s="1075">
        <v>160401.33000000002</v>
      </c>
    </row>
    <row r="115" spans="2:11">
      <c r="B115" s="1083"/>
      <c r="C115" s="1010"/>
      <c r="D115" s="1010"/>
      <c r="E115" s="1010"/>
      <c r="F115" s="1010"/>
      <c r="G115" s="1010"/>
      <c r="H115" s="1010"/>
      <c r="I115" s="1010">
        <f>+I114/1000</f>
        <v>304.39438000000001</v>
      </c>
      <c r="J115" s="1010"/>
      <c r="K115" s="1075">
        <f>+K113+K114</f>
        <v>713429.25</v>
      </c>
    </row>
    <row r="116" spans="2:11">
      <c r="I116" s="1010"/>
    </row>
  </sheetData>
  <mergeCells count="10">
    <mergeCell ref="B59:L59"/>
    <mergeCell ref="B60:L60"/>
    <mergeCell ref="B61:L61"/>
    <mergeCell ref="B62:L62"/>
    <mergeCell ref="B1:N1"/>
    <mergeCell ref="B2:N2"/>
    <mergeCell ref="B3:N3"/>
    <mergeCell ref="B4:N4"/>
    <mergeCell ref="B5:N5"/>
    <mergeCell ref="B58:L58"/>
  </mergeCells>
  <pageMargins left="0.7" right="0.7" top="0.7" bottom="0.7" header="0.5" footer="0.5"/>
  <pageSetup scale="57" fitToHeight="990" orientation="landscape" useFirstPageNumber="1" horizontalDpi="300" verticalDpi="300" r:id="rId1"/>
  <headerFooter alignWithMargins="0">
    <oddHeader>&amp;R&amp;B&amp;D &amp;T</oddHeader>
    <oddFooter>&amp;C&amp;B Page &amp;P of &amp;N</oddFooter>
  </headerFooter>
  <rowBreaks count="1" manualBreakCount="1">
    <brk id="43" max="16383" man="1"/>
  </rowBreaks>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AF06A-7106-45D9-87F0-F42BF2DB77F7}">
  <sheetPr>
    <pageSetUpPr fitToPage="1"/>
  </sheetPr>
  <dimension ref="B2:AE41"/>
  <sheetViews>
    <sheetView showGridLines="0" zoomScaleNormal="100" workbookViewId="0">
      <selection sqref="A1:H1"/>
    </sheetView>
  </sheetViews>
  <sheetFormatPr baseColWidth="10" defaultColWidth="9.1640625" defaultRowHeight="15" outlineLevelRow="1"/>
  <cols>
    <col min="1" max="1" width="9.1640625" style="544"/>
    <col min="2" max="2" width="29.6640625" style="544" customWidth="1"/>
    <col min="3" max="14" width="9.6640625" style="544" customWidth="1"/>
    <col min="15" max="18" width="9.83203125" style="544" customWidth="1"/>
    <col min="19" max="19" width="12.5" style="544" customWidth="1"/>
    <col min="20" max="22" width="9.83203125" style="544" customWidth="1"/>
    <col min="23" max="28" width="9.1640625" style="544"/>
    <col min="29" max="29" width="12" style="544" bestFit="1" customWidth="1"/>
    <col min="30" max="32" width="9.1640625" style="544"/>
    <col min="33" max="33" width="10.33203125" style="544" bestFit="1" customWidth="1"/>
    <col min="34" max="16384" width="9.1640625" style="544"/>
  </cols>
  <sheetData>
    <row r="2" spans="2:31" ht="16" thickBot="1"/>
    <row r="3" spans="2:31" ht="16" thickBot="1">
      <c r="B3" s="545"/>
      <c r="C3" s="546" t="s">
        <v>450</v>
      </c>
      <c r="D3" s="547"/>
      <c r="E3" s="547"/>
      <c r="F3" s="548"/>
      <c r="G3" s="546" t="s">
        <v>451</v>
      </c>
      <c r="H3" s="547"/>
      <c r="I3" s="547"/>
      <c r="J3" s="548"/>
      <c r="K3" s="546" t="s">
        <v>452</v>
      </c>
      <c r="L3" s="547"/>
      <c r="M3" s="547"/>
      <c r="N3" s="548"/>
      <c r="O3" s="546" t="s">
        <v>453</v>
      </c>
      <c r="P3" s="547"/>
      <c r="Q3" s="547"/>
      <c r="R3" s="548"/>
    </row>
    <row r="4" spans="2:31" ht="121.75" customHeight="1">
      <c r="B4" s="549"/>
      <c r="C4"/>
      <c r="D4" s="550"/>
      <c r="E4" s="550"/>
      <c r="F4" s="551"/>
      <c r="G4" s="550"/>
      <c r="H4" s="550"/>
      <c r="I4" s="550"/>
      <c r="J4"/>
      <c r="K4" s="796"/>
      <c r="L4" s="550"/>
      <c r="M4" s="550"/>
      <c r="N4" s="551"/>
      <c r="O4"/>
      <c r="P4" s="550"/>
      <c r="Q4" s="550"/>
      <c r="R4" s="552"/>
    </row>
    <row r="5" spans="2:31" s="556" customFormat="1">
      <c r="B5" s="553" t="s">
        <v>454</v>
      </c>
      <c r="C5" s="554" t="s">
        <v>570</v>
      </c>
      <c r="D5" s="554"/>
      <c r="E5" s="554"/>
      <c r="F5" s="555"/>
      <c r="G5" s="554" t="s">
        <v>576</v>
      </c>
      <c r="H5" s="554"/>
      <c r="I5" s="554"/>
      <c r="J5" s="555"/>
      <c r="K5" s="554" t="s">
        <v>583</v>
      </c>
      <c r="L5" s="554"/>
      <c r="M5" s="554"/>
      <c r="N5" s="555"/>
      <c r="O5" s="554" t="s">
        <v>589</v>
      </c>
      <c r="P5" s="554"/>
      <c r="Q5" s="554"/>
      <c r="R5" s="555"/>
      <c r="Y5" s="580"/>
      <c r="AB5" s="581"/>
    </row>
    <row r="6" spans="2:31" s="556" customFormat="1" ht="16">
      <c r="B6" s="553" t="s">
        <v>455</v>
      </c>
      <c r="C6" s="554" t="s">
        <v>570</v>
      </c>
      <c r="D6" s="554"/>
      <c r="E6" s="554"/>
      <c r="F6" s="555"/>
      <c r="G6" s="573" t="s">
        <v>577</v>
      </c>
      <c r="H6" s="554"/>
      <c r="I6" s="554"/>
      <c r="J6" s="555"/>
      <c r="K6" s="554" t="s">
        <v>584</v>
      </c>
      <c r="L6" s="554"/>
      <c r="M6" s="554"/>
      <c r="N6" s="555"/>
      <c r="O6" s="557" t="s">
        <v>590</v>
      </c>
      <c r="P6" s="554"/>
      <c r="Q6" s="554"/>
      <c r="R6" s="555"/>
      <c r="Y6" s="581"/>
      <c r="AB6" s="581"/>
    </row>
    <row r="7" spans="2:31" s="556" customFormat="1">
      <c r="B7" s="553" t="s">
        <v>218</v>
      </c>
      <c r="C7" s="554" t="s">
        <v>490</v>
      </c>
      <c r="D7" s="554"/>
      <c r="E7" s="554"/>
      <c r="F7" s="555"/>
      <c r="G7" s="554" t="s">
        <v>490</v>
      </c>
      <c r="H7" s="554"/>
      <c r="I7" s="554"/>
      <c r="J7" s="555"/>
      <c r="K7" s="554" t="s">
        <v>490</v>
      </c>
      <c r="L7" s="554"/>
      <c r="M7" s="554"/>
      <c r="N7" s="555"/>
      <c r="O7" s="554" t="s">
        <v>490</v>
      </c>
      <c r="P7" s="554"/>
      <c r="Q7" s="554"/>
      <c r="R7" s="555"/>
      <c r="X7" s="581"/>
      <c r="Y7" s="581"/>
      <c r="AB7" s="581"/>
    </row>
    <row r="8" spans="2:31" s="556" customFormat="1">
      <c r="B8" s="553" t="s">
        <v>456</v>
      </c>
      <c r="C8" s="554" t="s">
        <v>450</v>
      </c>
      <c r="D8" s="554"/>
      <c r="E8" s="554"/>
      <c r="F8" s="555"/>
      <c r="G8" s="554" t="s">
        <v>578</v>
      </c>
      <c r="H8" s="554"/>
      <c r="I8" s="554"/>
      <c r="J8" s="555"/>
      <c r="K8" s="554" t="s">
        <v>578</v>
      </c>
      <c r="L8" s="554"/>
      <c r="M8" s="554"/>
      <c r="N8" s="555"/>
      <c r="O8" s="554" t="s">
        <v>591</v>
      </c>
      <c r="P8" s="554"/>
      <c r="Q8" s="554"/>
      <c r="R8" s="555"/>
    </row>
    <row r="9" spans="2:31" s="556" customFormat="1" outlineLevel="1">
      <c r="B9" s="553" t="s">
        <v>457</v>
      </c>
      <c r="C9" s="583">
        <v>427</v>
      </c>
      <c r="D9" s="554"/>
      <c r="E9" s="554"/>
      <c r="F9" s="555"/>
      <c r="G9" s="554" t="s">
        <v>462</v>
      </c>
      <c r="H9" s="558"/>
      <c r="I9" s="558"/>
      <c r="J9" s="559"/>
      <c r="K9" s="560" t="s">
        <v>462</v>
      </c>
      <c r="L9" s="561"/>
      <c r="M9" s="561"/>
      <c r="N9" s="562"/>
      <c r="O9" s="558" t="s">
        <v>462</v>
      </c>
      <c r="P9" s="558"/>
      <c r="Q9" s="558"/>
      <c r="R9" s="559"/>
    </row>
    <row r="10" spans="2:31" s="556" customFormat="1">
      <c r="B10" s="553" t="s">
        <v>458</v>
      </c>
      <c r="C10" s="554" t="s">
        <v>571</v>
      </c>
      <c r="D10" s="554"/>
      <c r="E10" s="554"/>
      <c r="F10" s="555"/>
      <c r="G10" s="558" t="s">
        <v>239</v>
      </c>
      <c r="H10" s="554"/>
      <c r="I10" s="554"/>
      <c r="J10" s="555"/>
      <c r="K10" s="554" t="s">
        <v>239</v>
      </c>
      <c r="L10" s="554"/>
      <c r="M10" s="554"/>
      <c r="N10" s="555"/>
      <c r="O10" s="554" t="s">
        <v>571</v>
      </c>
      <c r="P10" s="554"/>
      <c r="Q10" s="554"/>
      <c r="R10" s="555"/>
    </row>
    <row r="11" spans="2:31" s="556" customFormat="1">
      <c r="B11" s="553" t="s">
        <v>483</v>
      </c>
      <c r="C11" s="554">
        <v>1968</v>
      </c>
      <c r="D11" s="554"/>
      <c r="E11" s="554"/>
      <c r="F11" s="555"/>
      <c r="G11" s="554">
        <v>1948</v>
      </c>
      <c r="H11" s="570"/>
      <c r="I11" s="570"/>
      <c r="J11" s="571"/>
      <c r="K11" s="554">
        <v>2018</v>
      </c>
      <c r="L11" s="554"/>
      <c r="M11" s="554"/>
      <c r="N11" s="555"/>
      <c r="O11" s="554">
        <v>1975</v>
      </c>
      <c r="P11" s="554"/>
      <c r="Q11" s="554"/>
      <c r="R11" s="555"/>
    </row>
    <row r="12" spans="2:31" s="556" customFormat="1">
      <c r="B12" s="553"/>
      <c r="C12" s="554"/>
      <c r="D12" s="554"/>
      <c r="E12" s="554"/>
      <c r="F12" s="555"/>
      <c r="G12" s="554"/>
      <c r="H12" s="554"/>
      <c r="I12" s="554"/>
      <c r="J12" s="555"/>
      <c r="K12" s="554"/>
      <c r="L12" s="554"/>
      <c r="M12" s="554"/>
      <c r="N12" s="555"/>
      <c r="O12" s="554"/>
      <c r="P12" s="554"/>
      <c r="Q12" s="554"/>
      <c r="R12" s="555"/>
    </row>
    <row r="13" spans="2:31" s="556" customFormat="1">
      <c r="B13" s="563" t="s">
        <v>459</v>
      </c>
      <c r="C13" s="564"/>
      <c r="D13" s="565"/>
      <c r="E13" s="564"/>
      <c r="F13" s="566"/>
      <c r="G13" s="564"/>
      <c r="H13" s="565"/>
      <c r="I13" s="564"/>
      <c r="J13" s="566"/>
      <c r="K13" s="564"/>
      <c r="L13" s="565"/>
      <c r="M13" s="564"/>
      <c r="N13" s="566"/>
      <c r="O13" s="564"/>
      <c r="P13" s="565"/>
      <c r="Q13" s="564"/>
      <c r="R13" s="566"/>
    </row>
    <row r="14" spans="2:31" s="556" customFormat="1">
      <c r="B14" s="567" t="s">
        <v>460</v>
      </c>
      <c r="C14" s="568">
        <v>54886</v>
      </c>
      <c r="D14" s="554"/>
      <c r="E14" s="554"/>
      <c r="F14" s="555"/>
      <c r="G14" s="568" t="s">
        <v>462</v>
      </c>
      <c r="H14" s="554"/>
      <c r="I14" s="554"/>
      <c r="J14" s="555"/>
      <c r="K14" s="568">
        <v>435164</v>
      </c>
      <c r="L14" s="554"/>
      <c r="M14" s="554"/>
      <c r="N14" s="555"/>
      <c r="O14" s="568">
        <v>509652</v>
      </c>
      <c r="P14" s="554"/>
      <c r="Q14" s="554"/>
      <c r="R14" s="555"/>
    </row>
    <row r="15" spans="2:31" s="556" customFormat="1">
      <c r="B15" s="567" t="s">
        <v>461</v>
      </c>
      <c r="C15" s="568">
        <v>60955</v>
      </c>
      <c r="D15" s="554"/>
      <c r="E15" s="554"/>
      <c r="F15" s="555"/>
      <c r="G15" s="568" t="s">
        <v>462</v>
      </c>
      <c r="H15" s="554"/>
      <c r="I15" s="554"/>
      <c r="J15" s="555"/>
      <c r="K15" s="568">
        <v>160000</v>
      </c>
      <c r="L15" s="554"/>
      <c r="M15" s="554"/>
      <c r="N15" s="555"/>
      <c r="O15" s="568">
        <v>174802</v>
      </c>
      <c r="P15" s="554"/>
      <c r="Q15" s="554"/>
      <c r="R15" s="555"/>
      <c r="W15" s="544"/>
      <c r="X15" s="544"/>
      <c r="Y15" s="544"/>
      <c r="Z15" s="544"/>
      <c r="AA15" s="544"/>
      <c r="AB15" s="544"/>
      <c r="AC15" s="544"/>
      <c r="AD15" s="544"/>
      <c r="AE15" s="544"/>
    </row>
    <row r="16" spans="2:31" s="556" customFormat="1" ht="15" customHeight="1">
      <c r="B16" s="567" t="s">
        <v>482</v>
      </c>
      <c r="C16" s="569" t="s">
        <v>567</v>
      </c>
      <c r="D16" s="554"/>
      <c r="E16" s="554"/>
      <c r="F16" s="555"/>
      <c r="G16" s="587" t="s">
        <v>579</v>
      </c>
      <c r="H16" s="561"/>
      <c r="I16" s="561"/>
      <c r="J16" s="562"/>
      <c r="K16" s="588" t="s">
        <v>462</v>
      </c>
      <c r="L16" s="561"/>
      <c r="M16" s="561"/>
      <c r="N16" s="562"/>
      <c r="O16" s="582" t="s">
        <v>592</v>
      </c>
      <c r="P16" s="570"/>
      <c r="Q16" s="570"/>
      <c r="R16" s="571"/>
      <c r="Y16" s="580"/>
      <c r="AB16" s="581"/>
    </row>
    <row r="17" spans="2:28" s="556" customFormat="1">
      <c r="B17" s="567" t="s">
        <v>463</v>
      </c>
      <c r="C17" s="584" t="s">
        <v>462</v>
      </c>
      <c r="D17" s="554"/>
      <c r="E17" s="554"/>
      <c r="F17" s="555"/>
      <c r="G17" s="568" t="s">
        <v>462</v>
      </c>
      <c r="H17" s="554"/>
      <c r="I17" s="554"/>
      <c r="J17" s="555"/>
      <c r="K17" s="568" t="s">
        <v>585</v>
      </c>
      <c r="L17" s="554"/>
      <c r="M17" s="554"/>
      <c r="N17" s="555"/>
      <c r="O17" s="568" t="s">
        <v>462</v>
      </c>
      <c r="P17" s="554"/>
      <c r="Q17" s="554"/>
      <c r="R17" s="555"/>
      <c r="Y17" s="581"/>
      <c r="AB17" s="581"/>
    </row>
    <row r="18" spans="2:28" s="556" customFormat="1">
      <c r="B18" s="567" t="s">
        <v>449</v>
      </c>
      <c r="C18" s="561" t="s">
        <v>594</v>
      </c>
      <c r="D18" s="561"/>
      <c r="E18" s="561"/>
      <c r="F18" s="562"/>
      <c r="G18" s="554" t="s">
        <v>462</v>
      </c>
      <c r="H18" s="554"/>
      <c r="I18" s="554"/>
      <c r="J18" s="555"/>
      <c r="K18" s="554" t="s">
        <v>462</v>
      </c>
      <c r="L18" s="554"/>
      <c r="M18" s="554"/>
      <c r="N18" s="555"/>
      <c r="O18" s="554" t="s">
        <v>593</v>
      </c>
      <c r="P18" s="554"/>
      <c r="Q18" s="554"/>
      <c r="R18" s="555"/>
      <c r="X18" s="581"/>
      <c r="Y18" s="581"/>
      <c r="AB18" s="581"/>
    </row>
    <row r="19" spans="2:28" s="556" customFormat="1">
      <c r="B19" s="567" t="s">
        <v>448</v>
      </c>
      <c r="C19" s="561" t="s">
        <v>572</v>
      </c>
      <c r="D19" s="554"/>
      <c r="E19" s="554"/>
      <c r="F19" s="555"/>
      <c r="G19" s="554" t="s">
        <v>580</v>
      </c>
      <c r="H19" s="554"/>
      <c r="I19" s="554"/>
      <c r="J19" s="555"/>
      <c r="K19" s="554" t="s">
        <v>580</v>
      </c>
      <c r="L19" s="554"/>
      <c r="M19" s="554"/>
      <c r="N19" s="555"/>
      <c r="O19" s="554" t="s">
        <v>595</v>
      </c>
      <c r="P19" s="554"/>
      <c r="Q19" s="554"/>
      <c r="R19" s="555"/>
    </row>
    <row r="20" spans="2:28" s="556" customFormat="1">
      <c r="B20" s="567" t="s">
        <v>464</v>
      </c>
      <c r="C20" s="554" t="s">
        <v>434</v>
      </c>
      <c r="D20" s="554"/>
      <c r="E20" s="554"/>
      <c r="F20" s="555"/>
      <c r="G20" s="554" t="s">
        <v>434</v>
      </c>
      <c r="H20" s="554"/>
      <c r="I20" s="554"/>
      <c r="J20" s="555"/>
      <c r="K20" s="554" t="s">
        <v>434</v>
      </c>
      <c r="L20" s="554"/>
      <c r="M20" s="554"/>
      <c r="N20" s="555"/>
      <c r="O20" s="554" t="s">
        <v>434</v>
      </c>
      <c r="P20" s="554"/>
      <c r="Q20" s="554"/>
      <c r="R20" s="555"/>
    </row>
    <row r="21" spans="2:28" s="556" customFormat="1" hidden="1" outlineLevel="1">
      <c r="B21" s="567" t="s">
        <v>465</v>
      </c>
      <c r="C21" s="570"/>
      <c r="D21" s="570"/>
      <c r="E21" s="570"/>
      <c r="F21" s="571"/>
      <c r="G21" s="570"/>
      <c r="H21" s="570"/>
      <c r="I21" s="570"/>
      <c r="J21" s="571"/>
      <c r="K21" s="554"/>
      <c r="L21" s="554"/>
      <c r="M21" s="554"/>
      <c r="N21" s="555"/>
      <c r="O21" s="570"/>
      <c r="P21" s="554"/>
      <c r="Q21" s="554"/>
      <c r="R21" s="555"/>
    </row>
    <row r="22" spans="2:28" s="556" customFormat="1" hidden="1" outlineLevel="1">
      <c r="B22" s="567" t="s">
        <v>466</v>
      </c>
      <c r="C22" s="570"/>
      <c r="D22" s="570"/>
      <c r="E22" s="570"/>
      <c r="F22" s="571"/>
      <c r="G22" s="570"/>
      <c r="H22" s="570"/>
      <c r="I22" s="570"/>
      <c r="J22" s="571"/>
      <c r="K22" s="554"/>
      <c r="L22" s="554"/>
      <c r="M22" s="554"/>
      <c r="N22" s="555"/>
      <c r="O22" s="570"/>
      <c r="P22" s="554"/>
      <c r="Q22" s="554"/>
      <c r="R22" s="555"/>
    </row>
    <row r="23" spans="2:28" s="575" customFormat="1" ht="72.75" customHeight="1" collapsed="1">
      <c r="B23" s="572" t="s">
        <v>467</v>
      </c>
      <c r="C23" s="573" t="s">
        <v>573</v>
      </c>
      <c r="D23" s="573"/>
      <c r="E23" s="573"/>
      <c r="F23" s="574"/>
      <c r="G23" s="573" t="s">
        <v>586</v>
      </c>
      <c r="H23" s="573"/>
      <c r="I23" s="573"/>
      <c r="J23" s="574"/>
      <c r="K23" s="573" t="s">
        <v>586</v>
      </c>
      <c r="L23" s="573"/>
      <c r="M23" s="573"/>
      <c r="N23" s="574"/>
      <c r="O23" s="573" t="s">
        <v>586</v>
      </c>
      <c r="P23" s="573"/>
      <c r="Q23" s="573"/>
      <c r="R23" s="574"/>
    </row>
    <row r="24" spans="2:28" s="575" customFormat="1" ht="33.75" customHeight="1">
      <c r="B24" s="572" t="s">
        <v>598</v>
      </c>
      <c r="C24" s="573" t="s">
        <v>599</v>
      </c>
      <c r="D24" s="573"/>
      <c r="E24" s="573"/>
      <c r="F24" s="574"/>
      <c r="G24" s="573" t="s">
        <v>600</v>
      </c>
      <c r="H24" s="573"/>
      <c r="I24" s="573"/>
      <c r="J24" s="574"/>
      <c r="K24" s="573" t="s">
        <v>602</v>
      </c>
      <c r="L24" s="573"/>
      <c r="M24" s="573"/>
      <c r="N24" s="574"/>
      <c r="O24" s="573" t="s">
        <v>601</v>
      </c>
      <c r="P24" s="573"/>
      <c r="Q24" s="573"/>
      <c r="R24" s="574"/>
    </row>
    <row r="25" spans="2:28" s="556" customFormat="1" ht="63.75" customHeight="1">
      <c r="B25" s="567" t="s">
        <v>468</v>
      </c>
      <c r="C25" s="573" t="s">
        <v>574</v>
      </c>
      <c r="D25" s="573"/>
      <c r="E25" s="573"/>
      <c r="F25" s="574"/>
      <c r="G25" s="1646" t="s">
        <v>581</v>
      </c>
      <c r="H25" s="1647"/>
      <c r="I25" s="1647"/>
      <c r="J25" s="1648"/>
      <c r="K25" s="573" t="s">
        <v>587</v>
      </c>
      <c r="L25" s="554"/>
      <c r="M25" s="554"/>
      <c r="N25" s="555"/>
      <c r="O25" s="573" t="s">
        <v>596</v>
      </c>
      <c r="P25" s="554"/>
      <c r="Q25" s="554"/>
      <c r="R25" s="555"/>
    </row>
    <row r="26" spans="2:28" s="556" customFormat="1" ht="58.5" customHeight="1" thickBot="1">
      <c r="B26" s="576" t="s">
        <v>469</v>
      </c>
      <c r="C26" s="577" t="s">
        <v>575</v>
      </c>
      <c r="D26" s="577"/>
      <c r="E26" s="577"/>
      <c r="F26" s="578"/>
      <c r="G26" s="577" t="s">
        <v>582</v>
      </c>
      <c r="H26" s="577"/>
      <c r="I26" s="577"/>
      <c r="J26" s="578"/>
      <c r="K26" s="577" t="s">
        <v>588</v>
      </c>
      <c r="L26" s="577"/>
      <c r="M26" s="577"/>
      <c r="N26" s="578"/>
      <c r="O26" s="577" t="s">
        <v>597</v>
      </c>
      <c r="P26" s="577"/>
      <c r="Q26" s="577"/>
      <c r="R26" s="578"/>
    </row>
    <row r="27" spans="2:28" s="556" customFormat="1" ht="17.5" customHeight="1">
      <c r="B27" s="579" t="s">
        <v>470</v>
      </c>
      <c r="G27" s="556" t="s">
        <v>141</v>
      </c>
    </row>
    <row r="33" spans="2:7">
      <c r="B33"/>
      <c r="C33"/>
      <c r="D33"/>
      <c r="E33"/>
      <c r="F33"/>
      <c r="G33"/>
    </row>
    <row r="34" spans="2:7">
      <c r="B34"/>
      <c r="C34"/>
      <c r="D34"/>
      <c r="E34"/>
      <c r="F34"/>
      <c r="G34"/>
    </row>
    <row r="35" spans="2:7">
      <c r="B35"/>
      <c r="C35"/>
      <c r="D35"/>
      <c r="E35"/>
      <c r="F35"/>
      <c r="G35"/>
    </row>
    <row r="36" spans="2:7">
      <c r="B36"/>
      <c r="C36"/>
      <c r="D36"/>
      <c r="E36"/>
      <c r="F36"/>
      <c r="G36"/>
    </row>
    <row r="37" spans="2:7">
      <c r="B37"/>
      <c r="C37"/>
      <c r="D37"/>
      <c r="E37"/>
      <c r="F37"/>
      <c r="G37"/>
    </row>
    <row r="38" spans="2:7">
      <c r="B38"/>
      <c r="C38"/>
      <c r="D38"/>
      <c r="E38"/>
      <c r="F38"/>
      <c r="G38"/>
    </row>
    <row r="39" spans="2:7">
      <c r="B39"/>
      <c r="C39"/>
      <c r="D39"/>
      <c r="E39"/>
      <c r="F39"/>
      <c r="G39"/>
    </row>
    <row r="40" spans="2:7">
      <c r="B40"/>
      <c r="C40"/>
      <c r="D40"/>
      <c r="E40"/>
      <c r="F40"/>
      <c r="G40"/>
    </row>
    <row r="41" spans="2:7">
      <c r="B41"/>
      <c r="C41"/>
      <c r="D41"/>
      <c r="E41"/>
      <c r="F41"/>
      <c r="G41"/>
    </row>
  </sheetData>
  <mergeCells count="1">
    <mergeCell ref="G25:J25"/>
  </mergeCells>
  <pageMargins left="0.61" right="0.21" top="0.47" bottom="0.5" header="0.5" footer="0.5"/>
  <pageSetup scale="67" fitToHeight="0" orientation="landscape" horizontalDpi="4294967292"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543E9-72B1-4ECE-ABFC-E651E0603439}">
  <dimension ref="C2:P29"/>
  <sheetViews>
    <sheetView workbookViewId="0">
      <selection activeCell="D11" sqref="D11"/>
    </sheetView>
  </sheetViews>
  <sheetFormatPr baseColWidth="10" defaultColWidth="9.1640625" defaultRowHeight="12"/>
  <cols>
    <col min="1" max="1" width="9.1640625" style="605"/>
    <col min="2" max="2" width="1" style="605" customWidth="1"/>
    <col min="3" max="3" width="20.6640625" style="605" bestFit="1" customWidth="1"/>
    <col min="4" max="4" width="14.5" style="605" bestFit="1" customWidth="1"/>
    <col min="5" max="5" width="13.83203125" style="605" customWidth="1"/>
    <col min="6" max="6" width="11.6640625" style="605" bestFit="1" customWidth="1"/>
    <col min="7" max="7" width="18" style="605" customWidth="1"/>
    <col min="8" max="8" width="14" style="605" customWidth="1"/>
    <col min="9" max="9" width="1.6640625" style="605" customWidth="1"/>
    <col min="10" max="10" width="1" style="605" customWidth="1"/>
    <col min="11" max="16384" width="9.1640625" style="605"/>
  </cols>
  <sheetData>
    <row r="2" spans="3:16" ht="4.5" customHeight="1"/>
    <row r="3" spans="3:16" s="606" customFormat="1" ht="18.75" customHeight="1">
      <c r="C3" s="607" t="s">
        <v>504</v>
      </c>
      <c r="D3" s="608"/>
      <c r="E3" s="609" t="s">
        <v>505</v>
      </c>
      <c r="F3" s="610"/>
      <c r="G3" s="611" t="s">
        <v>86</v>
      </c>
      <c r="H3" s="612"/>
    </row>
    <row r="4" spans="3:16" s="606" customFormat="1" ht="18.75" customHeight="1">
      <c r="C4" s="613" t="s">
        <v>86</v>
      </c>
      <c r="D4" s="614">
        <f>+Charts!I14*1000</f>
        <v>21795794</v>
      </c>
      <c r="E4" s="615">
        <f>+D4/Assumptions!$F$7</f>
        <v>525.59246666184379</v>
      </c>
      <c r="F4" s="610"/>
      <c r="G4" s="613" t="s">
        <v>506</v>
      </c>
      <c r="H4" s="616">
        <f>+H10/12</f>
        <v>4</v>
      </c>
      <c r="J4" s="617"/>
      <c r="K4" s="618"/>
    </row>
    <row r="5" spans="3:16" s="606" customFormat="1" ht="18.75" customHeight="1">
      <c r="C5" s="613" t="s">
        <v>90</v>
      </c>
      <c r="D5" s="614">
        <f ca="1">+D6-D4</f>
        <v>19812074.274450429</v>
      </c>
      <c r="E5" s="615">
        <f ca="1">+D5/Assumptions!$F$7</f>
        <v>477.756258276072</v>
      </c>
      <c r="F5" s="610"/>
      <c r="G5" s="613" t="s">
        <v>68</v>
      </c>
      <c r="H5" s="695">
        <f>+Assumptions!F52</f>
        <v>0.5661074489963589</v>
      </c>
    </row>
    <row r="6" spans="3:16" s="606" customFormat="1" ht="18.75" customHeight="1">
      <c r="C6" s="619" t="s">
        <v>67</v>
      </c>
      <c r="D6" s="620">
        <f ca="1">+Assumptions!J64*1000</f>
        <v>41607868.274450429</v>
      </c>
      <c r="E6" s="621">
        <f ca="1">+D6/Assumptions!$F$7</f>
        <v>1003.3487249379158</v>
      </c>
      <c r="F6" s="610"/>
      <c r="G6" s="613" t="s">
        <v>81</v>
      </c>
      <c r="H6" s="622" t="s">
        <v>507</v>
      </c>
    </row>
    <row r="7" spans="3:16" s="606" customFormat="1" ht="18.75" customHeight="1">
      <c r="C7" s="610"/>
      <c r="D7" s="610"/>
      <c r="E7" s="610"/>
      <c r="F7" s="610"/>
      <c r="G7" s="623" t="s">
        <v>476</v>
      </c>
      <c r="H7" s="624" t="s">
        <v>508</v>
      </c>
    </row>
    <row r="8" spans="3:16" s="606" customFormat="1" ht="18.75" customHeight="1">
      <c r="C8" s="625" t="s">
        <v>509</v>
      </c>
      <c r="D8" s="626"/>
      <c r="E8" s="609" t="s">
        <v>505</v>
      </c>
      <c r="F8" s="610"/>
      <c r="G8" s="610"/>
      <c r="H8" s="610"/>
    </row>
    <row r="9" spans="3:16" s="606" customFormat="1" ht="18.75" customHeight="1">
      <c r="C9" s="627" t="s">
        <v>27</v>
      </c>
      <c r="D9" s="628">
        <f>+Assumptions!C12*1000</f>
        <v>30000000</v>
      </c>
      <c r="E9" s="629">
        <f>+D9/Assumptions!$F$7</f>
        <v>723.43196122404686</v>
      </c>
      <c r="F9" s="610"/>
      <c r="G9" s="611" t="s">
        <v>12</v>
      </c>
      <c r="H9" s="612"/>
    </row>
    <row r="10" spans="3:16" s="606" customFormat="1" ht="18.75" customHeight="1">
      <c r="C10" s="613" t="s">
        <v>510</v>
      </c>
      <c r="D10" s="614">
        <f ca="1">+SUM(Assumptions!J56:J62)*1000</f>
        <v>7329777.6644504257</v>
      </c>
      <c r="E10" s="615">
        <f ca="1">+D10/Assumptions!$F$7</f>
        <v>176.75318103765284</v>
      </c>
      <c r="F10" s="610"/>
      <c r="G10" s="613" t="s">
        <v>511</v>
      </c>
      <c r="H10" s="630">
        <v>48</v>
      </c>
    </row>
    <row r="11" spans="3:16" s="606" customFormat="1" ht="18.75" customHeight="1">
      <c r="C11" s="613" t="s">
        <v>512</v>
      </c>
      <c r="D11" s="614">
        <f ca="1">+SUM(Assumptions!J54, Assumptions!J63)*1000</f>
        <v>1805090.61</v>
      </c>
      <c r="E11" s="615">
        <f ca="1">+D11/Assumptions!$F$7</f>
        <v>43.528674672647043</v>
      </c>
      <c r="F11" s="610"/>
      <c r="G11" s="613" t="s">
        <v>513</v>
      </c>
      <c r="H11" s="622">
        <f>+Assumptions!L22</f>
        <v>0.05</v>
      </c>
    </row>
    <row r="12" spans="3:16" s="606" customFormat="1" ht="18.75" customHeight="1">
      <c r="C12" s="623" t="s">
        <v>514</v>
      </c>
      <c r="D12" s="631">
        <v>0</v>
      </c>
      <c r="E12" s="632">
        <f>+D12/Assumptions!$F$7</f>
        <v>0</v>
      </c>
      <c r="F12" s="610"/>
      <c r="G12" s="613" t="s">
        <v>515</v>
      </c>
      <c r="H12" s="633">
        <f ca="1">+Assumptions!L27*1000</f>
        <v>53909574.000000007</v>
      </c>
    </row>
    <row r="13" spans="3:16" s="606" customFormat="1" ht="18.75" customHeight="1">
      <c r="C13" s="619" t="s">
        <v>59</v>
      </c>
      <c r="D13" s="620">
        <f ca="1">SUM(D9:D12)</f>
        <v>39134868.274450421</v>
      </c>
      <c r="E13" s="621">
        <f ca="1">+D13/Assumptions!$F$7</f>
        <v>943.7138169343466</v>
      </c>
      <c r="F13" s="610"/>
      <c r="G13" s="634" t="s">
        <v>505</v>
      </c>
      <c r="H13" s="635">
        <f ca="1">+H12/Assumptions!$F$7</f>
        <v>1299.9969615857631</v>
      </c>
    </row>
    <row r="14" spans="3:16" s="606" customFormat="1" ht="18.75" customHeight="1">
      <c r="C14" s="636"/>
      <c r="F14" s="610"/>
      <c r="G14" s="610"/>
      <c r="H14" s="610"/>
    </row>
    <row r="15" spans="3:16" s="606" customFormat="1" ht="18.75" customHeight="1">
      <c r="F15" s="610"/>
      <c r="G15" s="611" t="s">
        <v>516</v>
      </c>
      <c r="H15" s="612"/>
    </row>
    <row r="16" spans="3:16" s="606" customFormat="1" ht="18.75" customHeight="1">
      <c r="C16" s="610"/>
      <c r="D16" s="610"/>
      <c r="E16" s="610"/>
      <c r="F16" s="610"/>
      <c r="G16" s="613" t="s">
        <v>10</v>
      </c>
      <c r="H16" s="630" t="s">
        <v>517</v>
      </c>
      <c r="P16" s="606" t="s">
        <v>518</v>
      </c>
    </row>
    <row r="17" spans="3:8" s="606" customFormat="1" ht="18.75" customHeight="1">
      <c r="C17" s="610"/>
      <c r="D17" s="610"/>
      <c r="E17" s="610"/>
      <c r="F17" s="610"/>
      <c r="G17" s="623" t="s">
        <v>9</v>
      </c>
      <c r="H17" s="624" t="s">
        <v>519</v>
      </c>
    </row>
    <row r="18" spans="3:8" ht="4.5" customHeight="1"/>
    <row r="29" spans="3:8">
      <c r="H29" s="605" t="s">
        <v>518</v>
      </c>
    </row>
  </sheetData>
  <pageMargins left="0.7" right="0.7" top="0.75" bottom="0.75" header="0.3" footer="0.3"/>
  <pageSetup orientation="portrait"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C8C3E-C901-4A18-ACA9-712C8CECE5E6}">
  <dimension ref="C2:I24"/>
  <sheetViews>
    <sheetView showGridLines="0" workbookViewId="0">
      <selection sqref="A1:H1"/>
    </sheetView>
  </sheetViews>
  <sheetFormatPr baseColWidth="10" defaultColWidth="9.1640625" defaultRowHeight="15" outlineLevelRow="1"/>
  <cols>
    <col min="1" max="2" width="9.1640625" style="637"/>
    <col min="3" max="3" width="27.5" style="637" customWidth="1"/>
    <col min="4" max="4" width="17.83203125" style="637" bestFit="1" customWidth="1"/>
    <col min="5" max="5" width="30.6640625" style="637" bestFit="1" customWidth="1"/>
    <col min="6" max="8" width="15.5" style="637" customWidth="1"/>
    <col min="9" max="9" width="34.5" style="637" customWidth="1"/>
    <col min="10" max="10" width="9.1640625" style="637" customWidth="1"/>
    <col min="11" max="16384" width="9.1640625" style="637"/>
  </cols>
  <sheetData>
    <row r="2" spans="3:9">
      <c r="C2" s="638" t="s">
        <v>520</v>
      </c>
      <c r="D2" s="639"/>
      <c r="E2" s="639"/>
      <c r="F2" s="639"/>
      <c r="G2" s="639"/>
      <c r="H2" s="639"/>
    </row>
    <row r="3" spans="3:9">
      <c r="C3" s="640" t="s">
        <v>475</v>
      </c>
      <c r="D3" s="641" t="s">
        <v>218</v>
      </c>
      <c r="E3" s="641" t="s">
        <v>478</v>
      </c>
      <c r="F3" s="641" t="s">
        <v>477</v>
      </c>
      <c r="G3" s="641" t="s">
        <v>471</v>
      </c>
      <c r="H3" s="642" t="s">
        <v>521</v>
      </c>
    </row>
    <row r="4" spans="3:9">
      <c r="C4" s="643" t="s">
        <v>485</v>
      </c>
      <c r="D4" s="644" t="s">
        <v>490</v>
      </c>
      <c r="E4" s="644" t="s">
        <v>462</v>
      </c>
      <c r="F4" s="645">
        <v>43136</v>
      </c>
      <c r="G4" s="646">
        <v>7750</v>
      </c>
      <c r="H4" s="647">
        <v>32</v>
      </c>
    </row>
    <row r="5" spans="3:9">
      <c r="C5" s="648" t="s">
        <v>486</v>
      </c>
      <c r="D5" s="649" t="s">
        <v>490</v>
      </c>
      <c r="E5" s="649" t="s">
        <v>462</v>
      </c>
      <c r="F5" s="650">
        <v>43012</v>
      </c>
      <c r="G5" s="651">
        <v>10730</v>
      </c>
      <c r="H5" s="652">
        <v>33</v>
      </c>
    </row>
    <row r="6" spans="3:9">
      <c r="C6" s="648" t="s">
        <v>487</v>
      </c>
      <c r="D6" s="649" t="s">
        <v>490</v>
      </c>
      <c r="E6" s="649" t="s">
        <v>491</v>
      </c>
      <c r="F6" s="650">
        <v>43179</v>
      </c>
      <c r="G6" s="651">
        <v>2350</v>
      </c>
      <c r="H6" s="652">
        <v>39</v>
      </c>
    </row>
    <row r="7" spans="3:9">
      <c r="C7" s="648" t="s">
        <v>488</v>
      </c>
      <c r="D7" s="649" t="s">
        <v>490</v>
      </c>
      <c r="E7" s="649" t="s">
        <v>492</v>
      </c>
      <c r="F7" s="650">
        <v>43343</v>
      </c>
      <c r="G7" s="651">
        <v>81660</v>
      </c>
      <c r="H7" s="652">
        <v>35</v>
      </c>
    </row>
    <row r="8" spans="3:9">
      <c r="C8" s="648" t="s">
        <v>487</v>
      </c>
      <c r="D8" s="649" t="s">
        <v>490</v>
      </c>
      <c r="E8" s="649" t="s">
        <v>493</v>
      </c>
      <c r="F8" s="650">
        <v>43511</v>
      </c>
      <c r="G8" s="651">
        <v>800</v>
      </c>
      <c r="H8" s="652">
        <v>43.5</v>
      </c>
    </row>
    <row r="9" spans="3:9">
      <c r="C9" s="653" t="s">
        <v>489</v>
      </c>
      <c r="D9" s="654" t="s">
        <v>490</v>
      </c>
      <c r="E9" s="654" t="s">
        <v>494</v>
      </c>
      <c r="F9" s="655">
        <v>43312</v>
      </c>
      <c r="G9" s="656">
        <v>2358</v>
      </c>
      <c r="H9" s="657">
        <v>32</v>
      </c>
    </row>
    <row r="10" spans="3:9">
      <c r="C10" s="658" t="s">
        <v>522</v>
      </c>
      <c r="D10" s="659"/>
      <c r="E10" s="660"/>
      <c r="F10" s="660"/>
      <c r="G10" s="660">
        <f>AVERAGE(G4:G9)</f>
        <v>17608</v>
      </c>
      <c r="H10" s="661">
        <f>AVERAGE(H4:H9)</f>
        <v>35.75</v>
      </c>
    </row>
    <row r="11" spans="3:9">
      <c r="C11" s="662" t="s">
        <v>523</v>
      </c>
      <c r="D11" s="663" t="s">
        <v>490</v>
      </c>
      <c r="E11" s="663"/>
      <c r="F11" s="664"/>
      <c r="G11" s="664">
        <f>+Assumptions!F7</f>
        <v>41469</v>
      </c>
      <c r="H11" s="665" t="s">
        <v>531</v>
      </c>
      <c r="I11" s="666"/>
    </row>
    <row r="12" spans="3:9">
      <c r="C12" s="667" t="s">
        <v>532</v>
      </c>
    </row>
    <row r="13" spans="3:9">
      <c r="C13" s="667" t="s">
        <v>524</v>
      </c>
    </row>
    <row r="14" spans="3:9">
      <c r="C14" s="668" t="s">
        <v>525</v>
      </c>
      <c r="D14" s="668"/>
      <c r="E14" s="668"/>
      <c r="F14" s="668"/>
      <c r="G14" s="668"/>
      <c r="H14" s="668"/>
      <c r="I14" s="638" t="s">
        <v>141</v>
      </c>
    </row>
    <row r="15" spans="3:9">
      <c r="C15" s="669" t="s">
        <v>475</v>
      </c>
      <c r="D15" s="670" t="s">
        <v>526</v>
      </c>
      <c r="E15" s="670" t="s">
        <v>527</v>
      </c>
      <c r="F15" s="670" t="s">
        <v>473</v>
      </c>
      <c r="G15" s="670" t="s">
        <v>472</v>
      </c>
      <c r="H15" s="671" t="s">
        <v>528</v>
      </c>
    </row>
    <row r="16" spans="3:9">
      <c r="C16" s="672" t="s">
        <v>495</v>
      </c>
      <c r="D16" s="673">
        <v>2018</v>
      </c>
      <c r="E16" s="674">
        <v>81660</v>
      </c>
      <c r="F16" s="675">
        <v>43606</v>
      </c>
      <c r="G16" s="676">
        <v>49240000</v>
      </c>
      <c r="H16" s="677">
        <f>+G16/E16</f>
        <v>602.98799902032817</v>
      </c>
    </row>
    <row r="17" spans="3:9" outlineLevel="1">
      <c r="C17" s="672" t="s">
        <v>496</v>
      </c>
      <c r="D17" s="678" t="s">
        <v>529</v>
      </c>
      <c r="E17" s="651">
        <v>28092</v>
      </c>
      <c r="F17" s="679">
        <v>43572</v>
      </c>
      <c r="G17" s="680">
        <v>17000000</v>
      </c>
      <c r="H17" s="677">
        <f>+G17/E17</f>
        <v>605.15449238217286</v>
      </c>
    </row>
    <row r="18" spans="3:9" ht="16" outlineLevel="1" thickBot="1">
      <c r="C18" s="672" t="s">
        <v>497</v>
      </c>
      <c r="D18" s="678">
        <v>1930</v>
      </c>
      <c r="E18" s="651">
        <v>8500</v>
      </c>
      <c r="F18" s="679">
        <v>43178</v>
      </c>
      <c r="G18" s="680">
        <v>2631164</v>
      </c>
      <c r="H18" s="677">
        <f>+G18/E18</f>
        <v>309.54870588235292</v>
      </c>
    </row>
    <row r="19" spans="3:9" ht="16" outlineLevel="1" thickTop="1">
      <c r="C19" s="681" t="s">
        <v>522</v>
      </c>
      <c r="D19" s="682"/>
      <c r="E19" s="683"/>
      <c r="F19" s="684"/>
      <c r="G19" s="685">
        <f>AVERAGE(G16:G18)</f>
        <v>22957054.666666668</v>
      </c>
      <c r="H19" s="686">
        <f>SUM(G16:G18)/ SUM(E16:E18)</f>
        <v>582.41014105469674</v>
      </c>
    </row>
    <row r="20" spans="3:9" outlineLevel="1">
      <c r="C20" s="662" t="s">
        <v>523</v>
      </c>
      <c r="D20" s="687"/>
      <c r="E20" s="688">
        <f>+Assumptions!F7</f>
        <v>41469</v>
      </c>
      <c r="F20" s="689"/>
      <c r="G20" s="690">
        <f>+Assumptions!C12*1000</f>
        <v>30000000</v>
      </c>
      <c r="H20" s="691">
        <f>+G20/E20</f>
        <v>723.43196122404686</v>
      </c>
    </row>
    <row r="21" spans="3:9" outlineLevel="1">
      <c r="C21" s="692" t="s">
        <v>479</v>
      </c>
      <c r="D21" s="693"/>
      <c r="E21" s="693"/>
      <c r="F21" s="693"/>
      <c r="G21" s="693"/>
      <c r="H21" s="693"/>
      <c r="I21" s="694"/>
    </row>
    <row r="22" spans="3:9" outlineLevel="1">
      <c r="C22" s="692"/>
      <c r="D22" s="693"/>
      <c r="E22" s="693"/>
      <c r="F22" s="693"/>
      <c r="G22" s="693"/>
      <c r="H22" s="693"/>
    </row>
    <row r="23" spans="3:9" outlineLevel="1"/>
    <row r="24" spans="3:9" outlineLevel="1"/>
  </sheetData>
  <pageMargins left="0.7" right="0.7" top="0.75" bottom="0.75" header="0.3" footer="0.3"/>
  <pageSetup orientation="portrait" r:id="rId1"/>
  <ignoredErrors>
    <ignoredError sqref="H19" formula="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2FB08-96F5-4092-87B2-15EC9C4BBADD}">
  <dimension ref="A1:AK109"/>
  <sheetViews>
    <sheetView showGridLines="0" zoomScale="70" zoomScaleNormal="70" workbookViewId="0">
      <selection sqref="A1:H1"/>
    </sheetView>
  </sheetViews>
  <sheetFormatPr baseColWidth="10" defaultColWidth="8.83203125" defaultRowHeight="15" outlineLevelRow="1"/>
  <cols>
    <col min="1" max="2" width="8.83203125" style="773"/>
    <col min="3" max="3" width="35.5" style="773" bestFit="1" customWidth="1"/>
    <col min="4" max="4" width="16.6640625" style="773" bestFit="1" customWidth="1"/>
    <col min="5" max="5" width="17.6640625" style="773" bestFit="1" customWidth="1"/>
    <col min="6" max="6" width="16.6640625" style="773" customWidth="1"/>
    <col min="7" max="7" width="24.5" style="773" bestFit="1" customWidth="1"/>
    <col min="8" max="8" width="14.5" style="773" customWidth="1"/>
    <col min="9" max="9" width="14.5" style="784" customWidth="1"/>
    <col min="10" max="10" width="14.5" style="775" customWidth="1"/>
    <col min="11" max="11" width="8.83203125" style="773"/>
    <col min="12" max="12" width="104" style="773" bestFit="1" customWidth="1"/>
    <col min="13" max="13" width="8.83203125" style="773"/>
    <col min="14" max="14" width="10.6640625" style="773" customWidth="1"/>
    <col min="15" max="15" width="32.6640625" style="773" customWidth="1"/>
    <col min="16" max="16" width="22.6640625" style="773" customWidth="1"/>
    <col min="17" max="17" width="17.5" style="773" customWidth="1"/>
    <col min="18" max="18" width="22.6640625" style="773" bestFit="1" customWidth="1"/>
    <col min="19" max="19" width="22.6640625" style="773" customWidth="1"/>
    <col min="20" max="20" width="11.83203125" style="773" customWidth="1"/>
    <col min="21" max="21" width="16.33203125" style="774" customWidth="1"/>
    <col min="22" max="22" width="12.33203125" style="773" bestFit="1" customWidth="1"/>
    <col min="23" max="23" width="12.5" style="836" bestFit="1" customWidth="1"/>
    <col min="24" max="24" width="78.33203125" style="837" bestFit="1" customWidth="1"/>
    <col min="25" max="26" width="8.83203125" style="773"/>
    <col min="27" max="27" width="6.33203125" style="773" customWidth="1"/>
    <col min="28" max="28" width="25.5" style="773" bestFit="1" customWidth="1"/>
    <col min="29" max="29" width="28.83203125" style="773" customWidth="1"/>
    <col min="30" max="30" width="31.6640625" style="773" customWidth="1"/>
    <col min="31" max="31" width="16.1640625" style="773" customWidth="1"/>
    <col min="32" max="32" width="20.6640625" style="773" bestFit="1" customWidth="1"/>
    <col min="33" max="34" width="15" style="742" customWidth="1"/>
    <col min="35" max="37" width="18.83203125" style="742" customWidth="1"/>
    <col min="38" max="16384" width="8.83203125" style="773"/>
  </cols>
  <sheetData>
    <row r="1" spans="1:37" s="707" customFormat="1">
      <c r="A1" s="706"/>
      <c r="I1" s="708"/>
      <c r="J1" s="709"/>
      <c r="P1" s="710"/>
      <c r="Q1" s="710"/>
      <c r="R1" s="710"/>
      <c r="S1" s="710"/>
      <c r="T1" s="711"/>
      <c r="U1" s="712"/>
      <c r="V1" s="713"/>
      <c r="W1" s="714"/>
      <c r="X1" s="801"/>
      <c r="AG1" s="711"/>
      <c r="AH1" s="711"/>
      <c r="AI1" s="711"/>
      <c r="AJ1" s="711"/>
      <c r="AK1" s="711"/>
    </row>
    <row r="2" spans="1:37" s="707" customFormat="1">
      <c r="B2" s="715" t="str">
        <f>Assumptions!B2</f>
        <v>Chapman Plaza</v>
      </c>
      <c r="C2" s="715"/>
      <c r="D2" s="715"/>
      <c r="E2" s="715"/>
      <c r="F2" s="715"/>
      <c r="G2" s="715"/>
      <c r="H2" s="715"/>
      <c r="I2" s="716"/>
      <c r="J2" s="717"/>
      <c r="K2" s="715"/>
      <c r="L2" s="718"/>
      <c r="P2" s="710"/>
      <c r="Q2" s="710"/>
      <c r="R2" s="710"/>
      <c r="S2" s="710"/>
      <c r="T2" s="711"/>
      <c r="U2" s="712"/>
      <c r="V2" s="713"/>
      <c r="W2" s="714"/>
      <c r="X2" s="801"/>
      <c r="AG2" s="711"/>
      <c r="AH2" s="711"/>
      <c r="AI2" s="711"/>
      <c r="AJ2" s="711"/>
      <c r="AK2" s="711"/>
    </row>
    <row r="3" spans="1:37" s="707" customFormat="1">
      <c r="B3" s="719" t="s">
        <v>533</v>
      </c>
      <c r="C3" s="719"/>
      <c r="D3" s="719"/>
      <c r="E3" s="719"/>
      <c r="F3" s="719"/>
      <c r="G3" s="719"/>
      <c r="H3" s="719"/>
      <c r="I3" s="720"/>
      <c r="J3" s="721"/>
      <c r="K3" s="719"/>
      <c r="P3" s="710"/>
      <c r="Q3" s="710"/>
      <c r="R3" s="710"/>
      <c r="S3" s="710"/>
      <c r="T3" s="711"/>
      <c r="U3" s="712"/>
      <c r="V3" s="713"/>
      <c r="W3" s="714"/>
      <c r="X3" s="801"/>
      <c r="AG3" s="711"/>
      <c r="AH3" s="711"/>
      <c r="AI3" s="711"/>
      <c r="AJ3" s="711"/>
      <c r="AK3" s="711"/>
    </row>
    <row r="4" spans="1:37" s="707" customFormat="1" collapsed="1">
      <c r="I4" s="708"/>
      <c r="J4" s="709"/>
      <c r="K4" s="722"/>
      <c r="M4" s="265"/>
      <c r="N4" s="265"/>
      <c r="O4" s="265"/>
      <c r="P4" s="309"/>
      <c r="Q4" s="309"/>
      <c r="R4" s="309"/>
      <c r="S4" s="309"/>
      <c r="T4" s="445"/>
      <c r="U4" s="723"/>
      <c r="V4" s="724"/>
      <c r="W4" s="714"/>
      <c r="X4" s="801"/>
      <c r="AG4" s="711"/>
      <c r="AH4" s="711"/>
      <c r="AI4" s="711"/>
      <c r="AJ4" s="711"/>
      <c r="AK4" s="711"/>
    </row>
    <row r="5" spans="1:37" s="707" customFormat="1" ht="16">
      <c r="B5" s="725" t="s">
        <v>534</v>
      </c>
      <c r="C5" s="726"/>
      <c r="D5" s="727"/>
      <c r="E5" s="727"/>
      <c r="F5" s="727"/>
      <c r="G5" s="727"/>
      <c r="H5" s="726"/>
      <c r="I5" s="728"/>
      <c r="J5" s="729"/>
      <c r="K5" s="726"/>
      <c r="L5" s="726"/>
      <c r="M5" s="265"/>
    </row>
    <row r="6" spans="1:37" s="707" customFormat="1" ht="16">
      <c r="B6" s="881" t="s">
        <v>536</v>
      </c>
      <c r="C6" s="715" t="s">
        <v>475</v>
      </c>
      <c r="D6" s="881" t="s">
        <v>218</v>
      </c>
      <c r="E6" s="881" t="s">
        <v>214</v>
      </c>
      <c r="F6" s="881" t="s">
        <v>607</v>
      </c>
      <c r="G6" s="881" t="s">
        <v>478</v>
      </c>
      <c r="H6" s="881" t="s">
        <v>477</v>
      </c>
      <c r="I6" s="882" t="s">
        <v>471</v>
      </c>
      <c r="J6" s="736" t="s">
        <v>537</v>
      </c>
      <c r="K6" s="883" t="s">
        <v>476</v>
      </c>
      <c r="L6" s="884" t="s">
        <v>469</v>
      </c>
      <c r="M6" s="265"/>
    </row>
    <row r="7" spans="1:37" s="849" customFormat="1" ht="42.75" customHeight="1">
      <c r="B7" s="853">
        <v>1</v>
      </c>
      <c r="C7" s="854" t="s">
        <v>565</v>
      </c>
      <c r="D7" s="855" t="s">
        <v>490</v>
      </c>
      <c r="E7" s="855" t="s">
        <v>83</v>
      </c>
      <c r="F7" s="855" t="s">
        <v>722</v>
      </c>
      <c r="G7" s="855" t="s">
        <v>569</v>
      </c>
      <c r="H7" s="856">
        <v>43136</v>
      </c>
      <c r="I7" s="857">
        <v>7750</v>
      </c>
      <c r="J7" s="858">
        <v>32</v>
      </c>
      <c r="K7" s="859" t="s">
        <v>539</v>
      </c>
      <c r="L7" s="860" t="s">
        <v>721</v>
      </c>
      <c r="M7" s="850"/>
    </row>
    <row r="8" spans="1:37" s="849" customFormat="1" ht="42.75" customHeight="1">
      <c r="B8" s="861">
        <f>+B7+1</f>
        <v>2</v>
      </c>
      <c r="C8" s="862" t="s">
        <v>566</v>
      </c>
      <c r="D8" s="863" t="s">
        <v>490</v>
      </c>
      <c r="E8" s="863" t="s">
        <v>83</v>
      </c>
      <c r="F8" s="863">
        <v>1983</v>
      </c>
      <c r="G8" s="863" t="s">
        <v>462</v>
      </c>
      <c r="H8" s="864">
        <v>43012</v>
      </c>
      <c r="I8" s="865">
        <v>10730</v>
      </c>
      <c r="J8" s="866">
        <v>33</v>
      </c>
      <c r="K8" s="867" t="s">
        <v>539</v>
      </c>
      <c r="L8" s="868" t="s">
        <v>723</v>
      </c>
      <c r="M8" s="850"/>
    </row>
    <row r="9" spans="1:37" s="849" customFormat="1" ht="42.75" customHeight="1">
      <c r="B9" s="861">
        <f t="shared" ref="B9:B19" si="0">+B8+1</f>
        <v>3</v>
      </c>
      <c r="C9" s="869" t="s">
        <v>487</v>
      </c>
      <c r="D9" s="863" t="s">
        <v>490</v>
      </c>
      <c r="E9" s="863" t="s">
        <v>724</v>
      </c>
      <c r="F9" s="863" t="s">
        <v>725</v>
      </c>
      <c r="G9" s="863" t="s">
        <v>491</v>
      </c>
      <c r="H9" s="864">
        <v>43179</v>
      </c>
      <c r="I9" s="865">
        <v>2350</v>
      </c>
      <c r="J9" s="866">
        <v>39</v>
      </c>
      <c r="K9" s="867" t="s">
        <v>539</v>
      </c>
      <c r="L9" s="868" t="s">
        <v>726</v>
      </c>
      <c r="M9" s="850"/>
    </row>
    <row r="10" spans="1:37" s="849" customFormat="1" ht="42.75" customHeight="1">
      <c r="B10" s="861">
        <f t="shared" si="0"/>
        <v>4</v>
      </c>
      <c r="C10" s="862" t="s">
        <v>488</v>
      </c>
      <c r="D10" s="863" t="s">
        <v>490</v>
      </c>
      <c r="E10" s="863" t="s">
        <v>83</v>
      </c>
      <c r="F10" s="863">
        <v>2018</v>
      </c>
      <c r="G10" s="863" t="s">
        <v>492</v>
      </c>
      <c r="H10" s="864">
        <v>43343</v>
      </c>
      <c r="I10" s="865">
        <v>81660</v>
      </c>
      <c r="J10" s="866">
        <v>35</v>
      </c>
      <c r="K10" s="867" t="s">
        <v>539</v>
      </c>
      <c r="L10" s="870" t="s">
        <v>735</v>
      </c>
      <c r="M10" s="850"/>
    </row>
    <row r="11" spans="1:37" s="849" customFormat="1" ht="42.75" customHeight="1">
      <c r="B11" s="861">
        <f t="shared" si="0"/>
        <v>5</v>
      </c>
      <c r="C11" s="869" t="s">
        <v>487</v>
      </c>
      <c r="D11" s="863" t="s">
        <v>490</v>
      </c>
      <c r="E11" s="863" t="s">
        <v>724</v>
      </c>
      <c r="F11" s="863" t="s">
        <v>725</v>
      </c>
      <c r="G11" s="863" t="s">
        <v>493</v>
      </c>
      <c r="H11" s="864">
        <v>43511</v>
      </c>
      <c r="I11" s="865">
        <v>800</v>
      </c>
      <c r="J11" s="866">
        <v>43.5</v>
      </c>
      <c r="K11" s="867" t="s">
        <v>539</v>
      </c>
      <c r="L11" s="868" t="s">
        <v>727</v>
      </c>
      <c r="M11" s="850"/>
    </row>
    <row r="12" spans="1:37" s="849" customFormat="1" ht="42.75" customHeight="1">
      <c r="B12" s="861">
        <f t="shared" si="0"/>
        <v>6</v>
      </c>
      <c r="C12" s="869" t="s">
        <v>489</v>
      </c>
      <c r="D12" s="863" t="s">
        <v>490</v>
      </c>
      <c r="E12" s="863" t="s">
        <v>83</v>
      </c>
      <c r="F12" s="863">
        <v>2018</v>
      </c>
      <c r="G12" s="863" t="s">
        <v>494</v>
      </c>
      <c r="H12" s="864">
        <v>43312</v>
      </c>
      <c r="I12" s="865">
        <v>2358</v>
      </c>
      <c r="J12" s="866">
        <v>32</v>
      </c>
      <c r="K12" s="867" t="s">
        <v>539</v>
      </c>
      <c r="L12" s="868" t="s">
        <v>728</v>
      </c>
      <c r="M12" s="850"/>
    </row>
    <row r="13" spans="1:37" s="849" customFormat="1" ht="42.75" customHeight="1">
      <c r="B13" s="861">
        <f t="shared" si="0"/>
        <v>7</v>
      </c>
      <c r="C13" s="862" t="s">
        <v>552</v>
      </c>
      <c r="D13" s="863" t="s">
        <v>556</v>
      </c>
      <c r="E13" s="863" t="s">
        <v>83</v>
      </c>
      <c r="F13" s="863">
        <v>2018</v>
      </c>
      <c r="G13" s="863" t="s">
        <v>558</v>
      </c>
      <c r="H13" s="871">
        <v>43617</v>
      </c>
      <c r="I13" s="865">
        <v>62749</v>
      </c>
      <c r="J13" s="866">
        <v>39</v>
      </c>
      <c r="K13" s="872" t="s">
        <v>539</v>
      </c>
      <c r="L13" s="870" t="s">
        <v>562</v>
      </c>
      <c r="M13" s="850"/>
    </row>
    <row r="14" spans="1:37" s="849" customFormat="1" ht="42.75" customHeight="1">
      <c r="B14" s="861">
        <f t="shared" si="0"/>
        <v>8</v>
      </c>
      <c r="C14" s="862" t="s">
        <v>553</v>
      </c>
      <c r="D14" s="863" t="s">
        <v>557</v>
      </c>
      <c r="E14" s="863" t="s">
        <v>83</v>
      </c>
      <c r="F14" s="863">
        <v>2019</v>
      </c>
      <c r="G14" s="863" t="s">
        <v>559</v>
      </c>
      <c r="H14" s="871" t="s">
        <v>462</v>
      </c>
      <c r="I14" s="865">
        <v>1174</v>
      </c>
      <c r="J14" s="866">
        <v>40</v>
      </c>
      <c r="K14" s="872" t="s">
        <v>539</v>
      </c>
      <c r="L14" s="870" t="s">
        <v>563</v>
      </c>
      <c r="M14" s="850"/>
    </row>
    <row r="15" spans="1:37" s="849" customFormat="1" ht="42.75" customHeight="1">
      <c r="B15" s="861">
        <f t="shared" si="0"/>
        <v>9</v>
      </c>
      <c r="C15" s="862" t="s">
        <v>554</v>
      </c>
      <c r="D15" s="863" t="s">
        <v>557</v>
      </c>
      <c r="E15" s="863" t="s">
        <v>83</v>
      </c>
      <c r="F15" s="863" t="s">
        <v>729</v>
      </c>
      <c r="G15" s="863" t="s">
        <v>560</v>
      </c>
      <c r="H15" s="871" t="s">
        <v>462</v>
      </c>
      <c r="I15" s="865">
        <v>1999</v>
      </c>
      <c r="J15" s="866">
        <v>31.5</v>
      </c>
      <c r="K15" s="872" t="s">
        <v>539</v>
      </c>
      <c r="L15" s="870" t="s">
        <v>564</v>
      </c>
      <c r="M15" s="850"/>
    </row>
    <row r="16" spans="1:37" s="849" customFormat="1" ht="42.75" customHeight="1">
      <c r="B16" s="861">
        <f t="shared" si="0"/>
        <v>10</v>
      </c>
      <c r="C16" s="862" t="s">
        <v>555</v>
      </c>
      <c r="D16" s="863" t="s">
        <v>490</v>
      </c>
      <c r="E16" s="863" t="s">
        <v>83</v>
      </c>
      <c r="F16" s="863">
        <v>2019</v>
      </c>
      <c r="G16" s="863" t="s">
        <v>561</v>
      </c>
      <c r="H16" s="871" t="s">
        <v>462</v>
      </c>
      <c r="I16" s="865">
        <v>11388</v>
      </c>
      <c r="J16" s="866">
        <v>40</v>
      </c>
      <c r="K16" s="872" t="s">
        <v>539</v>
      </c>
      <c r="L16" s="870" t="s">
        <v>730</v>
      </c>
      <c r="M16" s="850"/>
    </row>
    <row r="17" spans="1:13" s="849" customFormat="1" ht="42.75" customHeight="1">
      <c r="B17" s="861">
        <f t="shared" si="0"/>
        <v>11</v>
      </c>
      <c r="C17" s="862" t="s">
        <v>655</v>
      </c>
      <c r="D17" s="863" t="s">
        <v>490</v>
      </c>
      <c r="E17" s="863" t="s">
        <v>83</v>
      </c>
      <c r="F17" s="863">
        <v>2001</v>
      </c>
      <c r="G17" s="863" t="s">
        <v>656</v>
      </c>
      <c r="H17" s="871">
        <v>43647</v>
      </c>
      <c r="I17" s="865">
        <v>7164</v>
      </c>
      <c r="J17" s="866">
        <v>36</v>
      </c>
      <c r="K17" s="872" t="s">
        <v>539</v>
      </c>
      <c r="L17" s="870" t="s">
        <v>731</v>
      </c>
      <c r="M17" s="850"/>
    </row>
    <row r="18" spans="1:13" s="849" customFormat="1" ht="42.75" customHeight="1">
      <c r="B18" s="861">
        <f t="shared" si="0"/>
        <v>12</v>
      </c>
      <c r="C18" s="862" t="s">
        <v>658</v>
      </c>
      <c r="D18" s="863" t="s">
        <v>490</v>
      </c>
      <c r="E18" s="863" t="s">
        <v>83</v>
      </c>
      <c r="F18" s="863" t="s">
        <v>732</v>
      </c>
      <c r="G18" s="863" t="s">
        <v>659</v>
      </c>
      <c r="H18" s="871">
        <v>43678</v>
      </c>
      <c r="I18" s="865">
        <v>13502</v>
      </c>
      <c r="J18" s="866">
        <v>30</v>
      </c>
      <c r="K18" s="872" t="s">
        <v>539</v>
      </c>
      <c r="L18" s="870" t="s">
        <v>733</v>
      </c>
      <c r="M18" s="851"/>
    </row>
    <row r="19" spans="1:13" s="852" customFormat="1" ht="42.75" customHeight="1">
      <c r="B19" s="873">
        <f t="shared" si="0"/>
        <v>13</v>
      </c>
      <c r="C19" s="874" t="s">
        <v>555</v>
      </c>
      <c r="D19" s="875" t="s">
        <v>490</v>
      </c>
      <c r="E19" s="875" t="s">
        <v>83</v>
      </c>
      <c r="F19" s="875">
        <v>2019</v>
      </c>
      <c r="G19" s="875" t="s">
        <v>661</v>
      </c>
      <c r="H19" s="876">
        <v>43647</v>
      </c>
      <c r="I19" s="877">
        <v>43460</v>
      </c>
      <c r="J19" s="878">
        <v>35.5</v>
      </c>
      <c r="K19" s="879" t="s">
        <v>539</v>
      </c>
      <c r="L19" s="880" t="s">
        <v>734</v>
      </c>
      <c r="M19" s="851"/>
    </row>
    <row r="20" spans="1:13" s="753" customFormat="1" ht="15" customHeight="1">
      <c r="B20" s="715"/>
      <c r="C20" s="715" t="s">
        <v>545</v>
      </c>
      <c r="D20" s="715"/>
      <c r="E20" s="715"/>
      <c r="F20" s="715"/>
      <c r="G20" s="715"/>
      <c r="H20" s="715"/>
      <c r="I20" s="716">
        <f>IFERROR(AVERAGE(I6:I19),"N/A")</f>
        <v>19006.461538461539</v>
      </c>
      <c r="J20" s="780">
        <f>SUMPRODUCT(J7:J19,I7:I19)/SUM(I7:I19)</f>
        <v>35.94141870780787</v>
      </c>
      <c r="K20" s="270"/>
      <c r="L20" s="781"/>
      <c r="M20" s="265"/>
    </row>
    <row r="21" spans="1:13" s="707" customFormat="1" ht="15" customHeight="1">
      <c r="B21" s="791" t="s">
        <v>546</v>
      </c>
      <c r="C21" s="792"/>
      <c r="D21" s="792"/>
      <c r="E21" s="792"/>
      <c r="F21" s="792"/>
      <c r="G21" s="792"/>
      <c r="H21" s="792"/>
      <c r="I21" s="793"/>
      <c r="J21" s="794" t="s">
        <v>567</v>
      </c>
      <c r="K21" s="792"/>
      <c r="L21" s="792"/>
      <c r="M21" s="265"/>
    </row>
    <row r="22" spans="1:13" s="707" customFormat="1">
      <c r="B22" s="782" t="s">
        <v>568</v>
      </c>
      <c r="I22" s="708"/>
      <c r="J22" s="709"/>
      <c r="M22" s="265"/>
    </row>
    <row r="23" spans="1:13" s="707" customFormat="1">
      <c r="B23" s="783"/>
      <c r="I23" s="784"/>
      <c r="J23" s="709"/>
      <c r="L23" s="710"/>
      <c r="M23" s="785"/>
    </row>
    <row r="24" spans="1:13" s="707" customFormat="1">
      <c r="B24" s="783"/>
      <c r="I24" s="784"/>
      <c r="J24" s="709"/>
      <c r="M24" s="785"/>
    </row>
    <row r="25" spans="1:13" s="707" customFormat="1">
      <c r="B25" s="777"/>
      <c r="C25" s="762" t="s">
        <v>543</v>
      </c>
      <c r="D25" s="777"/>
      <c r="E25" s="777"/>
      <c r="F25" s="777"/>
      <c r="G25" s="777"/>
      <c r="H25" s="773"/>
      <c r="I25" s="784"/>
      <c r="J25" s="775"/>
      <c r="K25" s="773"/>
      <c r="L25" s="709"/>
      <c r="M25" s="753"/>
    </row>
    <row r="26" spans="1:13" s="707" customFormat="1">
      <c r="A26" s="753"/>
      <c r="B26" s="744" t="s">
        <v>671</v>
      </c>
      <c r="C26" s="762" t="s">
        <v>544</v>
      </c>
      <c r="D26" s="706" t="s">
        <v>474</v>
      </c>
      <c r="E26" s="706"/>
      <c r="F26" s="706"/>
      <c r="G26" s="778" t="s">
        <v>480</v>
      </c>
      <c r="H26" s="753"/>
      <c r="I26" s="752"/>
      <c r="J26" s="775"/>
      <c r="K26" s="773"/>
      <c r="L26" s="710"/>
      <c r="M26" s="753"/>
    </row>
    <row r="27" spans="1:13" s="707" customFormat="1">
      <c r="A27" s="753"/>
      <c r="B27" s="743">
        <v>1</v>
      </c>
      <c r="C27" s="750" t="s">
        <v>565</v>
      </c>
      <c r="D27" s="706" t="s">
        <v>484</v>
      </c>
      <c r="E27" s="706"/>
      <c r="F27" s="706"/>
      <c r="G27" s="779" t="s">
        <v>481</v>
      </c>
      <c r="H27" s="753"/>
      <c r="I27" s="752"/>
      <c r="J27" s="775"/>
      <c r="K27" s="773"/>
      <c r="M27" s="753"/>
    </row>
    <row r="28" spans="1:13" s="753" customFormat="1" ht="17.5" customHeight="1">
      <c r="B28" s="743">
        <f>+B27+1</f>
        <v>2</v>
      </c>
      <c r="C28" s="750" t="s">
        <v>566</v>
      </c>
      <c r="D28" s="706" t="s">
        <v>484</v>
      </c>
      <c r="E28" s="706"/>
      <c r="F28" s="706"/>
      <c r="G28" s="779" t="s">
        <v>481</v>
      </c>
      <c r="I28" s="752"/>
      <c r="J28" s="786"/>
    </row>
    <row r="29" spans="1:13" s="753" customFormat="1" ht="15" customHeight="1">
      <c r="B29" s="743">
        <f t="shared" ref="B29:B39" si="1">+B28+1</f>
        <v>3</v>
      </c>
      <c r="C29" s="710" t="s">
        <v>487</v>
      </c>
      <c r="D29" s="706" t="s">
        <v>484</v>
      </c>
      <c r="E29" s="706"/>
      <c r="F29" s="706"/>
      <c r="G29" s="779" t="s">
        <v>481</v>
      </c>
      <c r="I29" s="752"/>
      <c r="J29" s="786"/>
    </row>
    <row r="30" spans="1:13" s="753" customFormat="1">
      <c r="B30" s="743">
        <f t="shared" si="1"/>
        <v>4</v>
      </c>
      <c r="C30" s="750" t="s">
        <v>488</v>
      </c>
      <c r="D30" s="706" t="s">
        <v>484</v>
      </c>
      <c r="E30" s="706"/>
      <c r="F30" s="706"/>
      <c r="G30" s="779" t="s">
        <v>481</v>
      </c>
      <c r="I30" s="752"/>
      <c r="J30" s="786"/>
    </row>
    <row r="31" spans="1:13" s="753" customFormat="1">
      <c r="B31" s="743">
        <f>+B30+1</f>
        <v>5</v>
      </c>
      <c r="C31" s="710" t="s">
        <v>487</v>
      </c>
      <c r="D31" s="706" t="s">
        <v>484</v>
      </c>
      <c r="E31" s="706"/>
      <c r="F31" s="706"/>
      <c r="G31" s="779" t="s">
        <v>481</v>
      </c>
      <c r="I31" s="752"/>
      <c r="J31" s="786"/>
    </row>
    <row r="32" spans="1:13" s="753" customFormat="1">
      <c r="B32" s="743">
        <f t="shared" si="1"/>
        <v>6</v>
      </c>
      <c r="C32" s="710" t="s">
        <v>489</v>
      </c>
      <c r="D32" s="706" t="s">
        <v>484</v>
      </c>
      <c r="E32" s="706"/>
      <c r="F32" s="706"/>
      <c r="G32" s="779" t="s">
        <v>481</v>
      </c>
      <c r="I32" s="752"/>
      <c r="J32" s="786"/>
    </row>
    <row r="33" spans="2:25" s="753" customFormat="1">
      <c r="B33" s="743">
        <f t="shared" si="1"/>
        <v>7</v>
      </c>
      <c r="C33" s="750" t="s">
        <v>552</v>
      </c>
      <c r="D33" s="706" t="s">
        <v>484</v>
      </c>
      <c r="E33" s="706"/>
      <c r="F33" s="706"/>
      <c r="G33" s="779" t="s">
        <v>481</v>
      </c>
      <c r="I33" s="752"/>
      <c r="J33" s="786"/>
    </row>
    <row r="34" spans="2:25" s="753" customFormat="1">
      <c r="B34" s="743">
        <f t="shared" si="1"/>
        <v>8</v>
      </c>
      <c r="C34" s="750" t="s">
        <v>553</v>
      </c>
      <c r="D34" s="706" t="s">
        <v>484</v>
      </c>
      <c r="E34" s="706"/>
      <c r="F34" s="706"/>
      <c r="G34" s="779" t="s">
        <v>481</v>
      </c>
      <c r="I34" s="752"/>
      <c r="J34" s="786"/>
    </row>
    <row r="35" spans="2:25" s="753" customFormat="1">
      <c r="B35" s="743">
        <f t="shared" si="1"/>
        <v>9</v>
      </c>
      <c r="C35" s="750" t="s">
        <v>554</v>
      </c>
      <c r="D35" s="706" t="s">
        <v>484</v>
      </c>
      <c r="E35" s="706"/>
      <c r="F35" s="706"/>
      <c r="G35" s="779" t="s">
        <v>481</v>
      </c>
      <c r="I35" s="752"/>
      <c r="J35" s="786"/>
    </row>
    <row r="36" spans="2:25" s="753" customFormat="1">
      <c r="B36" s="743">
        <f t="shared" si="1"/>
        <v>10</v>
      </c>
      <c r="C36" s="750" t="s">
        <v>555</v>
      </c>
      <c r="D36" s="706" t="s">
        <v>484</v>
      </c>
      <c r="E36" s="706"/>
      <c r="F36" s="706"/>
      <c r="G36" s="779" t="s">
        <v>481</v>
      </c>
      <c r="I36" s="752"/>
      <c r="J36" s="786"/>
    </row>
    <row r="37" spans="2:25" s="753" customFormat="1">
      <c r="B37" s="743">
        <f t="shared" si="1"/>
        <v>11</v>
      </c>
      <c r="C37" s="750" t="s">
        <v>655</v>
      </c>
      <c r="D37" s="706" t="s">
        <v>484</v>
      </c>
      <c r="E37" s="706"/>
      <c r="F37" s="706"/>
      <c r="G37" s="779" t="s">
        <v>481</v>
      </c>
      <c r="I37" s="752"/>
      <c r="J37" s="786"/>
    </row>
    <row r="38" spans="2:25" s="753" customFormat="1">
      <c r="B38" s="743">
        <f t="shared" si="1"/>
        <v>12</v>
      </c>
      <c r="C38" s="750" t="s">
        <v>703</v>
      </c>
      <c r="D38" s="706" t="s">
        <v>484</v>
      </c>
      <c r="E38" s="706"/>
      <c r="F38" s="706"/>
      <c r="G38" s="779" t="s">
        <v>481</v>
      </c>
      <c r="I38" s="752"/>
      <c r="J38" s="786"/>
    </row>
    <row r="39" spans="2:25" s="753" customFormat="1">
      <c r="B39" s="743">
        <f t="shared" si="1"/>
        <v>13</v>
      </c>
      <c r="C39" s="795" t="s">
        <v>555</v>
      </c>
      <c r="D39" s="706" t="s">
        <v>484</v>
      </c>
      <c r="E39" s="706"/>
      <c r="F39" s="706"/>
      <c r="G39" s="779" t="s">
        <v>481</v>
      </c>
      <c r="I39" s="752"/>
      <c r="J39" s="786"/>
    </row>
    <row r="40" spans="2:25" s="753" customFormat="1">
      <c r="B40" s="743"/>
      <c r="C40" s="762"/>
      <c r="D40" s="779"/>
      <c r="E40" s="779"/>
      <c r="F40" s="779"/>
      <c r="G40" s="779"/>
      <c r="I40" s="752"/>
      <c r="J40" s="786"/>
    </row>
    <row r="41" spans="2:25" s="753" customFormat="1">
      <c r="B41" s="743"/>
      <c r="C41" s="762"/>
      <c r="D41" s="779"/>
      <c r="E41" s="779"/>
      <c r="F41" s="779"/>
      <c r="G41" s="779"/>
      <c r="I41" s="752"/>
      <c r="J41" s="786"/>
    </row>
    <row r="42" spans="2:25" s="753" customFormat="1">
      <c r="B42" s="743"/>
      <c r="C42" s="762"/>
      <c r="D42" s="779"/>
      <c r="E42" s="779"/>
      <c r="F42" s="779"/>
      <c r="G42" s="779"/>
      <c r="I42" s="752"/>
      <c r="J42" s="786"/>
    </row>
    <row r="43" spans="2:25" s="753" customFormat="1">
      <c r="B43" s="743"/>
      <c r="C43" s="762"/>
      <c r="D43" s="779"/>
      <c r="E43" s="779"/>
      <c r="F43" s="779"/>
      <c r="G43" s="779"/>
      <c r="I43" s="752"/>
      <c r="J43" s="786"/>
    </row>
    <row r="44" spans="2:25" s="753" customFormat="1">
      <c r="B44" s="743"/>
      <c r="C44" s="762"/>
      <c r="D44" s="779"/>
      <c r="E44" s="779"/>
      <c r="F44" s="779"/>
      <c r="G44" s="779"/>
      <c r="I44" s="752"/>
      <c r="J44" s="786"/>
    </row>
    <row r="45" spans="2:25" s="753" customFormat="1" ht="16">
      <c r="B45" s="730" t="s">
        <v>535</v>
      </c>
      <c r="C45" s="731"/>
      <c r="D45" s="732"/>
      <c r="E45" s="732"/>
      <c r="F45" s="732"/>
      <c r="G45" s="732"/>
      <c r="H45" s="732"/>
      <c r="I45" s="733"/>
      <c r="J45" s="734"/>
      <c r="K45" s="735"/>
      <c r="L45" s="802"/>
      <c r="M45" s="707"/>
      <c r="N45" s="707"/>
      <c r="O45" s="730" t="s">
        <v>605</v>
      </c>
      <c r="P45" s="731"/>
      <c r="Q45" s="732"/>
      <c r="R45" s="732"/>
      <c r="S45" s="732"/>
      <c r="T45" s="732"/>
      <c r="U45" s="733"/>
      <c r="V45" s="734"/>
      <c r="W45" s="735"/>
      <c r="X45" s="735"/>
      <c r="Y45" s="735"/>
    </row>
    <row r="46" spans="2:25" s="753" customFormat="1" ht="13.25" customHeight="1">
      <c r="B46" s="737" t="s">
        <v>536</v>
      </c>
      <c r="C46" s="738" t="s">
        <v>475</v>
      </c>
      <c r="D46" s="737" t="s">
        <v>606</v>
      </c>
      <c r="E46" s="737" t="s">
        <v>474</v>
      </c>
      <c r="F46" s="737" t="s">
        <v>218</v>
      </c>
      <c r="G46" s="737" t="s">
        <v>607</v>
      </c>
      <c r="H46" s="737" t="s">
        <v>473</v>
      </c>
      <c r="I46" s="739" t="s">
        <v>472</v>
      </c>
      <c r="J46" s="740" t="s">
        <v>471</v>
      </c>
      <c r="K46" s="803" t="s">
        <v>538</v>
      </c>
      <c r="L46" s="804" t="s">
        <v>608</v>
      </c>
      <c r="M46" s="707"/>
      <c r="N46" s="707"/>
      <c r="O46" s="805" t="s">
        <v>609</v>
      </c>
      <c r="P46" s="806"/>
      <c r="Q46" s="806"/>
      <c r="R46" s="806"/>
      <c r="S46" s="806"/>
      <c r="T46" s="806"/>
      <c r="U46" s="807"/>
      <c r="V46" s="807"/>
      <c r="W46" s="807"/>
      <c r="X46" s="807"/>
      <c r="Y46" s="807"/>
    </row>
    <row r="47" spans="2:25" s="753" customFormat="1" ht="13.25" customHeight="1" outlineLevel="1">
      <c r="B47" s="743">
        <v>1</v>
      </c>
      <c r="C47" s="744" t="s">
        <v>610</v>
      </c>
      <c r="D47" s="745" t="s">
        <v>611</v>
      </c>
      <c r="E47" s="745" t="s">
        <v>484</v>
      </c>
      <c r="F47" s="745" t="s">
        <v>490</v>
      </c>
      <c r="G47" s="745">
        <v>2018</v>
      </c>
      <c r="H47" s="746">
        <v>43606</v>
      </c>
      <c r="I47" s="747">
        <v>49240000</v>
      </c>
      <c r="J47" s="748">
        <v>81660</v>
      </c>
      <c r="K47" s="808">
        <f t="shared" ref="K47:K53" si="2">+I47/J47</f>
        <v>602.98799902032817</v>
      </c>
      <c r="L47" s="809" t="s">
        <v>612</v>
      </c>
      <c r="M47" s="707"/>
      <c r="N47" s="707"/>
      <c r="O47" s="810" t="s">
        <v>536</v>
      </c>
      <c r="P47" s="811" t="s">
        <v>454</v>
      </c>
      <c r="Q47" s="811" t="s">
        <v>455</v>
      </c>
      <c r="R47" s="811" t="s">
        <v>613</v>
      </c>
      <c r="S47" s="811" t="s">
        <v>218</v>
      </c>
      <c r="T47" s="811" t="s">
        <v>614</v>
      </c>
      <c r="U47" s="810" t="s">
        <v>615</v>
      </c>
      <c r="V47" s="810" t="s">
        <v>616</v>
      </c>
      <c r="W47" s="810" t="s">
        <v>210</v>
      </c>
      <c r="X47" s="810" t="s">
        <v>617</v>
      </c>
      <c r="Y47" s="810" t="s">
        <v>618</v>
      </c>
    </row>
    <row r="48" spans="2:25" s="753" customFormat="1" ht="13.25" customHeight="1" outlineLevel="1">
      <c r="B48" s="743">
        <f>+B47+1</f>
        <v>2</v>
      </c>
      <c r="C48" s="744" t="s">
        <v>496</v>
      </c>
      <c r="D48" s="745" t="s">
        <v>619</v>
      </c>
      <c r="E48" s="745" t="s">
        <v>484</v>
      </c>
      <c r="F48" s="745" t="s">
        <v>490</v>
      </c>
      <c r="G48" s="745" t="s">
        <v>529</v>
      </c>
      <c r="H48" s="746">
        <v>43572</v>
      </c>
      <c r="I48" s="749">
        <v>17000000</v>
      </c>
      <c r="J48" s="749">
        <v>28092</v>
      </c>
      <c r="K48" s="808">
        <f t="shared" si="2"/>
        <v>605.15449238217286</v>
      </c>
      <c r="L48" s="809" t="s">
        <v>620</v>
      </c>
      <c r="M48" s="706"/>
      <c r="N48" s="707"/>
      <c r="O48" s="711">
        <v>1</v>
      </c>
      <c r="P48" s="706" t="s">
        <v>462</v>
      </c>
      <c r="Q48" s="706" t="s">
        <v>621</v>
      </c>
      <c r="R48" s="706" t="s">
        <v>622</v>
      </c>
      <c r="S48" s="706" t="s">
        <v>490</v>
      </c>
      <c r="T48" s="706" t="s">
        <v>623</v>
      </c>
      <c r="U48" s="812">
        <v>7552</v>
      </c>
      <c r="V48" s="812">
        <v>3089</v>
      </c>
      <c r="W48" s="813">
        <v>36</v>
      </c>
      <c r="X48" s="814" t="s">
        <v>462</v>
      </c>
      <c r="Y48" s="814" t="s">
        <v>462</v>
      </c>
    </row>
    <row r="49" spans="2:25" s="753" customFormat="1">
      <c r="B49" s="743">
        <f t="shared" ref="B49:B53" si="3">+B48+1</f>
        <v>3</v>
      </c>
      <c r="C49" s="744" t="s">
        <v>497</v>
      </c>
      <c r="D49" s="745" t="s">
        <v>462</v>
      </c>
      <c r="E49" s="745" t="s">
        <v>484</v>
      </c>
      <c r="F49" s="745" t="s">
        <v>490</v>
      </c>
      <c r="G49" s="745">
        <v>1930</v>
      </c>
      <c r="H49" s="746">
        <v>43178</v>
      </c>
      <c r="I49" s="749">
        <v>2631164</v>
      </c>
      <c r="J49" s="749">
        <v>8500</v>
      </c>
      <c r="K49" s="808">
        <f t="shared" si="2"/>
        <v>309.54870588235292</v>
      </c>
      <c r="L49" s="809" t="s">
        <v>624</v>
      </c>
      <c r="M49" s="707"/>
      <c r="N49" s="707"/>
      <c r="O49" s="711">
        <f>+O48+1</f>
        <v>2</v>
      </c>
      <c r="P49" s="707" t="s">
        <v>462</v>
      </c>
      <c r="Q49" s="706" t="s">
        <v>496</v>
      </c>
      <c r="R49" s="706" t="s">
        <v>625</v>
      </c>
      <c r="S49" s="706" t="s">
        <v>490</v>
      </c>
      <c r="T49" s="706" t="s">
        <v>623</v>
      </c>
      <c r="U49" s="812">
        <v>28092</v>
      </c>
      <c r="V49" s="812">
        <v>4065</v>
      </c>
      <c r="W49" s="813" t="s">
        <v>626</v>
      </c>
      <c r="X49" s="814" t="s">
        <v>462</v>
      </c>
      <c r="Y49" s="814" t="s">
        <v>462</v>
      </c>
    </row>
    <row r="50" spans="2:25" s="753" customFormat="1">
      <c r="B50" s="743">
        <f t="shared" si="3"/>
        <v>4</v>
      </c>
      <c r="C50" s="744" t="s">
        <v>547</v>
      </c>
      <c r="D50" s="745" t="s">
        <v>627</v>
      </c>
      <c r="E50" s="745" t="s">
        <v>484</v>
      </c>
      <c r="F50" s="745" t="s">
        <v>490</v>
      </c>
      <c r="G50" s="745" t="s">
        <v>462</v>
      </c>
      <c r="H50" s="746">
        <v>43344</v>
      </c>
      <c r="I50" s="749">
        <v>1870000</v>
      </c>
      <c r="J50" s="749">
        <v>3350</v>
      </c>
      <c r="K50" s="808">
        <f t="shared" si="2"/>
        <v>558.20895522388059</v>
      </c>
      <c r="L50" s="809" t="s">
        <v>628</v>
      </c>
      <c r="M50" s="706"/>
      <c r="N50" s="707"/>
      <c r="O50" s="711">
        <f t="shared" ref="O50:O58" si="4">+O49+1</f>
        <v>3</v>
      </c>
      <c r="P50" s="707" t="s">
        <v>462</v>
      </c>
      <c r="Q50" s="706" t="s">
        <v>629</v>
      </c>
      <c r="R50" s="706" t="s">
        <v>630</v>
      </c>
      <c r="S50" s="706" t="s">
        <v>490</v>
      </c>
      <c r="T50" s="706" t="s">
        <v>623</v>
      </c>
      <c r="U50" s="812">
        <v>11180</v>
      </c>
      <c r="V50" s="812">
        <v>4016</v>
      </c>
      <c r="W50" s="813">
        <v>39</v>
      </c>
      <c r="X50" s="815" t="s">
        <v>631</v>
      </c>
      <c r="Y50" s="814" t="s">
        <v>632</v>
      </c>
    </row>
    <row r="51" spans="2:25" s="753" customFormat="1">
      <c r="B51" s="743">
        <f t="shared" si="3"/>
        <v>5</v>
      </c>
      <c r="C51" s="744" t="s">
        <v>548</v>
      </c>
      <c r="D51" s="745" t="s">
        <v>462</v>
      </c>
      <c r="E51" s="745" t="s">
        <v>484</v>
      </c>
      <c r="F51" s="745" t="s">
        <v>490</v>
      </c>
      <c r="G51" s="745" t="s">
        <v>633</v>
      </c>
      <c r="H51" s="751" t="s">
        <v>549</v>
      </c>
      <c r="I51" s="749">
        <v>3800000</v>
      </c>
      <c r="J51" s="749">
        <v>7252</v>
      </c>
      <c r="K51" s="808">
        <f t="shared" si="2"/>
        <v>523.99338113623833</v>
      </c>
      <c r="L51" s="809" t="s">
        <v>634</v>
      </c>
      <c r="M51" s="706"/>
      <c r="N51" s="707"/>
      <c r="O51" s="711">
        <f t="shared" si="4"/>
        <v>4</v>
      </c>
      <c r="P51" s="707" t="s">
        <v>462</v>
      </c>
      <c r="Q51" s="706" t="s">
        <v>635</v>
      </c>
      <c r="R51" s="706" t="s">
        <v>636</v>
      </c>
      <c r="S51" s="706" t="s">
        <v>490</v>
      </c>
      <c r="T51" s="706" t="s">
        <v>623</v>
      </c>
      <c r="U51" s="812">
        <v>51300</v>
      </c>
      <c r="V51" s="812">
        <v>8820</v>
      </c>
      <c r="W51" s="813">
        <v>33</v>
      </c>
      <c r="X51" s="814" t="s">
        <v>462</v>
      </c>
      <c r="Y51" s="814" t="s">
        <v>462</v>
      </c>
    </row>
    <row r="52" spans="2:25" s="753" customFormat="1">
      <c r="B52" s="743">
        <f t="shared" si="3"/>
        <v>6</v>
      </c>
      <c r="C52" s="744" t="s">
        <v>637</v>
      </c>
      <c r="D52" s="745" t="s">
        <v>462</v>
      </c>
      <c r="E52" s="745" t="s">
        <v>484</v>
      </c>
      <c r="F52" s="745" t="s">
        <v>490</v>
      </c>
      <c r="G52" s="745">
        <v>2018</v>
      </c>
      <c r="H52" s="751" t="s">
        <v>549</v>
      </c>
      <c r="I52" s="749">
        <v>3840000</v>
      </c>
      <c r="J52" s="749">
        <v>8931</v>
      </c>
      <c r="K52" s="816">
        <f t="shared" si="2"/>
        <v>429.9630500503863</v>
      </c>
      <c r="L52" s="817" t="s">
        <v>638</v>
      </c>
      <c r="M52" s="707"/>
      <c r="N52" s="707"/>
      <c r="O52" s="711">
        <f t="shared" si="4"/>
        <v>5</v>
      </c>
      <c r="P52" s="707" t="s">
        <v>462</v>
      </c>
      <c r="Q52" s="706" t="s">
        <v>639</v>
      </c>
      <c r="R52" s="706" t="s">
        <v>640</v>
      </c>
      <c r="S52" s="706" t="s">
        <v>490</v>
      </c>
      <c r="T52" s="706" t="s">
        <v>623</v>
      </c>
      <c r="U52" s="812">
        <v>20000</v>
      </c>
      <c r="V52" s="812">
        <v>3632</v>
      </c>
      <c r="W52" s="813">
        <v>35</v>
      </c>
      <c r="X52" s="814" t="s">
        <v>462</v>
      </c>
      <c r="Y52" s="814" t="s">
        <v>462</v>
      </c>
    </row>
    <row r="53" spans="2:25" s="753" customFormat="1">
      <c r="B53" s="789">
        <f t="shared" si="3"/>
        <v>7</v>
      </c>
      <c r="C53" s="790" t="s">
        <v>550</v>
      </c>
      <c r="D53" s="789" t="s">
        <v>641</v>
      </c>
      <c r="E53" s="754" t="s">
        <v>484</v>
      </c>
      <c r="F53" s="789" t="s">
        <v>551</v>
      </c>
      <c r="G53" s="789">
        <v>2018</v>
      </c>
      <c r="H53" s="755">
        <v>43556</v>
      </c>
      <c r="I53" s="756">
        <v>57000000</v>
      </c>
      <c r="J53" s="756">
        <v>90500</v>
      </c>
      <c r="K53" s="818">
        <f t="shared" si="2"/>
        <v>629.83425414364638</v>
      </c>
      <c r="L53" s="819" t="s">
        <v>642</v>
      </c>
      <c r="M53" s="707"/>
      <c r="N53" s="707"/>
      <c r="O53" s="711">
        <f t="shared" si="4"/>
        <v>6</v>
      </c>
      <c r="P53" s="707" t="s">
        <v>462</v>
      </c>
      <c r="Q53" s="706" t="s">
        <v>643</v>
      </c>
      <c r="R53" s="706" t="s">
        <v>644</v>
      </c>
      <c r="S53" s="706" t="s">
        <v>490</v>
      </c>
      <c r="T53" s="706" t="s">
        <v>623</v>
      </c>
      <c r="U53" s="812">
        <v>10263</v>
      </c>
      <c r="V53" s="812">
        <v>10190</v>
      </c>
      <c r="W53" s="813">
        <v>38</v>
      </c>
      <c r="X53" s="814" t="s">
        <v>462</v>
      </c>
      <c r="Y53" s="814" t="s">
        <v>462</v>
      </c>
    </row>
    <row r="54" spans="2:25" s="753" customFormat="1">
      <c r="B54" s="757"/>
      <c r="C54" s="757"/>
      <c r="D54" s="758"/>
      <c r="E54" s="758"/>
      <c r="F54" s="758"/>
      <c r="G54" s="758"/>
      <c r="H54" s="759"/>
      <c r="I54" s="760"/>
      <c r="J54" s="761"/>
      <c r="K54" s="820">
        <f>SUM(I47:I53)/SUM(J47:J53)</f>
        <v>593.03574041220406</v>
      </c>
      <c r="L54" s="821"/>
      <c r="M54" s="707"/>
      <c r="N54" s="707"/>
      <c r="O54" s="711">
        <f t="shared" si="4"/>
        <v>7</v>
      </c>
      <c r="P54" s="707" t="s">
        <v>462</v>
      </c>
      <c r="Q54" s="706" t="s">
        <v>645</v>
      </c>
      <c r="R54" s="706" t="s">
        <v>646</v>
      </c>
      <c r="S54" s="706" t="s">
        <v>490</v>
      </c>
      <c r="T54" s="706" t="s">
        <v>623</v>
      </c>
      <c r="U54" s="812">
        <v>22760</v>
      </c>
      <c r="V54" s="812">
        <v>5000</v>
      </c>
      <c r="W54" s="813">
        <v>37</v>
      </c>
      <c r="X54" s="814" t="s">
        <v>647</v>
      </c>
      <c r="Y54" s="815" t="s">
        <v>648</v>
      </c>
    </row>
    <row r="55" spans="2:25" s="753" customFormat="1">
      <c r="B55" s="744" t="s">
        <v>540</v>
      </c>
      <c r="C55" s="762"/>
      <c r="D55" s="743"/>
      <c r="E55" s="743"/>
      <c r="F55" s="743"/>
      <c r="G55" s="743"/>
      <c r="H55" s="763"/>
      <c r="I55" s="764">
        <f ca="1">+Assumptions!E26*1000</f>
        <v>41010385.204450421</v>
      </c>
      <c r="J55" s="765">
        <f>+Assumptions!F7</f>
        <v>41469</v>
      </c>
      <c r="K55" s="822">
        <f ca="1">I55/J55</f>
        <v>988.94077996697342</v>
      </c>
      <c r="L55" s="823"/>
      <c r="M55" s="707"/>
      <c r="N55" s="707"/>
      <c r="O55" s="711">
        <f t="shared" si="4"/>
        <v>8</v>
      </c>
      <c r="P55" s="707" t="s">
        <v>462</v>
      </c>
      <c r="Q55" s="706" t="s">
        <v>649</v>
      </c>
      <c r="R55" s="706" t="s">
        <v>650</v>
      </c>
      <c r="S55" s="706" t="s">
        <v>490</v>
      </c>
      <c r="T55" s="706" t="s">
        <v>623</v>
      </c>
      <c r="U55" s="812">
        <v>21000</v>
      </c>
      <c r="V55" s="812">
        <v>5767</v>
      </c>
      <c r="W55" s="813">
        <v>30</v>
      </c>
      <c r="X55" s="814" t="s">
        <v>462</v>
      </c>
      <c r="Y55" s="814" t="s">
        <v>462</v>
      </c>
    </row>
    <row r="56" spans="2:25" s="753" customFormat="1" ht="16" thickBot="1">
      <c r="B56" s="766"/>
      <c r="C56" s="767" t="s">
        <v>541</v>
      </c>
      <c r="D56" s="768"/>
      <c r="E56" s="768"/>
      <c r="F56" s="768"/>
      <c r="G56" s="768"/>
      <c r="H56" s="769"/>
      <c r="I56" s="770"/>
      <c r="J56" s="771"/>
      <c r="K56" s="824">
        <f ca="1">$K$55/K54-1</f>
        <v>0.66759052208149527</v>
      </c>
      <c r="L56" s="825"/>
      <c r="M56" s="707"/>
      <c r="N56" s="707"/>
      <c r="O56" s="711">
        <f t="shared" si="4"/>
        <v>9</v>
      </c>
      <c r="P56" s="706" t="s">
        <v>651</v>
      </c>
      <c r="Q56" s="706" t="s">
        <v>652</v>
      </c>
      <c r="R56" s="706" t="s">
        <v>653</v>
      </c>
      <c r="S56" s="706" t="s">
        <v>490</v>
      </c>
      <c r="T56" s="706" t="s">
        <v>654</v>
      </c>
      <c r="U56" s="812">
        <v>64674</v>
      </c>
      <c r="V56" s="812">
        <v>52921</v>
      </c>
      <c r="W56" s="813">
        <v>36</v>
      </c>
      <c r="X56" s="813">
        <v>12</v>
      </c>
      <c r="Y56" s="813">
        <f>+W56+X56</f>
        <v>48</v>
      </c>
    </row>
    <row r="57" spans="2:25">
      <c r="B57" s="744" t="s">
        <v>542</v>
      </c>
      <c r="C57" s="772"/>
      <c r="D57" s="743"/>
      <c r="E57" s="743"/>
      <c r="F57" s="743"/>
      <c r="G57" s="743"/>
      <c r="H57" s="763"/>
      <c r="I57" s="764">
        <f ca="1">+Assumptions!L29*1000</f>
        <v>53909574.000000007</v>
      </c>
      <c r="J57" s="765">
        <f>+J55</f>
        <v>41469</v>
      </c>
      <c r="K57" s="822">
        <f ca="1">I57/J57</f>
        <v>1299.9969615857631</v>
      </c>
      <c r="L57" s="823"/>
      <c r="M57" s="707"/>
      <c r="N57" s="707"/>
      <c r="O57" s="711">
        <f t="shared" si="4"/>
        <v>10</v>
      </c>
      <c r="P57" s="706" t="s">
        <v>589</v>
      </c>
      <c r="Q57" s="706" t="s">
        <v>590</v>
      </c>
      <c r="R57" s="706" t="s">
        <v>657</v>
      </c>
      <c r="S57" s="706" t="s">
        <v>490</v>
      </c>
      <c r="T57" s="706" t="s">
        <v>623</v>
      </c>
      <c r="U57" s="812">
        <v>174802</v>
      </c>
      <c r="V57" s="812">
        <v>6700</v>
      </c>
      <c r="W57" s="813">
        <v>34.5</v>
      </c>
      <c r="X57" s="813">
        <v>10</v>
      </c>
      <c r="Y57" s="813">
        <f>+W57+X57</f>
        <v>44.5</v>
      </c>
    </row>
    <row r="58" spans="2:25" ht="16.25" customHeight="1" thickBot="1">
      <c r="B58" s="766"/>
      <c r="C58" s="767" t="s">
        <v>541</v>
      </c>
      <c r="D58" s="768"/>
      <c r="E58" s="768"/>
      <c r="F58" s="768"/>
      <c r="G58" s="768"/>
      <c r="H58" s="769"/>
      <c r="I58" s="770"/>
      <c r="J58" s="771"/>
      <c r="K58" s="824">
        <f ca="1">$K$57/K54-1</f>
        <v>1.1921055899298216</v>
      </c>
      <c r="L58" s="825"/>
      <c r="M58" s="707"/>
      <c r="N58" s="707"/>
      <c r="O58" s="711">
        <f t="shared" si="4"/>
        <v>11</v>
      </c>
      <c r="P58" s="707" t="s">
        <v>462</v>
      </c>
      <c r="Q58" s="706" t="s">
        <v>660</v>
      </c>
      <c r="R58" s="706" t="s">
        <v>636</v>
      </c>
      <c r="S58" s="706" t="s">
        <v>551</v>
      </c>
      <c r="T58" s="706" t="s">
        <v>623</v>
      </c>
      <c r="U58" s="812">
        <v>44503</v>
      </c>
      <c r="V58" s="812">
        <v>15000</v>
      </c>
      <c r="W58" s="813">
        <v>38</v>
      </c>
      <c r="X58" s="814" t="s">
        <v>462</v>
      </c>
      <c r="Y58" s="814" t="s">
        <v>462</v>
      </c>
    </row>
    <row r="59" spans="2:25">
      <c r="B59" s="782" t="s">
        <v>479</v>
      </c>
      <c r="D59" s="742"/>
      <c r="E59" s="742"/>
      <c r="F59" s="742"/>
      <c r="G59" s="742"/>
      <c r="I59" s="773"/>
      <c r="J59" s="773"/>
      <c r="K59" s="742"/>
      <c r="L59" s="826"/>
      <c r="M59" s="719"/>
      <c r="N59" s="719"/>
      <c r="O59" s="827"/>
      <c r="P59" s="827" t="s">
        <v>545</v>
      </c>
      <c r="Q59" s="827"/>
      <c r="R59" s="827"/>
      <c r="S59" s="827"/>
      <c r="T59" s="828"/>
      <c r="U59" s="829"/>
      <c r="V59" s="314"/>
      <c r="W59" s="830">
        <f>AVERAGE(W48:W58)</f>
        <v>35.65</v>
      </c>
      <c r="X59" s="831"/>
      <c r="Y59" s="831"/>
    </row>
    <row r="60" spans="2:25">
      <c r="I60" s="773"/>
      <c r="J60" s="773"/>
      <c r="K60" s="742"/>
      <c r="L60" s="826"/>
      <c r="M60" s="753"/>
      <c r="N60" s="753"/>
      <c r="O60" s="832"/>
      <c r="P60" s="791" t="s">
        <v>662</v>
      </c>
      <c r="Q60" s="791"/>
      <c r="R60" s="791"/>
      <c r="S60" s="791"/>
      <c r="T60" s="791"/>
      <c r="U60" s="833"/>
      <c r="V60" s="833"/>
      <c r="W60" s="834" t="s">
        <v>567</v>
      </c>
      <c r="X60" s="835">
        <v>12.92</v>
      </c>
      <c r="Y60" s="834" t="s">
        <v>663</v>
      </c>
    </row>
    <row r="61" spans="2:25">
      <c r="I61" s="774"/>
      <c r="J61" s="773"/>
      <c r="K61" s="836"/>
      <c r="L61" s="837"/>
      <c r="M61" s="707"/>
      <c r="N61" s="707"/>
      <c r="O61" s="805" t="s">
        <v>664</v>
      </c>
      <c r="P61" s="806"/>
      <c r="Q61" s="806"/>
      <c r="R61" s="806"/>
      <c r="S61" s="806"/>
      <c r="T61" s="806"/>
      <c r="U61" s="807"/>
      <c r="V61" s="807"/>
      <c r="W61" s="807"/>
      <c r="X61" s="807"/>
      <c r="Y61" s="807"/>
    </row>
    <row r="62" spans="2:25">
      <c r="I62" s="774"/>
      <c r="J62" s="773"/>
      <c r="K62" s="836"/>
      <c r="L62" s="837"/>
      <c r="M62" s="707"/>
      <c r="N62" s="707"/>
      <c r="O62" s="810" t="s">
        <v>536</v>
      </c>
      <c r="P62" s="811" t="s">
        <v>454</v>
      </c>
      <c r="Q62" s="811" t="s">
        <v>455</v>
      </c>
      <c r="R62" s="811" t="s">
        <v>613</v>
      </c>
      <c r="S62" s="811" t="s">
        <v>218</v>
      </c>
      <c r="T62" s="811" t="s">
        <v>614</v>
      </c>
      <c r="U62" s="810" t="s">
        <v>615</v>
      </c>
      <c r="V62" s="810" t="s">
        <v>616</v>
      </c>
      <c r="W62" s="810" t="s">
        <v>210</v>
      </c>
      <c r="X62" s="810" t="s">
        <v>617</v>
      </c>
      <c r="Y62" s="810" t="s">
        <v>618</v>
      </c>
    </row>
    <row r="63" spans="2:25">
      <c r="B63" s="762" t="s">
        <v>543</v>
      </c>
      <c r="C63" s="776"/>
      <c r="E63" s="777"/>
      <c r="I63" s="774"/>
      <c r="J63" s="773"/>
      <c r="K63" s="836"/>
      <c r="L63" s="837"/>
      <c r="M63" s="707"/>
      <c r="N63" s="707"/>
      <c r="O63" s="711">
        <v>1</v>
      </c>
      <c r="P63" s="706" t="s">
        <v>462</v>
      </c>
      <c r="Q63" s="706" t="s">
        <v>665</v>
      </c>
      <c r="R63" s="706" t="s">
        <v>666</v>
      </c>
      <c r="S63" s="706" t="s">
        <v>490</v>
      </c>
      <c r="T63" s="706" t="s">
        <v>654</v>
      </c>
      <c r="U63" s="812">
        <v>129444</v>
      </c>
      <c r="V63" s="812">
        <v>37852</v>
      </c>
      <c r="W63" s="813">
        <v>42</v>
      </c>
      <c r="X63" s="813">
        <v>12.5</v>
      </c>
      <c r="Y63" s="813">
        <f>+W63+X63</f>
        <v>54.5</v>
      </c>
    </row>
    <row r="64" spans="2:25">
      <c r="B64" s="762" t="s">
        <v>544</v>
      </c>
      <c r="C64" s="762" t="s">
        <v>474</v>
      </c>
      <c r="E64" s="778" t="s">
        <v>480</v>
      </c>
      <c r="I64" s="774"/>
      <c r="J64" s="773"/>
      <c r="K64" s="836"/>
      <c r="L64" s="837"/>
      <c r="M64" s="707"/>
      <c r="N64" s="707"/>
      <c r="O64" s="711">
        <f>+O63+1</f>
        <v>2</v>
      </c>
      <c r="P64" s="707" t="s">
        <v>462</v>
      </c>
      <c r="Q64" s="706" t="s">
        <v>667</v>
      </c>
      <c r="R64" s="706" t="s">
        <v>668</v>
      </c>
      <c r="S64" s="706" t="s">
        <v>490</v>
      </c>
      <c r="T64" s="706" t="s">
        <v>654</v>
      </c>
      <c r="U64" s="812">
        <v>150000</v>
      </c>
      <c r="V64" s="812">
        <v>0</v>
      </c>
      <c r="W64" s="813">
        <v>40</v>
      </c>
      <c r="X64" s="813">
        <v>12.5</v>
      </c>
      <c r="Y64" s="813">
        <f t="shared" ref="Y64:Y81" si="5">+W64+X64</f>
        <v>52.5</v>
      </c>
    </row>
    <row r="65" spans="2:37">
      <c r="B65" s="744"/>
      <c r="C65" s="762"/>
      <c r="E65" s="779"/>
      <c r="I65" s="774"/>
      <c r="J65" s="773"/>
      <c r="K65" s="836"/>
      <c r="L65" s="837"/>
      <c r="M65" s="707"/>
      <c r="N65" s="707"/>
      <c r="O65" s="711">
        <f t="shared" ref="O65:O81" si="6">+O64+1</f>
        <v>3</v>
      </c>
      <c r="P65" s="707" t="s">
        <v>462</v>
      </c>
      <c r="Q65" s="706" t="s">
        <v>669</v>
      </c>
      <c r="R65" s="706" t="s">
        <v>657</v>
      </c>
      <c r="S65" s="706" t="s">
        <v>490</v>
      </c>
      <c r="T65" s="706" t="s">
        <v>670</v>
      </c>
      <c r="U65" s="812">
        <v>90000</v>
      </c>
      <c r="V65" s="812">
        <v>90000</v>
      </c>
      <c r="W65" s="813">
        <v>31.5</v>
      </c>
      <c r="X65" s="813">
        <v>10</v>
      </c>
      <c r="Y65" s="813">
        <f t="shared" si="5"/>
        <v>41.5</v>
      </c>
    </row>
    <row r="66" spans="2:37">
      <c r="B66" s="744"/>
      <c r="C66" s="762"/>
      <c r="E66" s="779"/>
      <c r="I66" s="774"/>
      <c r="J66" s="773"/>
      <c r="K66" s="836"/>
      <c r="L66" s="837"/>
      <c r="M66" s="707"/>
      <c r="N66" s="707"/>
      <c r="O66" s="711">
        <f t="shared" si="6"/>
        <v>4</v>
      </c>
      <c r="P66" s="706" t="s">
        <v>672</v>
      </c>
      <c r="Q66" s="706" t="s">
        <v>673</v>
      </c>
      <c r="R66" s="706" t="s">
        <v>674</v>
      </c>
      <c r="S66" s="706" t="s">
        <v>490</v>
      </c>
      <c r="T66" s="706" t="s">
        <v>670</v>
      </c>
      <c r="U66" s="812">
        <v>330000</v>
      </c>
      <c r="V66" s="812">
        <v>330000</v>
      </c>
      <c r="W66" s="813">
        <v>38</v>
      </c>
      <c r="X66" s="813">
        <v>12</v>
      </c>
      <c r="Y66" s="813">
        <f t="shared" si="5"/>
        <v>50</v>
      </c>
    </row>
    <row r="67" spans="2:37">
      <c r="B67" s="762"/>
      <c r="C67" s="762"/>
      <c r="E67" s="779"/>
      <c r="I67" s="774"/>
      <c r="J67" s="773"/>
      <c r="K67" s="836"/>
      <c r="L67" s="837"/>
      <c r="M67" s="707"/>
      <c r="N67" s="707"/>
      <c r="O67" s="711">
        <f t="shared" si="6"/>
        <v>5</v>
      </c>
      <c r="P67" s="706" t="s">
        <v>675</v>
      </c>
      <c r="Q67" s="706" t="s">
        <v>676</v>
      </c>
      <c r="R67" s="706" t="s">
        <v>677</v>
      </c>
      <c r="S67" s="706" t="s">
        <v>490</v>
      </c>
      <c r="T67" s="706" t="s">
        <v>654</v>
      </c>
      <c r="U67" s="812">
        <v>75000</v>
      </c>
      <c r="V67" s="812">
        <v>22476</v>
      </c>
      <c r="W67" s="813">
        <v>38</v>
      </c>
      <c r="X67" s="813">
        <v>16.96</v>
      </c>
      <c r="Y67" s="813">
        <f t="shared" si="5"/>
        <v>54.96</v>
      </c>
    </row>
    <row r="68" spans="2:37">
      <c r="B68" s="744"/>
      <c r="C68" s="762"/>
      <c r="E68" s="779"/>
      <c r="I68" s="774"/>
      <c r="J68" s="773"/>
      <c r="K68" s="836"/>
      <c r="L68" s="837"/>
      <c r="M68" s="753"/>
      <c r="N68" s="753"/>
      <c r="O68" s="711">
        <f t="shared" si="6"/>
        <v>6</v>
      </c>
      <c r="P68" s="706" t="s">
        <v>678</v>
      </c>
      <c r="Q68" s="706" t="s">
        <v>679</v>
      </c>
      <c r="R68" s="706" t="s">
        <v>677</v>
      </c>
      <c r="S68" s="706" t="s">
        <v>490</v>
      </c>
      <c r="T68" s="706" t="s">
        <v>670</v>
      </c>
      <c r="U68" s="812">
        <v>156000</v>
      </c>
      <c r="V68" s="812">
        <v>156000</v>
      </c>
      <c r="W68" s="813">
        <v>39</v>
      </c>
      <c r="X68" s="813">
        <v>16.96</v>
      </c>
      <c r="Y68" s="813">
        <f t="shared" si="5"/>
        <v>55.96</v>
      </c>
    </row>
    <row r="69" spans="2:37">
      <c r="B69" s="744"/>
      <c r="C69" s="762"/>
      <c r="E69" s="779"/>
      <c r="I69" s="774"/>
      <c r="J69" s="773"/>
      <c r="K69" s="836"/>
      <c r="L69" s="837"/>
      <c r="M69" s="753"/>
      <c r="N69" s="753"/>
      <c r="O69" s="711">
        <f t="shared" si="6"/>
        <v>7</v>
      </c>
      <c r="P69" s="706" t="s">
        <v>680</v>
      </c>
      <c r="Q69" s="706" t="s">
        <v>681</v>
      </c>
      <c r="R69" s="706" t="s">
        <v>682</v>
      </c>
      <c r="S69" s="706" t="s">
        <v>490</v>
      </c>
      <c r="T69" s="706" t="s">
        <v>683</v>
      </c>
      <c r="U69" s="812">
        <v>36000</v>
      </c>
      <c r="V69" s="812">
        <v>36000</v>
      </c>
      <c r="W69" s="813">
        <v>40</v>
      </c>
      <c r="X69" s="813">
        <v>8</v>
      </c>
      <c r="Y69" s="813">
        <f t="shared" si="5"/>
        <v>48</v>
      </c>
    </row>
    <row r="70" spans="2:37">
      <c r="B70" s="744"/>
      <c r="C70" s="762"/>
      <c r="E70" s="779"/>
      <c r="I70" s="774"/>
      <c r="J70" s="773"/>
      <c r="K70" s="836"/>
      <c r="L70" s="837"/>
      <c r="M70" s="753"/>
      <c r="N70" s="753"/>
      <c r="O70" s="711">
        <f t="shared" si="6"/>
        <v>8</v>
      </c>
      <c r="P70" s="706" t="s">
        <v>684</v>
      </c>
      <c r="Q70" s="706" t="s">
        <v>685</v>
      </c>
      <c r="R70" s="706" t="s">
        <v>686</v>
      </c>
      <c r="S70" s="706" t="s">
        <v>490</v>
      </c>
      <c r="T70" s="706" t="s">
        <v>670</v>
      </c>
      <c r="U70" s="812">
        <v>90000</v>
      </c>
      <c r="V70" s="812">
        <v>90000</v>
      </c>
      <c r="W70" s="813">
        <v>36</v>
      </c>
      <c r="X70" s="813">
        <v>10</v>
      </c>
      <c r="Y70" s="813">
        <f t="shared" si="5"/>
        <v>46</v>
      </c>
      <c r="AA70" s="787"/>
      <c r="AB70" s="753"/>
      <c r="AC70" s="753"/>
      <c r="AD70" s="753"/>
      <c r="AE70" s="753"/>
      <c r="AF70" s="753"/>
      <c r="AG70" s="841"/>
      <c r="AH70" s="841"/>
      <c r="AI70" s="841"/>
      <c r="AJ70" s="841"/>
      <c r="AK70" s="841"/>
    </row>
    <row r="71" spans="2:37">
      <c r="B71" s="744"/>
      <c r="C71" s="762"/>
      <c r="E71" s="779"/>
      <c r="I71" s="774"/>
      <c r="J71" s="773"/>
      <c r="K71" s="836"/>
      <c r="L71" s="837"/>
      <c r="M71" s="753"/>
      <c r="N71" s="753"/>
      <c r="O71" s="711">
        <f t="shared" si="6"/>
        <v>9</v>
      </c>
      <c r="P71" s="706" t="s">
        <v>589</v>
      </c>
      <c r="Q71" s="706" t="s">
        <v>590</v>
      </c>
      <c r="R71" s="706" t="s">
        <v>657</v>
      </c>
      <c r="S71" s="706" t="s">
        <v>490</v>
      </c>
      <c r="T71" s="706" t="s">
        <v>623</v>
      </c>
      <c r="U71" s="812">
        <v>175000</v>
      </c>
      <c r="V71" s="812">
        <v>20000</v>
      </c>
      <c r="W71" s="813">
        <v>34.5</v>
      </c>
      <c r="X71" s="813">
        <v>10</v>
      </c>
      <c r="Y71" s="813">
        <f t="shared" si="5"/>
        <v>44.5</v>
      </c>
      <c r="AA71" s="753"/>
      <c r="AB71" s="753"/>
      <c r="AC71" s="753"/>
      <c r="AD71" s="753"/>
      <c r="AE71" s="753"/>
      <c r="AF71" s="753"/>
      <c r="AG71" s="841"/>
      <c r="AH71" s="841"/>
      <c r="AI71" s="841"/>
      <c r="AJ71" s="841"/>
      <c r="AK71" s="841"/>
    </row>
    <row r="72" spans="2:37">
      <c r="B72" s="744"/>
      <c r="C72" s="762"/>
      <c r="E72" s="779"/>
      <c r="I72" s="774"/>
      <c r="J72" s="773"/>
      <c r="K72" s="836"/>
      <c r="L72" s="837"/>
      <c r="M72" s="753"/>
      <c r="N72" s="753"/>
      <c r="O72" s="711">
        <f t="shared" si="6"/>
        <v>10</v>
      </c>
      <c r="P72" s="706" t="s">
        <v>687</v>
      </c>
      <c r="Q72" s="706" t="s">
        <v>688</v>
      </c>
      <c r="R72" s="706" t="s">
        <v>689</v>
      </c>
      <c r="S72" s="706" t="s">
        <v>490</v>
      </c>
      <c r="T72" s="706" t="s">
        <v>670</v>
      </c>
      <c r="U72" s="812">
        <v>161000</v>
      </c>
      <c r="V72" s="812">
        <v>161000</v>
      </c>
      <c r="W72" s="813">
        <v>35.5</v>
      </c>
      <c r="X72" s="813">
        <v>12.5</v>
      </c>
      <c r="Y72" s="813">
        <f t="shared" si="5"/>
        <v>48</v>
      </c>
    </row>
    <row r="73" spans="2:37">
      <c r="B73" s="744"/>
      <c r="C73" s="762"/>
      <c r="E73" s="779"/>
      <c r="I73" s="774"/>
      <c r="J73" s="773"/>
      <c r="K73" s="836"/>
      <c r="L73" s="837"/>
      <c r="M73" s="753"/>
      <c r="N73" s="753"/>
      <c r="O73" s="711">
        <f t="shared" si="6"/>
        <v>11</v>
      </c>
      <c r="P73" s="707" t="s">
        <v>462</v>
      </c>
      <c r="Q73" s="706" t="s">
        <v>690</v>
      </c>
      <c r="R73" s="706" t="s">
        <v>691</v>
      </c>
      <c r="S73" s="706" t="s">
        <v>490</v>
      </c>
      <c r="T73" s="706" t="s">
        <v>670</v>
      </c>
      <c r="U73" s="812">
        <v>200000</v>
      </c>
      <c r="V73" s="812">
        <v>200000</v>
      </c>
      <c r="W73" s="813">
        <v>38</v>
      </c>
      <c r="X73" s="813">
        <v>17</v>
      </c>
      <c r="Y73" s="813">
        <f t="shared" si="5"/>
        <v>55</v>
      </c>
    </row>
    <row r="74" spans="2:37">
      <c r="B74" s="744"/>
      <c r="C74" s="762"/>
      <c r="E74" s="779"/>
      <c r="I74" s="774"/>
      <c r="J74" s="773"/>
      <c r="K74" s="836"/>
      <c r="L74" s="837"/>
      <c r="M74" s="753"/>
      <c r="N74" s="753"/>
      <c r="O74" s="711">
        <f t="shared" si="6"/>
        <v>12</v>
      </c>
      <c r="P74" s="707" t="s">
        <v>462</v>
      </c>
      <c r="Q74" s="706" t="s">
        <v>692</v>
      </c>
      <c r="R74" s="706" t="s">
        <v>693</v>
      </c>
      <c r="S74" s="706" t="s">
        <v>490</v>
      </c>
      <c r="T74" s="706" t="s">
        <v>694</v>
      </c>
      <c r="U74" s="812">
        <v>186000</v>
      </c>
      <c r="V74" s="812">
        <v>186000</v>
      </c>
      <c r="W74" s="813">
        <v>34</v>
      </c>
      <c r="X74" s="813">
        <v>10</v>
      </c>
      <c r="Y74" s="813">
        <f t="shared" si="5"/>
        <v>44</v>
      </c>
    </row>
    <row r="75" spans="2:37">
      <c r="B75" s="744"/>
      <c r="C75" s="762"/>
      <c r="E75" s="779"/>
      <c r="I75" s="774"/>
      <c r="J75" s="773"/>
      <c r="K75" s="836"/>
      <c r="L75" s="837"/>
      <c r="M75" s="753"/>
      <c r="N75" s="753"/>
      <c r="O75" s="711">
        <f t="shared" si="6"/>
        <v>13</v>
      </c>
      <c r="P75" s="707" t="s">
        <v>695</v>
      </c>
      <c r="Q75" s="706" t="s">
        <v>696</v>
      </c>
      <c r="R75" s="707" t="s">
        <v>697</v>
      </c>
      <c r="S75" s="707" t="s">
        <v>490</v>
      </c>
      <c r="T75" s="707" t="s">
        <v>623</v>
      </c>
      <c r="U75" s="812">
        <v>82000</v>
      </c>
      <c r="V75" s="812">
        <v>0</v>
      </c>
      <c r="W75" s="813">
        <v>36</v>
      </c>
      <c r="X75" s="813">
        <v>15</v>
      </c>
      <c r="Y75" s="813">
        <f t="shared" si="5"/>
        <v>51</v>
      </c>
    </row>
    <row r="76" spans="2:37">
      <c r="B76" s="744"/>
      <c r="C76" s="762"/>
      <c r="E76" s="779"/>
      <c r="I76" s="774"/>
      <c r="J76" s="773"/>
      <c r="K76" s="836"/>
      <c r="L76" s="837"/>
      <c r="M76" s="753"/>
      <c r="N76" s="753"/>
      <c r="O76" s="711">
        <f t="shared" si="6"/>
        <v>14</v>
      </c>
      <c r="P76" s="707" t="s">
        <v>462</v>
      </c>
      <c r="Q76" s="838" t="s">
        <v>698</v>
      </c>
      <c r="R76" s="838" t="s">
        <v>699</v>
      </c>
      <c r="S76" s="706" t="s">
        <v>490</v>
      </c>
      <c r="T76" s="706" t="s">
        <v>623</v>
      </c>
      <c r="U76" s="839">
        <v>30000</v>
      </c>
      <c r="V76" s="839">
        <v>1080</v>
      </c>
      <c r="W76" s="840">
        <v>35</v>
      </c>
      <c r="X76" s="840">
        <v>16.7</v>
      </c>
      <c r="Y76" s="813">
        <f t="shared" si="5"/>
        <v>51.7</v>
      </c>
    </row>
    <row r="77" spans="2:37">
      <c r="B77" s="744"/>
      <c r="C77" s="762"/>
      <c r="E77" s="779"/>
      <c r="I77" s="774"/>
      <c r="J77" s="773"/>
      <c r="K77" s="836"/>
      <c r="L77" s="837"/>
      <c r="M77" s="753"/>
      <c r="N77" s="753"/>
      <c r="O77" s="711">
        <f t="shared" si="6"/>
        <v>15</v>
      </c>
      <c r="P77" s="706" t="s">
        <v>700</v>
      </c>
      <c r="Q77" s="706" t="s">
        <v>701</v>
      </c>
      <c r="R77" s="706" t="s">
        <v>702</v>
      </c>
      <c r="S77" s="706" t="s">
        <v>490</v>
      </c>
      <c r="T77" s="706" t="s">
        <v>654</v>
      </c>
      <c r="U77" s="812">
        <v>115000</v>
      </c>
      <c r="V77" s="812">
        <v>0</v>
      </c>
      <c r="W77" s="813">
        <v>32.5</v>
      </c>
      <c r="X77" s="813">
        <v>15</v>
      </c>
      <c r="Y77" s="813">
        <f t="shared" si="5"/>
        <v>47.5</v>
      </c>
    </row>
    <row r="78" spans="2:37">
      <c r="B78" s="753"/>
      <c r="C78" s="753"/>
      <c r="D78" s="753"/>
      <c r="E78" s="753"/>
      <c r="F78" s="753"/>
      <c r="G78" s="753"/>
      <c r="H78" s="753"/>
      <c r="I78" s="753"/>
      <c r="J78" s="753"/>
      <c r="K78" s="841"/>
      <c r="L78" s="842"/>
      <c r="M78" s="753"/>
      <c r="N78" s="753"/>
      <c r="O78" s="711">
        <f t="shared" si="6"/>
        <v>16</v>
      </c>
      <c r="P78" s="710">
        <v>1515</v>
      </c>
      <c r="Q78" s="706" t="s">
        <v>704</v>
      </c>
      <c r="R78" s="706" t="s">
        <v>705</v>
      </c>
      <c r="S78" s="706" t="s">
        <v>490</v>
      </c>
      <c r="T78" s="706" t="s">
        <v>670</v>
      </c>
      <c r="U78" s="812">
        <v>60000</v>
      </c>
      <c r="V78" s="812">
        <v>60000</v>
      </c>
      <c r="W78" s="813">
        <v>40.75</v>
      </c>
      <c r="X78" s="813">
        <v>15.3</v>
      </c>
      <c r="Y78" s="813">
        <f t="shared" si="5"/>
        <v>56.05</v>
      </c>
    </row>
    <row r="79" spans="2:37">
      <c r="B79" s="753"/>
      <c r="C79" s="753"/>
      <c r="D79" s="753"/>
      <c r="E79" s="753"/>
      <c r="F79" s="753"/>
      <c r="G79" s="753"/>
      <c r="H79" s="753"/>
      <c r="I79" s="753"/>
      <c r="J79" s="753"/>
      <c r="K79" s="841"/>
      <c r="L79" s="842"/>
      <c r="M79" s="753"/>
      <c r="N79" s="753"/>
      <c r="O79" s="711">
        <f t="shared" si="6"/>
        <v>17</v>
      </c>
      <c r="P79" s="707" t="s">
        <v>462</v>
      </c>
      <c r="Q79" s="706" t="s">
        <v>555</v>
      </c>
      <c r="R79" s="706" t="s">
        <v>674</v>
      </c>
      <c r="S79" s="706" t="s">
        <v>490</v>
      </c>
      <c r="T79" s="706" t="s">
        <v>654</v>
      </c>
      <c r="U79" s="812">
        <v>135000</v>
      </c>
      <c r="V79" s="812">
        <v>16515</v>
      </c>
      <c r="W79" s="813">
        <v>40</v>
      </c>
      <c r="X79" s="813">
        <v>14.6</v>
      </c>
      <c r="Y79" s="813">
        <f t="shared" si="5"/>
        <v>54.6</v>
      </c>
    </row>
    <row r="80" spans="2:37">
      <c r="I80" s="774"/>
      <c r="J80" s="773"/>
      <c r="K80" s="836"/>
      <c r="L80" s="837"/>
      <c r="M80" s="753"/>
      <c r="N80" s="753"/>
      <c r="O80" s="711">
        <f t="shared" si="6"/>
        <v>18</v>
      </c>
      <c r="P80" s="706" t="s">
        <v>706</v>
      </c>
      <c r="Q80" s="706" t="s">
        <v>707</v>
      </c>
      <c r="R80" s="706" t="s">
        <v>708</v>
      </c>
      <c r="S80" s="706" t="s">
        <v>490</v>
      </c>
      <c r="T80" s="706" t="s">
        <v>654</v>
      </c>
      <c r="U80" s="812">
        <v>300000</v>
      </c>
      <c r="V80" s="812">
        <v>300000</v>
      </c>
      <c r="W80" s="813">
        <v>35</v>
      </c>
      <c r="X80" s="813">
        <v>12</v>
      </c>
      <c r="Y80" s="813">
        <f t="shared" si="5"/>
        <v>47</v>
      </c>
    </row>
    <row r="81" spans="9:25">
      <c r="I81" s="774"/>
      <c r="J81" s="773"/>
      <c r="K81" s="836"/>
      <c r="L81" s="837"/>
      <c r="M81" s="753"/>
      <c r="N81" s="753"/>
      <c r="O81" s="711">
        <f t="shared" si="6"/>
        <v>19</v>
      </c>
      <c r="P81" s="706" t="s">
        <v>651</v>
      </c>
      <c r="Q81" s="706" t="s">
        <v>652</v>
      </c>
      <c r="R81" s="706" t="s">
        <v>653</v>
      </c>
      <c r="S81" s="706" t="s">
        <v>490</v>
      </c>
      <c r="T81" s="706" t="s">
        <v>670</v>
      </c>
      <c r="U81" s="812">
        <v>42288</v>
      </c>
      <c r="V81" s="812">
        <v>42288</v>
      </c>
      <c r="W81" s="813">
        <v>36</v>
      </c>
      <c r="X81" s="813">
        <v>12</v>
      </c>
      <c r="Y81" s="813">
        <f t="shared" si="5"/>
        <v>48</v>
      </c>
    </row>
    <row r="82" spans="9:25">
      <c r="I82" s="774"/>
      <c r="J82" s="773"/>
      <c r="K82" s="836"/>
      <c r="L82" s="837"/>
      <c r="M82" s="753"/>
      <c r="N82" s="753"/>
      <c r="O82" s="827"/>
      <c r="P82" s="827" t="s">
        <v>545</v>
      </c>
      <c r="Q82" s="827"/>
      <c r="R82" s="827"/>
      <c r="S82" s="827"/>
      <c r="T82" s="828"/>
      <c r="U82" s="829"/>
      <c r="V82" s="314"/>
      <c r="W82" s="830">
        <f>AVERAGE(W63:W81)</f>
        <v>36.934210526315788</v>
      </c>
      <c r="X82" s="830">
        <f>AVERAGE(X63:X81)</f>
        <v>13.106315789473685</v>
      </c>
      <c r="Y82" s="830">
        <f>AVERAGE(Y63:Y81)</f>
        <v>50.040526315789478</v>
      </c>
    </row>
    <row r="83" spans="9:25">
      <c r="I83" s="774"/>
      <c r="J83" s="773"/>
      <c r="K83" s="836"/>
      <c r="L83" s="837"/>
      <c r="M83" s="753"/>
      <c r="N83" s="753"/>
      <c r="O83" s="832"/>
      <c r="P83" s="791" t="s">
        <v>662</v>
      </c>
      <c r="Q83" s="791"/>
      <c r="R83" s="791"/>
      <c r="S83" s="791"/>
      <c r="T83" s="791"/>
      <c r="U83" s="833"/>
      <c r="V83" s="833"/>
      <c r="W83" s="834" t="s">
        <v>567</v>
      </c>
      <c r="X83" s="835">
        <v>12.92</v>
      </c>
      <c r="Y83" s="834" t="s">
        <v>663</v>
      </c>
    </row>
    <row r="84" spans="9:25">
      <c r="I84" s="774"/>
      <c r="J84" s="773"/>
      <c r="K84" s="836"/>
      <c r="L84" s="837"/>
      <c r="M84" s="753"/>
      <c r="N84" s="753"/>
      <c r="O84" s="750" t="s">
        <v>709</v>
      </c>
      <c r="P84" s="753"/>
      <c r="Q84" s="753"/>
      <c r="R84" s="753"/>
      <c r="S84" s="753"/>
      <c r="T84" s="753"/>
      <c r="U84" s="841"/>
      <c r="V84" s="841"/>
      <c r="W84" s="841"/>
      <c r="X84" s="841"/>
      <c r="Y84" s="841"/>
    </row>
    <row r="85" spans="9:25">
      <c r="I85" s="774"/>
      <c r="J85" s="773"/>
      <c r="K85" s="836"/>
      <c r="L85" s="837"/>
      <c r="M85" s="707"/>
      <c r="N85" s="753"/>
      <c r="O85" s="711"/>
      <c r="P85" s="753"/>
      <c r="Q85" s="753"/>
      <c r="R85" s="753"/>
      <c r="S85" s="753"/>
      <c r="T85" s="753"/>
      <c r="U85" s="841"/>
      <c r="V85" s="841"/>
      <c r="W85" s="841"/>
      <c r="X85" s="841"/>
      <c r="Y85" s="841"/>
    </row>
    <row r="86" spans="9:25">
      <c r="I86" s="774"/>
      <c r="J86" s="773"/>
      <c r="K86" s="836"/>
      <c r="L86" s="837"/>
      <c r="M86" s="707"/>
      <c r="N86" s="753"/>
      <c r="O86" s="711"/>
      <c r="P86" s="753"/>
      <c r="Q86" s="753"/>
      <c r="R86" s="753"/>
      <c r="S86" s="753"/>
      <c r="T86" s="753"/>
      <c r="U86" s="841"/>
      <c r="V86" s="841"/>
      <c r="W86" s="841"/>
      <c r="X86" s="841"/>
      <c r="Y86" s="841"/>
    </row>
    <row r="87" spans="9:25">
      <c r="I87" s="774"/>
      <c r="J87" s="773"/>
      <c r="K87" s="836"/>
      <c r="L87" s="837"/>
      <c r="M87" s="707"/>
      <c r="N87" s="753"/>
      <c r="O87" s="711"/>
      <c r="P87" s="753"/>
      <c r="Q87" s="753"/>
      <c r="R87" s="753"/>
      <c r="S87" s="753"/>
      <c r="T87" s="753"/>
      <c r="U87" s="841"/>
      <c r="V87" s="841"/>
      <c r="W87" s="841"/>
      <c r="X87" s="841"/>
      <c r="Y87" s="841"/>
    </row>
    <row r="88" spans="9:25">
      <c r="I88" s="774"/>
      <c r="J88" s="773"/>
      <c r="K88" s="836"/>
      <c r="L88" s="837"/>
      <c r="M88" s="707"/>
      <c r="N88" s="753"/>
      <c r="O88" s="711"/>
      <c r="P88" s="745"/>
      <c r="Q88" s="745"/>
      <c r="R88" s="745"/>
      <c r="S88" s="745"/>
      <c r="T88" s="753"/>
      <c r="U88" s="841"/>
      <c r="V88" s="841"/>
      <c r="W88" s="841"/>
      <c r="X88" s="841"/>
      <c r="Y88" s="841"/>
    </row>
    <row r="89" spans="9:25">
      <c r="I89" s="774"/>
      <c r="J89" s="773"/>
      <c r="K89" s="836"/>
      <c r="L89" s="837"/>
      <c r="M89" s="753"/>
      <c r="N89" s="753"/>
      <c r="O89" s="711"/>
      <c r="P89" s="841"/>
      <c r="Q89" s="741"/>
      <c r="R89" s="745"/>
      <c r="S89" s="745"/>
      <c r="T89" s="753"/>
      <c r="U89" s="841"/>
      <c r="V89" s="841"/>
      <c r="W89" s="841"/>
      <c r="X89" s="841"/>
      <c r="Y89" s="841"/>
    </row>
    <row r="90" spans="9:25">
      <c r="I90" s="774"/>
      <c r="J90" s="773"/>
      <c r="K90" s="836"/>
      <c r="L90" s="837"/>
      <c r="M90" s="753"/>
      <c r="N90" s="753"/>
      <c r="O90" s="711"/>
      <c r="P90" s="745" t="s">
        <v>671</v>
      </c>
      <c r="Q90" s="741" t="s">
        <v>710</v>
      </c>
      <c r="R90" s="745" t="s">
        <v>474</v>
      </c>
      <c r="S90" s="745" t="s">
        <v>480</v>
      </c>
      <c r="T90" s="753"/>
      <c r="U90" s="841"/>
      <c r="V90" s="841"/>
      <c r="W90" s="841"/>
      <c r="X90" s="841"/>
      <c r="Y90" s="841"/>
    </row>
    <row r="91" spans="9:25">
      <c r="I91" s="774"/>
      <c r="J91" s="773"/>
      <c r="K91" s="836"/>
      <c r="L91" s="837"/>
      <c r="M91" s="753"/>
      <c r="N91" s="753"/>
      <c r="O91" s="711"/>
      <c r="P91" s="841">
        <v>1</v>
      </c>
      <c r="Q91" s="706" t="s">
        <v>665</v>
      </c>
      <c r="R91" s="745" t="s">
        <v>484</v>
      </c>
      <c r="S91" s="745" t="s">
        <v>711</v>
      </c>
      <c r="T91" s="753"/>
      <c r="U91" s="841"/>
      <c r="V91" s="841"/>
      <c r="W91" s="841"/>
      <c r="X91" s="841"/>
      <c r="Y91" s="841"/>
    </row>
    <row r="92" spans="9:25">
      <c r="I92" s="774"/>
      <c r="J92" s="773"/>
      <c r="K92" s="836"/>
      <c r="L92" s="837"/>
      <c r="M92" s="753"/>
      <c r="N92" s="753"/>
      <c r="O92" s="711"/>
      <c r="P92" s="841">
        <v>2</v>
      </c>
      <c r="Q92" s="706" t="s">
        <v>667</v>
      </c>
      <c r="R92" s="745" t="s">
        <v>484</v>
      </c>
      <c r="S92" s="745" t="s">
        <v>711</v>
      </c>
      <c r="T92" s="753"/>
      <c r="U92" s="841"/>
      <c r="V92" s="841"/>
      <c r="W92" s="841"/>
      <c r="X92" s="841"/>
      <c r="Y92" s="841"/>
    </row>
    <row r="93" spans="9:25">
      <c r="I93" s="774"/>
      <c r="J93" s="773"/>
      <c r="K93" s="836"/>
      <c r="L93" s="837"/>
      <c r="M93" s="753"/>
      <c r="N93" s="753"/>
      <c r="O93" s="711"/>
      <c r="P93" s="841">
        <v>3</v>
      </c>
      <c r="Q93" s="706" t="s">
        <v>669</v>
      </c>
      <c r="R93" s="745" t="s">
        <v>484</v>
      </c>
      <c r="S93" s="745" t="s">
        <v>711</v>
      </c>
      <c r="T93" s="753"/>
      <c r="U93" s="841"/>
      <c r="V93" s="841"/>
      <c r="W93" s="841"/>
      <c r="X93" s="841"/>
      <c r="Y93" s="841"/>
    </row>
    <row r="94" spans="9:25">
      <c r="I94" s="774"/>
      <c r="J94" s="773"/>
      <c r="K94" s="836"/>
      <c r="L94" s="837"/>
      <c r="M94" s="753"/>
      <c r="N94" s="753"/>
      <c r="O94" s="753"/>
      <c r="P94" s="841">
        <v>4</v>
      </c>
      <c r="Q94" s="706" t="s">
        <v>673</v>
      </c>
      <c r="R94" s="745" t="s">
        <v>484</v>
      </c>
      <c r="S94" s="745" t="s">
        <v>711</v>
      </c>
      <c r="T94" s="753"/>
      <c r="U94" s="841"/>
      <c r="V94" s="841"/>
      <c r="W94" s="841"/>
      <c r="X94" s="841"/>
      <c r="Y94" s="841"/>
    </row>
    <row r="95" spans="9:25">
      <c r="I95" s="774"/>
      <c r="J95" s="773"/>
      <c r="K95" s="836"/>
      <c r="L95" s="837"/>
      <c r="M95" s="753"/>
      <c r="N95" s="753"/>
      <c r="O95" s="753"/>
      <c r="P95" s="841">
        <v>5</v>
      </c>
      <c r="Q95" s="706" t="s">
        <v>676</v>
      </c>
      <c r="R95" s="745" t="s">
        <v>484</v>
      </c>
      <c r="S95" s="745" t="s">
        <v>711</v>
      </c>
      <c r="T95" s="753"/>
      <c r="U95" s="841"/>
      <c r="V95" s="841"/>
      <c r="W95" s="841"/>
      <c r="X95" s="841"/>
      <c r="Y95" s="841"/>
    </row>
    <row r="96" spans="9:25">
      <c r="I96" s="774"/>
      <c r="J96" s="773"/>
      <c r="K96" s="836"/>
      <c r="L96" s="837"/>
      <c r="M96" s="753"/>
      <c r="N96" s="753"/>
      <c r="O96" s="753"/>
      <c r="P96" s="841">
        <v>6</v>
      </c>
      <c r="Q96" s="706" t="s">
        <v>679</v>
      </c>
      <c r="R96" s="745" t="s">
        <v>484</v>
      </c>
      <c r="S96" s="745" t="s">
        <v>711</v>
      </c>
      <c r="T96" s="753"/>
      <c r="U96" s="841"/>
      <c r="V96" s="841"/>
      <c r="W96" s="841"/>
      <c r="X96" s="841"/>
      <c r="Y96" s="841"/>
    </row>
    <row r="97" spans="2:25">
      <c r="I97" s="774"/>
      <c r="J97" s="773"/>
      <c r="K97" s="836"/>
      <c r="L97" s="837"/>
      <c r="M97" s="753"/>
      <c r="O97" s="753"/>
      <c r="P97" s="841">
        <v>7</v>
      </c>
      <c r="Q97" s="706" t="s">
        <v>681</v>
      </c>
      <c r="R97" s="745" t="s">
        <v>484</v>
      </c>
      <c r="S97" s="745" t="s">
        <v>711</v>
      </c>
      <c r="T97" s="753"/>
      <c r="U97" s="841"/>
      <c r="V97" s="841"/>
      <c r="W97" s="841"/>
      <c r="X97" s="841"/>
      <c r="Y97" s="841"/>
    </row>
    <row r="98" spans="2:25">
      <c r="I98" s="774"/>
      <c r="J98" s="773"/>
      <c r="K98" s="836"/>
      <c r="L98" s="837"/>
      <c r="M98" s="753"/>
      <c r="O98" s="753"/>
      <c r="P98" s="841">
        <v>8</v>
      </c>
      <c r="Q98" s="706" t="s">
        <v>685</v>
      </c>
      <c r="R98" s="745" t="s">
        <v>484</v>
      </c>
      <c r="S98" s="745" t="s">
        <v>711</v>
      </c>
      <c r="T98" s="753"/>
      <c r="U98" s="841"/>
      <c r="V98" s="841"/>
      <c r="W98" s="841"/>
      <c r="X98" s="841"/>
      <c r="Y98" s="841"/>
    </row>
    <row r="99" spans="2:25">
      <c r="I99" s="774"/>
      <c r="J99" s="773"/>
      <c r="K99" s="836"/>
      <c r="L99" s="837"/>
      <c r="M99" s="753"/>
      <c r="O99" s="753"/>
      <c r="P99" s="841">
        <v>9</v>
      </c>
      <c r="Q99" s="706" t="s">
        <v>590</v>
      </c>
      <c r="R99" s="745" t="s">
        <v>484</v>
      </c>
      <c r="S99" s="745" t="s">
        <v>711</v>
      </c>
      <c r="T99" s="753"/>
      <c r="U99" s="841"/>
      <c r="V99" s="841"/>
      <c r="W99" s="841"/>
      <c r="X99" s="841"/>
      <c r="Y99" s="841"/>
    </row>
    <row r="100" spans="2:25">
      <c r="I100" s="774"/>
      <c r="J100" s="773"/>
      <c r="K100" s="836"/>
      <c r="L100" s="837"/>
      <c r="O100" s="753"/>
      <c r="P100" s="841">
        <v>10</v>
      </c>
      <c r="Q100" s="706" t="s">
        <v>688</v>
      </c>
      <c r="R100" s="745" t="s">
        <v>484</v>
      </c>
      <c r="S100" s="745" t="s">
        <v>711</v>
      </c>
      <c r="T100" s="753"/>
      <c r="U100" s="841"/>
      <c r="V100" s="841"/>
      <c r="W100" s="841"/>
      <c r="X100" s="841"/>
      <c r="Y100" s="841"/>
    </row>
    <row r="101" spans="2:25">
      <c r="B101" s="762"/>
      <c r="C101" s="762"/>
      <c r="E101" s="779"/>
      <c r="I101" s="774"/>
      <c r="J101" s="773"/>
      <c r="K101" s="836"/>
      <c r="L101" s="837"/>
      <c r="O101" s="753"/>
      <c r="P101" s="841">
        <v>11</v>
      </c>
      <c r="Q101" s="706" t="s">
        <v>690</v>
      </c>
      <c r="R101" s="745" t="s">
        <v>484</v>
      </c>
      <c r="S101" s="745" t="s">
        <v>711</v>
      </c>
      <c r="T101" s="753"/>
      <c r="U101" s="841"/>
      <c r="V101" s="841"/>
      <c r="W101" s="841"/>
      <c r="X101" s="841"/>
      <c r="Y101" s="841"/>
    </row>
    <row r="102" spans="2:25">
      <c r="I102" s="774"/>
      <c r="J102" s="773"/>
      <c r="K102" s="836"/>
      <c r="L102" s="837"/>
      <c r="O102" s="753"/>
      <c r="P102" s="841">
        <v>12</v>
      </c>
      <c r="Q102" s="706" t="s">
        <v>692</v>
      </c>
      <c r="R102" s="745" t="s">
        <v>484</v>
      </c>
      <c r="S102" s="745" t="s">
        <v>711</v>
      </c>
      <c r="T102" s="753"/>
      <c r="U102" s="841"/>
      <c r="V102" s="841"/>
      <c r="W102" s="841"/>
      <c r="X102" s="841"/>
      <c r="Y102" s="841"/>
    </row>
    <row r="103" spans="2:25">
      <c r="I103" s="774"/>
      <c r="J103" s="773"/>
      <c r="K103" s="836"/>
      <c r="L103" s="837"/>
      <c r="O103" s="753"/>
      <c r="P103" s="841">
        <v>13</v>
      </c>
      <c r="Q103" s="706" t="s">
        <v>696</v>
      </c>
      <c r="R103" s="745" t="s">
        <v>484</v>
      </c>
      <c r="S103" s="745" t="s">
        <v>711</v>
      </c>
      <c r="T103" s="753"/>
      <c r="U103" s="841"/>
      <c r="V103" s="841"/>
      <c r="W103" s="841"/>
      <c r="X103" s="841"/>
      <c r="Y103" s="841"/>
    </row>
    <row r="104" spans="2:25">
      <c r="I104" s="774"/>
      <c r="J104" s="773"/>
      <c r="K104" s="836"/>
      <c r="L104" s="837"/>
      <c r="O104" s="787"/>
      <c r="P104" s="841">
        <v>14</v>
      </c>
      <c r="Q104" s="838" t="s">
        <v>698</v>
      </c>
      <c r="R104" s="745" t="s">
        <v>484</v>
      </c>
      <c r="S104" s="745" t="s">
        <v>711</v>
      </c>
      <c r="T104" s="753"/>
      <c r="U104" s="841"/>
      <c r="V104" s="841"/>
      <c r="W104" s="841"/>
      <c r="X104" s="841"/>
      <c r="Y104" s="841"/>
    </row>
    <row r="105" spans="2:25">
      <c r="I105" s="774"/>
      <c r="J105" s="773"/>
      <c r="K105" s="836"/>
      <c r="L105" s="837"/>
      <c r="O105" s="787"/>
      <c r="P105" s="841">
        <v>15</v>
      </c>
      <c r="Q105" s="706" t="s">
        <v>701</v>
      </c>
      <c r="R105" s="745" t="s">
        <v>484</v>
      </c>
      <c r="S105" s="745" t="s">
        <v>711</v>
      </c>
      <c r="T105" s="753"/>
      <c r="U105" s="841"/>
      <c r="V105" s="841"/>
      <c r="W105" s="841"/>
      <c r="X105" s="841"/>
      <c r="Y105" s="841"/>
    </row>
    <row r="106" spans="2:25">
      <c r="I106" s="774"/>
      <c r="J106" s="773"/>
      <c r="K106" s="836"/>
      <c r="L106" s="837"/>
      <c r="O106" s="787"/>
      <c r="P106" s="841">
        <v>16</v>
      </c>
      <c r="Q106" s="706" t="s">
        <v>704</v>
      </c>
      <c r="R106" s="745" t="s">
        <v>484</v>
      </c>
      <c r="S106" s="745" t="s">
        <v>711</v>
      </c>
      <c r="T106" s="753"/>
      <c r="U106" s="841"/>
      <c r="V106" s="841"/>
      <c r="W106" s="841"/>
      <c r="X106" s="841"/>
      <c r="Y106" s="841"/>
    </row>
    <row r="107" spans="2:25">
      <c r="I107" s="774"/>
      <c r="J107" s="773"/>
      <c r="K107" s="836"/>
      <c r="L107" s="837"/>
      <c r="O107" s="787"/>
      <c r="P107" s="841">
        <v>17</v>
      </c>
      <c r="Q107" s="706" t="s">
        <v>555</v>
      </c>
      <c r="R107" s="745" t="s">
        <v>484</v>
      </c>
      <c r="S107" s="745" t="s">
        <v>711</v>
      </c>
      <c r="T107" s="753"/>
      <c r="U107" s="841"/>
      <c r="V107" s="841"/>
      <c r="W107" s="841"/>
      <c r="X107" s="841"/>
      <c r="Y107" s="841"/>
    </row>
    <row r="108" spans="2:25">
      <c r="I108" s="774"/>
      <c r="J108" s="773"/>
      <c r="K108" s="836"/>
      <c r="L108" s="837"/>
      <c r="O108" s="787"/>
      <c r="P108" s="841">
        <v>18</v>
      </c>
      <c r="Q108" s="706" t="s">
        <v>707</v>
      </c>
      <c r="R108" s="745" t="s">
        <v>484</v>
      </c>
      <c r="S108" s="745" t="s">
        <v>711</v>
      </c>
      <c r="T108" s="753"/>
      <c r="U108" s="841"/>
      <c r="V108" s="841"/>
      <c r="W108" s="841"/>
      <c r="X108" s="841"/>
      <c r="Y108" s="841"/>
    </row>
    <row r="109" spans="2:25">
      <c r="I109" s="774"/>
      <c r="J109" s="773"/>
      <c r="K109" s="836"/>
      <c r="L109" s="837"/>
      <c r="O109" s="787"/>
      <c r="P109" s="841">
        <v>19</v>
      </c>
      <c r="Q109" s="706" t="s">
        <v>652</v>
      </c>
      <c r="R109" s="745" t="s">
        <v>484</v>
      </c>
      <c r="S109" s="745" t="s">
        <v>711</v>
      </c>
      <c r="T109" s="753"/>
      <c r="U109" s="841"/>
      <c r="V109" s="841"/>
      <c r="W109" s="841"/>
      <c r="X109" s="841"/>
      <c r="Y109" s="841"/>
    </row>
  </sheetData>
  <pageMargins left="0.7" right="0.7" top="0.75" bottom="0.75" header="0.3" footer="0.3"/>
  <pageSetup orientation="portrait" verticalDpi="12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25</vt:i4>
      </vt:variant>
      <vt:variant>
        <vt:lpstr>Named Ranges</vt:lpstr>
      </vt:variant>
      <vt:variant>
        <vt:i4>11</vt:i4>
      </vt:variant>
    </vt:vector>
  </HeadingPairs>
  <TitlesOfParts>
    <vt:vector size="36" baseType="lpstr">
      <vt:lpstr>Disclaimer</vt:lpstr>
      <vt:lpstr>Major Changes 2023</vt:lpstr>
      <vt:lpstr>Charts</vt:lpstr>
      <vt:lpstr>Assumptions</vt:lpstr>
      <vt:lpstr>Monthly Cash Flow</vt:lpstr>
      <vt:lpstr>Historicals</vt:lpstr>
      <vt:lpstr>2022</vt:lpstr>
      <vt:lpstr>2021</vt:lpstr>
      <vt:lpstr>2020</vt:lpstr>
      <vt:lpstr>ARGUS</vt:lpstr>
      <vt:lpstr>Argus Drop</vt:lpstr>
      <vt:lpstr>Lease Summary Report</vt:lpstr>
      <vt:lpstr>LIBOR</vt:lpstr>
      <vt:lpstr>Waterfall</vt:lpstr>
      <vt:lpstr>Chapman Lease Activity</vt:lpstr>
      <vt:lpstr>Chapman Rent Roll</vt:lpstr>
      <vt:lpstr>Chapman Capital Call Log</vt:lpstr>
      <vt:lpstr>CIP-Building Improvements</vt:lpstr>
      <vt:lpstr>Debt</vt:lpstr>
      <vt:lpstr>DebtPerm</vt:lpstr>
      <vt:lpstr>Acquisition Costs</vt:lpstr>
      <vt:lpstr>Formatted Comps</vt:lpstr>
      <vt:lpstr>Desktop</vt:lpstr>
      <vt:lpstr>Desktop Comps</vt:lpstr>
      <vt:lpstr>Comps</vt:lpstr>
      <vt:lpstr>'Acquisition Costs'!Print_Area</vt:lpstr>
      <vt:lpstr>Assumptions!Print_Area</vt:lpstr>
      <vt:lpstr>'Chapman Rent Roll'!Print_Area</vt:lpstr>
      <vt:lpstr>Charts!Print_Area</vt:lpstr>
      <vt:lpstr>Disclaimer!Print_Area</vt:lpstr>
      <vt:lpstr>'Monthly Cash Flow'!Print_Area</vt:lpstr>
      <vt:lpstr>Waterfall!Print_Area</vt:lpstr>
      <vt:lpstr>'2020'!Print_Titles</vt:lpstr>
      <vt:lpstr>'2021'!Print_Titles</vt:lpstr>
      <vt:lpstr>'Acquisition Costs'!Print_Titles</vt:lpstr>
      <vt:lpstr>Historicals!Print_Titles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sabramson</dc:creator>
  <cp:lastModifiedBy>Jihyeun Byeon</cp:lastModifiedBy>
  <cp:lastPrinted>2019-10-24T03:28:11Z</cp:lastPrinted>
  <dcterms:created xsi:type="dcterms:W3CDTF">2016-09-21T00:29:26Z</dcterms:created>
  <dcterms:modified xsi:type="dcterms:W3CDTF">2026-05-11T19:37:59Z</dcterms:modified>
</cp:coreProperties>
</file>